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09"/>
  <workbookPr/>
  <mc:AlternateContent xmlns:mc="http://schemas.openxmlformats.org/markup-compatibility/2006">
    <mc:Choice Requires="x15">
      <x15ac:absPath xmlns:x15ac="http://schemas.microsoft.com/office/spreadsheetml/2010/11/ac" url="/Users/emdoughty/Dropbox/Code/R/LimbProportions/"/>
    </mc:Choice>
  </mc:AlternateContent>
  <xr:revisionPtr revIDLastSave="0" documentId="13_ncr:1_{FF44511A-8EBE-4B4E-8C32-6050479188FE}" xr6:coauthVersionLast="45" xr6:coauthVersionMax="45" xr10:uidLastSave="{00000000-0000-0000-0000-000000000000}"/>
  <bookViews>
    <workbookView xWindow="0" yWindow="460" windowWidth="31160" windowHeight="19760" tabRatio="641" activeTab="1" xr2:uid="{00000000-000D-0000-FFFF-FFFF00000000}"/>
  </bookViews>
  <sheets>
    <sheet name="METADATA" sheetId="10" r:id="rId1"/>
    <sheet name="MOM_v4.1" sheetId="14" r:id="rId2"/>
    <sheet name="Artiodactyla_extant" sheetId="13" r:id="rId3"/>
    <sheet name="Artiodactyla" sheetId="12" r:id="rId4"/>
    <sheet name="All Mammals (extinct&amp;extant)" sheetId="5" r:id="rId5"/>
    <sheet name="REFERENCES" sheetId="11" r:id="rId6"/>
  </sheets>
  <definedNames>
    <definedName name="_xlnm.Print_Area" localSheetId="4">'All Mammals (extinct&amp;extant)'!$A$1:$N$5759</definedName>
    <definedName name="_xlnm.Print_Area" localSheetId="3">Artiodactyla!$A$1:$N$5759</definedName>
    <definedName name="_xlnm.Print_Area" localSheetId="2">Artiodactyla_extant!$A$1:$N$5724</definedName>
    <definedName name="_xlnm.Print_Area" localSheetId="1">MOM_v4.1!$A$1:$M$5725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71" i="14" l="1"/>
  <c r="H67" i="14"/>
  <c r="H216" i="14" l="1"/>
  <c r="H217" i="14"/>
  <c r="H218" i="14"/>
  <c r="H219" i="14"/>
  <c r="H220" i="14"/>
  <c r="H215" i="14"/>
  <c r="C278" i="14"/>
  <c r="H211" i="14"/>
  <c r="H210" i="14"/>
  <c r="H209" i="14"/>
  <c r="H208" i="14"/>
  <c r="H207" i="14"/>
  <c r="H206" i="14"/>
  <c r="H205" i="14"/>
  <c r="H204" i="14"/>
  <c r="H203" i="14"/>
  <c r="H202" i="14"/>
  <c r="H201" i="14"/>
  <c r="H200" i="14"/>
  <c r="H199" i="14"/>
  <c r="H198" i="14"/>
  <c r="H197" i="14"/>
  <c r="H196" i="14"/>
  <c r="I195" i="14"/>
  <c r="H195" i="14" s="1"/>
  <c r="I194" i="14"/>
  <c r="H194" i="14" s="1"/>
  <c r="I193" i="14"/>
  <c r="H193" i="14" s="1"/>
  <c r="I192" i="14"/>
  <c r="H192" i="14" s="1"/>
  <c r="I191" i="14"/>
  <c r="H191" i="14" s="1"/>
  <c r="I190" i="14"/>
  <c r="H190" i="14" s="1"/>
  <c r="H189" i="14"/>
  <c r="H188" i="14"/>
  <c r="H187" i="14"/>
  <c r="H186" i="14"/>
  <c r="H185" i="14"/>
  <c r="H184" i="14"/>
  <c r="H183" i="14"/>
  <c r="H182" i="14"/>
  <c r="H181" i="14"/>
  <c r="H180" i="14"/>
  <c r="H179" i="14"/>
  <c r="H178" i="14"/>
  <c r="H177" i="14"/>
  <c r="I176" i="14"/>
  <c r="H176" i="14" s="1"/>
  <c r="H175" i="14"/>
  <c r="I174" i="14"/>
  <c r="H174" i="14" s="1"/>
  <c r="H173" i="14"/>
  <c r="I172" i="14"/>
  <c r="H172" i="14"/>
  <c r="H171" i="14"/>
  <c r="H170" i="14"/>
  <c r="I169" i="14"/>
  <c r="H169" i="14" s="1"/>
  <c r="I168" i="14"/>
  <c r="H168" i="14" s="1"/>
  <c r="H167" i="14"/>
  <c r="H166" i="14"/>
  <c r="H165" i="14"/>
  <c r="H164" i="14"/>
  <c r="H163" i="14"/>
  <c r="H162" i="14"/>
  <c r="H161" i="14"/>
  <c r="H160" i="14"/>
  <c r="H159" i="14"/>
  <c r="H158" i="14"/>
  <c r="H157" i="14"/>
  <c r="H155" i="14"/>
  <c r="H154" i="14"/>
  <c r="H153" i="14"/>
  <c r="H152" i="14"/>
  <c r="H151" i="14"/>
  <c r="H150" i="14"/>
  <c r="H149" i="14"/>
  <c r="H148" i="14"/>
  <c r="H147" i="14"/>
  <c r="H146" i="14"/>
  <c r="H145" i="14"/>
  <c r="H144" i="14"/>
  <c r="I143" i="14"/>
  <c r="H143" i="14" s="1"/>
  <c r="H142" i="14"/>
  <c r="H141" i="14"/>
  <c r="I140" i="14"/>
  <c r="H140" i="14" s="1"/>
  <c r="I139" i="14"/>
  <c r="H139" i="14"/>
  <c r="I138" i="14"/>
  <c r="H138" i="14" s="1"/>
  <c r="I137" i="14"/>
  <c r="H137" i="14" s="1"/>
  <c r="I136" i="14"/>
  <c r="H136" i="14"/>
  <c r="H134" i="14"/>
  <c r="H133" i="14"/>
  <c r="H132" i="14"/>
  <c r="I131" i="14"/>
  <c r="H131" i="14" s="1"/>
  <c r="H130" i="14"/>
  <c r="I129" i="14"/>
  <c r="H129" i="14"/>
  <c r="I128" i="14"/>
  <c r="H128" i="14"/>
  <c r="H127" i="14"/>
  <c r="H124" i="14"/>
  <c r="H123" i="14"/>
  <c r="H122" i="14"/>
  <c r="H121" i="14"/>
  <c r="H120" i="14"/>
  <c r="H119" i="14"/>
  <c r="H118" i="14"/>
  <c r="H117" i="14"/>
  <c r="H116" i="14"/>
  <c r="H115" i="14"/>
  <c r="H114" i="14"/>
  <c r="H113" i="14"/>
  <c r="H112" i="14"/>
  <c r="I111" i="14"/>
  <c r="H111" i="14"/>
  <c r="H110" i="14"/>
  <c r="H109" i="14"/>
  <c r="H108" i="14"/>
  <c r="H107" i="14"/>
  <c r="H106" i="14"/>
  <c r="I105" i="14"/>
  <c r="H105" i="14" s="1"/>
  <c r="H104" i="14"/>
  <c r="H103" i="14"/>
  <c r="H102" i="14"/>
  <c r="H101" i="14"/>
  <c r="H100" i="14"/>
  <c r="H99" i="14"/>
  <c r="H98" i="14"/>
  <c r="H97" i="14"/>
  <c r="H96" i="14"/>
  <c r="H95" i="14"/>
  <c r="H94" i="14"/>
  <c r="H93" i="14"/>
  <c r="H92" i="14"/>
  <c r="I91" i="14"/>
  <c r="H91" i="14"/>
  <c r="H90" i="14"/>
  <c r="H89" i="14"/>
  <c r="H88" i="14"/>
  <c r="H87" i="14"/>
  <c r="H86" i="14"/>
  <c r="H85" i="14"/>
  <c r="H83" i="14"/>
  <c r="H82" i="14"/>
  <c r="I81" i="14"/>
  <c r="H81" i="14" s="1"/>
  <c r="H80" i="14"/>
  <c r="H79" i="14"/>
  <c r="H78" i="14"/>
  <c r="H77" i="14"/>
  <c r="H76" i="14"/>
  <c r="H75" i="14"/>
  <c r="I74" i="14"/>
  <c r="H74" i="14" s="1"/>
  <c r="I73" i="14"/>
  <c r="H73" i="14"/>
  <c r="H72" i="14"/>
  <c r="H70" i="14"/>
  <c r="H68" i="14"/>
  <c r="H66" i="14"/>
  <c r="H65" i="14"/>
  <c r="H64" i="14"/>
  <c r="H62" i="14"/>
  <c r="I61" i="14"/>
  <c r="H61" i="14" s="1"/>
  <c r="H60" i="14"/>
  <c r="H59" i="14"/>
  <c r="I58" i="14"/>
  <c r="H58" i="14" s="1"/>
  <c r="H57" i="14"/>
  <c r="H56" i="14"/>
  <c r="H55" i="14"/>
  <c r="H54" i="14"/>
  <c r="H53" i="14"/>
  <c r="H52" i="14"/>
  <c r="H51" i="14"/>
  <c r="H50" i="14"/>
  <c r="H49" i="14"/>
  <c r="H48" i="14"/>
  <c r="H47" i="14"/>
  <c r="H46" i="14"/>
  <c r="H45" i="14"/>
  <c r="H44" i="14"/>
  <c r="H43" i="14"/>
  <c r="H42" i="14"/>
  <c r="H41" i="14"/>
  <c r="H40" i="14"/>
  <c r="H39" i="14"/>
  <c r="H38" i="14"/>
  <c r="H37" i="14"/>
  <c r="I34" i="14"/>
  <c r="H34" i="14" s="1"/>
  <c r="H33" i="14"/>
  <c r="H32" i="14"/>
  <c r="H31" i="14"/>
  <c r="H30" i="14"/>
  <c r="H29" i="14"/>
  <c r="H28" i="14"/>
  <c r="I27" i="14"/>
  <c r="H27" i="14" s="1"/>
  <c r="H26" i="14"/>
  <c r="I25" i="14"/>
  <c r="H25" i="14" s="1"/>
  <c r="H24" i="14"/>
  <c r="H23" i="14"/>
  <c r="H22" i="14"/>
  <c r="H21" i="14"/>
  <c r="H20" i="14"/>
  <c r="H19" i="14"/>
  <c r="H18" i="14"/>
  <c r="H17" i="14"/>
  <c r="H16" i="14"/>
  <c r="H15" i="14"/>
  <c r="H13" i="14"/>
  <c r="I12" i="14"/>
  <c r="H12" i="14" s="1"/>
  <c r="H10" i="14"/>
  <c r="H9" i="14"/>
  <c r="I8" i="14"/>
  <c r="H8" i="14"/>
  <c r="H7" i="14"/>
  <c r="H6" i="14"/>
  <c r="H4" i="14"/>
  <c r="H3" i="14"/>
  <c r="H2" i="14"/>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4" i="13"/>
  <c r="C312" i="12"/>
  <c r="C277" i="13"/>
  <c r="I209" i="13"/>
  <c r="I208" i="13"/>
  <c r="I104" i="13"/>
  <c r="I199" i="13"/>
  <c r="I164" i="13"/>
  <c r="I43" i="13"/>
  <c r="J194" i="13"/>
  <c r="I194" i="13" s="1"/>
  <c r="J193" i="13"/>
  <c r="I193" i="13"/>
  <c r="J192" i="13"/>
  <c r="I192" i="13"/>
  <c r="J191" i="13"/>
  <c r="I191" i="13"/>
  <c r="J190" i="13"/>
  <c r="I190" i="13" s="1"/>
  <c r="J189" i="13"/>
  <c r="I189" i="13"/>
  <c r="I170" i="13"/>
  <c r="I169" i="13"/>
  <c r="J168" i="13"/>
  <c r="I168" i="13"/>
  <c r="J167" i="13"/>
  <c r="I167" i="13" s="1"/>
  <c r="I166" i="13"/>
  <c r="J105" i="13"/>
  <c r="I105" i="13" s="1"/>
  <c r="I17" i="13"/>
  <c r="I129" i="13"/>
  <c r="J128" i="13"/>
  <c r="I128" i="13"/>
  <c r="J127" i="13"/>
  <c r="I127" i="13" s="1"/>
  <c r="I126" i="13"/>
  <c r="I100" i="13"/>
  <c r="I97" i="13"/>
  <c r="I148" i="13"/>
  <c r="I93" i="13"/>
  <c r="I178" i="13"/>
  <c r="I177" i="13"/>
  <c r="I176" i="13"/>
  <c r="I162" i="13"/>
  <c r="I147" i="13"/>
  <c r="I146" i="13"/>
  <c r="J136" i="13"/>
  <c r="I136" i="13"/>
  <c r="J135" i="13"/>
  <c r="I135" i="13" s="1"/>
  <c r="I133" i="13"/>
  <c r="I132" i="13"/>
  <c r="I131" i="13"/>
  <c r="J130" i="13"/>
  <c r="I130" i="13" s="1"/>
  <c r="I124" i="13"/>
  <c r="I123" i="13"/>
  <c r="I122" i="13"/>
  <c r="I121" i="13"/>
  <c r="I120" i="13"/>
  <c r="I119" i="13"/>
  <c r="I103" i="13"/>
  <c r="I99" i="13"/>
  <c r="I98" i="13"/>
  <c r="I80" i="13"/>
  <c r="I79" i="13"/>
  <c r="J74" i="13"/>
  <c r="I74" i="13"/>
  <c r="J73" i="13"/>
  <c r="I73" i="13"/>
  <c r="I69" i="13"/>
  <c r="I68" i="13"/>
  <c r="I67" i="13"/>
  <c r="I66" i="13"/>
  <c r="I64" i="13"/>
  <c r="J63" i="13"/>
  <c r="I63" i="13" s="1"/>
  <c r="I62" i="13"/>
  <c r="I42" i="13"/>
  <c r="I41" i="13"/>
  <c r="I20" i="13"/>
  <c r="I15" i="13"/>
  <c r="J14" i="13"/>
  <c r="I14" i="13"/>
  <c r="I210" i="13"/>
  <c r="I113" i="13"/>
  <c r="I112" i="13"/>
  <c r="J111" i="13"/>
  <c r="I111" i="13"/>
  <c r="I32" i="13"/>
  <c r="I207" i="13"/>
  <c r="I206" i="13"/>
  <c r="I205" i="13"/>
  <c r="I204" i="13"/>
  <c r="I203" i="13"/>
  <c r="I202" i="13"/>
  <c r="I201" i="13"/>
  <c r="I200" i="13"/>
  <c r="I198" i="13"/>
  <c r="I197" i="13"/>
  <c r="I196" i="13"/>
  <c r="I195" i="13"/>
  <c r="I188" i="13"/>
  <c r="I187" i="13"/>
  <c r="I186" i="13"/>
  <c r="I185" i="13"/>
  <c r="I184" i="13"/>
  <c r="I183" i="13"/>
  <c r="I182" i="13"/>
  <c r="I181" i="13"/>
  <c r="I180" i="13"/>
  <c r="I179" i="13"/>
  <c r="J175" i="13"/>
  <c r="I175" i="13" s="1"/>
  <c r="I174" i="13"/>
  <c r="J173" i="13"/>
  <c r="I173" i="13" s="1"/>
  <c r="I172" i="13"/>
  <c r="J171" i="13"/>
  <c r="I171" i="13"/>
  <c r="I165" i="13"/>
  <c r="I163" i="13"/>
  <c r="I161" i="13"/>
  <c r="I160" i="13"/>
  <c r="I159" i="13"/>
  <c r="I158" i="13"/>
  <c r="I157" i="13"/>
  <c r="I156" i="13"/>
  <c r="I154" i="13"/>
  <c r="I153" i="13"/>
  <c r="I152" i="13"/>
  <c r="I151" i="13"/>
  <c r="I150" i="13"/>
  <c r="I149" i="13"/>
  <c r="I145" i="13"/>
  <c r="I144" i="13"/>
  <c r="I143" i="13"/>
  <c r="J142" i="13"/>
  <c r="I142" i="13" s="1"/>
  <c r="I141" i="13"/>
  <c r="I140" i="13"/>
  <c r="J139" i="13"/>
  <c r="I139" i="13" s="1"/>
  <c r="J138" i="13"/>
  <c r="I138" i="13"/>
  <c r="J137" i="13"/>
  <c r="I137" i="13" s="1"/>
  <c r="I118" i="13"/>
  <c r="I117" i="13"/>
  <c r="I116" i="13"/>
  <c r="I115" i="13"/>
  <c r="I114" i="13"/>
  <c r="I110" i="13"/>
  <c r="I109" i="13"/>
  <c r="I108" i="13"/>
  <c r="I107" i="13"/>
  <c r="I106" i="13"/>
  <c r="I102" i="13"/>
  <c r="I101" i="13"/>
  <c r="I96" i="13"/>
  <c r="I95" i="13"/>
  <c r="I94" i="13"/>
  <c r="I92" i="13"/>
  <c r="J91" i="13"/>
  <c r="I91" i="13" s="1"/>
  <c r="I90" i="13"/>
  <c r="I89" i="13"/>
  <c r="I88" i="13"/>
  <c r="I87" i="13"/>
  <c r="I86" i="13"/>
  <c r="I85" i="13"/>
  <c r="I83" i="13"/>
  <c r="I82" i="13"/>
  <c r="J81" i="13"/>
  <c r="I81" i="13" s="1"/>
  <c r="I78" i="13"/>
  <c r="I77" i="13"/>
  <c r="I76" i="13"/>
  <c r="I75" i="13"/>
  <c r="I72" i="13"/>
  <c r="I71" i="13"/>
  <c r="I61" i="13"/>
  <c r="J60" i="13"/>
  <c r="I60" i="13"/>
  <c r="I59" i="13"/>
  <c r="I58" i="13"/>
  <c r="I57" i="13"/>
  <c r="I56" i="13"/>
  <c r="I55" i="13"/>
  <c r="I54" i="13"/>
  <c r="I53" i="13"/>
  <c r="I52" i="13"/>
  <c r="I51" i="13"/>
  <c r="I50" i="13"/>
  <c r="I49" i="13"/>
  <c r="I48" i="13"/>
  <c r="I47" i="13"/>
  <c r="I46" i="13"/>
  <c r="I45" i="13"/>
  <c r="I44" i="13"/>
  <c r="I40" i="13"/>
  <c r="I39" i="13"/>
  <c r="J36" i="13"/>
  <c r="I36" i="13"/>
  <c r="I35" i="13"/>
  <c r="I34" i="13"/>
  <c r="I33" i="13"/>
  <c r="I31" i="13"/>
  <c r="I30" i="13"/>
  <c r="J29" i="13"/>
  <c r="I29" i="13" s="1"/>
  <c r="I28" i="13"/>
  <c r="J27" i="13"/>
  <c r="I27" i="13"/>
  <c r="I26" i="13"/>
  <c r="I25" i="13"/>
  <c r="I24" i="13"/>
  <c r="I23" i="13"/>
  <c r="I22" i="13"/>
  <c r="I21" i="13"/>
  <c r="I19" i="13"/>
  <c r="I18" i="13"/>
  <c r="I12" i="13"/>
  <c r="J10" i="13"/>
  <c r="I10" i="13"/>
  <c r="I9" i="13"/>
  <c r="I8" i="13"/>
  <c r="I6" i="13"/>
  <c r="I5" i="13"/>
  <c r="I4" i="13"/>
  <c r="I11" i="13"/>
  <c r="I32" i="12"/>
  <c r="I302" i="12"/>
  <c r="I298" i="12"/>
  <c r="I295" i="12"/>
  <c r="I258" i="12"/>
  <c r="I257" i="12"/>
  <c r="I255" i="12"/>
  <c r="I254" i="12"/>
  <c r="I237" i="12"/>
  <c r="I232" i="12"/>
  <c r="I236" i="12"/>
  <c r="I234" i="12"/>
  <c r="I233" i="12"/>
  <c r="I235" i="12"/>
  <c r="I229" i="12"/>
  <c r="I228" i="12"/>
  <c r="I201" i="12"/>
  <c r="I188" i="12"/>
  <c r="J183" i="12"/>
  <c r="I183" i="12" s="1"/>
  <c r="I184" i="12"/>
  <c r="I185" i="12"/>
  <c r="I301" i="12"/>
  <c r="I297" i="12"/>
  <c r="I259" i="12"/>
  <c r="I253" i="12"/>
  <c r="I252" i="12"/>
  <c r="I231" i="12"/>
  <c r="I210" i="12"/>
  <c r="I191" i="12"/>
  <c r="I136" i="12"/>
  <c r="I137" i="12"/>
  <c r="I133" i="12"/>
  <c r="I124" i="12"/>
  <c r="I19" i="12"/>
  <c r="I4" i="12"/>
  <c r="J309" i="12"/>
  <c r="I309" i="12" s="1"/>
  <c r="J307" i="12"/>
  <c r="I307" i="12" s="1"/>
  <c r="J305" i="12"/>
  <c r="I305" i="12"/>
  <c r="J283" i="12"/>
  <c r="I283" i="12" s="1"/>
  <c r="J282" i="12"/>
  <c r="I282" i="12" s="1"/>
  <c r="J291" i="12"/>
  <c r="I291" i="12" s="1"/>
  <c r="J294" i="12"/>
  <c r="I294" i="12"/>
  <c r="J286" i="12"/>
  <c r="I286" i="12" s="1"/>
  <c r="I279" i="12"/>
  <c r="I273" i="12"/>
  <c r="J248" i="12"/>
  <c r="I248" i="12" s="1"/>
  <c r="J242" i="12"/>
  <c r="I242" i="12"/>
  <c r="I247" i="12"/>
  <c r="J250" i="12"/>
  <c r="I250" i="12"/>
  <c r="I220" i="12"/>
  <c r="J219" i="12"/>
  <c r="I219" i="12" s="1"/>
  <c r="I216" i="12"/>
  <c r="I213" i="12"/>
  <c r="J206" i="12"/>
  <c r="I206" i="12" s="1"/>
  <c r="J194" i="12"/>
  <c r="I194" i="12" s="1"/>
  <c r="I197" i="12"/>
  <c r="J196" i="12"/>
  <c r="I196" i="12"/>
  <c r="J199" i="12"/>
  <c r="I199" i="12" s="1"/>
  <c r="J117" i="12"/>
  <c r="I117" i="12"/>
  <c r="J120" i="12"/>
  <c r="I120" i="12"/>
  <c r="I37" i="12"/>
  <c r="J39" i="12"/>
  <c r="I39" i="12"/>
  <c r="I40" i="12"/>
  <c r="I29" i="12"/>
  <c r="I308" i="12"/>
  <c r="I306" i="12"/>
  <c r="I304" i="12"/>
  <c r="J290" i="12"/>
  <c r="I290" i="12"/>
  <c r="J281" i="12"/>
  <c r="I281" i="12" s="1"/>
  <c r="J289" i="12"/>
  <c r="I289" i="12"/>
  <c r="J270" i="12"/>
  <c r="I270" i="12"/>
  <c r="I272" i="12"/>
  <c r="I269" i="12"/>
  <c r="J271" i="12"/>
  <c r="I271" i="12" s="1"/>
  <c r="I243" i="12"/>
  <c r="I244" i="12"/>
  <c r="I245" i="12"/>
  <c r="I246" i="12"/>
  <c r="J249" i="12"/>
  <c r="I249" i="12"/>
  <c r="I230" i="12"/>
  <c r="I227" i="12"/>
  <c r="I226" i="12"/>
  <c r="J225" i="12"/>
  <c r="I225" i="12" s="1"/>
  <c r="J223" i="12"/>
  <c r="I223" i="12" s="1"/>
  <c r="J218" i="12"/>
  <c r="I218" i="12"/>
  <c r="J209" i="12"/>
  <c r="I209" i="12" s="1"/>
  <c r="I207" i="12"/>
  <c r="I205" i="12"/>
  <c r="I212" i="12"/>
  <c r="I214" i="12"/>
  <c r="I203" i="12"/>
  <c r="I202" i="12"/>
  <c r="I193" i="12"/>
  <c r="I198" i="12"/>
  <c r="J190" i="12"/>
  <c r="I190" i="12" s="1"/>
  <c r="I175" i="12"/>
  <c r="I176" i="12"/>
  <c r="I165" i="12"/>
  <c r="I157" i="12"/>
  <c r="I154" i="12"/>
  <c r="I155" i="12"/>
  <c r="I146" i="12"/>
  <c r="J147" i="12"/>
  <c r="I147" i="12"/>
  <c r="J143" i="12"/>
  <c r="I143" i="12"/>
  <c r="J145" i="12"/>
  <c r="I145" i="12" s="1"/>
  <c r="I144" i="12"/>
  <c r="I140" i="12"/>
  <c r="I134" i="12"/>
  <c r="I138" i="12"/>
  <c r="I139" i="12"/>
  <c r="I135" i="12"/>
  <c r="J132" i="12"/>
  <c r="I132" i="12" s="1"/>
  <c r="I128" i="12"/>
  <c r="I130" i="12"/>
  <c r="I119" i="12"/>
  <c r="I118" i="12"/>
  <c r="J115" i="12"/>
  <c r="I115" i="12"/>
  <c r="J116" i="12"/>
  <c r="I116" i="12" s="1"/>
  <c r="I98" i="12"/>
  <c r="I100" i="12"/>
  <c r="I99" i="12"/>
  <c r="J96" i="12"/>
  <c r="I96" i="12" s="1"/>
  <c r="I87" i="12"/>
  <c r="I89" i="12"/>
  <c r="J82" i="12"/>
  <c r="I82" i="12" s="1"/>
  <c r="I93" i="12"/>
  <c r="I52" i="12"/>
  <c r="J45" i="12"/>
  <c r="I45" i="12" s="1"/>
  <c r="J48" i="12"/>
  <c r="I48" i="12"/>
  <c r="I42" i="12"/>
  <c r="I51" i="12"/>
  <c r="I43" i="12"/>
  <c r="J50" i="12"/>
  <c r="I50" i="12" s="1"/>
  <c r="I44" i="12"/>
  <c r="I41" i="12"/>
  <c r="J35" i="12"/>
  <c r="I35" i="12" s="1"/>
  <c r="I34" i="12"/>
  <c r="I31" i="12"/>
  <c r="I25" i="12"/>
  <c r="I28" i="12"/>
  <c r="I26" i="12"/>
  <c r="I20" i="12"/>
  <c r="I18" i="12"/>
  <c r="I33" i="12"/>
  <c r="I303" i="12"/>
  <c r="J278" i="12"/>
  <c r="I278" i="12" s="1"/>
  <c r="I280" i="12"/>
  <c r="J277" i="12"/>
  <c r="I277" i="12"/>
  <c r="I276" i="12"/>
  <c r="J274" i="12"/>
  <c r="I274" i="12" s="1"/>
  <c r="I266" i="12"/>
  <c r="I264" i="12"/>
  <c r="I263" i="12"/>
  <c r="I261" i="12"/>
  <c r="I208" i="12"/>
  <c r="I168" i="12"/>
  <c r="I167" i="12"/>
  <c r="I172" i="12"/>
  <c r="I166" i="12"/>
  <c r="I169" i="12"/>
  <c r="I171" i="12"/>
  <c r="I170" i="12"/>
  <c r="I163" i="12"/>
  <c r="I164" i="12"/>
  <c r="I162" i="12"/>
  <c r="I160" i="12"/>
  <c r="I158" i="12"/>
  <c r="I151" i="12"/>
  <c r="I153" i="12"/>
  <c r="I152" i="12"/>
  <c r="I148" i="12"/>
  <c r="I149" i="12"/>
  <c r="I150" i="12"/>
  <c r="I141" i="12"/>
  <c r="I131" i="12"/>
  <c r="I127" i="12"/>
  <c r="I129" i="12"/>
  <c r="I126" i="12"/>
  <c r="I122" i="12"/>
  <c r="I123" i="12"/>
  <c r="I121" i="12"/>
  <c r="I110" i="12"/>
  <c r="I111" i="12"/>
  <c r="I113" i="12"/>
  <c r="I112" i="12"/>
  <c r="I109" i="12"/>
  <c r="I104" i="12"/>
  <c r="I106" i="12"/>
  <c r="I107" i="12"/>
  <c r="I105" i="12"/>
  <c r="I108" i="12"/>
  <c r="I101" i="12"/>
  <c r="I103" i="12"/>
  <c r="I85" i="12"/>
  <c r="I90" i="12"/>
  <c r="I94" i="12"/>
  <c r="I92" i="12"/>
  <c r="I84" i="12"/>
  <c r="I86" i="12"/>
  <c r="I88" i="12"/>
  <c r="I91" i="12"/>
  <c r="I97" i="12"/>
  <c r="I95" i="12"/>
  <c r="I77" i="12"/>
  <c r="I75" i="12"/>
  <c r="I76" i="12"/>
  <c r="I74" i="12"/>
  <c r="I73" i="12"/>
  <c r="I72" i="12"/>
  <c r="I68" i="12"/>
  <c r="I58" i="12"/>
  <c r="I69" i="12"/>
  <c r="I63" i="12"/>
  <c r="I65" i="12"/>
  <c r="I56" i="12"/>
  <c r="I55" i="12"/>
  <c r="I71" i="12"/>
  <c r="J70" i="12"/>
  <c r="I70" i="12"/>
  <c r="I66" i="12"/>
  <c r="I57" i="12"/>
  <c r="I64" i="12"/>
  <c r="I59" i="12"/>
  <c r="I67" i="12"/>
  <c r="I62" i="12"/>
  <c r="I60" i="12"/>
  <c r="I54" i="12"/>
  <c r="I61" i="12"/>
  <c r="I47" i="12"/>
  <c r="I53" i="12"/>
  <c r="I49" i="12"/>
  <c r="J17" i="12"/>
  <c r="I17" i="12" s="1"/>
  <c r="I14" i="12"/>
  <c r="I13" i="12"/>
  <c r="I12" i="12"/>
  <c r="I11" i="12"/>
  <c r="I10" i="12"/>
  <c r="I300" i="12"/>
  <c r="I256" i="12"/>
  <c r="I241" i="12"/>
  <c r="I240" i="12"/>
  <c r="I222" i="12"/>
  <c r="I189" i="12"/>
  <c r="I187" i="12"/>
  <c r="I182" i="12"/>
  <c r="I180" i="12"/>
  <c r="I173" i="12"/>
  <c r="I23" i="12"/>
  <c r="I21" i="12"/>
  <c r="I192" i="12"/>
  <c r="I174" i="12"/>
  <c r="I204" i="12"/>
  <c r="I27" i="12"/>
  <c r="I78" i="12"/>
  <c r="I161" i="12"/>
  <c r="I24" i="12"/>
  <c r="I251" i="12"/>
  <c r="I260" i="12"/>
  <c r="I299" i="12"/>
  <c r="I181" i="12"/>
  <c r="I186" i="12"/>
  <c r="I296" i="12"/>
  <c r="I125" i="12"/>
  <c r="I9" i="12"/>
  <c r="I8" i="12"/>
  <c r="I7" i="12"/>
  <c r="I156" i="12"/>
  <c r="I5" i="12"/>
  <c r="I6" i="12"/>
  <c r="J267" i="12"/>
  <c r="I267" i="12" s="1"/>
  <c r="I268" i="12"/>
  <c r="I275" i="12"/>
  <c r="I262" i="12"/>
  <c r="I238" i="12"/>
  <c r="I179" i="12"/>
  <c r="I142" i="12"/>
  <c r="I114" i="12"/>
  <c r="I81" i="12"/>
  <c r="I15" i="12"/>
  <c r="I16" i="12"/>
  <c r="I265" i="12"/>
  <c r="J83" i="12"/>
  <c r="I83" i="12" s="1"/>
  <c r="I215" i="12"/>
  <c r="I80" i="12"/>
  <c r="I79" i="12"/>
  <c r="I102" i="12"/>
  <c r="I292" i="12"/>
  <c r="I224" i="12"/>
  <c r="I221" i="12"/>
  <c r="I211" i="12"/>
  <c r="I217" i="12"/>
  <c r="I195" i="12"/>
  <c r="I200" i="12"/>
  <c r="I177" i="12"/>
  <c r="I46" i="12"/>
  <c r="I36" i="12"/>
  <c r="I30" i="12"/>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6" i="5"/>
  <c r="I47" i="5"/>
  <c r="I48" i="5"/>
  <c r="I49" i="5"/>
  <c r="I50" i="5"/>
  <c r="I51" i="5"/>
  <c r="J52" i="5"/>
  <c r="I52" i="5" s="1"/>
  <c r="I53" i="5"/>
  <c r="I54" i="5"/>
  <c r="I55" i="5"/>
  <c r="I56" i="5"/>
  <c r="I57" i="5"/>
  <c r="I65" i="5"/>
  <c r="I69" i="5"/>
  <c r="I76" i="5"/>
  <c r="I77" i="5"/>
  <c r="I78" i="5"/>
  <c r="I79" i="5"/>
  <c r="I80" i="5"/>
  <c r="I81" i="5"/>
  <c r="I86" i="5"/>
  <c r="I88"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5" i="5"/>
  <c r="I166" i="5"/>
  <c r="I167" i="5"/>
  <c r="I170" i="5"/>
  <c r="I172" i="5"/>
  <c r="J173" i="5"/>
  <c r="I173" i="5" s="1"/>
  <c r="I174" i="5"/>
  <c r="I175" i="5"/>
  <c r="I176" i="5"/>
  <c r="I177" i="5"/>
  <c r="I178" i="5"/>
  <c r="I179" i="5"/>
  <c r="I180" i="5"/>
  <c r="I181" i="5"/>
  <c r="I182" i="5"/>
  <c r="I183" i="5"/>
  <c r="J184" i="5"/>
  <c r="I184" i="5"/>
  <c r="J185" i="5"/>
  <c r="I185" i="5" s="1"/>
  <c r="I186" i="5"/>
  <c r="I187" i="5"/>
  <c r="I188" i="5"/>
  <c r="I189" i="5"/>
  <c r="I190" i="5"/>
  <c r="I191" i="5"/>
  <c r="I192" i="5"/>
  <c r="I193" i="5"/>
  <c r="I194" i="5"/>
  <c r="I195" i="5"/>
  <c r="I198" i="5"/>
  <c r="I200" i="5"/>
  <c r="I201" i="5"/>
  <c r="I202" i="5"/>
  <c r="I203" i="5"/>
  <c r="I204" i="5"/>
  <c r="I205" i="5"/>
  <c r="I206" i="5"/>
  <c r="I207" i="5"/>
  <c r="I208" i="5"/>
  <c r="I209" i="5"/>
  <c r="I210" i="5"/>
  <c r="I211" i="5"/>
  <c r="I212" i="5"/>
  <c r="I213" i="5"/>
  <c r="K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J361" i="5"/>
  <c r="I361" i="5" s="1"/>
  <c r="I362" i="5"/>
  <c r="I363" i="5"/>
  <c r="I364" i="5"/>
  <c r="I365" i="5"/>
  <c r="I366" i="5"/>
  <c r="I367" i="5"/>
  <c r="I368" i="5"/>
  <c r="I369" i="5"/>
  <c r="I370" i="5"/>
  <c r="I371" i="5"/>
  <c r="I372" i="5"/>
  <c r="I373" i="5"/>
  <c r="I374" i="5"/>
  <c r="J375" i="5"/>
  <c r="I375" i="5" s="1"/>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J443" i="5"/>
  <c r="I443" i="5"/>
  <c r="I444" i="5"/>
  <c r="J445" i="5"/>
  <c r="I445" i="5"/>
  <c r="I446" i="5"/>
  <c r="J447" i="5"/>
  <c r="I447" i="5" s="1"/>
  <c r="I448" i="5"/>
  <c r="I449" i="5"/>
  <c r="I450" i="5"/>
  <c r="I451" i="5"/>
  <c r="I452" i="5"/>
  <c r="I453" i="5"/>
  <c r="I454" i="5"/>
  <c r="I455" i="5"/>
  <c r="I456" i="5"/>
  <c r="I457" i="5"/>
  <c r="I458" i="5"/>
  <c r="I459" i="5"/>
  <c r="J460" i="5"/>
  <c r="I460" i="5" s="1"/>
  <c r="I461" i="5"/>
  <c r="I462" i="5"/>
  <c r="I463" i="5"/>
  <c r="I464" i="5"/>
  <c r="I465" i="5"/>
  <c r="I466" i="5"/>
  <c r="I467" i="5"/>
  <c r="I468" i="5"/>
  <c r="I469" i="5"/>
  <c r="I470" i="5"/>
  <c r="I471" i="5"/>
  <c r="I472" i="5"/>
  <c r="I473" i="5"/>
  <c r="I474" i="5"/>
  <c r="I475" i="5"/>
  <c r="I476" i="5"/>
  <c r="I477" i="5"/>
  <c r="I478" i="5"/>
  <c r="I479" i="5"/>
  <c r="J480" i="5"/>
  <c r="I480" i="5" s="1"/>
  <c r="J481" i="5"/>
  <c r="I481" i="5" s="1"/>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J525" i="5"/>
  <c r="I525" i="5"/>
  <c r="I526" i="5"/>
  <c r="I527" i="5"/>
  <c r="I528" i="5"/>
  <c r="I529" i="5"/>
  <c r="I530" i="5"/>
  <c r="I532" i="5"/>
  <c r="I534" i="5"/>
  <c r="I535" i="5"/>
  <c r="I536" i="5"/>
  <c r="I537" i="5"/>
  <c r="J538" i="5"/>
  <c r="I538" i="5"/>
  <c r="I539" i="5"/>
  <c r="I540" i="5"/>
  <c r="I541" i="5"/>
  <c r="I548" i="5"/>
  <c r="I549" i="5"/>
  <c r="I550" i="5"/>
  <c r="I551" i="5"/>
  <c r="I552" i="5"/>
  <c r="I553" i="5"/>
  <c r="I556" i="5"/>
  <c r="I558" i="5"/>
  <c r="I559" i="5"/>
  <c r="I562" i="5"/>
  <c r="I563" i="5"/>
  <c r="I565" i="5"/>
  <c r="I566" i="5"/>
  <c r="I567" i="5"/>
  <c r="I568" i="5"/>
  <c r="I569" i="5"/>
  <c r="I570" i="5"/>
  <c r="I571" i="5"/>
  <c r="I572" i="5"/>
  <c r="I573" i="5"/>
  <c r="I574" i="5"/>
  <c r="I575" i="5"/>
  <c r="I578" i="5"/>
  <c r="I579" i="5"/>
  <c r="I580" i="5"/>
  <c r="I581" i="5"/>
  <c r="I582" i="5"/>
  <c r="I583" i="5"/>
  <c r="I584" i="5"/>
  <c r="I585" i="5"/>
  <c r="I586" i="5"/>
  <c r="I588" i="5"/>
  <c r="I589" i="5"/>
  <c r="I590" i="5"/>
  <c r="I591" i="5"/>
  <c r="I592" i="5"/>
  <c r="I593" i="5"/>
  <c r="I594" i="5"/>
  <c r="I595" i="5"/>
  <c r="I596" i="5"/>
  <c r="I597" i="5"/>
  <c r="I599" i="5"/>
  <c r="I600" i="5"/>
  <c r="I608" i="5"/>
  <c r="I609" i="5"/>
  <c r="I610" i="5"/>
  <c r="I611" i="5"/>
  <c r="I612" i="5"/>
  <c r="I613" i="5"/>
  <c r="I618" i="5"/>
  <c r="I619" i="5"/>
  <c r="I620" i="5"/>
  <c r="I621" i="5"/>
  <c r="I622" i="5"/>
  <c r="I623" i="5"/>
  <c r="I624" i="5"/>
  <c r="I625" i="5"/>
  <c r="I626" i="5"/>
  <c r="I627" i="5"/>
  <c r="I628" i="5"/>
  <c r="I629" i="5"/>
  <c r="I630" i="5"/>
  <c r="I631" i="5"/>
  <c r="I632" i="5"/>
  <c r="I633" i="5"/>
  <c r="I634" i="5"/>
  <c r="I635" i="5"/>
  <c r="I636" i="5"/>
  <c r="I637" i="5"/>
  <c r="I641" i="5"/>
  <c r="I642" i="5"/>
  <c r="I643" i="5"/>
  <c r="I644" i="5"/>
  <c r="I645" i="5"/>
  <c r="I646" i="5"/>
  <c r="I652" i="5"/>
  <c r="I653" i="5"/>
  <c r="I654" i="5"/>
  <c r="I655" i="5"/>
  <c r="I656" i="5"/>
  <c r="I657" i="5"/>
  <c r="I658" i="5"/>
  <c r="I663" i="5"/>
  <c r="I664" i="5"/>
  <c r="I665" i="5"/>
  <c r="I668" i="5"/>
  <c r="I669" i="5"/>
  <c r="I670" i="5"/>
  <c r="I671" i="5"/>
  <c r="I672" i="5"/>
  <c r="I673" i="5"/>
  <c r="I674" i="5"/>
  <c r="I679" i="5"/>
  <c r="I680" i="5"/>
  <c r="I681" i="5"/>
  <c r="I682" i="5"/>
  <c r="I683" i="5"/>
  <c r="I684" i="5"/>
  <c r="I685" i="5"/>
  <c r="I686" i="5"/>
  <c r="I687" i="5"/>
  <c r="I694" i="5"/>
  <c r="I695" i="5"/>
  <c r="I696" i="5"/>
  <c r="J697" i="5"/>
  <c r="I697" i="5" s="1"/>
  <c r="I698" i="5"/>
  <c r="I699" i="5"/>
  <c r="I700" i="5"/>
  <c r="I701" i="5"/>
  <c r="I702" i="5"/>
  <c r="I703" i="5"/>
  <c r="I704" i="5"/>
  <c r="I705" i="5"/>
  <c r="I706" i="5"/>
  <c r="I707" i="5"/>
  <c r="I708" i="5"/>
  <c r="I709" i="5"/>
  <c r="I710" i="5"/>
  <c r="I711" i="5"/>
  <c r="I712" i="5"/>
  <c r="I714" i="5"/>
  <c r="I715" i="5"/>
  <c r="I716" i="5"/>
  <c r="I717" i="5"/>
  <c r="I718" i="5"/>
  <c r="J719" i="5"/>
  <c r="I719" i="5" s="1"/>
  <c r="J720" i="5"/>
  <c r="I720" i="5" s="1"/>
  <c r="J724" i="5"/>
  <c r="I724" i="5" s="1"/>
  <c r="J725" i="5"/>
  <c r="I725" i="5"/>
  <c r="I726" i="5"/>
  <c r="I727" i="5"/>
  <c r="I728" i="5"/>
  <c r="J729" i="5"/>
  <c r="I729" i="5" s="1"/>
  <c r="I730" i="5"/>
  <c r="I732" i="5"/>
  <c r="I733" i="5"/>
  <c r="I735" i="5"/>
  <c r="I736" i="5"/>
  <c r="I737" i="5"/>
  <c r="I738" i="5"/>
  <c r="I789" i="5"/>
  <c r="I790" i="5"/>
  <c r="I791" i="5"/>
  <c r="J792" i="5"/>
  <c r="I792" i="5" s="1"/>
  <c r="I793" i="5"/>
  <c r="I794" i="5"/>
  <c r="I795" i="5"/>
  <c r="I796" i="5"/>
  <c r="J797" i="5"/>
  <c r="I797" i="5"/>
  <c r="I798" i="5"/>
  <c r="I799" i="5"/>
  <c r="I800" i="5"/>
  <c r="J801" i="5"/>
  <c r="I801" i="5" s="1"/>
  <c r="I802" i="5"/>
  <c r="I803" i="5"/>
  <c r="I804" i="5"/>
  <c r="J805" i="5"/>
  <c r="I805" i="5" s="1"/>
  <c r="J806" i="5"/>
  <c r="I806" i="5"/>
  <c r="I807" i="5"/>
  <c r="I808" i="5"/>
  <c r="I809" i="5"/>
  <c r="J810" i="5"/>
  <c r="I810" i="5"/>
  <c r="J811" i="5"/>
  <c r="I811" i="5" s="1"/>
  <c r="I812" i="5"/>
  <c r="I813" i="5"/>
  <c r="J814" i="5"/>
  <c r="I814" i="5" s="1"/>
  <c r="I815" i="5"/>
  <c r="J816" i="5"/>
  <c r="I816" i="5" s="1"/>
  <c r="J817" i="5"/>
  <c r="I817" i="5"/>
  <c r="I818" i="5"/>
  <c r="I819" i="5"/>
  <c r="I820" i="5"/>
  <c r="I821" i="5"/>
  <c r="I822" i="5"/>
  <c r="I823" i="5"/>
  <c r="I824" i="5"/>
  <c r="I825" i="5"/>
  <c r="I826" i="5"/>
  <c r="I827" i="5"/>
  <c r="J828" i="5"/>
  <c r="I828" i="5" s="1"/>
  <c r="J829" i="5"/>
  <c r="I829" i="5" s="1"/>
  <c r="I830" i="5"/>
  <c r="I831" i="5"/>
  <c r="I832" i="5"/>
  <c r="J833" i="5"/>
  <c r="I833" i="5"/>
  <c r="I834" i="5"/>
  <c r="I835" i="5"/>
  <c r="J836" i="5"/>
  <c r="I836" i="5" s="1"/>
  <c r="I837" i="5"/>
  <c r="I838" i="5"/>
  <c r="J839" i="5"/>
  <c r="I839" i="5"/>
  <c r="I840" i="5"/>
  <c r="I841" i="5"/>
  <c r="I842" i="5"/>
  <c r="J843" i="5"/>
  <c r="I843" i="5"/>
  <c r="J844" i="5"/>
  <c r="I844" i="5" s="1"/>
  <c r="J845" i="5"/>
  <c r="I845" i="5" s="1"/>
  <c r="J854" i="5"/>
  <c r="I854" i="5" s="1"/>
  <c r="J855" i="5"/>
  <c r="I855" i="5"/>
  <c r="J856" i="5"/>
  <c r="I856" i="5" s="1"/>
  <c r="I857" i="5"/>
  <c r="J860" i="5"/>
  <c r="I860" i="5"/>
  <c r="I861" i="5"/>
  <c r="I862" i="5"/>
  <c r="J863" i="5"/>
  <c r="I863" i="5" s="1"/>
  <c r="J864" i="5"/>
  <c r="I864" i="5" s="1"/>
  <c r="I865" i="5"/>
  <c r="I866" i="5"/>
  <c r="I867" i="5"/>
  <c r="I868" i="5"/>
  <c r="I869" i="5"/>
  <c r="I870" i="5"/>
  <c r="J875" i="5"/>
  <c r="I875" i="5" s="1"/>
  <c r="I876" i="5"/>
  <c r="J877" i="5"/>
  <c r="I877" i="5" s="1"/>
  <c r="J878" i="5"/>
  <c r="I878" i="5"/>
  <c r="I879" i="5"/>
  <c r="I880" i="5"/>
  <c r="I881" i="5"/>
  <c r="I882" i="5"/>
  <c r="I883" i="5"/>
  <c r="I884" i="5"/>
  <c r="J886" i="5"/>
  <c r="I886" i="5"/>
  <c r="I887" i="5"/>
  <c r="J888" i="5"/>
  <c r="I888" i="5" s="1"/>
  <c r="J889" i="5"/>
  <c r="I889" i="5"/>
  <c r="I890" i="5"/>
  <c r="I891" i="5"/>
  <c r="J892" i="5"/>
  <c r="I892" i="5" s="1"/>
  <c r="J893" i="5"/>
  <c r="I893" i="5" s="1"/>
  <c r="I894" i="5"/>
  <c r="I896" i="5"/>
  <c r="I897" i="5"/>
  <c r="I898" i="5"/>
  <c r="I899" i="5"/>
  <c r="I900" i="5"/>
  <c r="I901" i="5"/>
  <c r="I902" i="5"/>
  <c r="I903" i="5"/>
  <c r="I904" i="5"/>
  <c r="I905" i="5"/>
  <c r="I906" i="5"/>
  <c r="J907" i="5"/>
  <c r="I907" i="5" s="1"/>
  <c r="I908" i="5"/>
  <c r="I909" i="5"/>
  <c r="I910" i="5"/>
  <c r="I911" i="5"/>
  <c r="I912" i="5"/>
  <c r="I913" i="5"/>
  <c r="I914" i="5"/>
  <c r="I915" i="5"/>
  <c r="I916" i="5"/>
  <c r="J917" i="5"/>
  <c r="I917" i="5"/>
  <c r="I918" i="5"/>
  <c r="I919" i="5"/>
  <c r="I920" i="5"/>
  <c r="I921" i="5"/>
  <c r="I922" i="5"/>
  <c r="I923" i="5"/>
  <c r="J924" i="5"/>
  <c r="I924" i="5"/>
  <c r="I925" i="5"/>
  <c r="I926" i="5"/>
  <c r="J927" i="5"/>
  <c r="I927" i="5"/>
  <c r="J928" i="5"/>
  <c r="I928" i="5" s="1"/>
  <c r="I929" i="5"/>
  <c r="J930" i="5"/>
  <c r="I930" i="5"/>
  <c r="I931" i="5"/>
  <c r="J932" i="5"/>
  <c r="I932" i="5"/>
  <c r="J933" i="5"/>
  <c r="I933" i="5" s="1"/>
  <c r="I934" i="5"/>
  <c r="I935" i="5"/>
  <c r="J936" i="5"/>
  <c r="I936" i="5" s="1"/>
  <c r="I937" i="5"/>
  <c r="J938" i="5"/>
  <c r="I938" i="5" s="1"/>
  <c r="I939" i="5"/>
  <c r="I940" i="5"/>
  <c r="J941" i="5"/>
  <c r="I941" i="5"/>
  <c r="J942" i="5"/>
  <c r="I942" i="5"/>
  <c r="J943" i="5"/>
  <c r="I943" i="5" s="1"/>
  <c r="J944" i="5"/>
  <c r="I944" i="5" s="1"/>
  <c r="I945" i="5"/>
  <c r="J946" i="5"/>
  <c r="I946" i="5" s="1"/>
  <c r="J947" i="5"/>
  <c r="I947" i="5"/>
  <c r="J948" i="5"/>
  <c r="I948" i="5" s="1"/>
  <c r="J949" i="5"/>
  <c r="I949" i="5"/>
  <c r="I950" i="5"/>
  <c r="I951" i="5"/>
  <c r="I952" i="5"/>
  <c r="I953" i="5"/>
  <c r="I954" i="5"/>
  <c r="I955" i="5"/>
  <c r="I956" i="5"/>
  <c r="I957" i="5"/>
  <c r="I958" i="5"/>
  <c r="J959" i="5"/>
  <c r="I959" i="5"/>
  <c r="J960" i="5"/>
  <c r="I960" i="5" s="1"/>
  <c r="I961" i="5"/>
  <c r="I962" i="5"/>
  <c r="I963" i="5"/>
  <c r="I964" i="5"/>
  <c r="I965" i="5"/>
  <c r="J966" i="5"/>
  <c r="I966" i="5"/>
  <c r="I967" i="5"/>
  <c r="I968" i="5"/>
  <c r="I969" i="5"/>
  <c r="I970" i="5"/>
  <c r="I971" i="5"/>
  <c r="I972" i="5"/>
  <c r="J973" i="5"/>
  <c r="I973" i="5"/>
  <c r="I974" i="5"/>
  <c r="J975" i="5"/>
  <c r="I975" i="5" s="1"/>
  <c r="I976" i="5"/>
  <c r="J977" i="5"/>
  <c r="I977" i="5" s="1"/>
  <c r="I978" i="5"/>
  <c r="I979" i="5"/>
  <c r="I980" i="5"/>
  <c r="I981" i="5"/>
  <c r="I982" i="5"/>
  <c r="I983" i="5"/>
  <c r="I984" i="5"/>
  <c r="J985" i="5"/>
  <c r="I985" i="5"/>
  <c r="I986" i="5"/>
  <c r="I987" i="5"/>
  <c r="I988" i="5"/>
  <c r="I990" i="5"/>
  <c r="J991" i="5"/>
  <c r="I991" i="5"/>
  <c r="J992" i="5"/>
  <c r="I992" i="5"/>
  <c r="I993" i="5"/>
  <c r="J994" i="5"/>
  <c r="I994" i="5" s="1"/>
  <c r="I995" i="5"/>
  <c r="J996" i="5"/>
  <c r="I996" i="5"/>
  <c r="I997" i="5"/>
  <c r="I998" i="5"/>
  <c r="I999" i="5"/>
  <c r="I1000" i="5"/>
  <c r="I1001" i="5"/>
  <c r="I1002" i="5"/>
  <c r="I1003" i="5"/>
  <c r="J1004" i="5"/>
  <c r="I1004" i="5" s="1"/>
  <c r="I1005" i="5"/>
  <c r="J1006" i="5"/>
  <c r="I1006" i="5" s="1"/>
  <c r="J1007" i="5"/>
  <c r="I1007" i="5" s="1"/>
  <c r="I1008" i="5"/>
  <c r="I1011" i="5"/>
  <c r="I1012" i="5"/>
  <c r="I1013" i="5"/>
  <c r="J1014" i="5"/>
  <c r="I1014" i="5" s="1"/>
  <c r="I1015" i="5"/>
  <c r="J1016" i="5"/>
  <c r="I1016" i="5"/>
  <c r="I1017" i="5"/>
  <c r="J1018" i="5"/>
  <c r="I1018" i="5"/>
  <c r="J1019" i="5"/>
  <c r="I1019" i="5" s="1"/>
  <c r="I1024" i="5"/>
  <c r="J1025" i="5"/>
  <c r="I1025" i="5"/>
  <c r="J1026" i="5"/>
  <c r="I1026" i="5" s="1"/>
  <c r="I1027" i="5"/>
  <c r="I1028" i="5"/>
  <c r="J1029" i="5"/>
  <c r="I1029" i="5" s="1"/>
  <c r="I1030" i="5"/>
  <c r="J1031" i="5"/>
  <c r="I1031" i="5"/>
  <c r="I1033" i="5"/>
  <c r="I1034" i="5"/>
  <c r="J1035" i="5"/>
  <c r="I1035" i="5" s="1"/>
  <c r="I1036" i="5"/>
  <c r="I1038" i="5"/>
  <c r="J1039" i="5"/>
  <c r="I1039" i="5"/>
  <c r="J1040" i="5"/>
  <c r="I1040" i="5"/>
  <c r="I1041" i="5"/>
  <c r="J1046" i="5"/>
  <c r="I1046" i="5" s="1"/>
  <c r="I1047" i="5"/>
  <c r="J1053" i="5"/>
  <c r="I1053" i="5"/>
  <c r="J1054" i="5"/>
  <c r="I1054" i="5"/>
  <c r="J1055" i="5"/>
  <c r="I1055" i="5" s="1"/>
  <c r="J1056" i="5"/>
  <c r="I1056" i="5" s="1"/>
  <c r="I1057" i="5"/>
  <c r="I1058" i="5"/>
  <c r="I1060" i="5"/>
  <c r="I1061" i="5"/>
  <c r="J1062" i="5"/>
  <c r="I1062" i="5" s="1"/>
  <c r="I1063" i="5"/>
  <c r="I1064" i="5"/>
  <c r="I1065" i="5"/>
  <c r="I1066" i="5"/>
  <c r="I1067" i="5"/>
  <c r="I1068" i="5"/>
  <c r="I1069" i="5"/>
  <c r="I1107" i="5"/>
  <c r="I1108" i="5"/>
  <c r="I1109" i="5"/>
  <c r="I1110" i="5"/>
  <c r="I1111" i="5"/>
  <c r="J1112" i="5"/>
  <c r="I1112" i="5"/>
  <c r="I1113" i="5"/>
  <c r="I1114" i="5"/>
  <c r="J1115" i="5"/>
  <c r="I1115" i="5" s="1"/>
  <c r="I1116" i="5"/>
  <c r="J1117" i="5"/>
  <c r="I1117" i="5" s="1"/>
  <c r="J1118" i="5"/>
  <c r="I1118" i="5"/>
  <c r="I1119" i="5"/>
  <c r="I1120" i="5"/>
  <c r="J1121" i="5"/>
  <c r="I1121" i="5"/>
  <c r="J1122" i="5"/>
  <c r="I1122" i="5" s="1"/>
  <c r="I1128" i="5"/>
  <c r="I1129" i="5"/>
  <c r="J1130" i="5"/>
  <c r="I1130" i="5" s="1"/>
  <c r="I1131" i="5"/>
  <c r="J1132" i="5"/>
  <c r="I1132" i="5"/>
  <c r="I1133" i="5"/>
  <c r="I1134" i="5"/>
  <c r="J1137" i="5"/>
  <c r="I1137" i="5" s="1"/>
  <c r="I1138" i="5"/>
  <c r="J1139" i="5"/>
  <c r="I1139" i="5"/>
  <c r="I1142" i="5"/>
  <c r="J1143" i="5"/>
  <c r="I1143" i="5"/>
  <c r="I1144" i="5"/>
  <c r="J1145" i="5"/>
  <c r="I1145" i="5" s="1"/>
  <c r="I1146" i="5"/>
  <c r="I1153" i="5"/>
  <c r="J1154" i="5"/>
  <c r="I1154" i="5" s="1"/>
  <c r="J1155" i="5"/>
  <c r="I1155" i="5"/>
  <c r="I1156" i="5"/>
  <c r="J1157" i="5"/>
  <c r="I1157" i="5"/>
  <c r="I1158" i="5"/>
  <c r="I1163" i="5"/>
  <c r="I1164" i="5"/>
  <c r="J1165" i="5"/>
  <c r="I1165" i="5"/>
  <c r="I1166" i="5"/>
  <c r="J1167" i="5"/>
  <c r="I1167" i="5"/>
  <c r="J1170" i="5"/>
  <c r="I1170" i="5"/>
  <c r="J1171" i="5"/>
  <c r="I1171" i="5"/>
  <c r="I1172" i="5"/>
  <c r="I1173" i="5"/>
  <c r="J1177" i="5"/>
  <c r="I1177" i="5"/>
  <c r="I1178" i="5"/>
  <c r="J1179" i="5"/>
  <c r="I1179" i="5" s="1"/>
  <c r="I1180" i="5"/>
  <c r="I1181" i="5"/>
  <c r="I1182" i="5"/>
  <c r="J1183" i="5"/>
  <c r="I1183" i="5"/>
  <c r="I1184" i="5"/>
  <c r="J1185" i="5"/>
  <c r="I1185" i="5" s="1"/>
  <c r="J1187" i="5"/>
  <c r="I1187" i="5"/>
  <c r="I1199" i="5"/>
  <c r="I1200" i="5"/>
  <c r="I1201" i="5"/>
  <c r="J1202" i="5"/>
  <c r="I1202" i="5"/>
  <c r="I1203" i="5"/>
  <c r="I1204" i="5"/>
  <c r="I1205" i="5"/>
  <c r="I1206" i="5"/>
  <c r="I1207" i="5"/>
  <c r="J1208" i="5"/>
  <c r="I1208" i="5"/>
  <c r="J1209" i="5"/>
  <c r="I1209" i="5" s="1"/>
  <c r="I1211" i="5"/>
  <c r="I1212" i="5"/>
  <c r="J1213" i="5"/>
  <c r="I1213" i="5" s="1"/>
  <c r="J1214" i="5"/>
  <c r="I1214" i="5"/>
  <c r="I1215" i="5"/>
  <c r="J1216" i="5"/>
  <c r="I1216" i="5"/>
  <c r="I1217" i="5"/>
  <c r="I1218" i="5"/>
  <c r="J1219" i="5"/>
  <c r="I1219" i="5"/>
  <c r="I1220" i="5"/>
  <c r="I1224" i="5"/>
  <c r="J1225" i="5"/>
  <c r="I1225" i="5"/>
  <c r="J1226" i="5"/>
  <c r="I1226" i="5" s="1"/>
  <c r="J1227" i="5"/>
  <c r="I1227" i="5"/>
  <c r="I1228" i="5"/>
  <c r="J1229" i="5"/>
  <c r="I1229" i="5" s="1"/>
  <c r="I1230" i="5"/>
  <c r="J1231" i="5"/>
  <c r="I1231" i="5" s="1"/>
  <c r="I1232" i="5"/>
  <c r="J1233" i="5"/>
  <c r="I1233" i="5"/>
  <c r="I1234" i="5"/>
  <c r="I1235" i="5"/>
  <c r="I1238" i="5"/>
  <c r="I1239" i="5"/>
  <c r="I1240" i="5"/>
  <c r="I1242" i="5"/>
  <c r="J1243" i="5"/>
  <c r="I1243" i="5"/>
  <c r="J1244" i="5"/>
  <c r="I1244" i="5" s="1"/>
  <c r="I1250" i="5"/>
  <c r="J1251" i="5"/>
  <c r="I1251" i="5" s="1"/>
  <c r="I1252" i="5"/>
  <c r="J1253" i="5"/>
  <c r="I1253" i="5"/>
  <c r="J1254" i="5"/>
  <c r="I1254" i="5" s="1"/>
  <c r="J1256" i="5"/>
  <c r="I1256" i="5"/>
  <c r="J1257" i="5"/>
  <c r="I1257" i="5"/>
  <c r="I1258" i="5"/>
  <c r="J1259" i="5"/>
  <c r="I1259" i="5"/>
  <c r="I1260" i="5"/>
  <c r="J1263" i="5"/>
  <c r="I1263" i="5"/>
  <c r="J1264" i="5"/>
  <c r="I1264" i="5"/>
  <c r="J1265" i="5"/>
  <c r="I1265" i="5"/>
  <c r="I1266" i="5"/>
  <c r="I1267" i="5"/>
  <c r="I1268" i="5"/>
  <c r="J1269" i="5"/>
  <c r="I1269" i="5" s="1"/>
  <c r="I1278" i="5"/>
  <c r="I1279" i="5"/>
  <c r="I1280" i="5"/>
  <c r="J1283" i="5"/>
  <c r="I1283" i="5" s="1"/>
  <c r="I1284" i="5"/>
  <c r="I1285" i="5"/>
  <c r="I1286" i="5"/>
  <c r="I1287" i="5"/>
  <c r="J1288" i="5"/>
  <c r="I1288" i="5"/>
  <c r="J1289" i="5"/>
  <c r="I1289" i="5" s="1"/>
  <c r="I1290" i="5"/>
  <c r="I1291" i="5"/>
  <c r="I1295" i="5"/>
  <c r="J1296" i="5"/>
  <c r="I1296" i="5"/>
  <c r="I1297" i="5"/>
  <c r="I1298" i="5"/>
  <c r="I1299" i="5"/>
  <c r="I1302" i="5"/>
  <c r="I1303" i="5"/>
  <c r="J1304" i="5"/>
  <c r="I1304" i="5" s="1"/>
  <c r="K1304" i="5"/>
  <c r="I1305" i="5"/>
  <c r="J1306" i="5"/>
  <c r="I1306" i="5" s="1"/>
  <c r="I1307" i="5"/>
  <c r="I1308" i="5"/>
  <c r="J1309" i="5"/>
  <c r="I1309" i="5"/>
  <c r="I1317" i="5"/>
  <c r="J1318" i="5"/>
  <c r="I1318" i="5"/>
  <c r="I1319" i="5"/>
  <c r="I1320" i="5"/>
  <c r="J1321" i="5"/>
  <c r="I1321" i="5" s="1"/>
  <c r="J1322" i="5"/>
  <c r="I1322" i="5"/>
  <c r="J1323" i="5"/>
  <c r="I1323" i="5"/>
  <c r="I1324" i="5"/>
  <c r="I1325" i="5"/>
  <c r="I1326" i="5"/>
  <c r="I1327" i="5"/>
  <c r="I1328" i="5"/>
  <c r="I1329" i="5"/>
  <c r="I1330" i="5"/>
  <c r="J1331" i="5"/>
  <c r="I1331" i="5" s="1"/>
  <c r="I1332" i="5"/>
  <c r="I1333" i="5"/>
  <c r="I1334" i="5"/>
  <c r="I1335" i="5"/>
  <c r="I1336" i="5"/>
  <c r="I1337" i="5"/>
  <c r="I1338" i="5"/>
  <c r="I1339" i="5"/>
  <c r="I1340" i="5"/>
  <c r="J1341" i="5"/>
  <c r="I1341" i="5" s="1"/>
  <c r="I1342" i="5"/>
  <c r="J1343" i="5"/>
  <c r="I1343" i="5"/>
  <c r="I1344" i="5"/>
  <c r="J1346" i="5"/>
  <c r="I1346" i="5" s="1"/>
  <c r="J1347" i="5"/>
  <c r="I1347" i="5" s="1"/>
  <c r="J1348" i="5"/>
  <c r="I1348" i="5" s="1"/>
  <c r="I1349" i="5"/>
  <c r="J1350" i="5"/>
  <c r="I1350" i="5" s="1"/>
  <c r="J1351" i="5"/>
  <c r="I1351" i="5"/>
  <c r="I1352" i="5"/>
  <c r="J1353" i="5"/>
  <c r="I1353" i="5" s="1"/>
  <c r="I1354" i="5"/>
  <c r="I1355" i="5"/>
  <c r="I1356" i="5"/>
  <c r="I1357" i="5"/>
  <c r="I1358" i="5"/>
  <c r="I1359" i="5"/>
  <c r="J1360" i="5"/>
  <c r="I1360" i="5" s="1"/>
  <c r="I1361" i="5"/>
  <c r="J1362" i="5"/>
  <c r="I1362" i="5" s="1"/>
  <c r="J1363" i="5"/>
  <c r="I1363" i="5"/>
  <c r="J1364" i="5"/>
  <c r="I1364" i="5"/>
  <c r="I1365" i="5"/>
  <c r="I1366" i="5"/>
  <c r="I1367" i="5"/>
  <c r="I1368" i="5"/>
  <c r="I1369" i="5"/>
  <c r="I1370" i="5"/>
  <c r="I1371" i="5"/>
  <c r="I1372" i="5"/>
  <c r="I1373" i="5"/>
  <c r="J1374" i="5"/>
  <c r="I1374" i="5"/>
  <c r="I1375" i="5"/>
  <c r="I1376" i="5"/>
  <c r="J1377" i="5"/>
  <c r="I1377" i="5" s="1"/>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J1408" i="5"/>
  <c r="I1408" i="5" s="1"/>
  <c r="I1409" i="5"/>
  <c r="I1410" i="5"/>
  <c r="I1411" i="5"/>
  <c r="I1412" i="5"/>
  <c r="I1414" i="5"/>
  <c r="I1415" i="5"/>
  <c r="I1416" i="5"/>
  <c r="I1417" i="5"/>
  <c r="I1418" i="5"/>
  <c r="I1419" i="5"/>
  <c r="I1420" i="5"/>
  <c r="I1421" i="5"/>
  <c r="I1422"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9" i="5"/>
  <c r="I1590" i="5"/>
  <c r="I1591" i="5"/>
  <c r="I1592" i="5"/>
  <c r="I1593" i="5"/>
  <c r="I1594" i="5"/>
  <c r="I1595" i="5"/>
  <c r="I1596" i="5"/>
  <c r="I1597" i="5"/>
  <c r="I1598" i="5"/>
  <c r="I1599" i="5"/>
  <c r="I1600" i="5"/>
  <c r="I1601" i="5"/>
  <c r="J1602"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30" i="5"/>
  <c r="I1631" i="5"/>
  <c r="I1632" i="5"/>
  <c r="I1633" i="5"/>
  <c r="I1634" i="5"/>
  <c r="I1635" i="5"/>
  <c r="I1636" i="5"/>
  <c r="J1638" i="5"/>
  <c r="I1638" i="5" s="1"/>
  <c r="I1639" i="5"/>
  <c r="I1640" i="5"/>
  <c r="J1641" i="5"/>
  <c r="I1641" i="5" s="1"/>
  <c r="I1642" i="5"/>
  <c r="I1643" i="5"/>
  <c r="I1644" i="5"/>
  <c r="J1645" i="5"/>
  <c r="I1645" i="5" s="1"/>
  <c r="J1646" i="5"/>
  <c r="I1646" i="5" s="1"/>
  <c r="I1647" i="5"/>
  <c r="I1648" i="5"/>
  <c r="J1649" i="5"/>
  <c r="I1649" i="5" s="1"/>
  <c r="I1650" i="5"/>
  <c r="I1651" i="5"/>
  <c r="J1652" i="5"/>
  <c r="I1652" i="5" s="1"/>
  <c r="I1653" i="5"/>
  <c r="I1654" i="5"/>
  <c r="I1655" i="5"/>
  <c r="J1656" i="5"/>
  <c r="I1656" i="5" s="1"/>
  <c r="J1657" i="5"/>
  <c r="I1657" i="5"/>
  <c r="I1658" i="5"/>
  <c r="I1659" i="5"/>
  <c r="I1660" i="5"/>
  <c r="I1661" i="5"/>
  <c r="J1662" i="5"/>
  <c r="I1662" i="5"/>
  <c r="I1663" i="5"/>
  <c r="I1664" i="5"/>
  <c r="I1665" i="5"/>
  <c r="I1666" i="5"/>
  <c r="I1667" i="5"/>
  <c r="I1668" i="5"/>
  <c r="J1669" i="5"/>
  <c r="I1669" i="5"/>
  <c r="J1670" i="5"/>
  <c r="I1670" i="5"/>
  <c r="J1671" i="5"/>
  <c r="I1671" i="5" s="1"/>
  <c r="I1672" i="5"/>
  <c r="I1673" i="5"/>
  <c r="I1674" i="5"/>
  <c r="I1675" i="5"/>
  <c r="I1676" i="5"/>
  <c r="I1677" i="5"/>
  <c r="I1678" i="5"/>
  <c r="J1679" i="5"/>
  <c r="I1679" i="5"/>
  <c r="I1680" i="5"/>
  <c r="I1681" i="5"/>
  <c r="I1682" i="5"/>
  <c r="I1683" i="5"/>
  <c r="I1684" i="5"/>
  <c r="I1685" i="5"/>
  <c r="I1686" i="5"/>
  <c r="I1687" i="5"/>
  <c r="J1688" i="5"/>
  <c r="I1688" i="5" s="1"/>
  <c r="J1689" i="5"/>
  <c r="I1689" i="5" s="1"/>
  <c r="J1690" i="5"/>
  <c r="I1690" i="5" s="1"/>
  <c r="J1691" i="5"/>
  <c r="I1691" i="5"/>
  <c r="I1692" i="5"/>
  <c r="I1693" i="5"/>
  <c r="I1694" i="5"/>
  <c r="J1695" i="5"/>
  <c r="I1695" i="5"/>
  <c r="I1696" i="5"/>
  <c r="I1697" i="5"/>
  <c r="I1698" i="5"/>
  <c r="I1699" i="5"/>
  <c r="J1700" i="5"/>
  <c r="I1700" i="5"/>
  <c r="I1701" i="5"/>
  <c r="I1702" i="5"/>
  <c r="J1703" i="5"/>
  <c r="I1703" i="5" s="1"/>
  <c r="J1705" i="5"/>
  <c r="I1705" i="5" s="1"/>
  <c r="J1706" i="5"/>
  <c r="I1706" i="5"/>
  <c r="J1707" i="5"/>
  <c r="I1707" i="5"/>
  <c r="I1708" i="5"/>
  <c r="I1709" i="5"/>
  <c r="I1710" i="5"/>
  <c r="J1711" i="5"/>
  <c r="I1711" i="5" s="1"/>
  <c r="J1712" i="5"/>
  <c r="I1712" i="5" s="1"/>
  <c r="J1713" i="5"/>
  <c r="I1713" i="5" s="1"/>
  <c r="I1714" i="5"/>
  <c r="I1715" i="5"/>
  <c r="J1716" i="5"/>
  <c r="I1716" i="5" s="1"/>
  <c r="I1717" i="5"/>
  <c r="I1718" i="5"/>
  <c r="J1719" i="5"/>
  <c r="I1719" i="5" s="1"/>
  <c r="J1720" i="5"/>
  <c r="I1720" i="5"/>
  <c r="I1721" i="5"/>
  <c r="J1722" i="5"/>
  <c r="I1722" i="5"/>
  <c r="I1723" i="5"/>
  <c r="I1724" i="5"/>
  <c r="I1725" i="5"/>
  <c r="I1726" i="5"/>
  <c r="I1727" i="5"/>
  <c r="J1728" i="5"/>
  <c r="I1728" i="5" s="1"/>
  <c r="J1729" i="5"/>
  <c r="I1729" i="5" s="1"/>
  <c r="I1730" i="5"/>
  <c r="I1731" i="5"/>
  <c r="I1732" i="5"/>
  <c r="I1733" i="5"/>
  <c r="J1734" i="5"/>
  <c r="I1734" i="5" s="1"/>
  <c r="J1735" i="5"/>
  <c r="I1735" i="5" s="1"/>
  <c r="J1736" i="5"/>
  <c r="I1736" i="5" s="1"/>
  <c r="I1737" i="5"/>
  <c r="I1738" i="5"/>
  <c r="I1739" i="5"/>
  <c r="I1740" i="5"/>
  <c r="I1742" i="5"/>
  <c r="J1743" i="5"/>
  <c r="I1743" i="5"/>
  <c r="J1744" i="5"/>
  <c r="I1744" i="5" s="1"/>
  <c r="J1745" i="5"/>
  <c r="I1745" i="5" s="1"/>
  <c r="I1746" i="5"/>
  <c r="J1747" i="5"/>
  <c r="I1747" i="5" s="1"/>
  <c r="J1748" i="5"/>
  <c r="I1748" i="5" s="1"/>
  <c r="I1749" i="5"/>
  <c r="J1750" i="5"/>
  <c r="I1750" i="5" s="1"/>
  <c r="J1751" i="5"/>
  <c r="I1751" i="5"/>
  <c r="J1752" i="5"/>
  <c r="I1752" i="5"/>
  <c r="J1753" i="5"/>
  <c r="I1753" i="5" s="1"/>
  <c r="I1754" i="5"/>
  <c r="I1755" i="5"/>
  <c r="I1756" i="5"/>
  <c r="J1757" i="5"/>
  <c r="I1757" i="5" s="1"/>
  <c r="I1758" i="5"/>
  <c r="I1759" i="5"/>
  <c r="I1760" i="5"/>
  <c r="J1761" i="5"/>
  <c r="I1761" i="5" s="1"/>
  <c r="J1762" i="5"/>
  <c r="I1762" i="5"/>
  <c r="I1763" i="5"/>
  <c r="I1764" i="5"/>
  <c r="J1765" i="5"/>
  <c r="I1765" i="5" s="1"/>
  <c r="J1766" i="5"/>
  <c r="I1766" i="5" s="1"/>
  <c r="J1767" i="5"/>
  <c r="I1767" i="5"/>
  <c r="J1768" i="5"/>
  <c r="I1768" i="5"/>
  <c r="J1769" i="5"/>
  <c r="I1769" i="5" s="1"/>
  <c r="I1770" i="5"/>
  <c r="J1771" i="5"/>
  <c r="I1771" i="5"/>
  <c r="I1772" i="5"/>
  <c r="I1773" i="5"/>
  <c r="I1774" i="5"/>
  <c r="J1775" i="5"/>
  <c r="I1775" i="5" s="1"/>
  <c r="I1776" i="5"/>
  <c r="J1777" i="5"/>
  <c r="I1777" i="5"/>
  <c r="J1778" i="5"/>
  <c r="I1778" i="5" s="1"/>
  <c r="I1779" i="5"/>
  <c r="I1780" i="5"/>
  <c r="J1781" i="5"/>
  <c r="I1781" i="5"/>
  <c r="I1782" i="5"/>
  <c r="I1783" i="5"/>
  <c r="J1784" i="5"/>
  <c r="I1784" i="5" s="1"/>
  <c r="I1785" i="5"/>
  <c r="I1786" i="5"/>
  <c r="I1787" i="5"/>
  <c r="I1788" i="5"/>
  <c r="I1789" i="5"/>
  <c r="I1790" i="5"/>
  <c r="I1791" i="5"/>
  <c r="I1792" i="5"/>
  <c r="I1793" i="5"/>
  <c r="I1794" i="5"/>
  <c r="I1795" i="5"/>
  <c r="I1796" i="5"/>
  <c r="J1797" i="5"/>
  <c r="I1797" i="5"/>
  <c r="J1798" i="5"/>
  <c r="I1798" i="5" s="1"/>
  <c r="I1799" i="5"/>
  <c r="I1800" i="5"/>
  <c r="I1801" i="5"/>
  <c r="J1802" i="5"/>
  <c r="I1802" i="5" s="1"/>
  <c r="J1804" i="5"/>
  <c r="I1804" i="5"/>
  <c r="I1805" i="5"/>
  <c r="I1806" i="5"/>
  <c r="J1807" i="5"/>
  <c r="I1807" i="5" s="1"/>
  <c r="I1808" i="5"/>
  <c r="J1809" i="5"/>
  <c r="I1809" i="5"/>
  <c r="I1810" i="5"/>
  <c r="J1811" i="5"/>
  <c r="I1811" i="5"/>
  <c r="J1812" i="5"/>
  <c r="I1812" i="5" s="1"/>
  <c r="I1813" i="5"/>
  <c r="I1814" i="5"/>
  <c r="J1815" i="5"/>
  <c r="I1815" i="5"/>
  <c r="I1816" i="5"/>
  <c r="I1817" i="5"/>
  <c r="I1818" i="5"/>
  <c r="I1819" i="5"/>
  <c r="I1820" i="5"/>
  <c r="I1821" i="5"/>
  <c r="I1822" i="5"/>
  <c r="I1823" i="5"/>
  <c r="I1824" i="5"/>
  <c r="I1825" i="5"/>
  <c r="I1826" i="5"/>
  <c r="I1827" i="5"/>
  <c r="I1828" i="5"/>
  <c r="I1829" i="5"/>
  <c r="I1831" i="5"/>
  <c r="I1832" i="5"/>
  <c r="I1833" i="5"/>
  <c r="I1834" i="5"/>
  <c r="I1835" i="5"/>
  <c r="I1836" i="5"/>
  <c r="I1837" i="5"/>
  <c r="I1838" i="5"/>
  <c r="I1839" i="5"/>
  <c r="I1840" i="5"/>
  <c r="I1841" i="5"/>
  <c r="I1842" i="5"/>
  <c r="I1844" i="5"/>
  <c r="I1845" i="5"/>
  <c r="I1846" i="5"/>
  <c r="I1847" i="5"/>
  <c r="I1848" i="5"/>
  <c r="I1849" i="5"/>
  <c r="I1850" i="5"/>
  <c r="I1851" i="5"/>
  <c r="I1852" i="5"/>
  <c r="I1853" i="5"/>
  <c r="I1854" i="5"/>
  <c r="I1855" i="5"/>
  <c r="I1856" i="5"/>
  <c r="I1857" i="5"/>
  <c r="I1858" i="5"/>
  <c r="I1862" i="5"/>
  <c r="I1863" i="5"/>
  <c r="I1864" i="5"/>
  <c r="I1865" i="5"/>
  <c r="J1866" i="5"/>
  <c r="I1866" i="5"/>
  <c r="I1867" i="5"/>
  <c r="I1868" i="5"/>
  <c r="I1869" i="5"/>
  <c r="I1870" i="5"/>
  <c r="I1871" i="5"/>
  <c r="I1872" i="5"/>
  <c r="I1873" i="5"/>
  <c r="I1874" i="5"/>
  <c r="I1875" i="5"/>
  <c r="I1876" i="5"/>
  <c r="I1877" i="5"/>
  <c r="I1878" i="5"/>
  <c r="I1879" i="5"/>
  <c r="I1880" i="5"/>
  <c r="J1881" i="5"/>
  <c r="I1881" i="5"/>
  <c r="I1888" i="5"/>
  <c r="I1889" i="5"/>
  <c r="I1890" i="5"/>
  <c r="I1891" i="5"/>
  <c r="I1892" i="5"/>
  <c r="I1893" i="5"/>
  <c r="I1894" i="5"/>
  <c r="I1895" i="5"/>
  <c r="J1896" i="5"/>
  <c r="I1896" i="5" s="1"/>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4" i="5"/>
  <c r="I1925" i="5"/>
  <c r="I1926" i="5"/>
  <c r="I1927" i="5"/>
  <c r="I1928" i="5"/>
  <c r="I1929" i="5"/>
  <c r="I1930" i="5"/>
  <c r="I1931" i="5"/>
  <c r="N1932" i="5"/>
  <c r="I1933" i="5"/>
  <c r="I1934" i="5"/>
  <c r="I1936" i="5"/>
  <c r="I1937" i="5"/>
  <c r="I1938" i="5"/>
  <c r="I1939" i="5"/>
  <c r="I1941" i="5"/>
  <c r="I1942" i="5"/>
  <c r="J1943" i="5"/>
  <c r="I1943" i="5" s="1"/>
  <c r="I1944" i="5"/>
  <c r="I1945" i="5"/>
  <c r="I1946" i="5"/>
  <c r="I1947" i="5"/>
  <c r="I1948" i="5"/>
  <c r="I1949" i="5"/>
  <c r="I1950" i="5"/>
  <c r="I1951" i="5"/>
  <c r="I1952" i="5"/>
  <c r="I1958" i="5"/>
  <c r="I1959" i="5"/>
  <c r="I1960" i="5"/>
  <c r="I1961" i="5"/>
  <c r="I1962" i="5"/>
  <c r="I1963"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9" i="5"/>
  <c r="I2000" i="5"/>
  <c r="I2001" i="5"/>
  <c r="I2002" i="5"/>
  <c r="I2003" i="5"/>
  <c r="I2004" i="5"/>
  <c r="I2005" i="5"/>
  <c r="I2014" i="5"/>
  <c r="I2015" i="5"/>
  <c r="I2016" i="5"/>
  <c r="I2017" i="5"/>
  <c r="I2018" i="5"/>
  <c r="I2019" i="5"/>
  <c r="I2020" i="5"/>
  <c r="I2021" i="5"/>
  <c r="I2022" i="5"/>
  <c r="I2023" i="5"/>
  <c r="I2024" i="5"/>
  <c r="I2025" i="5"/>
  <c r="I2026" i="5"/>
  <c r="I2027" i="5"/>
  <c r="I2028" i="5"/>
  <c r="I2029" i="5"/>
  <c r="I2030" i="5"/>
  <c r="I2031" i="5"/>
  <c r="I2032" i="5"/>
  <c r="I2035" i="5"/>
  <c r="I2036" i="5"/>
  <c r="I2037" i="5"/>
  <c r="I2038" i="5"/>
  <c r="I2039" i="5"/>
  <c r="I2040" i="5"/>
  <c r="I2041" i="5"/>
  <c r="I2042" i="5"/>
  <c r="I2043" i="5"/>
  <c r="J2044" i="5"/>
  <c r="I2044" i="5" s="1"/>
  <c r="I2045" i="5"/>
  <c r="I2046" i="5"/>
  <c r="I2048" i="5"/>
  <c r="I2049" i="5"/>
  <c r="I2051" i="5"/>
  <c r="M2051" i="5"/>
  <c r="I2052" i="5"/>
  <c r="I2053" i="5"/>
  <c r="I2054" i="5"/>
  <c r="I2055" i="5"/>
  <c r="I2056" i="5"/>
  <c r="I2057" i="5"/>
  <c r="N2057" i="5"/>
  <c r="I2059" i="5"/>
  <c r="J2060" i="5"/>
  <c r="I2060" i="5" s="1"/>
  <c r="J2062" i="5"/>
  <c r="I2062" i="5" s="1"/>
  <c r="J2063" i="5"/>
  <c r="I2063" i="5"/>
  <c r="J2064" i="5"/>
  <c r="I2064" i="5"/>
  <c r="I2065" i="5"/>
  <c r="J2074" i="5"/>
  <c r="I2074" i="5"/>
  <c r="I2075" i="5"/>
  <c r="J2076" i="5"/>
  <c r="I2076" i="5"/>
  <c r="I2077" i="5"/>
  <c r="N2077" i="5"/>
  <c r="O2077" i="5" s="1"/>
  <c r="J2078" i="5"/>
  <c r="I2078" i="5"/>
  <c r="I2079" i="5"/>
  <c r="J2080" i="5"/>
  <c r="I2080" i="5"/>
  <c r="J2081" i="5"/>
  <c r="I2081" i="5"/>
  <c r="I2082" i="5"/>
  <c r="J2083" i="5"/>
  <c r="I2083" i="5"/>
  <c r="J2084" i="5"/>
  <c r="I2084" i="5" s="1"/>
  <c r="J2085" i="5"/>
  <c r="I2085" i="5" s="1"/>
  <c r="J2086" i="5"/>
  <c r="I2086" i="5" s="1"/>
  <c r="I2087" i="5"/>
  <c r="M2087" i="5"/>
  <c r="N2087" i="5" s="1"/>
  <c r="I2088" i="5"/>
  <c r="I2089" i="5"/>
  <c r="J2102" i="5"/>
  <c r="I2102" i="5"/>
  <c r="I2103" i="5"/>
  <c r="I2104" i="5"/>
  <c r="M2104" i="5"/>
  <c r="N2104" i="5" s="1"/>
  <c r="J2105" i="5"/>
  <c r="I2105" i="5"/>
  <c r="J2106" i="5"/>
  <c r="I2106" i="5"/>
  <c r="J2107" i="5"/>
  <c r="I2107" i="5" s="1"/>
  <c r="J2108" i="5"/>
  <c r="I2108" i="5" s="1"/>
  <c r="I2109" i="5"/>
  <c r="I2110" i="5"/>
  <c r="M2110" i="5"/>
  <c r="N2110" i="5"/>
  <c r="I2111" i="5"/>
  <c r="J2112" i="5"/>
  <c r="I2112" i="5"/>
  <c r="I2113" i="5"/>
  <c r="M2113" i="5"/>
  <c r="N2113" i="5"/>
  <c r="I2114" i="5"/>
  <c r="O2114" i="5"/>
  <c r="P2114" i="5" s="1"/>
  <c r="I2115" i="5"/>
  <c r="J2116" i="5"/>
  <c r="I2116" i="5" s="1"/>
  <c r="I2117" i="5"/>
  <c r="I2118" i="5"/>
  <c r="J2119" i="5"/>
  <c r="I2119" i="5"/>
  <c r="I2120" i="5"/>
  <c r="I2121" i="5"/>
  <c r="I2122" i="5"/>
  <c r="M2122" i="5"/>
  <c r="N2122" i="5" s="1"/>
  <c r="I2123" i="5"/>
  <c r="M2123" i="5"/>
  <c r="J2124" i="5"/>
  <c r="I2124" i="5" s="1"/>
  <c r="I2125" i="5"/>
  <c r="M2125" i="5"/>
  <c r="I2126" i="5"/>
  <c r="J2127" i="5"/>
  <c r="I2127" i="5"/>
  <c r="J2128" i="5"/>
  <c r="I2128" i="5"/>
  <c r="J2129" i="5"/>
  <c r="I2129" i="5" s="1"/>
  <c r="I2130" i="5"/>
  <c r="J2131" i="5"/>
  <c r="I2131" i="5" s="1"/>
  <c r="J2132" i="5"/>
  <c r="I2132" i="5" s="1"/>
  <c r="J2133" i="5"/>
  <c r="I2133" i="5" s="1"/>
  <c r="I2134" i="5"/>
  <c r="I2135" i="5"/>
  <c r="J2140" i="5"/>
  <c r="I2140" i="5" s="1"/>
  <c r="J2141" i="5"/>
  <c r="I2141" i="5" s="1"/>
  <c r="J2142" i="5"/>
  <c r="I2142" i="5" s="1"/>
  <c r="I2143" i="5"/>
  <c r="M2143" i="5"/>
  <c r="I2144" i="5"/>
  <c r="M2144" i="5"/>
  <c r="I2145" i="5"/>
  <c r="M2145" i="5"/>
  <c r="I2146" i="5"/>
  <c r="M2146" i="5"/>
  <c r="I2149" i="5"/>
  <c r="I2150" i="5"/>
  <c r="I2151" i="5"/>
  <c r="J2152" i="5"/>
  <c r="I2152" i="5"/>
  <c r="I2153" i="5"/>
  <c r="J2154" i="5"/>
  <c r="I2154" i="5" s="1"/>
  <c r="I2155" i="5"/>
  <c r="J2159" i="5"/>
  <c r="I2159" i="5" s="1"/>
  <c r="J2160" i="5"/>
  <c r="I2160" i="5"/>
  <c r="J2164" i="5"/>
  <c r="I2164" i="5"/>
  <c r="I2165" i="5"/>
  <c r="J2166" i="5"/>
  <c r="I2166" i="5"/>
  <c r="I2167" i="5"/>
  <c r="I2168" i="5"/>
  <c r="J2169" i="5"/>
  <c r="I2169" i="5" s="1"/>
  <c r="I2170" i="5"/>
  <c r="I2171" i="5"/>
  <c r="I2172" i="5"/>
  <c r="I2173" i="5"/>
  <c r="J2174" i="5"/>
  <c r="I2174" i="5" s="1"/>
  <c r="I2175" i="5"/>
  <c r="J2176" i="5"/>
  <c r="I2176" i="5"/>
  <c r="I2177" i="5"/>
  <c r="J2178" i="5"/>
  <c r="I2178" i="5"/>
  <c r="I2191" i="5"/>
  <c r="I2192" i="5"/>
  <c r="I2193" i="5"/>
  <c r="J2194" i="5"/>
  <c r="I2194" i="5"/>
  <c r="J2195" i="5"/>
  <c r="I2195" i="5" s="1"/>
  <c r="I2196" i="5"/>
  <c r="I2197" i="5"/>
  <c r="I2198" i="5"/>
  <c r="I2199" i="5"/>
  <c r="J2200" i="5"/>
  <c r="I2200" i="5"/>
  <c r="I2201" i="5"/>
  <c r="J2202" i="5"/>
  <c r="I2202" i="5"/>
  <c r="I2203" i="5"/>
  <c r="I2204" i="5"/>
  <c r="I2205" i="5"/>
  <c r="I2206" i="5"/>
  <c r="I2207" i="5"/>
  <c r="I2208" i="5"/>
  <c r="J2209" i="5"/>
  <c r="I2209" i="5"/>
  <c r="I2210" i="5"/>
  <c r="I2211" i="5"/>
  <c r="I2212" i="5"/>
  <c r="I2213" i="5"/>
  <c r="I2214" i="5"/>
  <c r="I2215" i="5"/>
  <c r="I2216" i="5"/>
  <c r="I2217" i="5"/>
  <c r="I2218" i="5"/>
  <c r="I2219" i="5"/>
  <c r="I2220" i="5"/>
  <c r="J2221" i="5"/>
  <c r="I2221" i="5"/>
  <c r="J2222" i="5"/>
  <c r="I2222" i="5" s="1"/>
  <c r="J2223" i="5"/>
  <c r="I2223" i="5" s="1"/>
  <c r="I2224" i="5"/>
  <c r="J2225" i="5"/>
  <c r="I2225" i="5" s="1"/>
  <c r="I2226" i="5"/>
  <c r="I2227" i="5"/>
  <c r="I2228" i="5"/>
  <c r="J2229" i="5"/>
  <c r="I2229" i="5" s="1"/>
  <c r="J2230" i="5"/>
  <c r="I2230" i="5"/>
  <c r="J2231" i="5"/>
  <c r="I2231" i="5"/>
  <c r="J2232" i="5"/>
  <c r="I2232" i="5" s="1"/>
  <c r="I2233" i="5"/>
  <c r="J2234" i="5"/>
  <c r="I2234" i="5" s="1"/>
  <c r="I2235" i="5"/>
  <c r="I2236" i="5"/>
  <c r="I2237" i="5"/>
  <c r="J2238" i="5"/>
  <c r="I2238" i="5" s="1"/>
  <c r="I2239" i="5"/>
  <c r="J2240" i="5"/>
  <c r="I2240" i="5" s="1"/>
  <c r="J2241" i="5"/>
  <c r="I2241" i="5" s="1"/>
  <c r="I2242" i="5"/>
  <c r="I2243" i="5"/>
  <c r="I2244" i="5"/>
  <c r="I2245" i="5"/>
  <c r="I2246" i="5"/>
  <c r="I2247" i="5"/>
  <c r="I2248" i="5"/>
  <c r="I2249" i="5"/>
  <c r="I2254" i="5"/>
  <c r="J2255" i="5"/>
  <c r="I2255" i="5" s="1"/>
  <c r="I2256" i="5"/>
  <c r="J2257" i="5"/>
  <c r="I2257" i="5" s="1"/>
  <c r="I2258" i="5"/>
  <c r="J2259" i="5"/>
  <c r="I2259" i="5"/>
  <c r="I2261" i="5"/>
  <c r="J2262" i="5"/>
  <c r="I2262" i="5"/>
  <c r="I2263" i="5"/>
  <c r="O2263" i="5"/>
  <c r="I2264" i="5"/>
  <c r="I2265" i="5"/>
  <c r="J2267" i="5"/>
  <c r="I2267" i="5" s="1"/>
  <c r="J2268" i="5"/>
  <c r="I2268" i="5"/>
  <c r="I2269" i="5"/>
  <c r="I2270" i="5"/>
  <c r="M2270" i="5"/>
  <c r="N2270" i="5" s="1"/>
  <c r="I2273" i="5"/>
  <c r="J2279" i="5"/>
  <c r="I2279" i="5"/>
  <c r="L2279" i="5"/>
  <c r="I2288" i="5"/>
  <c r="I2289" i="5"/>
  <c r="I2290" i="5"/>
  <c r="I2291" i="5"/>
  <c r="J2292" i="5"/>
  <c r="I2292" i="5" s="1"/>
  <c r="I2295" i="5"/>
  <c r="I2296" i="5"/>
  <c r="I2297" i="5"/>
  <c r="I2298" i="5"/>
  <c r="J2299" i="5"/>
  <c r="I2299" i="5" s="1"/>
  <c r="I2300" i="5"/>
  <c r="J2301" i="5"/>
  <c r="I2301" i="5"/>
  <c r="J2303" i="5"/>
  <c r="I2303" i="5" s="1"/>
  <c r="J2304" i="5"/>
  <c r="I2304" i="5"/>
  <c r="I2305" i="5"/>
  <c r="M2305" i="5"/>
  <c r="I2306" i="5"/>
  <c r="M2306" i="5"/>
  <c r="J2314" i="5"/>
  <c r="I2314" i="5" s="1"/>
  <c r="J2315" i="5"/>
  <c r="I2315" i="5"/>
  <c r="I2316" i="5"/>
  <c r="I2317" i="5"/>
  <c r="I2318" i="5"/>
  <c r="J2324" i="5"/>
  <c r="I2324" i="5"/>
  <c r="I2325" i="5"/>
  <c r="J2326" i="5"/>
  <c r="I2326" i="5"/>
  <c r="J2327" i="5"/>
  <c r="I2327" i="5"/>
  <c r="I2328" i="5"/>
  <c r="J2329" i="5"/>
  <c r="I2329" i="5"/>
  <c r="I2330" i="5"/>
  <c r="J2331" i="5"/>
  <c r="I2331" i="5"/>
  <c r="J2332" i="5"/>
  <c r="I2332" i="5"/>
  <c r="J2333" i="5"/>
  <c r="I2333" i="5"/>
  <c r="I2334" i="5"/>
  <c r="J2335" i="5"/>
  <c r="I2335" i="5" s="1"/>
  <c r="I2336" i="5"/>
  <c r="J2337" i="5"/>
  <c r="I2337" i="5"/>
  <c r="I2338" i="5"/>
  <c r="J2339" i="5"/>
  <c r="I2339" i="5"/>
  <c r="I2340" i="5"/>
  <c r="I2341" i="5"/>
  <c r="I2342" i="5"/>
  <c r="I2343" i="5"/>
  <c r="I2344" i="5"/>
  <c r="I2345" i="5"/>
  <c r="I2346" i="5"/>
  <c r="I2354" i="5"/>
  <c r="I2355" i="5"/>
  <c r="I2356" i="5"/>
  <c r="I2358" i="5"/>
  <c r="J2359" i="5"/>
  <c r="I2359" i="5"/>
  <c r="J2360" i="5"/>
  <c r="I2360" i="5" s="1"/>
  <c r="I2361" i="5"/>
  <c r="I2362" i="5"/>
  <c r="I2363" i="5"/>
  <c r="J2364" i="5"/>
  <c r="I2364" i="5" s="1"/>
  <c r="J2365" i="5"/>
  <c r="I2365" i="5" s="1"/>
  <c r="I2366" i="5"/>
  <c r="J2367" i="5"/>
  <c r="I2367" i="5" s="1"/>
  <c r="J2368" i="5"/>
  <c r="I2368" i="5"/>
  <c r="J2369" i="5"/>
  <c r="I2369" i="5"/>
  <c r="I2373" i="5"/>
  <c r="J2374" i="5"/>
  <c r="I2374" i="5"/>
  <c r="I2375" i="5"/>
  <c r="I2376" i="5"/>
  <c r="I2378" i="5"/>
  <c r="I2379" i="5"/>
  <c r="I2380" i="5"/>
  <c r="I2384" i="5"/>
  <c r="J2385" i="5"/>
  <c r="I2385" i="5"/>
  <c r="J2386" i="5"/>
  <c r="I2386" i="5" s="1"/>
  <c r="I2388" i="5"/>
  <c r="J2391" i="5"/>
  <c r="I2391" i="5"/>
  <c r="J2392" i="5"/>
  <c r="I2392" i="5" s="1"/>
  <c r="J2393" i="5"/>
  <c r="I2393" i="5" s="1"/>
  <c r="I2394" i="5"/>
  <c r="J2395" i="5"/>
  <c r="I2395" i="5" s="1"/>
  <c r="J2396" i="5"/>
  <c r="I2396" i="5" s="1"/>
  <c r="J2397" i="5"/>
  <c r="I2397" i="5"/>
  <c r="J2400" i="5"/>
  <c r="I2400" i="5" s="1"/>
  <c r="I2399" i="5"/>
  <c r="I2401" i="5"/>
  <c r="I2402" i="5"/>
  <c r="I2403" i="5"/>
  <c r="I2405" i="5"/>
  <c r="J2406" i="5"/>
  <c r="I2406" i="5" s="1"/>
  <c r="J2407" i="5"/>
  <c r="I2407" i="5"/>
  <c r="J2408" i="5"/>
  <c r="I2408" i="5"/>
  <c r="J2409" i="5"/>
  <c r="I2409" i="5"/>
  <c r="J2410" i="5"/>
  <c r="I2410" i="5" s="1"/>
  <c r="I2411" i="5"/>
  <c r="J2412" i="5"/>
  <c r="I2412" i="5" s="1"/>
  <c r="I2413" i="5"/>
  <c r="J2414" i="5"/>
  <c r="I2414" i="5"/>
  <c r="I2416" i="5"/>
  <c r="I2417" i="5"/>
  <c r="M2417" i="5"/>
  <c r="I2419" i="5"/>
  <c r="I2420" i="5"/>
  <c r="I2421" i="5"/>
  <c r="J2422" i="5"/>
  <c r="I2422" i="5"/>
  <c r="I2423" i="5"/>
  <c r="J2424" i="5"/>
  <c r="I2424" i="5" s="1"/>
  <c r="J2425" i="5"/>
  <c r="I2425" i="5" s="1"/>
  <c r="I2426" i="5"/>
  <c r="J2427" i="5"/>
  <c r="I2427" i="5"/>
  <c r="J2428" i="5"/>
  <c r="I2428" i="5" s="1"/>
  <c r="I2429" i="5"/>
  <c r="I2433" i="5"/>
  <c r="I2434" i="5"/>
  <c r="I2435" i="5"/>
  <c r="J2436" i="5"/>
  <c r="I2436" i="5"/>
  <c r="I2437" i="5"/>
  <c r="N2437" i="5"/>
  <c r="O2437" i="5" s="1"/>
  <c r="J2438" i="5"/>
  <c r="I2438" i="5" s="1"/>
  <c r="I2439" i="5"/>
  <c r="J2440" i="5"/>
  <c r="I2440" i="5"/>
  <c r="I2441" i="5"/>
  <c r="J2442" i="5"/>
  <c r="I2442" i="5" s="1"/>
  <c r="K2442" i="5"/>
  <c r="J2443" i="5"/>
  <c r="I2443" i="5"/>
  <c r="J2444" i="5"/>
  <c r="I2444" i="5"/>
  <c r="J2446" i="5"/>
  <c r="I2446" i="5" s="1"/>
  <c r="I2447" i="5"/>
  <c r="I2448" i="5"/>
  <c r="I2449" i="5"/>
  <c r="I2470" i="5"/>
  <c r="I2471" i="5"/>
  <c r="I2472" i="5"/>
  <c r="I2473" i="5"/>
  <c r="I2474" i="5"/>
  <c r="J2475" i="5"/>
  <c r="I2475" i="5"/>
  <c r="J2476" i="5"/>
  <c r="I2476" i="5"/>
  <c r="I2477" i="5"/>
  <c r="J2478" i="5"/>
  <c r="I2478" i="5"/>
  <c r="J2479" i="5"/>
  <c r="I2479" i="5" s="1"/>
  <c r="I2480" i="5"/>
  <c r="J2481" i="5"/>
  <c r="I2481" i="5"/>
  <c r="I2482" i="5"/>
  <c r="N2482" i="5"/>
  <c r="O2482" i="5"/>
  <c r="J2483" i="5"/>
  <c r="I2483" i="5" s="1"/>
  <c r="I2484" i="5"/>
  <c r="J2485" i="5"/>
  <c r="I2485" i="5"/>
  <c r="J2486" i="5"/>
  <c r="I2486" i="5"/>
  <c r="J2487" i="5"/>
  <c r="I2487" i="5" s="1"/>
  <c r="J2488" i="5"/>
  <c r="I2488" i="5"/>
  <c r="I2489" i="5"/>
  <c r="J2490" i="5"/>
  <c r="I2490" i="5" s="1"/>
  <c r="J2491" i="5"/>
  <c r="I2491" i="5"/>
  <c r="J2492" i="5"/>
  <c r="I2492" i="5" s="1"/>
  <c r="J2493" i="5"/>
  <c r="I2493" i="5" s="1"/>
  <c r="J2494" i="5"/>
  <c r="I2494" i="5" s="1"/>
  <c r="J2495" i="5"/>
  <c r="I2495" i="5"/>
  <c r="I2496" i="5"/>
  <c r="I2497" i="5"/>
  <c r="I2498" i="5"/>
  <c r="J2499" i="5"/>
  <c r="I2499" i="5"/>
  <c r="J2500" i="5"/>
  <c r="I2500" i="5" s="1"/>
  <c r="J2501" i="5"/>
  <c r="I2501" i="5" s="1"/>
  <c r="J2502" i="5"/>
  <c r="I2502" i="5"/>
  <c r="I2503" i="5"/>
  <c r="J2504" i="5"/>
  <c r="I2504" i="5" s="1"/>
  <c r="J2505" i="5"/>
  <c r="I2505" i="5"/>
  <c r="J2506" i="5"/>
  <c r="I2506" i="5" s="1"/>
  <c r="I2508" i="5"/>
  <c r="J2512" i="5"/>
  <c r="I2512" i="5"/>
  <c r="J2513" i="5"/>
  <c r="I2513" i="5"/>
  <c r="J2514" i="5"/>
  <c r="I2514" i="5" s="1"/>
  <c r="J2515" i="5"/>
  <c r="I2515" i="5"/>
  <c r="I2516" i="5"/>
  <c r="I2517" i="5"/>
  <c r="J2519" i="5"/>
  <c r="I2519" i="5"/>
  <c r="J2520" i="5"/>
  <c r="I2520" i="5" s="1"/>
  <c r="J2521" i="5"/>
  <c r="I2521" i="5"/>
  <c r="J2522" i="5"/>
  <c r="I2522" i="5"/>
  <c r="I2523" i="5"/>
  <c r="J2524" i="5"/>
  <c r="I2524" i="5"/>
  <c r="J2525" i="5"/>
  <c r="I2525" i="5" s="1"/>
  <c r="J2526" i="5"/>
  <c r="I2526" i="5" s="1"/>
  <c r="J2527" i="5"/>
  <c r="I2527" i="5" s="1"/>
  <c r="I2528" i="5"/>
  <c r="J2529" i="5"/>
  <c r="I2529" i="5" s="1"/>
  <c r="I2530" i="5"/>
  <c r="I2531" i="5"/>
  <c r="J2532" i="5"/>
  <c r="I2532" i="5"/>
  <c r="I2533" i="5"/>
  <c r="M2533" i="5"/>
  <c r="I2534" i="5"/>
  <c r="J2535" i="5"/>
  <c r="I2535" i="5" s="1"/>
  <c r="J2536" i="5"/>
  <c r="I2536" i="5" s="1"/>
  <c r="I2537" i="5"/>
  <c r="J2539" i="5"/>
  <c r="I2539" i="5"/>
  <c r="J2540" i="5"/>
  <c r="I2540" i="5" s="1"/>
  <c r="I2541" i="5"/>
  <c r="J2542" i="5"/>
  <c r="I2542" i="5" s="1"/>
  <c r="J2543" i="5"/>
  <c r="I2543" i="5" s="1"/>
  <c r="J2544" i="5"/>
  <c r="I2544" i="5"/>
  <c r="J2545" i="5"/>
  <c r="I2545" i="5" s="1"/>
  <c r="I2546" i="5"/>
  <c r="I2547" i="5"/>
  <c r="J2548" i="5"/>
  <c r="I2548" i="5" s="1"/>
  <c r="J2549" i="5"/>
  <c r="I2549" i="5"/>
  <c r="J2550" i="5"/>
  <c r="I2550" i="5" s="1"/>
  <c r="J2551" i="5"/>
  <c r="I2551" i="5" s="1"/>
  <c r="J2552" i="5"/>
  <c r="I2552" i="5" s="1"/>
  <c r="J2553" i="5"/>
  <c r="I2553" i="5"/>
  <c r="I2554" i="5"/>
  <c r="J2555" i="5"/>
  <c r="I2555" i="5"/>
  <c r="J2556" i="5"/>
  <c r="I2556" i="5"/>
  <c r="J2557" i="5"/>
  <c r="I2557" i="5"/>
  <c r="K2557" i="5"/>
  <c r="I2558" i="5"/>
  <c r="J2562" i="5"/>
  <c r="I2562" i="5"/>
  <c r="J2563" i="5"/>
  <c r="I2563" i="5"/>
  <c r="I2564" i="5"/>
  <c r="I2565" i="5"/>
  <c r="I2566" i="5"/>
  <c r="I2568" i="5"/>
  <c r="M2568" i="5"/>
  <c r="J2569" i="5"/>
  <c r="I2569" i="5" s="1"/>
  <c r="I2570" i="5"/>
  <c r="N2570" i="5"/>
  <c r="J2573" i="5"/>
  <c r="I2573" i="5"/>
  <c r="I2574" i="5"/>
  <c r="J2575" i="5"/>
  <c r="I2575" i="5"/>
  <c r="J2576" i="5"/>
  <c r="I2576" i="5"/>
  <c r="J2577" i="5"/>
  <c r="I2577" i="5"/>
  <c r="I2578" i="5"/>
  <c r="I2579" i="5"/>
  <c r="I2583" i="5"/>
  <c r="I2584" i="5"/>
  <c r="J2586" i="5"/>
  <c r="I2586" i="5"/>
  <c r="I2587" i="5"/>
  <c r="I2588" i="5"/>
  <c r="O2588" i="5"/>
  <c r="P2588" i="5" s="1"/>
  <c r="I2590" i="5"/>
  <c r="I2591" i="5"/>
  <c r="I2592" i="5"/>
  <c r="I2593" i="5"/>
  <c r="I2594" i="5"/>
  <c r="J2595" i="5"/>
  <c r="I2595" i="5"/>
  <c r="I2596" i="5"/>
  <c r="I2597" i="5"/>
  <c r="I2598" i="5"/>
  <c r="J2600" i="5"/>
  <c r="I2600" i="5"/>
  <c r="I2601" i="5"/>
  <c r="J2602" i="5"/>
  <c r="I2602" i="5"/>
  <c r="I2603" i="5"/>
  <c r="J2606" i="5"/>
  <c r="I2606" i="5"/>
  <c r="I2607" i="5"/>
  <c r="I2608" i="5"/>
  <c r="I2609" i="5"/>
  <c r="I2610" i="5"/>
  <c r="J2611" i="5"/>
  <c r="I2611" i="5" s="1"/>
  <c r="J2612" i="5"/>
  <c r="I2612" i="5"/>
  <c r="I2613" i="5"/>
  <c r="I2614" i="5"/>
  <c r="I2615" i="5"/>
  <c r="I2616" i="5"/>
  <c r="I2617" i="5"/>
  <c r="J2618" i="5"/>
  <c r="I2618" i="5" s="1"/>
  <c r="I2619" i="5"/>
  <c r="J2620" i="5"/>
  <c r="I2620" i="5"/>
  <c r="I2621" i="5"/>
  <c r="I2622" i="5"/>
  <c r="J2623" i="5"/>
  <c r="I2623" i="5" s="1"/>
  <c r="I2624" i="5"/>
  <c r="I2625" i="5"/>
  <c r="I2626" i="5"/>
  <c r="J2628" i="5"/>
  <c r="I2628" i="5" s="1"/>
  <c r="J2629" i="5"/>
  <c r="I2629" i="5"/>
  <c r="J2630" i="5"/>
  <c r="I2630" i="5"/>
  <c r="I2631" i="5"/>
  <c r="I2632" i="5"/>
  <c r="J2633" i="5"/>
  <c r="I2633" i="5" s="1"/>
  <c r="J2634" i="5"/>
  <c r="I2634" i="5"/>
  <c r="J2635" i="5"/>
  <c r="I2635" i="5" s="1"/>
  <c r="J2636" i="5"/>
  <c r="I2636" i="5" s="1"/>
  <c r="I2637" i="5"/>
  <c r="J2638" i="5"/>
  <c r="I2638" i="5"/>
  <c r="J2639" i="5"/>
  <c r="I2639" i="5" s="1"/>
  <c r="I2640" i="5"/>
  <c r="I2641" i="5"/>
  <c r="J2642" i="5"/>
  <c r="I2642" i="5"/>
  <c r="I2643" i="5"/>
  <c r="I2644" i="5"/>
  <c r="I2645" i="5"/>
  <c r="I2646" i="5"/>
  <c r="M2646" i="5"/>
  <c r="I2647" i="5"/>
  <c r="I2648" i="5"/>
  <c r="I2649" i="5"/>
  <c r="I2650" i="5"/>
  <c r="I2655" i="5"/>
  <c r="I2656" i="5"/>
  <c r="J2657" i="5"/>
  <c r="I2657" i="5" s="1"/>
  <c r="J2658" i="5"/>
  <c r="I2658" i="5" s="1"/>
  <c r="J2659" i="5"/>
  <c r="I2659" i="5" s="1"/>
  <c r="I2660" i="5"/>
  <c r="I2661" i="5"/>
  <c r="I2663" i="5"/>
  <c r="I2664" i="5"/>
  <c r="J2665" i="5"/>
  <c r="I2665" i="5" s="1"/>
  <c r="I2666" i="5"/>
  <c r="I2667" i="5"/>
  <c r="J2668" i="5"/>
  <c r="I2668" i="5"/>
  <c r="J2669" i="5"/>
  <c r="I2669" i="5" s="1"/>
  <c r="J2670" i="5"/>
  <c r="I2670" i="5" s="1"/>
  <c r="J2671" i="5"/>
  <c r="I2671" i="5" s="1"/>
  <c r="I2672" i="5"/>
  <c r="I2673" i="5"/>
  <c r="I2674" i="5"/>
  <c r="I2675" i="5"/>
  <c r="I2676" i="5"/>
  <c r="I2677" i="5"/>
  <c r="I2678" i="5"/>
  <c r="I2679" i="5"/>
  <c r="I2680" i="5"/>
  <c r="J2681" i="5"/>
  <c r="I2681" i="5" s="1"/>
  <c r="I2682" i="5"/>
  <c r="J2683" i="5"/>
  <c r="I2683" i="5" s="1"/>
  <c r="J2684" i="5"/>
  <c r="I2684" i="5" s="1"/>
  <c r="J2685" i="5"/>
  <c r="I2685" i="5"/>
  <c r="J2686" i="5"/>
  <c r="I2686" i="5"/>
  <c r="I2687" i="5"/>
  <c r="J2688" i="5"/>
  <c r="I2688" i="5"/>
  <c r="J2689" i="5"/>
  <c r="I2689" i="5"/>
  <c r="I2690" i="5"/>
  <c r="I2691" i="5"/>
  <c r="J2692" i="5"/>
  <c r="I2692" i="5"/>
  <c r="I2693" i="5"/>
  <c r="J2694" i="5"/>
  <c r="I2694" i="5" s="1"/>
  <c r="I2695" i="5"/>
  <c r="J2696" i="5"/>
  <c r="I2696" i="5" s="1"/>
  <c r="J2697" i="5"/>
  <c r="I2697" i="5"/>
  <c r="I2698" i="5"/>
  <c r="I2699" i="5"/>
  <c r="J2704" i="5"/>
  <c r="I2704" i="5"/>
  <c r="J2705" i="5"/>
  <c r="I2705" i="5" s="1"/>
  <c r="J2706" i="5"/>
  <c r="I2706" i="5"/>
  <c r="J2707" i="5"/>
  <c r="I2707" i="5"/>
  <c r="J2708" i="5"/>
  <c r="I2708" i="5"/>
  <c r="J2709" i="5"/>
  <c r="I2709" i="5" s="1"/>
  <c r="J2710" i="5"/>
  <c r="I2710" i="5"/>
  <c r="J2711" i="5"/>
  <c r="I2711" i="5"/>
  <c r="J2712" i="5"/>
  <c r="I2712" i="5"/>
  <c r="I2713" i="5"/>
  <c r="I2714" i="5"/>
  <c r="I2715" i="5"/>
  <c r="J2716" i="5"/>
  <c r="I2716" i="5" s="1"/>
  <c r="J2717" i="5"/>
  <c r="I2717" i="5" s="1"/>
  <c r="J2718" i="5"/>
  <c r="I2718" i="5"/>
  <c r="J2719" i="5"/>
  <c r="I2719" i="5"/>
  <c r="J2720" i="5"/>
  <c r="I2720" i="5" s="1"/>
  <c r="I2721" i="5"/>
  <c r="J2722" i="5"/>
  <c r="I2722" i="5"/>
  <c r="J2723" i="5"/>
  <c r="I2723" i="5" s="1"/>
  <c r="J2724" i="5"/>
  <c r="I2724" i="5"/>
  <c r="I2725" i="5"/>
  <c r="I2726" i="5"/>
  <c r="I2727" i="5"/>
  <c r="I2728" i="5"/>
  <c r="J2730" i="5"/>
  <c r="I2730" i="5" s="1"/>
  <c r="J2731" i="5"/>
  <c r="I2731" i="5"/>
  <c r="J2732" i="5"/>
  <c r="I2732" i="5"/>
  <c r="J2733" i="5"/>
  <c r="I2733" i="5"/>
  <c r="J2734" i="5"/>
  <c r="I2734" i="5" s="1"/>
  <c r="I2735" i="5"/>
  <c r="I2736" i="5"/>
  <c r="J2737" i="5"/>
  <c r="I2737" i="5"/>
  <c r="I2738" i="5"/>
  <c r="I2739" i="5"/>
  <c r="I2740" i="5"/>
  <c r="I2741" i="5"/>
  <c r="I2742" i="5"/>
  <c r="I2743" i="5"/>
  <c r="J2744" i="5"/>
  <c r="I2744" i="5"/>
  <c r="I2745" i="5"/>
  <c r="I2746" i="5"/>
  <c r="I2747" i="5"/>
  <c r="J2748" i="5"/>
  <c r="I2748" i="5"/>
  <c r="J2749" i="5"/>
  <c r="I2749" i="5" s="1"/>
  <c r="J2750" i="5"/>
  <c r="I2750" i="5" s="1"/>
  <c r="I2751" i="5"/>
  <c r="J2752" i="5"/>
  <c r="I2752" i="5" s="1"/>
  <c r="I2753" i="5"/>
  <c r="I2754" i="5"/>
  <c r="J2755" i="5"/>
  <c r="I2755" i="5"/>
  <c r="J2756" i="5"/>
  <c r="I2756" i="5"/>
  <c r="J2757" i="5"/>
  <c r="I2757" i="5" s="1"/>
  <c r="I2758" i="5"/>
  <c r="J2759" i="5"/>
  <c r="I2759" i="5" s="1"/>
  <c r="J2763" i="5"/>
  <c r="I2763" i="5" s="1"/>
  <c r="J2764" i="5"/>
  <c r="I2764" i="5"/>
  <c r="J2765" i="5"/>
  <c r="I2765" i="5"/>
  <c r="I2766" i="5"/>
  <c r="I2767" i="5"/>
  <c r="J2768" i="5"/>
  <c r="I2768" i="5" s="1"/>
  <c r="I2769" i="5"/>
  <c r="I2770" i="5"/>
  <c r="I2771" i="5"/>
  <c r="J2772" i="5"/>
  <c r="I2772" i="5"/>
  <c r="I2773" i="5"/>
  <c r="I2774" i="5"/>
  <c r="I2775" i="5"/>
  <c r="J2776" i="5"/>
  <c r="I2776" i="5" s="1"/>
  <c r="J2777" i="5"/>
  <c r="I2777" i="5"/>
  <c r="I2778" i="5"/>
  <c r="I2779" i="5"/>
  <c r="J2780" i="5"/>
  <c r="I2780" i="5"/>
  <c r="I2781" i="5"/>
  <c r="J2782" i="5"/>
  <c r="I2782" i="5" s="1"/>
  <c r="I2783" i="5"/>
  <c r="J2784" i="5"/>
  <c r="I2784" i="5"/>
  <c r="J2785" i="5"/>
  <c r="I2785" i="5" s="1"/>
  <c r="J2786" i="5"/>
  <c r="I2786" i="5"/>
  <c r="I2787" i="5"/>
  <c r="I2788" i="5"/>
  <c r="I2790" i="5"/>
  <c r="I2791" i="5"/>
  <c r="I2792" i="5"/>
  <c r="J2793" i="5"/>
  <c r="I2793" i="5"/>
  <c r="I2794" i="5"/>
  <c r="J2795" i="5"/>
  <c r="I2795" i="5"/>
  <c r="J2796" i="5"/>
  <c r="I2796" i="5"/>
  <c r="I2797" i="5"/>
  <c r="I2798" i="5"/>
  <c r="J2799" i="5"/>
  <c r="I2799" i="5"/>
  <c r="J2801" i="5"/>
  <c r="I2801" i="5"/>
  <c r="J2802" i="5"/>
  <c r="I2802" i="5"/>
  <c r="J2803" i="5"/>
  <c r="I2803" i="5" s="1"/>
  <c r="J2804" i="5"/>
  <c r="I2804" i="5"/>
  <c r="J2805" i="5"/>
  <c r="I2805" i="5"/>
  <c r="I2806" i="5"/>
  <c r="I2807" i="5"/>
  <c r="J2808" i="5"/>
  <c r="I2808" i="5" s="1"/>
  <c r="I2809" i="5"/>
  <c r="I2810" i="5"/>
  <c r="I2811" i="5"/>
  <c r="I2812" i="5"/>
  <c r="I2813" i="5"/>
  <c r="I2814" i="5"/>
  <c r="I2815" i="5"/>
  <c r="J2816" i="5"/>
  <c r="I2816" i="5"/>
  <c r="I2817" i="5"/>
  <c r="I2819" i="5"/>
  <c r="J2820" i="5"/>
  <c r="I2820" i="5" s="1"/>
  <c r="J2821" i="5"/>
  <c r="I2821" i="5"/>
  <c r="I2822" i="5"/>
  <c r="I2823" i="5"/>
  <c r="I2824" i="5"/>
  <c r="I2825" i="5"/>
  <c r="I2826" i="5"/>
  <c r="I2827" i="5"/>
  <c r="I2828" i="5"/>
  <c r="I2831" i="5"/>
  <c r="I2832" i="5"/>
  <c r="I2833" i="5"/>
  <c r="I2834" i="5"/>
  <c r="I2835" i="5"/>
  <c r="I2839" i="5"/>
  <c r="I2840" i="5"/>
  <c r="I2841" i="5"/>
  <c r="I2842" i="5"/>
  <c r="I2843" i="5"/>
  <c r="I2844" i="5"/>
  <c r="J2847" i="5"/>
  <c r="I2847" i="5" s="1"/>
  <c r="I2848" i="5"/>
  <c r="I2849" i="5"/>
  <c r="I2850" i="5"/>
  <c r="I2851" i="5"/>
  <c r="I2852" i="5"/>
  <c r="I2853" i="5"/>
  <c r="I2854" i="5"/>
  <c r="I2855" i="5"/>
  <c r="J2856" i="5"/>
  <c r="I2856" i="5" s="1"/>
  <c r="I2857" i="5"/>
  <c r="J2858" i="5"/>
  <c r="I2858" i="5" s="1"/>
  <c r="I2859" i="5"/>
  <c r="I2860" i="5"/>
  <c r="I2861" i="5"/>
  <c r="I2865" i="5"/>
  <c r="I2866" i="5"/>
  <c r="J2867" i="5"/>
  <c r="I2867" i="5"/>
  <c r="J2868" i="5"/>
  <c r="I2868" i="5"/>
  <c r="I2869" i="5"/>
  <c r="I2870" i="5"/>
  <c r="I2871" i="5"/>
  <c r="I2872" i="5"/>
  <c r="I2873" i="5"/>
  <c r="I2874" i="5"/>
  <c r="I2875" i="5"/>
  <c r="I2876" i="5"/>
  <c r="J2877" i="5"/>
  <c r="I2877" i="5" s="1"/>
  <c r="I2878" i="5"/>
  <c r="J2879" i="5"/>
  <c r="I2879" i="5"/>
  <c r="I2880" i="5"/>
  <c r="I2881" i="5"/>
  <c r="J2882" i="5"/>
  <c r="I2882" i="5"/>
  <c r="I2883" i="5"/>
  <c r="I2884" i="5"/>
  <c r="J2885" i="5"/>
  <c r="I2885" i="5"/>
  <c r="J2886" i="5"/>
  <c r="I2886" i="5" s="1"/>
  <c r="I2887" i="5"/>
  <c r="I2888" i="5"/>
  <c r="I2889" i="5"/>
  <c r="I2890" i="5"/>
  <c r="J2891" i="5"/>
  <c r="I2891" i="5"/>
  <c r="J2892" i="5"/>
  <c r="I2892" i="5" s="1"/>
  <c r="I2893" i="5"/>
  <c r="J2894" i="5"/>
  <c r="I2894" i="5" s="1"/>
  <c r="J2895" i="5"/>
  <c r="I2895" i="5" s="1"/>
  <c r="I2896" i="5"/>
  <c r="I2897" i="5"/>
  <c r="I2898" i="5"/>
  <c r="I2899" i="5"/>
  <c r="J2900" i="5"/>
  <c r="I2900" i="5" s="1"/>
  <c r="I2901" i="5"/>
  <c r="I2902" i="5"/>
  <c r="I2903" i="5"/>
  <c r="J2904" i="5"/>
  <c r="I2904" i="5" s="1"/>
  <c r="J2905" i="5"/>
  <c r="I2905" i="5"/>
  <c r="I2906" i="5"/>
  <c r="I2907" i="5"/>
  <c r="I2908" i="5"/>
  <c r="J2912" i="5"/>
  <c r="I2912" i="5"/>
  <c r="J2913" i="5"/>
  <c r="I2913" i="5"/>
  <c r="I2914" i="5"/>
  <c r="I2916" i="5"/>
  <c r="I2917" i="5"/>
  <c r="I2918" i="5"/>
  <c r="J2919" i="5"/>
  <c r="I2919" i="5"/>
  <c r="I2920" i="5"/>
  <c r="J2921" i="5"/>
  <c r="I2921" i="5"/>
  <c r="I2922" i="5"/>
  <c r="J2923" i="5"/>
  <c r="I2923" i="5" s="1"/>
  <c r="I2926" i="5"/>
  <c r="I2927" i="5"/>
  <c r="I2928" i="5"/>
  <c r="I2929" i="5"/>
  <c r="I2930" i="5"/>
  <c r="I2931" i="5"/>
  <c r="J2932" i="5"/>
  <c r="I2932" i="5" s="1"/>
  <c r="I2934" i="5"/>
  <c r="J2935" i="5"/>
  <c r="I2935" i="5" s="1"/>
  <c r="J2936" i="5"/>
  <c r="I2936" i="5"/>
  <c r="I2937" i="5"/>
  <c r="J2938" i="5"/>
  <c r="I2938" i="5" s="1"/>
  <c r="I2939" i="5"/>
  <c r="I2940" i="5"/>
  <c r="I2941" i="5"/>
  <c r="I2942" i="5"/>
  <c r="I2943" i="5"/>
  <c r="I2944" i="5"/>
  <c r="I2945" i="5"/>
  <c r="I2946" i="5"/>
  <c r="I2947" i="5"/>
  <c r="I2948" i="5"/>
  <c r="I2949" i="5"/>
  <c r="I2950" i="5"/>
  <c r="I2951" i="5"/>
  <c r="I2952" i="5"/>
  <c r="J2953" i="5"/>
  <c r="I2953" i="5" s="1"/>
  <c r="I2954" i="5"/>
  <c r="I2955" i="5"/>
  <c r="I2956" i="5"/>
  <c r="I2957" i="5"/>
  <c r="I2958" i="5"/>
  <c r="I2959" i="5"/>
  <c r="J2960" i="5"/>
  <c r="I2960" i="5" s="1"/>
  <c r="I2961" i="5"/>
  <c r="I2963" i="5"/>
  <c r="I2964" i="5"/>
  <c r="I2965" i="5"/>
  <c r="I2966" i="5"/>
  <c r="I2967" i="5"/>
  <c r="I2968" i="5"/>
  <c r="I2970" i="5"/>
  <c r="I2972" i="5"/>
  <c r="I2975" i="5"/>
  <c r="I2976" i="5"/>
  <c r="I2977" i="5"/>
  <c r="I2978" i="5"/>
  <c r="I2979" i="5"/>
  <c r="I2980" i="5"/>
  <c r="I2981" i="5"/>
  <c r="I2982" i="5"/>
  <c r="I2983" i="5"/>
  <c r="I2984" i="5"/>
  <c r="I2985" i="5"/>
  <c r="I2986" i="5"/>
  <c r="I2987" i="5"/>
  <c r="I2988" i="5"/>
  <c r="J2989" i="5"/>
  <c r="I2989" i="5" s="1"/>
  <c r="I2990" i="5"/>
  <c r="I2991" i="5"/>
  <c r="I2992" i="5"/>
  <c r="I2993" i="5"/>
  <c r="I2994" i="5"/>
  <c r="I3006" i="5"/>
  <c r="I3007" i="5"/>
  <c r="I3008" i="5"/>
  <c r="I3009" i="5"/>
  <c r="I3010" i="5"/>
  <c r="I3011" i="5"/>
  <c r="I3012" i="5"/>
  <c r="I3013" i="5"/>
  <c r="I3014" i="5"/>
  <c r="I3015" i="5"/>
  <c r="I3016" i="5"/>
  <c r="I3017" i="5"/>
  <c r="I3018" i="5"/>
  <c r="I3019" i="5"/>
  <c r="I3020" i="5"/>
  <c r="I3021" i="5"/>
  <c r="I3022" i="5"/>
  <c r="I3023" i="5"/>
  <c r="I3024" i="5"/>
  <c r="I3025" i="5"/>
  <c r="I3026" i="5"/>
  <c r="J3027" i="5"/>
  <c r="I3027" i="5"/>
  <c r="I3028" i="5"/>
  <c r="I3029" i="5"/>
  <c r="I3030" i="5"/>
  <c r="J3031" i="5"/>
  <c r="I3031" i="5"/>
  <c r="I3032" i="5"/>
  <c r="I3033" i="5"/>
  <c r="I3034" i="5"/>
  <c r="I3035" i="5"/>
  <c r="I3036" i="5"/>
  <c r="I3037" i="5"/>
  <c r="J3038" i="5"/>
  <c r="I3038" i="5"/>
  <c r="I3039" i="5"/>
  <c r="I3040" i="5"/>
  <c r="I3041" i="5"/>
  <c r="I3042" i="5"/>
  <c r="I3043" i="5"/>
  <c r="J3044" i="5"/>
  <c r="I3044" i="5"/>
  <c r="I3045" i="5"/>
  <c r="I3046" i="5"/>
  <c r="I3047" i="5"/>
  <c r="I3048" i="5"/>
  <c r="I3049" i="5"/>
  <c r="I3050" i="5"/>
  <c r="J3051" i="5"/>
  <c r="I3051" i="5" s="1"/>
  <c r="I3052" i="5"/>
  <c r="I3053" i="5"/>
  <c r="I3054" i="5"/>
  <c r="I3055" i="5"/>
  <c r="I3056" i="5"/>
  <c r="I3057" i="5"/>
  <c r="I3058" i="5"/>
  <c r="I3059" i="5"/>
  <c r="I3060" i="5"/>
  <c r="I3061" i="5"/>
  <c r="I3063" i="5"/>
  <c r="I3064" i="5"/>
  <c r="I3065" i="5"/>
  <c r="I3067" i="5"/>
  <c r="I3068" i="5"/>
  <c r="I3080" i="5"/>
  <c r="J3081" i="5"/>
  <c r="I3081" i="5" s="1"/>
  <c r="J3082" i="5"/>
  <c r="I3082" i="5"/>
  <c r="J3083" i="5"/>
  <c r="I3083" i="5"/>
  <c r="J3084" i="5"/>
  <c r="I3084" i="5" s="1"/>
  <c r="I3085" i="5"/>
  <c r="J3086" i="5"/>
  <c r="I3086" i="5" s="1"/>
  <c r="I3087" i="5"/>
  <c r="J3088" i="5"/>
  <c r="I3088" i="5"/>
  <c r="I3089" i="5"/>
  <c r="J3090" i="5"/>
  <c r="I3090" i="5"/>
  <c r="I3091" i="5"/>
  <c r="I3092" i="5"/>
  <c r="I3093" i="5"/>
  <c r="I3094" i="5"/>
  <c r="I3095" i="5"/>
  <c r="I3096" i="5"/>
  <c r="I3097" i="5"/>
  <c r="I3098" i="5"/>
  <c r="I3099" i="5"/>
  <c r="I3100" i="5"/>
  <c r="I3101" i="5"/>
  <c r="I3102" i="5"/>
  <c r="I3103" i="5"/>
  <c r="I3104" i="5"/>
  <c r="I3105" i="5"/>
  <c r="I3106" i="5"/>
  <c r="I3107" i="5"/>
  <c r="I3116" i="5"/>
  <c r="I3117" i="5"/>
  <c r="I3118" i="5"/>
  <c r="I3119" i="5"/>
  <c r="I3120" i="5"/>
  <c r="I3121" i="5"/>
  <c r="I3122" i="5"/>
  <c r="I3123" i="5"/>
  <c r="J3124" i="5"/>
  <c r="I3124" i="5"/>
  <c r="I3125" i="5"/>
  <c r="I3126" i="5"/>
  <c r="I3127" i="5"/>
  <c r="I3128" i="5"/>
  <c r="I3129" i="5"/>
  <c r="I3130" i="5"/>
  <c r="J3131" i="5"/>
  <c r="I3131" i="5"/>
  <c r="I3132" i="5"/>
  <c r="I3133" i="5"/>
  <c r="J3134" i="5"/>
  <c r="I3134" i="5" s="1"/>
  <c r="I3135" i="5"/>
  <c r="J3136" i="5"/>
  <c r="I3136" i="5" s="1"/>
  <c r="J3137" i="5"/>
  <c r="I3137" i="5" s="1"/>
  <c r="I3138" i="5"/>
  <c r="J3139" i="5"/>
  <c r="I3139" i="5"/>
  <c r="I3140" i="5"/>
  <c r="I3141" i="5"/>
  <c r="I3142" i="5"/>
  <c r="I3143" i="5"/>
  <c r="I3144" i="5"/>
  <c r="J3145" i="5"/>
  <c r="I3145" i="5" s="1"/>
  <c r="I3147" i="5"/>
  <c r="I3148" i="5"/>
  <c r="I3149" i="5"/>
  <c r="I3150" i="5"/>
  <c r="I3151" i="5"/>
  <c r="I3152" i="5"/>
  <c r="I3153" i="5"/>
  <c r="J3154" i="5"/>
  <c r="I3154" i="5"/>
  <c r="I3155" i="5"/>
  <c r="I3156" i="5"/>
  <c r="I3157" i="5"/>
  <c r="I3160" i="5"/>
  <c r="I3161" i="5"/>
  <c r="I3162" i="5"/>
  <c r="I3163" i="5"/>
  <c r="I3164" i="5"/>
  <c r="I3165" i="5"/>
  <c r="I3166" i="5"/>
  <c r="I3167" i="5"/>
  <c r="J3169" i="5"/>
  <c r="I3169" i="5" s="1"/>
  <c r="I3170" i="5"/>
  <c r="J3174" i="5"/>
  <c r="I3174" i="5" s="1"/>
  <c r="I3175" i="5"/>
  <c r="J3178" i="5"/>
  <c r="I3178" i="5"/>
  <c r="J3179" i="5"/>
  <c r="I3179" i="5" s="1"/>
  <c r="J3180" i="5"/>
  <c r="I3180" i="5" s="1"/>
  <c r="J3181" i="5"/>
  <c r="I3181" i="5"/>
  <c r="J3182" i="5"/>
  <c r="I3182" i="5"/>
  <c r="I3183" i="5"/>
  <c r="J3184" i="5"/>
  <c r="I3184" i="5"/>
  <c r="I3185" i="5"/>
  <c r="I3186" i="5"/>
  <c r="I3187" i="5"/>
  <c r="I3188" i="5"/>
  <c r="J3189" i="5"/>
  <c r="I3189" i="5"/>
  <c r="I3190" i="5"/>
  <c r="I3191" i="5"/>
  <c r="I3192" i="5"/>
  <c r="I3193" i="5"/>
  <c r="I3194" i="5"/>
  <c r="I3195" i="5"/>
  <c r="I3196" i="5"/>
  <c r="J3198" i="5"/>
  <c r="I3198" i="5" s="1"/>
  <c r="I3199" i="5"/>
  <c r="I3200" i="5"/>
  <c r="I3201" i="5"/>
  <c r="I3202" i="5"/>
  <c r="I3203" i="5"/>
  <c r="I3204" i="5"/>
  <c r="J3208" i="5"/>
  <c r="I3208" i="5" s="1"/>
  <c r="I3209" i="5"/>
  <c r="J3210" i="5"/>
  <c r="I3210" i="5" s="1"/>
  <c r="J3211" i="5"/>
  <c r="I3211" i="5" s="1"/>
  <c r="I3212" i="5"/>
  <c r="J3213" i="5"/>
  <c r="I3213" i="5" s="1"/>
  <c r="J3228" i="5"/>
  <c r="I3228" i="5" s="1"/>
  <c r="I3229" i="5"/>
  <c r="J3230" i="5"/>
  <c r="I3230" i="5" s="1"/>
  <c r="I3231" i="5"/>
  <c r="I3232" i="5"/>
  <c r="I3233" i="5"/>
  <c r="I3234" i="5"/>
  <c r="I3235" i="5"/>
  <c r="I3236" i="5"/>
  <c r="J3237" i="5"/>
  <c r="I3237" i="5" s="1"/>
  <c r="I3238" i="5"/>
  <c r="I3239" i="5"/>
  <c r="I3240" i="5"/>
  <c r="I3241" i="5"/>
  <c r="I3242" i="5"/>
  <c r="I3243" i="5"/>
  <c r="I3244" i="5"/>
  <c r="I3245" i="5"/>
  <c r="I3246" i="5"/>
  <c r="I3247" i="5"/>
  <c r="I3248" i="5"/>
  <c r="I3249" i="5"/>
  <c r="I3250" i="5"/>
  <c r="I3253" i="5"/>
  <c r="I3254" i="5"/>
  <c r="I3255" i="5"/>
  <c r="I3256" i="5"/>
  <c r="I3259" i="5"/>
  <c r="I3260" i="5"/>
  <c r="I3261" i="5"/>
  <c r="I3262" i="5"/>
  <c r="J3264" i="5"/>
  <c r="I3264" i="5"/>
  <c r="I3271" i="5"/>
  <c r="I3272" i="5"/>
  <c r="I3273" i="5"/>
  <c r="I3274" i="5"/>
  <c r="I3275" i="5"/>
  <c r="I3276" i="5"/>
  <c r="J3277" i="5"/>
  <c r="I3277" i="5"/>
  <c r="I3278" i="5"/>
  <c r="I3279" i="5"/>
  <c r="I3280" i="5"/>
  <c r="I3281" i="5"/>
  <c r="I3282" i="5"/>
  <c r="I3283" i="5"/>
  <c r="I3284" i="5"/>
  <c r="I3285" i="5"/>
  <c r="I3286" i="5"/>
  <c r="I3287" i="5"/>
  <c r="I3288" i="5"/>
  <c r="I3289" i="5"/>
  <c r="I3292" i="5"/>
  <c r="I3293" i="5"/>
  <c r="I3294" i="5"/>
  <c r="I3295" i="5"/>
  <c r="I3296" i="5"/>
  <c r="I3299" i="5"/>
  <c r="J3300" i="5"/>
  <c r="I3300" i="5" s="1"/>
  <c r="I3301" i="5"/>
  <c r="I3302" i="5"/>
  <c r="J3303" i="5"/>
  <c r="I3303" i="5"/>
  <c r="I3304" i="5"/>
  <c r="I3305" i="5"/>
  <c r="I3306" i="5"/>
  <c r="I3307" i="5"/>
  <c r="J3308" i="5"/>
  <c r="I3308" i="5" s="1"/>
  <c r="I3310" i="5"/>
  <c r="J3311" i="5"/>
  <c r="I3311" i="5" s="1"/>
  <c r="J3312" i="5"/>
  <c r="I3312" i="5" s="1"/>
  <c r="I3313" i="5"/>
  <c r="I3314" i="5"/>
  <c r="I3315" i="5"/>
  <c r="I3316" i="5"/>
  <c r="I3317" i="5"/>
  <c r="I3318" i="5"/>
  <c r="I3319" i="5"/>
  <c r="I3320" i="5"/>
  <c r="I3321" i="5"/>
  <c r="I3322" i="5"/>
  <c r="I3323" i="5"/>
  <c r="J3324" i="5"/>
  <c r="I3324" i="5"/>
  <c r="J3326" i="5"/>
  <c r="I3326" i="5"/>
  <c r="J3327" i="5"/>
  <c r="I3327" i="5"/>
  <c r="I3328" i="5"/>
  <c r="J3329" i="5"/>
  <c r="I3329" i="5" s="1"/>
  <c r="I3330" i="5"/>
  <c r="I3331" i="5"/>
  <c r="J3332" i="5"/>
  <c r="I3332" i="5" s="1"/>
  <c r="J3333" i="5"/>
  <c r="I3333" i="5"/>
  <c r="J3334" i="5"/>
  <c r="I3334" i="5" s="1"/>
  <c r="J3335" i="5"/>
  <c r="I3335" i="5" s="1"/>
  <c r="J3336" i="5"/>
  <c r="I3336" i="5" s="1"/>
  <c r="I3337" i="5"/>
  <c r="I3338" i="5"/>
  <c r="J3339" i="5"/>
  <c r="I3339" i="5" s="1"/>
  <c r="J3340" i="5"/>
  <c r="I3340" i="5" s="1"/>
  <c r="I3341" i="5"/>
  <c r="J3342" i="5"/>
  <c r="I3342" i="5"/>
  <c r="I3343" i="5"/>
  <c r="J3344" i="5"/>
  <c r="I3344" i="5" s="1"/>
  <c r="I3345" i="5"/>
  <c r="I3346" i="5"/>
  <c r="J3347" i="5"/>
  <c r="I3347" i="5" s="1"/>
  <c r="I3348" i="5"/>
  <c r="I3349" i="5"/>
  <c r="J3350" i="5"/>
  <c r="I3350" i="5" s="1"/>
  <c r="I3352" i="5"/>
  <c r="J3353" i="5"/>
  <c r="I3353" i="5"/>
  <c r="J3354" i="5"/>
  <c r="I3354" i="5"/>
  <c r="J3355" i="5"/>
  <c r="I3355" i="5" s="1"/>
  <c r="J3356" i="5"/>
  <c r="I3356" i="5"/>
  <c r="I3357" i="5"/>
  <c r="I3358" i="5"/>
  <c r="J3359" i="5"/>
  <c r="I3359" i="5"/>
  <c r="J3360" i="5"/>
  <c r="I3360" i="5" s="1"/>
  <c r="I3361" i="5"/>
  <c r="J3362" i="5"/>
  <c r="I3362" i="5" s="1"/>
  <c r="J3363" i="5"/>
  <c r="I3363" i="5" s="1"/>
  <c r="J3364" i="5"/>
  <c r="I3364" i="5"/>
  <c r="J3365" i="5"/>
  <c r="I3365" i="5"/>
  <c r="J3366" i="5"/>
  <c r="I3366" i="5" s="1"/>
  <c r="J3367" i="5"/>
  <c r="I3367" i="5" s="1"/>
  <c r="J3368" i="5"/>
  <c r="I3368" i="5"/>
  <c r="J3369" i="5"/>
  <c r="I3369" i="5"/>
  <c r="J3370" i="5"/>
  <c r="I3370" i="5" s="1"/>
  <c r="I3371" i="5"/>
  <c r="J3372" i="5"/>
  <c r="I3372" i="5"/>
  <c r="J3373" i="5"/>
  <c r="I3373" i="5" s="1"/>
  <c r="I3374" i="5"/>
  <c r="J3375" i="5"/>
  <c r="I3375" i="5" s="1"/>
  <c r="I3376" i="5"/>
  <c r="J3377" i="5"/>
  <c r="I3377" i="5"/>
  <c r="J3378" i="5"/>
  <c r="I3378" i="5" s="1"/>
  <c r="I3379" i="5"/>
  <c r="J3380" i="5"/>
  <c r="I3380" i="5" s="1"/>
  <c r="J3381" i="5"/>
  <c r="I3381" i="5"/>
  <c r="J3382" i="5"/>
  <c r="I3382" i="5"/>
  <c r="J3383" i="5"/>
  <c r="I3383" i="5" s="1"/>
  <c r="I3384" i="5"/>
  <c r="J3385" i="5"/>
  <c r="I3385" i="5" s="1"/>
  <c r="I3386" i="5"/>
  <c r="J3387" i="5"/>
  <c r="I3387" i="5"/>
  <c r="J3388" i="5"/>
  <c r="I3388" i="5" s="1"/>
  <c r="I3389" i="5"/>
  <c r="I3390" i="5"/>
  <c r="I3391" i="5"/>
  <c r="I3392" i="5"/>
  <c r="J3394" i="5"/>
  <c r="I3394" i="5"/>
  <c r="J3395" i="5"/>
  <c r="I3395" i="5"/>
  <c r="I3396" i="5"/>
  <c r="J3408" i="5"/>
  <c r="I3408" i="5" s="1"/>
  <c r="I3409" i="5"/>
  <c r="I3410" i="5"/>
  <c r="I3411" i="5"/>
  <c r="I3412" i="5"/>
  <c r="I3413" i="5"/>
  <c r="J3414" i="5"/>
  <c r="I3414" i="5" s="1"/>
  <c r="J3415" i="5"/>
  <c r="I3415" i="5"/>
  <c r="J3416" i="5"/>
  <c r="I3416" i="5"/>
  <c r="J3417" i="5"/>
  <c r="I3417" i="5"/>
  <c r="J3418" i="5"/>
  <c r="I3418" i="5" s="1"/>
  <c r="I3419" i="5"/>
  <c r="J3420" i="5"/>
  <c r="I3420" i="5" s="1"/>
  <c r="J3421" i="5"/>
  <c r="I3421" i="5" s="1"/>
  <c r="J3422" i="5"/>
  <c r="I3422" i="5"/>
  <c r="J3423" i="5"/>
  <c r="I3423" i="5" s="1"/>
  <c r="J3424" i="5"/>
  <c r="I3424" i="5" s="1"/>
  <c r="J3425" i="5"/>
  <c r="I3425" i="5" s="1"/>
  <c r="I3426" i="5"/>
  <c r="I3427" i="5"/>
  <c r="J3428" i="5"/>
  <c r="I3428" i="5" s="1"/>
  <c r="I3429" i="5"/>
  <c r="J3434" i="5"/>
  <c r="I3434" i="5"/>
  <c r="J3435" i="5"/>
  <c r="I3435" i="5"/>
  <c r="I3436" i="5"/>
  <c r="I3437" i="5"/>
  <c r="I3438" i="5"/>
  <c r="J3439" i="5"/>
  <c r="I3439" i="5" s="1"/>
  <c r="J3440" i="5"/>
  <c r="I3440" i="5" s="1"/>
  <c r="J3441" i="5"/>
  <c r="I3441" i="5"/>
  <c r="I3442" i="5"/>
  <c r="I3443" i="5"/>
  <c r="I3444" i="5"/>
  <c r="J3445" i="5"/>
  <c r="I3445" i="5"/>
  <c r="I3448" i="5"/>
  <c r="I3449" i="5"/>
  <c r="J3450" i="5"/>
  <c r="I3450" i="5" s="1"/>
  <c r="J3451" i="5"/>
  <c r="I3451" i="5"/>
  <c r="J3452" i="5"/>
  <c r="I3452" i="5"/>
  <c r="J3453" i="5"/>
  <c r="I3453" i="5"/>
  <c r="I3454" i="5"/>
  <c r="J3455" i="5"/>
  <c r="I3455" i="5"/>
  <c r="J3456" i="5"/>
  <c r="I3456" i="5" s="1"/>
  <c r="I3457" i="5"/>
  <c r="O3457" i="5"/>
  <c r="M3460" i="5"/>
  <c r="J3461" i="5"/>
  <c r="I3461" i="5" s="1"/>
  <c r="J3462" i="5"/>
  <c r="I3462" i="5"/>
  <c r="J3463" i="5"/>
  <c r="I3463" i="5"/>
  <c r="J3466" i="5"/>
  <c r="I3466" i="5"/>
  <c r="J3467" i="5"/>
  <c r="I3467" i="5" s="1"/>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9" i="5"/>
  <c r="I3500" i="5"/>
  <c r="J3501" i="5"/>
  <c r="I3501" i="5" s="1"/>
  <c r="I3502" i="5"/>
  <c r="J3503" i="5"/>
  <c r="I3503" i="5"/>
  <c r="I3505" i="5"/>
  <c r="I3506" i="5"/>
  <c r="I3507" i="5"/>
  <c r="I3508" i="5"/>
  <c r="J3509" i="5"/>
  <c r="I3509" i="5"/>
  <c r="I3510" i="5"/>
  <c r="I3511" i="5"/>
  <c r="J3512" i="5"/>
  <c r="I3512" i="5"/>
  <c r="I3513" i="5"/>
  <c r="I3514" i="5"/>
  <c r="J3515" i="5"/>
  <c r="I3515" i="5"/>
  <c r="J3517" i="5"/>
  <c r="I3517" i="5"/>
  <c r="J3518" i="5"/>
  <c r="I3518" i="5"/>
  <c r="J3519" i="5"/>
  <c r="I3519" i="5" s="1"/>
  <c r="I3520" i="5"/>
  <c r="I3522" i="5"/>
  <c r="J3523" i="5"/>
  <c r="I3523" i="5"/>
  <c r="I3524" i="5"/>
  <c r="I3526" i="5"/>
  <c r="I3527" i="5"/>
  <c r="J3528" i="5"/>
  <c r="I3528" i="5" s="1"/>
  <c r="I3529" i="5"/>
  <c r="I3530" i="5"/>
  <c r="J3531" i="5"/>
  <c r="I3531" i="5" s="1"/>
  <c r="J3532" i="5"/>
  <c r="I3532" i="5"/>
  <c r="I3533" i="5"/>
  <c r="J3534" i="5"/>
  <c r="I3534" i="5"/>
  <c r="I3535" i="5"/>
  <c r="I3536" i="5"/>
  <c r="J3537" i="5"/>
  <c r="I3537" i="5"/>
  <c r="I3538" i="5"/>
  <c r="I3539" i="5"/>
  <c r="I3540" i="5"/>
  <c r="J3541" i="5"/>
  <c r="I3541" i="5" s="1"/>
  <c r="I3542" i="5"/>
  <c r="I3543" i="5"/>
  <c r="J3544" i="5"/>
  <c r="I3544" i="5"/>
  <c r="J3545" i="5"/>
  <c r="I3545" i="5" s="1"/>
  <c r="J3546" i="5"/>
  <c r="I3546" i="5" s="1"/>
  <c r="J3547" i="5"/>
  <c r="I3547" i="5" s="1"/>
  <c r="I3548" i="5"/>
  <c r="I3549" i="5"/>
  <c r="J3550" i="5"/>
  <c r="I3550" i="5" s="1"/>
  <c r="I3551" i="5"/>
  <c r="I3552" i="5"/>
  <c r="I3553" i="5"/>
  <c r="I3554" i="5"/>
  <c r="I3555" i="5"/>
  <c r="I3556" i="5"/>
  <c r="I3557" i="5"/>
  <c r="I3558" i="5"/>
  <c r="I3559" i="5"/>
  <c r="I3560" i="5"/>
  <c r="I3561" i="5"/>
  <c r="I3562" i="5"/>
  <c r="I3563" i="5"/>
  <c r="I3564" i="5"/>
  <c r="I3565" i="5"/>
  <c r="I3566" i="5"/>
  <c r="I3567" i="5"/>
  <c r="I3568" i="5"/>
  <c r="J3569" i="5"/>
  <c r="I3569" i="5" s="1"/>
  <c r="I3570" i="5"/>
  <c r="I3571" i="5"/>
  <c r="I3572" i="5"/>
  <c r="I3573" i="5"/>
  <c r="I3574" i="5"/>
  <c r="I3575" i="5"/>
  <c r="I3576" i="5"/>
  <c r="I3577" i="5"/>
  <c r="I3578" i="5"/>
  <c r="I3579" i="5"/>
  <c r="I3580" i="5"/>
  <c r="I3581" i="5"/>
  <c r="I3582" i="5"/>
  <c r="I3583" i="5"/>
  <c r="I3584" i="5"/>
  <c r="I3585" i="5"/>
  <c r="I3586" i="5"/>
  <c r="I3587" i="5"/>
  <c r="I3588" i="5"/>
  <c r="J3589" i="5"/>
  <c r="I3589" i="5" s="1"/>
  <c r="J3590" i="5"/>
  <c r="I3590" i="5"/>
  <c r="I3591" i="5"/>
  <c r="I3592" i="5"/>
  <c r="I3593" i="5"/>
  <c r="I3594" i="5"/>
  <c r="I3595" i="5"/>
  <c r="I3596" i="5"/>
  <c r="I3597" i="5"/>
  <c r="I3598" i="5"/>
  <c r="I3599" i="5"/>
  <c r="J3600" i="5"/>
  <c r="I3600" i="5"/>
  <c r="I3601" i="5"/>
  <c r="J3602" i="5"/>
  <c r="I3602" i="5"/>
  <c r="J3603" i="5"/>
  <c r="I3603" i="5"/>
  <c r="I3604" i="5"/>
  <c r="I3605" i="5"/>
  <c r="J3606" i="5"/>
  <c r="I3606" i="5" s="1"/>
  <c r="K3606" i="5"/>
  <c r="I3607" i="5"/>
  <c r="J3608" i="5"/>
  <c r="I3608" i="5"/>
  <c r="I3609" i="5"/>
  <c r="I3622" i="5"/>
  <c r="I3623" i="5"/>
  <c r="J3638" i="5"/>
  <c r="I3638" i="5" s="1"/>
  <c r="J3639" i="5"/>
  <c r="I3639" i="5" s="1"/>
  <c r="I3640" i="5"/>
  <c r="J3641" i="5"/>
  <c r="I3641" i="5"/>
  <c r="I3642" i="5"/>
  <c r="J3643" i="5"/>
  <c r="I3643" i="5"/>
  <c r="J3644" i="5"/>
  <c r="I3644" i="5" s="1"/>
  <c r="I3645" i="5"/>
  <c r="J3646" i="5"/>
  <c r="I3646" i="5"/>
  <c r="J3647" i="5"/>
  <c r="I3647" i="5" s="1"/>
  <c r="J3649" i="5"/>
  <c r="I3649" i="5"/>
  <c r="J3652" i="5"/>
  <c r="I3652" i="5"/>
  <c r="I3656" i="5"/>
  <c r="I3657" i="5"/>
  <c r="J3658" i="5"/>
  <c r="I3658" i="5" s="1"/>
  <c r="J3659" i="5"/>
  <c r="I3659" i="5"/>
  <c r="I3660" i="5"/>
  <c r="J3661" i="5"/>
  <c r="I3661" i="5" s="1"/>
  <c r="J3662" i="5"/>
  <c r="I3662" i="5"/>
  <c r="J3663" i="5"/>
  <c r="I3663" i="5"/>
  <c r="I3664" i="5"/>
  <c r="I3665" i="5"/>
  <c r="J3666" i="5"/>
  <c r="I3666" i="5" s="1"/>
  <c r="J3667" i="5"/>
  <c r="I3667" i="5"/>
  <c r="I3668" i="5"/>
  <c r="J3669" i="5"/>
  <c r="I3669" i="5" s="1"/>
  <c r="I3670" i="5"/>
  <c r="I3671" i="5"/>
  <c r="I3672" i="5"/>
  <c r="I3673" i="5"/>
  <c r="I3674" i="5"/>
  <c r="J3675" i="5"/>
  <c r="I3675" i="5" s="1"/>
  <c r="I3676" i="5"/>
  <c r="J3677" i="5"/>
  <c r="I3677" i="5"/>
  <c r="I3678" i="5"/>
  <c r="I3679" i="5"/>
  <c r="I3680" i="5"/>
  <c r="I3681" i="5"/>
  <c r="I3682" i="5"/>
  <c r="I3683" i="5"/>
  <c r="J3689" i="5"/>
  <c r="I3689" i="5"/>
  <c r="J3690" i="5"/>
  <c r="I3690" i="5"/>
  <c r="J3691" i="5"/>
  <c r="I3691" i="5" s="1"/>
  <c r="J3692" i="5"/>
  <c r="I3692" i="5" s="1"/>
  <c r="I3693" i="5"/>
  <c r="J3694" i="5"/>
  <c r="I3694" i="5" s="1"/>
  <c r="J3695" i="5"/>
  <c r="I3695" i="5"/>
  <c r="J3696" i="5"/>
  <c r="I3696" i="5"/>
  <c r="J3697" i="5"/>
  <c r="I3697" i="5" s="1"/>
  <c r="I3699" i="5"/>
  <c r="J3700" i="5"/>
  <c r="I3700" i="5" s="1"/>
  <c r="J3703" i="5"/>
  <c r="I3703" i="5" s="1"/>
  <c r="I3704" i="5"/>
  <c r="I3706" i="5"/>
  <c r="J3707" i="5"/>
  <c r="I3707" i="5"/>
  <c r="I3708" i="5"/>
  <c r="J3710" i="5"/>
  <c r="I3710" i="5"/>
  <c r="J3711" i="5"/>
  <c r="I3711" i="5"/>
  <c r="J3712" i="5"/>
  <c r="I3712" i="5" s="1"/>
  <c r="I3719" i="5"/>
  <c r="I3720" i="5"/>
  <c r="I3721" i="5"/>
  <c r="I3722" i="5"/>
  <c r="I3723" i="5"/>
  <c r="I3724" i="5"/>
  <c r="I3725" i="5"/>
  <c r="I3726" i="5"/>
  <c r="I3727" i="5"/>
  <c r="J3729" i="5"/>
  <c r="I3729" i="5" s="1"/>
  <c r="I3730" i="5"/>
  <c r="I3731" i="5"/>
  <c r="J3732" i="5"/>
  <c r="I3732" i="5" s="1"/>
  <c r="I3733" i="5"/>
  <c r="J3739" i="5"/>
  <c r="I3739" i="5" s="1"/>
  <c r="J3740" i="5"/>
  <c r="I3740" i="5"/>
  <c r="J3741" i="5"/>
  <c r="I3741" i="5"/>
  <c r="I3742" i="5"/>
  <c r="I3743" i="5"/>
  <c r="J3747" i="5"/>
  <c r="I3747" i="5" s="1"/>
  <c r="I3748" i="5"/>
  <c r="J3749" i="5"/>
  <c r="I3749" i="5" s="1"/>
  <c r="I3750" i="5"/>
  <c r="J3752" i="5"/>
  <c r="I3752" i="5" s="1"/>
  <c r="J3753" i="5"/>
  <c r="I3753" i="5" s="1"/>
  <c r="J3755" i="5"/>
  <c r="I3755" i="5"/>
  <c r="I3756" i="5"/>
  <c r="I3757" i="5"/>
  <c r="I3759" i="5"/>
  <c r="J3760" i="5"/>
  <c r="I3760" i="5"/>
  <c r="J3761" i="5"/>
  <c r="I3761" i="5"/>
  <c r="I3762" i="5"/>
  <c r="I3763" i="5"/>
  <c r="J3764" i="5"/>
  <c r="I3764" i="5" s="1"/>
  <c r="J3765" i="5"/>
  <c r="I3765" i="5"/>
  <c r="J3766" i="5"/>
  <c r="I3766" i="5"/>
  <c r="J3767" i="5"/>
  <c r="I3767" i="5" s="1"/>
  <c r="J3768" i="5"/>
  <c r="I3768" i="5" s="1"/>
  <c r="J3769" i="5"/>
  <c r="I3769" i="5"/>
  <c r="J3770" i="5"/>
  <c r="I3770" i="5"/>
  <c r="I3771" i="5"/>
  <c r="J3772" i="5"/>
  <c r="I3772" i="5"/>
  <c r="I3773" i="5"/>
  <c r="I3774" i="5"/>
  <c r="I3775" i="5"/>
  <c r="J3776" i="5"/>
  <c r="I3776" i="5"/>
  <c r="I3777" i="5"/>
  <c r="J3778" i="5"/>
  <c r="I3778" i="5"/>
  <c r="I3779" i="5"/>
  <c r="I3780" i="5"/>
  <c r="I3781" i="5"/>
  <c r="I3782" i="5"/>
  <c r="J3783" i="5"/>
  <c r="I3783" i="5"/>
  <c r="J3786" i="5"/>
  <c r="I3786" i="5"/>
  <c r="J3787" i="5"/>
  <c r="I3787" i="5" s="1"/>
  <c r="J3788" i="5"/>
  <c r="I3788" i="5" s="1"/>
  <c r="I3789" i="5"/>
  <c r="J3790" i="5"/>
  <c r="I3790" i="5" s="1"/>
  <c r="J3791" i="5"/>
  <c r="I3791" i="5" s="1"/>
  <c r="I3792" i="5"/>
  <c r="J3793" i="5"/>
  <c r="I3793" i="5" s="1"/>
  <c r="I3794" i="5"/>
  <c r="J3795" i="5"/>
  <c r="I3795" i="5" s="1"/>
  <c r="J3796" i="5"/>
  <c r="I3796" i="5" s="1"/>
  <c r="J3797" i="5"/>
  <c r="I3797" i="5"/>
  <c r="J3798" i="5"/>
  <c r="I3798" i="5"/>
  <c r="J3799" i="5"/>
  <c r="I3799" i="5" s="1"/>
  <c r="J3800" i="5"/>
  <c r="I3800" i="5" s="1"/>
  <c r="J3801" i="5"/>
  <c r="I3801" i="5"/>
  <c r="J3802" i="5"/>
  <c r="I3802" i="5"/>
  <c r="J3803" i="5"/>
  <c r="I3803" i="5" s="1"/>
  <c r="I3804" i="5"/>
  <c r="I3805" i="5"/>
  <c r="I3806" i="5"/>
  <c r="J3807" i="5"/>
  <c r="I3807" i="5" s="1"/>
  <c r="J3809" i="5"/>
  <c r="I3809" i="5"/>
  <c r="I3811" i="5"/>
  <c r="J3812" i="5"/>
  <c r="I3812" i="5" s="1"/>
  <c r="J3813" i="5"/>
  <c r="I3813" i="5"/>
  <c r="J3814" i="5"/>
  <c r="I3814" i="5"/>
  <c r="I3815" i="5"/>
  <c r="J3818" i="5"/>
  <c r="I3818" i="5" s="1"/>
  <c r="J3819" i="5"/>
  <c r="I3819" i="5" s="1"/>
  <c r="J3820" i="5"/>
  <c r="I3820" i="5" s="1"/>
  <c r="J3821" i="5"/>
  <c r="I3821" i="5"/>
  <c r="J3822" i="5"/>
  <c r="I3822" i="5" s="1"/>
  <c r="J3824" i="5"/>
  <c r="I3824" i="5" s="1"/>
  <c r="I3826" i="5"/>
  <c r="J3827" i="5"/>
  <c r="I3827" i="5"/>
  <c r="I3828" i="5"/>
  <c r="I3829" i="5"/>
  <c r="I3830" i="5"/>
  <c r="I3831" i="5"/>
  <c r="J3835" i="5"/>
  <c r="I3835" i="5"/>
  <c r="J3836" i="5"/>
  <c r="I3836" i="5"/>
  <c r="J3837" i="5"/>
  <c r="I3837" i="5" s="1"/>
  <c r="J3838" i="5"/>
  <c r="I3838" i="5"/>
  <c r="J3839" i="5"/>
  <c r="I3839" i="5"/>
  <c r="I3845" i="5"/>
  <c r="I3846" i="5"/>
  <c r="J3847" i="5"/>
  <c r="I3847" i="5" s="1"/>
  <c r="J3858" i="5"/>
  <c r="I3858" i="5"/>
  <c r="J3859" i="5"/>
  <c r="I3859" i="5"/>
  <c r="I3860" i="5"/>
  <c r="I3862" i="5"/>
  <c r="J3864" i="5"/>
  <c r="I3864" i="5" s="1"/>
  <c r="J3865" i="5"/>
  <c r="I3865" i="5"/>
  <c r="I3867" i="5"/>
  <c r="I3868" i="5"/>
  <c r="J3869" i="5"/>
  <c r="I3869" i="5"/>
  <c r="J3870" i="5"/>
  <c r="I3870" i="5" s="1"/>
  <c r="J3871" i="5"/>
  <c r="I3871" i="5"/>
  <c r="I3872" i="5"/>
  <c r="I3873" i="5"/>
  <c r="J3874" i="5"/>
  <c r="I3874" i="5"/>
  <c r="J3875" i="5"/>
  <c r="I3875" i="5" s="1"/>
  <c r="J3876" i="5"/>
  <c r="I3876" i="5"/>
  <c r="I3877" i="5"/>
  <c r="J3878" i="5"/>
  <c r="I3878" i="5" s="1"/>
  <c r="J3889" i="5"/>
  <c r="I3889" i="5"/>
  <c r="J3890" i="5"/>
  <c r="I3890" i="5"/>
  <c r="I3891" i="5"/>
  <c r="J3892" i="5"/>
  <c r="I3892" i="5"/>
  <c r="J3893" i="5"/>
  <c r="I3893" i="5"/>
  <c r="I3894" i="5"/>
  <c r="J3895" i="5"/>
  <c r="I3895" i="5"/>
  <c r="J3896" i="5"/>
  <c r="I3896" i="5" s="1"/>
  <c r="J3897" i="5"/>
  <c r="I3897" i="5" s="1"/>
  <c r="J3898" i="5"/>
  <c r="I3898" i="5"/>
  <c r="J3899" i="5"/>
  <c r="I3899" i="5"/>
  <c r="J3900" i="5"/>
  <c r="I3900" i="5" s="1"/>
  <c r="J3901" i="5"/>
  <c r="I3901" i="5" s="1"/>
  <c r="J3902" i="5"/>
  <c r="I3902" i="5"/>
  <c r="I3903" i="5"/>
  <c r="I3904" i="5"/>
  <c r="I3905" i="5"/>
  <c r="J3906" i="5"/>
  <c r="I3906" i="5"/>
  <c r="J3907" i="5"/>
  <c r="I3907" i="5"/>
  <c r="J3908" i="5"/>
  <c r="I3908" i="5" s="1"/>
  <c r="I3909" i="5"/>
  <c r="I3910" i="5"/>
  <c r="I3911" i="5"/>
  <c r="I3912" i="5"/>
  <c r="J3913" i="5"/>
  <c r="I3913" i="5"/>
  <c r="J3914" i="5"/>
  <c r="I3914" i="5" s="1"/>
  <c r="J3915" i="5"/>
  <c r="I3915" i="5" s="1"/>
  <c r="I3916" i="5"/>
  <c r="I3917" i="5"/>
  <c r="I3918" i="5"/>
  <c r="J3919" i="5"/>
  <c r="I3919" i="5"/>
  <c r="J3920" i="5"/>
  <c r="I3920" i="5"/>
  <c r="J3921" i="5"/>
  <c r="I3921" i="5" s="1"/>
  <c r="I3922" i="5"/>
  <c r="J3923" i="5"/>
  <c r="I3923" i="5"/>
  <c r="I3924" i="5"/>
  <c r="I3925" i="5"/>
  <c r="J3926" i="5"/>
  <c r="I3926" i="5" s="1"/>
  <c r="I3927" i="5"/>
  <c r="J3928" i="5"/>
  <c r="I3928" i="5" s="1"/>
  <c r="I3929" i="5"/>
  <c r="I3930" i="5"/>
  <c r="J3931" i="5"/>
  <c r="I3931" i="5"/>
  <c r="I3932" i="5"/>
  <c r="I3933" i="5"/>
  <c r="J3937" i="5"/>
  <c r="I3937" i="5" s="1"/>
  <c r="I3938" i="5"/>
  <c r="J3942" i="5"/>
  <c r="I3942" i="5" s="1"/>
  <c r="J3943" i="5"/>
  <c r="I3943" i="5" s="1"/>
  <c r="J3944" i="5"/>
  <c r="I3944" i="5"/>
  <c r="I3945" i="5"/>
  <c r="J3946" i="5"/>
  <c r="I3946" i="5"/>
  <c r="J3947" i="5"/>
  <c r="I3947" i="5" s="1"/>
  <c r="I3948" i="5"/>
  <c r="J3949" i="5"/>
  <c r="I3949" i="5"/>
  <c r="I3950" i="5"/>
  <c r="I3951" i="5"/>
  <c r="I3952" i="5"/>
  <c r="I3953" i="5"/>
  <c r="I3954" i="5"/>
  <c r="I3955" i="5"/>
  <c r="I3958" i="5"/>
  <c r="I3959" i="5"/>
  <c r="J3960" i="5"/>
  <c r="I3960" i="5" s="1"/>
  <c r="I3961" i="5"/>
  <c r="I3962" i="5"/>
  <c r="I3965" i="5"/>
  <c r="J3966" i="5"/>
  <c r="I3966" i="5" s="1"/>
  <c r="J3967" i="5"/>
  <c r="I3967" i="5" s="1"/>
  <c r="J3968" i="5"/>
  <c r="I3968" i="5"/>
  <c r="J3969" i="5"/>
  <c r="I3969" i="5"/>
  <c r="I3970" i="5"/>
  <c r="I3972" i="5"/>
  <c r="I3974" i="5"/>
  <c r="J3975" i="5"/>
  <c r="I3975" i="5"/>
  <c r="J3978" i="5"/>
  <c r="I3978" i="5" s="1"/>
  <c r="J3979" i="5"/>
  <c r="I3979" i="5" s="1"/>
  <c r="I3980" i="5"/>
  <c r="I3981" i="5"/>
  <c r="J3982" i="5"/>
  <c r="I3982" i="5"/>
  <c r="I3983" i="5"/>
  <c r="J3984" i="5"/>
  <c r="I3984" i="5"/>
  <c r="J3985" i="5"/>
  <c r="I3985" i="5"/>
  <c r="I3986" i="5"/>
  <c r="J3987" i="5"/>
  <c r="I3987" i="5"/>
  <c r="J3990" i="5"/>
  <c r="I3990" i="5" s="1"/>
  <c r="I3991" i="5"/>
  <c r="J3992" i="5"/>
  <c r="I3992" i="5"/>
  <c r="I3995" i="5"/>
  <c r="J3996" i="5"/>
  <c r="I3996" i="5"/>
  <c r="J3997" i="5"/>
  <c r="I3997" i="5" s="1"/>
  <c r="I3998" i="5"/>
  <c r="I3999" i="5"/>
  <c r="I4000" i="5"/>
  <c r="J4002" i="5"/>
  <c r="I4002" i="5" s="1"/>
  <c r="J4005" i="5"/>
  <c r="I4005" i="5"/>
  <c r="I4006" i="5"/>
  <c r="I4007" i="5"/>
  <c r="I4008" i="5"/>
  <c r="J4009" i="5"/>
  <c r="I4009" i="5"/>
  <c r="J4011" i="5"/>
  <c r="I4011" i="5"/>
  <c r="J4012" i="5"/>
  <c r="I4012" i="5" s="1"/>
  <c r="J4013" i="5"/>
  <c r="I4013" i="5" s="1"/>
  <c r="I4014" i="5"/>
  <c r="J4015" i="5"/>
  <c r="I4015" i="5" s="1"/>
  <c r="J4016" i="5"/>
  <c r="I4016" i="5"/>
  <c r="I4017" i="5"/>
  <c r="I4018" i="5"/>
  <c r="J4019" i="5"/>
  <c r="I4019" i="5"/>
  <c r="I4020" i="5"/>
  <c r="I4021" i="5"/>
  <c r="J4022" i="5"/>
  <c r="I4022" i="5"/>
  <c r="J4024" i="5"/>
  <c r="I4024" i="5"/>
  <c r="J4025" i="5"/>
  <c r="I4025" i="5"/>
  <c r="I4026" i="5"/>
  <c r="J4028" i="5"/>
  <c r="I4028" i="5"/>
  <c r="J4029" i="5"/>
  <c r="I4029" i="5" s="1"/>
  <c r="J4030" i="5"/>
  <c r="I4030" i="5" s="1"/>
  <c r="J4031" i="5"/>
  <c r="I4031" i="5"/>
  <c r="J4032" i="5"/>
  <c r="I4032" i="5"/>
  <c r="J4033" i="5"/>
  <c r="I4033" i="5" s="1"/>
  <c r="I4035" i="5"/>
  <c r="J4041" i="5"/>
  <c r="I4041" i="5"/>
  <c r="J4042" i="5"/>
  <c r="I4042" i="5" s="1"/>
  <c r="J4043" i="5"/>
  <c r="I4043" i="5"/>
  <c r="J4044" i="5"/>
  <c r="I4044" i="5"/>
  <c r="I4045" i="5"/>
  <c r="J4046" i="5"/>
  <c r="I4046" i="5"/>
  <c r="I4047" i="5"/>
  <c r="I4048" i="5"/>
  <c r="I4049" i="5"/>
  <c r="J4050" i="5"/>
  <c r="I4050" i="5"/>
  <c r="J4051" i="5"/>
  <c r="I4051" i="5"/>
  <c r="I4052" i="5"/>
  <c r="J4053" i="5"/>
  <c r="I4053" i="5"/>
  <c r="J4057" i="5"/>
  <c r="I4057" i="5" s="1"/>
  <c r="J4058" i="5"/>
  <c r="I4058" i="5" s="1"/>
  <c r="I4059" i="5"/>
  <c r="J4060" i="5"/>
  <c r="I4060" i="5" s="1"/>
  <c r="I4061" i="5"/>
  <c r="J4062" i="5"/>
  <c r="I4062" i="5" s="1"/>
  <c r="J4063" i="5"/>
  <c r="I4063" i="5" s="1"/>
  <c r="J4064" i="5"/>
  <c r="I4064" i="5"/>
  <c r="J4065" i="5"/>
  <c r="I4065" i="5"/>
  <c r="I4066" i="5"/>
  <c r="I4067" i="5"/>
  <c r="J4068" i="5"/>
  <c r="I4068" i="5" s="1"/>
  <c r="I4069" i="5"/>
  <c r="I4070" i="5"/>
  <c r="I4071" i="5"/>
  <c r="I4072" i="5"/>
  <c r="I4073" i="5"/>
  <c r="I4074" i="5"/>
  <c r="I4075" i="5"/>
  <c r="I4076" i="5"/>
  <c r="I4077" i="5"/>
  <c r="I4078" i="5"/>
  <c r="I4079" i="5"/>
  <c r="I4080" i="5"/>
  <c r="I4081" i="5"/>
  <c r="I4082" i="5"/>
  <c r="I4083" i="5"/>
  <c r="I4084" i="5"/>
  <c r="I4085" i="5"/>
  <c r="I4086" i="5"/>
  <c r="I4087" i="5"/>
  <c r="I4088" i="5"/>
  <c r="I4089" i="5"/>
  <c r="I4090" i="5"/>
  <c r="I4091" i="5"/>
  <c r="I4092" i="5"/>
  <c r="I4093" i="5"/>
  <c r="I4094" i="5"/>
  <c r="I4095" i="5"/>
  <c r="I4096" i="5"/>
  <c r="I4097" i="5"/>
  <c r="I4098" i="5"/>
  <c r="I4099" i="5"/>
  <c r="I4100" i="5"/>
  <c r="I4101" i="5"/>
  <c r="I4102" i="5"/>
  <c r="I4103" i="5"/>
  <c r="I4104" i="5"/>
  <c r="I4105" i="5"/>
  <c r="I4106" i="5"/>
  <c r="I4107" i="5"/>
  <c r="I4108" i="5"/>
  <c r="I4109" i="5"/>
  <c r="I4110" i="5"/>
  <c r="I4111" i="5"/>
  <c r="I4112" i="5"/>
  <c r="I4113" i="5"/>
  <c r="I4114" i="5"/>
  <c r="I4115" i="5"/>
  <c r="I4116" i="5"/>
  <c r="I4117" i="5"/>
  <c r="I4118" i="5"/>
  <c r="I4119" i="5"/>
  <c r="I4120" i="5"/>
  <c r="J4121" i="5"/>
  <c r="I4121" i="5" s="1"/>
  <c r="I4122" i="5"/>
  <c r="I4123" i="5"/>
  <c r="I4124" i="5"/>
  <c r="I4125" i="5"/>
  <c r="I4126" i="5"/>
  <c r="I4127" i="5"/>
  <c r="I4128" i="5"/>
  <c r="I4129" i="5"/>
  <c r="I4130" i="5"/>
  <c r="I4131" i="5"/>
  <c r="I4132" i="5"/>
  <c r="I4133" i="5"/>
  <c r="I4134" i="5"/>
  <c r="I4135" i="5"/>
  <c r="I4136" i="5"/>
  <c r="I4137" i="5"/>
  <c r="I4138" i="5"/>
  <c r="I4139" i="5"/>
  <c r="I4140" i="5"/>
  <c r="I4141" i="5"/>
  <c r="I4142" i="5"/>
  <c r="I4143" i="5"/>
  <c r="I4144" i="5"/>
  <c r="I4145" i="5"/>
  <c r="I4146" i="5"/>
  <c r="I4147" i="5"/>
  <c r="I4148" i="5"/>
  <c r="I4149" i="5"/>
  <c r="I4150" i="5"/>
  <c r="I4151" i="5"/>
  <c r="I4152" i="5"/>
  <c r="I4153" i="5"/>
  <c r="I4154" i="5"/>
  <c r="I4155" i="5"/>
  <c r="I4156" i="5"/>
  <c r="I4157" i="5"/>
  <c r="I4158" i="5"/>
  <c r="I4159" i="5"/>
  <c r="I4160" i="5"/>
  <c r="I4161" i="5"/>
  <c r="I4162" i="5"/>
  <c r="I4163" i="5"/>
  <c r="I4164" i="5"/>
  <c r="I4165" i="5"/>
  <c r="I4166" i="5"/>
  <c r="I4167" i="5"/>
  <c r="I4168" i="5"/>
  <c r="I4169" i="5"/>
  <c r="I4170" i="5"/>
  <c r="I4171" i="5"/>
  <c r="I4172" i="5"/>
  <c r="I4173" i="5"/>
  <c r="I4174" i="5"/>
  <c r="I4175" i="5"/>
  <c r="I4176" i="5"/>
  <c r="I4177" i="5"/>
  <c r="I4178" i="5"/>
  <c r="I4179" i="5"/>
  <c r="I4180" i="5"/>
  <c r="I4181" i="5"/>
  <c r="I4182" i="5"/>
  <c r="I4183" i="5"/>
  <c r="I4184" i="5"/>
  <c r="I4185" i="5"/>
  <c r="I4186" i="5"/>
  <c r="I4187" i="5"/>
  <c r="I4188" i="5"/>
  <c r="I4189" i="5"/>
  <c r="I4190" i="5"/>
  <c r="I4191" i="5"/>
  <c r="I4192" i="5"/>
  <c r="I4193" i="5"/>
  <c r="I4194" i="5"/>
  <c r="I4195" i="5"/>
  <c r="I4196" i="5"/>
  <c r="I4197" i="5"/>
  <c r="I4198" i="5"/>
  <c r="I4199" i="5"/>
  <c r="I4200" i="5"/>
  <c r="I4201" i="5"/>
  <c r="I4202" i="5"/>
  <c r="I4203" i="5"/>
  <c r="I4204" i="5"/>
  <c r="I4205" i="5"/>
  <c r="I4206" i="5"/>
  <c r="I4207" i="5"/>
  <c r="I4208" i="5"/>
  <c r="I4209" i="5"/>
  <c r="I4210" i="5"/>
  <c r="I4211" i="5"/>
  <c r="I4212" i="5"/>
  <c r="I4213" i="5"/>
  <c r="I4214" i="5"/>
  <c r="I4215" i="5"/>
  <c r="I4216" i="5"/>
  <c r="I4217" i="5"/>
  <c r="I4218" i="5"/>
  <c r="I4219" i="5"/>
  <c r="I4220" i="5"/>
  <c r="I4221" i="5"/>
  <c r="I4222" i="5"/>
  <c r="I4223" i="5"/>
  <c r="I4224" i="5"/>
  <c r="I4225" i="5"/>
  <c r="I4226" i="5"/>
  <c r="I4227" i="5"/>
  <c r="I4228" i="5"/>
  <c r="I4229" i="5"/>
  <c r="I4230" i="5"/>
  <c r="I4231" i="5"/>
  <c r="I4232" i="5"/>
  <c r="I4233" i="5"/>
  <c r="I4234" i="5"/>
  <c r="I4235" i="5"/>
  <c r="I4236" i="5"/>
  <c r="I4238" i="5"/>
  <c r="I4239" i="5"/>
  <c r="I4240" i="5"/>
  <c r="I4241" i="5"/>
  <c r="I4242" i="5"/>
  <c r="I4243" i="5"/>
  <c r="I4244" i="5"/>
  <c r="I4246" i="5"/>
  <c r="I4247" i="5"/>
  <c r="J4248" i="5"/>
  <c r="I4248" i="5" s="1"/>
  <c r="I4249" i="5"/>
  <c r="I4250" i="5"/>
  <c r="I4251" i="5"/>
  <c r="I4252" i="5"/>
  <c r="I4253" i="5"/>
  <c r="I4254" i="5"/>
  <c r="I4255" i="5"/>
  <c r="I4256" i="5"/>
  <c r="I4257" i="5"/>
  <c r="I4258" i="5"/>
  <c r="I4259" i="5"/>
  <c r="I4260" i="5"/>
  <c r="I4261" i="5"/>
  <c r="I4262" i="5"/>
  <c r="I4263" i="5"/>
  <c r="I4264" i="5"/>
  <c r="I4265" i="5"/>
  <c r="I4266" i="5"/>
  <c r="I4267" i="5"/>
  <c r="I4268" i="5"/>
  <c r="I4269" i="5"/>
  <c r="I4270" i="5"/>
  <c r="I4272" i="5"/>
  <c r="I4273" i="5"/>
  <c r="I4274" i="5"/>
  <c r="I4275" i="5"/>
  <c r="I4276" i="5"/>
  <c r="I4277" i="5"/>
  <c r="I4282" i="5"/>
  <c r="I4283" i="5"/>
  <c r="I4284" i="5"/>
  <c r="I4285" i="5"/>
  <c r="I4286" i="5"/>
  <c r="I4287" i="5"/>
  <c r="I4288" i="5"/>
  <c r="I4289" i="5"/>
  <c r="I4290" i="5"/>
  <c r="I4291" i="5"/>
  <c r="I4292" i="5"/>
  <c r="I4293" i="5"/>
  <c r="I4294" i="5"/>
  <c r="I4295" i="5"/>
  <c r="I4296" i="5"/>
  <c r="I4297" i="5"/>
  <c r="I4298" i="5"/>
  <c r="I4299" i="5"/>
  <c r="I4300" i="5"/>
  <c r="I4301" i="5"/>
  <c r="I4302" i="5"/>
  <c r="I4303" i="5"/>
  <c r="I4304" i="5"/>
  <c r="I4305" i="5"/>
  <c r="I4306" i="5"/>
  <c r="I4307" i="5"/>
  <c r="I4308" i="5"/>
  <c r="I4313" i="5"/>
  <c r="I4314" i="5"/>
  <c r="I4315" i="5"/>
  <c r="I4316" i="5"/>
  <c r="I4317" i="5"/>
  <c r="I4318" i="5"/>
  <c r="I4319" i="5"/>
  <c r="I4320" i="5"/>
  <c r="I4321" i="5"/>
  <c r="I4322" i="5"/>
  <c r="I4323" i="5"/>
  <c r="J4324" i="5"/>
  <c r="I4324" i="5" s="1"/>
  <c r="I4325" i="5"/>
  <c r="I4326" i="5"/>
  <c r="I4327" i="5"/>
  <c r="I4328" i="5"/>
  <c r="I4329" i="5"/>
  <c r="I4330" i="5"/>
  <c r="I4331" i="5"/>
  <c r="I4332" i="5"/>
  <c r="I4333" i="5"/>
  <c r="I4334" i="5"/>
  <c r="I4335" i="5"/>
  <c r="I4336" i="5"/>
  <c r="I4337" i="5"/>
  <c r="I4338" i="5"/>
  <c r="I4339" i="5"/>
  <c r="I4340" i="5"/>
  <c r="I4341" i="5"/>
  <c r="I4342" i="5"/>
  <c r="I4343" i="5"/>
  <c r="I4344" i="5"/>
  <c r="I4345" i="5"/>
  <c r="I4346" i="5"/>
  <c r="I4347" i="5"/>
  <c r="I4348" i="5"/>
  <c r="I4349" i="5"/>
  <c r="I4350" i="5"/>
  <c r="I4351" i="5"/>
  <c r="I4352" i="5"/>
  <c r="I4353" i="5"/>
  <c r="J4354" i="5"/>
  <c r="I4354" i="5" s="1"/>
  <c r="I4355" i="5"/>
  <c r="I4356" i="5"/>
  <c r="I4357" i="5"/>
  <c r="I4358" i="5"/>
  <c r="I4359" i="5"/>
  <c r="I4360" i="5"/>
  <c r="I4361" i="5"/>
  <c r="I4362" i="5"/>
  <c r="I4363" i="5"/>
  <c r="I4364" i="5"/>
  <c r="I4365" i="5"/>
  <c r="I4366" i="5"/>
  <c r="I4367" i="5"/>
  <c r="I4368" i="5"/>
  <c r="I4369" i="5"/>
  <c r="I4370" i="5"/>
  <c r="I4371" i="5"/>
  <c r="I4372" i="5"/>
  <c r="I4373" i="5"/>
  <c r="I4374" i="5"/>
  <c r="I4375" i="5"/>
  <c r="I4376" i="5"/>
  <c r="I4377" i="5"/>
  <c r="I4378" i="5"/>
  <c r="I4379" i="5"/>
  <c r="I4380" i="5"/>
  <c r="I4381" i="5"/>
  <c r="I4382" i="5"/>
  <c r="I4383" i="5"/>
  <c r="I4384" i="5"/>
  <c r="I4385" i="5"/>
  <c r="I4386" i="5"/>
  <c r="I4387" i="5"/>
  <c r="I4388" i="5"/>
  <c r="I4390" i="5"/>
  <c r="I4391" i="5"/>
  <c r="I4392" i="5"/>
  <c r="I4393" i="5"/>
  <c r="I4394" i="5"/>
  <c r="I4395" i="5"/>
  <c r="I4396" i="5"/>
  <c r="I4397" i="5"/>
  <c r="I4398" i="5"/>
  <c r="I4399" i="5"/>
  <c r="I4400" i="5"/>
  <c r="I4401" i="5"/>
  <c r="I4402" i="5"/>
  <c r="I4403" i="5"/>
  <c r="I4404" i="5"/>
  <c r="I4405" i="5"/>
  <c r="I4406" i="5"/>
  <c r="I4407" i="5"/>
  <c r="I4408" i="5"/>
  <c r="I4409" i="5"/>
  <c r="I4410" i="5"/>
  <c r="I4411" i="5"/>
  <c r="I4412" i="5"/>
  <c r="I4413" i="5"/>
  <c r="I4414" i="5"/>
  <c r="I4415" i="5"/>
  <c r="I4416" i="5"/>
  <c r="I4417" i="5"/>
  <c r="I4418" i="5"/>
  <c r="I4419" i="5"/>
  <c r="I4420" i="5"/>
  <c r="I4421" i="5"/>
  <c r="I4422" i="5"/>
  <c r="I4423" i="5"/>
  <c r="I4424" i="5"/>
  <c r="I4425" i="5"/>
  <c r="I4426" i="5"/>
  <c r="I4429" i="5"/>
  <c r="I4430" i="5"/>
  <c r="I4431" i="5"/>
  <c r="I4432" i="5"/>
  <c r="I4433" i="5"/>
  <c r="I4434" i="5"/>
  <c r="I4435" i="5"/>
  <c r="I4436" i="5"/>
  <c r="I4437" i="5"/>
  <c r="I4438" i="5"/>
  <c r="I4439" i="5"/>
  <c r="I4440" i="5"/>
  <c r="I4441" i="5"/>
  <c r="I4442" i="5"/>
  <c r="I4443" i="5"/>
  <c r="I4444" i="5"/>
  <c r="I4445" i="5"/>
  <c r="J4446" i="5"/>
  <c r="I4446" i="5" s="1"/>
  <c r="J4447" i="5"/>
  <c r="I4447" i="5" s="1"/>
  <c r="I4448" i="5"/>
  <c r="I4449" i="5"/>
  <c r="I4450" i="5"/>
  <c r="I4451" i="5"/>
  <c r="I4452" i="5"/>
  <c r="I4453" i="5"/>
  <c r="I4454" i="5"/>
  <c r="I4455" i="5"/>
  <c r="I4457" i="5"/>
  <c r="I4458" i="5"/>
  <c r="I4459" i="5"/>
  <c r="I4460" i="5"/>
  <c r="I4461" i="5"/>
  <c r="I4462" i="5"/>
  <c r="I4463" i="5"/>
  <c r="I4464" i="5"/>
  <c r="I4465" i="5"/>
  <c r="I4466" i="5"/>
  <c r="I4467" i="5"/>
  <c r="I4468" i="5"/>
  <c r="I4469" i="5"/>
  <c r="I4470" i="5"/>
  <c r="I4471" i="5"/>
  <c r="I4472" i="5"/>
  <c r="I4473" i="5"/>
  <c r="I4474" i="5"/>
  <c r="I4475" i="5"/>
  <c r="I4476" i="5"/>
  <c r="I4477" i="5"/>
  <c r="I4478" i="5"/>
  <c r="I4479" i="5"/>
  <c r="I4480" i="5"/>
  <c r="I4481" i="5"/>
  <c r="I4482" i="5"/>
  <c r="I4483" i="5"/>
  <c r="I4484" i="5"/>
  <c r="I4485" i="5"/>
  <c r="I4486" i="5"/>
  <c r="I4487" i="5"/>
  <c r="I4488" i="5"/>
  <c r="I4489" i="5"/>
  <c r="I4490" i="5"/>
  <c r="I4491" i="5"/>
  <c r="I4492" i="5"/>
  <c r="I4493" i="5"/>
  <c r="I4494" i="5"/>
  <c r="I4495" i="5"/>
  <c r="I4496" i="5"/>
  <c r="I4497" i="5"/>
  <c r="I4498" i="5"/>
  <c r="I4499" i="5"/>
  <c r="I4500" i="5"/>
  <c r="I4501" i="5"/>
  <c r="I4502" i="5"/>
  <c r="I4503" i="5"/>
  <c r="I4504" i="5"/>
  <c r="I4505" i="5"/>
  <c r="I4506" i="5"/>
  <c r="I4507" i="5"/>
  <c r="I4508" i="5"/>
  <c r="I4509" i="5"/>
  <c r="I4510" i="5"/>
  <c r="J4511" i="5"/>
  <c r="I4511" i="5" s="1"/>
  <c r="I4512" i="5"/>
  <c r="I4513" i="5"/>
  <c r="I4514" i="5"/>
  <c r="I4515" i="5"/>
  <c r="I4516" i="5"/>
  <c r="N4518" i="5"/>
  <c r="I4519" i="5"/>
  <c r="I4520" i="5"/>
  <c r="I4521" i="5"/>
  <c r="I4522" i="5"/>
  <c r="I4523" i="5"/>
  <c r="I4524" i="5"/>
  <c r="I4525" i="5"/>
  <c r="I4526" i="5"/>
  <c r="I4527" i="5"/>
  <c r="I4528" i="5"/>
  <c r="N4528" i="5"/>
  <c r="I4529" i="5"/>
  <c r="I4530" i="5"/>
  <c r="I4533" i="5"/>
  <c r="I4534" i="5"/>
  <c r="I4535" i="5"/>
  <c r="I4536" i="5"/>
  <c r="I4537" i="5"/>
  <c r="I4538" i="5"/>
  <c r="I4539" i="5"/>
  <c r="I4540" i="5"/>
  <c r="I4541" i="5"/>
  <c r="I4542" i="5"/>
  <c r="I4543" i="5"/>
  <c r="I4544" i="5"/>
  <c r="I4545" i="5"/>
  <c r="I4546" i="5"/>
  <c r="I4547" i="5"/>
  <c r="I4548" i="5"/>
  <c r="I4549" i="5"/>
  <c r="I4550" i="5"/>
  <c r="I4551" i="5"/>
  <c r="I4552" i="5"/>
  <c r="I4555" i="5"/>
  <c r="I4556" i="5"/>
  <c r="I4558" i="5"/>
  <c r="I4559" i="5"/>
  <c r="I4560" i="5"/>
  <c r="I4561" i="5"/>
  <c r="I4562" i="5"/>
  <c r="I4563" i="5"/>
  <c r="I4564" i="5"/>
  <c r="I4565" i="5"/>
  <c r="I4566" i="5"/>
  <c r="I4567" i="5"/>
  <c r="I4568" i="5"/>
  <c r="I4569" i="5"/>
  <c r="I4570" i="5"/>
  <c r="I4571" i="5"/>
  <c r="I4572" i="5"/>
  <c r="J4573" i="5"/>
  <c r="I4573" i="5"/>
  <c r="I4574" i="5"/>
  <c r="I4576" i="5"/>
  <c r="I4577" i="5"/>
  <c r="I4578" i="5"/>
  <c r="I4579" i="5"/>
  <c r="I4580" i="5"/>
  <c r="I4586" i="5"/>
  <c r="I4587" i="5"/>
  <c r="I4588" i="5"/>
  <c r="I4589" i="5"/>
  <c r="I4590" i="5"/>
  <c r="I4591" i="5"/>
  <c r="I4592" i="5"/>
  <c r="I4593" i="5"/>
  <c r="I4596" i="5"/>
  <c r="I4597" i="5"/>
  <c r="I4598" i="5"/>
  <c r="I4599" i="5"/>
  <c r="I4600" i="5"/>
  <c r="I4601" i="5"/>
  <c r="I4602" i="5"/>
  <c r="I4603" i="5"/>
  <c r="I4604" i="5"/>
  <c r="I4605" i="5"/>
  <c r="I4606" i="5"/>
  <c r="I4607" i="5"/>
  <c r="J4608" i="5"/>
  <c r="I4608" i="5" s="1"/>
  <c r="I4609" i="5"/>
  <c r="J4610" i="5"/>
  <c r="I4610" i="5" s="1"/>
  <c r="I4611" i="5"/>
  <c r="I4612" i="5"/>
  <c r="I4613" i="5"/>
  <c r="I4614" i="5"/>
  <c r="I4615" i="5"/>
  <c r="I4616" i="5"/>
  <c r="I4617" i="5"/>
  <c r="I4618" i="5"/>
  <c r="I4619" i="5"/>
  <c r="I4620" i="5"/>
  <c r="I4621" i="5"/>
  <c r="I4622" i="5"/>
  <c r="I4623" i="5"/>
  <c r="I4624" i="5"/>
  <c r="I4625" i="5"/>
  <c r="I4626" i="5"/>
  <c r="I4627" i="5"/>
  <c r="I4628" i="5"/>
  <c r="I4629" i="5"/>
  <c r="I4630" i="5"/>
  <c r="J4631" i="5"/>
  <c r="I4631" i="5"/>
  <c r="I4632" i="5"/>
  <c r="I4633" i="5"/>
  <c r="I4634" i="5"/>
  <c r="I4635" i="5"/>
  <c r="I4636" i="5"/>
  <c r="J4637" i="5"/>
  <c r="I4637" i="5" s="1"/>
  <c r="I4638" i="5"/>
  <c r="I4642" i="5"/>
  <c r="I4643" i="5"/>
  <c r="I4644" i="5"/>
  <c r="I4645" i="5"/>
  <c r="I4646" i="5"/>
  <c r="I4647" i="5"/>
  <c r="I4648" i="5"/>
  <c r="I4649" i="5"/>
  <c r="I4650" i="5"/>
  <c r="I4651" i="5"/>
  <c r="I4652" i="5"/>
  <c r="I4653" i="5"/>
  <c r="I4654" i="5"/>
  <c r="I4655" i="5"/>
  <c r="I4656" i="5"/>
  <c r="I4658" i="5"/>
  <c r="I4659" i="5"/>
  <c r="I4661" i="5"/>
  <c r="I4662" i="5"/>
  <c r="I4663" i="5"/>
  <c r="I4664" i="5"/>
  <c r="I4665" i="5"/>
  <c r="I4666" i="5"/>
  <c r="I4667" i="5"/>
  <c r="I4668" i="5"/>
  <c r="I4669" i="5"/>
  <c r="J4670" i="5"/>
  <c r="I4670" i="5" s="1"/>
  <c r="I4671" i="5"/>
  <c r="I4672" i="5"/>
  <c r="I4673" i="5"/>
  <c r="I4676" i="5"/>
  <c r="J4677" i="5"/>
  <c r="I4677" i="5"/>
  <c r="I4678" i="5"/>
  <c r="I4679" i="5"/>
  <c r="I4680" i="5"/>
  <c r="I4681" i="5"/>
  <c r="I4682" i="5"/>
  <c r="I4683" i="5"/>
  <c r="I4684" i="5"/>
  <c r="I4685" i="5"/>
  <c r="I4686" i="5"/>
  <c r="I4687" i="5"/>
  <c r="I4688" i="5"/>
  <c r="I4689" i="5"/>
  <c r="I4690" i="5"/>
  <c r="I4691" i="5"/>
  <c r="I4692" i="5"/>
  <c r="J4693" i="5"/>
  <c r="I4693" i="5"/>
  <c r="I4694" i="5"/>
  <c r="I4695" i="5"/>
  <c r="I4696" i="5"/>
  <c r="I4697" i="5"/>
  <c r="I4698" i="5"/>
  <c r="J4699" i="5"/>
  <c r="I4699" i="5" s="1"/>
  <c r="I4700" i="5"/>
  <c r="I4701" i="5"/>
  <c r="I4702" i="5"/>
  <c r="I4703" i="5"/>
  <c r="I4704" i="5"/>
  <c r="I4705" i="5"/>
  <c r="I4706" i="5"/>
  <c r="I4707" i="5"/>
  <c r="I4708" i="5"/>
  <c r="I4709" i="5"/>
  <c r="I4710" i="5"/>
  <c r="I4711" i="5"/>
  <c r="I4712" i="5"/>
  <c r="I4714" i="5"/>
  <c r="I4715" i="5"/>
  <c r="I4716" i="5"/>
  <c r="I4717" i="5"/>
  <c r="I4718" i="5"/>
  <c r="I4719" i="5"/>
  <c r="I4720" i="5"/>
  <c r="I4721" i="5"/>
  <c r="I4722" i="5"/>
  <c r="I4723" i="5"/>
  <c r="I4724" i="5"/>
  <c r="I4725" i="5"/>
  <c r="I4726" i="5"/>
  <c r="I4727" i="5"/>
  <c r="I4728" i="5"/>
  <c r="I4729" i="5"/>
  <c r="I4730" i="5"/>
  <c r="I4731" i="5"/>
  <c r="I4732" i="5"/>
  <c r="I4733" i="5"/>
  <c r="I4734" i="5"/>
  <c r="I4735" i="5"/>
  <c r="I4736" i="5"/>
  <c r="I4737" i="5"/>
  <c r="I4738" i="5"/>
  <c r="I4739" i="5"/>
  <c r="O4739" i="5"/>
  <c r="I4740" i="5"/>
  <c r="I4741" i="5"/>
  <c r="I4742" i="5"/>
  <c r="J4743" i="5"/>
  <c r="I4743" i="5"/>
  <c r="I4744" i="5"/>
  <c r="I4745" i="5"/>
  <c r="I4746" i="5"/>
  <c r="I4747" i="5"/>
  <c r="I4748" i="5"/>
  <c r="I4749" i="5"/>
  <c r="I4750" i="5"/>
  <c r="I4751" i="5"/>
  <c r="I4752" i="5"/>
  <c r="I4753" i="5"/>
  <c r="I4754" i="5"/>
  <c r="I4755" i="5"/>
  <c r="I4756" i="5"/>
  <c r="I4757" i="5"/>
  <c r="I4758" i="5"/>
  <c r="I4759" i="5"/>
  <c r="I4760" i="5"/>
  <c r="I4761" i="5"/>
  <c r="I4762" i="5"/>
  <c r="I4763" i="5"/>
  <c r="O4764" i="5"/>
  <c r="I4765" i="5"/>
  <c r="I4766" i="5"/>
  <c r="I4767" i="5"/>
  <c r="I4768" i="5"/>
  <c r="I4769" i="5"/>
  <c r="I4770" i="5"/>
  <c r="I4771" i="5"/>
  <c r="I4772" i="5"/>
  <c r="I4773" i="5"/>
  <c r="I4774" i="5"/>
  <c r="I4775" i="5"/>
  <c r="I4776" i="5"/>
  <c r="I4777" i="5"/>
  <c r="I4778" i="5"/>
  <c r="I4779" i="5"/>
  <c r="I4780" i="5"/>
  <c r="I4781" i="5"/>
  <c r="I4782" i="5"/>
  <c r="I4783" i="5"/>
  <c r="I4784" i="5"/>
  <c r="I4785" i="5"/>
  <c r="I4786" i="5"/>
  <c r="I4787" i="5"/>
  <c r="I4788" i="5"/>
  <c r="I4789" i="5"/>
  <c r="I4790" i="5"/>
  <c r="I4791" i="5"/>
  <c r="J4792" i="5"/>
  <c r="I4792" i="5" s="1"/>
  <c r="I4793" i="5"/>
  <c r="I4794" i="5"/>
  <c r="I4795" i="5"/>
  <c r="I4796" i="5"/>
  <c r="J4797" i="5"/>
  <c r="I4797" i="5" s="1"/>
  <c r="I4798" i="5"/>
  <c r="I4799" i="5"/>
  <c r="I4800" i="5"/>
  <c r="I4801" i="5"/>
  <c r="I4802" i="5"/>
  <c r="I4803" i="5"/>
  <c r="I4804" i="5"/>
  <c r="I4805" i="5"/>
  <c r="I4806" i="5"/>
  <c r="I4807" i="5"/>
  <c r="I4808" i="5"/>
  <c r="I4809" i="5"/>
  <c r="I4810" i="5"/>
  <c r="J4811" i="5"/>
  <c r="I4811" i="5" s="1"/>
  <c r="I4812" i="5"/>
  <c r="I4813" i="5"/>
  <c r="I4814" i="5"/>
  <c r="I4815" i="5"/>
  <c r="I4816" i="5"/>
  <c r="I4817" i="5"/>
  <c r="I4818" i="5"/>
  <c r="I4819" i="5"/>
  <c r="J4820" i="5"/>
  <c r="I4820" i="5"/>
  <c r="I4821" i="5"/>
  <c r="J4822" i="5"/>
  <c r="I4822" i="5"/>
  <c r="I4823" i="5"/>
  <c r="I4824" i="5"/>
  <c r="I4825" i="5"/>
  <c r="J4826" i="5"/>
  <c r="I4826" i="5"/>
  <c r="J4827" i="5"/>
  <c r="I4827" i="5" s="1"/>
  <c r="I4828" i="5"/>
  <c r="J4829" i="5"/>
  <c r="I4829" i="5" s="1"/>
  <c r="I4830" i="5"/>
  <c r="J4831" i="5"/>
  <c r="I4831" i="5"/>
  <c r="I4832" i="5"/>
  <c r="I4833" i="5"/>
  <c r="I4834" i="5"/>
  <c r="I4835" i="5"/>
  <c r="I4836" i="5"/>
  <c r="I4837" i="5"/>
  <c r="I4838" i="5"/>
  <c r="I4840" i="5"/>
  <c r="I4841" i="5"/>
  <c r="I4842" i="5"/>
  <c r="J4843" i="5"/>
  <c r="I4843" i="5" s="1"/>
  <c r="J4844" i="5"/>
  <c r="I4844" i="5" s="1"/>
  <c r="J4845" i="5"/>
  <c r="I4845" i="5"/>
  <c r="J4846" i="5"/>
  <c r="I4846" i="5" s="1"/>
  <c r="J4847" i="5"/>
  <c r="I4847" i="5" s="1"/>
  <c r="J4848" i="5"/>
  <c r="I4848" i="5" s="1"/>
  <c r="J4849" i="5"/>
  <c r="I4849" i="5"/>
  <c r="J4850" i="5"/>
  <c r="I4850" i="5" s="1"/>
  <c r="I4851" i="5"/>
  <c r="J4852" i="5"/>
  <c r="I4852" i="5"/>
  <c r="I4853" i="5"/>
  <c r="I4854" i="5"/>
  <c r="J4855" i="5"/>
  <c r="I4855" i="5" s="1"/>
  <c r="I4856" i="5"/>
  <c r="I4857" i="5"/>
  <c r="I4858" i="5"/>
  <c r="I4859" i="5"/>
  <c r="I4860" i="5"/>
  <c r="I4861" i="5"/>
  <c r="I4862" i="5"/>
  <c r="I4863" i="5"/>
  <c r="I4864" i="5"/>
  <c r="I4865" i="5"/>
  <c r="I4866" i="5"/>
  <c r="I4867" i="5"/>
  <c r="I4868" i="5"/>
  <c r="I4869" i="5"/>
  <c r="I4870" i="5"/>
  <c r="I4871" i="5"/>
  <c r="I4872" i="5"/>
  <c r="I4873" i="5"/>
  <c r="I4874" i="5"/>
  <c r="I4875" i="5"/>
  <c r="I4876" i="5"/>
  <c r="I4877" i="5"/>
  <c r="I4878" i="5"/>
  <c r="I4879" i="5"/>
  <c r="I4880" i="5"/>
  <c r="I4881" i="5"/>
  <c r="I4882" i="5"/>
  <c r="I4883" i="5"/>
  <c r="I4884" i="5"/>
  <c r="I4885" i="5"/>
  <c r="I4886" i="5"/>
  <c r="I4887" i="5"/>
  <c r="I4888" i="5"/>
  <c r="I4889" i="5"/>
  <c r="I4890" i="5"/>
  <c r="I4891" i="5"/>
  <c r="I4892" i="5"/>
  <c r="I4893" i="5"/>
  <c r="I4894" i="5"/>
  <c r="I4895" i="5"/>
  <c r="I4896" i="5"/>
  <c r="I4897" i="5"/>
  <c r="I4898" i="5"/>
  <c r="I4899" i="5"/>
  <c r="I4900" i="5"/>
  <c r="J4901" i="5"/>
  <c r="I4901" i="5"/>
  <c r="I4902" i="5"/>
  <c r="I4903" i="5"/>
  <c r="I4904" i="5"/>
  <c r="I4905" i="5"/>
  <c r="I4906" i="5"/>
  <c r="I4907" i="5"/>
  <c r="I4908" i="5"/>
  <c r="J4909" i="5"/>
  <c r="I4909" i="5" s="1"/>
  <c r="I4910" i="5"/>
  <c r="I4911" i="5"/>
  <c r="I4912" i="5"/>
  <c r="I4913" i="5"/>
  <c r="I4914" i="5"/>
  <c r="I4915" i="5"/>
  <c r="I4916" i="5"/>
  <c r="I4917" i="5"/>
  <c r="I4918" i="5"/>
  <c r="I4919" i="5"/>
  <c r="I4920" i="5"/>
  <c r="J4921" i="5"/>
  <c r="I4921" i="5" s="1"/>
  <c r="I4922" i="5"/>
  <c r="I4923" i="5"/>
  <c r="I4924" i="5"/>
  <c r="I4925" i="5"/>
  <c r="I4926" i="5"/>
  <c r="I4927" i="5"/>
  <c r="I4928" i="5"/>
  <c r="J4929" i="5"/>
  <c r="I4929" i="5"/>
  <c r="I4930" i="5"/>
  <c r="I4931" i="5"/>
  <c r="I4932" i="5"/>
  <c r="I4933" i="5"/>
  <c r="I4934" i="5"/>
  <c r="I4935" i="5"/>
  <c r="K4935" i="5"/>
  <c r="I4936" i="5"/>
  <c r="I4937" i="5"/>
  <c r="I4938" i="5"/>
  <c r="I4939" i="5"/>
  <c r="I4941" i="5"/>
  <c r="I4942" i="5"/>
  <c r="I4943" i="5"/>
  <c r="I4944" i="5"/>
  <c r="I4945" i="5"/>
  <c r="I4946" i="5"/>
  <c r="I4948" i="5"/>
  <c r="I4949" i="5"/>
  <c r="I4950" i="5"/>
  <c r="I4951" i="5"/>
  <c r="I4952" i="5"/>
  <c r="I4953" i="5"/>
  <c r="I4954" i="5"/>
  <c r="I4955" i="5"/>
  <c r="I4956" i="5"/>
  <c r="I4957" i="5"/>
  <c r="I4958" i="5"/>
  <c r="I4961" i="5"/>
  <c r="I4962" i="5"/>
  <c r="I4963" i="5"/>
  <c r="I4964" i="5"/>
  <c r="I4965" i="5"/>
  <c r="I4967" i="5"/>
  <c r="I4968" i="5"/>
  <c r="I4969" i="5"/>
  <c r="I4970" i="5"/>
  <c r="I4971" i="5"/>
  <c r="I4972" i="5"/>
  <c r="I4973" i="5"/>
  <c r="I4974" i="5"/>
  <c r="I4975" i="5"/>
  <c r="I4976" i="5"/>
  <c r="I4977" i="5"/>
  <c r="I4978" i="5"/>
  <c r="I4979" i="5"/>
  <c r="I4980" i="5"/>
  <c r="I4982" i="5"/>
  <c r="I4983" i="5"/>
  <c r="I4984" i="5"/>
  <c r="I4985" i="5"/>
  <c r="I4986" i="5"/>
  <c r="I4987" i="5"/>
  <c r="I4988" i="5"/>
  <c r="I4989" i="5"/>
  <c r="I4990" i="5"/>
  <c r="I4991" i="5"/>
  <c r="I4992" i="5"/>
  <c r="I4993" i="5"/>
  <c r="I4994" i="5"/>
  <c r="I4995" i="5"/>
  <c r="I4996" i="5"/>
  <c r="I4997" i="5"/>
  <c r="I4998" i="5"/>
  <c r="I4999" i="5"/>
  <c r="I5000" i="5"/>
  <c r="I5001" i="5"/>
  <c r="I5002" i="5"/>
  <c r="I5004" i="5"/>
  <c r="I5005" i="5"/>
  <c r="I5006" i="5"/>
  <c r="I5007" i="5"/>
  <c r="I5008" i="5"/>
  <c r="I5009" i="5"/>
  <c r="I5010" i="5"/>
  <c r="I5011" i="5"/>
  <c r="I5012" i="5"/>
  <c r="I5013" i="5"/>
  <c r="I5014" i="5"/>
  <c r="I5015" i="5"/>
  <c r="I5016" i="5"/>
  <c r="I5017" i="5"/>
  <c r="I5021" i="5"/>
  <c r="I5022" i="5"/>
  <c r="I5023" i="5"/>
  <c r="J5024" i="5"/>
  <c r="I5024" i="5"/>
  <c r="I5026" i="5"/>
  <c r="I5027" i="5"/>
  <c r="I5028" i="5"/>
  <c r="I5029" i="5"/>
  <c r="I5030" i="5"/>
  <c r="I5033" i="5"/>
  <c r="I5034" i="5"/>
  <c r="I5035" i="5"/>
  <c r="I5036" i="5"/>
  <c r="I5037" i="5"/>
  <c r="I5038" i="5"/>
  <c r="I5039" i="5"/>
  <c r="I5040" i="5"/>
  <c r="I5041" i="5"/>
  <c r="I5042" i="5"/>
  <c r="I5043" i="5"/>
  <c r="I5044" i="5"/>
  <c r="I5045" i="5"/>
  <c r="I5046" i="5"/>
  <c r="I5047" i="5"/>
  <c r="I5051" i="5"/>
  <c r="I5052" i="5"/>
  <c r="I5053" i="5"/>
  <c r="I5054" i="5"/>
  <c r="I5055" i="5"/>
  <c r="I5056" i="5"/>
  <c r="I5057" i="5"/>
  <c r="I5058" i="5"/>
  <c r="I5059" i="5"/>
  <c r="I5062" i="5"/>
  <c r="I5063" i="5"/>
  <c r="I5064" i="5"/>
  <c r="I5068" i="5"/>
  <c r="I5069" i="5"/>
  <c r="I5070" i="5"/>
  <c r="I5071" i="5"/>
  <c r="I5072" i="5"/>
  <c r="I5073" i="5"/>
  <c r="I5074" i="5"/>
  <c r="I5075" i="5"/>
  <c r="I5076" i="5"/>
  <c r="I5077" i="5"/>
  <c r="I5078" i="5"/>
  <c r="I5079" i="5"/>
  <c r="I5080" i="5"/>
  <c r="I5081" i="5"/>
  <c r="I5082" i="5"/>
  <c r="I5083" i="5"/>
  <c r="I5084" i="5"/>
  <c r="I5085" i="5"/>
  <c r="I5086" i="5"/>
  <c r="I5087" i="5"/>
  <c r="I5088" i="5"/>
  <c r="I5089" i="5"/>
  <c r="I5090" i="5"/>
  <c r="I5091" i="5"/>
  <c r="I5092" i="5"/>
  <c r="I5094" i="5"/>
  <c r="I5095" i="5"/>
  <c r="I5096" i="5"/>
  <c r="I5097" i="5"/>
  <c r="I5100" i="5"/>
  <c r="I5101" i="5"/>
  <c r="I5103" i="5"/>
  <c r="I5104" i="5"/>
  <c r="I5105" i="5"/>
  <c r="I5108" i="5"/>
  <c r="I5109" i="5"/>
  <c r="I5110" i="5"/>
  <c r="I5111" i="5"/>
  <c r="I5112" i="5"/>
  <c r="I5113" i="5"/>
  <c r="I5114" i="5"/>
  <c r="I5116" i="5"/>
  <c r="I5117" i="5"/>
  <c r="I5118" i="5"/>
  <c r="I5119" i="5"/>
  <c r="I5121" i="5"/>
  <c r="I5122" i="5"/>
  <c r="I5123" i="5"/>
  <c r="I5124" i="5"/>
  <c r="I5125" i="5"/>
  <c r="I5126" i="5"/>
  <c r="I5127" i="5"/>
  <c r="I5128" i="5"/>
  <c r="I5129" i="5"/>
  <c r="I5130" i="5"/>
  <c r="I5131" i="5"/>
  <c r="I5132" i="5"/>
  <c r="I5133" i="5"/>
  <c r="I5134" i="5"/>
  <c r="I5135" i="5"/>
  <c r="I5136" i="5"/>
  <c r="I5137" i="5"/>
  <c r="I5138" i="5"/>
  <c r="I5139" i="5"/>
  <c r="I5140" i="5"/>
  <c r="I5141" i="5"/>
  <c r="I5142" i="5"/>
  <c r="I5143" i="5"/>
  <c r="I5144" i="5"/>
  <c r="I5145" i="5"/>
  <c r="I5146" i="5"/>
  <c r="I5147" i="5"/>
  <c r="I5148" i="5"/>
  <c r="I5149" i="5"/>
  <c r="I5150" i="5"/>
  <c r="I5151" i="5"/>
  <c r="I5152" i="5"/>
  <c r="I5153" i="5"/>
  <c r="I5154" i="5"/>
  <c r="I5155" i="5"/>
  <c r="I5156" i="5"/>
  <c r="I5157" i="5"/>
  <c r="I5158" i="5"/>
  <c r="I5159" i="5"/>
  <c r="I5160" i="5"/>
  <c r="I5161" i="5"/>
  <c r="I5162" i="5"/>
  <c r="I5163" i="5"/>
  <c r="I5164" i="5"/>
  <c r="I5165" i="5"/>
  <c r="I5166" i="5"/>
  <c r="I5167" i="5"/>
  <c r="I5168" i="5"/>
  <c r="I5169" i="5"/>
  <c r="I5170" i="5"/>
  <c r="I5171" i="5"/>
  <c r="I5172" i="5"/>
  <c r="I5173" i="5"/>
  <c r="I5174" i="5"/>
  <c r="I5175" i="5"/>
  <c r="I5176" i="5"/>
  <c r="I5177" i="5"/>
  <c r="I5178" i="5"/>
  <c r="I5179" i="5"/>
  <c r="I5180" i="5"/>
  <c r="I5181" i="5"/>
  <c r="I5182" i="5"/>
  <c r="I5183" i="5"/>
  <c r="I5184" i="5"/>
  <c r="J5185" i="5"/>
  <c r="I5185" i="5"/>
  <c r="I5186" i="5"/>
  <c r="I5187" i="5"/>
  <c r="I5188" i="5"/>
  <c r="I5189" i="5"/>
  <c r="I5190" i="5"/>
  <c r="I5191" i="5"/>
  <c r="I5192" i="5"/>
  <c r="I5193" i="5"/>
  <c r="I5194" i="5"/>
  <c r="I5195" i="5"/>
  <c r="I5196" i="5"/>
  <c r="I5197" i="5"/>
  <c r="I5198" i="5"/>
  <c r="I5199" i="5"/>
  <c r="I5200" i="5"/>
  <c r="I5201" i="5"/>
  <c r="I5202" i="5"/>
  <c r="I5203" i="5"/>
  <c r="I5204" i="5"/>
  <c r="I5205" i="5"/>
  <c r="I5206" i="5"/>
  <c r="I5207" i="5"/>
  <c r="I5208" i="5"/>
  <c r="I5209" i="5"/>
  <c r="I5210" i="5"/>
  <c r="I5211" i="5"/>
  <c r="I5212" i="5"/>
  <c r="I5213" i="5"/>
  <c r="I5214" i="5"/>
  <c r="I5215" i="5"/>
  <c r="I5216" i="5"/>
  <c r="I5217" i="5"/>
  <c r="I5218" i="5"/>
  <c r="I5219" i="5"/>
  <c r="I5220" i="5"/>
  <c r="I5221" i="5"/>
  <c r="I5222" i="5"/>
  <c r="I5223" i="5"/>
  <c r="I5224" i="5"/>
  <c r="I5225" i="5"/>
  <c r="I5226" i="5"/>
  <c r="I5227" i="5"/>
  <c r="I5228" i="5"/>
  <c r="I5229" i="5"/>
  <c r="I5230" i="5"/>
  <c r="I5231" i="5"/>
  <c r="I5232" i="5"/>
  <c r="I5233" i="5"/>
  <c r="I5234" i="5"/>
  <c r="I5235" i="5"/>
  <c r="I5236" i="5"/>
  <c r="I5237" i="5"/>
  <c r="I5238" i="5"/>
  <c r="I5239" i="5"/>
  <c r="I5240" i="5"/>
  <c r="I5241" i="5"/>
  <c r="I5242" i="5"/>
  <c r="I5243" i="5"/>
  <c r="I5244" i="5"/>
  <c r="J5245" i="5"/>
  <c r="I5245" i="5" s="1"/>
  <c r="I5246" i="5"/>
  <c r="I5247" i="5"/>
  <c r="I5248" i="5"/>
  <c r="I5249" i="5"/>
  <c r="I5250" i="5"/>
  <c r="I5251" i="5"/>
  <c r="I5252" i="5"/>
  <c r="I5253" i="5"/>
  <c r="I5254" i="5"/>
  <c r="I5255" i="5"/>
  <c r="I5256" i="5"/>
  <c r="I5257" i="5"/>
  <c r="I5258" i="5"/>
  <c r="I5259" i="5"/>
  <c r="I5260" i="5"/>
  <c r="I5261" i="5"/>
  <c r="I5262" i="5"/>
  <c r="I5263" i="5"/>
  <c r="I5264" i="5"/>
  <c r="I5265" i="5"/>
  <c r="I5266" i="5"/>
  <c r="I5267" i="5"/>
  <c r="I5268" i="5"/>
  <c r="I5269" i="5"/>
  <c r="I5270" i="5"/>
  <c r="I5271" i="5"/>
  <c r="I5272" i="5"/>
  <c r="I5273" i="5"/>
  <c r="I5274" i="5"/>
  <c r="I5275" i="5"/>
  <c r="I5276" i="5"/>
  <c r="I5277" i="5"/>
  <c r="I5278" i="5"/>
  <c r="I5279" i="5"/>
  <c r="I5280" i="5"/>
  <c r="I5281" i="5"/>
  <c r="I5282" i="5"/>
  <c r="I5283" i="5"/>
  <c r="I5284" i="5"/>
  <c r="I5285" i="5"/>
  <c r="I5286" i="5"/>
  <c r="I5287" i="5"/>
  <c r="I5288" i="5"/>
  <c r="I5289" i="5"/>
  <c r="I5290" i="5"/>
  <c r="I5291" i="5"/>
  <c r="I5292" i="5"/>
  <c r="I5293" i="5"/>
  <c r="I5294" i="5"/>
  <c r="I5295" i="5"/>
  <c r="J5296" i="5"/>
  <c r="I5296" i="5" s="1"/>
  <c r="I5297" i="5"/>
  <c r="I5298" i="5"/>
  <c r="I5299" i="5"/>
  <c r="I5300" i="5"/>
  <c r="I5301" i="5"/>
  <c r="I5302" i="5"/>
  <c r="I5303" i="5"/>
  <c r="I5304" i="5"/>
  <c r="I5305" i="5"/>
  <c r="J5306" i="5"/>
  <c r="I5306" i="5" s="1"/>
  <c r="I5307" i="5"/>
  <c r="I5308" i="5"/>
  <c r="I5309" i="5"/>
  <c r="I5310" i="5"/>
  <c r="I5311" i="5"/>
  <c r="I5312" i="5"/>
  <c r="I5313" i="5"/>
  <c r="I5314" i="5"/>
  <c r="I5315" i="5"/>
  <c r="I5316" i="5"/>
  <c r="I5317" i="5"/>
  <c r="I5318" i="5"/>
  <c r="I5319" i="5"/>
  <c r="I5320" i="5"/>
  <c r="I5321" i="5"/>
  <c r="I5322" i="5"/>
  <c r="I5323" i="5"/>
  <c r="I5324" i="5"/>
  <c r="I5325" i="5"/>
  <c r="I5326" i="5"/>
  <c r="I5327" i="5"/>
  <c r="I5328" i="5"/>
  <c r="I5329" i="5"/>
  <c r="I5330" i="5"/>
  <c r="I5331" i="5"/>
  <c r="I5332" i="5"/>
  <c r="I5333" i="5"/>
  <c r="I5334" i="5"/>
  <c r="I5335" i="5"/>
  <c r="I5336" i="5"/>
  <c r="I5337" i="5"/>
  <c r="I5338" i="5"/>
  <c r="I5339" i="5"/>
  <c r="I5340" i="5"/>
  <c r="I5341" i="5"/>
  <c r="I5342" i="5"/>
  <c r="I5343" i="5"/>
  <c r="I5344" i="5"/>
  <c r="I5345" i="5"/>
  <c r="I5346" i="5"/>
  <c r="I5347" i="5"/>
  <c r="I5348" i="5"/>
  <c r="I5349" i="5"/>
  <c r="I5350" i="5"/>
  <c r="I5351" i="5"/>
  <c r="I5352" i="5"/>
  <c r="I5353" i="5"/>
  <c r="I5354" i="5"/>
  <c r="I5355" i="5"/>
  <c r="I5356" i="5"/>
  <c r="I5357" i="5"/>
  <c r="I5358" i="5"/>
  <c r="I5359" i="5"/>
  <c r="I5360" i="5"/>
  <c r="I5361" i="5"/>
  <c r="I5362" i="5"/>
  <c r="I5363" i="5"/>
  <c r="I5364" i="5"/>
  <c r="I5365" i="5"/>
  <c r="I5366" i="5"/>
  <c r="I5367" i="5"/>
  <c r="I5368" i="5"/>
  <c r="I5369" i="5"/>
  <c r="I5370" i="5"/>
  <c r="I5371" i="5"/>
  <c r="I5372" i="5"/>
  <c r="I5373" i="5"/>
  <c r="I5374" i="5"/>
  <c r="I5375" i="5"/>
  <c r="I5376" i="5"/>
  <c r="I5377" i="5"/>
  <c r="I5378" i="5"/>
  <c r="I5379" i="5"/>
  <c r="I5380" i="5"/>
  <c r="I5381" i="5"/>
  <c r="I5382" i="5"/>
  <c r="I5383" i="5"/>
  <c r="I5384" i="5"/>
  <c r="I5385" i="5"/>
  <c r="I5386" i="5"/>
  <c r="I5387" i="5"/>
  <c r="I5388" i="5"/>
  <c r="I5389" i="5"/>
  <c r="I5390" i="5"/>
  <c r="I5391" i="5"/>
  <c r="I5392" i="5"/>
  <c r="I5393" i="5"/>
  <c r="I5394" i="5"/>
  <c r="I5395" i="5"/>
  <c r="I5396" i="5"/>
  <c r="I5397" i="5"/>
  <c r="I5398" i="5"/>
  <c r="I5399" i="5"/>
  <c r="I5400" i="5"/>
  <c r="I5401" i="5"/>
  <c r="I5402" i="5"/>
  <c r="I5403" i="5"/>
  <c r="I5404" i="5"/>
  <c r="I5405" i="5"/>
  <c r="I5406" i="5"/>
  <c r="I5407" i="5"/>
  <c r="I5408" i="5"/>
  <c r="I5409" i="5"/>
  <c r="I5410" i="5"/>
  <c r="I5411" i="5"/>
  <c r="I5412" i="5"/>
  <c r="I5413" i="5"/>
  <c r="I5414" i="5"/>
  <c r="I5415" i="5"/>
  <c r="I5416" i="5"/>
  <c r="I5417" i="5"/>
  <c r="I5418" i="5"/>
  <c r="I5419" i="5"/>
  <c r="I5420" i="5"/>
  <c r="I5421" i="5"/>
  <c r="I5422" i="5"/>
  <c r="I5423" i="5"/>
  <c r="I5424" i="5"/>
  <c r="I5425" i="5"/>
  <c r="I5426" i="5"/>
  <c r="I5427" i="5"/>
  <c r="I5428" i="5"/>
  <c r="I5429" i="5"/>
  <c r="I5430" i="5"/>
  <c r="I5431" i="5"/>
  <c r="I5432" i="5"/>
  <c r="I5433" i="5"/>
  <c r="I5434" i="5"/>
  <c r="I5435" i="5"/>
  <c r="I5436" i="5"/>
  <c r="I5437" i="5"/>
  <c r="I5438" i="5"/>
  <c r="I5439" i="5"/>
  <c r="I5440" i="5"/>
  <c r="I5441" i="5"/>
  <c r="I5442" i="5"/>
  <c r="I5443" i="5"/>
  <c r="I5444" i="5"/>
  <c r="I5445" i="5"/>
  <c r="I5446" i="5"/>
  <c r="I5447" i="5"/>
  <c r="I5448" i="5"/>
  <c r="I5449" i="5"/>
  <c r="I5450" i="5"/>
  <c r="I5451" i="5"/>
  <c r="I5452" i="5"/>
  <c r="I5453" i="5"/>
  <c r="I5454" i="5"/>
  <c r="I5455" i="5"/>
  <c r="I5456" i="5"/>
  <c r="I5457" i="5"/>
  <c r="I5458" i="5"/>
  <c r="I5459" i="5"/>
  <c r="I5460" i="5"/>
  <c r="I5461" i="5"/>
  <c r="I5462" i="5"/>
  <c r="I5463" i="5"/>
  <c r="I5464" i="5"/>
  <c r="I5465" i="5"/>
  <c r="I5466" i="5"/>
  <c r="I5467" i="5"/>
  <c r="I5468" i="5"/>
  <c r="I5469" i="5"/>
  <c r="I5470" i="5"/>
  <c r="I5471" i="5"/>
  <c r="I5472" i="5"/>
  <c r="I5473" i="5"/>
  <c r="I5474" i="5"/>
  <c r="I5475" i="5"/>
  <c r="I5476" i="5"/>
  <c r="I5477" i="5"/>
  <c r="I5478" i="5"/>
  <c r="I5479" i="5"/>
  <c r="I5480" i="5"/>
  <c r="I5481" i="5"/>
  <c r="I5482" i="5"/>
  <c r="I5483" i="5"/>
  <c r="I5484" i="5"/>
  <c r="I5485" i="5"/>
  <c r="I5486" i="5"/>
  <c r="I5487" i="5"/>
  <c r="I5488" i="5"/>
  <c r="I5489" i="5"/>
  <c r="I5490" i="5"/>
  <c r="I5491" i="5"/>
  <c r="I5492" i="5"/>
  <c r="I5493" i="5"/>
  <c r="I5494" i="5"/>
  <c r="I5495" i="5"/>
  <c r="I5496" i="5"/>
  <c r="I5497" i="5"/>
  <c r="I5498" i="5"/>
  <c r="I5499" i="5"/>
  <c r="I5500" i="5"/>
  <c r="I5501" i="5"/>
  <c r="I5502" i="5"/>
  <c r="I5503" i="5"/>
  <c r="I5504" i="5"/>
  <c r="I5505" i="5"/>
  <c r="I5506" i="5"/>
  <c r="I5507" i="5"/>
  <c r="I5508" i="5"/>
  <c r="I5509" i="5"/>
  <c r="I5510" i="5"/>
  <c r="I5511" i="5"/>
  <c r="I5512" i="5"/>
  <c r="I5513" i="5"/>
  <c r="I5514" i="5"/>
  <c r="I5515" i="5"/>
  <c r="I5516" i="5"/>
  <c r="I5517" i="5"/>
  <c r="I5518" i="5"/>
  <c r="I5519" i="5"/>
  <c r="I5520" i="5"/>
  <c r="I5521" i="5"/>
  <c r="I5522" i="5"/>
  <c r="I5523" i="5"/>
  <c r="I5524" i="5"/>
  <c r="I5525" i="5"/>
  <c r="I5526" i="5"/>
  <c r="I5527" i="5"/>
  <c r="I5528" i="5"/>
  <c r="I5529" i="5"/>
  <c r="I5530" i="5"/>
  <c r="I5531" i="5"/>
  <c r="J5532" i="5"/>
  <c r="I5532" i="5" s="1"/>
  <c r="I5533" i="5"/>
  <c r="I5534" i="5"/>
  <c r="I5535" i="5"/>
  <c r="I5536" i="5"/>
  <c r="I5537" i="5"/>
  <c r="I5538" i="5"/>
  <c r="I5539" i="5"/>
  <c r="I5540" i="5"/>
  <c r="I5541" i="5"/>
  <c r="I5542" i="5"/>
  <c r="I5543" i="5"/>
  <c r="I5544" i="5"/>
  <c r="I5545" i="5"/>
  <c r="I5546" i="5"/>
  <c r="I5547" i="5"/>
  <c r="I5548" i="5"/>
  <c r="I5549" i="5"/>
  <c r="I5550" i="5"/>
  <c r="I5551" i="5"/>
  <c r="I5552" i="5"/>
  <c r="I5554" i="5"/>
  <c r="I5555" i="5"/>
  <c r="I5556" i="5"/>
  <c r="I5557" i="5"/>
  <c r="I5558" i="5"/>
  <c r="I5559" i="5"/>
  <c r="I5560" i="5"/>
  <c r="I5561" i="5"/>
  <c r="I5562" i="5"/>
  <c r="I5563" i="5"/>
  <c r="I5564" i="5"/>
  <c r="I5565" i="5"/>
  <c r="I5566" i="5"/>
  <c r="I5567" i="5"/>
  <c r="I5568" i="5"/>
  <c r="I5569" i="5"/>
  <c r="I5570" i="5"/>
  <c r="I5571" i="5"/>
  <c r="I5572" i="5"/>
  <c r="I5573" i="5"/>
  <c r="I5574" i="5"/>
  <c r="I5575" i="5"/>
  <c r="I5576" i="5"/>
  <c r="I5577" i="5"/>
  <c r="I5578" i="5"/>
  <c r="I5579" i="5"/>
  <c r="I5580" i="5"/>
  <c r="I5581" i="5"/>
  <c r="I5582" i="5"/>
  <c r="I5583" i="5"/>
  <c r="I5584" i="5"/>
  <c r="I5585" i="5"/>
  <c r="I5586" i="5"/>
  <c r="I5587" i="5"/>
  <c r="I5588" i="5"/>
  <c r="I5589" i="5"/>
  <c r="I5590" i="5"/>
  <c r="I5591" i="5"/>
  <c r="I5592" i="5"/>
  <c r="I5593" i="5"/>
  <c r="I5594" i="5"/>
  <c r="I5595" i="5"/>
  <c r="I5596" i="5"/>
  <c r="I5597" i="5"/>
  <c r="I5598" i="5"/>
  <c r="I5599" i="5"/>
  <c r="I5600" i="5"/>
  <c r="I5601" i="5"/>
  <c r="I5602" i="5"/>
  <c r="I5603" i="5"/>
  <c r="I5604" i="5"/>
  <c r="I5605" i="5"/>
  <c r="I5606" i="5"/>
  <c r="I5607" i="5"/>
  <c r="I5608" i="5"/>
  <c r="I5609" i="5"/>
  <c r="I5610" i="5"/>
  <c r="I5611" i="5"/>
  <c r="I5612" i="5"/>
  <c r="I5613" i="5"/>
  <c r="I5614" i="5"/>
  <c r="I5615" i="5"/>
  <c r="I5616" i="5"/>
  <c r="I5617" i="5"/>
  <c r="I5618" i="5"/>
  <c r="I5619" i="5"/>
  <c r="I5620" i="5"/>
  <c r="I5621" i="5"/>
  <c r="I5622" i="5"/>
  <c r="I5623" i="5"/>
  <c r="I5624" i="5"/>
  <c r="I5625" i="5"/>
  <c r="I5626" i="5"/>
  <c r="I5627" i="5"/>
  <c r="I5628" i="5"/>
  <c r="I5629" i="5"/>
  <c r="I5630" i="5"/>
  <c r="I5631" i="5"/>
  <c r="I5632" i="5"/>
  <c r="I5633" i="5"/>
  <c r="I5634" i="5"/>
  <c r="I5635" i="5"/>
  <c r="I5636" i="5"/>
  <c r="I5637" i="5"/>
  <c r="I5638" i="5"/>
  <c r="I5639" i="5"/>
  <c r="I5640" i="5"/>
  <c r="I5641" i="5"/>
  <c r="I5642" i="5"/>
  <c r="I5643" i="5"/>
  <c r="I5644" i="5"/>
  <c r="I5645" i="5"/>
  <c r="I5646" i="5"/>
  <c r="I5647" i="5"/>
  <c r="I5648" i="5"/>
  <c r="I5649" i="5"/>
  <c r="I5650" i="5"/>
  <c r="I5651" i="5"/>
  <c r="I5652" i="5"/>
  <c r="I5653" i="5"/>
  <c r="I5654" i="5"/>
  <c r="I5655" i="5"/>
  <c r="I5656" i="5"/>
  <c r="I5657" i="5"/>
  <c r="I5658" i="5"/>
  <c r="I5659" i="5"/>
  <c r="I5660" i="5"/>
  <c r="I5661" i="5"/>
  <c r="I5662" i="5"/>
  <c r="I5663" i="5"/>
  <c r="I5664" i="5"/>
  <c r="I5666" i="5"/>
  <c r="I5667" i="5"/>
  <c r="I5668" i="5"/>
  <c r="J5669" i="5"/>
  <c r="I5669" i="5" s="1"/>
  <c r="I5670" i="5"/>
  <c r="I5671" i="5"/>
  <c r="I5672" i="5"/>
  <c r="I5673" i="5"/>
  <c r="I5674" i="5"/>
  <c r="I5675" i="5"/>
  <c r="I5676" i="5"/>
  <c r="I5677" i="5"/>
  <c r="I5678" i="5"/>
  <c r="I5679" i="5"/>
  <c r="I5680" i="5"/>
  <c r="I5681" i="5"/>
  <c r="I5682" i="5"/>
  <c r="I5683" i="5"/>
  <c r="I5684" i="5"/>
  <c r="I5685" i="5"/>
  <c r="I5686" i="5"/>
  <c r="I5687" i="5"/>
  <c r="I5688" i="5"/>
  <c r="I5689" i="5"/>
  <c r="I5690" i="5"/>
  <c r="I5691" i="5"/>
  <c r="I5692" i="5"/>
  <c r="I5693" i="5"/>
  <c r="I5694" i="5"/>
  <c r="I5695" i="5"/>
  <c r="I5696" i="5"/>
  <c r="I5697" i="5"/>
  <c r="I5698" i="5"/>
  <c r="I5699" i="5"/>
  <c r="I5700" i="5"/>
  <c r="I5701" i="5"/>
  <c r="I5702" i="5"/>
  <c r="I5703" i="5"/>
  <c r="I5704" i="5"/>
  <c r="I5705" i="5"/>
  <c r="I5706" i="5"/>
  <c r="I5707" i="5"/>
  <c r="I5708" i="5"/>
  <c r="I5709" i="5"/>
  <c r="I5710" i="5"/>
  <c r="I5711" i="5"/>
  <c r="I5712" i="5"/>
  <c r="I5713" i="5"/>
  <c r="I5714" i="5"/>
  <c r="I5715" i="5"/>
  <c r="I5716" i="5"/>
  <c r="I5717" i="5"/>
  <c r="I5718" i="5"/>
  <c r="I5719" i="5"/>
  <c r="I5720" i="5"/>
  <c r="I5721" i="5"/>
  <c r="I5722" i="5"/>
  <c r="I5723" i="5"/>
  <c r="I5724" i="5"/>
  <c r="I5725" i="5"/>
  <c r="I5726" i="5"/>
  <c r="I5727" i="5"/>
  <c r="I5728" i="5"/>
  <c r="I5729" i="5"/>
  <c r="I5730" i="5"/>
  <c r="I5731" i="5"/>
  <c r="I5732" i="5"/>
  <c r="I5733" i="5"/>
  <c r="I5734" i="5"/>
  <c r="I5735" i="5"/>
  <c r="I5736" i="5"/>
  <c r="I5737" i="5"/>
  <c r="I5738" i="5"/>
  <c r="I5739" i="5"/>
  <c r="I5740" i="5"/>
  <c r="I5741" i="5"/>
  <c r="I5742" i="5"/>
  <c r="I5743" i="5"/>
  <c r="I5744" i="5"/>
  <c r="I5745" i="5"/>
  <c r="I5746" i="5"/>
  <c r="I5747" i="5"/>
  <c r="I5748" i="5"/>
  <c r="I5749" i="5"/>
  <c r="I5750" i="5"/>
  <c r="I5751" i="5"/>
  <c r="I5752" i="5"/>
  <c r="I5753" i="5"/>
  <c r="I5754" i="5"/>
  <c r="I5755" i="5"/>
  <c r="I5756" i="5"/>
  <c r="I5757" i="5"/>
  <c r="I5758" i="5"/>
  <c r="K2397" i="5"/>
</calcChain>
</file>

<file path=xl/sharedStrings.xml><?xml version="1.0" encoding="utf-8"?>
<sst xmlns="http://schemas.openxmlformats.org/spreadsheetml/2006/main" count="50615" uniqueCount="8080">
  <si>
    <t>changed name of EA E. caballos to E. ferus  per wiki; corrected misspelling of Pachylemur insignis; Microtus bavaricus population discovered in 2000 so no longer historical extinction</t>
    <phoneticPr fontId="24" type="noConversion"/>
  </si>
  <si>
    <t xml:space="preserve">Bavarian pine vole </t>
  </si>
  <si>
    <t>CR</t>
    <phoneticPr fontId="7"/>
  </si>
  <si>
    <t>not sure of distribution; only 1 record</t>
    <phoneticPr fontId="7"/>
  </si>
  <si>
    <t>Tasmanian devil</t>
  </si>
  <si>
    <t>extirpated 3000 ybp</t>
    <phoneticPr fontId="7"/>
  </si>
  <si>
    <t>Tasmanian tiger or wolf; thylacine</t>
    <phoneticPr fontId="7"/>
  </si>
  <si>
    <t>Lake Mackay Hare-wallaby; Central Hare-wallaby or Kuluwarri</t>
    <phoneticPr fontId="7"/>
  </si>
  <si>
    <t>Eastern Hare-wallaby</t>
  </si>
  <si>
    <t>Toolache Wallaby</t>
  </si>
  <si>
    <t xml:space="preserve">Crescent Nail-tail Wallaby </t>
  </si>
  <si>
    <t>Desert Rat-kangaroo</t>
  </si>
  <si>
    <t>Broad-faced Potoroo</t>
  </si>
  <si>
    <t>Atalaye Nesophontes</t>
  </si>
  <si>
    <t>IUCN-extinction followed european contact</t>
    <phoneticPr fontId="7"/>
  </si>
  <si>
    <t>EX</t>
    <phoneticPr fontId="7"/>
  </si>
  <si>
    <t xml:space="preserve">Puerto Rican Nesophontes </t>
  </si>
  <si>
    <t>Slender Cuban Nesophontes</t>
  </si>
  <si>
    <t>greater Cuban nesophontes</t>
  </si>
  <si>
    <t xml:space="preserve">western Cuban nesophontes </t>
  </si>
  <si>
    <t>St. Michel nesophontes</t>
  </si>
  <si>
    <t>Lesser Cuban Nesophontes</t>
  </si>
  <si>
    <t>Haitian nesophontes</t>
  </si>
  <si>
    <t>Marcano's Solenodon</t>
  </si>
  <si>
    <t xml:space="preserve">Sardinian Pika </t>
  </si>
  <si>
    <t>Pig-footed Bandicoot</t>
  </si>
  <si>
    <t xml:space="preserve">Lesser Bilby </t>
  </si>
  <si>
    <t xml:space="preserve">Desert Bandicoot </t>
  </si>
  <si>
    <t>ferus</t>
    <phoneticPr fontId="7"/>
  </si>
  <si>
    <t>Tarpan or European Wild Horse</t>
  </si>
  <si>
    <t>changed name from caballos per wiki</t>
    <phoneticPr fontId="7"/>
  </si>
  <si>
    <t>once common in EA; now confined to Gir Forest National Park  in Gujarat, India.</t>
    <phoneticPr fontId="7"/>
  </si>
  <si>
    <t>turns out Panthera leo is still extant at one park in southern India; so not yet a historical extinction for EA (N~400 though, so soon).  FAS</t>
    <phoneticPr fontId="24" type="noConversion"/>
  </si>
  <si>
    <t>Large Palau Flying Fox</t>
  </si>
  <si>
    <t>wingspan of 60 cm</t>
    <phoneticPr fontId="7"/>
  </si>
  <si>
    <t xml:space="preserve">small Mauritian flying fox or dark flying fox </t>
  </si>
  <si>
    <t>vanished in 19th century</t>
    <phoneticPr fontId="7"/>
  </si>
  <si>
    <t>Guam flying fox</t>
  </si>
  <si>
    <t xml:space="preserve">Dusky Flying Fox </t>
  </si>
  <si>
    <t>Bonin Pipistrelle or Sturdee's Bonin Pipistrelle</t>
  </si>
  <si>
    <t>status of E. onager checked:  it is endangered in EA (FAS)</t>
    <phoneticPr fontId="24" type="noConversion"/>
  </si>
  <si>
    <t>Masses for additional species provided by Morgan Ernest (Walker's Mammals of the World), and Kate Jones (sources: Damuth, 1998 and Lovegrove 2001).</t>
  </si>
  <si>
    <t>The geographic locality from which these mass estimates are derived is unknown (refer to original source data). These species are indicated in the comments field by the notation</t>
  </si>
  <si>
    <t>fiddled with file; cleanned up; rename MOM version 3.5 by FAS</t>
    <phoneticPr fontId="24" type="noConversion"/>
  </si>
  <si>
    <t>extant</t>
    <phoneticPr fontId="7"/>
  </si>
  <si>
    <t>Bos taurus was listed as historical extinction in EA; extant today; also now a subspp? We need to W&amp;R these data -- FAS</t>
    <phoneticPr fontId="24" type="noConversion"/>
  </si>
  <si>
    <t>Eudorcas rufina now, not Gazella rufina - elevation of Eudorcas as a genus -FAS</t>
    <phoneticPr fontId="24" type="noConversion"/>
  </si>
  <si>
    <t>Thailand</t>
    <phoneticPr fontId="7"/>
  </si>
  <si>
    <t>(Jan. 20-Jan 28 2003) - IUCN status and threats added for NA , SA, AF, Madagascar, and AUS; not added for EA or New Guinea by SKL</t>
    <phoneticPr fontId="24" type="noConversion"/>
  </si>
  <si>
    <t>Masses added for many spp. Using references 74 and 75 by M. Ernest and SKL</t>
    <phoneticPr fontId="24" type="noConversion"/>
  </si>
  <si>
    <t>(Nov.-Dec. 2002) - data added for Madagascar, New Guinea, and Tasmania by SKL</t>
    <phoneticPr fontId="24" type="noConversion"/>
  </si>
  <si>
    <t>REMOVE? now considered an extinct subspecies of the plains zebra</t>
    <phoneticPr fontId="7"/>
  </si>
  <si>
    <t xml:space="preserve">Queen of Sheba's Gazelle or Yemen Gazelle </t>
    <phoneticPr fontId="7"/>
  </si>
  <si>
    <t>REMOVE? Now considered a subsp? hunting, habitat loss;</t>
    <phoneticPr fontId="7"/>
  </si>
  <si>
    <t>REMOVE? now considered a subspecies</t>
    <phoneticPr fontId="7"/>
  </si>
  <si>
    <t>insignis</t>
    <phoneticPr fontId="7"/>
  </si>
  <si>
    <t xml:space="preserve">8-10kg; survived until 1280-1420 </t>
    <phoneticPr fontId="7"/>
  </si>
  <si>
    <t>survived until 1280-1420</t>
  </si>
  <si>
    <t>35-70kg; 14C 1000 to 3000 ybp</t>
    <phoneticPr fontId="7"/>
  </si>
  <si>
    <t>14C 1000 to 3000 ybp</t>
  </si>
  <si>
    <t>75+kg; 14C 1000 to 3000 ybp</t>
    <phoneticPr fontId="7"/>
  </si>
  <si>
    <t>hurricane, house cats</t>
    <phoneticPr fontId="7"/>
  </si>
  <si>
    <t>habitat alteration; population apparently belonging to this species was discovered in 2000 in Northern Tyrol</t>
    <phoneticPr fontId="7"/>
  </si>
  <si>
    <t>status of E. Quagga changed to historical -FAS</t>
    <phoneticPr fontId="24" type="noConversion"/>
  </si>
  <si>
    <t>references for extinct mammals added -FAS</t>
    <phoneticPr fontId="24" type="noConversion"/>
  </si>
  <si>
    <t>Continents added for Carnivora - FAS</t>
    <phoneticPr fontId="24" type="noConversion"/>
  </si>
  <si>
    <t>additional masses from refs. 136-142 added by SKL and FAS.</t>
    <phoneticPr fontId="24" type="noConversion"/>
  </si>
  <si>
    <t>additional masses from MacDonald and Barrett 1993. Mammals of Britain and Europe, Harper and Collins, London added by FAS.</t>
    <phoneticPr fontId="24" type="noConversion"/>
  </si>
  <si>
    <t>masses for Madagascar and New Guinea integrated into MOM by SKL</t>
    <phoneticPr fontId="24" type="noConversion"/>
  </si>
  <si>
    <t>additional masses intregrated into MOM and MOM updated to MOM 3.2 by SKL</t>
    <phoneticPr fontId="24" type="noConversion"/>
  </si>
  <si>
    <t>(Feb 28-Mar. 10) - additional masses for islands and europe added by SKL and FAS.</t>
    <phoneticPr fontId="24" type="noConversion"/>
  </si>
  <si>
    <t>masses added from Stuart and Stuart, 1988 by SKL</t>
    <phoneticPr fontId="24" type="noConversion"/>
  </si>
  <si>
    <t>masses added from Dorst 1969 by SKL</t>
    <phoneticPr fontId="24" type="noConversion"/>
  </si>
  <si>
    <t>masses from Kingdon 1997 added by SKL (updates masses from older version used by Tamar).</t>
    <phoneticPr fontId="24" type="noConversion"/>
  </si>
  <si>
    <t>masses from mammalian spp. Accounts added by M. Ernest and SKL</t>
    <phoneticPr fontId="24" type="noConversion"/>
  </si>
  <si>
    <t>redid logs (redid equations).  Changed extinct/historical for madagascar to extinct; removed a generic mean for a glaucus; added complete citations for references by FAS and SKL</t>
    <phoneticPr fontId="24" type="noConversion"/>
  </si>
  <si>
    <t>Kate Jone's bat data integrated into file. -- FAS</t>
    <phoneticPr fontId="24" type="noConversion"/>
  </si>
  <si>
    <t>added EA IUCN redlist info (EA and Islands) by SKL.</t>
    <phoneticPr fontId="24" type="noConversion"/>
  </si>
  <si>
    <t>merge of extinct &amp; extant files from June05 2002. (MOMv3.0) FAS</t>
    <phoneticPr fontId="24" type="noConversion"/>
  </si>
  <si>
    <t>data added by KJ &amp; ME line checked by ME</t>
    <phoneticPr fontId="24" type="noConversion"/>
  </si>
  <si>
    <t>was Gazella rufina</t>
    <phoneticPr fontId="7"/>
  </si>
  <si>
    <t>FAS cleanned up metadata, and added in more last occurrence dates; indicated known nomenclature changes with red ink</t>
    <phoneticPr fontId="24" type="noConversion"/>
  </si>
  <si>
    <t>Panay Giant Fruit Bat</t>
    <phoneticPr fontId="7"/>
  </si>
  <si>
    <t>Chapman's Bare-backed Fruit Bat</t>
  </si>
  <si>
    <t>Nendo or Santa Cruz Tube-nosed Fruit Bat</t>
  </si>
  <si>
    <t>wingspan of 40cm</t>
    <phoneticPr fontId="7"/>
  </si>
  <si>
    <t xml:space="preserve">Arabian gazelle </t>
  </si>
  <si>
    <t>Eudorcas</t>
    <phoneticPr fontId="7"/>
  </si>
  <si>
    <t xml:space="preserve">red gazelle </t>
  </si>
  <si>
    <t>bluebuck</t>
    <phoneticPr fontId="7"/>
  </si>
  <si>
    <t>Schomburgk's Deer</t>
  </si>
  <si>
    <t>Malagasy pygmy hippopotamus</t>
    <phoneticPr fontId="7"/>
  </si>
  <si>
    <t xml:space="preserve">Falkland Islands Wolf </t>
  </si>
  <si>
    <t>lion</t>
    <phoneticPr fontId="7"/>
  </si>
  <si>
    <t>Caribbean Monk Seal or West Indian Monk Seal</t>
  </si>
  <si>
    <t xml:space="preserve">Barbados raccoon </t>
  </si>
  <si>
    <t xml:space="preserve">New Zealand Greater Short-tailed Bat </t>
  </si>
  <si>
    <t>found inconsitenties in extinct references…line checked for accuracy against original data sheet….corrections made as necessary. --FAS</t>
    <phoneticPr fontId="24" type="noConversion"/>
  </si>
  <si>
    <t>removed repeat of Hemigalus derbyanus in EA, corrected repeat of Hemigalus derbyanus for Indonesia (changed one to Singapore) - SKL</t>
    <phoneticPr fontId="24" type="noConversion"/>
  </si>
  <si>
    <t>newest batch of mammalian species accounts added by SKL - added refs:  233-242</t>
    <phoneticPr fontId="24" type="noConversion"/>
  </si>
  <si>
    <t>corrected several arabian species left out of the eurasian list and placed in africa - skl</t>
    <phoneticPr fontId="24" type="noConversion"/>
  </si>
  <si>
    <t>entered about 8 new spp found by Amy Monier and references 226-232 by FAS</t>
    <phoneticPr fontId="24" type="noConversion"/>
  </si>
  <si>
    <t>fixed geographic (I.e., continental distributions) of some species by SKL</t>
    <phoneticPr fontId="24" type="noConversion"/>
  </si>
  <si>
    <t>fixed Spermophilus pygmaeus, was listed as NA, now listed as EA by SKL</t>
    <phoneticPr fontId="24" type="noConversion"/>
  </si>
  <si>
    <t>corrected some typos in family names -- SKL &amp; FAS</t>
    <phoneticPr fontId="24" type="noConversion"/>
  </si>
  <si>
    <t>added in 4 masses sent by Jake Goheen from the Nairobi Museum by SKL</t>
    <phoneticPr fontId="24" type="noConversion"/>
  </si>
  <si>
    <t>added 295 species using CRC (CRC was never checked for Eurasia) by SKL</t>
    <phoneticPr fontId="24" type="noConversion"/>
  </si>
  <si>
    <t>updated MOM using new batch of mammalian species accounts.  Added references 219-221 by SKL.</t>
    <phoneticPr fontId="24" type="noConversion"/>
  </si>
  <si>
    <t>added some Cryptotis body sizes given by Neal Woodman, by SKL</t>
    <phoneticPr fontId="24" type="noConversion"/>
  </si>
  <si>
    <t>added refs 253-257 - SKL</t>
    <phoneticPr fontId="24" type="noConversion"/>
  </si>
  <si>
    <t>added body masses for African mammals sent by Jake Goheen - SKL</t>
    <phoneticPr fontId="24" type="noConversion"/>
  </si>
  <si>
    <t>fixed typo in a bat name - skl</t>
    <phoneticPr fontId="24" type="noConversion"/>
  </si>
  <si>
    <t>added references 245- 252 for bat masses - SKL</t>
    <phoneticPr fontId="24" type="noConversion"/>
  </si>
  <si>
    <t>noticed some duplicates of historical extinctions (labeled extant) - removed.  Appear to have lost refs to historical and extinct mammals.</t>
    <phoneticPr fontId="24" type="noConversion"/>
  </si>
  <si>
    <t>African references added from Tamar's dataset -FAS</t>
    <phoneticPr fontId="24" type="noConversion"/>
  </si>
  <si>
    <t>South American references added by comparing Pablo's datasest to Dawn's CRC….every line was checked for errors as well (SKL, ME)</t>
    <phoneticPr fontId="24" type="noConversion"/>
  </si>
  <si>
    <t>North America references added by comparing Brown and Nicoletto, 1991 to Dawn's CRC…..masses checked for errors (SKL, ME?)</t>
    <phoneticPr fontId="24" type="noConversion"/>
  </si>
  <si>
    <t>Continents added for 341 spp; Continents looked up by M.Ernest (except carnivora)</t>
    <phoneticPr fontId="24" type="noConversion"/>
  </si>
  <si>
    <t>FAS renamed file "MOM v 4.0" to reflect changes; put refs in own sheet, eliminated extinct sheet (outdated), added columns for last occurrences and began filing those in for extinct species</t>
    <phoneticPr fontId="24" type="noConversion"/>
  </si>
  <si>
    <t xml:space="preserve"> SKL added body size for Moschus fuscus, Ochotona curzoniae, Ochotona cansus, Sciurus lis from Pantheria</t>
    <phoneticPr fontId="24" type="noConversion"/>
  </si>
  <si>
    <t>added several species to Eurasian list that were listed only in africa, but also occur in the middle east - SKL</t>
    <phoneticPr fontId="24" type="noConversion"/>
  </si>
  <si>
    <t>added reference 258 - SKL</t>
    <phoneticPr fontId="24" type="noConversion"/>
  </si>
  <si>
    <t xml:space="preserve">MOM-Mammals Version 4.0 (current as of June 2010) </t>
    <phoneticPr fontId="7"/>
  </si>
  <si>
    <r>
      <t>283.  Wang, J-M, Zhang, Y-M, Wang, D-H. 2006. Seasonal thermogenesis and body mass regulation in plateau pikas (</t>
    </r>
    <r>
      <rPr>
        <i/>
        <sz val="10"/>
        <color indexed="8"/>
        <rFont val="Arial"/>
        <family val="2"/>
      </rPr>
      <t>Ochotona curzoniae).</t>
    </r>
    <phoneticPr fontId="7"/>
  </si>
  <si>
    <t>Pantheria</t>
    <phoneticPr fontId="7"/>
  </si>
  <si>
    <t>Pantehria</t>
    <phoneticPr fontId="7"/>
  </si>
  <si>
    <t>Nepal, W Malaysia, sumatra, java, borneo, philippines, sulawesi, new guinea, new britain isl (Bismarck arch), perhaps Banka isl (Indonesia)</t>
  </si>
  <si>
    <t>sierra leone to kenya, bioko</t>
  </si>
  <si>
    <t>SE USA from virginia to missouri, south to E Texas and Florida</t>
  </si>
  <si>
    <t>pakistan to taiwan, south to sri lanka and w malaysia, southeast to philippines and aru islands</t>
  </si>
  <si>
    <t>noctivagans</t>
  </si>
  <si>
    <t>169.  Nechay, Gabor.  2000.  Status of Hamsters: Cricetus cricetus, Cricetus migratorius, Mesocricetus Newtoni and other hamster species in Europe_x0000_ _x0000__x0000__x0000_Nature and Environment Series, No. 106 pp. 1-73.</t>
  </si>
  <si>
    <t xml:space="preserve">added references for data added by KJ and ME </t>
    <phoneticPr fontId="24" type="noConversion"/>
  </si>
  <si>
    <t>added information from newest set of Mammalian species accounts Refs 270-280. SKL</t>
    <phoneticPr fontId="24" type="noConversion"/>
  </si>
  <si>
    <t>added information from newest set of Mammalian species accounts. Refs 264-269 - SKL</t>
    <phoneticPr fontId="24" type="noConversion"/>
  </si>
  <si>
    <t>rename file MOM3.3 -FAS</t>
    <phoneticPr fontId="24" type="noConversion"/>
  </si>
  <si>
    <t>checked MOM 3.3 against Dawn's data.  Found 25 mistakes….added some references. By SKL</t>
    <phoneticPr fontId="24" type="noConversion"/>
  </si>
  <si>
    <t>added some extinct Eurasian species and some eurasian body mass from Brook&amp;Bowman2004 by SKL</t>
    <phoneticPr fontId="24" type="noConversion"/>
  </si>
  <si>
    <t>added some data and references using UCSBs library by SKL</t>
    <phoneticPr fontId="24" type="noConversion"/>
  </si>
  <si>
    <t>179.  PASCALE CHEVRET, PAULINA JENKINS  and FRANÇOIS CATZEFLIS.  2003.  Evolutionary systematics of the Indian mouse  Mus  famulus  Bonhote, 1898: molecular (DNA/DNA  hybridization and 12S rRNA sequences) and  morphological evidence  Zoological Journal of the Linnean Society , 2003,  137 , 385–401.</t>
  </si>
  <si>
    <t>197.  Panteleev, P. A.  2002.  Justified predictions about new (different) species comfirm the theory.  Russian Journal of Ecology 34:141-143.</t>
  </si>
  <si>
    <t>134, 197</t>
  </si>
  <si>
    <t>average of specimen #7310, 7313</t>
  </si>
  <si>
    <t>Mainland Australia</t>
  </si>
  <si>
    <t>balstoni</t>
  </si>
  <si>
    <t>average of specimen #6899, 6900, 6901, 6902, 6903</t>
  </si>
  <si>
    <t>specimen #6982</t>
  </si>
  <si>
    <t>Mediterranean zone of Europe and NW Africa, Crimea and Caucasus Mtns, Asia Minor, Israel to Kirgizia, Afrghanistan and Himalayas, NW Altai Mtns, Inner Mongolia and Shensi (China)</t>
  </si>
  <si>
    <t>blythii</t>
  </si>
  <si>
    <t>senegal to sudan and kenya to mozambique</t>
  </si>
  <si>
    <t>W peru</t>
  </si>
  <si>
    <t>Tomopeas</t>
  </si>
  <si>
    <t>ravus</t>
  </si>
  <si>
    <t>india and s china to philippines and lesser sunda isl, andaman isls (india)</t>
  </si>
  <si>
    <t>Tylonycteris</t>
  </si>
  <si>
    <t>pachypus</t>
  </si>
  <si>
    <t>robustula</t>
  </si>
  <si>
    <t>Florida Panhandle to Kentucky, Indianan, Illinois, E Kansas and NE Oklahoma (USA)</t>
  </si>
  <si>
    <t>grisescens</t>
  </si>
  <si>
    <t>Australia (except NE) including tasmania</t>
  </si>
  <si>
    <t>198.  Dippenaar, M.J.  1995.  Geographic variation in Myosorex longicaudatus (soricidae) in the Southern Cape Province, South Africa.  Journal of Mammalogy 76:1071-1087.</t>
  </si>
  <si>
    <t>moved Anoura latidens,  Choeroniscus periosus from AF to SA - SKL</t>
    <phoneticPr fontId="24" type="noConversion"/>
  </si>
  <si>
    <t>changed body masses for Bornean mammals using 257 - that is gave insular rows specific borneo specific masses If their mass was the same as a mainland- SKL</t>
    <phoneticPr fontId="24" type="noConversion"/>
  </si>
  <si>
    <t>bat masses from CRC (ref #60) are always wildly wrong - they should all be replaced.</t>
    <phoneticPr fontId="24" type="noConversion"/>
  </si>
  <si>
    <t>Added 2 new references 243-244 - SKL</t>
    <phoneticPr fontId="24" type="noConversion"/>
  </si>
  <si>
    <t>Acomys russatus listed as NA.  Moved it to EA.  Checked with MSW online - SKL</t>
    <phoneticPr fontId="24" type="noConversion"/>
  </si>
  <si>
    <r>
      <t xml:space="preserve">180.  Ochocinska, D. and Taylor, J. R. E.  2003.  Bergmann's rule in shrews:  geographical variation of body size in Palearctic </t>
    </r>
    <r>
      <rPr>
        <i/>
        <sz val="10"/>
        <color indexed="8"/>
        <rFont val="Arial"/>
        <family val="2"/>
      </rPr>
      <t>Sorex</t>
    </r>
    <r>
      <rPr>
        <sz val="10"/>
        <color indexed="8"/>
        <rFont val="Arial"/>
      </rPr>
      <t xml:space="preserve"> species.  Biological Journal of the Linnean Society.  78.  365-381.</t>
    </r>
  </si>
  <si>
    <t>11, 48</t>
  </si>
  <si>
    <t>http://animaldiversity.ummz.umich.edu/site/accounts/information/Moschus_fuscus.html</t>
  </si>
  <si>
    <t>Canary Isls (Spain)</t>
  </si>
  <si>
    <t>teneriffae</t>
  </si>
  <si>
    <t>http://www.ultimateungulate.com/Artiodactyla/Cervus_schomburgki.html</t>
  </si>
  <si>
    <t xml:space="preserve">164. Davies, Glyn, Matt Heydon, Nigel Leader-Williams, John MacKinnon, and Helen Newing.  2001.  The effects of logging on forest ungulates.  Ch. 5 (www.earthscape.org/r3/ES14447/fimb_ch5.pdf ) pg. 93-124 in:  The Cutting Edge:  Conserving Wildlife in Logged Tropical Forests (Robert A. Fimbel, John G. Robinson, Alejandro eds. Grajal, eds.).  Columbia university press.  </t>
  </si>
  <si>
    <t>SW arabia, egypt to somalia, mozambique, botswanna, south africa and Namibia, mauritania and ghana to sudan and tanzania</t>
  </si>
  <si>
    <t>Mindoro, Luzon, Mindanao and negros (Philippines); Kei Isls, sulawesi and Timor (Indonesia); Borneo' new Guinea; NE Queensland (Australia)</t>
  </si>
  <si>
    <t>cuprosus</t>
  </si>
  <si>
    <t>endoi</t>
  </si>
  <si>
    <t>cameroon, zaire, gabon</t>
  </si>
  <si>
    <t>joffrei</t>
  </si>
  <si>
    <t>kitcheneri</t>
  </si>
  <si>
    <t>Penisular burma</t>
  </si>
  <si>
    <t>Neal Woodman, pers. Com.</t>
  </si>
  <si>
    <t>66, 222</t>
  </si>
  <si>
    <t>Walkers online</t>
  </si>
  <si>
    <t>Angola, S  Zaire, Zambia</t>
  </si>
  <si>
    <t>egypt, N sudan</t>
  </si>
  <si>
    <t>ariel</t>
  </si>
  <si>
    <t>Iberia, morocco and the canary (Spain) and Cape verde Isls through the Caucasus and Mongolia to korea, NE China and Japan, southeastward through iran and afghanistan to N india and burma</t>
  </si>
  <si>
    <t>NE India, Burma, Thailand</t>
  </si>
  <si>
    <t>cadornae</t>
  </si>
  <si>
    <t>Jalisco to Veracruz (Mexico), Alaska Panhandle (USA) to Baja California (Mexico), east to N Nuevo Leon (Mexico), South Dakota (USA) and C Alerta (Canada)</t>
  </si>
  <si>
    <t>Sri lanka and India to Kwangtung and Hainan (China), Vietnam, south to W Malaysia, borneo, philippines, lesser sunda isls</t>
  </si>
  <si>
    <t>Europe to Caucasus and Iran, England, S Sweden</t>
  </si>
  <si>
    <t>bechsteini</t>
  </si>
  <si>
    <t xml:space="preserve">106. Stuart, C. and Stuart, T. 1988. Field guide to the mammals of Southern Africa. London:  New Holland Publishers. </t>
  </si>
  <si>
    <t>107. Dorst, J. 1969. A field guide to the larger mammals of Africa. Boston:  Houghton Mifflin Company.</t>
  </si>
  <si>
    <t>203.  Edmison, N.  Melogale everetti (Everett's ferret-badger).  [29 July 2004; online]  Available at:  http://animaldiversity.ummz.umich.edu/site/accounts/information/Melogale_everetti.html.</t>
  </si>
  <si>
    <t>206.  Pearch, M. J., Bates, P. J. J., Magin, C. 2001.   A review of the small mammal fauna of Djibouti and the results of a recent survey.  Mammalia 65:  387-409</t>
  </si>
  <si>
    <t>60, 128, 217</t>
  </si>
  <si>
    <t>average of specimen # 8075, unknown, &amp; #7778</t>
  </si>
  <si>
    <t>Northern territory and N western australia</t>
  </si>
  <si>
    <t>walkeri</t>
  </si>
  <si>
    <t>N Australia</t>
  </si>
  <si>
    <t>S and C Japan, S Ussuri region (Russia and China), Korea, China, through SE Asia to Lesser Sunda Isls and the Philippines, perhaps australia</t>
  </si>
  <si>
    <t>Afghanistan, pakistan, n india, nepal, bhutan, burma, sw china</t>
  </si>
  <si>
    <t>babu</t>
  </si>
  <si>
    <t>heathi</t>
  </si>
  <si>
    <t>http://www.ultimateungulate.com/Artiodactyla/Dama_mesopotamica.html</t>
  </si>
  <si>
    <t>50-69g</t>
  </si>
  <si>
    <t>105-148mm</t>
  </si>
  <si>
    <t>90mm; regression</t>
  </si>
  <si>
    <t xml:space="preserve">115. Prater, S.H. 1971. The book of Indian animals. Bombay Natural History Society. Oxford:  Oxford University Press. </t>
  </si>
  <si>
    <t>Tamaulipas (Mexico) to Ecuador, bolivia and NE brazil, trinidad and tobago</t>
  </si>
  <si>
    <t>Colombia, Venezuela (including Margarita Isl)</t>
  </si>
  <si>
    <t>Oaxaca to Zacatecas (Mexico)</t>
  </si>
  <si>
    <t>Pacific lowlands of S Chiapas (Mexico)</t>
  </si>
  <si>
    <t>genowaysi</t>
  </si>
  <si>
    <t>England, spain and senegal to mongolia and W china, Canary (spain) and Cape Verde isls</t>
  </si>
  <si>
    <t>Plecotus</t>
  </si>
  <si>
    <t>austriacus</t>
  </si>
  <si>
    <t>Sonora and Coahuila to Yucatan (Mexico), Cozumel Isl (Mexico)</t>
  </si>
  <si>
    <t>rafinesquii</t>
  </si>
  <si>
    <t>Ussuri region and N Korea to Lake Baikal (Russia), the Altai Mtns and Mongolia, NE China, Sakhalin isl (Russia) and Hokkaido Isl (Japan)</t>
  </si>
  <si>
    <t>ikonnikovi</t>
  </si>
  <si>
    <t>Samoa</t>
  </si>
  <si>
    <t>insularum</t>
  </si>
  <si>
    <t>85. Van Rompaey, H. and Colyn, M. 1992. Crossarchus ansorgei. Mammalian Species, 402:1-3</t>
  </si>
  <si>
    <t>86. Best, T.L., Bartig, J.L., and Burt, S.L. 1992. Tamias canipes. Mammalian Species, 411:1-5.</t>
  </si>
  <si>
    <t>87. Heath, M.E. 1992. Manis pentadactyla. Mammalian Species, 414:1-6.</t>
  </si>
  <si>
    <t>regression; males: head-body 515 (470-550); tail 385 (345-460); hindfoot 128.1 (121-133); ear 49.9 (44.8-57); females: head-body 366.7 (334-416); tail 327.3 (246-380); hindfoot 106.3 (103-110); ear 34.3 (32.2-37.3)</t>
  </si>
  <si>
    <t>www.earthscape.org/r3/robinson/robinson23.pdf</t>
  </si>
  <si>
    <t>205.  Cockrum, E. L.  1977.  Status of the hairy footed gerbil, Gerbillus latastei Thomas and Trouessart.  Mammalia 41:  75-80.</t>
  </si>
  <si>
    <t>110-155 mm</t>
  </si>
  <si>
    <t>60, walkers online</t>
  </si>
  <si>
    <t>http://members.vienna.at/shrew/itsesAP95-talpinae.html#scaptonyx</t>
  </si>
  <si>
    <t>http://members.vienna.at/shrew/itsesAP95-soriculus.html#macrurus</t>
  </si>
  <si>
    <t>Madeira isl (Portugal), Canary isls (Spain)</t>
  </si>
  <si>
    <t>maderensis</t>
  </si>
  <si>
    <t>sulawesi</t>
  </si>
  <si>
    <t>java, records from india and sri lanka are in error</t>
  </si>
  <si>
    <t>11, 39, 44</t>
  </si>
  <si>
    <t>8, 35</t>
  </si>
  <si>
    <t>1, 32</t>
  </si>
  <si>
    <t>23, 32, 58</t>
  </si>
  <si>
    <t>stenopterus</t>
  </si>
  <si>
    <t>Southern australia except south australia, tasmania (australia)</t>
  </si>
  <si>
    <t>26, 32, 33</t>
  </si>
  <si>
    <t>97. Adam, M.D. and Hayes, J.P. 1998. Arborimus pomo. Mammalian Species, 593:1-5.</t>
  </si>
  <si>
    <t>242.  Woodman, N.  And Díaz de Pascual, A.  2004.  Cryptotis meridensis.  Mammalian Species No. 761, pp. 1-5.  The American Society of Mammalogists.</t>
  </si>
  <si>
    <t>214.  Dobigny, G., Gradjon, L. Aniskin, V. Ba, K. and Volobouev, V.  2003.  A new sibling species of Taterillus (Muridae, Gerbillinae) from West Africa.  Mammalian Biology 68:299-316.</t>
  </si>
  <si>
    <t>150, 155</t>
  </si>
  <si>
    <t xml:space="preserve">156, 157 </t>
  </si>
  <si>
    <t>157, 158</t>
  </si>
  <si>
    <t>NW, S and E india, pakistan, perhaps Taiwan</t>
  </si>
  <si>
    <t>dormeri</t>
  </si>
  <si>
    <t>smithsonian book of NA mammals</t>
  </si>
  <si>
    <t>Smithsonian book of NA mammals</t>
  </si>
  <si>
    <t>regression; males: head-body 183 (154-226); tail: 173 (154-191); hindfoot: 34.3 (30-41); females: head-body: 168 (152-195); tail: 161 (152-170); hindfoot: 32.1 (31-33)</t>
  </si>
  <si>
    <t>67. Honacki, J.H., Kinman, K.E., and Koeppl, J.W.  1982.  Mammal species of the world:  a taxonomic and geographic reference. Lawrence:  Allen Press.</t>
  </si>
  <si>
    <t>68. Ernest, S.K.M.  Life history characteristics of placental nonvolant mammals.   Ecological Archives, in press.</t>
  </si>
  <si>
    <t xml:space="preserve">108. Kingdon, J. 1984. East African mammals. Volume IIA. Insectivores and Bats.  Chicago: University of Chicago Press. </t>
  </si>
  <si>
    <t>109. Kingdon, J. 1984. East African mammals. Volume IIB. Hares and Rodents. Chicago: University of Chicago Press.</t>
  </si>
  <si>
    <t>110. Flannery, T. 1995. Mammals of the Southwest Pacific and Moluccan Islands. New York:  Cornell University Press.</t>
  </si>
  <si>
    <t xml:space="preserve">111. Van Den Brink, F.H. 1968. A field guide to the mammals of Britain and Europe. Boston: Houghton Mifflin Company Boston. </t>
  </si>
  <si>
    <t>Thailand to New Guniea, Bismarck arch, solomon isls, vanuatu (New Hebrides) and N australia, cocos keeling isl and christmas isl (indian ocean)</t>
  </si>
  <si>
    <t>S Michoacan (Mexico)</t>
  </si>
  <si>
    <t>mira</t>
  </si>
  <si>
    <t>Tamaulipas (mexico) to N argentina and Venezuela, Trinidad</t>
  </si>
  <si>
    <t>114. Krystufek, Boris. 1991. Sesalci Slovenije. Slovenije:  Prirodoslovni muzej Slovenije.</t>
  </si>
  <si>
    <t xml:space="preserve">76. Jones, J. Knox Jr., and Baldassarre, G.A. 1982. Reithrodontyomys brevirostris and Reithrodontomys paradoxus. Mammalian Species, 192:1-3. </t>
  </si>
  <si>
    <t>116. Kingdon, J. 1982. Ostafrikanische Säugetiere. Frankfurt:  Senckenbergische Naturforschende Gesellschaft.</t>
  </si>
  <si>
    <t>117. Roberts, T.J. 1977. The mammals of Pakistan. London:  Ernest Benn Limited</t>
  </si>
  <si>
    <t>118. Payne, J., Frances, C.M., and Phillipps, K. 1985. A field guide to the mammals of Borneo. Kuala Lumpur:  The Sabah Society with World Wildlife Fund Malaysia.</t>
  </si>
  <si>
    <t>119. Harrison, J. 1966. An introduction to the mammals of Singapore and Malaya. Malayan Nature Society. Singapore: Tien Wah Press.</t>
  </si>
  <si>
    <t>180-250mm; http://members.tripod.com/~Ashey2/info.html</t>
  </si>
  <si>
    <t>100, 173</t>
  </si>
  <si>
    <t>111, 173</t>
  </si>
  <si>
    <t>regression</t>
  </si>
  <si>
    <t>194-250mm; walkers</t>
  </si>
  <si>
    <t>walkers, 60</t>
  </si>
  <si>
    <t>140mm</t>
  </si>
  <si>
    <t>66 mm; regression</t>
  </si>
  <si>
    <t>53. Giacchino, A. And Gurovich, Y. 2002.  Mamiferos gigantescos habitaron la region.   (January 2002; Http://Www.Miramar-Digital.Com/Egatur/Museo/Mamgig.Html).</t>
  </si>
  <si>
    <t>88. Jefferson, T.A. and Newcomer, M.W. 1993. Lissodelphis borealis. Mammalian Species, 425:1-6</t>
  </si>
  <si>
    <t>89. Best, R.C. and da Silva, V.M.F. 1993. Inia geoffrensis. Mammalian Species, 426:1-8</t>
  </si>
  <si>
    <t>90. Burt, S.L. and Best. T.L. 1994. Tamias rufus. Mammalian Species, 460:1-6.</t>
  </si>
  <si>
    <t xml:space="preserve">91. Kingswood, S.C. and Blank, D.A. 1996. Gazella subgutturosa. Mammalian Species, 518:1-10. </t>
  </si>
  <si>
    <t>92. Custodio, C.C., Lepiten, M.V. and Heaney, L.R. 1996. Bubalus mindorensis. Mammalian Species, 520:1-5</t>
  </si>
  <si>
    <t>82 mm; regression</t>
  </si>
  <si>
    <t>61-69mm; regression</t>
  </si>
  <si>
    <t>http://members.vienna.at/shrew/itsesAP95-soriculus.html#caudatus</t>
  </si>
  <si>
    <t>25, 58</t>
  </si>
  <si>
    <t>specimens from Indonesia</t>
  </si>
  <si>
    <t>the desert zone from morocco and niger through egypt and arabia to Tadzhikistan, afghanistan and kashmir</t>
  </si>
  <si>
    <t>Otonycteris</t>
  </si>
  <si>
    <t>hemprichi</t>
  </si>
  <si>
    <t>95. Sokolov, V.E. and Lushchekina, A.A. 1997. Procrapa gutterosa. Mammalian Species, 571:1-5</t>
  </si>
  <si>
    <t>96. Lariviere, S. 1998. Lontra felina. Mammalian Species, 575:1-5</t>
  </si>
  <si>
    <t>98. Alvarez-Castaneda, S.T. and Yensen, E. 1999. Neotoma bryanti. Mammalian Species, 619:1-3</t>
  </si>
  <si>
    <t>99. Norris, C.A. 1999. Phalanger lullulae. Mammalian Species, 620:1-4</t>
  </si>
  <si>
    <t>100. Mead, J.I. and Nadachowski, A. 1999. Alticola stoliczkanus. Mammalian Species, 624:1-4.</t>
  </si>
  <si>
    <t>101. Storz, J.F. and Wozencraft. W.C. 1999. Melogale moschata. Mammalian Species, 631:1-4</t>
  </si>
  <si>
    <t>102. Cortes-Calva, P., Alvarez-Castaneda, S.T., and Yensen, E. 2001. Neotoma anthonyi. Mammalian Species, 663:1-3</t>
  </si>
  <si>
    <t>103. McCay, T. S. 2001. Blarina carolinensis. Mammalian Species, 673:1-7.</t>
  </si>
  <si>
    <t>104. Fedosenko, A.K. and Blank, D.A. 2001. Capra sibirica. Mammalian Species, 675:1-13</t>
  </si>
  <si>
    <t>105. Belcher, R.L. and Lee, T, Jr. 2002. Arctocephalus townsendi. Mammalian Species, 700:1-5.</t>
  </si>
  <si>
    <t>44. Prado, J.L. and Alberdi, M.A. 1994. A quantitative review of the horse Equus from South America. Palaeontology, 37: 459-481.</t>
  </si>
  <si>
    <t>69. Damuth, J.  1987.  Interspecific allometry of population density in mammals and other animals:  the independence of body mass and population energy use.  Biological Journal of the Linnean Society, 31:193-246.</t>
  </si>
  <si>
    <t>70. Kingdon, J. 1997.  The Kingdon field guide to African Mammals. San Diego:  Academic Press.</t>
  </si>
  <si>
    <t xml:space="preserve">71. Van den Bergh, M.B. and M. Kappelle. Unpublished manuscript. Diversity and distribution of small terrestrial rodents along a disturbance gradient and montane Costa Rica. (March 2003: http://rbt.ots.ac.cr/revistas/46-2/bergh.htm) </t>
  </si>
  <si>
    <t>112. Stuart, A. J. 1999.  In Extinctions in near time: causes, contexts, and consequences (R.D.E. MacPhee, ed.), pp. 257-270. New York: Kluwer Academic/Plenum Press.</t>
  </si>
  <si>
    <t>113. Lynch, C.D. 1994. The mammals of Lesotho. Navorsinge: Van Die Nasionale Museum Bloemfontein. (Journal of the National Museum, Bloemfontein) 10:1- 241.</t>
  </si>
  <si>
    <t>74. Harvey, P.H. and Cluttonbrock, T.H. 1985. Life-history variation in primates.  Evolution, 39:559-581</t>
  </si>
  <si>
    <t xml:space="preserve">77. Jones, J. Knox Jr. 1982. Reithrodontomys spectabilis. Mammalian Species, 192:1. </t>
  </si>
  <si>
    <t>78. Palmeirim, J.M. and Hoffmann, R.S. 1983. Galemys pyrenaicus. Mammalian Species, 207:1-5.</t>
  </si>
  <si>
    <t xml:space="preserve">79. Nagorsen, D. 1985. Kogia simus. Mammalian Species, 239:1-6. </t>
  </si>
  <si>
    <t>80. Wang, X. and Hofmann, R.S. 1987. Pseudois nayaur and Pseudois schaeferi. Mammalian Specie,s 278:1-6.</t>
  </si>
  <si>
    <t xml:space="preserve">81. Jones, J. Knox. Jr. 1990. Peromyscus stirtoni. Mammalian Species, 361:1-2. </t>
  </si>
  <si>
    <t>82. Youngman, P.M. 1990. Mustela lutreola. Mammalian Species, 362:1-3.</t>
  </si>
  <si>
    <t>83. Baumgardner, G.D. 1991. Dipodomys compactus. Mammalian Species, 369:1-4.</t>
  </si>
  <si>
    <t>84. Best, T.L. and Thomas, H.H. 1991. Dipodomys insularis. Mammalian Species, 374:1-3.</t>
  </si>
  <si>
    <t>52. Farina, R.A. and Vizcaino, S.F. 1997. Allometry of the bones of living and extinct armadillos (Xenarthra, Dasypoda). Z. Saugetierkunde, 62: 65-70.</t>
  </si>
  <si>
    <t>33. Van Valkenburgh, B. 1991. Iterative evolution of hypercarnivory in canids (Mammalia: Carnivora): evolutionary interactions among sympatric predators. Paleobiology, 17: 340-362.</t>
  </si>
  <si>
    <t>54. Guerin, C. and Faure, M. 2000. The real nature of Megatherium laurillardi LUND, 1842 (Mammalia, Xenarthra): a dwarf amongst giants. Geobios, 33: 475-488.</t>
  </si>
  <si>
    <t>55. Bargo, M.S., Vizcaino, S.F., Archuby, F.M., and Blanco, R.E. 2000. Limb bone proportions, strength and digging in some Lujanian (Late Pleistocene-Early Holocene) mylodontid ground sloths (Mammalia, Xenarthra). Journal of Vertebrate Paleontology, 20: 601-610.</t>
  </si>
  <si>
    <t>56. Nowak, R.M. 1999. Walker’s Mammals of the World. Volume 1 and 2. Baltimore: John Hopkins University Press.</t>
  </si>
  <si>
    <t>57. Eisenberg, J.F. 1989. Mammals of the Neotropics. Volume 1. Chicago:  University of Chicago Press.</t>
  </si>
  <si>
    <t>93. Newcomer, M.W., Jefferson, T.A., and Brownell, R.L. Jr. 1996. Lissodephis peronii. Mammalian Species, 531:1-5</t>
  </si>
  <si>
    <t>94. Garcia-Perea, R. Ventura, J., Lopez-Fuster, J. and Gisbert, J. 1997. Soxes granarius. Mammalian Species, 554:1-4.</t>
  </si>
  <si>
    <t xml:space="preserve">62. Wilson, D.E., and Reeder, D.M.  1993. Mammal species of the world:  a taxonomic and geographic reference, 2nd Edition.  Washington, D.C.:  Smithsonian Institution Press.  </t>
  </si>
  <si>
    <t>63. Kingdon, J.  1982.  East African mammals:  an atlas of evolution in Africa, Volumes 1-3.  Chicago:  University of Chicago Press.</t>
  </si>
  <si>
    <t>64. Yom Tov, pers. comm.</t>
  </si>
  <si>
    <t>65. Haltenorth, T. and Diller, H.  1980.  A field guide to the mammals of Africa including Madagascar.  London:  Collins.</t>
  </si>
  <si>
    <t>66. Brown, J.H., and Nicoletto, P.F.  1991.  Spatial scaling of species assemblages:  body masses of North American land mammals.  American Naturalist, 138:1478-1512.</t>
  </si>
  <si>
    <t>43. Farina, R.A., Vizcaino, S.F., Bargo, M.S.  Body mass estimations in Lujanian (late Pleistocene-early Holocene of South America) mammal megafauna. Unpublished manuscript</t>
  </si>
  <si>
    <t>21. Kitchener, D.J. 1995. Broad-faced potoroo: Potorous platyops. In Mammals of Australia, Rev. Ed. (R. Strahan, ed.), pp. 300-301. Washington D.C.: Smithsonian Institution Press.</t>
  </si>
  <si>
    <t>45. MacFadden, B.J. 1997. Pleistocene horses from Tarija, Boliva, and the validity of the genus Onohippidium (Mammalia: Equidae). Journal of Vertebrate Paleontology, 17: 199-218.</t>
  </si>
  <si>
    <t>46. Cartelle, C., Hartwig, W.C. 1996. A new extinct primate among the Pleistocene megafauna of Bahia, Brazil. Proceedings of the National Academy of Sciences, 93: 6405-6409.</t>
  </si>
  <si>
    <t>47. MacFadden, B.J. and Shockey, B.J. 1997. Ancient feeding ecology and niche differentiation of Pleistocene mammalian herbivores from Tarija, Bolivia: morphological and isotopic evidence. Paleobiology, 23: 77-100.</t>
  </si>
  <si>
    <t>72. Morand, S., Hafner, M.S., Page, R.D.M., and Reed, D.L. 2000. Comparative body size relationships in pocket gophers and their chewing lice. Biological Journal of the Linnean Society, 70:239-249.</t>
  </si>
  <si>
    <t>73. Myers, P.  1995.  The animal diversity web.  (March 2003; http://animaldiversity.ummz.umich.edu)</t>
  </si>
  <si>
    <t>75. Wootten, J.T. 1987. The effects of body-mass, phylogeny, habitat, and trophic level on mammalian age at 1st reproduction. Evolution, 41:732-749.</t>
  </si>
  <si>
    <t>50. Lessa, E.P. and Farina, R.A. 1996. Reassessment of extinction patterns among the late Pleistocene mammals of South America. Palaeontology, 39: 651-662.</t>
  </si>
  <si>
    <t>51. De Iuliis, G., Bargo, M.S., and Vizcaino, S.F. 2000. Variation in skull morphology and mastication in the fossil giant armadillos Pampatherium spp. and allied genera (Mammalia, Xenarthra, Pampatheriidae), with comments on their systematics and distribution. Journal of Vertebrate Paleontology, 20: 743-754.</t>
  </si>
  <si>
    <t>31. Anyonge, W. 1993. Body mass in large extant and extinct carnivores. Journal of Zoology, London, 231: 339-350.</t>
  </si>
  <si>
    <t>32. Kurtén, B. 1988. Before the Indians, New York: Columbia University Press.</t>
  </si>
  <si>
    <t xml:space="preserve">10. Stuart, A.J. 1991. Mammalian extinctions in the late Pleistocene of northern Eurasia and North America. Biological Reviews, 66:453-562. </t>
  </si>
  <si>
    <t>34. Burke, A. and Cinqmars, J. 1996. Dental characteristics of late Pleistocene Equus lambei from the Bluefish Caves, Yukon Territory, and their comparison with Eurasian horses. Geographie Physique et Quaternaire, 50: 81-93.</t>
  </si>
  <si>
    <t>35. MacFadden, B.J. 1986. Fossil horses from "Eohippus" (Hyracotherium) to Equus: scaling, Cope's Law, and the evolution of body size. Paleobiology, 12: 355-369.</t>
  </si>
  <si>
    <t>58. Stuart, A.J.  1991. Mammalian extinctions in the late Pleistocene of northern Eurasia and North America.  Biological Reviews of the Cambridge Philosophical Society, 66: 453-562.</t>
  </si>
  <si>
    <t>59. Strahan, R. 1995. Mammals of Australia. Washington, D.C.:  Smithsonian Institution Press.</t>
  </si>
  <si>
    <t>60. Silva, M., and Downing, J.A. 1995. CRC Handbook of Mammalian Body Masses. Boca Raton:  CRC Press.</t>
  </si>
  <si>
    <t>61. Marquet, P.A., and Cofre, H.  1999.  Large temporal and spatial scales in the structure of mammalian assemblages in South America: a macroecological approach. Oikos, 85:299-309.</t>
  </si>
  <si>
    <t>39. Farina, R.A. 1995. Trophic relationships among Lujanian mammals. Evolutionary Theory, 11: 125-134.</t>
  </si>
  <si>
    <t>40. Farina, R.A. 2002. in litt.</t>
  </si>
  <si>
    <t>41. Martin, P.S. and Steadman, D.W. 1999. Prehistoric extinctions on islands and continents. In Extinctions in near time: causes, contexts, and consequences (R.D.E. MacPhee, ed.), pp. 17-55. New York : Kluwer Academic/Plenum Press.</t>
  </si>
  <si>
    <t>42. Berta, A. 1988. Quaternary evolution and biogeography of the large South American Canidae (Mammalia, Carnivora), Berkeley, CA: University of California Press.</t>
  </si>
  <si>
    <t>20. Smith, M.J. 1995. Desert rat-kangaroo: Caloprymnus campestris. In Mammals of Australia, Rev. Ed. (R. Strahan, ed.), pp. 296-297. Washington D.C.: Smithsonian Institution Press.</t>
  </si>
  <si>
    <t>19. Johnson, K.A. and Burbidge, A.A. 1995. Pig-footed bandicoot: Chaeropus ecaudatus. In Mammals of Australia, Rev. Ed. (R. Strahan, ed.), pp. 170-171. Washington D. C.: Smithsonian Institution Press.</t>
  </si>
  <si>
    <t>160. Evans, R.H. Anesthesia and restraint of raccoons and relatives (Carnivora, Procyonidae). In: Zoological Restraint and Anesthesia, (D. Heard, ed.), Ithaca:  International Veterinary Information Service, in press (preprint available at http://www.ivis.org/special_books/Heard/toc.asp)</t>
  </si>
  <si>
    <t>161. Wilson, D. E. and Ruff, S.  1999.  The Smithsonian book of North American mammals.  Washington, D.C.: Smithsonian Institution Press.</t>
  </si>
  <si>
    <t>22. Wroe, S., Myers, T.J., Wells, R.T., and Gillespie, A. 1999. Estimating the weight of the Pleistocene marsupial lion, Thylacoleo carnifex (Thylacoleonidae: Marsupialia): implications for the ecomorphology of a marsupial super-predator and hypotheses of impoverishment of Australian marsupial carnivore faunas. Australian Journal of Zoology, 47: 489-498.</t>
  </si>
  <si>
    <t>49. Marshall, L.G. 1994. L'Evolution et le contexte paleoecologique des faunes de mammiferes en amerique du sud pendant le Pleistocene. L'Anthropologie, 98: 55-80.</t>
  </si>
  <si>
    <t>27. Scott, K. 1990. Postcranial dimensions of ungulates as predictors of body mass. In Body size in mammalian paleobiology: estimation and biological implications. (J. Damuth and B.J. MacFadden, eds.), pp. 301-336. Cambridge: Cambridge University Press.</t>
  </si>
  <si>
    <t>28. Alroy, J. 2002. North American fossil mammal systematics database. (January 2003; www.nceas.ucsb.edu/~alroy/nafmsd.html)</t>
  </si>
  <si>
    <t>29. George C. Page Museum. 2002. La Brea tar pits. (January 2002; www.tarpits.org)</t>
  </si>
  <si>
    <t>30. FAUNMAP working group. 1994. FAUNMAP Database (October 2001; www.museum.state.il.us)</t>
  </si>
  <si>
    <t>9. Stuart, A.J. 1999. Late Pleistocene megafaunal extinctions: A European perspective. In Extinctions in near time: causes, contexts, and consequences (R.D. E. MacPhee, ed.), pp. 257-270. New York: Kluwer Academic/Plenum Press.</t>
  </si>
  <si>
    <t>26. Murray, P. 1991. The Pleistocene megafauna of Australia. In Vertebrate palaeontology of Australasia (P. Vickers-Rich, J.M. Mongahan, R.F. Baird, and T.H. Rich, eds.), pp. 1070-1164. Melbourne: Pioneer Design Studio.</t>
  </si>
  <si>
    <t>7. Churcher, C.S. and Richardson, M.L. 1978. Equidae. In Evolution of African Mammals (V.J. Maglio and H.B.S. Cooke, eds.), pp. 379-422. Cambridge, MA: Harvard University Press.</t>
  </si>
  <si>
    <t>8. Alberdi, M.T., Prado, J.L., and Ortiz-Jaureguizar, E. 1995. Patterns of body size changes in fossil and living Equini (Perissodactyla). Biological Journal of the Linnean Society, 54: 349-370.</t>
  </si>
  <si>
    <t>145. Mc Farlane, D.A. 1999. Late quaternary fossil mammals and last occurrence dates from caves at Barahona, Puerto Rico. Caribbean Journal of Science, 35:238-248</t>
  </si>
  <si>
    <t>11. Martin, P.S. 1984. Prehistoric overkill: The global model. In Quaternary extinctions: a prehistoric revolution (P.S. Martin and R.G. Klein, eds.), pp. 354-403. Tucson, AZ: University of Arizona Press.</t>
  </si>
  <si>
    <t>12. Coppens, Y., Maglio, V.J., Madden, C.T. and Beden, M. 1978. Proboscidea. In Evolution of African Mammals (V.J. Maglio and H.B.S. Cooke, eds.), pp. 336-367. Cambridge, MA: Harvard University Press.</t>
  </si>
  <si>
    <t>36. Haynes, G. 1991. Mammoths, mastodons and elephants: biology, behaviour and the fossil record, Cambridge: Cambridge University Press.</t>
  </si>
  <si>
    <t>38. Roth, L. 1990. Insular dwarf elephants: A case study in body mass estimation and ecological inference. In Body size in mammalian paleobiology: estimation and biological implications. (J. Damuth and B.J. MacFadden, eds.), pp. 151-180. Cambridge: Cambridge University Press.</t>
  </si>
  <si>
    <t>17. Smith, M.J. 1995. Toolache wallaby: Macropus greyi. In Mammals of Australia, Rev. Ed. (R. Strahan, ed.), pp. 339-340. Washington D.C.: Smithsonian Institution Press.</t>
  </si>
  <si>
    <t>18. Strahan, R. 1995. Eastern hare-wallaby: Lagorchestes leporides. In Mammals of Australia, Rev. Ed. (R. Strahan, ed.), pp. 319-320. Washington D.C.: Smithsonian Institution Press.</t>
  </si>
  <si>
    <t>157. Smith, F.A. 1992 Evolution of body size among woodrats from Baja California, Mexico. Functional Ecology, 6:265-273.</t>
  </si>
  <si>
    <t>158. Smith, FA, Bestelmeyer, B.T., Biardi, J. and Strong, M. 1993. Anthropgenic extinction of the endemic woodrat Netoma bunkeri Burt. Biodiversity Letters, 1:149-155.</t>
  </si>
  <si>
    <t>159. Choate, J,. 2002. in litt.</t>
  </si>
  <si>
    <t>127. Stanley, W.T., Goodman, S.M., Kihaule, P.M., and Howell, K.M. 2000. A survey of the small mammals of the Gonja forest reserve, Tanzania. Journal of East African Natural History, 89:73-83</t>
  </si>
  <si>
    <t>1. Anderson, E. 1984. Who’s who in the Pleistocene: A mammalian bestiary. In Quaternary extinctions: a prehistoric revolution (P.S. Martin and R.G. Klein, eds.), pp. 40-89. Tucson, AZ: University of Arizona Press.</t>
  </si>
  <si>
    <t>2. Klein, R.G. 1984. Mammalian extinctions and stone age people in Africa. In Quaternary extinctions: a prehistoric revolution (P.S. Martin and R.G. Klein, eds.), pp. 553-573. Tucson, AZ: University of Arizona Press.</t>
  </si>
  <si>
    <t>23. Grayson, D.K. 1993. The desert's past. A natural prehistory of the Great Basin, Washington, D.C.: Smithsonian Institution Press.</t>
  </si>
  <si>
    <t>24. Graham, R.W. and Lundelius Jr., E.L. 1984. Coevolutionary disequilibrium and Pleistocene extinctions. In Quaternary extinctions: a prehistoric revolution (P.S. Martin and R.G. Klein, eds.), pp. 223-249. Tucson, AZ: University of Arizona Press.</t>
  </si>
  <si>
    <t>48. Cantalamessa G., Di Celma C., Bianucci G., Carnevale G., Coltorti M., Delfino M., Ficcarelli G., Espinosa M.M., Naldini D., Pieruccini P., Ragaini L., Rook L., Rossi M., Tito G., Torre D., Valleri G., and Landini W. 2001. A new vertebrate fossiliferous site from the late Quaternary at San Jose on the north coast of Ecuador: preliminary note. Journal of South American Earth Sciences, 14: 331-334.</t>
  </si>
  <si>
    <t>25. Kurtén, B. and Anderson, E. 1980. Pleistocene mammals of North America, Columbia, NY : Columbia University Press.</t>
  </si>
  <si>
    <t>143. Furley, C.W.  1983. Potential Use of Gazelles for Game Ranching in the Arabian Peninsula.  Lecture was delivered at the Agro-Gulf Exhibition and Conference, Abu Dhabi. (March 2003; http://enhg5.4t.com/b/b22/22_06.htm)</t>
  </si>
  <si>
    <t>San Luis Potosi (Mexico) to Peru, Bolivia and E Brazil</t>
  </si>
  <si>
    <t>Vampyrodes</t>
  </si>
  <si>
    <t>Honduras to Peru, Bolivia, W Brazil and Venezuela</t>
  </si>
  <si>
    <t>Carollia</t>
  </si>
  <si>
    <t>castanea</t>
  </si>
  <si>
    <t>Peru, S Colombia, French Guiana</t>
  </si>
  <si>
    <t>melissa</t>
  </si>
  <si>
    <t>nymphaea</t>
  </si>
  <si>
    <t>Chiroderma</t>
  </si>
  <si>
    <t>144. Thai Society for the Conservation of Wild Animals. 2002. (March 2003; http://www.tscwa.org/wildlife/rare_or_extinct_09.html)</t>
  </si>
  <si>
    <t>148. Kappeler, P.M., and Pereira, M.A., eds. 2003. Primate life histories and socioecology.  Chicago:  University of Chicago Press.</t>
  </si>
  <si>
    <t>149. Bennet, D. and Hoffman, R.S. 1999. Equus callabus. Mammalian Species, 628:1-14.</t>
  </si>
  <si>
    <t>13. Murray, P. 1984. Extinctions down under: A bestiary of extinct Australian Late Pleistocene Monotremes and Marsupials.  In Quaternary extinctions: a prehistoric revolution (P.S. Martin and R.G. Klein, eds.), pp. 600-628. Tucson, AZ: University of Arizona Press.</t>
  </si>
  <si>
    <t>14. Ward, V.R. 2002.  Prehistoric data files. (November 2002; www.angellis.net).</t>
  </si>
  <si>
    <t>155. MacPhee, R.D.E. 1994. Morphology, adaptations, and relationships of Plesiorycteropus, and a diagnosis of a new order of Eutherian mammals. Bulletin of the American Museum of Natural History, 220:1-214.</t>
  </si>
  <si>
    <t>37. Burness, G.P., Diamond, J., and Flannery, T. 2001. Dinosaurs, dragons and dwarfs: the evolution of maximum body size. Proceedings of the National Academy of Sciences, 98: 14518-14523.</t>
  </si>
  <si>
    <t>15. Keast, A., Erk, F.C., and Glass, B. 1972. Evolution, mammals, and southern continents, Albany : State University of New York Press.</t>
  </si>
  <si>
    <t>16. Flannery, T.F. and Roberts, R.G. 1999. Late Quaternary extinctions in Australasia: A overview. In Extinctions in near time: causes, contexts, and consequences (R.D.E. MacPhee, ed.), pp. 239-256. New York: Kluwer Academic/Plenum Press.</t>
  </si>
  <si>
    <t>N Ecuador, Colombia; Venezuela (Including Margarita Isl); N Brazil; Guyana; Trindad and Tobago; Grenada, St Vincent, Curacao, Bonaire and Aruba (Lesser Antilles)</t>
  </si>
  <si>
    <t>129. Smithers, R.H.N. 1983. The mammals of the southern African subregion. Pretoria:  University of Pretoria Press.</t>
  </si>
  <si>
    <t>128. Osborn, D.J., and Helmy, I. 1980. The contemporary land mammals of Egypt (including Sinai). Fieldiana, 5:1-579.</t>
  </si>
  <si>
    <t>132. Phillips, W.W.A. 1935. Manual of the mammals of Ceylon. London:  Dulau and Company, Ltd.</t>
  </si>
  <si>
    <t>3. Flannery, T. and Schouten, P. 2001. A gap in nature: discovering the world’s extinct animals, New York, NY: Atlantic Monthly Press.</t>
  </si>
  <si>
    <t>4. MacPhee, R.D.E. and Flemming, C. 1999. Requiem æternam: The last five hundred years of mammalian species extinctions. In Extinctions in near time: causes, contexts, and consequences (R.D.E. MacPhee, ed.), pp. 333-372. New York: Kluwer Academic/Plenum Press.</t>
  </si>
  <si>
    <t>137. 1990. Grzimek's Encylopedia of Mammals, Volume 4. New York:  Mcgraw Hill.</t>
  </si>
  <si>
    <t>138. 1990. Grzimek's Encylopedia of Mammals, Volume 3. New York:  Mcgraw Hill.</t>
  </si>
  <si>
    <t>139. 1990. Grzimek's Encylopedia of Mammals, Volume 2. New York:  Mcgraw Hill.</t>
  </si>
  <si>
    <t>140. 1990. Grzimek's Encylopedia of Mammals, Volume 1. New York:  Mcgraw Hill.</t>
  </si>
  <si>
    <t>parnellii</t>
  </si>
  <si>
    <t>Cuba, Jamaica</t>
  </si>
  <si>
    <t>macleayii</t>
  </si>
  <si>
    <t>New Zealand</t>
  </si>
  <si>
    <t>5. Milewski, A.V. and Diamond, R.E. 2000. Why are very large herbivores absent from Australia? A new theory of micronutrients. Journal of Biogeography, 27: 957-978.</t>
  </si>
  <si>
    <t>6. Churcher, C.S. 1978. Giraffidae. In Evolution of African Mammals (V.J. Maglio and H.B.S. Cooke, eds.), pp. 509-535. Cambridge, MA: Harvard University Press.</t>
  </si>
  <si>
    <t>141. Macdonald, D. 1985. The Encyclopedia of Mammals. New York:  Facts on File Publications.</t>
  </si>
  <si>
    <t>142. Medway, L. 1969. The wild mammals of Malaya and offshore islands including Singapore. London:  Oxford University Press.</t>
  </si>
  <si>
    <t>S Brazil, paraguay</t>
  </si>
  <si>
    <t>W Brazil, Bolivia, Ecador, Peru</t>
  </si>
  <si>
    <t>anderseni</t>
  </si>
  <si>
    <t>146. Woodland Park Zoo, Seattle, WA.  2002.  Woodland Park Zoo – Animal fact sheets.  (March 2003; http://www.zoo.org/educate/fact_sheets).</t>
  </si>
  <si>
    <t>147. Whitehead, K.G.  1993.  The Whitehead Encyclopedia of Deer.  Stillwater: Voyageur Press, Inc.</t>
  </si>
  <si>
    <t>150. Garbutt, M. 1999. Mammals of Madagascar. New Haven:  Yale University Press.</t>
  </si>
  <si>
    <t>151. Flannery, T. 1995. Mammals of New Guinea: Ithaca: Cornell Unversity Press.</t>
  </si>
  <si>
    <t xml:space="preserve">152. Verts, B.J., and Carraway, L.N. 1998. Land mammals of Oregon. Berkeley:  University of California Press. </t>
  </si>
  <si>
    <t>153. Jones, K.E., Purvis, A., and Gittleman, J.L. 2003. Biological correlates of extinction risk in bats. American Naturalist, 161:601-614.</t>
  </si>
  <si>
    <t>154. Link Olson, 2002. in litt.</t>
  </si>
  <si>
    <t>124. Stanley, W.T., Goodman, S.M., and Hutterer, R. 1996. Notes on the insectivores and elephant shrews of the Chome Forest, South Pare Mountains, Tanzania (Mammalia: Insectivora et Macroscelidea). Zoologische Abhandlungen: Staatliches Museum fur Tierkunde Dresden, 49:131-147.</t>
  </si>
  <si>
    <t>Venezuela, Colombia, Peru</t>
  </si>
  <si>
    <t>Chiapas to Tlaxcala (Mexico)</t>
  </si>
  <si>
    <t>Glossophaga</t>
  </si>
  <si>
    <t>N India, nepal, Burma, S China, Vietnam, Laos, Thailand, Malay Peninsula, Taiwan</t>
  </si>
  <si>
    <t>armiger</t>
  </si>
  <si>
    <t>Pteralopex</t>
  </si>
  <si>
    <t>156. Smith, F.A. 1991. Nutritional ecology and body size of Neotoma populations. PhD dissertation, University of California.</t>
  </si>
  <si>
    <t>125. Stanley, W.T., Goodman, S.M., and Kihaule, P.M. 1998. Results of two surveys of rodents in the Chome Forest Reserve, South Pare Mountains, Tanzania (Mammalia: Rodentia). Zoologische Abhandlungen: Staatliches Museum fur Tierkunde Dresden, 50:145-160.</t>
  </si>
  <si>
    <t>126. Stanley, W.T. and Hutterer, R. 2000. A new species of Myosorex Gray, 1832 (Mammalia: Soricidae) from the Eastern Arc mountains, Tanzania. Bonner Zoologische Beiträge, 49:19-29.</t>
  </si>
  <si>
    <t>Liberia to Zambia</t>
  </si>
  <si>
    <t>Erophylla</t>
  </si>
  <si>
    <t>sezekorni</t>
  </si>
  <si>
    <t>Cuba, Jamaica, Hispaniola, Puerto Rico, Bahamas and Cayman Isls</t>
  </si>
  <si>
    <t>mahaganus</t>
  </si>
  <si>
    <t>130. Happold, D.C.D. 1987. The mammals of Nigeria. Oxford: Clarendon Press.</t>
  </si>
  <si>
    <t>131. Pocock, R.I. 1941. The fauna of British India, including Ceylon and Burma. Mammalia. Volume II. Carnivora.  London: Taylor and Francis, Ltd.</t>
  </si>
  <si>
    <t>133. Blandford, W.T. 1891. The fauna of British India, including Ceylon and Burma.  London: Taylor and Francis, Ltd.</t>
  </si>
  <si>
    <t>134. MacDonald, D.W., Barrett, P. McDonald, D. 1993. Mammals of Britain and Europe.  London: Harper and Collins.</t>
  </si>
  <si>
    <t>135. Delany, M.J. 1975. The Rodents of Uganda. British Museum of Natural History Publication No. 764, Kettering:  Staples Printers Ltd.</t>
  </si>
  <si>
    <t xml:space="preserve">136. 1990. Grzimek's Encylopedia of Mammals, Volume 5. New York:  Mcgraw Hill. </t>
  </si>
  <si>
    <t>Peru, Brazil, Guianas and Venezuela to S Sonora and S Tamaulipas (Mexico); Cuba; Jamaica; Puerto Rico; Hispaniola; Trindidad and Tobago; Margarita Isl (venezuela); La Gonave Is (Haiti)</t>
  </si>
  <si>
    <t>Burma, Vietnam, Thailand, Yunnan (China)</t>
  </si>
  <si>
    <t>W Malaysia, Thailand, adjacent small islands</t>
  </si>
  <si>
    <t>Sumatra to Philippines, New Guinea and Lesser Sundas</t>
  </si>
  <si>
    <t>Philippines (Luzon and Dinagat)</t>
  </si>
  <si>
    <t>Oxaca (Mexico) to SE Brazil, Peru and Ecuador; Trindad; perhaps New Providence Isl (Bahama Isls)</t>
  </si>
  <si>
    <t>Guerrero, Oaxaca (Mexico), Nicaragua to Colombia, Venezuela and Guyana</t>
  </si>
  <si>
    <t>pretiosus</t>
  </si>
  <si>
    <t>Malaysia to the Philippines, Timor (Indonesia) and adjacent small islands</t>
  </si>
  <si>
    <t>Senegal to ethiopia and Somalia, south to South africa and namibia; Bioko; Zanzibar</t>
  </si>
  <si>
    <t>landeri</t>
  </si>
  <si>
    <t>Pakistan to Vietnam and Borneo; adjacent small islands; probably the Philippines</t>
  </si>
  <si>
    <t>gilliardi</t>
  </si>
  <si>
    <t>Venezuela, Colombia</t>
  </si>
  <si>
    <t>Lonchorhina</t>
  </si>
  <si>
    <t>Honduras to French Guiana, Trinidad, Amazonian Brazil, Peru and Ecuador</t>
  </si>
  <si>
    <t>Sinaloa and Tamaulipas (Mexico) to s Brazil, N argentina and Bolivia, Trinidad and Tobago, s lesser Antilles, Tres Marias Isls</t>
  </si>
  <si>
    <t>lituratus</t>
  </si>
  <si>
    <t>magnirostrum</t>
  </si>
  <si>
    <t>Micropteropus</t>
  </si>
  <si>
    <t>humilis</t>
  </si>
  <si>
    <t>cirrhosus</t>
  </si>
  <si>
    <t>trinitatum</t>
  </si>
  <si>
    <t>Veracruz (Mexico) to Bolivia, NE Brazil and Trinidad</t>
  </si>
  <si>
    <t>Tonatia</t>
  </si>
  <si>
    <t>brasiliense</t>
  </si>
  <si>
    <t>macrophyllum</t>
  </si>
  <si>
    <t>New Guinea, Molucca and Kei Isls, Solomon Isls, N Queensland (Australia) Bismark Arch.</t>
  </si>
  <si>
    <t>Kenya and s sudan to Senegal and Guinea-Bissau; Bioko</t>
  </si>
  <si>
    <t>120. Marshall, P. 1967. Wild mammals of Hong Kong. Oxford:  Oxford University Press.</t>
  </si>
  <si>
    <t>122. Rickart, E.A., Heaney, L.R., Heideman, P.D., Utzurrum, R.C.B. 1993. The distribution and ecology of mammals on Leyte, Biliran, and Maripipi Islands, Philippines. Fieldiana, 72:1-62.</t>
  </si>
  <si>
    <t>123. Shukor, M.N. 1996. The mammalian fauna on the islands at the northern tip of Sabah, Borneo. Fieldiana, 83:1-51.</t>
  </si>
  <si>
    <t>Colombia, Venezuela, Guianas, Brazil, Ecuador, Peru, Bolivia, NW Argentina</t>
  </si>
  <si>
    <t>Anoura</t>
  </si>
  <si>
    <t>Sulu Arch, Basilan and Mindanao (Philippines), Solombo Besar and Mata Siri (Java Sea); Talaut Isls</t>
  </si>
  <si>
    <t>Reunion and Mauritus Isls</t>
  </si>
  <si>
    <t>alcyone</t>
  </si>
  <si>
    <t>Venezuela, E Brazil, paraguay, Uruguay, N argentina</t>
  </si>
  <si>
    <t>Gambia to Somalia, south to Botswanna, Malawi and Mozambique</t>
  </si>
  <si>
    <t>rendalli</t>
  </si>
  <si>
    <t>Cameroon, E Zaire, W Kenya</t>
  </si>
  <si>
    <t>Sarawak (Borneo, malaysia)</t>
  </si>
  <si>
    <t>coxi</t>
  </si>
  <si>
    <t>Timor (Indonesia)</t>
  </si>
  <si>
    <t>crumeniferus</t>
  </si>
  <si>
    <t>lombok, sumbawi, flores, sumba, and adjacent small islands</t>
  </si>
  <si>
    <t>nusatenggara</t>
  </si>
  <si>
    <t>cartilagonodus</t>
  </si>
  <si>
    <t>acrodonta</t>
  </si>
  <si>
    <t>Oaxaca and Veracruz (Mexico) to Guianas, SE Brazil, Paraguay, N Argentina and Peru, Trinidad; Margarita Isl (Venezeula)</t>
  </si>
  <si>
    <t>Hondurus and El Salvador to S California, Nevada, Arizona and New Mexico; a single record from S Texas; erhaps Venezuela</t>
  </si>
  <si>
    <t>Choeronycteris</t>
  </si>
  <si>
    <t>Veracruz (Mexico) to the Guinanas, S Brazil and N Argentina</t>
  </si>
  <si>
    <t>Amazonian Brazil, Guianas, Panama, Venezuela, Trinidad, Bonaire Isl (Netherlands Antilles)</t>
  </si>
  <si>
    <t>Phyllostomidae</t>
  </si>
  <si>
    <t>Ametrida</t>
  </si>
  <si>
    <t>intermedia</t>
  </si>
  <si>
    <t>Coasta Rica to Guerrero, Morelos and Tlaxcala (Mexico); Colima and Jalisco (Mexico)</t>
  </si>
  <si>
    <t>leachii</t>
  </si>
  <si>
    <t>Burma, s China, Thailand, Laos, Vietnam, W Malaysia</t>
  </si>
  <si>
    <t>W Panama to Nayarit and Veracruz (mexico)</t>
  </si>
  <si>
    <t>Hylonycteris</t>
  </si>
  <si>
    <t>alba</t>
  </si>
  <si>
    <t>SE New Guniea, NE Queensland (Australia)</t>
  </si>
  <si>
    <t>pluto</t>
  </si>
  <si>
    <t>New Britain Isl (Bismarch Arc)</t>
  </si>
  <si>
    <t>Vanuata (=New Hebrides) including Banks Isls</t>
  </si>
  <si>
    <t>anetianus</t>
  </si>
  <si>
    <t>nitendiensis</t>
  </si>
  <si>
    <t>Thailand, Vietman</t>
  </si>
  <si>
    <t>lylei</t>
  </si>
  <si>
    <t>Borneo, Sumatra, W Malaysia</t>
  </si>
  <si>
    <t>Angola to Rwanda, Tanzania, Malawi and N Botswana</t>
  </si>
  <si>
    <t>Guinea to Nigeria</t>
  </si>
  <si>
    <t>daviesi</t>
  </si>
  <si>
    <t>caraccioli</t>
  </si>
  <si>
    <t>behnii</t>
  </si>
  <si>
    <t>NW Brazil, E Colombia</t>
  </si>
  <si>
    <t>Hida;go (mexico) to S brazil, Bolivia and Peru, Trinidad and Tobago</t>
  </si>
  <si>
    <t>Surinam, Guyana, Amazonian Brazil, SE Colombia</t>
  </si>
  <si>
    <t>brocki</t>
  </si>
  <si>
    <t>W Ecuador to Nicaragua</t>
  </si>
  <si>
    <t>Transcaucasia to Israel and S Europe; Turkmenistan; Iran; Algeria; Morocco; Tunisia; various Mediterranean islands; perhaps Egypt</t>
  </si>
  <si>
    <t>euryale</t>
  </si>
  <si>
    <t>Vietnam, Thailand</t>
  </si>
  <si>
    <t>paradoxolophus</t>
  </si>
  <si>
    <t>Transvaal (South Africa), namibia, S Angola, N and W Botswana, Zaimbabwe, malawi, Mozambique, Tanzania</t>
  </si>
  <si>
    <t>darlingi</t>
  </si>
  <si>
    <t>Nicaragua, Panama and Columbia to Guianas, Amazonia Brazil, Peru and Bolivia</t>
  </si>
  <si>
    <t>Thyropteridae</t>
  </si>
  <si>
    <t>Thyroptera</t>
  </si>
  <si>
    <t>Most of the subsaharan Africa except the central forested region; Morocco; yemen; Zanzibar and Pemba</t>
  </si>
  <si>
    <t>ridleyi</t>
  </si>
  <si>
    <t>sedulus</t>
  </si>
  <si>
    <t>India to S china and West malaysia</t>
  </si>
  <si>
    <t>pomona</t>
  </si>
  <si>
    <t>Sonora and Hidalgo (Mexico) to Guatemala; Bahama Isls; Jamaica; Cuba; Cayman Isls (NW of Jamaica); Hispaniola and Beata Isls</t>
  </si>
  <si>
    <t>E Colombia to French Guiana</t>
  </si>
  <si>
    <t>marinkellei</t>
  </si>
  <si>
    <t>Venexuela, Amazonas, Pedro Pinato</t>
  </si>
  <si>
    <t>fernandezi</t>
  </si>
  <si>
    <t>N Sinaloa and SW Chihuahua (Mexico) to S Nevada, S California (USA); Baja California and Tamaulipas (Mexico)</t>
  </si>
  <si>
    <t>Macrotus</t>
  </si>
  <si>
    <t>jamaicensis</t>
  </si>
  <si>
    <t>Sinaloa and Tamaulipas (Mexico) to Ecuador and Venezuela; Trinidad and Tobago; Greater and Lasser Antilles, Amazonian Brazil (only if obscurus r planirostris is included in this species). Perhaps Florida keys as well</t>
  </si>
  <si>
    <t>Puerto Rico, Virgin Isls and throughout Lesser Antilles south to St. Vincent and Barbados</t>
  </si>
  <si>
    <t>cavernarum</t>
  </si>
  <si>
    <t>nicefori</t>
  </si>
  <si>
    <t>Oaxaca (Mexico) to French Guiana and Brazil; Trindad</t>
  </si>
  <si>
    <t>bilobatum</t>
  </si>
  <si>
    <t>Uroderma</t>
  </si>
  <si>
    <t>121. Heaney, L.R., Balete, D.S., Rickart, E.A., Utzurrum, R.C.B., and Gonzales, P.C. 1999. Mammalian diversity on Mount Isarog, a threatened center of endemism of souther Luzon Island, Philippines. Fieldiana, 95: 1-62.</t>
  </si>
  <si>
    <t>gallagheri</t>
  </si>
  <si>
    <t xml:space="preserve">Indonesia, Malaysia </t>
  </si>
  <si>
    <t>johorensis</t>
  </si>
  <si>
    <t>Djbouti and Central African Republic to Angola and Natal (South Africa), Madagascar</t>
  </si>
  <si>
    <t>martiensseni</t>
  </si>
  <si>
    <t>wroughtoni</t>
  </si>
  <si>
    <t>Panama to Nuevo Leon and Sinaloa (Mexico)</t>
  </si>
  <si>
    <t>Lichonycteris</t>
  </si>
  <si>
    <t>obscura</t>
  </si>
  <si>
    <t>Veracruz and Sinaloa (Mexico) to Ecuador and Guyana</t>
  </si>
  <si>
    <t>Australia, New Guinea</t>
  </si>
  <si>
    <t>whitleyi</t>
  </si>
  <si>
    <t>centurio</t>
  </si>
  <si>
    <t>clivosus</t>
  </si>
  <si>
    <t>nequam</t>
  </si>
  <si>
    <t>camerunensis</t>
  </si>
  <si>
    <t>NE Mindanao (Philippines)</t>
  </si>
  <si>
    <t>Senegal to uganda, SW Sudan, N zaire and Gabon; Bioko</t>
  </si>
  <si>
    <t>Australia but not Cape York Peninsula N of Cardwell, Tasmania, Norfolk Isl (australia, New Caledonia</t>
  </si>
  <si>
    <t>Zaire, Cameroon</t>
  </si>
  <si>
    <t>alboguttatus</t>
  </si>
  <si>
    <t>egeria</t>
  </si>
  <si>
    <t>Sumatra Borneo</t>
  </si>
  <si>
    <t>spinalatus</t>
  </si>
  <si>
    <t>Ethiopia, Djibouti, Somalia, Kenya, saudi Arabia</t>
  </si>
  <si>
    <t>New Guniea</t>
  </si>
  <si>
    <t>Selangor (malaysia)</t>
  </si>
  <si>
    <t>Sri Lanka, India, S China, SE Asia, W Malaysia, Sumatra adjacent small islands and perhaps Borneo</t>
  </si>
  <si>
    <t>Uruguay, N Argentia and N Chile to sonora, Nuevo Leon and Tamaulipas (Mexico), Margarita Isl (Venezuela), Trinidad</t>
  </si>
  <si>
    <t>Desmodus</t>
  </si>
  <si>
    <t>rotundus</t>
  </si>
  <si>
    <t>Honduras to Guianas, E Brazil, Paraguay, N Argentina and Peru; Trinidad and Tabago; Margarita Isl (Venezuela), Bolivia</t>
  </si>
  <si>
    <t>Chrotopterus</t>
  </si>
  <si>
    <t>Burma, Thailand, W Malaysia, Sumatra, Borneo</t>
  </si>
  <si>
    <t>tragata</t>
  </si>
  <si>
    <t>latifolius</t>
  </si>
  <si>
    <t>Platalina</t>
  </si>
  <si>
    <t>genovensium</t>
  </si>
  <si>
    <t>madagascar</t>
  </si>
  <si>
    <t>youngi</t>
  </si>
  <si>
    <t>hastatus</t>
  </si>
  <si>
    <t>Honduras to W Panama, also a record from W Colombia</t>
  </si>
  <si>
    <t>Ectophylla</t>
  </si>
  <si>
    <t>Senegal to Ethiopia, south to Zimbabwe, malawi and Mozambique, Zanzibar; Madagascar</t>
  </si>
  <si>
    <t>Java, Bali and Kangean Isl (Indonesia)</t>
  </si>
  <si>
    <t>Bismarck arch, New Guinea, Aru islands, Batanta and Mysol (offf W New Guinea) and Molucca Isls (including Waido isl) N Queensland (Australia)</t>
  </si>
  <si>
    <t>recifinus</t>
  </si>
  <si>
    <t>Haplonycteris</t>
  </si>
  <si>
    <t>S Mexico to Guianas, E Brazil, N Argentina and Peru</t>
  </si>
  <si>
    <t>S Mexico to Colombia; Guianas; SE Brazil</t>
  </si>
  <si>
    <t>hirsuta</t>
  </si>
  <si>
    <t>Coasta Rica to Peru and French Guinana</t>
  </si>
  <si>
    <t>temmincki</t>
  </si>
  <si>
    <t>aratathomasi</t>
  </si>
  <si>
    <t>Burma, Thailand, Malay Peninsula, Borneo</t>
  </si>
  <si>
    <t>Hesperoptenus</t>
  </si>
  <si>
    <t>rodricensis</t>
  </si>
  <si>
    <t>Colombia, Ecuador, Peru, Bolivia</t>
  </si>
  <si>
    <t>Oaxaca, veracruz and Yucatan Peninsula (Mexico) to Peru, Bolivia, Paraguay, SE Brazil and Guianas, Trinidad and Tobago; Grenada (lesser Antilles); perhaps Jamaica, N Lesser Antilles</t>
  </si>
  <si>
    <t>Ryukyu isls (japan), SE China, Thailand, W Malaysia, borneo, java, sulawesi, philippines, new guniea</t>
  </si>
  <si>
    <t>Somalia, Ethiopia, Kenya, Tanzania, uganda, Angola, Zanzibar, Mozambique, Yemen, Oman, Congo Republic, Iran, perhaps Egypt</t>
  </si>
  <si>
    <t>N and W Madagascar, Aldabra Isl.</t>
  </si>
  <si>
    <t>Guadeloupe (lesser Antilles)</t>
  </si>
  <si>
    <t>guadeloupensis</t>
  </si>
  <si>
    <t>Maldive Islands, India (include Andaman Isl), Sri Lanka, Pakistan, Burma, Tsinghai (China)</t>
  </si>
  <si>
    <t>maclaudi</t>
  </si>
  <si>
    <t>Guinea-Bissau, Sierra Leone, Liberia, Ghana, Ivory Coast, Nigeria, Cameroon, Rio Muni (Equatorial Guinea), Gabon, N zaire</t>
  </si>
  <si>
    <t>Tonga Isls, Tongatapu Isl</t>
  </si>
  <si>
    <t>tonganus</t>
  </si>
  <si>
    <t>Mindoro (philippines)</t>
  </si>
  <si>
    <t>halophyllus</t>
  </si>
  <si>
    <t>Sierra Leone and Guinea to Mail, Burkina Faso and Nigeria</t>
  </si>
  <si>
    <t>waterhousii</t>
  </si>
  <si>
    <t>Guianas, N Brazil</t>
  </si>
  <si>
    <t>Cuba, Hispaniola, Jamaica (extinct), Grand Cayman (Cayman Isls) Middle Caicos (SE Bahamas)</t>
  </si>
  <si>
    <t>Brachyphylla</t>
  </si>
  <si>
    <t>Michoacan (Mexico) to Venezuela, Peru, Bolivia and Brazil</t>
  </si>
  <si>
    <t>carrikeri</t>
  </si>
  <si>
    <t>Lombok, Sumbawa, Flores, Alor Isl, Sumba and Timor (Indonesia)</t>
  </si>
  <si>
    <t>mackloti</t>
  </si>
  <si>
    <t>Talaud isls (Indonesia)</t>
  </si>
  <si>
    <t>Guadeloupe (Lesser Antilles)</t>
  </si>
  <si>
    <t>Trachops</t>
  </si>
  <si>
    <t>megalophylla</t>
  </si>
  <si>
    <t>Cuba, Jamaica, Hispaniola, Puerto Rico</t>
  </si>
  <si>
    <t>Belize to N Colombia, Venezuela, Guianas, Amazonian Brazil and Peru; Trinidad</t>
  </si>
  <si>
    <t>S Mexico to Venezuela; NE Peru; NE Brazil</t>
  </si>
  <si>
    <t>Peru and SE Brazil to Nayarit and Veracruz (Mexico); Trinidad</t>
  </si>
  <si>
    <t>Mindanao and Bailan Isl (Philippines)</t>
  </si>
  <si>
    <t>Nicobar and Andaman Isls (Indoa) Engano Isls and Nias Isl (Indonesia); Christmas Isls</t>
  </si>
  <si>
    <t>Norfolk isl, SE Queensland, E New South Wales (australia)</t>
  </si>
  <si>
    <t>norfolkensis</t>
  </si>
  <si>
    <t>Sulawesi and Sangihe Isls</t>
  </si>
  <si>
    <t>celaeno</t>
  </si>
  <si>
    <t>anchietai</t>
  </si>
  <si>
    <t>Ptenochirus</t>
  </si>
  <si>
    <t>myrella</t>
  </si>
  <si>
    <t>marisae</t>
  </si>
  <si>
    <t>Angola, zaire</t>
  </si>
  <si>
    <t>Namibia</t>
  </si>
  <si>
    <t>Turkmenistan to Afghanistan; Arabia to Algeria; subsaharan Africa to Liberia, Cameroon and South Africa</t>
  </si>
  <si>
    <t>Sri Lanka, Pakistan to Vietnam and S Chnia, Sumatra, Java Bali and mentawai Isls (Indonesia)</t>
  </si>
  <si>
    <t>leschenaulti</t>
  </si>
  <si>
    <t>Louisiade Arch, And D'Entrecasteaux Isls (Papua New Guniea)</t>
  </si>
  <si>
    <t>agnella</t>
  </si>
  <si>
    <t>India, Thailand, W Malaysia; mentawai Isls, Java and lesser sunda isls (Indonesia), small adjacent islands</t>
  </si>
  <si>
    <t>Cameroon, Bioko, perhaps Nigeria</t>
  </si>
  <si>
    <t>curtus</t>
  </si>
  <si>
    <t>Borneo, peninsular Thailand</t>
  </si>
  <si>
    <t>dyacorum</t>
  </si>
  <si>
    <t>inexpectatus</t>
  </si>
  <si>
    <t>Uganda, Kenya, Tanzania, s Ethiopia, E Zaire, S Sudan</t>
  </si>
  <si>
    <t>Senegal to egypt, Cyrups and Turkey, sout to South Africa; Pakistan to Yemen, adjacent small islands</t>
  </si>
  <si>
    <t>Gambia to Ethiopia, south to namibia, Botswana, Transvaal (South Africa) and Mozambique; Madagascar; adjacent small islands; including Sao Thome</t>
  </si>
  <si>
    <t>Tamaulipas (Mexico) to N Argentina and E Brazil; Trinidad, Margarita Isl (Venezuela)</t>
  </si>
  <si>
    <t>Diaemus</t>
  </si>
  <si>
    <t>Guianas, SE Colombia</t>
  </si>
  <si>
    <t>S Venezuela, Columbia, Surinam</t>
  </si>
  <si>
    <t>aurarius</t>
  </si>
  <si>
    <t>N Brazil, Colombia to Guianas, Ecuador, Peru Bolivia</t>
  </si>
  <si>
    <t>brachycephalus</t>
  </si>
  <si>
    <t>Costa Rica to Venezuela, peru and Bolivia</t>
  </si>
  <si>
    <t>Colombia to Peru, Bolivia and NW Brazil</t>
  </si>
  <si>
    <t>Panama to Peru and Bolivia</t>
  </si>
  <si>
    <t>Molucca Isls, New Guinea, Bismarck Arch, solomon Isls (including santa Cruz Isls), Vanuatu (=New Hebrides), adjacent small islands</t>
  </si>
  <si>
    <t>Loyalty and New Caledonia Isls</t>
  </si>
  <si>
    <t>orinocensis</t>
  </si>
  <si>
    <t>Surinam, Bolivia, S Brazil, paraguay, N Argentina and reprort in North America is in error</t>
  </si>
  <si>
    <t>umbratus</t>
  </si>
  <si>
    <t>Kenya, NE Tanzania, Zanzibar</t>
  </si>
  <si>
    <t>Cuba, jamaica, Hispaniola, Providencia isl (Colombia)</t>
  </si>
  <si>
    <t>Buru, Amboina, Seram (Indonesia), Bismarck Arch (Papua New Guinea) nearby islands, perhaps Timor Isls (Indonesia)</t>
  </si>
  <si>
    <t>South africa to S Sudan and Ethiopia; Cameroon; Nigeria; Guinea</t>
  </si>
  <si>
    <t>aurantia</t>
  </si>
  <si>
    <t>W Malaysia, Sumatra and the Philippines to Vanuatu (= New Hebrides) and NE Australia</t>
  </si>
  <si>
    <t>Seychelle Is, Aldabra Isl Comoro Isls, Mafia Isl (off Tanzania)</t>
  </si>
  <si>
    <t>W and C New Guinea</t>
  </si>
  <si>
    <t>Taiwan, Ryukyu Isls, Daito Isls and extreme S Kyushu (Japan)</t>
  </si>
  <si>
    <t>Sulawesi, Saleyer Isl, Lombok, Bawean Isl, Kangean Isls, Sumba Isl, and Savu Isl (Indonesia) N and E Austraila, S New Guinea</t>
  </si>
  <si>
    <t>Senegal and Guinea to Ethiopia and NE Zaire, perhaps Tanzania</t>
  </si>
  <si>
    <t>Nigeria, Western Region, lagos</t>
  </si>
  <si>
    <t>NE India</t>
  </si>
  <si>
    <t>Northern territory, N western australia and N Queensland (australia)</t>
  </si>
  <si>
    <t>stenotis</t>
  </si>
  <si>
    <t>Sri Lanka; India to W Malaysia, through Philippines, ndonesia and New Guinea to N Queensland, N Northern Territory and N Western Australia (Australia)</t>
  </si>
  <si>
    <t>chrysoproctus</t>
  </si>
  <si>
    <t>rayneri</t>
  </si>
  <si>
    <t>E Australia from S Queensland to Victoria</t>
  </si>
  <si>
    <t>poliocephalus</t>
  </si>
  <si>
    <t>Veracruz and Oaxaca (Mexico) to Peru, Bolivia and Brazil, Trinidad</t>
  </si>
  <si>
    <t>Shimba Hills, Kenya; Niguru and Usambara Mtns, Tanzania</t>
  </si>
  <si>
    <t>vampyrus</t>
  </si>
  <si>
    <t>jonesi</t>
  </si>
  <si>
    <t>Sierra leone to W Kenya, south to Zambia and Angola, Bioko</t>
  </si>
  <si>
    <t>Hypsignathus</t>
  </si>
  <si>
    <t>monstrosus</t>
  </si>
  <si>
    <t>Latidens</t>
  </si>
  <si>
    <t>schulzi</t>
  </si>
  <si>
    <t>S Mexico, belize, Guatemale, Honduras</t>
  </si>
  <si>
    <t>evotis</t>
  </si>
  <si>
    <t>schmidtorum</t>
  </si>
  <si>
    <t>S Texas, S arizona (USA) and Baja California (Mexico) to NW Peru and N Venezuela; aruba, Curacao and Bonaire (netherlands Antilles); Trinidad; margarita isl (Venezuela)</t>
  </si>
  <si>
    <t>Malay Peninsula, SW Thailand, Burma, NE India, Borneo, Sumatra, Riau Archipelago, banguey Isl, Java, Banka Isl and Nias Isl</t>
  </si>
  <si>
    <t>trifoliatus</t>
  </si>
  <si>
    <t>kenyacola</t>
  </si>
  <si>
    <t>Burma, Thailand, W malaysia</t>
  </si>
  <si>
    <t>fumigatus</t>
  </si>
  <si>
    <t>Bismarck Arch and Admirality Isls (Papua New Guinea), New Guinea, Mysol and Ghebi Isls</t>
  </si>
  <si>
    <t>Inodchina, Malay Peninsula, Borneo, Philippines, Sumatra, Java and Lesser Sunda Isls adjacent small islands</t>
  </si>
  <si>
    <t>Biak Isl, W New Guniea and N Molucca Isls</t>
  </si>
  <si>
    <t>papua</t>
  </si>
  <si>
    <t>wallacei</t>
  </si>
  <si>
    <t>Rubiana, Ysabel, malaita and Bougainville isls (Solomon isls); peleng isls and sulawesi (Indonesia)</t>
  </si>
  <si>
    <t>dinops</t>
  </si>
  <si>
    <t>New South Wales and adjacent part of Queensland (Australia)</t>
  </si>
  <si>
    <t>Liberia to Congo Republic</t>
  </si>
  <si>
    <t>ophiodon</t>
  </si>
  <si>
    <t>Somlomon isls</t>
  </si>
  <si>
    <t>Waigo Isl (off west end of New Guinea)</t>
  </si>
  <si>
    <t>beauforti</t>
  </si>
  <si>
    <t xml:space="preserve"> Bismarck Arch</t>
  </si>
  <si>
    <t>praedatrix</t>
  </si>
  <si>
    <t>E Queensland and New South Wales (Australia), New Guinea, D'Entrecasteaux Isls, Trobriand Isls, Louisiade Arch and Bismarck Arch (Papua N Guinea) Molucca Isls, various adjacent islands</t>
  </si>
  <si>
    <t>Mountains of C New Guinea</t>
  </si>
  <si>
    <t>Halmahera Isls (Moluccas)</t>
  </si>
  <si>
    <t>carolinae</t>
  </si>
  <si>
    <t>Molucca Isls, Sulawesi and Sangihe Isls (Indonesia)</t>
  </si>
  <si>
    <t>Thoopterus</t>
  </si>
  <si>
    <t>Anthops</t>
  </si>
  <si>
    <t>Angola, Zambia, S Zaire</t>
  </si>
  <si>
    <t>Plerotes</t>
  </si>
  <si>
    <t>pulchra</t>
  </si>
  <si>
    <t>Ysabel and Guadalcana (Solomon Isls)</t>
  </si>
  <si>
    <t>Solomon Isls, Guadacanal, Mount Makaarakomburu</t>
  </si>
  <si>
    <t>Tamaulipas, Sonora and Tres Marias Isls (Mexico) to Guianas, SE Brazil, N Argentina and Peru; Margarita Isl (Venezuela); Trinidad; Grenada (Lesser Antilles); Jamaica; perhaps Bahama Isls</t>
  </si>
  <si>
    <t>Guinea-Bissau to SW Sudan and Uganda</t>
  </si>
  <si>
    <t>abae</t>
  </si>
  <si>
    <t>infuscus</t>
  </si>
  <si>
    <t>Rodrigues Isls, Round Isl near Mauritus Is (Mascarene Isls)</t>
  </si>
  <si>
    <t>Burma, thailand, W malyasia, borneo, SW Philiipines, Sumatra and N Molucca Isls</t>
  </si>
  <si>
    <t>Glischropus</t>
  </si>
  <si>
    <t>tylopus</t>
  </si>
  <si>
    <t>India to taiwan and vietnam, south to molucca isls, java and lesser sunda isls</t>
  </si>
  <si>
    <t>Harpiocephalus</t>
  </si>
  <si>
    <t>tristis</t>
  </si>
  <si>
    <t>innoxius</t>
  </si>
  <si>
    <t>kobayashii</t>
  </si>
  <si>
    <t>S Veracruz (Mexico) to Uruguay and N argentina</t>
  </si>
  <si>
    <t>javanus</t>
  </si>
  <si>
    <t>W Malaysia; Thailand; sumatra and java (Indonesia)</t>
  </si>
  <si>
    <t>stheno</t>
  </si>
  <si>
    <t>shameli</t>
  </si>
  <si>
    <t>New Guinea, Aru Isls (Indonesia)</t>
  </si>
  <si>
    <t>S Peru</t>
  </si>
  <si>
    <t>Colombia, Ecuador, NW Venezuela, Peru</t>
  </si>
  <si>
    <t>N Peru, Ecuador</t>
  </si>
  <si>
    <t>hesperia</t>
  </si>
  <si>
    <t>C and W New Guinea and adjacent small islands, Sulawesi</t>
  </si>
  <si>
    <t>moluccensis</t>
  </si>
  <si>
    <t>Bougainville and Ysabel Isls (Solomon Isls)</t>
  </si>
  <si>
    <t>Batchian Isl (Halmahera Isls), Seram, Goram Isl (SE of Seram), Kei Isls, Wetter Isl (Flores Sea) (indonesia)</t>
  </si>
  <si>
    <t>keyensis</t>
  </si>
  <si>
    <t>N India</t>
  </si>
  <si>
    <t>mitratus</t>
  </si>
  <si>
    <t>New South Wales, possibly Western Australia (Australia)</t>
  </si>
  <si>
    <t>Japan, Korea, SE Siberia, NE China</t>
  </si>
  <si>
    <t>bombinus</t>
  </si>
  <si>
    <t>C and S Chile</t>
  </si>
  <si>
    <t>Philippines, Borneo, W Malaysia</t>
  </si>
  <si>
    <t>S British Columbia, S Alberta, S Sakatchewan (Canada) to New Mexico (USA) and Baja California (Mexico)</t>
  </si>
  <si>
    <t>seabrai</t>
  </si>
  <si>
    <t>java, w malaysia, burma, NE India, SW China</t>
  </si>
  <si>
    <t>W and E Europe to E Siberia and NW China, north beyond Artic circle in Scandinavia, south to Bulgaria, Iraq, the Elburz Mtns (N Iran), The Pamirs and W China (not Tibet), Nepal, Honshu, Hokkaido (Japan), Sakhalin Isl (Russia)</t>
  </si>
  <si>
    <t>nilssoni</t>
  </si>
  <si>
    <t>Pakistan, india, sri lanka, burma, kwangsi and hainan (China), vietnam, borneo</t>
  </si>
  <si>
    <t>ceylonicus</t>
  </si>
  <si>
    <t>Sikkim (NE India)</t>
  </si>
  <si>
    <t>sicarius</t>
  </si>
  <si>
    <t>Halmahera Isls, New Guinea and adjacent islands, NE Queensland (Australia)</t>
  </si>
  <si>
    <t>Maldive Isls New Guniea through Indonesia to Vietman and Thialand and adjacent islands, Solomon Isls, Philippines</t>
  </si>
  <si>
    <t>Harpyionycteris</t>
  </si>
  <si>
    <t>Amboina Isls</t>
  </si>
  <si>
    <t>Ivory Coast, Ghana, NE Zaire</t>
  </si>
  <si>
    <t>N Western Australia, Northern Territory, queensland, new South Wales and South Australia</t>
  </si>
  <si>
    <t>Sulawesi, Ceram (Molucca isls) and Kangean (Java Sea)</t>
  </si>
  <si>
    <t>macrobullatus</t>
  </si>
  <si>
    <t>ivory Coast, Liberia, Guniea</t>
  </si>
  <si>
    <t>Mesophylla</t>
  </si>
  <si>
    <t>Tabasco (Mexico) to Peru, Boliva, SE Brazil and NE Argentina</t>
  </si>
  <si>
    <t>Macrophyllum</t>
  </si>
  <si>
    <t>Peninsular Thailand, Ishigaki Isl, Yonakuni Isl and Iriomote Isl (s Ryukyu Isls, japan)</t>
  </si>
  <si>
    <t>turpis</t>
  </si>
  <si>
    <t>Burma and Vietnam through Thailand, W Malaysia and indonesia to New Guniea, Bismarck Arch, solomon Isls and NE and NC Australia, Philippines; Nicobar Isls</t>
  </si>
  <si>
    <t>Sri Lanka, S and C India</t>
  </si>
  <si>
    <t>SE Australia, including Tasmania and Lord Howe Isl</t>
  </si>
  <si>
    <t>D'Entrecasteaux Isls, Trobriand Isls, Bismarck and Louisiade Archs. (Papua New Guniea) Solomon Isl and small islands off the north coast of New Guinea</t>
  </si>
  <si>
    <t>elongatus</t>
  </si>
  <si>
    <t xml:space="preserve">Somalia, Ethiopia, Sudan, Kenya, Tanzania, Rwanda, Burundi, Zaire, Nigeria, Sierra Leone, Togo, Benin, Senegal, Gambia, Guinea, Burkina Faso, Ghana, Niger, Nigeria, Cameroon, Central African Repulic, Zambia, Malawi, Zimbabwe, Mozambique, Angola, Namibia, </t>
  </si>
  <si>
    <t>Guniea, liberia, e Zaire, W uganda, Rwanda</t>
  </si>
  <si>
    <t>lucasi</t>
  </si>
  <si>
    <t>Liberia to Congo Republic and E Zaire, Bioko</t>
  </si>
  <si>
    <t>Scotonycteris</t>
  </si>
  <si>
    <t>Philippines, Borneo, S  Thailand, W Malaysia</t>
  </si>
  <si>
    <t>Chile, Argentina, Uruguay, W Boliva, S Peru, Ecuador, Colombia, Venezula perhaps N Peru and S Brazil</t>
  </si>
  <si>
    <t>Manchuria (China)</t>
  </si>
  <si>
    <t>dubiaquercus</t>
  </si>
  <si>
    <t>S China, Laos, Vietnam, Thailand, NE India</t>
  </si>
  <si>
    <t>Ia</t>
  </si>
  <si>
    <t>W Malaysia, S Thailand, Borneo</t>
  </si>
  <si>
    <t>tricolor</t>
  </si>
  <si>
    <t>Queretaro and Baja California (Mexcio) to Knasas (USA) and British Columbia (Canada) cuba</t>
  </si>
  <si>
    <t>grisea</t>
  </si>
  <si>
    <t>puta</t>
  </si>
  <si>
    <t>rozendaali</t>
  </si>
  <si>
    <t>Israel, s Yemen, Oman, perhaps Socotra Isl (Yemen)</t>
  </si>
  <si>
    <t>Buka Bouganville and Chiseul Isl (Solomon Isls)</t>
  </si>
  <si>
    <t>anceps</t>
  </si>
  <si>
    <t>Biak and Owii Isls (in Geelvink Bay)</t>
  </si>
  <si>
    <t>emersa</t>
  </si>
  <si>
    <t>Morocco and Senegal to Thailand; Sumatra</t>
  </si>
  <si>
    <t>harpia</t>
  </si>
  <si>
    <t>soricina</t>
  </si>
  <si>
    <t>Ndeni Isl (Santa Cruz Isl)</t>
  </si>
  <si>
    <t>commissarisi</t>
  </si>
  <si>
    <t>Platyrrhinus</t>
  </si>
  <si>
    <t>helleri</t>
  </si>
  <si>
    <t>morenoi</t>
  </si>
  <si>
    <t>vittatus</t>
  </si>
  <si>
    <t>n Ethiopia and islands in the Red sea</t>
  </si>
  <si>
    <t>NW Peru, W Ecuador, Puna Isl (Ecuador)</t>
  </si>
  <si>
    <t>Sumatra Java Lombok Timor and adjacent small islands</t>
  </si>
  <si>
    <t>titthaecheileus</t>
  </si>
  <si>
    <t>Oazaca and veracruz (mexico) to Peru, Bolivia and Amazonia Brazil; Trinidad. A paraguay record is error</t>
  </si>
  <si>
    <t>Sinaloa (Mexico) to Panama, SE Colombia, E Ecuador, E Peru; NW Brazil</t>
  </si>
  <si>
    <t>Pakistan to Vietnam, south to Sri Lanka</t>
  </si>
  <si>
    <t>Sri Lanka and india through SE Asia to Java and Borneo</t>
  </si>
  <si>
    <t>Costa Rica to Ecuador and NW Peru</t>
  </si>
  <si>
    <t>luisi</t>
  </si>
  <si>
    <t>tildae</t>
  </si>
  <si>
    <t>Pteronotus</t>
  </si>
  <si>
    <t>quadridens</t>
  </si>
  <si>
    <t>tickelli</t>
  </si>
  <si>
    <t>discifera</t>
  </si>
  <si>
    <t>Burma, Thailand, Cambodia, W Malaysia</t>
  </si>
  <si>
    <t>microphyllum</t>
  </si>
  <si>
    <t>Cape Prov. (south africa), Zambia, Mozambique, Tanzania</t>
  </si>
  <si>
    <t>melckorum</t>
  </si>
  <si>
    <t>Hidalgo, Morelos and Baja California (Mexico) north to British Columbia (Canada), east to Montana and W Texas (USA)</t>
  </si>
  <si>
    <t>N Argentina, Brazil and Guianas to Jalisco and Tamaulipas (Mexico)</t>
  </si>
  <si>
    <t>furinalis</t>
  </si>
  <si>
    <t>Arabia, Iran, Iraq, Afghanistan, Pakistan</t>
  </si>
  <si>
    <t>Europe east to Kamtschatka, Vlasivostok, Sakhalin and Kurile Isls (Russia), Japan, Korea, Manchuria, E and S China, Britiain and Ireland, Scandinavia, Assam (India)</t>
  </si>
  <si>
    <t>daubentoni</t>
  </si>
  <si>
    <t>stalkeri</t>
  </si>
  <si>
    <t>senegal and sierra leone east to somalia and s yemen and south to south africa and namibia</t>
  </si>
  <si>
    <t>dinganii</t>
  </si>
  <si>
    <t>sierra leone to kenya</t>
  </si>
  <si>
    <t>nux</t>
  </si>
  <si>
    <t>S Canada, USA (including SE Alaska, and except extreme southern parts), NE Mexico, Bermuda</t>
  </si>
  <si>
    <t>Lasionycteris</t>
  </si>
  <si>
    <t>SE China, Thailand, India (including Andaman Isls), perhaps Sri Lanka, W Malaysi, Java, bali and Sulawesi, Borneo, Philippines</t>
  </si>
  <si>
    <t>S California, Arizonia and S Texas (USA) to argentina, uruguay and brazil, trinidad</t>
  </si>
  <si>
    <t>Panama, Coasta Rica</t>
  </si>
  <si>
    <t>Halmahera Isls, Sulawesi and Sulu Isls (indonesia)</t>
  </si>
  <si>
    <t>Venezuela, Bolivar, Rio Mocho</t>
  </si>
  <si>
    <t>SE Asia Sumatra and Java adjacent small islands</t>
  </si>
  <si>
    <t>Costa Rica to peru, Bolivia and Amazonia Brazil; Trinidad</t>
  </si>
  <si>
    <t>N India to S China and Vietnam, south to W Malaysia, Borneo</t>
  </si>
  <si>
    <t>SE Brazil, Paraguay, NE Argentina</t>
  </si>
  <si>
    <t>Tamaulipas and Jalisco (Mexico) to Peru, Bolivia and Brazil; Trinidad and Tobago; margarita Isl (Venezuela); Grenada</t>
  </si>
  <si>
    <t>Micronycteris</t>
  </si>
  <si>
    <t>Borneo, Sumatra (including Nias and Engano Isls), Java, Lombok and Bali (Indonesia), Palawan (Philippines), Thailand, laos, Cambodia</t>
  </si>
  <si>
    <t>Borneo, W malaysia</t>
  </si>
  <si>
    <t>Bismarck Arch, Wetar Isl (Lesser Sunda Isls)</t>
  </si>
  <si>
    <t>beatrix</t>
  </si>
  <si>
    <t>NE India, Vietnam, W Malaysia, Sumatra, Java, Sulawesi, Borneo</t>
  </si>
  <si>
    <t>papillosa</t>
  </si>
  <si>
    <t>South africa</t>
  </si>
  <si>
    <t>vulturnus</t>
  </si>
  <si>
    <t>Kimberley (N Western Australia)</t>
  </si>
  <si>
    <t>douglasorum</t>
  </si>
  <si>
    <t>aerosa</t>
  </si>
  <si>
    <t>picatus</t>
  </si>
  <si>
    <t>SE Australia including Tasmania</t>
  </si>
  <si>
    <t>tubinaris</t>
  </si>
  <si>
    <t>W malaysia, borneo</t>
  </si>
  <si>
    <t>Inida, Sri Lanka, Burma, Tahiland , China, W Malaysia, Borneo, Java, Sumatra, Mentawai Isls, Sulawesi, Bali, Lesser Sundas, Kangean Isl and Talaud Isl (indonesia), Philippines</t>
  </si>
  <si>
    <t>N Baja California, Michoacan and Nuevo Leon (Mexico) to S British Columbia (Canada), east to Maine (USA) and S Quebec (Canada)</t>
  </si>
  <si>
    <t>leibii</t>
  </si>
  <si>
    <t>marshalli</t>
  </si>
  <si>
    <t>E Himalayas, Shensi, Szechwan, Fukien and Inner Mongolia (China), Upper Yenisei River (russia), Altai Mtns (Russia, Kazakhstan and Mongolia), Korea, Ussuri region (Russia), Sakhalin Isl (Russia), Honshu, Kyushu and Shikiku (japan)</t>
  </si>
  <si>
    <t>Borneo; Madura Isls, Java and Timor Indonesia)</t>
  </si>
  <si>
    <t>41, 53</t>
  </si>
  <si>
    <t>31, 43</t>
  </si>
  <si>
    <t xml:space="preserve">24, 26, 58, </t>
  </si>
  <si>
    <t>bodenheimeri</t>
  </si>
  <si>
    <t>arabicus</t>
  </si>
  <si>
    <t>Borneo; Labuan and Banguey Isl (Malaysia); Java, karimata Isls and South natuna Isls (Indonesia); Cambodia; Vietnam</t>
  </si>
  <si>
    <t>borneensis</t>
  </si>
  <si>
    <t>Sumba Timor Flores Sumbawa Nusa Penida (near Bali) Komodo, Alor Wetar, Babar (Indonesia)</t>
  </si>
  <si>
    <t>Oman, W Iran, S Afghanistan, perhaps Ethiopia</t>
  </si>
  <si>
    <t>Thailand, W Malaysia, Borneo, Java, Sumatra, Lesser Sunda Isls and adjacent small islands</t>
  </si>
  <si>
    <t>Hokkaido, Shikoku, Kyushu, Tsushima, Iki (Japan), Korea, E China</t>
  </si>
  <si>
    <t>aviator</t>
  </si>
  <si>
    <t>India to the philippines and moluccas, solomons to new caledonia, perhaps new guniea</t>
  </si>
  <si>
    <t>loyalty isls (E of New Caledonia)</t>
  </si>
  <si>
    <t>robustior</t>
  </si>
  <si>
    <t>Liberia to zaire</t>
  </si>
  <si>
    <t>Peninsular Thailand</t>
  </si>
  <si>
    <t>India (including Anadaman Isls), Sri Lanka, nepal, Bhutan, Burma, Thailand, perhaps SW China</t>
  </si>
  <si>
    <t>Palawan and Luzon (Philippines)</t>
  </si>
  <si>
    <t>Amboina, Buru, Seram and small islands east of Seram (Indonesia)</t>
  </si>
  <si>
    <t>W Colombia, lowlands between the western Cordillera of the Andes and the pacific coast</t>
  </si>
  <si>
    <t>chocoensis</t>
  </si>
  <si>
    <t>W Europe through S Asiatic Russia to Himalayas, Thailand and China, north to Korea, Taiwan, S England, N Africa, most islands in Mediterranean, perhaps Subsaharan Africa</t>
  </si>
  <si>
    <t>serotinus</t>
  </si>
  <si>
    <t>Honduras to Sinaloa (Mexico) and through Texas to Florida and New Jersey (USA) Cuba</t>
  </si>
  <si>
    <t>SE USA, north to Indiana and North Carolina</t>
  </si>
  <si>
    <t>austroriparius</t>
  </si>
  <si>
    <t>Alaska Panhandle to W Washington (USA), Mackenzie to Prince Edward isl (Canada) south to Arkansas and Florida Panhandle (USA)</t>
  </si>
  <si>
    <t>keenii</t>
  </si>
  <si>
    <t>23, 32</t>
  </si>
  <si>
    <t>Japan, Kurile Isls (Russia), S China, republics of the former USSR</t>
  </si>
  <si>
    <t>macrodactylus</t>
  </si>
  <si>
    <t>N and E Australia, SE New Guniea and adjacent small islands</t>
  </si>
  <si>
    <t>New Hampshire to Florida Panhandle, west to Wisconsin and Oklahoma (USA)</t>
  </si>
  <si>
    <t>sodalis</t>
  </si>
  <si>
    <t>Kei Isls (Molucca Isls)</t>
  </si>
  <si>
    <t>Colombia and venezuela to C Chile, Uruguay and C Argentina, Hawaii (USA), Guatemala and Mexico throughout the USA to S British Columbia, SE Mackensie, Hudson Bat and S Quebec (Canada), Galapagos, Bermuda, acciden</t>
  </si>
  <si>
    <t>namibensis</t>
  </si>
  <si>
    <t>Cameroon to Kenya, south to Angola and Tanzania</t>
  </si>
  <si>
    <t>Cameroon, Uganda</t>
  </si>
  <si>
    <t>Honshu and Shikoku (Japan)</t>
  </si>
  <si>
    <t>Martinique, barbados (Lesser Antilles)</t>
  </si>
  <si>
    <t>oxyotus</t>
  </si>
  <si>
    <t>Honduras to Uruguay and E Brazil, Trinidad</t>
  </si>
  <si>
    <t>S China, Burma, Thailand, Vietnam, W Malaysia</t>
  </si>
  <si>
    <t>pratti</t>
  </si>
  <si>
    <t>schistaceus</t>
  </si>
  <si>
    <t>C Vietnam</t>
  </si>
  <si>
    <t>Paracoelops</t>
  </si>
  <si>
    <t>Ireland, Iberia and Morocco through S europe and N africa to Kirghizia and kashmir; arbaia; Sudan; Ethiopia</t>
  </si>
  <si>
    <t>hipposideros</t>
  </si>
  <si>
    <t>luctus</t>
  </si>
  <si>
    <t>England and W  Europe to Caucasus, Turkey, Crimea (ukarine), Moroco, larger Mediterranean islands, Canary Isls, perhaps Senegal</t>
  </si>
  <si>
    <t>Guatemala, Mexico</t>
  </si>
  <si>
    <t>1, 26, 58</t>
  </si>
  <si>
    <t>1, 33</t>
  </si>
  <si>
    <t>26, 28, 58</t>
  </si>
  <si>
    <t>33, 42</t>
  </si>
  <si>
    <t>11, 47</t>
  </si>
  <si>
    <t>acuminatus</t>
  </si>
  <si>
    <t>Ivory coast, Kenya, congo republic, perhaps Guniea (Bissau)</t>
  </si>
  <si>
    <t>W Europe to urals and Caucasus, Britain, Ireland</t>
  </si>
  <si>
    <t>Nyctalus</t>
  </si>
  <si>
    <t>NW New South Wales, C and S Queensland and South Australia (Australia)</t>
  </si>
  <si>
    <t>S Europe, north to Netherlands and S Poland, Crimea, Caucasus and Kopet Dag Mtns, east to Uzbekistan and E Iran, Israel, Morocco, Algeria, Tunisia, Lebanon, Afghanistan</t>
  </si>
  <si>
    <t>Senegal to S Yemen, south to Angola, Zambia and Transvaal (South Africa)</t>
  </si>
  <si>
    <t>174.  www.iiasa.ac.at/~sendzim/MammalDataSets/ Trop%20Wet%20Forest%20Mamm.xls - Supplemental Result</t>
  </si>
  <si>
    <t>NE india (including Sikkim), burma, S China, thailand , vietnam</t>
  </si>
  <si>
    <t>Scotomanes</t>
  </si>
  <si>
    <t>india</t>
  </si>
  <si>
    <t>Madagascar, reunion isl (Mascarene isls)</t>
  </si>
  <si>
    <t>Afghanistan, pakistan, sri lanka, india (including Sikkim), nepal, bhutan, burma, vietnam, thailand</t>
  </si>
  <si>
    <t>S Canada to Colombia and N brazil, Greater Antilles, bahmas, Dominica and barbados (Lesser Antilles) perhaps Alaska</t>
  </si>
  <si>
    <t>Veracruz (mexico) south to N argentina and Uruguay, Trindad and tobago</t>
  </si>
  <si>
    <t>Washington to SW Oklahoma (USA) and baja California, south to Hidalgo and Guerrero (Mexico)</t>
  </si>
  <si>
    <t>hesperus</t>
  </si>
  <si>
    <t>liberia and ethiopia, south to South africa</t>
  </si>
  <si>
    <t>Java, Timor (Indonesia)</t>
  </si>
  <si>
    <t>canuti</t>
  </si>
  <si>
    <t>Java, madura, Bali, Timor, Sulawesi, sangihe and Talaud Isl (Indonesia)</t>
  </si>
  <si>
    <t>N Western Australia, Northern Territory and NW Queensland (australia)</t>
  </si>
  <si>
    <t>Rhinonicteris</t>
  </si>
  <si>
    <t>Peninsular India, sri Lanka</t>
  </si>
  <si>
    <t>S Europe and Morocco through the Caucasus and Iran to most of china and japan, most of indo-malayan region, new guniea, solomon isls (including bougainville isl), australia, subsaharan africa, madagascar, bismarck arch</t>
  </si>
  <si>
    <t>schreibersi</t>
  </si>
  <si>
    <t>Turkey, egypt, yemen, east to Mongolia and Pakistan</t>
  </si>
  <si>
    <t>gambia to kenya and mozambique</t>
  </si>
  <si>
    <t>Scotoecus</t>
  </si>
  <si>
    <t>SW china-java borneo philippines sulawesi timor</t>
  </si>
  <si>
    <t>findleyi</t>
  </si>
  <si>
    <t>Senegal to ethiopia, south to angola, zambia and malawi</t>
  </si>
  <si>
    <t>Britain to Kazakhstan, E Siberia including Sakhalin Isls, Kamchatka Peninsula and Kurile Isls (Russia), Mongolia south to Spain, Greece, Korea and Ussuri region (Russia), Japan</t>
  </si>
  <si>
    <t>baverstocki</t>
  </si>
  <si>
    <t>South Africa to angloa and Kenya</t>
  </si>
  <si>
    <t>C and S Australia</t>
  </si>
  <si>
    <t>yumanensis</t>
  </si>
  <si>
    <t>Florida and Texas to Oklahoma and Virginia, Pennsylvania and New York (USA), Bermuda</t>
  </si>
  <si>
    <t>Lasiurus</t>
  </si>
  <si>
    <t>seminolus</t>
  </si>
  <si>
    <t>ferrumequinum</t>
  </si>
  <si>
    <t>Transvaal (South Africa) and Mozambique to Ethiopia, s  Sudan and NE Zaire</t>
  </si>
  <si>
    <t>peninsularis</t>
  </si>
  <si>
    <t>Hopeh, Shantung, Honan and Kiangsu (China)</t>
  </si>
  <si>
    <t>pequinius</t>
  </si>
  <si>
    <t>riparius</t>
  </si>
  <si>
    <t>S Baja California (Mexico)</t>
  </si>
  <si>
    <t>W Europe to urals and caucasus and W Asia Minor, s England</t>
  </si>
  <si>
    <t>nathusii</t>
  </si>
  <si>
    <t>NW Kenya, perhaps ethiopia</t>
  </si>
  <si>
    <t>aero</t>
  </si>
  <si>
    <t>NE Burma, Yunnan (China), N India</t>
  </si>
  <si>
    <t>Afghanistan, Pakistan, N India, Nepal</t>
  </si>
  <si>
    <t>Sri Lnaka, India to Vietnam, W Malaysia and S China, Borneo, Sumatra, Java, Bali, Lombok and Molucca isls</t>
  </si>
  <si>
    <t>Colombia, Ecuador, Peru, N Brazil, Bolivia, Paraguay, NE Argentina</t>
  </si>
  <si>
    <t>martiniquensis</t>
  </si>
  <si>
    <t>egypt, N sudan, lybia, algeria, Burkina Faso</t>
  </si>
  <si>
    <t>aegyptius</t>
  </si>
  <si>
    <t>W europe to urals and caucasus, Asia minor, iran and Ust-Urt Plateau (Kazakhstan), Morocco, Libya</t>
  </si>
  <si>
    <t>Se new guinea, ne queensland, northern territory and N western australia</t>
  </si>
  <si>
    <t>N Burma</t>
  </si>
  <si>
    <t>11, 41</t>
  </si>
  <si>
    <t>1, 58</t>
  </si>
  <si>
    <t>39, 40</t>
  </si>
  <si>
    <t>24, 58</t>
  </si>
  <si>
    <t>26, 32, 58</t>
  </si>
  <si>
    <t>Senegal to somalia, south to south Africa</t>
  </si>
  <si>
    <t>W Malaysia, sumatra, riau arch, n borneo, mindanao (Philippines)</t>
  </si>
  <si>
    <t>Europe to Urals and Caucasus, Morocco, algeria, SE Asia Minor to Israel, Western Turkmenistan to SW Siberia, Himalayas and China, south to W Malaysia, Taiwan, Honshu (japan)</t>
  </si>
  <si>
    <t>noctula</t>
  </si>
  <si>
    <t>Fukien, Anhwei, Kiangsu, Shantung, Yunnan (China), Hong Kong</t>
  </si>
  <si>
    <t>ricketti</t>
  </si>
  <si>
    <t>W Malyasia, sumatra, borneo, bali, adjacent small islands</t>
  </si>
  <si>
    <t>Nicaragua to S Brazil; Peru; Guianas; trinidad; Boliva</t>
  </si>
  <si>
    <t>leisleri</t>
  </si>
  <si>
    <t>Hokkaido (Japan)</t>
  </si>
  <si>
    <t>fortidens</t>
  </si>
  <si>
    <t>China, Ussuri region (Russia), Korea, japan, taiwan</t>
  </si>
  <si>
    <t>Singapore</t>
  </si>
  <si>
    <t>oreias</t>
  </si>
  <si>
    <t>Liberia to Kenya and Somalia</t>
  </si>
  <si>
    <t>Pakistan, N India, Burma, Thailand, Loas, Vietnam</t>
  </si>
  <si>
    <t>tomesi</t>
  </si>
  <si>
    <t>Chiles, NW Argentina, S Boliva, S Peru</t>
  </si>
  <si>
    <t>Histiotus</t>
  </si>
  <si>
    <t>macrotus</t>
  </si>
  <si>
    <t>E Brazil, Paraguay</t>
  </si>
  <si>
    <t>velatus</t>
  </si>
  <si>
    <t>SE Brazil, Uruguay</t>
  </si>
  <si>
    <t>alienus</t>
  </si>
  <si>
    <t>N Veracruz (Mexico) to Nebraska, the great lakes and pennsylvania, south to florida and the gulf coast (USA) cuba</t>
  </si>
  <si>
    <t>humeralis</t>
  </si>
  <si>
    <t>Lesser sunda isls, sulawesi, new guniea, ne australia</t>
  </si>
  <si>
    <t>rueppellii</t>
  </si>
  <si>
    <t>Rhogeesa</t>
  </si>
  <si>
    <t>minutilla</t>
  </si>
  <si>
    <t>11, 26, 41</t>
  </si>
  <si>
    <t>23, 28, 58</t>
  </si>
  <si>
    <t>30, 58</t>
  </si>
  <si>
    <t>11, 49</t>
  </si>
  <si>
    <t>France and Sweden east to Yenisei River (Russia), south to Ukraine and NW Kazakhstan, a single record from manchuria (China)</t>
  </si>
  <si>
    <t>Szechwan, Yunnan, Hunana, Kiangsu, Fukien (China), Hong Kong, Thailand</t>
  </si>
  <si>
    <t>pulveratus</t>
  </si>
  <si>
    <t>cobanensis</t>
  </si>
  <si>
    <t>N Lesser Antilles</t>
  </si>
  <si>
    <t>chiloensis</t>
  </si>
  <si>
    <t>Szechwan and Yunnan to Kiangsu (China), Hong Kong, N thailand</t>
  </si>
  <si>
    <t>C Guatemala</t>
  </si>
  <si>
    <t>dominicensis</t>
  </si>
  <si>
    <t>Tres Marias Isls (Mexico)</t>
  </si>
  <si>
    <t>Honshu (Japan)</t>
  </si>
  <si>
    <t>tumida</t>
  </si>
  <si>
    <t>Portugal, Spain, France, Rumania, Yugoslavia, Bulgaria, Greece, Tanscaucasia; Morocco to Cyrenaica (Libya); Mediterranean islands, iran, Afghanistan, Asia Minor, Isreal, Egypt</t>
  </si>
  <si>
    <t>mehelyi</t>
  </si>
  <si>
    <t>hunting, persecution, habitat loss, changes in prey base</t>
  </si>
  <si>
    <t>129, 135</t>
  </si>
  <si>
    <t>2.6 tonnes</t>
  </si>
  <si>
    <t>last record 8000kya</t>
  </si>
  <si>
    <t>E New Guniea; Misima Isl (Louisiade Arch.) Goodenough Isl (D'Entrecasteaux isls) and Bismarck Arch (Papua New Guniea); E Queensland, E New South Wales and E Victoria (Australia)</t>
  </si>
  <si>
    <t>Azores (Portugal)</t>
  </si>
  <si>
    <t>azoreum</t>
  </si>
  <si>
    <t>ne india and se china to timor (Indonesia) and new guniea</t>
  </si>
  <si>
    <t>Sudan, mali</t>
  </si>
  <si>
    <t>demissus</t>
  </si>
  <si>
    <t>albofuscus</t>
  </si>
  <si>
    <t>Oaxaca to Sonora (Mexico), Trees Marias Isls (Mexico)</t>
  </si>
  <si>
    <t>Venezuela to Bolivia, panama, Coasta Rica</t>
  </si>
  <si>
    <t>Norway, ireland and spain to Sakhalin isl (Russia), Japan, N China and Nepal</t>
  </si>
  <si>
    <t>165.  Brook, B. W., and M. J. S. Bowman.  2004.  The uncertain blitzkrieg of Pleistocene megafauna.  Journal of Biogeography 31:517-523.</t>
  </si>
  <si>
    <t>Bolivia, Argentina, SE Brazil, Uruguay</t>
  </si>
  <si>
    <t>levis</t>
  </si>
  <si>
    <t>senegal to ethiopia aouth to namibia and south africa</t>
  </si>
  <si>
    <t>hirundo</t>
  </si>
  <si>
    <t>Jalisco and Zacatecas to Oaxaca (Mexico)</t>
  </si>
  <si>
    <t>mauritania and senegal to n kenya and ethiopia</t>
  </si>
  <si>
    <t>Chile, Argentina, Uruguay and Brazil to C Canada, Jamacia, Cuba, Hispaniola, Puerto Rico, bermuda, Bahmas, Trinidad and Tabago, Galapagos (Ecuador)</t>
  </si>
  <si>
    <t>hildebrandti</t>
  </si>
  <si>
    <t>All of australia including tasmania, e new guniea, probably timor (Indonesia)</t>
  </si>
  <si>
    <t>http://members.vienna.at/shrew/itsesAP95-soriculus.html#leucops</t>
  </si>
  <si>
    <t xml:space="preserve"> 110-15 mm; regression</t>
  </si>
  <si>
    <t>Lembata (lesser sundas)</t>
  </si>
  <si>
    <t>heran</t>
  </si>
  <si>
    <t>Coahuila, Nuevo Leon and Zacatecas (Mexico)</t>
  </si>
  <si>
    <t>41, 50</t>
  </si>
  <si>
    <t>29, 32, 58</t>
  </si>
  <si>
    <t>39, 43, 55</t>
  </si>
  <si>
    <t>1, 39</t>
  </si>
  <si>
    <t>afghanistan to s china, including Hainan isl, south to sri lanka and vietnam</t>
  </si>
  <si>
    <t>3, 59</t>
  </si>
  <si>
    <t>Java, Kangean isl, bali and lesser sunda isls, borneo</t>
  </si>
  <si>
    <t>imbricatus</t>
  </si>
  <si>
    <t>Saccopteryx</t>
  </si>
  <si>
    <t>kapalgensis</t>
  </si>
  <si>
    <t>hunting, habitat loss, natural disasters</t>
  </si>
  <si>
    <t>hilli</t>
  </si>
  <si>
    <t>N Queensland (Australia), Torres strait Isls, SE New Guinea</t>
  </si>
  <si>
    <t>Nayarit and Tamaulipas (Mexico) to peru, N Argentina and S Brail, Trinidad and Tobago, Grenada (Lesser Antilles)</t>
  </si>
  <si>
    <t>Kerivoula</t>
  </si>
  <si>
    <t>lambertoni</t>
  </si>
  <si>
    <t>140-170g; estimated measurement</t>
  </si>
  <si>
    <t>originally described as T. brunii; 3000 ybp</t>
  </si>
  <si>
    <t>24, 58, 112</t>
  </si>
  <si>
    <t>S Alaska Panhandle (USA) to Baja California (Mexico) and Guatemala</t>
  </si>
  <si>
    <t>Afghanistan to Taiwan and New Guinea</t>
  </si>
  <si>
    <t>Distrito Federal (Mexico) to S utah and S Nevada (USA)</t>
  </si>
  <si>
    <t>Idionycteris</t>
  </si>
  <si>
    <t>suilla</t>
  </si>
  <si>
    <t>Barbastella</t>
  </si>
  <si>
    <t>barbastellus</t>
  </si>
  <si>
    <t>In the Holocene, only Transcaucasia and W Iran</t>
  </si>
  <si>
    <t>schaubi</t>
  </si>
  <si>
    <t>musciculus</t>
  </si>
  <si>
    <t>norway and britain to ussuri region (russia), china and afghanistan</t>
  </si>
  <si>
    <t>Vespertilio</t>
  </si>
  <si>
    <t>70-90mm, walkers</t>
  </si>
  <si>
    <t>169; 60</t>
  </si>
  <si>
    <t>walkers online, 60</t>
  </si>
  <si>
    <t>ozensis</t>
  </si>
  <si>
    <t>Nova Scotia, s Quebec (Canada) and Minnesota (USA), south to Florida (USA) and Honduras</t>
  </si>
  <si>
    <t>S Europe through the Caucasus to Kazakhstan and Pakistan, SW Asia, most of Africa, Canary Isls (Spain)</t>
  </si>
  <si>
    <t>8, 45</t>
  </si>
  <si>
    <t>NW Himalayas</t>
  </si>
  <si>
    <t>Honduruas to Knasas and Se California</t>
  </si>
  <si>
    <t>velifer</t>
  </si>
  <si>
    <t>Borneo, malay Peninsula</t>
  </si>
  <si>
    <t>gaskelli</t>
  </si>
  <si>
    <t>cameroon, zaire, S sudan, N angola</t>
  </si>
  <si>
    <t>crassulus</t>
  </si>
  <si>
    <t>Paucituberculata</t>
  </si>
  <si>
    <t>68; 154</t>
  </si>
  <si>
    <t>http://members.vienna.at/shrew/itsesAP95-erinaceidae.html#hylomys</t>
  </si>
  <si>
    <t>Veracruz (Mexico) to Guianas, E Brazil, Bolivia and Peru, Trinidad</t>
  </si>
  <si>
    <t>E Queensland and E New south wales (australia)</t>
  </si>
  <si>
    <t>NE India to Thailand</t>
  </si>
  <si>
    <t>annectans</t>
  </si>
  <si>
    <t>Taiwan and W Malaysia, south and east to New Guniea, Bismarck Arch, solomon Isls, Vanuatu (=New Hebrides), N and E coastal Australia, perhaps Tibet (China)</t>
  </si>
  <si>
    <t>welwitschii</t>
  </si>
  <si>
    <t>SW Argentina</t>
  </si>
  <si>
    <t>aelleni</t>
  </si>
  <si>
    <t>S Peru, N Chile</t>
  </si>
  <si>
    <t>New Guiinea, Bismarck Arch, solomon Isls, adjacent small islands</t>
  </si>
  <si>
    <t>N Queensland (Australia), E new Guniea</t>
  </si>
  <si>
    <t>C New Guinea</t>
  </si>
  <si>
    <t>semicaudata</t>
  </si>
  <si>
    <t>111, 114, 117</t>
  </si>
  <si>
    <t>Otomops</t>
  </si>
  <si>
    <t>20-30g</t>
  </si>
  <si>
    <t>117, 119</t>
  </si>
  <si>
    <t>albus</t>
  </si>
  <si>
    <t>hunting, habitat loss, changes in native competitors, human disturbance, low densities</t>
  </si>
  <si>
    <t>Seram Isl, Kei Isls and Sulawesi (Indonesia); New Guniea; Bismarck arch; Choiseul, Ysabel and Malaita isls (Solomon Isls)</t>
  </si>
  <si>
    <t>range370-570</t>
  </si>
  <si>
    <t>115, 133</t>
  </si>
  <si>
    <t>dolichobrachion</t>
  </si>
  <si>
    <t>isabellus</t>
  </si>
  <si>
    <t>N&amp;E Zaire, S Central African Republic, N. Gabon, S Cameroon</t>
  </si>
  <si>
    <t>avg. weight:  160g; seasonal variation: 140-220g</t>
  </si>
  <si>
    <t>Mirza</t>
  </si>
  <si>
    <t>Sierra Leone to Ethiopia, south to Tanzania, Zambia and Angola; Bioko</t>
  </si>
  <si>
    <t>Mimetillus</t>
  </si>
  <si>
    <t xml:space="preserve">173.  JUN SHENG LI, YAN LING SONG* and ZHI GAO ZENG .  2003.  Elevational gradients of small mammal diversity on the  northern slopes of Mt. Qilian, China Global Ecology &amp; Biogeography  (2003)  12 , 449–460 </t>
  </si>
  <si>
    <t>170, 173</t>
  </si>
  <si>
    <t>borneo, sulawesi, buru and amboina (molucca issl), philippines</t>
  </si>
  <si>
    <t>W malaysia</t>
  </si>
  <si>
    <t>societatis</t>
  </si>
  <si>
    <t>Bonin isls (japan)</t>
  </si>
  <si>
    <t>Uganda and S kenya to Angola, namibia and Natal (south africa)</t>
  </si>
  <si>
    <t>San Luis Potosi (Mexico) to Costa Rica</t>
  </si>
  <si>
    <t>Mediterranean zone and islands of Europe and NW Africa, Turkey, Isreal, Iraq, Iran, Uzbekistan</t>
  </si>
  <si>
    <t>capaccinii</t>
  </si>
  <si>
    <t>Af</t>
  </si>
  <si>
    <t>Kenya, N Zaire, S Cameroon</t>
  </si>
  <si>
    <t>cuprosa</t>
  </si>
  <si>
    <t>eriophora</t>
  </si>
  <si>
    <t>aegyptiacus</t>
  </si>
  <si>
    <t>Mentawai Isls (Indonesia)</t>
  </si>
  <si>
    <t>senegal, algeria, egypt and iraq south to botswanna and transvaal (south africa), zanzibar</t>
  </si>
  <si>
    <t>lesueuri</t>
  </si>
  <si>
    <t>Afghanistan, Kashmir (India)</t>
  </si>
  <si>
    <t>much larger than H. antimena</t>
  </si>
  <si>
    <t>20-40kg; 24000-14000 ybp</t>
  </si>
  <si>
    <t>hopei</t>
  </si>
  <si>
    <t>2.5-4g</t>
  </si>
  <si>
    <t>taiva</t>
  </si>
  <si>
    <t>10-25g</t>
  </si>
  <si>
    <t>South Africa to Sudan and Somalia to Senegal; mauritius and Renunion islans (Mascarene isls); Madagascar, assumption isl and Aldabra Isl.</t>
  </si>
  <si>
    <t>habitat loss, pollution, loss of prey base</t>
  </si>
  <si>
    <t>habitat loss, restricted distribution</t>
  </si>
  <si>
    <t>hunting, habitat loss, invasive competitors/predators/parasites/pathogens</t>
  </si>
  <si>
    <t>30-40g</t>
  </si>
  <si>
    <t>12-85kg</t>
  </si>
  <si>
    <t>bilineata</t>
  </si>
  <si>
    <t>hunting, invasive competitors</t>
  </si>
  <si>
    <t>persecution, invasived predators</t>
  </si>
  <si>
    <t>Northern territory (Australia)</t>
  </si>
  <si>
    <t>persecution, changes in prey base</t>
  </si>
  <si>
    <t>Fergusson, Goodenough, Normanby, New Guinea</t>
  </si>
  <si>
    <t>N India, burma, thailand SW China</t>
  </si>
  <si>
    <t>paterculus</t>
  </si>
  <si>
    <t>peguensis</t>
  </si>
  <si>
    <t>tanzania</t>
  </si>
  <si>
    <t>permixtus</t>
  </si>
  <si>
    <t>thysanodes</t>
  </si>
  <si>
    <t>Chiapas (Mexico) to Sw South Dakota (USA) and SC British Columbia (Canada)</t>
  </si>
  <si>
    <t>benin, cameroon, zaire, uganda, kenya, perhaps sudan</t>
  </si>
  <si>
    <t>inexspectatus</t>
  </si>
  <si>
    <t>aenea</t>
  </si>
  <si>
    <t>41, 49</t>
  </si>
  <si>
    <t>39, 43</t>
  </si>
  <si>
    <t>8, 44</t>
  </si>
  <si>
    <t>8, 28</t>
  </si>
  <si>
    <t>24, 34</t>
  </si>
  <si>
    <t>8, 24</t>
  </si>
  <si>
    <t>vivesi</t>
  </si>
  <si>
    <t>Arizonia and New Mexico (USA) to jalisco and Veracruz (Mexico), Guatemala</t>
  </si>
  <si>
    <t>Nepal to SW china and burma</t>
  </si>
  <si>
    <t>Szechan, Kweichow (China), Thailand</t>
  </si>
  <si>
    <t>altarium</t>
  </si>
  <si>
    <t>Philippines, N Borneo</t>
  </si>
  <si>
    <t>macrotarsus</t>
  </si>
  <si>
    <t>Ethiopia and Zaire, south to South Africa</t>
  </si>
  <si>
    <t>cape province, natal and transvaal (south africa), malawi, zambia</t>
  </si>
  <si>
    <t>Australia, S New Guinea</t>
  </si>
  <si>
    <t>Western australia (excluding the south), northern territory, south australia, New south wales and queensland (australia)</t>
  </si>
  <si>
    <t>greyii</t>
  </si>
  <si>
    <t>rusticus</t>
  </si>
  <si>
    <t>pakistan, n india</t>
  </si>
  <si>
    <t>http://www.glirarium.org/dormouse/biology-chaetocauda.html</t>
  </si>
  <si>
    <t>jake</t>
  </si>
  <si>
    <t>Burma, Thailand, Cambodia, Vietnam, W Malaysia, Sumatra, mentawai isls, Riau Arch. Java, Borneo, Sri Lanka</t>
  </si>
  <si>
    <t>hasseltii</t>
  </si>
  <si>
    <t>Venezuela, SE Collombia, Guyana, NW Brazil</t>
  </si>
  <si>
    <t>New Guinea, Kei Isls, Trobriand isls</t>
  </si>
  <si>
    <t>Ghana, Gabon, Zaire, Uganada, perhaps Ethiopia</t>
  </si>
  <si>
    <t>aloysiisabaudiae</t>
  </si>
  <si>
    <t>subfossils: 2.5-5 times larger than D. madagascariensis</t>
  </si>
  <si>
    <r>
      <t xml:space="preserve">200 </t>
    </r>
    <r>
      <rPr>
        <u/>
        <sz val="10"/>
        <color indexed="8"/>
        <rFont val="Arial"/>
        <family val="2"/>
      </rPr>
      <t>+</t>
    </r>
    <r>
      <rPr>
        <sz val="10"/>
        <color indexed="8"/>
        <rFont val="Arial"/>
      </rPr>
      <t>50kg</t>
    </r>
  </si>
  <si>
    <t>Babakotia</t>
  </si>
  <si>
    <t>Japen, Salawati, Waigeo</t>
  </si>
  <si>
    <t>Nicaragua, Costa Rica, Guyana, Amazonian Brazil</t>
  </si>
  <si>
    <t>Cyttarops</t>
  </si>
  <si>
    <t>Jalisco and Veracruz (Mexico) to Bolivia, Guianas and E Brazil south to Rio de Janiero; Trinidad and Tabago</t>
  </si>
  <si>
    <t>peninsular malaysia</t>
  </si>
  <si>
    <t>aequatorianus</t>
  </si>
  <si>
    <t>Surinam, Amazonian Brazil and Peru</t>
  </si>
  <si>
    <t>Bougainville, Buka, Choiseul</t>
  </si>
  <si>
    <t>UK</t>
  </si>
  <si>
    <t>range40-85g</t>
  </si>
  <si>
    <t>New Britain</t>
  </si>
  <si>
    <t>130, 135</t>
  </si>
  <si>
    <t>n=9</t>
  </si>
  <si>
    <t>n=35</t>
  </si>
  <si>
    <t>n=97</t>
  </si>
  <si>
    <t>n=100</t>
  </si>
  <si>
    <t>n=17</t>
  </si>
  <si>
    <t>n=3</t>
  </si>
  <si>
    <t>n=11</t>
  </si>
  <si>
    <t>Goodenough Island</t>
  </si>
  <si>
    <t>hobbit</t>
  </si>
  <si>
    <t>Assam (India), N Burma, N Thailand</t>
  </si>
  <si>
    <t>pachyotis</t>
  </si>
  <si>
    <t>yesoensis</t>
  </si>
  <si>
    <t>S England to Caucasus Mtns south to Morocco and Tunesia (but not Egypt) through Iran and Himalayas to China and Japan; adjacent small islands</t>
  </si>
  <si>
    <t>Lesser Sunda Isls (indonesia) Borneo</t>
  </si>
  <si>
    <t>flora</t>
  </si>
  <si>
    <t>schlieffeni</t>
  </si>
  <si>
    <t>extinct in wild</t>
  </si>
  <si>
    <t>68, 117</t>
  </si>
  <si>
    <t>68, 119</t>
  </si>
  <si>
    <t>wollastoni</t>
  </si>
  <si>
    <t>750-900g; mammals of madagascar</t>
  </si>
  <si>
    <t>Rhinolophus</t>
  </si>
  <si>
    <t>North Caucasus, Kazakhstan, Uzbekistan and Turkmenistan</t>
  </si>
  <si>
    <t>bobrinskoi</t>
  </si>
  <si>
    <t>castaneus</t>
  </si>
  <si>
    <t>N Northern territory, N and E Queensland, N and W western asutralia, e new south wales and victoria (australia), new guniea</t>
  </si>
  <si>
    <t>gouldi</t>
  </si>
  <si>
    <t>SW Cape Province (South Africa)</t>
  </si>
  <si>
    <t>hunting, habitat loss, chgs in native predators, hybridizers</t>
  </si>
  <si>
    <t>head-body:  81mm</t>
  </si>
  <si>
    <t>longimanus</t>
  </si>
  <si>
    <t>Chalinolobus</t>
  </si>
  <si>
    <t>nigrogriseus</t>
  </si>
  <si>
    <t>Indochina &amp; Sunda Shelf (Peninsular Thailand, Malay Peninsula)</t>
  </si>
  <si>
    <t>perforatus</t>
  </si>
  <si>
    <t>hunting, changes in prey base</t>
  </si>
  <si>
    <t>Males 120kg, females 60kg</t>
  </si>
  <si>
    <t>Lama, not alpaca</t>
  </si>
  <si>
    <t>male mass</t>
  </si>
  <si>
    <t>ronaldi</t>
  </si>
  <si>
    <t>111, 114, 115</t>
  </si>
  <si>
    <t>115, 117, 133</t>
  </si>
  <si>
    <t>Salebabu, Butung, Muna (Raha), Peleng, Sulawesi, Togian</t>
  </si>
  <si>
    <t>secundus</t>
  </si>
  <si>
    <t>hunting, habitat loss, natural disasters, skewed sex ratios</t>
  </si>
  <si>
    <t>Sri Lanka, Inida to Cambodia; malay Peninsula; sumatra, Borneo, java, Bali and Flores (Indonesia)</t>
  </si>
  <si>
    <t>hunting, habitat loss, parasites/pathogens, low reproduction, hybridizers</t>
  </si>
  <si>
    <t>Western Australia, South Australia and Northern Territory</t>
  </si>
  <si>
    <t>Arizona (USA) to Nicaragua</t>
  </si>
  <si>
    <t>Amazonian Brazil, perhaps Venezuela</t>
  </si>
  <si>
    <t>Caucasus to the Pamirs, N Iran, Afganistan, India and W China, Honshu, Hokkaido (Japan), Sinai (Egypt), N Ethiopia, perhaps Indo-China</t>
  </si>
  <si>
    <t>leucomelas</t>
  </si>
  <si>
    <t>Liberia, Ghana, Cameroon, Congo Republic, Zaire</t>
  </si>
  <si>
    <t>phalaena</t>
  </si>
  <si>
    <t>Coast of Sonora and Baja California (Mexico), cheifly on small islands</t>
  </si>
  <si>
    <t>female:5100, male: 9500</t>
  </si>
  <si>
    <t>syn. Zygomaturus nimborensia; uncertain age…thought to be Pleistocene; 200-400 kg</t>
  </si>
  <si>
    <t>euryotis</t>
  </si>
  <si>
    <t>megaphyllus</t>
  </si>
  <si>
    <t>Indonesia, Java</t>
  </si>
  <si>
    <t>Taiwan, Hainan, Isl. China</t>
  </si>
  <si>
    <t>range 1.5-4g</t>
  </si>
  <si>
    <t>Comores Isls.</t>
  </si>
  <si>
    <t>Wokam, New Guinea</t>
  </si>
  <si>
    <t>75, 118</t>
  </si>
  <si>
    <t>Borneo, Philippines, Java and sumatra, W Malaysia</t>
  </si>
  <si>
    <t>Tibet, china (record may be doubtful), NW India to vietnam, Fukien (China), Thailand, W Malaysia</t>
  </si>
  <si>
    <t>huttoni</t>
  </si>
  <si>
    <t>japan, including Tsushima isls</t>
  </si>
  <si>
    <t>silvatica</t>
  </si>
  <si>
    <t>Tsushima isls (Japan), perhaps Yakushima (Ryukyu isls, Japan)</t>
  </si>
  <si>
    <t>tenebrosa</t>
  </si>
  <si>
    <t>Ethiopia, Somalia, kenya, Uganda, E Sudan, Tanzania, Zanzibar</t>
  </si>
  <si>
    <t>Megadermatidae</t>
  </si>
  <si>
    <t>Cardioderma</t>
  </si>
  <si>
    <t>cor</t>
  </si>
  <si>
    <t>Bat, Blup Blup Bougainville, Choiseul, Gebe, Guadalcanal, Karkar, Manus, New Britain, New Ireland, Nissan, Salawati, Tikopia, New Guinea</t>
  </si>
  <si>
    <t>Furipteridae</t>
  </si>
  <si>
    <t>Chiapas and Tabasco (Mexico) to E Brazil and Peru; Guianas; Margarita Isl (Venezuela); Trinidad and Tobago</t>
  </si>
  <si>
    <t>leptura</t>
  </si>
  <si>
    <t>sinaloae</t>
  </si>
  <si>
    <t>San Martin</t>
  </si>
  <si>
    <t>Fergusson</t>
  </si>
  <si>
    <t>Japen, Sideia, New Guinea</t>
  </si>
  <si>
    <t>only known from 5 specimens</t>
  </si>
  <si>
    <t>hunting, habitat loss, hybridizers</t>
  </si>
  <si>
    <t>S Veracruz and oxaca (Mexico) to EC Guatemala and belize</t>
  </si>
  <si>
    <t>Balantiopteryx</t>
  </si>
  <si>
    <t>111, 117</t>
  </si>
  <si>
    <t>Liberia to W Kenya south to Angola</t>
  </si>
  <si>
    <t>peli</t>
  </si>
  <si>
    <t>Conflict Group, Fergusson, Goodenough, Misima, Normanby, Sideia, Sudest, Woodlark, New Guinea</t>
  </si>
  <si>
    <t>Indonesia, Aru Islands, Batanta, Japen, Salawati, Waigeo, New Guinea</t>
  </si>
  <si>
    <t>118, 123</t>
  </si>
  <si>
    <t>Philippines, Borneo, Sulawesi and Tanimbar (Indonesia) and adjacent small islands</t>
  </si>
  <si>
    <t>115, 119, 131</t>
  </si>
  <si>
    <t>tasmaniensis</t>
  </si>
  <si>
    <t>hunting, habitat loss, high juvenile mortality, low densities</t>
  </si>
  <si>
    <t>136, 141</t>
  </si>
  <si>
    <t>only a few photographs exists. 136</t>
  </si>
  <si>
    <t>Hadropithecus</t>
  </si>
  <si>
    <t>stenognathus</t>
  </si>
  <si>
    <t>Rhodes, crete</t>
  </si>
  <si>
    <t>range2.5-6.5kg</t>
  </si>
  <si>
    <t>119, 138</t>
  </si>
  <si>
    <t>range1-2.2kg</t>
  </si>
  <si>
    <t>Sri Lanka, Indonesia, Taiwan</t>
  </si>
  <si>
    <t>132, 133</t>
  </si>
  <si>
    <t>range1.3-2.2kg</t>
  </si>
  <si>
    <t>total length: 2000mm; shoulder height 800mm</t>
  </si>
  <si>
    <t>hunting, habitat loss, invasive competitors/predators/parasites/pathogens, natural disasters</t>
  </si>
  <si>
    <t>Senegal to Botswana, Mozambique, Somalia and Egypt; s Arabia, s Iran; Pakistan; NW India</t>
  </si>
  <si>
    <t>thebaica</t>
  </si>
  <si>
    <t>New Guniea, Kei Isls, Halmahera isls, Schouten Isls, Sulawesi, Amboina and Buru (Indonesia), Bismarch Arch (Papua New Guniea), Solomon Isls; adjacent small islands</t>
  </si>
  <si>
    <t>Mosia</t>
  </si>
  <si>
    <t>Guerrero (Mexico) to New Mexico, Arizona, Calfornia (USA) and Baja California (Mexico)</t>
  </si>
  <si>
    <t>femorosaccus</t>
  </si>
  <si>
    <t>leucoptera</t>
  </si>
  <si>
    <t>Ghana, Nigeria, Cameroon, Zaire, Uganda, perhaps Gambia</t>
  </si>
  <si>
    <t>Sri Lanka and india through SE Asia to Lesser Sundas, the Philippines and Molucca Isls, various adjacent islands</t>
  </si>
  <si>
    <t>Megaderma</t>
  </si>
  <si>
    <t>spasma</t>
  </si>
  <si>
    <t>Ivory coast to NE Angola, W Tanzania, W Kenya and SW sudan</t>
  </si>
  <si>
    <t>Veracruz (Mexico) to NW Peru, N Argentina, Uruguay and Brazil -the patagonian record is probably in error</t>
  </si>
  <si>
    <t>hunting, habitat loss, changes in native competitors</t>
  </si>
  <si>
    <t>largest of 3 Malagasy hippos, but not as big as common hippo; 2/3 size of modern hippo</t>
  </si>
  <si>
    <t>Peropteryx</t>
  </si>
  <si>
    <t>hunting, habitat loss, changes in native competitors, hybridizers, low densities</t>
  </si>
  <si>
    <t xml:space="preserve">male (11, 700), female (9100) average </t>
  </si>
  <si>
    <t>range 3.5-7g</t>
  </si>
  <si>
    <t>range6-14g</t>
  </si>
  <si>
    <t>range9.5-14g</t>
  </si>
  <si>
    <t>10, 17.4</t>
  </si>
  <si>
    <t>range10-24g</t>
  </si>
  <si>
    <t>Japan, Taiwan</t>
  </si>
  <si>
    <t>hunting (past), habitat loss, pollution</t>
  </si>
  <si>
    <t>habitat loss, changes in prey base</t>
  </si>
  <si>
    <t>NE&amp;E Zaire, W Uganda, Ruwanda</t>
  </si>
  <si>
    <t>New Britain Isl., Bismark Archipelago</t>
  </si>
  <si>
    <t>Ivory Coast &amp; Chana</t>
  </si>
  <si>
    <t>N Angola</t>
  </si>
  <si>
    <t>uk</t>
  </si>
  <si>
    <t>found Kelangurr Cave &amp; West Baliem River (41500 +- 1500 ybp)</t>
  </si>
  <si>
    <t>Cape Prov., E orange Free state, and S Transvaal (south Africa)</t>
  </si>
  <si>
    <t>Cape Prov., South Africa</t>
  </si>
  <si>
    <t>Pakistan &amp; NW India</t>
  </si>
  <si>
    <t>119, 133</t>
  </si>
  <si>
    <t>118, 119, 123</t>
  </si>
  <si>
    <t>Aproteles</t>
  </si>
  <si>
    <t>bulmerae</t>
  </si>
  <si>
    <t>Megaladapis</t>
  </si>
  <si>
    <t>Murina</t>
  </si>
  <si>
    <t>florium</t>
  </si>
  <si>
    <t>Secure</t>
  </si>
  <si>
    <t>W Peru, W Ecuador, Puna Isl (Ecuador) N Chile</t>
  </si>
  <si>
    <t>Venezuela, Guyana, C and NE Brazil</t>
  </si>
  <si>
    <t>mattogrossensis</t>
  </si>
  <si>
    <t>planirostris</t>
  </si>
  <si>
    <t>Colombia, Venezuela, Guianas, Ecuador, peru, Bolivia, brazil</t>
  </si>
  <si>
    <t>persecution, habitat loss, pollution, changes in prey base</t>
  </si>
  <si>
    <t>Honduras to Ecuador and Venezuela, Cozumel Isl (Mexico)</t>
  </si>
  <si>
    <t>bondae</t>
  </si>
  <si>
    <t>225.  Woodman, N., and R. M. Timm.  1993.  Intraspecific and interspecific variation in the Cryptotis nigrescens species complex of small-eared shrews (Insectivora: Soricidae), with the description of a new species from Colombia.  Fieldiana: Zoology  (new series), 74:1–30.</t>
  </si>
  <si>
    <t>224, 225, Neal Woodman, Pers com.</t>
  </si>
  <si>
    <t>223, Neal Woodman pers. Com</t>
  </si>
  <si>
    <t>WT:6.4</t>
  </si>
  <si>
    <t>60, 163, 130</t>
  </si>
  <si>
    <t>hunting, habitat loss, changes in prey base</t>
  </si>
  <si>
    <t>io</t>
  </si>
  <si>
    <t>Colombia, Peru, brazil and Surinam to S Sonora and S Tamaulipas (Mexico); Trinidad</t>
  </si>
  <si>
    <t>Craseonycteridae</t>
  </si>
  <si>
    <t>Craseonycteris</t>
  </si>
  <si>
    <t>thonglongyai</t>
  </si>
  <si>
    <t>Thailand to W Malaysia; Borneo; Sumatra, Rhio Arch., banka, Billiton, Engano, Babi Isls, Nias Isl, mentawai Isls, java, Sulawesi and Karimata isl (Indonesia)</t>
  </si>
  <si>
    <t>NW Brazil, Venezuela</t>
  </si>
  <si>
    <t>Nayarit (Mexico) to E Brazil and Trinidad</t>
  </si>
  <si>
    <t>secure</t>
  </si>
  <si>
    <t>~17kg</t>
  </si>
  <si>
    <t>AVERAGE(41.1, 38.6), N=32</t>
  </si>
  <si>
    <t>n=84</t>
  </si>
  <si>
    <t>n=103</t>
  </si>
  <si>
    <t>n=34</t>
  </si>
  <si>
    <t>63, 70, 135</t>
  </si>
  <si>
    <t>semoni</t>
  </si>
  <si>
    <t>Macroglossus</t>
  </si>
  <si>
    <t>118, 119</t>
  </si>
  <si>
    <t>Iran, Afghanistan, Turkmenistan</t>
  </si>
  <si>
    <t>Bahamas</t>
  </si>
  <si>
    <t>habitat loss, hunting, accidental mortality</t>
  </si>
  <si>
    <t>Central Arabia; Israel; Sinai; Egypt to Morocco, Senegal, benin, Somalia and Kenya, thence south to South Africa in open country; Zanzibar and Pemba</t>
  </si>
  <si>
    <t>India and Sri Lanka to S China and Vietnam, southeast to Phillipines, Borneo and lesser sunda isls, hainan (China), Cocos Keeling Isl (Indian Ocean)</t>
  </si>
  <si>
    <t>New Guniea, N and C Australia, Solomon Isls, Vanuatu (=New Hebrides), Fiji, perhaps Bismarck Arch</t>
  </si>
  <si>
    <t>125, 129, 130</t>
  </si>
  <si>
    <t>WT:1250</t>
  </si>
  <si>
    <t>125, 129, 260, 130</t>
  </si>
  <si>
    <t>WT:8.25</t>
  </si>
  <si>
    <t>WT:27</t>
  </si>
  <si>
    <t>WT:75</t>
  </si>
  <si>
    <t>128, 130</t>
  </si>
  <si>
    <t>WT:63</t>
  </si>
  <si>
    <t>135, 130</t>
  </si>
  <si>
    <t>129, 260, 130</t>
  </si>
  <si>
    <t>WT:120</t>
  </si>
  <si>
    <t>WT:60</t>
  </si>
  <si>
    <t>WT:42.8</t>
  </si>
  <si>
    <t>WT:52</t>
  </si>
  <si>
    <t>WT:33.5</t>
  </si>
  <si>
    <t>WT:43</t>
  </si>
  <si>
    <t>63, 70, 135, 130</t>
  </si>
  <si>
    <t>75, 130</t>
  </si>
  <si>
    <t>WT:37</t>
  </si>
  <si>
    <t>WT:32</t>
  </si>
  <si>
    <t>WT:57</t>
  </si>
  <si>
    <t>persecution, habitat loss, change in prey base, pollution</t>
  </si>
  <si>
    <t>Cuba, Hispaniola; as fossil, Isle of Pines (Cuba)</t>
  </si>
  <si>
    <t>Phyllops</t>
  </si>
  <si>
    <t>falcatus</t>
  </si>
  <si>
    <t>Liberia, Cameroon, Sudan, Zaire, Uganad, Kenya, Tanzania</t>
  </si>
  <si>
    <t>known only from skulls</t>
  </si>
  <si>
    <t>Pleistocene descendent of Protemnodon otibandus; 40-60kg</t>
  </si>
  <si>
    <t>Dobsonia</t>
  </si>
  <si>
    <t>Maokopia</t>
  </si>
  <si>
    <t>known only from one specimen, and is of uncertain taxonomic status</t>
  </si>
  <si>
    <t>Mangole, Taliabu</t>
  </si>
  <si>
    <t>vu</t>
  </si>
  <si>
    <t>head-body: 46-52.4</t>
  </si>
  <si>
    <t>head-body:  101-111mm</t>
  </si>
  <si>
    <t>head-body:  91.5-96.3mm</t>
  </si>
  <si>
    <t>head-body:  49.4-62.1</t>
  </si>
  <si>
    <t>Batanta, Biak-Supiori, Fergusson, Goodenough, Japen, New Britain, Normanby, New Guinea</t>
  </si>
  <si>
    <t>Manus</t>
  </si>
  <si>
    <t>range135-200g</t>
  </si>
  <si>
    <t>68, 133</t>
  </si>
  <si>
    <t>Borneo, java</t>
  </si>
  <si>
    <t>range145-215g</t>
  </si>
  <si>
    <t>magnater</t>
  </si>
  <si>
    <t>matambuai</t>
  </si>
  <si>
    <t>S Sudan, Chad, Kenya</t>
  </si>
  <si>
    <t>hamiltoni</t>
  </si>
  <si>
    <t>Panama to Peru, n Argentina, Paraguay, brazil and Surinam</t>
  </si>
  <si>
    <t>greenhalli</t>
  </si>
  <si>
    <t>Venezuela, Colombia, Peru, Boliva, S Brazil, Paraguay, N Argentina, uruguay</t>
  </si>
  <si>
    <t>Molossops</t>
  </si>
  <si>
    <t>213.  Kitchener, A.C., Clegg, T., Thompson, N. M. J., Wiik, H. and MacDonald, A. A.  1993.  First records of the Malay civit, Viverra tangalunga Gray, 1832, on Seram with notes on the Seram bandicoot Rhynchomeles prattorum Thomas, 1920.  Z. Säugetierkunde 58: 378-380.</t>
  </si>
  <si>
    <r>
      <t xml:space="preserve">269.  Barnett, A. A.  2005.  </t>
    </r>
    <r>
      <rPr>
        <i/>
        <sz val="10"/>
        <color indexed="8"/>
        <rFont val="Arial"/>
        <family val="2"/>
      </rPr>
      <t>Cacajao melanocephalus</t>
    </r>
    <r>
      <rPr>
        <sz val="10"/>
        <color indexed="8"/>
        <rFont val="Arial"/>
      </rPr>
      <t>.  Mammalian Species No. 776:1-6.  The American Society of Mammalogists.</t>
    </r>
  </si>
  <si>
    <t>WT:23</t>
  </si>
  <si>
    <t>163, 130</t>
  </si>
  <si>
    <t>WT:20.5</t>
  </si>
  <si>
    <t>WT:19.3</t>
  </si>
  <si>
    <t>63, 70, 130</t>
  </si>
  <si>
    <t>WT:61.5</t>
  </si>
  <si>
    <t>WT:2.5</t>
  </si>
  <si>
    <t>theobaldi</t>
  </si>
  <si>
    <t>Blup Blup, Duke of York, Japen, Karkar, Lamassa, Mioko, New Britain, New Ireland, Salawati, Sideia, Waigeo, New Guinea</t>
  </si>
  <si>
    <t>120, 133</t>
  </si>
  <si>
    <t>certans</t>
  </si>
  <si>
    <t>Senegal to somalia, south to Angola, botswana and natal (South Africa), Madagascar</t>
  </si>
  <si>
    <t>Cameroon and Ghana, perhaps Sierra Leone</t>
  </si>
  <si>
    <t>condylurus</t>
  </si>
  <si>
    <t>muscina</t>
  </si>
  <si>
    <t>Afghanistan to s China, south to Sri Lanka and W Malaysia</t>
  </si>
  <si>
    <t>lyra</t>
  </si>
  <si>
    <t>hunting, habtat loss</t>
  </si>
  <si>
    <t>Jalisco and Yucatan (Mexico) to Peru, N Argtina and Surinam, Trinidad</t>
  </si>
  <si>
    <t>Nyctimene</t>
  </si>
  <si>
    <t>aello</t>
  </si>
  <si>
    <t>Misool, Salawati, Japen</t>
  </si>
  <si>
    <t>range4.5-8kg</t>
  </si>
  <si>
    <t>111, 133</t>
  </si>
  <si>
    <t>Peninsular Burma</t>
  </si>
  <si>
    <t>Guinea-Bissau to Somalia, south to angola, Zaire and Mozambique; Yemen</t>
  </si>
  <si>
    <t>Nicaragua to Peru and Brazil</t>
  </si>
  <si>
    <t>Cormura</t>
  </si>
  <si>
    <t>Liberia, mali, Burkina Faso, Ghana, Togo, Nigeria, Niger, Sudan, NE Zaire, Uganda, Tanzania</t>
  </si>
  <si>
    <t>Rennell and Malaita Isls (Solomon Isls), New Ireland (Bismarck Arch), New Guinea</t>
  </si>
  <si>
    <t>Sinaloa (Mexico) to Colombia and Surinam, Trinidad</t>
  </si>
  <si>
    <t>W Panama; Costa Rica; Honduras; Guatemale; Chiapas, Oaxaca to Nuevo Leon and Sinaloa (Mexico)</t>
  </si>
  <si>
    <t>dabbenei</t>
  </si>
  <si>
    <t>Guyana, Surinam</t>
  </si>
  <si>
    <t>maurus</t>
  </si>
  <si>
    <t>W Mexico</t>
  </si>
  <si>
    <t>niveiventer</t>
  </si>
  <si>
    <t>C India to Vietnam; Java, Borneo and Sulawesi</t>
  </si>
  <si>
    <t>Sinaloa (Mexico) to Columbia, Venezuela, Guyana and Surinam</t>
  </si>
  <si>
    <t>demonstrator</t>
  </si>
  <si>
    <t>S British Columbia (Canada) through W USA to Oaxaca (Mexico), east to Virginia</t>
  </si>
  <si>
    <t>taivanus</t>
  </si>
  <si>
    <t>WT:4000</t>
  </si>
  <si>
    <t>WT:6000</t>
  </si>
  <si>
    <t>WT:8500</t>
  </si>
  <si>
    <t>WT:10000</t>
  </si>
  <si>
    <t>WT:11000</t>
  </si>
  <si>
    <t>WT:40000</t>
  </si>
  <si>
    <t>139, 130</t>
  </si>
  <si>
    <t>WT:2000</t>
  </si>
  <si>
    <t>WT:2750</t>
  </si>
  <si>
    <t>WT:2500</t>
  </si>
  <si>
    <t>WT:650</t>
  </si>
  <si>
    <t>WT:47</t>
  </si>
  <si>
    <t>WT:12.7</t>
  </si>
  <si>
    <t>WT:48</t>
  </si>
  <si>
    <t>113, 129, 260, 130</t>
  </si>
  <si>
    <t>WT:7.75</t>
  </si>
  <si>
    <t>WT:21.5</t>
  </si>
  <si>
    <t>WT:18</t>
  </si>
  <si>
    <t>WT:83</t>
  </si>
  <si>
    <t>FA:84</t>
  </si>
  <si>
    <t>FA:55</t>
  </si>
  <si>
    <t>WT:16</t>
  </si>
  <si>
    <t>FA:33.75</t>
  </si>
  <si>
    <t>153, 259</t>
  </si>
  <si>
    <t>Peru, Colombia, N and E Brazil, Venezuela, French Guiana, Guyana and Surinam</t>
  </si>
  <si>
    <t>hunting, habitat loss, low reproduction, low pop density</t>
  </si>
  <si>
    <t>daubentonii</t>
  </si>
  <si>
    <t>hunting, human disturbance, restricted range</t>
  </si>
  <si>
    <t>Java; Sumatra</t>
  </si>
  <si>
    <t>Rhinolophidae</t>
  </si>
  <si>
    <t>111, 114, 115, 131</t>
  </si>
  <si>
    <t>range10-15kg</t>
  </si>
  <si>
    <t>60, 137</t>
  </si>
  <si>
    <t>63, 70, 115</t>
  </si>
  <si>
    <t>59, 117</t>
  </si>
  <si>
    <t>59, 118</t>
  </si>
  <si>
    <t>114, 115</t>
  </si>
  <si>
    <t>59, 118, 133</t>
  </si>
  <si>
    <t>females:30-35g; males: 45-50g</t>
  </si>
  <si>
    <t>thomasettii</t>
  </si>
  <si>
    <t>Kolopsis</t>
  </si>
  <si>
    <t>watutense</t>
  </si>
  <si>
    <t>14000-10000 ybp - youngest specimen</t>
  </si>
  <si>
    <t>christenseni</t>
  </si>
  <si>
    <t>hunting, habitat loss, accidental mortality, changes in prey base</t>
  </si>
  <si>
    <t>habitat loss, restricted range, invasive competitors</t>
  </si>
  <si>
    <t>habitat loss, slow growth rates</t>
  </si>
  <si>
    <t>Zaire, Rwanda, Burundi, Tanzania, Angola, Zambia, Mozambique</t>
  </si>
  <si>
    <t>hunting, persecution, habitat loss, restricted range</t>
  </si>
  <si>
    <t>Nayarit (Mexico) to Ecuador and NE Brazil, Trinidad</t>
  </si>
  <si>
    <t xml:space="preserve">224.  Woodman, N.  2000.  Cryptotis merriami Choate in Costa Rica: syntopy with Cryptotis nigrescens (Allen) and possible character displacement.  Caribbean Journal of Science 36(3–4): 289–299.  </t>
  </si>
  <si>
    <t>pipistrellus</t>
  </si>
  <si>
    <t>196.  Woodland savanah mammals (excel file) Available at:  
www.iiasa.ac.at/~sendzim/MammalDataSets/ Woodland%20Savanna%20Mamm.xls</t>
  </si>
  <si>
    <t>178, 197</t>
  </si>
  <si>
    <t>87.3-104.4mm</t>
  </si>
  <si>
    <t>132.4mm (Bates, 1985 Mammalia)</t>
  </si>
  <si>
    <t>Head-Body: 99mm</t>
  </si>
  <si>
    <r>
      <t xml:space="preserve">266.  Krausman, P. R. and Morales, S. M.  2005.  </t>
    </r>
    <r>
      <rPr>
        <i/>
        <sz val="10"/>
        <color indexed="8"/>
        <rFont val="Arial"/>
        <family val="2"/>
      </rPr>
      <t>Acinonyx jubatus</t>
    </r>
    <r>
      <rPr>
        <sz val="10"/>
        <color indexed="8"/>
        <rFont val="Arial"/>
      </rPr>
      <t>.  Mammalian Species No. 771:1-6.  The American Society of Mammalogists.</t>
    </r>
  </si>
  <si>
    <r>
      <t xml:space="preserve">267.  Adam, P. J.  </t>
    </r>
    <r>
      <rPr>
        <i/>
        <sz val="10"/>
        <color indexed="8"/>
        <rFont val="Arial"/>
        <family val="2"/>
      </rPr>
      <t xml:space="preserve">Lobodon carcinophaga.  </t>
    </r>
    <r>
      <rPr>
        <sz val="10"/>
        <color indexed="8"/>
        <rFont val="Arial"/>
      </rPr>
      <t>Mammalian Species No. 772:1-14.  The American Society of Mammalogists.</t>
    </r>
  </si>
  <si>
    <r>
      <t xml:space="preserve">268.  Álvarez-Castañeda, S. T., and Méndez, L.  2005.  </t>
    </r>
    <r>
      <rPr>
        <i/>
        <sz val="10"/>
        <color indexed="8"/>
        <rFont val="Arial"/>
        <family val="2"/>
      </rPr>
      <t>Peromyscus madrensis</t>
    </r>
    <r>
      <rPr>
        <sz val="10"/>
        <color indexed="8"/>
        <rFont val="Arial"/>
      </rPr>
      <t>.  Mammalian Species No. 774:1-3.  The American Society of Mammalogists.</t>
    </r>
  </si>
  <si>
    <t>166.  Daniel, M. J. 1990.  New Zealand long-tailed bat. Pp. 117-122 IN:  The handbook of New Zealand Mammals (C. M. King, ed.).  Oxford University Press, Oxford.  600pp.</t>
  </si>
  <si>
    <t>Neal suggested that they are smaller than C. nigrescens in Costa Rica</t>
  </si>
  <si>
    <t>http://members.vienna.at/shrew/itsesAP95-talpinae.html#scapanulus</t>
  </si>
  <si>
    <t>Palaeopropithecidae</t>
  </si>
  <si>
    <t>Cape Prob. South Africa</t>
  </si>
  <si>
    <t>Hipposideros</t>
  </si>
  <si>
    <t>Aru Islands, Japen</t>
  </si>
  <si>
    <t>Syconycteris</t>
  </si>
  <si>
    <t>Bagabag,Batanta, Biak-Supirori,Blup Blup, apen, Kadovar, Karkar, Koil, Lou, Manus, Misool, New Britain, Owi, Sakar, Salawati, Su Mios, tolokiwa, Umboi, Vokeo, Waigeo</t>
  </si>
  <si>
    <t>fontoynontii</t>
  </si>
  <si>
    <t>Amazonian Brazil, Venezuela, peru, Guyana, Surinam</t>
  </si>
  <si>
    <t>Diclidurus</t>
  </si>
  <si>
    <t>scutatus</t>
  </si>
  <si>
    <t>Seychelle Isls, possibly Zanzibar</t>
  </si>
  <si>
    <t>Coleura</t>
  </si>
  <si>
    <t>seychellensis</t>
  </si>
  <si>
    <t>Sudan, Ethiopia, Uganda, Kenya, Tanzania, Zambia, Zimbabawe, Mozambique</t>
  </si>
  <si>
    <t>bivittata</t>
  </si>
  <si>
    <t>Ghana, Cameroon, Zaire, Kenya</t>
  </si>
  <si>
    <t>russata</t>
  </si>
  <si>
    <t>Mystacinidae</t>
  </si>
  <si>
    <t>Mystacina</t>
  </si>
  <si>
    <t>222.  Woodman, N., and R. M. Timm.  1999.  Geographic variation and evolutionary relationships among broad-clawed shrews of the Cryptotis goldmani-group (Mammalia: Insectivora: Soricidae).  Fieldiana: Zoology (new series) 91:1–35.</t>
  </si>
  <si>
    <t>Neal suggested that it was about the size of C. goldmani</t>
  </si>
  <si>
    <t>WT:22.5</t>
  </si>
  <si>
    <t>FA:75</t>
  </si>
  <si>
    <t>FA:41</t>
  </si>
  <si>
    <t>FA:60.5</t>
  </si>
  <si>
    <t>WT:6</t>
  </si>
  <si>
    <t>FA:40.5</t>
  </si>
  <si>
    <t>WT:8.5</t>
  </si>
  <si>
    <t>FA:47.5</t>
  </si>
  <si>
    <t>FA:57.5</t>
  </si>
  <si>
    <t>WT:14.5</t>
  </si>
  <si>
    <t>WT:13.5</t>
  </si>
  <si>
    <t>FA:46.5</t>
  </si>
  <si>
    <t>WT:7</t>
  </si>
  <si>
    <t>FA:41.5</t>
  </si>
  <si>
    <t>FA:61.5</t>
  </si>
  <si>
    <t>FA:42.5</t>
  </si>
  <si>
    <t>WT:9</t>
  </si>
  <si>
    <t>FA:45.5</t>
  </si>
  <si>
    <t>WT:6.5</t>
  </si>
  <si>
    <t>WT:77.5</t>
  </si>
  <si>
    <t>FA:106.5</t>
  </si>
  <si>
    <t>FA:52.5</t>
  </si>
  <si>
    <t>Wt:9</t>
  </si>
  <si>
    <t>FA:50</t>
  </si>
  <si>
    <t>WT:7.5</t>
  </si>
  <si>
    <t>FA:37</t>
  </si>
  <si>
    <t>WT:12.5</t>
  </si>
  <si>
    <t>FA:34.5</t>
  </si>
  <si>
    <t>WT:4.5</t>
  </si>
  <si>
    <t>FA:28.5</t>
  </si>
  <si>
    <t>WT:12</t>
  </si>
  <si>
    <t>FA:43</t>
  </si>
  <si>
    <t>FA:28</t>
  </si>
  <si>
    <t>FA:34</t>
  </si>
  <si>
    <t>FA:48.5</t>
  </si>
  <si>
    <t>259.  Bonaccorso, F. J.  1998.  Bats of Papua New Guinea.  Conservation International Tropical Field guide Series 2.  Conservation International, Washington D. C.</t>
  </si>
  <si>
    <t>specimens from New Guinea and Australia</t>
  </si>
  <si>
    <t>Ghana and Niger to sauida Arabia, ethiopia, south to namibia, Botswanna and Zimbabwe</t>
  </si>
  <si>
    <t>Senegal, Ivory Coast, NE Zaire</t>
  </si>
  <si>
    <r>
      <t xml:space="preserve">212.  Verheyen, W. N.  1964.  Description of </t>
    </r>
    <r>
      <rPr>
        <i/>
        <sz val="10"/>
        <color indexed="8"/>
        <rFont val="Arial"/>
        <family val="2"/>
      </rPr>
      <t>Lophuromys rahmi</t>
    </r>
    <r>
      <rPr>
        <sz val="10"/>
        <color indexed="8"/>
        <rFont val="Arial"/>
      </rPr>
      <t>a new species of Murdiae from Central Africa.  Revue de Zollogie et de Botanique Africaines  28:  206-213</t>
    </r>
  </si>
  <si>
    <t>142, 213</t>
  </si>
  <si>
    <t>Tamaulipas and Ja;isco (Mexico) to NW Peru, N Argentina and Brazil, Trinidad, cuba</t>
  </si>
  <si>
    <t>W Malaysia, Sumatra and Java, Borneo, SW Philippines, sulawesi and nearby small islands</t>
  </si>
  <si>
    <t>Cheiromeles</t>
  </si>
  <si>
    <t>S Brazil, Argentina and Chile to oregon, s Nebraska and Ohio (USA), Greater and Lesser Antilles</t>
  </si>
  <si>
    <t>Diprotodontidae</t>
  </si>
  <si>
    <t>Hulitherium</t>
  </si>
  <si>
    <t>small; size of Dorcopsulus vanheurni; 3000 ybp</t>
  </si>
  <si>
    <t>S Veracruz (mexico) to E brazil and Peru</t>
  </si>
  <si>
    <t>Jalisco (Mexico) to Peru, N Argentina and Brazil, Jamaica, Cuba, Florida (USA)</t>
  </si>
  <si>
    <t>glaucinus</t>
  </si>
  <si>
    <t>head-body:  128-129mm</t>
  </si>
  <si>
    <t>perotis</t>
  </si>
  <si>
    <r>
      <t xml:space="preserve">265.  Mantooth, S. J. and Best, T. L.  2005.  </t>
    </r>
    <r>
      <rPr>
        <i/>
        <sz val="10"/>
        <color indexed="8"/>
        <rFont val="Arial"/>
        <family val="2"/>
      </rPr>
      <t>Chaetodipus penicillatus</t>
    </r>
    <r>
      <rPr>
        <sz val="10"/>
        <color indexed="8"/>
        <rFont val="Arial"/>
      </rPr>
      <t>.  Mammalian Species No. 767:1-7.  The American Society of Mammalogists.</t>
    </r>
  </si>
  <si>
    <t>63, 70, 266</t>
  </si>
  <si>
    <t>WT:16.5</t>
  </si>
  <si>
    <t>WT:17</t>
  </si>
  <si>
    <t>WT:5</t>
  </si>
  <si>
    <t>64, 130</t>
  </si>
  <si>
    <t>WT:2</t>
  </si>
  <si>
    <t>WT:4</t>
  </si>
  <si>
    <t>WT:70</t>
  </si>
  <si>
    <t>236.  Cain III, J. W., Krausman, P. R. and Germaine, H. L.  2004.  Antidorcas marsupialis.  Mammalian Species No. 753, pp. 1-7.  The American Society of Mammalogists.</t>
  </si>
  <si>
    <t>66, 237</t>
  </si>
  <si>
    <t>http://cons-dev.univ-lyon1.fr/MARMOTTE/MARMOT.EN/SAGA.EN/WORLD.MARMOT/Species/entexthima.html</t>
  </si>
  <si>
    <t>80-100mm, regression</t>
  </si>
  <si>
    <t>239.  Bennett, N. C. and Jarvis, J. U. M. 2004.  Cryptomys damarensis.  Mammalian Species No. 756, pp. 1-5.  The American Society of Mammalogists.</t>
  </si>
  <si>
    <t>234.  Waterman, J. M. and Herron, M. D.  2004.  Xerus princeps.  Mammalian Species No. 751, pp. 1-3.  The American Society of Mammalogists.</t>
  </si>
  <si>
    <t>153, 235</t>
  </si>
  <si>
    <t>60, 163, 226, 130</t>
  </si>
  <si>
    <t>WT:5.5</t>
  </si>
  <si>
    <t>WT:4.3</t>
  </si>
  <si>
    <t>listed as bulteri</t>
  </si>
  <si>
    <t>WT:51</t>
  </si>
  <si>
    <t>WT:21</t>
  </si>
  <si>
    <t>WT:14</t>
  </si>
  <si>
    <t>WT:3</t>
  </si>
  <si>
    <t>WT:6.7</t>
  </si>
  <si>
    <t>132, 60</t>
  </si>
  <si>
    <t>151, 60</t>
  </si>
  <si>
    <t>98-108mm, regression</t>
  </si>
  <si>
    <t>235.  Haynes, M. A. and Lee Jr., T. E. 2004.  Artibeus obscurus.  Mammalian Species No. 752, pp. 1-5.  The American Society of Mammalogists.</t>
  </si>
  <si>
    <t>www.iiasa.ac.at/~sendzim/MammalDataSets/ Trop%20Wet%20Forest%20Mamm.xls</t>
  </si>
  <si>
    <t>24.5 and 36</t>
  </si>
  <si>
    <t>237.  Hunt, J. L., Morris, J. E., and Best, T. L.  2004.  Nyctomys sumichrasti.  Mammalian Species No. 754, pp. 1-6.  The American Society of Mammalogists.</t>
  </si>
  <si>
    <t>sturdeei</t>
  </si>
  <si>
    <t>Sinaloa and Coahuila (Mexico) to Peru, N Argentina, uruguay, brazil and Guinanas, greater and lesser antilles, margarita isl (Venezuela), Curacao and Bonaire (netherlands Antilles); Trinidad and Taboago</t>
  </si>
  <si>
    <t>Molossus</t>
  </si>
  <si>
    <t>molossus</t>
  </si>
  <si>
    <t>217.  Yom-Tov, Y., and Dayan, T.  1996.  Body mass overlap and interspecific interference competition among desert gerbils?  Oikos 75:536-538.</t>
  </si>
  <si>
    <t>168, 60</t>
  </si>
  <si>
    <t>260.  Taylor, P.  1998.  The smaller mammals of KwaZulu-Natal.  University of Natal Press.  Pietermaritzburg</t>
  </si>
  <si>
    <t>257, 121</t>
  </si>
  <si>
    <t>257, 122</t>
  </si>
  <si>
    <t>153, 122</t>
  </si>
  <si>
    <t>68, 122</t>
  </si>
  <si>
    <t>125, 129, 260</t>
  </si>
  <si>
    <t>260, 109</t>
  </si>
  <si>
    <t>135, 260</t>
  </si>
  <si>
    <t>129, 130, 260</t>
  </si>
  <si>
    <t>60, 188, 260</t>
  </si>
  <si>
    <t>223.  Pine, R. H., N. Woodman, and R. M. Timm.  2002.  Rediscovery of Enders’s small-eared shrew, Cryptotis endersi (Insectivora: Soricidae), with a  redescription of the species.  Mammalian Biology  67:372 –377.</t>
  </si>
  <si>
    <t>233.  Jass, C. N. and Mead, J. I.  2004.  Capricornis crispus.  Mammalian Species No. 750, pp. 1-10.  The American Society of Mammalogists.</t>
  </si>
  <si>
    <t>Kenya, Tanzania, S Zaire, Mozambique, Zambia, Zimbabwe, SE Botswana, Swaziland, Transvall (South Africa)</t>
  </si>
  <si>
    <t>http://www.animalinfo.org/species/bat/embadian.htm, 259</t>
  </si>
  <si>
    <t>60, 260</t>
  </si>
  <si>
    <t>106, 260</t>
  </si>
  <si>
    <t>113, 260</t>
  </si>
  <si>
    <t>129, 260</t>
  </si>
  <si>
    <t>60, 129, 260</t>
  </si>
  <si>
    <t>113, 129, 260</t>
  </si>
  <si>
    <t>215.  Burton, J. A., and Pearson, B.  1987.  The collins guide to the rare mammals of the world.  The Stephen Greene Press.  Lexington, Massachusetts.  240pp.</t>
  </si>
  <si>
    <t>26, 58</t>
  </si>
  <si>
    <t>39. 43, 55</t>
  </si>
  <si>
    <t>25, 26, 28, 58</t>
  </si>
  <si>
    <t>1, 23, 58</t>
  </si>
  <si>
    <t>1, 32, 58</t>
  </si>
  <si>
    <t>26, 29, 58</t>
  </si>
  <si>
    <t>35, 43</t>
  </si>
  <si>
    <t>43, 55</t>
  </si>
  <si>
    <t>1, 39, 43</t>
  </si>
  <si>
    <t>36, 37, 58, 112</t>
  </si>
  <si>
    <t>120-160mm</t>
  </si>
  <si>
    <t>11, 39</t>
  </si>
  <si>
    <t>36, 37, 38, 58, 112</t>
  </si>
  <si>
    <t>28, 58</t>
  </si>
  <si>
    <t>British isls, s Scandinavia and W europe to the Volga and Caucasus, morocco, asia minor and israel to kashmir, kazakhstan and sinkiang (China). Perhaps Korea, japan and taiwan</t>
  </si>
  <si>
    <t>N Baja California (Mexico)</t>
  </si>
  <si>
    <t>Ethiopia, Nigeria</t>
  </si>
  <si>
    <t>morrisi</t>
  </si>
  <si>
    <t>233, http://www.traveltaiwan.com/e/em.html</t>
  </si>
  <si>
    <t>204.  Costa, D. P. and Gales, N. J.  2000.  Foraging energetics and diving behavior of lactating New Zealand sea lions, Phocarctos hookeri.  The Journal of Experimental Biology.  203: 3655-3665.</t>
  </si>
  <si>
    <t>regression; head body length: 108mm, tail: 130mm, hindfoot: 20mm</t>
  </si>
  <si>
    <t>238.  Maston, J. O., and McCarthy, T. J.  2004.  Sturnira mordax.  Mammalian Species No. 755, pp. 1-3.  The American Society of Mammalogists.</t>
  </si>
  <si>
    <t>SE Arizona and W Texas (USA) to S Mexico, perhaps Guatemala</t>
  </si>
  <si>
    <t>240.  Hwang, Y. T. and Lariviére, S.  2004.  Mydays marchei.  Mammalian Species No. 757, pp. 1-3.  The American Society of Mammalogists.</t>
  </si>
  <si>
    <t>Guatemala and Belize to Boliva and Amazonian Brazil</t>
  </si>
  <si>
    <t>fischerae</t>
  </si>
  <si>
    <t>S Mexico to Bolivia and S brazil; Trinidad and Tobago; grenada (Lesser Antilles)</t>
  </si>
  <si>
    <t>Artibeus</t>
  </si>
  <si>
    <t>E Panama, Colombia, Venezuela, Guianas, Amazonian Peru and Brazil</t>
  </si>
  <si>
    <t>Lionycteris</t>
  </si>
  <si>
    <r>
      <t xml:space="preserve">181.  Barrioneuvo, F. J., Zurita, F., Burgos, M. and Jimenez, R.  2004.  Developmental stages and growth rate of the mole </t>
    </r>
    <r>
      <rPr>
        <sz val="10"/>
        <color indexed="8"/>
        <rFont val="Arial"/>
      </rPr>
      <t xml:space="preserve">Talpa occidentalis (Insectivora, Mammalia).  Journal of Mammalogy.  85:120-125.  </t>
    </r>
  </si>
  <si>
    <t>241.  Spotorno, A. E., Zuleta, C. A., Valladares, J. P., Deane, A. L., and Jiménez, J. E.  2004.  Chinchilla laniger.  Mammalian Species No. 758, pp. 1-9.  The American Society of Mammalogists.</t>
  </si>
  <si>
    <t>61, 242</t>
  </si>
  <si>
    <t>WT:11</t>
  </si>
  <si>
    <t>WT:1100</t>
  </si>
  <si>
    <t>WT:210</t>
  </si>
  <si>
    <t>WT:300</t>
  </si>
  <si>
    <t>WT:260</t>
  </si>
  <si>
    <t>WT:265</t>
  </si>
  <si>
    <t>WT:61</t>
  </si>
  <si>
    <t>WT:4250</t>
  </si>
  <si>
    <t>65, 130</t>
  </si>
  <si>
    <t>mfa:131, female:123</t>
  </si>
  <si>
    <t>mwt:339, fwt:297.5</t>
  </si>
  <si>
    <t>mwt:254, fwt:114</t>
  </si>
  <si>
    <t>FA:120</t>
  </si>
  <si>
    <t>mwt:131, fwt:84</t>
  </si>
  <si>
    <t>FA: 94.5</t>
  </si>
  <si>
    <t>FA: 73</t>
  </si>
  <si>
    <t>mwt:80, fwt:73</t>
  </si>
  <si>
    <t>mfa:75, ffa:70.5</t>
  </si>
  <si>
    <t>listed as anurus</t>
  </si>
  <si>
    <t>WT:101</t>
  </si>
  <si>
    <t>FA:85</t>
  </si>
  <si>
    <t>WT:102</t>
  </si>
  <si>
    <t>FA:86</t>
  </si>
  <si>
    <t>WT:34</t>
  </si>
  <si>
    <t>FA:53</t>
  </si>
  <si>
    <t>WT:24</t>
  </si>
  <si>
    <t>FA:48</t>
  </si>
  <si>
    <t>wt:22</t>
  </si>
  <si>
    <t>fa:53</t>
  </si>
  <si>
    <t>WT:38</t>
  </si>
  <si>
    <t>WT:13</t>
  </si>
  <si>
    <t>FA:42</t>
  </si>
  <si>
    <t>WT:30</t>
  </si>
  <si>
    <t>FA:61</t>
  </si>
  <si>
    <t>WT:32.5</t>
  </si>
  <si>
    <t>FA:72.5</t>
  </si>
  <si>
    <t>Jake Goheen, 130</t>
  </si>
  <si>
    <t>FA:63.5</t>
  </si>
  <si>
    <t>south africa, Namibia, botswana, zimbabwe, mozambique, perhaps Ghana</t>
  </si>
  <si>
    <t>petrophilus</t>
  </si>
  <si>
    <t>Senegal to Kenya, Zimbabwe and Mozambique; Zanzibar and Pemba</t>
  </si>
  <si>
    <t>Liberia to W Tanzania and south to Angola</t>
  </si>
  <si>
    <t>E Brazil. A guyana record is erronous</t>
  </si>
  <si>
    <t>Seychelles, Aldabra Isl.</t>
  </si>
  <si>
    <t>aldabrensis</t>
  </si>
  <si>
    <t>W Malaysia, Borneo</t>
  </si>
  <si>
    <t>FA:52</t>
  </si>
  <si>
    <t>Diprotodonidae</t>
  </si>
  <si>
    <t>spp</t>
  </si>
  <si>
    <t>258.  Kitchener, D. J., and Maharadtunkamsi. 1996.   Geographic variation in morphology of Cynopterus nusatenggara (Chiroptera; Pteropodidae) in south-eastern Indonesia and description of two new subspecies. Mammalia. Vol:60, page:255-276. 1996 1996. </t>
  </si>
  <si>
    <t>palau Isls</t>
  </si>
  <si>
    <t>Taiwan</t>
  </si>
  <si>
    <t>Leontopithecus</t>
  </si>
  <si>
    <t>bairdii</t>
  </si>
  <si>
    <t>pinchaque</t>
  </si>
  <si>
    <t>lankadiva</t>
  </si>
  <si>
    <t>New Ireland (Bismarck Arch)</t>
  </si>
  <si>
    <t>masalai</t>
  </si>
  <si>
    <t>pselaphon</t>
  </si>
  <si>
    <t>cyclops</t>
  </si>
  <si>
    <t>sagittula</t>
  </si>
  <si>
    <t>Mt Nimba on Guinea-Liberia border, but probably more widespread</t>
  </si>
  <si>
    <t>Negros Isl</t>
  </si>
  <si>
    <t>Malaita Isl (Solomon Isls)</t>
  </si>
  <si>
    <t>malaitensis</t>
  </si>
  <si>
    <t>Cynopterus</t>
  </si>
  <si>
    <t>Phyllostomus</t>
  </si>
  <si>
    <t>218.  McCain, C. M. and R. M. Timm. Sigmodontomys aphrastus (Rodentia: Muridae): Re-evaluation and re-description of the species. For Submittal to Proceedings of the Biological Society of Washington.</t>
  </si>
  <si>
    <t>July-Aug 2004 - added reference 166-218 by SKL.</t>
  </si>
  <si>
    <t>n=2; only 7 known specimens</t>
  </si>
  <si>
    <t>68, 173</t>
  </si>
  <si>
    <t>65-90mm; regression</t>
  </si>
  <si>
    <r>
      <t xml:space="preserve">264.  Álvarez-Castañeda, S. T.  2005.  </t>
    </r>
    <r>
      <rPr>
        <i/>
        <sz val="10"/>
        <color indexed="8"/>
        <rFont val="Arial"/>
        <family val="2"/>
      </rPr>
      <t>Peromyscus winkelmanni</t>
    </r>
    <r>
      <rPr>
        <sz val="10"/>
        <color indexed="8"/>
        <rFont val="Arial"/>
      </rPr>
      <t>.  Mammalian Species No. 765:1-3.  The American Society of Mammalogists.</t>
    </r>
  </si>
  <si>
    <r>
      <t xml:space="preserve">282.  Webala, P. W., Oguge, N. O. and Bekele, A.  2004.  Bat species diversity and distribution in three vegetation communities of Meru National Park, Kenya.  </t>
    </r>
    <r>
      <rPr>
        <i/>
        <sz val="10"/>
        <color indexed="8"/>
        <rFont val="Arial"/>
        <family val="2"/>
      </rPr>
      <t>African Journal of Ecology</t>
    </r>
    <r>
      <rPr>
        <sz val="10"/>
        <color indexed="8"/>
        <rFont val="Arial"/>
      </rPr>
      <t xml:space="preserve"> 42: 171-179.</t>
    </r>
  </si>
  <si>
    <t>MOM Metadata - Date, what and person</t>
  </si>
  <si>
    <t>Brazil, Minas Gerais, Jaboticatubas, Serra do Cipo</t>
  </si>
  <si>
    <t>bokermanni</t>
  </si>
  <si>
    <t>E Brazil</t>
  </si>
  <si>
    <t>dekeyseri</t>
  </si>
  <si>
    <t>S and C Australia, new Guniea</t>
  </si>
  <si>
    <t>Colombia and Venezuela, south to N Argentina and east to E Brazil</t>
  </si>
  <si>
    <t>Venezuela to Bolivia</t>
  </si>
  <si>
    <t>Sturnira</t>
  </si>
  <si>
    <t>erythromos</t>
  </si>
  <si>
    <t>Peru, Ecuador, SE Colombia, Amazonia Brazil</t>
  </si>
  <si>
    <t>Senegal to Yemen, south to South Africa, Bioko, Pemba and Zanzibar, Comoro Isls, Aldabra and Amirante Isls (seychellas), Madagascar</t>
  </si>
  <si>
    <t>phrudus</t>
  </si>
  <si>
    <t>S Sudan, Ethiopia, Kenya</t>
  </si>
  <si>
    <t>Reunion and Mauritius (Mascarene Isls), Madagascar, south Africa, Ethiopia</t>
  </si>
  <si>
    <t>Peru, N Chile</t>
  </si>
  <si>
    <t>Peru</t>
  </si>
  <si>
    <t>Myopterus</t>
  </si>
  <si>
    <t>toltecus</t>
  </si>
  <si>
    <t>Guinanas, Venezuela, N Brazil</t>
  </si>
  <si>
    <t>curasoae</t>
  </si>
  <si>
    <t>South American coasts from Peru to Uruguay; Falkland Isl; occasionally north to coast of Brazil</t>
  </si>
  <si>
    <t>Jamaica</t>
  </si>
  <si>
    <t>China</t>
  </si>
  <si>
    <t>China, Nepal, Sikkim, N Burma</t>
  </si>
  <si>
    <t>Caenolestidae</t>
  </si>
  <si>
    <t>Caenolestes</t>
  </si>
  <si>
    <t>carcinophagus</t>
  </si>
  <si>
    <t>dorcas</t>
  </si>
  <si>
    <t>microdon</t>
  </si>
  <si>
    <t>raviventris</t>
  </si>
  <si>
    <t>Rheomys</t>
  </si>
  <si>
    <t>pygargus</t>
  </si>
  <si>
    <t>Dorcatragus</t>
  </si>
  <si>
    <t>megalotis</t>
  </si>
  <si>
    <t>Gazella</t>
  </si>
  <si>
    <t>fulviventer</t>
  </si>
  <si>
    <t>convelatus</t>
  </si>
  <si>
    <t>Lestoros</t>
  </si>
  <si>
    <t>rufifrons</t>
  </si>
  <si>
    <t>Coelops</t>
  </si>
  <si>
    <t>leucopterus</t>
  </si>
  <si>
    <t>Colombia, Ecuador, Peru and Bolivia to Guianas and E Brazil</t>
  </si>
  <si>
    <t>Rhinophylla</t>
  </si>
  <si>
    <t>W Columbia, W Ecador</t>
  </si>
  <si>
    <t>alethina</t>
  </si>
  <si>
    <t>cultrata</t>
  </si>
  <si>
    <t>SW British Columbia and Iowa (USA) to Peru, N Argentina and Uruguay, Cuba, Jamaica, Hispanila</t>
  </si>
  <si>
    <t>Peru, Bolivia, SE Brazil, French Guiana and Ecuador to Tamaulipas and Sinaloa (Mexico); Trinidad; Grenada (Lesser Antilles)</t>
  </si>
  <si>
    <t>Costa Rica, Panama, Venezuela, Colombia, Ecuador, Peru, Bolivia</t>
  </si>
  <si>
    <t>subniger</t>
  </si>
  <si>
    <t>Solomon Isls, Santa Cruz Isls, Vanikoro Isl</t>
  </si>
  <si>
    <t>obliviosus</t>
  </si>
  <si>
    <t>Bolivia, E Peru, Ecuador and Colombia to Guianas and E brazil</t>
  </si>
  <si>
    <t>jagori</t>
  </si>
  <si>
    <t>Fiji Isls</t>
  </si>
  <si>
    <t>Jalisco, Colima, Michoacan and Guerrero (Mexico)</t>
  </si>
  <si>
    <t>Musonycteris</t>
  </si>
  <si>
    <t>harrisoni</t>
  </si>
  <si>
    <t>C Brazil, S Peru</t>
  </si>
  <si>
    <t>Guianas, Venezuela, N Brazil, C Colombia, Ecuador, Peru, Bolivia</t>
  </si>
  <si>
    <t>W and N Sulawesi</t>
  </si>
  <si>
    <t>villosum</t>
  </si>
  <si>
    <t>crenulatum</t>
  </si>
  <si>
    <t>Venezuela, Guyana, Surinam, Peru, brazil, Bolivia, paraguay, N Argentina</t>
  </si>
  <si>
    <t>abrasus</t>
  </si>
  <si>
    <t>Ecuador</t>
  </si>
  <si>
    <t>S Veracruz (Mexico) to Peru, NE Brazil and Guyana</t>
  </si>
  <si>
    <t>Bolivia and Venezuela to Hidalgo and Chihuahua (Mexico)</t>
  </si>
  <si>
    <t>Venezuela to Tamaulipas and Sinaloa (Mexico); Trinidad and Tabago</t>
  </si>
  <si>
    <t>Centurio</t>
  </si>
  <si>
    <t>tuberculata</t>
  </si>
  <si>
    <t>Madgascar</t>
  </si>
  <si>
    <t>Natalidae</t>
  </si>
  <si>
    <t>Natalus</t>
  </si>
  <si>
    <t>tumidifrons</t>
  </si>
  <si>
    <t>El Salvador, Honduras, Nicaragua</t>
  </si>
  <si>
    <t>Mortlock Isls (C Caroline Isls)</t>
  </si>
  <si>
    <t>phaeocephalus</t>
  </si>
  <si>
    <t>Steppes and deserts of SE Europe, Caucasus, Kazakhstan, Middle Asia; SW Asia (excl. Arabia); N China and S Mongolia</t>
  </si>
  <si>
    <t>fumeus</t>
  </si>
  <si>
    <t>Alopex</t>
  </si>
  <si>
    <t>lagopus</t>
  </si>
  <si>
    <t>phaeotis</t>
  </si>
  <si>
    <t>rex</t>
  </si>
  <si>
    <t>Penang Isl, Tuangku Isl, Borneo (Sarawak and Sabah)</t>
  </si>
  <si>
    <t>India, Burma, China, Thailand, Laos, Vietnam, Malay Peninsula</t>
  </si>
  <si>
    <t>Juan Fernandez and San Felix Isls</t>
  </si>
  <si>
    <t>Egypt &amp; Libya</t>
  </si>
  <si>
    <t>China, Tibet, Burma, India, Bhutan, Nepal</t>
  </si>
  <si>
    <t>regina</t>
  </si>
  <si>
    <t>pales</t>
  </si>
  <si>
    <t>atlas</t>
  </si>
  <si>
    <t>Kangurus</t>
  </si>
  <si>
    <t>Sri Lanka, India, SE Asia, Malysia, Philippines, Nicobar and Andaman Isl, Borneo, Sumatra, Sulawesi, Talaud Isl and adjacent small islands</t>
  </si>
  <si>
    <t>Bolivia and Venezuela to Jalisco and Tamaulipas (Mexico); Arizona (USA); trinidad</t>
  </si>
  <si>
    <t>hartii</t>
  </si>
  <si>
    <t>Curacao, Bonaire and Aruba (Netherlands Antilles), NE Colombia, N Venezuela (inc. Margarita Isl); El Salvador to Arizona and New Mexico (USA)</t>
  </si>
  <si>
    <t>Leptonycteris</t>
  </si>
  <si>
    <t>teniotis</t>
  </si>
  <si>
    <t>E Panama, Colombia, Venezuela, Guianas, Amazonian Brazil, Peru, Bolivia</t>
  </si>
  <si>
    <t>Lonchophylla</t>
  </si>
  <si>
    <t>Peru, Ecuador, Colombia, Venezuela, perhaps Amazonian Brazil</t>
  </si>
  <si>
    <t>Costa Rica to Ecuador, E brazil, perhaps Peru and Bolivia</t>
  </si>
  <si>
    <t>Nicaragua to Venezuela and Ecuador</t>
  </si>
  <si>
    <t>2, 5</t>
  </si>
  <si>
    <t>montivaga</t>
  </si>
  <si>
    <t>theresa</t>
  </si>
  <si>
    <t>unistriata</t>
  </si>
  <si>
    <t>Thylamys</t>
  </si>
  <si>
    <t>elegans</t>
  </si>
  <si>
    <t>macrura</t>
  </si>
  <si>
    <t>velutinus</t>
  </si>
  <si>
    <t>Diprotodontia</t>
  </si>
  <si>
    <t>Borneo, Philippines Mentawai Isl (Indonesia)</t>
  </si>
  <si>
    <t>peurto Rico and Virgin isls (St. John and St. Thomas)</t>
  </si>
  <si>
    <t>Stenoderma</t>
  </si>
  <si>
    <t>rufum</t>
  </si>
  <si>
    <t>Lesser Antilles, from St Eustatius to st Vincent</t>
  </si>
  <si>
    <t>Ardops</t>
  </si>
  <si>
    <t>nichollsi</t>
  </si>
  <si>
    <t>Romerolagus</t>
  </si>
  <si>
    <t>diazi</t>
  </si>
  <si>
    <t>Sylvilagus</t>
  </si>
  <si>
    <t>Protemnodon</t>
  </si>
  <si>
    <t>brehus</t>
  </si>
  <si>
    <t>roechus</t>
  </si>
  <si>
    <t>Simosthenurus</t>
  </si>
  <si>
    <t>brownei</t>
  </si>
  <si>
    <t>maddocki</t>
  </si>
  <si>
    <t>gilli</t>
  </si>
  <si>
    <t>Sthenurus</t>
  </si>
  <si>
    <t>1, 16</t>
  </si>
  <si>
    <t>Ethiopia, Zaire, Uganda, Angola, Naminia, Botswanna, Zimbabwe, Zambia</t>
  </si>
  <si>
    <t>chapini</t>
  </si>
  <si>
    <t>Guinanas, Venezuela, Colombia, N Brazil, Peru</t>
  </si>
  <si>
    <t>Muskeget Isl, off Nantucket, Mass. USA</t>
  </si>
  <si>
    <t>Ethiopia, Sudan, Kenya</t>
  </si>
  <si>
    <t>angola</t>
  </si>
  <si>
    <t>Borneo</t>
  </si>
  <si>
    <t>Hispaniola</t>
  </si>
  <si>
    <t>Russia, China, Burma, Thailand</t>
  </si>
  <si>
    <t>Tawain</t>
  </si>
  <si>
    <t>flaviceps</t>
  </si>
  <si>
    <t>Hemiechinus</t>
  </si>
  <si>
    <t>hypomelas</t>
  </si>
  <si>
    <t>Callithrix</t>
  </si>
  <si>
    <t>argentata</t>
  </si>
  <si>
    <t>ansellorum</t>
  </si>
  <si>
    <t>attila</t>
  </si>
  <si>
    <t>Genetta</t>
  </si>
  <si>
    <t>buettikoferi</t>
  </si>
  <si>
    <t>caliginea</t>
  </si>
  <si>
    <t>cinderella</t>
  </si>
  <si>
    <t>crossei</t>
  </si>
  <si>
    <t>cyanea</t>
  </si>
  <si>
    <t>denti</t>
  </si>
  <si>
    <t>Procyonidae</t>
  </si>
  <si>
    <t>Bassariscus</t>
  </si>
  <si>
    <t>astutus</t>
  </si>
  <si>
    <t>Chrysochloris</t>
  </si>
  <si>
    <t>asiatica</t>
  </si>
  <si>
    <t>gigantea</t>
  </si>
  <si>
    <t>temminckii</t>
  </si>
  <si>
    <t>tetradactyla</t>
  </si>
  <si>
    <t>Sri Lanka; India; Burma; Thailand, Laos, Vietnam, S China; malay Peninsula and adjacent islands; Borneo; sumatra, java, savu isl, Lombok, Sumbawa, Timor, kei isls and sulawesi (Indonesia)</t>
  </si>
  <si>
    <t>melanopogon</t>
  </si>
  <si>
    <t>australia</t>
  </si>
  <si>
    <t>georgianus</t>
  </si>
  <si>
    <t>Sierra Leone to Rwanda, Bioko, perhaps Mozambique and Zanzibar</t>
  </si>
  <si>
    <t>thersites</t>
  </si>
  <si>
    <t>Noctilionidae</t>
  </si>
  <si>
    <t>Cuba, Hispaniola, Puerto Rico, Jamaica, S Bahama Isls</t>
  </si>
  <si>
    <t>Monophyllus</t>
  </si>
  <si>
    <t>redmani</t>
  </si>
  <si>
    <t>Trinidad, Peru, Guianas, Amazonia Brazil</t>
  </si>
  <si>
    <t>Choeroniscus</t>
  </si>
  <si>
    <t>S Mexico to SE Brazil, Bolivia and Peru</t>
  </si>
  <si>
    <t>Chiapas and Campeche (Mexico) to Guianas, E Brazil, Bolivia, Ecuador and E Peru; Trindad</t>
  </si>
  <si>
    <t>panama to Amazonia Brazil, Bolivia and Peru, Trindad</t>
  </si>
  <si>
    <t>Vampyrum</t>
  </si>
  <si>
    <t>Sulawesi, Saleyer isl and Sula Mangoli (Indonesia)</t>
  </si>
  <si>
    <t>Acerodon</t>
  </si>
  <si>
    <t>Surinam, Venezula, Columbia, Trinidad and Tobago, Curacoa and Bonaire (Netherlands Antilles)</t>
  </si>
  <si>
    <t>tumidirostris</t>
  </si>
  <si>
    <t>St. Lawrence Island, Alaska</t>
  </si>
  <si>
    <t>Wrangel isl</t>
  </si>
  <si>
    <t>India &amp; Nepal</t>
  </si>
  <si>
    <t>former Soviet Union</t>
  </si>
  <si>
    <t>Thailand, peninsular Burma, China</t>
  </si>
  <si>
    <t>Burma, Tibet, China</t>
  </si>
  <si>
    <t xml:space="preserve">Ecuador, GALAPAGOS </t>
  </si>
  <si>
    <t>E New Guinea</t>
  </si>
  <si>
    <t>china to Mongolia</t>
  </si>
  <si>
    <t>S Angola, C&amp;N NAMIBIA</t>
  </si>
  <si>
    <t>S&amp;N Namibia</t>
  </si>
  <si>
    <t>S India, Malaysia, Sinapore, Vietnam</t>
  </si>
  <si>
    <t>Indonesia (Boreno, Sumatra)</t>
  </si>
  <si>
    <t>Taiwan, Hainan Isl, China</t>
  </si>
  <si>
    <t>New Guinea</t>
  </si>
  <si>
    <t>S Baja California, nuevo leon and Sonora (mexico) to Brazil, Lesser antilles, Hispaniola, Jamaica, Cuba (subfossil)</t>
  </si>
  <si>
    <t>Brazil, Minas Gerais</t>
  </si>
  <si>
    <t>wakefieldi</t>
  </si>
  <si>
    <t>Cercartetus</t>
  </si>
  <si>
    <t>lepidus</t>
  </si>
  <si>
    <t>concinnus</t>
  </si>
  <si>
    <t>nanus</t>
  </si>
  <si>
    <t>caudatus</t>
  </si>
  <si>
    <t>Burramys</t>
  </si>
  <si>
    <t>Talpidae</t>
  </si>
  <si>
    <t>Arcobatidae</t>
  </si>
  <si>
    <t>palustris</t>
  </si>
  <si>
    <t>levipes</t>
  </si>
  <si>
    <t>pardus</t>
  </si>
  <si>
    <t>Puma</t>
  </si>
  <si>
    <t>burbidgei</t>
  </si>
  <si>
    <t>24, 26</t>
  </si>
  <si>
    <t>Condylura</t>
  </si>
  <si>
    <t>incanus</t>
  </si>
  <si>
    <t>floridanus</t>
  </si>
  <si>
    <t>graysoni</t>
  </si>
  <si>
    <t>insonus</t>
  </si>
  <si>
    <t>nuttallii</t>
  </si>
  <si>
    <t>vagrans</t>
  </si>
  <si>
    <t>Zaire, Rwanda, Burundi</t>
  </si>
  <si>
    <t>Uganda, Zaire</t>
  </si>
  <si>
    <t>Equatorial Guinea</t>
  </si>
  <si>
    <t>Canary Isl</t>
  </si>
  <si>
    <t>Kashmir</t>
  </si>
  <si>
    <t>middle east &amp; china, Mongolia</t>
  </si>
  <si>
    <t>Mozambique, Malawi, Zambia</t>
  </si>
  <si>
    <t>China &amp; Vietnam</t>
  </si>
  <si>
    <t>Falkland Islands</t>
  </si>
  <si>
    <t>Chad, Tibesti region</t>
  </si>
  <si>
    <t>Turkmenistan, Afghanistan, NE Iran, Pakistan</t>
  </si>
  <si>
    <t>albocinereus</t>
  </si>
  <si>
    <t>brachyurus</t>
  </si>
  <si>
    <t>Pseudalopex</t>
  </si>
  <si>
    <t>culpaeus</t>
  </si>
  <si>
    <t>griseus</t>
  </si>
  <si>
    <t>Monodelphis</t>
  </si>
  <si>
    <t>meridensis</t>
  </si>
  <si>
    <t>congrous</t>
  </si>
  <si>
    <t>ventralis</t>
  </si>
  <si>
    <t>veraepacis</t>
  </si>
  <si>
    <t>avia</t>
  </si>
  <si>
    <t>Palorchestes</t>
  </si>
  <si>
    <t>azeal</t>
  </si>
  <si>
    <t>priscus</t>
  </si>
  <si>
    <t>antiquus</t>
  </si>
  <si>
    <t>tindalei</t>
  </si>
  <si>
    <t>merriami</t>
  </si>
  <si>
    <t>milleri</t>
  </si>
  <si>
    <t>China, India, Burma, Indochina, Thailand, Sumatra, Malaya</t>
  </si>
  <si>
    <t>audubonii</t>
  </si>
  <si>
    <t>bachmani</t>
  </si>
  <si>
    <t>cunicularius</t>
  </si>
  <si>
    <t>flavigularis</t>
  </si>
  <si>
    <t>othus</t>
  </si>
  <si>
    <t>Isla Wellington, Chile</t>
  </si>
  <si>
    <t>E Himalaya</t>
  </si>
  <si>
    <t>Madacasgar</t>
  </si>
  <si>
    <t>inca</t>
  </si>
  <si>
    <t>raphanurus</t>
  </si>
  <si>
    <t>equinus</t>
  </si>
  <si>
    <t>Kobus</t>
  </si>
  <si>
    <t>Tadzhikistan, Uzbezistan, Kirghizistan, Kazakhstan</t>
  </si>
  <si>
    <t>China, Nepal, N India</t>
  </si>
  <si>
    <t>West Indies</t>
  </si>
  <si>
    <t>mexico</t>
  </si>
  <si>
    <t xml:space="preserve">S. China, Vietnam, Laos, Cambodia, Thailand, Malay Peninsula (probably introduced to Malay) </t>
  </si>
  <si>
    <t>Sikotan, Daikoku, Rishiri</t>
  </si>
  <si>
    <t>Burma, Thailand, Vietnam, C Laos</t>
  </si>
  <si>
    <t>China, Tibet</t>
  </si>
  <si>
    <t>floridanum</t>
  </si>
  <si>
    <t>mexicanum</t>
  </si>
  <si>
    <t>Honudas, (possibly Guatemala, El Salvador, Nicaraqua)</t>
  </si>
  <si>
    <t>Spain</t>
  </si>
  <si>
    <t>Afghanistan, China, India, Indochina, Japan, Korea, Laos, Nepal, Pakistan, Taiwan, Thailand, Russia (SE Primorski Krai), Vietnam</t>
  </si>
  <si>
    <t>Spain, Portugal, &amp; French side of Pyrenees</t>
  </si>
  <si>
    <t>S Yogoslavia &amp; Greece</t>
  </si>
  <si>
    <t>Indonesia, Java, Lesser Sunda Isls, and Amboina</t>
  </si>
  <si>
    <t>California</t>
  </si>
  <si>
    <t>Roatan Isl (Honduras)</t>
  </si>
  <si>
    <t>allex</t>
  </si>
  <si>
    <t>baileyi</t>
  </si>
  <si>
    <t>bottegi</t>
  </si>
  <si>
    <t>gunnii</t>
  </si>
  <si>
    <t>Callimico</t>
  </si>
  <si>
    <t>goeldii</t>
  </si>
  <si>
    <t>elgonius</t>
  </si>
  <si>
    <t>erica</t>
  </si>
  <si>
    <t>fischeri</t>
  </si>
  <si>
    <t>Paraceros</t>
  </si>
  <si>
    <t>jeffersonii</t>
  </si>
  <si>
    <t>americanum</t>
  </si>
  <si>
    <t>Arctic seas: south as far as New England (USA), Great Britain, Scandinavia, Pribilof Isls, and Honshu (Japan) at least occasionally</t>
  </si>
  <si>
    <t>N Niger, N Nigeria, NE Cameroon</t>
  </si>
  <si>
    <t>Iran, Turkmenistan, Iskander, Uzbekistan</t>
  </si>
  <si>
    <t>Sumatra, Indonesia</t>
  </si>
  <si>
    <t>Thailand</t>
  </si>
  <si>
    <t>Caribbean Sea &amp; Yucatan</t>
  </si>
  <si>
    <t>costa rica</t>
  </si>
  <si>
    <t>panama</t>
  </si>
  <si>
    <t>fulvorufula</t>
  </si>
  <si>
    <t>brumbacki</t>
  </si>
  <si>
    <t>Yemen, Saudi Arabia</t>
  </si>
  <si>
    <t>Russia, Kazakhstan</t>
  </si>
  <si>
    <t>Russia to E Mongolia, NE&amp;C China</t>
  </si>
  <si>
    <t>Turkey, Armenia, Georgia</t>
  </si>
  <si>
    <t>Indonesia, SE Sulawesi</t>
  </si>
  <si>
    <t>Britain and Ireland; N and W Europe to W Siberia, south to Sicily, Sardinia, Corsica, the Elburz Mtns (Iran), and the Caucasus Mtns.</t>
  </si>
  <si>
    <t>Ivory Coast</t>
  </si>
  <si>
    <t>Europe and Asia and middle east</t>
  </si>
  <si>
    <t>N. Africa</t>
  </si>
  <si>
    <t>N Zaire &amp; S Cameroon</t>
  </si>
  <si>
    <t>Siberia</t>
  </si>
  <si>
    <t>SE Victoria Island, Canada</t>
  </si>
  <si>
    <t>W Alaska &amp; Alaskan Peninsula</t>
  </si>
  <si>
    <t>NC Yukon Territory, Canada</t>
  </si>
  <si>
    <t>Mafia and Zanzibar Isls, Africa</t>
  </si>
  <si>
    <t>Burma, Thailand, Laos, S Vietnam, China</t>
  </si>
  <si>
    <t>Chana, Ivory Coast, Liberia</t>
  </si>
  <si>
    <t>Tanzania</t>
  </si>
  <si>
    <t>Transcaucasia</t>
  </si>
  <si>
    <t>cyclotis</t>
  </si>
  <si>
    <t>Uganda, Zaire, NW Burundi</t>
  </si>
  <si>
    <t>female:5800, male:5600</t>
  </si>
  <si>
    <t>female:2900, male:4200</t>
  </si>
  <si>
    <t>Nigeria and Cameroon</t>
  </si>
  <si>
    <t>Malaysia (Sabah, Sarawak)</t>
  </si>
  <si>
    <t>trowbridgii</t>
  </si>
  <si>
    <t>Russia, Mongolia, China</t>
  </si>
  <si>
    <t>microtis</t>
  </si>
  <si>
    <t>Cerdocyon</t>
  </si>
  <si>
    <t>thous</t>
  </si>
  <si>
    <t>Indonesia (Sipora Isl)</t>
  </si>
  <si>
    <t>Cameroon, Equatorial Guinea, Gabon</t>
  </si>
  <si>
    <t>Mentawai Archipelago, Indonesia</t>
  </si>
  <si>
    <t>Zaire &amp; Rwanda</t>
  </si>
  <si>
    <t>SW Kenya, NW Tanzania, Rwanda</t>
  </si>
  <si>
    <t>Ethiopia, Somalia, Djibouti</t>
  </si>
  <si>
    <t>Yemen</t>
  </si>
  <si>
    <t>Castoroides</t>
  </si>
  <si>
    <t>labiatus</t>
  </si>
  <si>
    <t>cochrani</t>
  </si>
  <si>
    <t>mcnowni</t>
  </si>
  <si>
    <t>aristus</t>
  </si>
  <si>
    <t xml:space="preserve">Holmesina </t>
  </si>
  <si>
    <t>Micoureus</t>
  </si>
  <si>
    <t>alstoni</t>
  </si>
  <si>
    <t>rufus</t>
  </si>
  <si>
    <t>Urocyon</t>
  </si>
  <si>
    <t>cinereoargenteus</t>
  </si>
  <si>
    <t>velox</t>
  </si>
  <si>
    <t>Atelocynus</t>
  </si>
  <si>
    <t>breweri</t>
  </si>
  <si>
    <t>spp 1</t>
  </si>
  <si>
    <t>Capromeryx</t>
  </si>
  <si>
    <t>Warenja</t>
  </si>
  <si>
    <t>Afghanistan, Bangladesh, China, India, Indonesia (Sumatra, Java, and Borneo), Iraq, Malaysia, Nepal, Pakistan, Thailand, Vietnam</t>
  </si>
  <si>
    <t>EC Angola</t>
  </si>
  <si>
    <t>Congo</t>
  </si>
  <si>
    <t>auratus</t>
  </si>
  <si>
    <t>Eremotherium</t>
  </si>
  <si>
    <t>rusconii</t>
  </si>
  <si>
    <t>Navahoceros</t>
  </si>
  <si>
    <t>fricki</t>
  </si>
  <si>
    <t>Mammutidae</t>
  </si>
  <si>
    <t>Oman, United Arab Emirates</t>
  </si>
  <si>
    <t>nasuta</t>
  </si>
  <si>
    <t>macrourus</t>
  </si>
  <si>
    <t>Ceratotherium</t>
  </si>
  <si>
    <t>Chrysochloridae</t>
  </si>
  <si>
    <t>Amblysomus</t>
  </si>
  <si>
    <t>obtusirostris</t>
  </si>
  <si>
    <t>Chlorotalpa</t>
  </si>
  <si>
    <t>arendsi</t>
  </si>
  <si>
    <t>oedipus</t>
  </si>
  <si>
    <t>julianae</t>
  </si>
  <si>
    <t>Megatheriidae</t>
  </si>
  <si>
    <t>Leptonychotes</t>
  </si>
  <si>
    <t>weddellii</t>
  </si>
  <si>
    <t>Thailand, Laos, &amp; Peninsular Malaysia</t>
  </si>
  <si>
    <t>Chilean archipelago</t>
  </si>
  <si>
    <t>India, Nepal, Burma, S China, Thailand, Laos, Vietnam</t>
  </si>
  <si>
    <t>Ivory Coast &amp; Liberia</t>
  </si>
  <si>
    <t>Ghana</t>
  </si>
  <si>
    <t>Burma &amp; China</t>
  </si>
  <si>
    <t>Myzopodidae</t>
  </si>
  <si>
    <t>Saint Vincent, Lesser Antilles</t>
  </si>
  <si>
    <t>Panama to Costa Rica</t>
  </si>
  <si>
    <t>Nepal to India, Burma, Thailand, Laos, Cambodia, &amp; Vietnam</t>
  </si>
  <si>
    <t>125-200g; female avg. 150g; male avg. 175g</t>
  </si>
  <si>
    <t>audeberti</t>
  </si>
  <si>
    <t>Middle East</t>
  </si>
  <si>
    <t>Kenya</t>
  </si>
  <si>
    <t>commersoni</t>
  </si>
  <si>
    <t>Little Swan Island (gulf of Honduras)</t>
  </si>
  <si>
    <t>SW France, Pyrenees Mnts. Of France and Spain</t>
  </si>
  <si>
    <t>S Bulgaria, S Yugoslavia, E Greece, W Turkey</t>
  </si>
  <si>
    <t>Haiti, Dominican Republic, La Gonave Island</t>
  </si>
  <si>
    <t>Puerto Rico</t>
  </si>
  <si>
    <t>Bangladesh, Burma, S China, India, Indonesia, Malaysia, Nepal, Pakistan, Sri Lanka, Taiwan, Thailand, and Vietnam</t>
  </si>
  <si>
    <t>Canary Islands</t>
  </si>
  <si>
    <t>NE Turkey</t>
  </si>
  <si>
    <t>Russia, China, Korea</t>
  </si>
  <si>
    <t>Tibet, India, Nepal, China</t>
  </si>
  <si>
    <t>Bangladesk, Bhutan, Burma, China, India, Indonesia, Malaysia, Nepal, PI</t>
  </si>
  <si>
    <t>Scelidodon</t>
  </si>
  <si>
    <t>iolensis</t>
  </si>
  <si>
    <t>11, 12</t>
  </si>
  <si>
    <t>Thylacoleo</t>
  </si>
  <si>
    <t>Switzerland, Austria, Italy, France, Yugoslavia</t>
  </si>
  <si>
    <t>Sakhalin Isl, Russia</t>
  </si>
  <si>
    <t>France, Italy</t>
  </si>
  <si>
    <t>Sicily, Elba</t>
  </si>
  <si>
    <t>Azerbaijan</t>
  </si>
  <si>
    <t>Himalayas from W Nepal to Tibet, India</t>
  </si>
  <si>
    <t>hispaniola</t>
  </si>
  <si>
    <t>China, Burma, India</t>
  </si>
  <si>
    <t>SE Guinea to Ghana</t>
  </si>
  <si>
    <t>France, Spain, Portugal</t>
  </si>
  <si>
    <t>Italy</t>
  </si>
  <si>
    <t>leptonyx</t>
  </si>
  <si>
    <t>Nothrotheriops</t>
  </si>
  <si>
    <t>hershkovitzi</t>
  </si>
  <si>
    <t>Primorski Krai (Russia); Korea; China, west along Himalayan foothills to NW Pakistan; isolates in S India, SE Asia, Taiwan, Sumatra, Java, and Borneo.</t>
  </si>
  <si>
    <t>E Zaire &amp; W Uganda</t>
  </si>
  <si>
    <t>China, India, Pakistan</t>
  </si>
  <si>
    <t>monticolus</t>
  </si>
  <si>
    <t>lagotricha</t>
  </si>
  <si>
    <t>Pithecia</t>
  </si>
  <si>
    <t>lyelli</t>
  </si>
  <si>
    <t>Eulamaops</t>
  </si>
  <si>
    <t>parallelus</t>
  </si>
  <si>
    <t>paradoxa</t>
  </si>
  <si>
    <t>Agalmaceros</t>
  </si>
  <si>
    <t>Charitoceros</t>
  </si>
  <si>
    <t>Stephanorhinus</t>
  </si>
  <si>
    <t>mitchelli</t>
  </si>
  <si>
    <t>sclateri</t>
  </si>
  <si>
    <t>oreopolus</t>
  </si>
  <si>
    <t>Troposodon</t>
  </si>
  <si>
    <t>longirostris</t>
  </si>
  <si>
    <t>depressus</t>
  </si>
  <si>
    <t>elevatus</t>
  </si>
  <si>
    <t>Neosclerocalyptus</t>
  </si>
  <si>
    <t xml:space="preserve">Sumatra, Java, Christmas Isl, Batan Isl., </t>
  </si>
  <si>
    <t>Sumatra, Java, Borneo</t>
  </si>
  <si>
    <t>Sumatra, Borneo, Sunda Shelf</t>
  </si>
  <si>
    <t>Sri Lanka</t>
  </si>
  <si>
    <t>N Pacific from near the Mexico-Guatemala border to British Columbia (Canada); Japan; Galapagos Isls</t>
  </si>
  <si>
    <t>texasensis</t>
  </si>
  <si>
    <t>Steppe and semidesert from Caspian Sea to Kashmir, Transbaikalia, Mongolia, and C China, north to Inner Mongolia and east to Hopei</t>
  </si>
  <si>
    <t>Korea to NE China, Siberia</t>
  </si>
  <si>
    <t>apella</t>
  </si>
  <si>
    <t>capucinus</t>
  </si>
  <si>
    <t>olivaceus</t>
  </si>
  <si>
    <t>Chiropotes</t>
  </si>
  <si>
    <t>stizodon</t>
  </si>
  <si>
    <t>tenellus</t>
  </si>
  <si>
    <t>Islands off the Pacific coast of S California (USA)</t>
  </si>
  <si>
    <t>Peninsular Burma, Malaysia, Thailand</t>
  </si>
  <si>
    <t>Tunisia</t>
  </si>
  <si>
    <t>Sinai</t>
  </si>
  <si>
    <t>Algeria</t>
  </si>
  <si>
    <t>Morenelaphus</t>
  </si>
  <si>
    <t>India, Pakistan</t>
  </si>
  <si>
    <t>Libya</t>
  </si>
  <si>
    <t>Morocco</t>
  </si>
  <si>
    <t>Nigeria, Mali, Niger to Chad, Sudan, Kenya</t>
  </si>
  <si>
    <t xml:space="preserve">N Atlantic and Arctic oceans from E Canada to the White Sea (Russia). </t>
  </si>
  <si>
    <t>Endemic to Lake Baikal (Russia)</t>
  </si>
  <si>
    <t>Glyptodontidae</t>
  </si>
  <si>
    <t>cristata</t>
  </si>
  <si>
    <t>13, 14, 16</t>
  </si>
  <si>
    <t>Nototherium</t>
  </si>
  <si>
    <t>hoyi</t>
  </si>
  <si>
    <t>preblei</t>
  </si>
  <si>
    <t>onca</t>
  </si>
  <si>
    <t>1, 7</t>
  </si>
  <si>
    <t>Ramsaya</t>
  </si>
  <si>
    <t>Phascolomys</t>
  </si>
  <si>
    <t>angustidens</t>
  </si>
  <si>
    <t>2, 7</t>
  </si>
  <si>
    <t>Hipparion</t>
  </si>
  <si>
    <t>libycum</t>
  </si>
  <si>
    <t>Peninsular Malaysia</t>
  </si>
  <si>
    <t>Borneo, Java</t>
  </si>
  <si>
    <t>constantiae</t>
  </si>
  <si>
    <t>Megaloceros</t>
  </si>
  <si>
    <t>algericus</t>
  </si>
  <si>
    <t>Metridiochoerus</t>
  </si>
  <si>
    <t>6, 13, 16</t>
  </si>
  <si>
    <t>13, 16</t>
  </si>
  <si>
    <t>Euowenia</t>
  </si>
  <si>
    <t>grata</t>
  </si>
  <si>
    <t>Mixotoxodon</t>
  </si>
  <si>
    <t>Glyptodon</t>
  </si>
  <si>
    <t>clavipes</t>
  </si>
  <si>
    <t>reticulatus</t>
  </si>
  <si>
    <t>Hoplophorus</t>
  </si>
  <si>
    <t>noctivagus</t>
  </si>
  <si>
    <t>parvidens</t>
  </si>
  <si>
    <t>Metachirus</t>
  </si>
  <si>
    <t>nudicaudatus</t>
  </si>
  <si>
    <t>Parascalops</t>
  </si>
  <si>
    <t>China, Indonesia (Sumatra, Rhio-Lingga Arch., Bangka Isl, Borneo, Karimata Isl, Sulawesi, Buru, Amboina), Cambodia, Malaysia, Philippines, Thailand. Introduced to many SE Asian Islands.</t>
  </si>
  <si>
    <t>Gambia, Ghana, Ivory Coast, Niger, Nigeria, Senegal, Sierra Leone, Togo</t>
  </si>
  <si>
    <t>Mormopterus</t>
  </si>
  <si>
    <t>jugularis</t>
  </si>
  <si>
    <t>acetabulosus</t>
  </si>
  <si>
    <t>Sumatra, java, Metawi Isls</t>
  </si>
  <si>
    <t>Tadarida</t>
  </si>
  <si>
    <t>fulminans</t>
  </si>
  <si>
    <t>Sumatra (indonesia)</t>
  </si>
  <si>
    <t>Ethopia</t>
  </si>
  <si>
    <t>Pantelleria Isl</t>
  </si>
  <si>
    <t>Japan, Sri Lanka, Hainan Isl, Taiwan</t>
  </si>
  <si>
    <t>Sudan, Senegal, Ivory coast</t>
  </si>
  <si>
    <t>Ural Mtns to Siberia, Kamchatka, Sakhalin (Russia); Mongolia; Sinkiang and NE China; N Korea; Hokkaido (Japan); originally west to N Scandanavia and W Poland</t>
  </si>
  <si>
    <t>SE Alaska to California (USA) and Baja California (Mexico)</t>
  </si>
  <si>
    <t>Mediterranean and Black Seas; NW Africa to Cape Blanc</t>
  </si>
  <si>
    <t>Umnak and Unalask Islands, Alaska</t>
  </si>
  <si>
    <t>lagotis</t>
  </si>
  <si>
    <t>Calcochloris</t>
  </si>
  <si>
    <t>Rhinocerotidae</t>
  </si>
  <si>
    <t>rossii</t>
  </si>
  <si>
    <t>Mirounga</t>
  </si>
  <si>
    <t>leonina</t>
  </si>
  <si>
    <t>stuhlmanni</t>
  </si>
  <si>
    <t>lujanensis</t>
  </si>
  <si>
    <t>Mammut</t>
  </si>
  <si>
    <t>Andaman Isls, Bay of Bengal</t>
  </si>
  <si>
    <t>peninsular India, Nepal, Pakistan</t>
  </si>
  <si>
    <t>Cervalces</t>
  </si>
  <si>
    <t>Burma, Cambodia, China (Anhui, Shaanxi, Zhejiang and Jiangsu), India, Indonesia, Laos, Western Malaysia, Nepal, Thailand, Vietnam</t>
  </si>
  <si>
    <t>Saudi Arabia, Kuwait, S. Iraq (extinct in wild)</t>
  </si>
  <si>
    <t>India</t>
  </si>
  <si>
    <t>dupreanum</t>
  </si>
  <si>
    <t>E Kazakhstan, S and SE Siberia, Primorski Krai (Russia); Mongolia; Tibet, W and N China; Korea</t>
  </si>
  <si>
    <t>Molossidae</t>
  </si>
  <si>
    <t>Vietnam, Cambodia, Laos, Thailand, China, Burma</t>
  </si>
  <si>
    <t>Angola and S Zaire</t>
  </si>
  <si>
    <t>South Andaman Isl</t>
  </si>
  <si>
    <t>Cuba</t>
  </si>
  <si>
    <t>Java</t>
  </si>
  <si>
    <t>Sumatra</t>
  </si>
  <si>
    <t>Sulawesi</t>
  </si>
  <si>
    <t>Iran, Pakistan, Afghanistan</t>
  </si>
  <si>
    <t>NE Sinai Peninsula</t>
  </si>
  <si>
    <t>Sudan &amp; Kenya</t>
  </si>
  <si>
    <t>Sudan</t>
  </si>
  <si>
    <t>albinasus</t>
  </si>
  <si>
    <t>satanas</t>
  </si>
  <si>
    <t>Lagothrix</t>
  </si>
  <si>
    <t>insulatus</t>
  </si>
  <si>
    <t>neogeus</t>
  </si>
  <si>
    <t>carnifex</t>
  </si>
  <si>
    <t>Peramelemorphia</t>
  </si>
  <si>
    <t>Peramelidae</t>
  </si>
  <si>
    <t>Perameles</t>
  </si>
  <si>
    <t>bougainville</t>
  </si>
  <si>
    <t>Macrotis</t>
  </si>
  <si>
    <t>leucura</t>
  </si>
  <si>
    <t>Isoodon</t>
  </si>
  <si>
    <t>Equidae</t>
  </si>
  <si>
    <t>Equus</t>
  </si>
  <si>
    <t>asinus</t>
  </si>
  <si>
    <t>caballus</t>
  </si>
  <si>
    <t>grevyi</t>
  </si>
  <si>
    <t>Temperate and subarctic waters around Britain, Canada (Newfoundland area), Iceland, Greenland, Norway, Russia (Kola Peninsula), and Baltic Sea.</t>
  </si>
  <si>
    <t>Himalayas in NW Pakistan, India, Nepal, Tibet</t>
  </si>
  <si>
    <t>Afghanistan, Pakistan, Iran, Armenia, Turkmenia</t>
  </si>
  <si>
    <t>S India</t>
  </si>
  <si>
    <t>Asiatic Turkey</t>
  </si>
  <si>
    <t>crete</t>
  </si>
  <si>
    <t>Cyprus</t>
  </si>
  <si>
    <t>extinct before 2000 ybp, made it to holocene; Australian weight for T. cynocephalus</t>
  </si>
  <si>
    <t>75-200Kg; 38600 +- 500 ybp</t>
  </si>
  <si>
    <t>SE Costa Rica and Panama</t>
  </si>
  <si>
    <t>Afghanistan, Bangladesh, Bhutan, Burma, Cambodia, China, India, Indonesia, Malaysia, Nepal, Pakistan, Thailand, Vietnam. Introduced to Cuba, Dominican Republic, Fiji Isls, Hawaiian Isls, Jamacia, Japan, Puerto Rico, Surinam, West Indies, and many other tropical regions</t>
  </si>
  <si>
    <t>South Africa (Transvaal), possibly Mozambique</t>
  </si>
  <si>
    <t>Great Nicobar Isl</t>
  </si>
  <si>
    <t>South Africa</t>
  </si>
  <si>
    <t>S. China</t>
  </si>
  <si>
    <t>Central African Republic</t>
  </si>
  <si>
    <t>Indonesia; E. Timor</t>
  </si>
  <si>
    <t>Uganda</t>
  </si>
  <si>
    <t>Crete</t>
  </si>
  <si>
    <t>Panama</t>
  </si>
  <si>
    <t>Santa Margarita Island</t>
  </si>
  <si>
    <t>NE Spain, France; disjunct populations throughout Europe to the Irtysh and Ob Rivers (Russia, Kazakhstan)</t>
  </si>
  <si>
    <t>Ivory Coast, Equatorical Guinea</t>
  </si>
  <si>
    <t>Glyptotherium</t>
  </si>
  <si>
    <t>13, 14</t>
  </si>
  <si>
    <t>Diprotodon</t>
  </si>
  <si>
    <t>Nothrotherium</t>
  </si>
  <si>
    <t>Ocnopus</t>
  </si>
  <si>
    <t>EA</t>
  </si>
  <si>
    <t>Madagascar</t>
  </si>
  <si>
    <t>Insular</t>
  </si>
  <si>
    <t>Madacascar</t>
  </si>
  <si>
    <t>Ussuri region (Russia), Korea, China, Japan, and N Indochina</t>
  </si>
  <si>
    <t>hottentotus</t>
  </si>
  <si>
    <t>iris</t>
  </si>
  <si>
    <t>S Peru, W Bolivia, NW Argentina</t>
  </si>
  <si>
    <t>Indonesia</t>
  </si>
  <si>
    <t>E china</t>
  </si>
  <si>
    <t>11, 16</t>
  </si>
  <si>
    <t>Euryzygoma</t>
  </si>
  <si>
    <t>Kurile Isls and Kamchatka (Russia); south to Kiangsu (China); Alaska to Mexico; Greenland and E Canada to NE USA; Iceland; Britain and Europe; Seal Lakes, Ungava Peninsula (Canada); Iliamna Lake, Alaska (USA).</t>
  </si>
  <si>
    <t>Cuvieronius</t>
  </si>
  <si>
    <t>tripartitus</t>
  </si>
  <si>
    <t>crenata</t>
  </si>
  <si>
    <t>Guadalupe Islands, Channel Isls</t>
  </si>
  <si>
    <t>S. Zaire</t>
  </si>
  <si>
    <t>Somalia</t>
  </si>
  <si>
    <t>China, India</t>
  </si>
  <si>
    <t>Steppes and subdeserts of E Europe, and republics of the former USSR; Mongolia; W, C and NE China.</t>
  </si>
  <si>
    <t>between Tana River (Kenya) and Shebele River (Somalia)</t>
  </si>
  <si>
    <t>Middle Andaman Isl</t>
  </si>
  <si>
    <t>Cameroon</t>
  </si>
  <si>
    <t>given full spp. Status; was subspp.</t>
  </si>
  <si>
    <t>Coiba Island, Panama</t>
  </si>
  <si>
    <t>N Angola, Zaire, Cameroon, Central African Repulic</t>
  </si>
  <si>
    <t>Bangladesh, Thailand, Vietnam, Cambodia, Laos, Malay Peninsula</t>
  </si>
  <si>
    <t>Sulawesi (Indonesia)</t>
  </si>
  <si>
    <t>Phillipines</t>
  </si>
  <si>
    <t>Malay Peninsula</t>
  </si>
  <si>
    <t>Turkey &amp; Iran</t>
  </si>
  <si>
    <t>china</t>
  </si>
  <si>
    <t>Korea</t>
  </si>
  <si>
    <t>SE Kenya, NE Tanzania</t>
  </si>
  <si>
    <t>Malawi, Tanzania, Mozambique, SE Zimbabwe</t>
  </si>
  <si>
    <t>gleni</t>
  </si>
  <si>
    <t>1, 11</t>
  </si>
  <si>
    <t>Bangladesh, Burma, Cambodia, China (Hainan Dao north to Hopei, Shanxi and the vicinity of Beijing), India (and S Andaman Isls), Indonesia (N Borneo, Sumatra), Japan (introduced), Laos, Malaysia, Nepal, Pakistan, Singapore, Taiwan, Thailand, Vietnam.</t>
  </si>
  <si>
    <t>Vampyressa</t>
  </si>
  <si>
    <t>Guianas to Colombia to Peru, N Bolivia, Amazonian Brazil</t>
  </si>
  <si>
    <t>Solomon Isls</t>
  </si>
  <si>
    <t>N Angola, SE Zaire</t>
  </si>
  <si>
    <t>Sierra Leone to Uganada, south to nagola and Zambia; Bioko</t>
  </si>
  <si>
    <t>Myonycteris</t>
  </si>
  <si>
    <t>torquata</t>
  </si>
  <si>
    <t>Guinea-Bissau to Somalia, south to Namibia and South Africa, madagascar</t>
  </si>
  <si>
    <t>santaeelenae</t>
  </si>
  <si>
    <t>Onohippidium</t>
  </si>
  <si>
    <t>Caipora</t>
  </si>
  <si>
    <t>bambuiorum</t>
  </si>
  <si>
    <t>Lomaphorus</t>
  </si>
  <si>
    <t>Neothoracophorus</t>
  </si>
  <si>
    <t>Afghanistan, Bhutan, China, India, Mongolia, Nepal, Pakistan, republics of the former USSR</t>
  </si>
  <si>
    <t>arctic ocean</t>
  </si>
  <si>
    <t>Okhotsk, W Bering, Chukchiand Japan Seas</t>
  </si>
  <si>
    <t>Hippidion</t>
  </si>
  <si>
    <t>saldiasi</t>
  </si>
  <si>
    <t>principale</t>
  </si>
  <si>
    <t>AUS</t>
  </si>
  <si>
    <t>Sicily, Egadi Isl, Gozo (Malta)</t>
  </si>
  <si>
    <t>Pakistan, India, Afghanistan</t>
  </si>
  <si>
    <t>mass ranges from 30-100g across it's range (mammals of madagascar)</t>
  </si>
  <si>
    <t>Nepal, Vietnam, S China</t>
  </si>
  <si>
    <t>Ukrain, Czech Republic, Slovakia, Poland</t>
  </si>
  <si>
    <t>Coastal Yugoslavia to Greece</t>
  </si>
  <si>
    <t>Turkmenistan, Afghanistan, Iran</t>
  </si>
  <si>
    <t>Burma</t>
  </si>
  <si>
    <t>China, India, Nepal, Tibet</t>
  </si>
  <si>
    <t>Chiroptera</t>
  </si>
  <si>
    <t>furculus</t>
  </si>
  <si>
    <t>NE Angola, S &amp; E Zaire, Rwanda, Burundi, NE Zambia, SE Kenya, E Tanzania</t>
  </si>
  <si>
    <t>Iran</t>
  </si>
  <si>
    <t>Cuba &amp; Isla Juventud</t>
  </si>
  <si>
    <t>Mongolia, China, Iran, Afghanistan</t>
  </si>
  <si>
    <t>Sierra de Juarez, NC Oaxaca, Mexico</t>
  </si>
  <si>
    <t>Veracruz Mexico</t>
  </si>
  <si>
    <t>Commander Isl, Bering Isl, Bering Sea</t>
  </si>
  <si>
    <t>Costa Rica</t>
  </si>
  <si>
    <t>Zaire, Zambia, Zimbabwe, Transvaal of South Africa, Mozambique, Tanzania</t>
  </si>
  <si>
    <t>190-230g; female avg. 200g; male avg. 225g</t>
  </si>
  <si>
    <t>maggietaylorae</t>
  </si>
  <si>
    <t>muscinus</t>
  </si>
  <si>
    <t>padre Isl, Mustang Isl, Texas; barrier isl of N Tamaulipas, Mexico</t>
  </si>
  <si>
    <t>obesulus</t>
  </si>
  <si>
    <t>Lestodon</t>
  </si>
  <si>
    <t>Valgipes</t>
  </si>
  <si>
    <t>mirifica</t>
  </si>
  <si>
    <t>Nothropus</t>
  </si>
  <si>
    <t>howensis</t>
  </si>
  <si>
    <t>patrizii</t>
  </si>
  <si>
    <t>Rhinopoma</t>
  </si>
  <si>
    <t>muscatellum</t>
  </si>
  <si>
    <t>Guniea, Sierra Leone, Liberia</t>
  </si>
  <si>
    <t>Burma to Morocco, south to mauritania, Nigeria and kenya; Socotra Isl (Yemen)</t>
  </si>
  <si>
    <t>hardwickei</t>
  </si>
  <si>
    <t>Japan (including Ryukyu Isls) perhaps SE China</t>
  </si>
  <si>
    <t>cornutus</t>
  </si>
  <si>
    <t>brachypterus</t>
  </si>
  <si>
    <t>Peninsular Malaysia and Thailand</t>
  </si>
  <si>
    <t>Kazakhstan, Kirgizia</t>
  </si>
  <si>
    <t>65-115g; E. tanala &amp; E. Majori are biggest members of the genus</t>
  </si>
  <si>
    <t>Pipistrellus</t>
  </si>
  <si>
    <t>Rousettus</t>
  </si>
  <si>
    <t>Bulgaria, Thrace, Turkey</t>
  </si>
  <si>
    <t>Maylay Peninsula</t>
  </si>
  <si>
    <t>Mentawi Isl, Indonesia</t>
  </si>
  <si>
    <t>Hydrurga</t>
  </si>
  <si>
    <t>Gomphotheriidae</t>
  </si>
  <si>
    <t>Zambia, Malawi, &amp; Tanzania</t>
  </si>
  <si>
    <t>Angola, Zambia, Zaire</t>
  </si>
  <si>
    <t>NE Angola &amp; SW Zaire</t>
  </si>
  <si>
    <t>Nepal, tibet, Burma, India, Bhutan</t>
  </si>
  <si>
    <t>Boreno and Banggi Isls</t>
  </si>
  <si>
    <t>Miniopterus</t>
  </si>
  <si>
    <t>Japan, Quelpart Isl., Taiwan</t>
  </si>
  <si>
    <t>Vietnam, Laos</t>
  </si>
  <si>
    <t>Oman</t>
  </si>
  <si>
    <t>Himalayas of N. Afghanistan, N Pakistan, N India &amp; Nepal, C tibet to C China</t>
  </si>
  <si>
    <t>Tunisia &amp; Libya</t>
  </si>
  <si>
    <t>Nepal to China, &amp; N Indochina</t>
  </si>
  <si>
    <t>Laos, C Burma</t>
  </si>
  <si>
    <t>Eudiscopus</t>
  </si>
  <si>
    <t>denticulus</t>
  </si>
  <si>
    <t>Asellia</t>
  </si>
  <si>
    <t>Afghanistan, Pakistan, India, Sri Lanka, Nepal, Bhutan, Burma, China, Taiwan, Japan, continental and peninsular Indomalayan Region</t>
  </si>
  <si>
    <t>Superagui Isl, Brazil</t>
  </si>
  <si>
    <t>NW Hawaiin Isls</t>
  </si>
  <si>
    <t>Burma, China (Yunnan and Szechwan), India, Indonesia (Sumatra, Borneo), Laos, Taiwan, Malaysia, Thailand, Vietnam.</t>
  </si>
  <si>
    <t>laurentius</t>
  </si>
  <si>
    <t>alaskae</t>
  </si>
  <si>
    <t>niobrarensis</t>
  </si>
  <si>
    <t>copei</t>
  </si>
  <si>
    <t>lasallei</t>
  </si>
  <si>
    <t>flavicauda</t>
  </si>
  <si>
    <t>Liberia to uganada, S Zaire and N Angola, Bioko</t>
  </si>
  <si>
    <t>Megaloglossus</t>
  </si>
  <si>
    <t>woermanni</t>
  </si>
  <si>
    <t>Florida and Choiseul Isls (Solomon Isls)</t>
  </si>
  <si>
    <t>Melonycteris</t>
  </si>
  <si>
    <t>aurantius</t>
  </si>
  <si>
    <t>Zaire, Zambia, Malawi, Botswanna, zimbabawe, Transvaal (South Africa)</t>
  </si>
  <si>
    <t>kusnotoi</t>
  </si>
  <si>
    <t>Aru Isl, Buru, Amboina, Seram and Timor Laut Isls, Kei isls, halmahera and Sulaesi (Indonesia); New Guinea; Bismarck Arch; adjacent small islands</t>
  </si>
  <si>
    <t>New Zealand and adjacent small islands</t>
  </si>
  <si>
    <t>kenya, tanzania, zaire, congo republic, madagascar, sao tome isls, comoro isls</t>
  </si>
  <si>
    <t>Philippines, borneo and java, southeast to Vanuatu (New Hebrides) and E australia</t>
  </si>
  <si>
    <t>Angola, Burundi</t>
  </si>
  <si>
    <t>Brazil, Franch Guinana, Panama</t>
  </si>
  <si>
    <t>egregius</t>
  </si>
  <si>
    <t>Pemba Isls</t>
  </si>
  <si>
    <t>voeltzkowi</t>
  </si>
  <si>
    <t>salimalii</t>
  </si>
  <si>
    <r>
      <t>BATS</t>
    </r>
    <r>
      <rPr>
        <sz val="10"/>
        <color indexed="8"/>
        <rFont val="Arial"/>
      </rPr>
      <t xml:space="preserve">: Data are averaged across continents, thus each species appears only once. These data are averaged across gender when both were available; otherwise female mass is used in preference to male mass </t>
    </r>
  </si>
  <si>
    <t>AF</t>
  </si>
  <si>
    <t>silvicola</t>
  </si>
  <si>
    <t>Oaxaca and Veracruz (Mexico) to Bolivia and Guianas; paraguay and SE Brazil</t>
  </si>
  <si>
    <t>China, Nepal, India, Pakistan, Afghanistan, Kirghizistan, Tadzhikistan, Kazakhstan</t>
  </si>
  <si>
    <t>Isle of Youth, near Cuba</t>
  </si>
  <si>
    <t>Senegal</t>
  </si>
  <si>
    <t>Coiba Isl</t>
  </si>
  <si>
    <t>Peninsular India, Nepal, C Burma</t>
  </si>
  <si>
    <t>Angola, Zaire</t>
  </si>
  <si>
    <t>Megalonyx</t>
  </si>
  <si>
    <t>Mauritania</t>
  </si>
  <si>
    <t>Chiapas (Mexico) and Belize to N Argentina, Paraguay and Brazil; Trindad</t>
  </si>
  <si>
    <t>honduras-N argentina</t>
  </si>
  <si>
    <t>Bangladesh to Vietnam; Yunnan, Kwangsi and hainana (China); and through W malaysia to Sumatra, java Borneo and Sumba (Indonesia) and adjacent small islands</t>
  </si>
  <si>
    <t>lekaguli</t>
  </si>
  <si>
    <t>Sumatra, Java, Borneo, (Indonesia)</t>
  </si>
  <si>
    <t>Tibet, China</t>
  </si>
  <si>
    <t>Mentawai Isls, Indonesia</t>
  </si>
  <si>
    <t>Equatorial Guinea &amp; Cameroon</t>
  </si>
  <si>
    <t>Russia (Tataria, Dalnevostochny Rayon), Ural Mtns, Siberia; Pakistan east to N Burma; N Thailand; Taiwan; China; Korea; Japan; introduced to Sakhalin, Russia</t>
  </si>
  <si>
    <t>2, 9, 10</t>
  </si>
  <si>
    <t>Sclerocalyptus</t>
  </si>
  <si>
    <t>Bangladesh, Burma, China, India, Indonesia, Laos, Malaysia, Thailand, Vietnam</t>
  </si>
  <si>
    <t>myloides</t>
  </si>
  <si>
    <t>Sulawesi, Muluccas and nearby islands</t>
  </si>
  <si>
    <t>viridis</t>
  </si>
  <si>
    <t>Sulawesi and adjacent small islands</t>
  </si>
  <si>
    <t>exoleta</t>
  </si>
  <si>
    <t>Ontong Java Isl (Solomon Isls)</t>
  </si>
  <si>
    <t>Halmahera Isls (Indonesia)</t>
  </si>
  <si>
    <t>New Caledonia</t>
  </si>
  <si>
    <t>Guam</t>
  </si>
  <si>
    <t>Australia, Queensland, Percy Isl</t>
  </si>
  <si>
    <t>Banks Isls (N Vanuatu)</t>
  </si>
  <si>
    <t>fundatus</t>
  </si>
  <si>
    <t>Seram and Buru (Indonesia)</t>
  </si>
  <si>
    <t>peroni</t>
  </si>
  <si>
    <t>coelophyllus</t>
  </si>
  <si>
    <t>Uganda, Kenya, Tazania, Zanzibar and Pemba</t>
  </si>
  <si>
    <t>deckenii</t>
  </si>
  <si>
    <t>guineensis</t>
  </si>
  <si>
    <t>Iriomote Isl (Ryukyu Isls)</t>
  </si>
  <si>
    <t>subrufus</t>
  </si>
  <si>
    <t>South Africa to S zaire and Zanzibar</t>
  </si>
  <si>
    <t>swinnyi</t>
  </si>
  <si>
    <t>Cambodia, Thailand</t>
  </si>
  <si>
    <t>rosseti</t>
  </si>
  <si>
    <t>Assam (India), Nepal, Vietnam, Burma</t>
  </si>
  <si>
    <t>tridens</t>
  </si>
  <si>
    <t>gabon, congo republic</t>
  </si>
  <si>
    <t>SE New Guniea, Queensland, New South Wales (australia)</t>
  </si>
  <si>
    <t>muricola</t>
  </si>
  <si>
    <t>Burma, Thailand, S Vietnam, Malaysia</t>
  </si>
  <si>
    <t>63, 70</t>
  </si>
  <si>
    <t>Emballonuridae</t>
  </si>
  <si>
    <t>Emballonura</t>
  </si>
  <si>
    <t>SW Canada and Montana (USA) to Queretaro (Mexico)</t>
  </si>
  <si>
    <t>Euderma</t>
  </si>
  <si>
    <t>maculatum</t>
  </si>
  <si>
    <t>Panama, N and W Colombia, N Venezuela</t>
  </si>
  <si>
    <t>siligorensis</t>
  </si>
  <si>
    <t>Borneo, Malay Peninsula</t>
  </si>
  <si>
    <t>Anamba and North Natuna Isls (Indonesia)</t>
  </si>
  <si>
    <t>Borneo, Java, Bali, sulawesi and Lesser Sunda Isls, samar Isl (Philippines)</t>
  </si>
  <si>
    <t>Tres Marias Isls, Jalisco, Veracruz and Chiapas (mexico), Belize, Honduras, Coasta Rica</t>
  </si>
  <si>
    <t>Pakistan to Arabia, sinai peninsula (NE egypt) and Israel; Egypt to Morocco, Senegal, Chad, Sudan and S Somalia; Socotra (Yemen); perhaps Zanzibar</t>
  </si>
  <si>
    <t>pellucida</t>
  </si>
  <si>
    <t>Antrozous</t>
  </si>
  <si>
    <t>nereis</t>
  </si>
  <si>
    <t>Yunnan (China)</t>
  </si>
  <si>
    <t>ethiopia, somalia, kenya, uganda, e and s Zaire, cameroon, gabon, mozambique, burundi, liberia perhaps nigeria</t>
  </si>
  <si>
    <t>Transvaal (South Africa) to s zaire; Ethiopia; Somalia; Morocco; algeria; Tunisia; Turkey; Yemen; Israel; Jordan; Syria; Iran; Yugoslavia; albania; bulgaria; rumania; Tanscaucasia and turkmenistan; afghanistan; Pakistan; italy; Greece; Cyprus</t>
  </si>
  <si>
    <t>blasii</t>
  </si>
  <si>
    <t>Megaerops</t>
  </si>
  <si>
    <t>dasymallus</t>
  </si>
  <si>
    <t>inops</t>
  </si>
  <si>
    <t>Borneo, Sumatra, W Malaysia, Thailand perhaps Vietman</t>
  </si>
  <si>
    <t>Thailand, Vietnam, NE India</t>
  </si>
  <si>
    <t>Capr Prov., Natal (South Africa); Zimbabwe; Mozambique.</t>
  </si>
  <si>
    <t>India to S China through Malaysia to Borneo and Lesser Sunda Isls; adaman Isls (Inida); perhaps sri Lanka</t>
  </si>
  <si>
    <t>woodfordi</t>
  </si>
  <si>
    <t>Comoro Isls</t>
  </si>
  <si>
    <t>livingstonei</t>
  </si>
  <si>
    <t>niphanae</t>
  </si>
  <si>
    <t xml:space="preserve">Aru Isls, Kei Isls, Amboina, Buru, Seram, Banda Isls, Timor Laut and adjacent Isls (Indonesia) </t>
  </si>
  <si>
    <t>SW and SE Australia, including Tasmania</t>
  </si>
  <si>
    <t>Senegal to Kenya, south to angola and Zaire</t>
  </si>
  <si>
    <t>tenuipinnis</t>
  </si>
  <si>
    <t>Guniea to Ethiopia, south to south Africa, madasgcar</t>
  </si>
  <si>
    <t>botswanae</t>
  </si>
  <si>
    <t>Hungary, rumania, Yugoslavia, Bulgaria, Crimea, Ukraine</t>
  </si>
  <si>
    <t xml:space="preserve"> Kenya</t>
  </si>
  <si>
    <t>philippines, sulawesi, new guniea, bismarck arch, solomon isls, vanuatu (New Hebrides)</t>
  </si>
  <si>
    <t>N India, Burma, szechwan, Anhwei and Fukien (China) to Vietnam; Thailand; w Malaysia</t>
  </si>
  <si>
    <t>Thailand to Philippines, New Guinea, Bismarck Arch (Papua N Guinea) Solomon Isls and N Australia</t>
  </si>
  <si>
    <t>Afghanistan, Bangladesh, Burma, Cambodia, China, India, Indonesia, Japan (Tsushima and Iriomote Isls), Korea, Laos, Malaysia, Nepal, Pakistan, Philippine Isls, Taiwan, Thailand, republics of the former USSR, and Vietnam</t>
  </si>
  <si>
    <t>Meixco &amp; Gyatemala</t>
  </si>
  <si>
    <t>Senegal and Angola to Ethiopia and Mozambique, Bioko</t>
  </si>
  <si>
    <t>Afghanistan to Kweichow, Kwangsi, Kiangsu and Fukien (China), Taiwan, Korea, Tsushima Isl (Japan), Philippines, Sumatra, Java, Sulawesi and Bali</t>
  </si>
  <si>
    <t>Sri lanka and India to S china and vietnam</t>
  </si>
  <si>
    <t>rouxi</t>
  </si>
  <si>
    <t>dwyeri</t>
  </si>
  <si>
    <t>Senegal to Uganda, Bioko</t>
  </si>
  <si>
    <t>Southern Australia, Tasmania</t>
  </si>
  <si>
    <t>S Thailand, W Malaysia, Sumatra, Borneo</t>
  </si>
  <si>
    <t>Cambodia, Thailand, Malay Peninsula through Indonesia to New Guinea, Bismarck Arch and Solomon Isls, Timor Isls</t>
  </si>
  <si>
    <t>Sulawesi, C Moluccas</t>
  </si>
  <si>
    <t>Santa Cruz Isls</t>
  </si>
  <si>
    <t>sanctacrucis</t>
  </si>
  <si>
    <t>Luzon (Philippines)</t>
  </si>
  <si>
    <t>Otopteropus</t>
  </si>
  <si>
    <t>W Malaysia Sarawak</t>
  </si>
  <si>
    <t>Penthetor</t>
  </si>
  <si>
    <t>Alaska (USA) to Labrador and Newfoundland (Canada), south to Distrito Federal (mexico)</t>
  </si>
  <si>
    <t>lucifugus</t>
  </si>
  <si>
    <t>Nycticeius</t>
  </si>
  <si>
    <t>Europe (except Scandinavia), NW Africa, Turkey, Israel, Iraq, Crimea and Caucasus to Turkmenistan</t>
  </si>
  <si>
    <t>N India to S China, Vietnam and W Malaysia; Sumatra; Philippines</t>
  </si>
  <si>
    <t>Fauro Isl to Guadalcanal Isl</t>
  </si>
  <si>
    <t>Lombok, sumbawa and Komodo Isl (Lesser Sunda Isls)</t>
  </si>
  <si>
    <t>W malaysia, Thailand, laos, Vietnam</t>
  </si>
  <si>
    <t>W Malaysia, Thailand, Burma</t>
  </si>
  <si>
    <t>Burma, Karin hills</t>
  </si>
  <si>
    <t>Sphaerias</t>
  </si>
  <si>
    <t>Styloctenium</t>
  </si>
  <si>
    <t>Congo Republic</t>
  </si>
  <si>
    <t>adami</t>
  </si>
  <si>
    <t>Afghanistan, N India, Burma, Thailand, Saechwan and Yunnan (China), W Malaysia, Sumatra</t>
  </si>
  <si>
    <t>virgo</t>
  </si>
  <si>
    <t>Andaman isls (India)</t>
  </si>
  <si>
    <t>cognatus</t>
  </si>
  <si>
    <t>creaghi</t>
  </si>
  <si>
    <t>119, 120</t>
  </si>
  <si>
    <t>Ussuri region, Kurile isls and Sakhalin (Russia), Korea</t>
  </si>
  <si>
    <t>ussuriensis</t>
  </si>
  <si>
    <t>imaizumii</t>
  </si>
  <si>
    <t>SW China</t>
  </si>
  <si>
    <t>Nigeria, Cameroon, N and E Zaire, Kenya, Ivory Coast, Liberia</t>
  </si>
  <si>
    <t>smithi</t>
  </si>
  <si>
    <t>Rhinopomatidae</t>
  </si>
  <si>
    <t>Liberia to Ethiopia, south to South Africa</t>
  </si>
  <si>
    <t>Colombia to peru, Bolivia, uruguay, N Argentina and S and E Brazil; French Guyana, Surinam</t>
  </si>
  <si>
    <t>neohibernicus</t>
  </si>
  <si>
    <t>boehmi</t>
  </si>
  <si>
    <t>Menetes</t>
  </si>
  <si>
    <t>Spermophilus</t>
  </si>
  <si>
    <t>adocetus</t>
  </si>
  <si>
    <t>annulatus</t>
  </si>
  <si>
    <t>Dasyprocta</t>
  </si>
  <si>
    <t>kalinowskii</t>
  </si>
  <si>
    <t>megalonyx</t>
  </si>
  <si>
    <t>laminatus</t>
  </si>
  <si>
    <t>C and S Europe, east to Ukarine, S England, most mediterranean islands,, Azores (portugual), Asia Minor, Lebanon, Israel</t>
  </si>
  <si>
    <t>myotis</t>
  </si>
  <si>
    <t>dasycneme</t>
  </si>
  <si>
    <t>South Africa to Ethiopia</t>
  </si>
  <si>
    <t>auriculus</t>
  </si>
  <si>
    <t>abei</t>
  </si>
  <si>
    <t>atacamensis</t>
  </si>
  <si>
    <t>amplexicaudatus</t>
  </si>
  <si>
    <t>Mariana Isls and Caroline Isls (including Palau Isls), Ryukyu Isls (Japan)</t>
  </si>
  <si>
    <t>sobrinus</t>
  </si>
  <si>
    <t>Mascarene Isls (Reunion Isl, Mauritius isl)</t>
  </si>
  <si>
    <t>Oaxaca (Mexico) to Guianas, SE Brazil, Bolivia and Ecuador; Trinidad</t>
  </si>
  <si>
    <t>afghanistan, pakistan, india (including Nicobar isls), sri lanka, nepal, bhutan, burma, s China, thailand, vietnam</t>
  </si>
  <si>
    <t>coromandra</t>
  </si>
  <si>
    <t>south africa to ethiopia, sudan, niger, mali and senegal, madagascar, pemba and zanzibar</t>
  </si>
  <si>
    <t>Senegal to Ethiopia, south to nagola, Zambia, malawi and Mozambique; Bioko; sao Tome and Principe</t>
  </si>
  <si>
    <t>ruber</t>
  </si>
  <si>
    <t>wetmorei</t>
  </si>
  <si>
    <t>speoris</t>
  </si>
  <si>
    <t>Maiana isls and Caroline Isls (including palau Isls), Vanuatu (=New Hebrides), Fiji Isls, Samoa</t>
  </si>
  <si>
    <t>globiceps</t>
  </si>
  <si>
    <t>prithecoides</t>
  </si>
  <si>
    <t>Angola, Zambia, Malawi, Zimbabwe</t>
  </si>
  <si>
    <t>Aselliscus</t>
  </si>
  <si>
    <t>tricuspidatus</t>
  </si>
  <si>
    <t>calcaratus</t>
  </si>
  <si>
    <t>131, 132</t>
  </si>
  <si>
    <t>115, 117, 119, 120</t>
  </si>
  <si>
    <t>115, 131, 133</t>
  </si>
  <si>
    <t>115, 119</t>
  </si>
  <si>
    <t>115, 117</t>
  </si>
  <si>
    <t>moloneyi</t>
  </si>
  <si>
    <t>java, sumatra, borneo, w malaysia, nearby small islands</t>
  </si>
  <si>
    <t>Inida (including Sikkim), Nepal, Burma, Sri Lnka, S China, Taiwan, Vietnam, Laos, Thailand, Malay Peninsula, Borneo, Sumatra, java and bali</t>
  </si>
  <si>
    <t>ordii</t>
  </si>
  <si>
    <t>phenax</t>
  </si>
  <si>
    <t>Neotomodon</t>
  </si>
  <si>
    <t>Nyctomys</t>
  </si>
  <si>
    <t>pernix</t>
  </si>
  <si>
    <t>spinatus</t>
  </si>
  <si>
    <t>albinucha</t>
  </si>
  <si>
    <t>duodecimcostatus</t>
  </si>
  <si>
    <t>evoronensis</t>
  </si>
  <si>
    <t>NW Cape Province (South Africa), Naminia, SW Angola</t>
  </si>
  <si>
    <t>salvanius</t>
  </si>
  <si>
    <t>ernstmayri</t>
  </si>
  <si>
    <t>ustus</t>
  </si>
  <si>
    <t>Leptomys</t>
  </si>
  <si>
    <t>semitorquatus</t>
  </si>
  <si>
    <t>elephantinus</t>
  </si>
  <si>
    <t>Hyperacrius</t>
  </si>
  <si>
    <t>swalius</t>
  </si>
  <si>
    <t>Artiodactyla</t>
  </si>
  <si>
    <t>nigroviridis</t>
  </si>
  <si>
    <t>galeritus</t>
  </si>
  <si>
    <t>fertilis</t>
  </si>
  <si>
    <t>wynnei</t>
  </si>
  <si>
    <t>Lagurus</t>
  </si>
  <si>
    <t>lagurus</t>
  </si>
  <si>
    <t>panamintinus</t>
  </si>
  <si>
    <t>arenicola</t>
  </si>
  <si>
    <t>torridus</t>
  </si>
  <si>
    <t>Dipodomys</t>
  </si>
  <si>
    <t>deserti</t>
  </si>
  <si>
    <t>atrox</t>
  </si>
  <si>
    <t>circumdatus</t>
  </si>
  <si>
    <t>lasiopterus</t>
  </si>
  <si>
    <t>Afghanistan, Uzbekistan and S Siberia to Korea, Heilungkiang (China), SE China and replubics of the SE former USSR, Japan</t>
  </si>
  <si>
    <t>Ethiopia, Kenya, SW Cape Province (South Africa)</t>
  </si>
  <si>
    <t>Laephotis</t>
  </si>
  <si>
    <t>Ireland and Scandinavia to N China, south to Morocco, Iran, NW Himalayas and s China</t>
  </si>
  <si>
    <t>N Cape Prov (South Africa), Namibia, Botswana, Zimbabwe, Mozambique, Guinea, Ivory Coast, Ghana</t>
  </si>
  <si>
    <t>Uganda, S Somalia, s Sudan, NE Zaire, Kenya, Rwanda, N Tanzania, Zanzibar and Pemba</t>
  </si>
  <si>
    <t>eloquens</t>
  </si>
  <si>
    <t>Yunnan (China), Thailand, NE India</t>
  </si>
  <si>
    <t>yunanensis</t>
  </si>
  <si>
    <t>argenteocinereus</t>
  </si>
  <si>
    <t>Heterocephalus</t>
  </si>
  <si>
    <t>ebii</t>
  </si>
  <si>
    <t>Funisciurus</t>
  </si>
  <si>
    <t>anerythrus</t>
  </si>
  <si>
    <t>carruthersi</t>
  </si>
  <si>
    <t>kivu</t>
  </si>
  <si>
    <t>Pedetidae</t>
  </si>
  <si>
    <t>Pedetes</t>
  </si>
  <si>
    <t>kathiah</t>
  </si>
  <si>
    <t>Diplogale</t>
  </si>
  <si>
    <t>substriatus</t>
  </si>
  <si>
    <t>Heliosciurus</t>
  </si>
  <si>
    <t>punctatus</t>
  </si>
  <si>
    <t>Cryptomys</t>
  </si>
  <si>
    <t>spixii</t>
  </si>
  <si>
    <t>Kerodon</t>
  </si>
  <si>
    <t>aubinnii</t>
  </si>
  <si>
    <t>stangeri</t>
  </si>
  <si>
    <t>Xerus</t>
  </si>
  <si>
    <t>Galapagos Islands</t>
  </si>
  <si>
    <t>range24-62g</t>
  </si>
  <si>
    <t>range32-68g</t>
  </si>
  <si>
    <t>Thailand, Maylay Peninsula</t>
  </si>
  <si>
    <t>Russia</t>
  </si>
  <si>
    <t>radofilai</t>
  </si>
  <si>
    <t>Mesopropithecus</t>
  </si>
  <si>
    <t>female:12000, male: 14800</t>
  </si>
  <si>
    <t>female:9000, male:10700</t>
  </si>
  <si>
    <t>male:6900, female:6500</t>
  </si>
  <si>
    <t>Yunnan to Fukien and Chihli (China), India, Burma, W Malaysia, Borneo</t>
  </si>
  <si>
    <t>montivagus</t>
  </si>
  <si>
    <t>NE Venezuela, Curacao and Bonaire (Netherlands Antilles)</t>
  </si>
  <si>
    <t>nesopolus</t>
  </si>
  <si>
    <t>W Malaysia, sumatra, borneo</t>
  </si>
  <si>
    <t>subbadius</t>
  </si>
  <si>
    <t>derbianus</t>
  </si>
  <si>
    <t>Chironectes</t>
  </si>
  <si>
    <t>Hylochoerus</t>
  </si>
  <si>
    <t>griseoflavus</t>
  </si>
  <si>
    <t>Isthmomys</t>
  </si>
  <si>
    <t>chacarius</t>
  </si>
  <si>
    <t>magnus</t>
  </si>
  <si>
    <t>saundersiae</t>
  </si>
  <si>
    <t>lacustris</t>
  </si>
  <si>
    <t>beecheyi</t>
  </si>
  <si>
    <t>lis</t>
  </si>
  <si>
    <t>petteri</t>
  </si>
  <si>
    <t>Abditomys</t>
  </si>
  <si>
    <t>latidens</t>
  </si>
  <si>
    <t>cilicicus</t>
  </si>
  <si>
    <t>isseli</t>
  </si>
  <si>
    <t>minor</t>
  </si>
  <si>
    <t>Petromyscus</t>
  </si>
  <si>
    <t>steinbachi</t>
  </si>
  <si>
    <t>talarum</t>
  </si>
  <si>
    <t>tuconax</t>
  </si>
  <si>
    <t>mephistophiles</t>
  </si>
  <si>
    <t>Rhabdomys</t>
  </si>
  <si>
    <t>saturatus</t>
  </si>
  <si>
    <t>spilosoma</t>
  </si>
  <si>
    <t>tereticaudus</t>
  </si>
  <si>
    <t>tridecemlineatus</t>
  </si>
  <si>
    <t>variegatus</t>
  </si>
  <si>
    <t>washingtoni</t>
  </si>
  <si>
    <t>Tamias</t>
  </si>
  <si>
    <t>alpinus</t>
  </si>
  <si>
    <t>beldingi</t>
  </si>
  <si>
    <t>columbianus</t>
  </si>
  <si>
    <t>115, 131</t>
  </si>
  <si>
    <t>once included in H. sanguinea</t>
  </si>
  <si>
    <t>malaya</t>
  </si>
  <si>
    <t xml:space="preserve">Guadalcanal </t>
  </si>
  <si>
    <t>range600-1700g</t>
  </si>
  <si>
    <t>mixtus</t>
  </si>
  <si>
    <t>saccolaimus</t>
  </si>
  <si>
    <t>Nyctophilus</t>
  </si>
  <si>
    <t>Palaeopropithecus</t>
  </si>
  <si>
    <t>40-55kg</t>
  </si>
  <si>
    <t>Archaeoindris</t>
  </si>
  <si>
    <t>hypomelanus</t>
  </si>
  <si>
    <t>scapulatus</t>
  </si>
  <si>
    <t>Kashmir, India &amp; Pakistan</t>
  </si>
  <si>
    <t>N Pakistan</t>
  </si>
  <si>
    <t>mass avg. 60g; range 45-85; mammals of madagascar</t>
  </si>
  <si>
    <t>Brazil, Minas Gerais, Pleistocene cave deposits near Lagoa Santa</t>
  </si>
  <si>
    <t>Stenella</t>
  </si>
  <si>
    <t>Cyclopes</t>
  </si>
  <si>
    <t>Myrmecophaga</t>
  </si>
  <si>
    <t>elvira</t>
  </si>
  <si>
    <t>Crossomys</t>
  </si>
  <si>
    <t>firouzi</t>
  </si>
  <si>
    <t>compactus</t>
  </si>
  <si>
    <t>moncktoni</t>
  </si>
  <si>
    <t>Peponocephala</t>
  </si>
  <si>
    <t>melanius</t>
  </si>
  <si>
    <t>Dacnomys</t>
  </si>
  <si>
    <t>amphichoricus</t>
  </si>
  <si>
    <t>Burma, Thailand, Cambodia, NW Vietnam</t>
  </si>
  <si>
    <t>Cameroon, Angola, Zaire, Uganda, Kenya, Tanzania</t>
  </si>
  <si>
    <t>Saccolaimus</t>
  </si>
  <si>
    <t>imogene</t>
  </si>
  <si>
    <t>115, 120, 133</t>
  </si>
  <si>
    <t>grandidieri</t>
  </si>
  <si>
    <t>Kadarsanomys</t>
  </si>
  <si>
    <t>tuvinicus</t>
  </si>
  <si>
    <t>pomo</t>
  </si>
  <si>
    <t>Blanfordimys</t>
  </si>
  <si>
    <t>corozalus</t>
  </si>
  <si>
    <t>hinpoon</t>
  </si>
  <si>
    <t>langbianis</t>
  </si>
  <si>
    <t>submicrus</t>
  </si>
  <si>
    <t>Heteropsomys</t>
  </si>
  <si>
    <t>Elasmodontomys</t>
  </si>
  <si>
    <t>Philetor</t>
  </si>
  <si>
    <t>SW Yunnan, China to 19°N Vietnam</t>
  </si>
  <si>
    <t>SE Thailand &amp; Cambodia</t>
  </si>
  <si>
    <t>Sierra leone to E Zaire</t>
  </si>
  <si>
    <t>Malaysia, Thailand, Vietnam</t>
  </si>
  <si>
    <t>Neotoma</t>
  </si>
  <si>
    <t>nelsoni</t>
  </si>
  <si>
    <t>penicillatus</t>
  </si>
  <si>
    <t>floridana</t>
  </si>
  <si>
    <t>heermanni</t>
  </si>
  <si>
    <t>ingens</t>
  </si>
  <si>
    <t>microps</t>
  </si>
  <si>
    <t>nitratoides</t>
  </si>
  <si>
    <t>couesi</t>
  </si>
  <si>
    <t>Osgoodomys</t>
  </si>
  <si>
    <t>Cercopithecus</t>
  </si>
  <si>
    <t>Lorentzimys</t>
  </si>
  <si>
    <t>nouhuysi</t>
  </si>
  <si>
    <t>Peromyscus</t>
  </si>
  <si>
    <t>Ototylomys</t>
  </si>
  <si>
    <t>phyllotis</t>
  </si>
  <si>
    <t>marsupialis</t>
  </si>
  <si>
    <t>Capra</t>
  </si>
  <si>
    <t>ibex</t>
  </si>
  <si>
    <t>Cephalophus</t>
  </si>
  <si>
    <t>adersi</t>
  </si>
  <si>
    <t>anomalus</t>
  </si>
  <si>
    <t>adspersus</t>
  </si>
  <si>
    <t>Procolobus</t>
  </si>
  <si>
    <t>badius</t>
  </si>
  <si>
    <t>gelada</t>
  </si>
  <si>
    <t>cahirinus</t>
  </si>
  <si>
    <t>louisae</t>
  </si>
  <si>
    <t>russatus</t>
  </si>
  <si>
    <t>spinosissimus</t>
  </si>
  <si>
    <t>wilsoni</t>
  </si>
  <si>
    <t>Aethomys</t>
  </si>
  <si>
    <t>chrysophilus</t>
  </si>
  <si>
    <t>hindei</t>
  </si>
  <si>
    <t>kaiseri</t>
  </si>
  <si>
    <t>namaquensis</t>
  </si>
  <si>
    <t>lovati</t>
  </si>
  <si>
    <t>mystacalis</t>
  </si>
  <si>
    <t>abyssinicus</t>
  </si>
  <si>
    <t>blicki</t>
  </si>
  <si>
    <t>spicilegus</t>
  </si>
  <si>
    <t>Onychomys</t>
  </si>
  <si>
    <t>Antilocapridae</t>
  </si>
  <si>
    <t>Antilocapra</t>
  </si>
  <si>
    <t>daghestanicus</t>
  </si>
  <si>
    <t>aroaensis</t>
  </si>
  <si>
    <t>gunung</t>
  </si>
  <si>
    <t>istapantap</t>
  </si>
  <si>
    <t>Malpaisomys</t>
  </si>
  <si>
    <t>Margaretamys</t>
  </si>
  <si>
    <t>cansdalei</t>
  </si>
  <si>
    <t>lukolelae</t>
  </si>
  <si>
    <t>Macruromys</t>
  </si>
  <si>
    <t>boylii</t>
  </si>
  <si>
    <t>attwateri</t>
  </si>
  <si>
    <t>eremicus</t>
  </si>
  <si>
    <t>eva</t>
  </si>
  <si>
    <t>furvus</t>
  </si>
  <si>
    <t>gossypinus</t>
  </si>
  <si>
    <t>gymnotis</t>
  </si>
  <si>
    <t>hooperi</t>
  </si>
  <si>
    <t>Colobus</t>
  </si>
  <si>
    <t>guereza</t>
  </si>
  <si>
    <t>polykomos</t>
  </si>
  <si>
    <t>Erythrocebus</t>
  </si>
  <si>
    <t>patas</t>
  </si>
  <si>
    <t>Lophocebus</t>
  </si>
  <si>
    <t>hellwaldii</t>
  </si>
  <si>
    <t>hylomyoides</t>
  </si>
  <si>
    <t>Gorilla</t>
  </si>
  <si>
    <t>gorilla</t>
  </si>
  <si>
    <t>Theropithecus</t>
  </si>
  <si>
    <t>Loridae</t>
  </si>
  <si>
    <t>pyrrhonotus</t>
  </si>
  <si>
    <t>rhoadsi</t>
  </si>
  <si>
    <t>Heliophobius</t>
  </si>
  <si>
    <t>Yemen &amp; Saudi Arabia</t>
  </si>
  <si>
    <t>female:3560, male: 4750</t>
  </si>
  <si>
    <t>117, 131</t>
  </si>
  <si>
    <t>75, 133</t>
  </si>
  <si>
    <t>Mexiso, Guatemala, Honduras, El Salvador, Nicaragua</t>
  </si>
  <si>
    <t>Bibymalagasia</t>
  </si>
  <si>
    <t>Borneo and Philippines</t>
  </si>
  <si>
    <t>S China, N Laos, S Vietnam</t>
  </si>
  <si>
    <t>Sunda Shelf (Balabac, Palawan, Busuanga, Culion Isls…part of Philippines politically, but not faunally</t>
  </si>
  <si>
    <t>clymene</t>
  </si>
  <si>
    <t>Zalophus</t>
  </si>
  <si>
    <t>Rubrisciurus</t>
  </si>
  <si>
    <t>sericeus</t>
  </si>
  <si>
    <t>fuliginosa</t>
  </si>
  <si>
    <t>Dasyproctidae</t>
  </si>
  <si>
    <t>Chelemys</t>
  </si>
  <si>
    <t>macronyx</t>
  </si>
  <si>
    <t>unisulcatus</t>
  </si>
  <si>
    <t>Delomys</t>
  </si>
  <si>
    <t>personatus</t>
  </si>
  <si>
    <t>guamara</t>
  </si>
  <si>
    <t>Paranyctimene</t>
  </si>
  <si>
    <t>Batjan, Halmahera, Morotai</t>
  </si>
  <si>
    <t>Sunda shelf (Borneo, Sumatra, Java)</t>
  </si>
  <si>
    <t>Hainan Isl, China</t>
  </si>
  <si>
    <t>S China, Burma, N Vietnam</t>
  </si>
  <si>
    <t>fossor</t>
  </si>
  <si>
    <t>petersoni</t>
  </si>
  <si>
    <t>Galenomys</t>
  </si>
  <si>
    <t>garleppi</t>
  </si>
  <si>
    <t>Geoxus</t>
  </si>
  <si>
    <t>prymnolopha</t>
  </si>
  <si>
    <t>Suidae</t>
  </si>
  <si>
    <t>Ichthyomys</t>
  </si>
  <si>
    <t>hydrobates</t>
  </si>
  <si>
    <t>Myoprocta</t>
  </si>
  <si>
    <t>labilis</t>
  </si>
  <si>
    <t>Nectomys</t>
  </si>
  <si>
    <t>Neotomys</t>
  </si>
  <si>
    <t>Xeromys</t>
  </si>
  <si>
    <t>myoides</t>
  </si>
  <si>
    <t>pagurus</t>
  </si>
  <si>
    <t>Kannabateomys</t>
  </si>
  <si>
    <t>amblyonyx</t>
  </si>
  <si>
    <t>Lonchothrix</t>
  </si>
  <si>
    <t>Makalata</t>
  </si>
  <si>
    <t>armata</t>
  </si>
  <si>
    <t>Mesomys</t>
  </si>
  <si>
    <t>Choloepus</t>
  </si>
  <si>
    <t>didactylus</t>
  </si>
  <si>
    <t>hoffmanni</t>
  </si>
  <si>
    <t>Myrmecophagidae</t>
  </si>
  <si>
    <t>tricinctus</t>
  </si>
  <si>
    <t>Zaedyus</t>
  </si>
  <si>
    <t>schadenbergi</t>
  </si>
  <si>
    <t>Cremnomys</t>
  </si>
  <si>
    <t>cutchicus</t>
  </si>
  <si>
    <t>momonga</t>
  </si>
  <si>
    <t>Pteromyscus</t>
  </si>
  <si>
    <t>pulverulentus</t>
  </si>
  <si>
    <t>longicaudatus</t>
  </si>
  <si>
    <t>Trogopterus</t>
  </si>
  <si>
    <t>xanthipes</t>
  </si>
  <si>
    <t>Orcinus</t>
  </si>
  <si>
    <t>orca</t>
  </si>
  <si>
    <t>Tamandua</t>
  </si>
  <si>
    <t>albispinus</t>
  </si>
  <si>
    <t>subflavus</t>
  </si>
  <si>
    <t>Olallamys</t>
  </si>
  <si>
    <t>acouchy</t>
  </si>
  <si>
    <t>exilis</t>
  </si>
  <si>
    <t>Dinomyidae</t>
  </si>
  <si>
    <t>Dinomys</t>
  </si>
  <si>
    <t>domorum</t>
  </si>
  <si>
    <t>edithae</t>
  </si>
  <si>
    <t>mearnsi</t>
  </si>
  <si>
    <t>Sekeetamys</t>
  </si>
  <si>
    <t>calurus</t>
  </si>
  <si>
    <t>Steatomys</t>
  </si>
  <si>
    <t>krebsii</t>
  </si>
  <si>
    <t>blainvillei</t>
  </si>
  <si>
    <t>braziliensis</t>
  </si>
  <si>
    <t>macrurus</t>
  </si>
  <si>
    <t>nigrispinus</t>
  </si>
  <si>
    <t>rhipidurus</t>
  </si>
  <si>
    <t>saturnus</t>
  </si>
  <si>
    <t>bistriata</t>
  </si>
  <si>
    <t>Euryzygomatomys</t>
  </si>
  <si>
    <t>ebriosus</t>
  </si>
  <si>
    <t>Leggadina</t>
  </si>
  <si>
    <t>laborifex</t>
  </si>
  <si>
    <t>bolami</t>
  </si>
  <si>
    <t>swinderianus</t>
  </si>
  <si>
    <t>Cabassous</t>
  </si>
  <si>
    <t>pichiy</t>
  </si>
  <si>
    <t>Megalonychidae</t>
  </si>
  <si>
    <t>matacus</t>
  </si>
  <si>
    <t>kinlochii</t>
  </si>
  <si>
    <t>alborufus</t>
  </si>
  <si>
    <t>magnificus</t>
  </si>
  <si>
    <t>electra</t>
  </si>
  <si>
    <t>Pseudorca</t>
  </si>
  <si>
    <t>crassidens</t>
  </si>
  <si>
    <t>Megaladapidae</t>
  </si>
  <si>
    <t>Eremodipus</t>
  </si>
  <si>
    <t>Ctenodactylidae</t>
  </si>
  <si>
    <t>Moschidae</t>
  </si>
  <si>
    <t>castanops</t>
  </si>
  <si>
    <t>fumosus</t>
  </si>
  <si>
    <t>tylorhinus</t>
  </si>
  <si>
    <t>Physeteridae</t>
  </si>
  <si>
    <t>Platanistidae</t>
  </si>
  <si>
    <t>Lenomys</t>
  </si>
  <si>
    <t>Dusicyon</t>
  </si>
  <si>
    <t>corsac</t>
  </si>
  <si>
    <t>lutescens</t>
  </si>
  <si>
    <t>talpinus</t>
  </si>
  <si>
    <t>devia</t>
  </si>
  <si>
    <t>LogMass</t>
  </si>
  <si>
    <t>Mellivora</t>
  </si>
  <si>
    <t>americana</t>
  </si>
  <si>
    <t/>
  </si>
  <si>
    <t>Bovidae</t>
  </si>
  <si>
    <t>Addax</t>
  </si>
  <si>
    <t>nasomaculatus</t>
  </si>
  <si>
    <t>Aepyceros</t>
  </si>
  <si>
    <t>melampus</t>
  </si>
  <si>
    <t>ascanius</t>
  </si>
  <si>
    <t>campbelli</t>
  </si>
  <si>
    <t>cephus</t>
  </si>
  <si>
    <t>diana</t>
  </si>
  <si>
    <t>erythrogaster</t>
  </si>
  <si>
    <t>fulvescens</t>
  </si>
  <si>
    <t>Ondatra</t>
  </si>
  <si>
    <t>zibethicus</t>
  </si>
  <si>
    <t>lervia</t>
  </si>
  <si>
    <t>Antidorcas</t>
  </si>
  <si>
    <t>mephitis</t>
  </si>
  <si>
    <t>erminea</t>
  </si>
  <si>
    <t>obliquus</t>
  </si>
  <si>
    <t>Quemisia</t>
  </si>
  <si>
    <t>hainanensis</t>
  </si>
  <si>
    <t>Podogymnura</t>
  </si>
  <si>
    <t>aureospinula</t>
  </si>
  <si>
    <t>andamanensis</t>
  </si>
  <si>
    <t>beatus</t>
  </si>
  <si>
    <t>bottegoides</t>
  </si>
  <si>
    <t>Nelsonia</t>
  </si>
  <si>
    <t>neotomodon</t>
  </si>
  <si>
    <t>lineatus</t>
  </si>
  <si>
    <t>rahmi</t>
  </si>
  <si>
    <t>sabanus</t>
  </si>
  <si>
    <t>siporanus</t>
  </si>
  <si>
    <t>elator</t>
  </si>
  <si>
    <t>zarhynchus</t>
  </si>
  <si>
    <t>glaber</t>
  </si>
  <si>
    <t>Anomaluridae</t>
  </si>
  <si>
    <t>Anomalurus</t>
  </si>
  <si>
    <t>beecrofti</t>
  </si>
  <si>
    <t>pelii</t>
  </si>
  <si>
    <t>Idiurus</t>
  </si>
  <si>
    <t>zenkeri</t>
  </si>
  <si>
    <t>Oryzomys</t>
  </si>
  <si>
    <t>alfaroi</t>
  </si>
  <si>
    <t>Leimacomys</t>
  </si>
  <si>
    <t>kofordi</t>
  </si>
  <si>
    <t>Grammomys</t>
  </si>
  <si>
    <t>personata</t>
  </si>
  <si>
    <t>Mydaus</t>
  </si>
  <si>
    <t>javanensis</t>
  </si>
  <si>
    <t>dolores</t>
  </si>
  <si>
    <t>cursor</t>
  </si>
  <si>
    <t>rufa</t>
  </si>
  <si>
    <t>Bathyergidae</t>
  </si>
  <si>
    <t>Bathyergus</t>
  </si>
  <si>
    <t>suillus</t>
  </si>
  <si>
    <t>auricularis</t>
  </si>
  <si>
    <t>Lagidium</t>
  </si>
  <si>
    <t>setzeri</t>
  </si>
  <si>
    <t>Taurotragus</t>
  </si>
  <si>
    <t>eurycerus</t>
  </si>
  <si>
    <t>imberbis</t>
  </si>
  <si>
    <t>minnae</t>
  </si>
  <si>
    <t>rutilans</t>
  </si>
  <si>
    <t>Heimyscus</t>
  </si>
  <si>
    <t>Hybomys</t>
  </si>
  <si>
    <t>richardsonii</t>
  </si>
  <si>
    <t>Dasyuromorphia</t>
  </si>
  <si>
    <t>Dasyuridae</t>
  </si>
  <si>
    <t>pyrropus</t>
  </si>
  <si>
    <t>lanosus</t>
  </si>
  <si>
    <t>wolffsohni</t>
  </si>
  <si>
    <t>Lagostomus</t>
  </si>
  <si>
    <t>maximus</t>
  </si>
  <si>
    <t>shortridgei</t>
  </si>
  <si>
    <t>albicaudatus</t>
  </si>
  <si>
    <t>Nannospalax</t>
  </si>
  <si>
    <t>temchuki</t>
  </si>
  <si>
    <t>burti</t>
  </si>
  <si>
    <t>Petromuridae</t>
  </si>
  <si>
    <t>Petromus</t>
  </si>
  <si>
    <t>typicus</t>
  </si>
  <si>
    <t>Sciuridae</t>
  </si>
  <si>
    <t>Atlantoxerus</t>
  </si>
  <si>
    <t>getulus</t>
  </si>
  <si>
    <t>Epixerus</t>
  </si>
  <si>
    <t>newtoni</t>
  </si>
  <si>
    <t>raddei</t>
  </si>
  <si>
    <t>roborovskii</t>
  </si>
  <si>
    <t>erythropus</t>
  </si>
  <si>
    <t>inauris</t>
  </si>
  <si>
    <t>Melogale</t>
  </si>
  <si>
    <t>Tscherskia</t>
  </si>
  <si>
    <t>kahuziensis</t>
  </si>
  <si>
    <t>longipilis</t>
  </si>
  <si>
    <t>Gerbillurus</t>
  </si>
  <si>
    <t>paeba</t>
  </si>
  <si>
    <t>female:5900, male: 5700</t>
  </si>
  <si>
    <t>Grampus</t>
  </si>
  <si>
    <t>cruciger</t>
  </si>
  <si>
    <t>soricipes</t>
  </si>
  <si>
    <t>betsileoensis</t>
  </si>
  <si>
    <t>ramirohitra</t>
  </si>
  <si>
    <t>Eliurus</t>
  </si>
  <si>
    <t>myoxinus</t>
  </si>
  <si>
    <t>tanala</t>
  </si>
  <si>
    <t>gunnisoni</t>
  </si>
  <si>
    <t>ludovicianus</t>
  </si>
  <si>
    <t>Glaucomys</t>
  </si>
  <si>
    <t>sabrinus</t>
  </si>
  <si>
    <t>caligata</t>
  </si>
  <si>
    <t>riggenbachi</t>
  </si>
  <si>
    <t>Sciurus</t>
  </si>
  <si>
    <t>aberti</t>
  </si>
  <si>
    <t>Callorhinus</t>
  </si>
  <si>
    <t>Eumetopias</t>
  </si>
  <si>
    <t>peregusna</t>
  </si>
  <si>
    <t>Odobenus</t>
  </si>
  <si>
    <t>Acrobatidae</t>
  </si>
  <si>
    <t>Thylacinidae</t>
  </si>
  <si>
    <t>Okapia</t>
  </si>
  <si>
    <t>Caluromysiops</t>
  </si>
  <si>
    <t>irrupta</t>
  </si>
  <si>
    <t>meinertzhageni</t>
  </si>
  <si>
    <t>Phacochoerus</t>
  </si>
  <si>
    <t>aethiopicus</t>
  </si>
  <si>
    <t>Potamochoerus</t>
  </si>
  <si>
    <t>porcus</t>
  </si>
  <si>
    <t>Sus</t>
  </si>
  <si>
    <t>scrofa</t>
  </si>
  <si>
    <t>pittieri</t>
  </si>
  <si>
    <t>valdivianus</t>
  </si>
  <si>
    <t>albocaudata</t>
  </si>
  <si>
    <t>Tatera</t>
  </si>
  <si>
    <t>afra</t>
  </si>
  <si>
    <t>guineae</t>
  </si>
  <si>
    <t>inclusa</t>
  </si>
  <si>
    <t>Chaetomys</t>
  </si>
  <si>
    <t>subspinosus</t>
  </si>
  <si>
    <t>Clyomys</t>
  </si>
  <si>
    <t>griseicauda</t>
  </si>
  <si>
    <t>Stochomys</t>
  </si>
  <si>
    <t>Tachyoryctes</t>
  </si>
  <si>
    <t>centralis</t>
  </si>
  <si>
    <t>Dasypus</t>
  </si>
  <si>
    <t>novemcinctus</t>
  </si>
  <si>
    <t>tatouay</t>
  </si>
  <si>
    <t>gouazoupira</t>
  </si>
  <si>
    <t>nana</t>
  </si>
  <si>
    <t>brantsii</t>
  </si>
  <si>
    <t>Eligmodontia</t>
  </si>
  <si>
    <t>Pelomys</t>
  </si>
  <si>
    <t>puerulus</t>
  </si>
  <si>
    <t>typus</t>
  </si>
  <si>
    <t>Pudu</t>
  </si>
  <si>
    <t>instans</t>
  </si>
  <si>
    <t>Chinchillula</t>
  </si>
  <si>
    <t>maculatus</t>
  </si>
  <si>
    <t>pumilio</t>
  </si>
  <si>
    <t>Saccostomus</t>
  </si>
  <si>
    <t>Euneomys</t>
  </si>
  <si>
    <t>chinchilloides</t>
  </si>
  <si>
    <t>dimidiatus</t>
  </si>
  <si>
    <t>gorgonae</t>
  </si>
  <si>
    <t>splendens</t>
  </si>
  <si>
    <t>Juscelinomys</t>
  </si>
  <si>
    <t>candango</t>
  </si>
  <si>
    <t>pratensis</t>
  </si>
  <si>
    <t>Stenocephalemys</t>
  </si>
  <si>
    <t>chrysurus</t>
  </si>
  <si>
    <t>caniceps</t>
  </si>
  <si>
    <t>Introduction</t>
  </si>
  <si>
    <t>bulleri</t>
  </si>
  <si>
    <t>nitela</t>
  </si>
  <si>
    <t>wetzeli</t>
  </si>
  <si>
    <t>Odobenidae</t>
  </si>
  <si>
    <t>Scolomys</t>
  </si>
  <si>
    <t>melanops</t>
  </si>
  <si>
    <t>ucayalensis</t>
  </si>
  <si>
    <t>inopinatus</t>
  </si>
  <si>
    <t>zinseri</t>
  </si>
  <si>
    <t>Thomomys</t>
  </si>
  <si>
    <t>Ziphiidae</t>
  </si>
  <si>
    <t>Dermoptera</t>
  </si>
  <si>
    <t>Cynocephalidae</t>
  </si>
  <si>
    <t>Solenodontidae</t>
  </si>
  <si>
    <t>bieti</t>
  </si>
  <si>
    <t>Pardofelis</t>
  </si>
  <si>
    <t>proditor</t>
  </si>
  <si>
    <t>regulus</t>
  </si>
  <si>
    <t>Salanoia</t>
  </si>
  <si>
    <t>alexandri</t>
  </si>
  <si>
    <t>brahma</t>
  </si>
  <si>
    <t>Oryzorictes</t>
  </si>
  <si>
    <t>hova</t>
  </si>
  <si>
    <t>Puertoricomys</t>
  </si>
  <si>
    <t>visagiei</t>
  </si>
  <si>
    <t>Cryptochloris</t>
  </si>
  <si>
    <t>Mesocapromys</t>
  </si>
  <si>
    <t>Trichechus</t>
  </si>
  <si>
    <t>niviventer</t>
  </si>
  <si>
    <t>rapit</t>
  </si>
  <si>
    <t>dauuricus</t>
  </si>
  <si>
    <t>hughi</t>
  </si>
  <si>
    <t>villosissimus</t>
  </si>
  <si>
    <t>palatilis</t>
  </si>
  <si>
    <t>Oxymycterus</t>
  </si>
  <si>
    <t>akodontius</t>
  </si>
  <si>
    <t>Daubentoniidae</t>
  </si>
  <si>
    <t>Hylobatidae</t>
  </si>
  <si>
    <t>talamancae</t>
  </si>
  <si>
    <t>paramensis</t>
  </si>
  <si>
    <t>concolor</t>
  </si>
  <si>
    <t>tigrinus</t>
  </si>
  <si>
    <t>rufulus</t>
  </si>
  <si>
    <t>andium</t>
  </si>
  <si>
    <t>amicus</t>
  </si>
  <si>
    <t>magister</t>
  </si>
  <si>
    <t>Tarsiidae</t>
  </si>
  <si>
    <t>andrewsi</t>
  </si>
  <si>
    <t>Eschrichtiidae</t>
  </si>
  <si>
    <t>Monodontidae</t>
  </si>
  <si>
    <t>delacouri</t>
  </si>
  <si>
    <t>medicaudatus</t>
  </si>
  <si>
    <t>Limnomys</t>
  </si>
  <si>
    <t>sibuanus</t>
  </si>
  <si>
    <t>Zygogeomys</t>
  </si>
  <si>
    <t>Trichechidae</t>
  </si>
  <si>
    <t>formosus</t>
  </si>
  <si>
    <t>palatina</t>
  </si>
  <si>
    <t>intermedius</t>
  </si>
  <si>
    <t>Continent</t>
  </si>
  <si>
    <t>libyca</t>
  </si>
  <si>
    <t>Genus</t>
  </si>
  <si>
    <t>Neofiber</t>
  </si>
  <si>
    <t>Macroscelides</t>
  </si>
  <si>
    <t>macrocephala</t>
  </si>
  <si>
    <t>Cercocebus</t>
  </si>
  <si>
    <t>squamicaudata</t>
  </si>
  <si>
    <t>micropus</t>
  </si>
  <si>
    <t>putorius</t>
  </si>
  <si>
    <t>Poecilogale</t>
  </si>
  <si>
    <t>albigula</t>
  </si>
  <si>
    <t>Combined Mass (g)</t>
  </si>
  <si>
    <t>rubidus</t>
  </si>
  <si>
    <t>maniculatus</t>
  </si>
  <si>
    <t>megalops</t>
  </si>
  <si>
    <t>mekisturus</t>
  </si>
  <si>
    <t>melanocarpus</t>
  </si>
  <si>
    <t>melanophrys</t>
  </si>
  <si>
    <t>melanurus</t>
  </si>
  <si>
    <t>Desmodilliscus</t>
  </si>
  <si>
    <t>braueri</t>
  </si>
  <si>
    <t>Arctocebus</t>
  </si>
  <si>
    <t>Perodicticus</t>
  </si>
  <si>
    <t>potto</t>
  </si>
  <si>
    <t>Elephantidae</t>
  </si>
  <si>
    <t>Loxodonta</t>
  </si>
  <si>
    <t>lemniscatus</t>
  </si>
  <si>
    <t>leucogenys</t>
  </si>
  <si>
    <t>kempi</t>
  </si>
  <si>
    <t>Rodentia</t>
  </si>
  <si>
    <t>Abrocomidae</t>
  </si>
  <si>
    <t>Abrocoma</t>
  </si>
  <si>
    <t>dolichurus</t>
  </si>
  <si>
    <t>budini</t>
  </si>
  <si>
    <t>paca</t>
  </si>
  <si>
    <t>taczanowskii</t>
  </si>
  <si>
    <t>gerbillus</t>
  </si>
  <si>
    <t>henleyi</t>
  </si>
  <si>
    <t>pyramidum</t>
  </si>
  <si>
    <t>campestris</t>
  </si>
  <si>
    <t>callipygus</t>
  </si>
  <si>
    <t>dorsalis</t>
  </si>
  <si>
    <t>Alcelaphus</t>
  </si>
  <si>
    <t>banderanus</t>
  </si>
  <si>
    <t>Otonyctomys</t>
  </si>
  <si>
    <t>hatti</t>
  </si>
  <si>
    <t>Ammotragus</t>
  </si>
  <si>
    <t>natalensis</t>
  </si>
  <si>
    <t>verus</t>
  </si>
  <si>
    <t>Muridae</t>
  </si>
  <si>
    <t>Acomys</t>
  </si>
  <si>
    <t>Deomys</t>
  </si>
  <si>
    <t>ferrugineus</t>
  </si>
  <si>
    <t>Dephomys</t>
  </si>
  <si>
    <t>defua</t>
  </si>
  <si>
    <t>Aplodontidae</t>
  </si>
  <si>
    <t>Aplodontia</t>
  </si>
  <si>
    <t>chrysopsis</t>
  </si>
  <si>
    <t>yucatanicus</t>
  </si>
  <si>
    <t>messorius</t>
  </si>
  <si>
    <t>vernayi</t>
  </si>
  <si>
    <t>Dendroprionomys</t>
  </si>
  <si>
    <t>rousseloti</t>
  </si>
  <si>
    <t>unicolor</t>
  </si>
  <si>
    <t>callosus</t>
  </si>
  <si>
    <t>hummelincki</t>
  </si>
  <si>
    <t>webbi</t>
  </si>
  <si>
    <t>Gymnuromys</t>
  </si>
  <si>
    <t>Macrotarsomys</t>
  </si>
  <si>
    <t>Nesophontidae</t>
  </si>
  <si>
    <t>Nannosciurus</t>
  </si>
  <si>
    <t>obliquidens</t>
  </si>
  <si>
    <t>Lissodelphis</t>
  </si>
  <si>
    <t>Sotalia</t>
  </si>
  <si>
    <t>fluviatilis</t>
  </si>
  <si>
    <t>Sousa</t>
  </si>
  <si>
    <t>teuszii</t>
  </si>
  <si>
    <t>Pseudocheiridae</t>
  </si>
  <si>
    <t>vexillaris</t>
  </si>
  <si>
    <t>Rhombomys</t>
  </si>
  <si>
    <t>Sciurotamias</t>
  </si>
  <si>
    <t>pearsoni</t>
  </si>
  <si>
    <t>tamariscinus</t>
  </si>
  <si>
    <t>sociabilis</t>
  </si>
  <si>
    <t>validus</t>
  </si>
  <si>
    <t>porteousi</t>
  </si>
  <si>
    <t>saltarius</t>
  </si>
  <si>
    <t>tarandus</t>
  </si>
  <si>
    <t>Blastocerus</t>
  </si>
  <si>
    <t>suaveolens</t>
  </si>
  <si>
    <t>bisulcus</t>
  </si>
  <si>
    <t>Hippocamelus</t>
  </si>
  <si>
    <t>sahamae</t>
  </si>
  <si>
    <t>Chroeomys</t>
  </si>
  <si>
    <t>religiosa</t>
  </si>
  <si>
    <t>roosevelti</t>
  </si>
  <si>
    <t>Calomys</t>
  </si>
  <si>
    <t>boliviae</t>
  </si>
  <si>
    <t>callidus</t>
  </si>
  <si>
    <t>magellanicus</t>
  </si>
  <si>
    <t>maulinus</t>
  </si>
  <si>
    <t>latro</t>
  </si>
  <si>
    <t>leucodon</t>
  </si>
  <si>
    <t>lewisi</t>
  </si>
  <si>
    <t>flaviventris</t>
  </si>
  <si>
    <t>olympus</t>
  </si>
  <si>
    <t>arizonensis</t>
  </si>
  <si>
    <t>ruberrimus</t>
  </si>
  <si>
    <t>Otaria</t>
  </si>
  <si>
    <t>byronia</t>
  </si>
  <si>
    <t>meridianus</t>
  </si>
  <si>
    <t>sacramenti</t>
  </si>
  <si>
    <t>heavisidii</t>
  </si>
  <si>
    <t>stankovici</t>
  </si>
  <si>
    <t>Meles</t>
  </si>
  <si>
    <t>meles</t>
  </si>
  <si>
    <t>rufina</t>
  </si>
  <si>
    <t>sublineatus</t>
  </si>
  <si>
    <t>morgani</t>
  </si>
  <si>
    <t>bilobidens</t>
  </si>
  <si>
    <t>burmeisteri</t>
  </si>
  <si>
    <t>3, 4</t>
  </si>
  <si>
    <t>varius</t>
  </si>
  <si>
    <t>torquatus</t>
  </si>
  <si>
    <t>collinus</t>
  </si>
  <si>
    <t>Praomys</t>
  </si>
  <si>
    <t>delectorum</t>
  </si>
  <si>
    <t>morio</t>
  </si>
  <si>
    <t>tullbergi</t>
  </si>
  <si>
    <t>johnstoni</t>
  </si>
  <si>
    <t>Hippopotamidae</t>
  </si>
  <si>
    <t>Hexaprotodon</t>
  </si>
  <si>
    <t>liberiensis</t>
  </si>
  <si>
    <t>Hippopotamus</t>
  </si>
  <si>
    <t>amphibius</t>
  </si>
  <si>
    <t>Giraffidae</t>
  </si>
  <si>
    <t>Giraffa</t>
  </si>
  <si>
    <t>camelopardalis</t>
  </si>
  <si>
    <t>Taterillus</t>
  </si>
  <si>
    <t>johnsoni</t>
  </si>
  <si>
    <t>cayennensis</t>
  </si>
  <si>
    <t>chrysaeolus</t>
  </si>
  <si>
    <t>guianae</t>
  </si>
  <si>
    <t>tenuipes</t>
  </si>
  <si>
    <t>griseolus</t>
  </si>
  <si>
    <t>albigularis</t>
  </si>
  <si>
    <t>fieldi</t>
  </si>
  <si>
    <t>mitchellii</t>
  </si>
  <si>
    <t>Conilurus</t>
  </si>
  <si>
    <t>Uromys</t>
  </si>
  <si>
    <t>guairae</t>
  </si>
  <si>
    <t>gularis</t>
  </si>
  <si>
    <t>cervinipes</t>
  </si>
  <si>
    <t>maini</t>
  </si>
  <si>
    <t>oralis</t>
  </si>
  <si>
    <t>keaysi</t>
  </si>
  <si>
    <t>rubicola</t>
  </si>
  <si>
    <t>angularis</t>
  </si>
  <si>
    <t>delator</t>
  </si>
  <si>
    <t>hiska</t>
  </si>
  <si>
    <t>Profelis</t>
  </si>
  <si>
    <t>oniscus</t>
  </si>
  <si>
    <t>bonaeriensis</t>
  </si>
  <si>
    <t>caprinus</t>
  </si>
  <si>
    <t>darwini</t>
  </si>
  <si>
    <t>billardierii</t>
  </si>
  <si>
    <t>Macropus</t>
  </si>
  <si>
    <t>Dologale</t>
  </si>
  <si>
    <t>unicinctus</t>
  </si>
  <si>
    <t>Chaetophractus</t>
  </si>
  <si>
    <t>nationi</t>
  </si>
  <si>
    <t>Chlamyphorus</t>
  </si>
  <si>
    <t>retusus</t>
  </si>
  <si>
    <t>truncatus</t>
  </si>
  <si>
    <t>hendeei</t>
  </si>
  <si>
    <t>hoplomyoides</t>
  </si>
  <si>
    <t>bolivianus</t>
  </si>
  <si>
    <t>canicollis</t>
  </si>
  <si>
    <t>magdalenae</t>
  </si>
  <si>
    <t>mincae</t>
  </si>
  <si>
    <t>tridactyla</t>
  </si>
  <si>
    <t>decumanus</t>
  </si>
  <si>
    <t>Oreailurus</t>
  </si>
  <si>
    <t>Phaenomys</t>
  </si>
  <si>
    <t>Oncifelis</t>
  </si>
  <si>
    <t>colocolo</t>
  </si>
  <si>
    <t>asomatus</t>
  </si>
  <si>
    <t>hirsutus</t>
  </si>
  <si>
    <t>geoffroyi</t>
  </si>
  <si>
    <t>guigna</t>
  </si>
  <si>
    <t>Capromyidae</t>
  </si>
  <si>
    <t>pinetorum</t>
  </si>
  <si>
    <t>quasiater</t>
  </si>
  <si>
    <t>fallax</t>
  </si>
  <si>
    <t>Ictonyx</t>
  </si>
  <si>
    <t>cinereiventer</t>
  </si>
  <si>
    <t>daphne</t>
  </si>
  <si>
    <t>gracilis</t>
  </si>
  <si>
    <t>Dactylopsila</t>
  </si>
  <si>
    <t>trivirgata</t>
  </si>
  <si>
    <t>australis</t>
  </si>
  <si>
    <t>princeps</t>
  </si>
  <si>
    <t>Macroscelidea</t>
  </si>
  <si>
    <t>cristatus</t>
  </si>
  <si>
    <t>Phalangeridae</t>
  </si>
  <si>
    <t>Wyulda</t>
  </si>
  <si>
    <t>lutra</t>
  </si>
  <si>
    <t>Potorous</t>
  </si>
  <si>
    <t>Phalanger</t>
  </si>
  <si>
    <t>norfolcensis</t>
  </si>
  <si>
    <t>Trichosurus</t>
  </si>
  <si>
    <t>proboscideus</t>
  </si>
  <si>
    <t>Petrodromus</t>
  </si>
  <si>
    <t>Ornithorhynchidae</t>
  </si>
  <si>
    <t>Ornithorhynchus</t>
  </si>
  <si>
    <t>tetradactylus</t>
  </si>
  <si>
    <t>orientalis</t>
  </si>
  <si>
    <t>nivalis</t>
  </si>
  <si>
    <t>striatus</t>
  </si>
  <si>
    <t>longipes</t>
  </si>
  <si>
    <t>vulpecula</t>
  </si>
  <si>
    <t>caninus</t>
  </si>
  <si>
    <t>felipei</t>
  </si>
  <si>
    <t>Pteronura</t>
  </si>
  <si>
    <t>Mesechinus</t>
  </si>
  <si>
    <t>luteogaster</t>
  </si>
  <si>
    <t>Comments</t>
  </si>
  <si>
    <t>NA</t>
  </si>
  <si>
    <t>extant</t>
  </si>
  <si>
    <t>maculicollis</t>
  </si>
  <si>
    <t>Eira</t>
  </si>
  <si>
    <t>barbara</t>
  </si>
  <si>
    <t>Galictis</t>
  </si>
  <si>
    <t>vittata</t>
  </si>
  <si>
    <t>Gulo</t>
  </si>
  <si>
    <t>gulo</t>
  </si>
  <si>
    <t>Ochrotomys</t>
  </si>
  <si>
    <t>nuttalli</t>
  </si>
  <si>
    <t>Oligoryzomys</t>
  </si>
  <si>
    <t>Martes</t>
  </si>
  <si>
    <t>Bettongia</t>
  </si>
  <si>
    <t>lesueur</t>
  </si>
  <si>
    <t>pennanti</t>
  </si>
  <si>
    <t>Mephitis</t>
  </si>
  <si>
    <t>macroura</t>
  </si>
  <si>
    <t>bullatus</t>
  </si>
  <si>
    <t>crinitus</t>
  </si>
  <si>
    <t>difficilis</t>
  </si>
  <si>
    <t>niger</t>
  </si>
  <si>
    <t>nigrifrons</t>
  </si>
  <si>
    <t>ogilbyi</t>
  </si>
  <si>
    <t>platensis</t>
  </si>
  <si>
    <t>tarijensis</t>
  </si>
  <si>
    <t>Protocyon</t>
  </si>
  <si>
    <t>saltiana</t>
  </si>
  <si>
    <t>Lophuromys</t>
  </si>
  <si>
    <t>fumosa</t>
  </si>
  <si>
    <t>fuscomurina</t>
  </si>
  <si>
    <t>glassi</t>
  </si>
  <si>
    <t>gracilipes</t>
  </si>
  <si>
    <t>grandiceps</t>
  </si>
  <si>
    <t>kivuana</t>
  </si>
  <si>
    <t>sanctipaulensis</t>
  </si>
  <si>
    <t>serrensis</t>
  </si>
  <si>
    <t>siberiae</t>
  </si>
  <si>
    <t>simulator</t>
  </si>
  <si>
    <t>spegazzinii</t>
  </si>
  <si>
    <t>subfuscus</t>
  </si>
  <si>
    <t>surdus</t>
  </si>
  <si>
    <t>toba</t>
  </si>
  <si>
    <t>Lophiomys</t>
  </si>
  <si>
    <t>flavopunctatus</t>
  </si>
  <si>
    <t>melanonyx</t>
  </si>
  <si>
    <t>sikapusi</t>
  </si>
  <si>
    <t>elaphus</t>
  </si>
  <si>
    <t>Axis</t>
  </si>
  <si>
    <t>porcinus</t>
  </si>
  <si>
    <t>Dama</t>
  </si>
  <si>
    <t>punctulatus</t>
  </si>
  <si>
    <t>vicugna</t>
  </si>
  <si>
    <t>guanicoe</t>
  </si>
  <si>
    <t>Vicugna</t>
  </si>
  <si>
    <t>Dasykaluta</t>
  </si>
  <si>
    <t>rosamondae</t>
  </si>
  <si>
    <t>Parantechinus</t>
  </si>
  <si>
    <t>bilarni</t>
  </si>
  <si>
    <t>mendocinus</t>
  </si>
  <si>
    <t>minutus</t>
  </si>
  <si>
    <t>nattereri</t>
  </si>
  <si>
    <t>simoni</t>
  </si>
  <si>
    <t>oculatus</t>
  </si>
  <si>
    <t>flavovittis</t>
  </si>
  <si>
    <t>vexillarius</t>
  </si>
  <si>
    <t>Rheithrosciurus</t>
  </si>
  <si>
    <t>buxtoni</t>
  </si>
  <si>
    <t>imbellis</t>
  </si>
  <si>
    <t>Brachiones</t>
  </si>
  <si>
    <t>tytonis</t>
  </si>
  <si>
    <t>grassei</t>
  </si>
  <si>
    <t>Sylvicapra</t>
  </si>
  <si>
    <t>grimmia</t>
  </si>
  <si>
    <t>Poiana</t>
  </si>
  <si>
    <t>walleri</t>
  </si>
  <si>
    <t>Madoqua</t>
  </si>
  <si>
    <t>beddardi</t>
  </si>
  <si>
    <t>tumbalensis</t>
  </si>
  <si>
    <t>guentheri</t>
  </si>
  <si>
    <t>kirkii</t>
  </si>
  <si>
    <t>latebricola</t>
  </si>
  <si>
    <t>imhausi</t>
  </si>
  <si>
    <t>oryx</t>
  </si>
  <si>
    <t>Tragelaphus</t>
  </si>
  <si>
    <t>angasii</t>
  </si>
  <si>
    <t>ruppi</t>
  </si>
  <si>
    <t>verreauxii</t>
  </si>
  <si>
    <t>Mystromys</t>
  </si>
  <si>
    <t>Cervidae</t>
  </si>
  <si>
    <t>Cervus</t>
  </si>
  <si>
    <t>Megadendromus</t>
  </si>
  <si>
    <t>axis</t>
  </si>
  <si>
    <t>timorensis</t>
  </si>
  <si>
    <t>oenanthe</t>
  </si>
  <si>
    <t>primigenius</t>
  </si>
  <si>
    <t>sublimis</t>
  </si>
  <si>
    <t>Bibimys</t>
  </si>
  <si>
    <t>chacoensis</t>
  </si>
  <si>
    <t>torresi</t>
  </si>
  <si>
    <t>Blarinomys</t>
  </si>
  <si>
    <t>Dasycercus</t>
  </si>
  <si>
    <t>cristicauda</t>
  </si>
  <si>
    <t>byrnei</t>
  </si>
  <si>
    <t>tapoatafa</t>
  </si>
  <si>
    <t>butleri</t>
  </si>
  <si>
    <t>GUESS</t>
  </si>
  <si>
    <t>bricenii</t>
  </si>
  <si>
    <t>chunyi</t>
  </si>
  <si>
    <t>geoffroii</t>
  </si>
  <si>
    <t>zaphiri</t>
  </si>
  <si>
    <t>zarudnyi</t>
  </si>
  <si>
    <t>Myrmecobiidae</t>
  </si>
  <si>
    <t>yankariensis</t>
  </si>
  <si>
    <t>1, 2</t>
  </si>
  <si>
    <t>historical</t>
  </si>
  <si>
    <t>cafer</t>
  </si>
  <si>
    <t>Cebus</t>
  </si>
  <si>
    <t>Sarcophilus</t>
  </si>
  <si>
    <t>viverrinus</t>
  </si>
  <si>
    <t>Ozotoceros</t>
  </si>
  <si>
    <t>bezoarticus</t>
  </si>
  <si>
    <t>moreni</t>
  </si>
  <si>
    <t>Graomys</t>
  </si>
  <si>
    <t>colletti</t>
  </si>
  <si>
    <t>Melomys</t>
  </si>
  <si>
    <t>burtoni</t>
  </si>
  <si>
    <t>gracilicaudatus</t>
  </si>
  <si>
    <t>bolivaris</t>
  </si>
  <si>
    <t>russula</t>
  </si>
  <si>
    <t>andinus</t>
  </si>
  <si>
    <t>jelskii</t>
  </si>
  <si>
    <t>pirrensis</t>
  </si>
  <si>
    <t>Pecari</t>
  </si>
  <si>
    <t>tajacu</t>
  </si>
  <si>
    <t>Tragulidae</t>
  </si>
  <si>
    <t>Hyemoschus</t>
  </si>
  <si>
    <t>aquaticus</t>
  </si>
  <si>
    <t>Carnivora</t>
  </si>
  <si>
    <t>Canidae</t>
  </si>
  <si>
    <t>Canis</t>
  </si>
  <si>
    <t>adustus</t>
  </si>
  <si>
    <t>Kunsia</t>
  </si>
  <si>
    <t>fronto</t>
  </si>
  <si>
    <t>tomentosus</t>
  </si>
  <si>
    <t>Lenoxus</t>
  </si>
  <si>
    <t>Melanomys</t>
  </si>
  <si>
    <t>caliginosus</t>
  </si>
  <si>
    <t>robustulus</t>
  </si>
  <si>
    <t>macrocephalus</t>
  </si>
  <si>
    <t>Dactylomys</t>
  </si>
  <si>
    <t>dactylinus</t>
  </si>
  <si>
    <t>Diplomys</t>
  </si>
  <si>
    <t>vellerosus</t>
  </si>
  <si>
    <t>valida</t>
  </si>
  <si>
    <t>oeconomus</t>
  </si>
  <si>
    <t>mastacalis</t>
  </si>
  <si>
    <t>Mungos</t>
  </si>
  <si>
    <t>chinanteco</t>
  </si>
  <si>
    <t>lepturus</t>
  </si>
  <si>
    <t>lophurus</t>
  </si>
  <si>
    <t>simulatus</t>
  </si>
  <si>
    <t>Hodomys</t>
  </si>
  <si>
    <t>Lemmiscus</t>
  </si>
  <si>
    <t>curtatus</t>
  </si>
  <si>
    <t>caucensis</t>
  </si>
  <si>
    <t>leucodactylus</t>
  </si>
  <si>
    <t>Liberiictis</t>
  </si>
  <si>
    <t>kuhni</t>
  </si>
  <si>
    <t>montanus</t>
  </si>
  <si>
    <t>Rhynchogale</t>
  </si>
  <si>
    <t>melleri</t>
  </si>
  <si>
    <t>xanthognathus</t>
  </si>
  <si>
    <t>okuensis</t>
  </si>
  <si>
    <t>shanseius</t>
  </si>
  <si>
    <t>Thalpomys</t>
  </si>
  <si>
    <t>baeodon</t>
  </si>
  <si>
    <t>bartelsii</t>
  </si>
  <si>
    <t>dollmani</t>
  </si>
  <si>
    <t>ansorgei</t>
  </si>
  <si>
    <t>manatus</t>
  </si>
  <si>
    <t>linulus</t>
  </si>
  <si>
    <t>Tupaiidae</t>
  </si>
  <si>
    <t>bellieri</t>
  </si>
  <si>
    <t>tancrei</t>
  </si>
  <si>
    <t>Eothenomys</t>
  </si>
  <si>
    <t>dariensis</t>
  </si>
  <si>
    <t>Phocoenidae</t>
  </si>
  <si>
    <t>sodyi</t>
  </si>
  <si>
    <t>trichopus</t>
  </si>
  <si>
    <t>angustapalata</t>
  </si>
  <si>
    <t>Heteromyidae</t>
  </si>
  <si>
    <t>Chaetodipus</t>
  </si>
  <si>
    <t>Wallabia</t>
  </si>
  <si>
    <t>bicolor</t>
  </si>
  <si>
    <t>crocuta</t>
  </si>
  <si>
    <t>Hyaena</t>
  </si>
  <si>
    <t>hyaena</t>
  </si>
  <si>
    <t>mexicanus</t>
  </si>
  <si>
    <t>norvegicus</t>
  </si>
  <si>
    <t>Leporillus</t>
  </si>
  <si>
    <t>conditor</t>
  </si>
  <si>
    <t>Lagostrophus</t>
  </si>
  <si>
    <t>Setonix</t>
  </si>
  <si>
    <t>jacobita</t>
  </si>
  <si>
    <t>hadrourus</t>
  </si>
  <si>
    <t>Mesembriomys</t>
  </si>
  <si>
    <t>rattus</t>
  </si>
  <si>
    <t>tunneyi</t>
  </si>
  <si>
    <t>macconnelli</t>
  </si>
  <si>
    <t>nitidus</t>
  </si>
  <si>
    <t>higginsi</t>
  </si>
  <si>
    <t>edax</t>
  </si>
  <si>
    <t>Proechimys</t>
  </si>
  <si>
    <t>pedunculatus</t>
  </si>
  <si>
    <t>Arborimus</t>
  </si>
  <si>
    <t>albipes</t>
  </si>
  <si>
    <t>wintoni</t>
  </si>
  <si>
    <t>zyli</t>
  </si>
  <si>
    <t>nudiventris</t>
  </si>
  <si>
    <t>chinensis</t>
  </si>
  <si>
    <t>custos</t>
  </si>
  <si>
    <t>signatus</t>
  </si>
  <si>
    <t>oregoni</t>
  </si>
  <si>
    <t>pennsylvanicus</t>
  </si>
  <si>
    <t>buselaphus</t>
  </si>
  <si>
    <t>Ammodorcas</t>
  </si>
  <si>
    <t>clarkei</t>
  </si>
  <si>
    <t>jentinki</t>
  </si>
  <si>
    <t>leucogaster</t>
  </si>
  <si>
    <t>maxwellii</t>
  </si>
  <si>
    <t>monticola</t>
  </si>
  <si>
    <t>rostratus</t>
  </si>
  <si>
    <t>provocax</t>
  </si>
  <si>
    <t>Lyncodon</t>
  </si>
  <si>
    <t>patagonicus</t>
  </si>
  <si>
    <t>africana</t>
  </si>
  <si>
    <t>lanosa</t>
  </si>
  <si>
    <t>latona</t>
  </si>
  <si>
    <t>dolichura</t>
  </si>
  <si>
    <t>jacksoni</t>
  </si>
  <si>
    <t>Ningaui</t>
  </si>
  <si>
    <t>Planigale</t>
  </si>
  <si>
    <t>Malacomys</t>
  </si>
  <si>
    <t>edwardsi</t>
  </si>
  <si>
    <t>Malacothrix</t>
  </si>
  <si>
    <t>typica</t>
  </si>
  <si>
    <t>spekii</t>
  </si>
  <si>
    <t>strepsiceros</t>
  </si>
  <si>
    <t>hircus</t>
  </si>
  <si>
    <t>Bos</t>
  </si>
  <si>
    <t>torques</t>
  </si>
  <si>
    <t>xanthorhinus</t>
  </si>
  <si>
    <t>Andalgalomys</t>
  </si>
  <si>
    <t>olrogi</t>
  </si>
  <si>
    <t>indutus</t>
  </si>
  <si>
    <t>mahomet</t>
  </si>
  <si>
    <t>minutoides</t>
  </si>
  <si>
    <t>granulipes</t>
  </si>
  <si>
    <t>rufilatus</t>
  </si>
  <si>
    <t>silvicultor</t>
  </si>
  <si>
    <t>spadix</t>
  </si>
  <si>
    <t>zebra</t>
  </si>
  <si>
    <t>Arctocephalus</t>
  </si>
  <si>
    <t>tropicalis</t>
  </si>
  <si>
    <t>forsteri</t>
  </si>
  <si>
    <t>ochraventer</t>
  </si>
  <si>
    <t>Proboscidea</t>
  </si>
  <si>
    <t>lotor</t>
  </si>
  <si>
    <t>Bassaricyon</t>
  </si>
  <si>
    <t>alleni</t>
  </si>
  <si>
    <t>vallinus</t>
  </si>
  <si>
    <t>Desmodillus</t>
  </si>
  <si>
    <t>bullaris</t>
  </si>
  <si>
    <t>nudicaudus</t>
  </si>
  <si>
    <t>nyikae</t>
  </si>
  <si>
    <t>fusca</t>
  </si>
  <si>
    <t>sara</t>
  </si>
  <si>
    <t>Theriodictis</t>
  </si>
  <si>
    <t>virginiae</t>
  </si>
  <si>
    <t>vincenti</t>
  </si>
  <si>
    <t>mullah</t>
  </si>
  <si>
    <t>nesiotes</t>
  </si>
  <si>
    <t>weberi</t>
  </si>
  <si>
    <t>Pachyuromys</t>
  </si>
  <si>
    <t>duprasi</t>
  </si>
  <si>
    <t>stigmonyx</t>
  </si>
  <si>
    <t>somalicus</t>
  </si>
  <si>
    <t>angoniensis</t>
  </si>
  <si>
    <t>carolinensis</t>
  </si>
  <si>
    <t>tener</t>
  </si>
  <si>
    <t>indica</t>
  </si>
  <si>
    <t>Chibchanomys</t>
  </si>
  <si>
    <t>trichotis</t>
  </si>
  <si>
    <t>Chilomys</t>
  </si>
  <si>
    <t>occultus</t>
  </si>
  <si>
    <t>sloggetti</t>
  </si>
  <si>
    <t>virginianus</t>
  </si>
  <si>
    <t>Rangifer</t>
  </si>
  <si>
    <t>yvonnae</t>
  </si>
  <si>
    <t>ridei</t>
  </si>
  <si>
    <t>Sminthopsis</t>
  </si>
  <si>
    <t>lactens</t>
  </si>
  <si>
    <t>Ovis</t>
  </si>
  <si>
    <t>canadensis</t>
  </si>
  <si>
    <t>bellus</t>
  </si>
  <si>
    <t>woolleyae</t>
  </si>
  <si>
    <t>arachnoides</t>
  </si>
  <si>
    <t>Cacajao</t>
  </si>
  <si>
    <t>calvus</t>
  </si>
  <si>
    <t>dubius</t>
  </si>
  <si>
    <t>nigricans</t>
  </si>
  <si>
    <t>nigrofusca</t>
  </si>
  <si>
    <t>leander</t>
  </si>
  <si>
    <t>Auliscomys</t>
  </si>
  <si>
    <t>hoffmannsi</t>
  </si>
  <si>
    <t>thalia</t>
  </si>
  <si>
    <t>theresae</t>
  </si>
  <si>
    <t>thomensis</t>
  </si>
  <si>
    <t>Bolomys</t>
  </si>
  <si>
    <t>amoenus</t>
  </si>
  <si>
    <t>donacophilus</t>
  </si>
  <si>
    <t>olivieri</t>
  </si>
  <si>
    <t>laniarius</t>
  </si>
  <si>
    <t>macrotis</t>
  </si>
  <si>
    <t>Feresa</t>
  </si>
  <si>
    <t>fontanierii</t>
  </si>
  <si>
    <t>myospalax</t>
  </si>
  <si>
    <t>psilurus</t>
  </si>
  <si>
    <t>Brachytarsomys</t>
  </si>
  <si>
    <t>peronii</t>
  </si>
  <si>
    <t>colliaei</t>
  </si>
  <si>
    <t>acticola</t>
  </si>
  <si>
    <t>agag</t>
  </si>
  <si>
    <t>musteloides</t>
  </si>
  <si>
    <t>illuteus</t>
  </si>
  <si>
    <t>iniscatus</t>
  </si>
  <si>
    <t>planifrons</t>
  </si>
  <si>
    <t>univittatus</t>
  </si>
  <si>
    <t>Hylomyscus</t>
  </si>
  <si>
    <t>aeta</t>
  </si>
  <si>
    <t>denniae</t>
  </si>
  <si>
    <t>Mastomys</t>
  </si>
  <si>
    <t>coucha</t>
  </si>
  <si>
    <t>erythroleucus</t>
  </si>
  <si>
    <t>hildebrandtii</t>
  </si>
  <si>
    <t>fumatus</t>
  </si>
  <si>
    <t>Lama</t>
  </si>
  <si>
    <t>nigeriae</t>
  </si>
  <si>
    <t>selina</t>
  </si>
  <si>
    <t>silacea</t>
  </si>
  <si>
    <t>smithii</t>
  </si>
  <si>
    <t>somalica</t>
  </si>
  <si>
    <t>Toxodon</t>
  </si>
  <si>
    <t>minimus</t>
  </si>
  <si>
    <t>Phascogale</t>
  </si>
  <si>
    <t>didelphoides</t>
  </si>
  <si>
    <t>hispidus</t>
  </si>
  <si>
    <t>leniceps</t>
  </si>
  <si>
    <t>stimulax</t>
  </si>
  <si>
    <t>Pogonomys</t>
  </si>
  <si>
    <t>rothschildi</t>
  </si>
  <si>
    <t>conspicillatus</t>
  </si>
  <si>
    <t>Herpestidae</t>
  </si>
  <si>
    <t>Atilax</t>
  </si>
  <si>
    <t>paludinosus</t>
  </si>
  <si>
    <t>Bdeogale</t>
  </si>
  <si>
    <t>crassicauda</t>
  </si>
  <si>
    <t>oaxacensis</t>
  </si>
  <si>
    <t>bernardus</t>
  </si>
  <si>
    <t>rufogriseus</t>
  </si>
  <si>
    <t>Suricata</t>
  </si>
  <si>
    <t>suricatta</t>
  </si>
  <si>
    <t>Crocuta</t>
  </si>
  <si>
    <t>Neobalaenidae</t>
  </si>
  <si>
    <t>Scandentia</t>
  </si>
  <si>
    <t>bottae</t>
  </si>
  <si>
    <t>mazama</t>
  </si>
  <si>
    <t>talpoides</t>
  </si>
  <si>
    <t>umbrinus</t>
  </si>
  <si>
    <t>Lamottemys</t>
  </si>
  <si>
    <t>sapidus</t>
  </si>
  <si>
    <t>rintjanus</t>
  </si>
  <si>
    <t>Komodomys</t>
  </si>
  <si>
    <t>Parahyaena</t>
  </si>
  <si>
    <t>brunnea</t>
  </si>
  <si>
    <t>Proteles</t>
  </si>
  <si>
    <t>baeops</t>
  </si>
  <si>
    <t>bombycinus</t>
  </si>
  <si>
    <t>richardsoni</t>
  </si>
  <si>
    <t>capito</t>
  </si>
  <si>
    <t>concinna</t>
  </si>
  <si>
    <t>idahoensis</t>
  </si>
  <si>
    <t>cuniculus</t>
  </si>
  <si>
    <t>Poelagus</t>
  </si>
  <si>
    <t>marjorita</t>
  </si>
  <si>
    <t>Pronolagus</t>
  </si>
  <si>
    <t>crassicaudatus</t>
  </si>
  <si>
    <t>randensis</t>
  </si>
  <si>
    <t>osilae</t>
  </si>
  <si>
    <t>xanthopygus</t>
  </si>
  <si>
    <t>Podoxymys</t>
  </si>
  <si>
    <t>roraimae</t>
  </si>
  <si>
    <t>taylori</t>
  </si>
  <si>
    <t>Clethrionomys</t>
  </si>
  <si>
    <t>longicaudus</t>
  </si>
  <si>
    <t>Order</t>
  </si>
  <si>
    <t>bennettianus</t>
  </si>
  <si>
    <t>parryi</t>
  </si>
  <si>
    <t>Cynictis</t>
  </si>
  <si>
    <t>Megadontomys</t>
  </si>
  <si>
    <t>Microtus</t>
  </si>
  <si>
    <t>canicaudus</t>
  </si>
  <si>
    <t>chrotorrhinus</t>
  </si>
  <si>
    <t>guatemalensis</t>
  </si>
  <si>
    <t>raptor</t>
  </si>
  <si>
    <t>Rhipidomys</t>
  </si>
  <si>
    <t>brachyrhynchus</t>
  </si>
  <si>
    <t>Macroscelididae</t>
  </si>
  <si>
    <t>antilopinus</t>
  </si>
  <si>
    <t>huerfanensis</t>
  </si>
  <si>
    <t>hesternus</t>
  </si>
  <si>
    <t>Ochotona</t>
  </si>
  <si>
    <t>collaris</t>
  </si>
  <si>
    <t>Scapanus</t>
  </si>
  <si>
    <t>latimanus</t>
  </si>
  <si>
    <t>rozeti</t>
  </si>
  <si>
    <t>1, 11, 14</t>
  </si>
  <si>
    <t>Euceratherium</t>
  </si>
  <si>
    <t>Hemiauchenia</t>
  </si>
  <si>
    <t>Rhynchocyon</t>
  </si>
  <si>
    <t>3, 17</t>
  </si>
  <si>
    <t>ferragus</t>
  </si>
  <si>
    <t>13, 15, 16</t>
  </si>
  <si>
    <t>anatinus</t>
  </si>
  <si>
    <t>Spilocuscus</t>
  </si>
  <si>
    <t>miurus</t>
  </si>
  <si>
    <t>Ichneumia</t>
  </si>
  <si>
    <t>austrinus</t>
  </si>
  <si>
    <t>giganteus</t>
  </si>
  <si>
    <t>Elephantulus</t>
  </si>
  <si>
    <t>Mustelidae</t>
  </si>
  <si>
    <t>Aonyx</t>
  </si>
  <si>
    <t>capensis</t>
  </si>
  <si>
    <t>congicus</t>
  </si>
  <si>
    <t>leadbeateri</t>
  </si>
  <si>
    <t>edwardii</t>
  </si>
  <si>
    <t>fuscipes</t>
  </si>
  <si>
    <t>intufi</t>
  </si>
  <si>
    <t>myurus</t>
  </si>
  <si>
    <t>revoili</t>
  </si>
  <si>
    <t>Petauridae</t>
  </si>
  <si>
    <t>Petaurus</t>
  </si>
  <si>
    <t>breviceps</t>
  </si>
  <si>
    <t>Gymnobelideus</t>
  </si>
  <si>
    <t>Palaeolama</t>
  </si>
  <si>
    <t>chrysopygus</t>
  </si>
  <si>
    <t>cirnei</t>
  </si>
  <si>
    <t>Microbiotheria</t>
  </si>
  <si>
    <t>Hydromys</t>
  </si>
  <si>
    <t>chrysogaster</t>
  </si>
  <si>
    <t>Scapteromys</t>
  </si>
  <si>
    <t>tumidus</t>
  </si>
  <si>
    <t>mungo</t>
  </si>
  <si>
    <t>Paracynictis</t>
  </si>
  <si>
    <t>selousi</t>
  </si>
  <si>
    <t>confucianus</t>
  </si>
  <si>
    <t>coxingi</t>
  </si>
  <si>
    <t>culturatus</t>
  </si>
  <si>
    <t>eha</t>
  </si>
  <si>
    <t>excelsior</t>
  </si>
  <si>
    <t>inez</t>
  </si>
  <si>
    <t>olitor</t>
  </si>
  <si>
    <t>everetti</t>
  </si>
  <si>
    <t>inunguis</t>
  </si>
  <si>
    <t>vison</t>
  </si>
  <si>
    <t>Spilogale</t>
  </si>
  <si>
    <t>pygmaea</t>
  </si>
  <si>
    <t>Taxidea</t>
  </si>
  <si>
    <t>taxus</t>
  </si>
  <si>
    <t>chinga</t>
  </si>
  <si>
    <t>humboldtii</t>
  </si>
  <si>
    <t>cuja</t>
  </si>
  <si>
    <t>harveyi</t>
  </si>
  <si>
    <t>sanborni</t>
  </si>
  <si>
    <t>Syncerus</t>
  </si>
  <si>
    <t>dasyurus</t>
  </si>
  <si>
    <t>albiventer</t>
  </si>
  <si>
    <t>bogotensis</t>
  </si>
  <si>
    <t>lamottei</t>
  </si>
  <si>
    <t>murina</t>
  </si>
  <si>
    <t>musculus</t>
  </si>
  <si>
    <t>setulosus</t>
  </si>
  <si>
    <t>Mylomys</t>
  </si>
  <si>
    <t>Myomys</t>
  </si>
  <si>
    <t>daltoni</t>
  </si>
  <si>
    <t>derooi</t>
  </si>
  <si>
    <t>mutesae</t>
  </si>
  <si>
    <t>nanilla</t>
  </si>
  <si>
    <t>macdonnellensis</t>
  </si>
  <si>
    <t>triton</t>
  </si>
  <si>
    <t>Alces</t>
  </si>
  <si>
    <t>laucha</t>
  </si>
  <si>
    <t>musculinus</t>
  </si>
  <si>
    <t>vancouverensis</t>
  </si>
  <si>
    <t>Oenomys</t>
  </si>
  <si>
    <t>hypoxanthus</t>
  </si>
  <si>
    <t>Otomys</t>
  </si>
  <si>
    <t>aureogaster</t>
  </si>
  <si>
    <t>sorellus</t>
  </si>
  <si>
    <t>calura</t>
  </si>
  <si>
    <t>douglasi</t>
  </si>
  <si>
    <t>apicalis</t>
  </si>
  <si>
    <t>godmani</t>
  </si>
  <si>
    <t>nimbae</t>
  </si>
  <si>
    <t>niobe</t>
  </si>
  <si>
    <t>alces</t>
  </si>
  <si>
    <t>Mazama</t>
  </si>
  <si>
    <t>Odocoileus</t>
  </si>
  <si>
    <t>hemionus</t>
  </si>
  <si>
    <t>ehrenbergi</t>
  </si>
  <si>
    <t>Nesokia</t>
  </si>
  <si>
    <t>psammophila</t>
  </si>
  <si>
    <t>perrensis</t>
  </si>
  <si>
    <t>New Guniea, New Britain (Bismarck Arch)</t>
  </si>
  <si>
    <t>melanotus</t>
  </si>
  <si>
    <t>Sulawesi, Timor, Molucca Isls and Numfoor Isls (Off N coast New Guniea); extreme S New Guinea</t>
  </si>
  <si>
    <t>cephalotes</t>
  </si>
  <si>
    <t>Bonin and Volcano Isls (Japan)</t>
  </si>
  <si>
    <t>Molucca isls, New Guniea, adjacent small isls, N australia</t>
  </si>
  <si>
    <t>New Guinea, Irian Jaya, Geelvink Bay, Legarar River</t>
  </si>
  <si>
    <t>discolor</t>
  </si>
  <si>
    <t>E Queensland (Australia)</t>
  </si>
  <si>
    <t>Nyctinomops</t>
  </si>
  <si>
    <t>South Africa to Nigeria, Algeria and Egypt to Yemen and Oman, east to India and Sri Lanka</t>
  </si>
  <si>
    <t>aegyptiaca</t>
  </si>
  <si>
    <t>France, Portugal and Morocco to Japan, S China and Taiwan, maderia (Portugal) and Canary Isl (Spain)</t>
  </si>
  <si>
    <t>aitkeni</t>
  </si>
  <si>
    <t>Ruwenzorisorex</t>
  </si>
  <si>
    <t>suncoides</t>
  </si>
  <si>
    <t>Scutisorex</t>
  </si>
  <si>
    <t>olallae</t>
  </si>
  <si>
    <t>tansaniana</t>
  </si>
  <si>
    <t>tarfayensis</t>
  </si>
  <si>
    <t>telfordi</t>
  </si>
  <si>
    <t>turba</t>
  </si>
  <si>
    <t>antisensis</t>
  </si>
  <si>
    <t>zimmeri</t>
  </si>
  <si>
    <t>Myosorex</t>
  </si>
  <si>
    <t>Caluromys</t>
  </si>
  <si>
    <t>virginiana</t>
  </si>
  <si>
    <t>Eutatus</t>
  </si>
  <si>
    <t>Myrmecobius</t>
  </si>
  <si>
    <t>fasciatus</t>
  </si>
  <si>
    <t>Didelphimorphia</t>
  </si>
  <si>
    <t>Didelphidae</t>
  </si>
  <si>
    <t>puda</t>
  </si>
  <si>
    <t>Marmosa</t>
  </si>
  <si>
    <t>canescens</t>
  </si>
  <si>
    <t>mexicana</t>
  </si>
  <si>
    <t>Philander</t>
  </si>
  <si>
    <t>opossum</t>
  </si>
  <si>
    <t>lanatus</t>
  </si>
  <si>
    <t>albiventris</t>
  </si>
  <si>
    <t>aurita</t>
  </si>
  <si>
    <t>opimus</t>
  </si>
  <si>
    <t>peruanus</t>
  </si>
  <si>
    <t>pontifex</t>
  </si>
  <si>
    <t>variegatoides</t>
  </si>
  <si>
    <t>yucatanensis</t>
  </si>
  <si>
    <t>littledalei</t>
  </si>
  <si>
    <t>stenocephala</t>
  </si>
  <si>
    <t>dichotomus</t>
  </si>
  <si>
    <t>Dasyurus</t>
  </si>
  <si>
    <t>hallucatus</t>
  </si>
  <si>
    <t>flavipes</t>
  </si>
  <si>
    <t>poensis</t>
  </si>
  <si>
    <t>raineyi</t>
  </si>
  <si>
    <t>swainsonii</t>
  </si>
  <si>
    <t>lasiurus</t>
  </si>
  <si>
    <t>Catagonus</t>
  </si>
  <si>
    <t>wagneri</t>
  </si>
  <si>
    <t>megalura</t>
  </si>
  <si>
    <t>agilis</t>
  </si>
  <si>
    <t>dryas</t>
  </si>
  <si>
    <t>Lutreolina</t>
  </si>
  <si>
    <t>andersoni</t>
  </si>
  <si>
    <t>lepida</t>
  </si>
  <si>
    <t>californicus</t>
  </si>
  <si>
    <t>callotis</t>
  </si>
  <si>
    <t>gapperi</t>
  </si>
  <si>
    <t>rutilus</t>
  </si>
  <si>
    <t>Dicrostonyx</t>
  </si>
  <si>
    <t>groenlandicus</t>
  </si>
  <si>
    <t>Habromys</t>
  </si>
  <si>
    <t>lateralis</t>
  </si>
  <si>
    <t>dybowskii</t>
  </si>
  <si>
    <t>horrens</t>
  </si>
  <si>
    <t>Ecuador and Guyana to Sonora and Tamaulipas (Mexico)</t>
  </si>
  <si>
    <t>frithi</t>
  </si>
  <si>
    <t>franqueti</t>
  </si>
  <si>
    <t>121, 122</t>
  </si>
  <si>
    <t>range275-520g</t>
  </si>
  <si>
    <t>Coronado</t>
  </si>
  <si>
    <t>Biak-Supiori, Japen, Owi</t>
  </si>
  <si>
    <t>Guadalcanal</t>
  </si>
  <si>
    <t>Tamaulipas and Sinaloa (Mexico) to Peru, N Argentina, Brazil and Guinanas, Trinidad</t>
  </si>
  <si>
    <t>davyi</t>
  </si>
  <si>
    <t>fuliginosus</t>
  </si>
  <si>
    <t>lasiotis</t>
  </si>
  <si>
    <t>Thomasomys</t>
  </si>
  <si>
    <t>cerradensis</t>
  </si>
  <si>
    <t>W Angola, NW Nambia</t>
  </si>
  <si>
    <t>Ethiopia to Uganda and Tanzania</t>
  </si>
  <si>
    <t>umbrosus</t>
  </si>
  <si>
    <t>Status</t>
  </si>
  <si>
    <t>Timor, Samao Isl, Dyampea Isl, Bonerato Isls, Saleyer Isl, Sulawesi and Banda Isls (Indonesia) perhaps S Luzon (Philippines)</t>
  </si>
  <si>
    <t>admiralitatum</t>
  </si>
  <si>
    <t>NE India to S China and Vietnam, south to W Malaysia, Taiwan and Java and Bali</t>
  </si>
  <si>
    <t>Japen Isl (off NW New Guinea)</t>
  </si>
  <si>
    <t>pohlei</t>
  </si>
  <si>
    <t>hunting, habitat loss, changes in native competitors/parasites/pathogens</t>
  </si>
  <si>
    <t>Gambia to Kenya, Tanzania (including Zanzibar), Mozambique</t>
  </si>
  <si>
    <t>Mops</t>
  </si>
  <si>
    <t>Cuba, bahama Isls</t>
  </si>
  <si>
    <t>Mauritania, senegal and Guinea-Bissau to Egypt, south to Tanzania and east to Burma</t>
  </si>
  <si>
    <t>New Guinea, Bismarck Arch</t>
  </si>
  <si>
    <t>Noctilio</t>
  </si>
  <si>
    <t>Conepatus</t>
  </si>
  <si>
    <t>leuconotus</t>
  </si>
  <si>
    <t>rufescens</t>
  </si>
  <si>
    <t>Lontra</t>
  </si>
  <si>
    <t>Petauroides</t>
  </si>
  <si>
    <t>volans</t>
  </si>
  <si>
    <t>Petropseudes</t>
  </si>
  <si>
    <t>Aztlanolagus</t>
  </si>
  <si>
    <t>leonensis</t>
  </si>
  <si>
    <t>Notoryctes</t>
  </si>
  <si>
    <t>typhlops</t>
  </si>
  <si>
    <t>caniventer</t>
  </si>
  <si>
    <t>longicaudis</t>
  </si>
  <si>
    <t>dahli</t>
  </si>
  <si>
    <t>Tarsipedidae</t>
  </si>
  <si>
    <t>Tarsipes</t>
  </si>
  <si>
    <t>Rhyncholestes</t>
  </si>
  <si>
    <t>Vombatidae</t>
  </si>
  <si>
    <t>Lasiorhinus</t>
  </si>
  <si>
    <t>krefftii</t>
  </si>
  <si>
    <t>latifrons</t>
  </si>
  <si>
    <t>eremiana</t>
  </si>
  <si>
    <t>brasiliensis</t>
  </si>
  <si>
    <t>Otariidae</t>
  </si>
  <si>
    <t>Vombatus</t>
  </si>
  <si>
    <t>ursinus</t>
  </si>
  <si>
    <t>Hyracoidea</t>
  </si>
  <si>
    <t>Procaviidae</t>
  </si>
  <si>
    <t>pusillus</t>
  </si>
  <si>
    <t>Neophoca</t>
  </si>
  <si>
    <t>Tachyglossidae</t>
  </si>
  <si>
    <t>Tachyglossus</t>
  </si>
  <si>
    <t>tridactylus</t>
  </si>
  <si>
    <t>Aepyprymnus</t>
  </si>
  <si>
    <t>Mustela</t>
  </si>
  <si>
    <t>Lutra</t>
  </si>
  <si>
    <t>Species</t>
  </si>
  <si>
    <t>mesoleucus</t>
  </si>
  <si>
    <t>semistriatus</t>
  </si>
  <si>
    <t>Phascolarctos</t>
  </si>
  <si>
    <t>cinereus</t>
  </si>
  <si>
    <t>Potoroidae</t>
  </si>
  <si>
    <t>Hypsiprymnodon</t>
  </si>
  <si>
    <t>frenata</t>
  </si>
  <si>
    <t>brooksi</t>
  </si>
  <si>
    <t>Dendromus</t>
  </si>
  <si>
    <t>caraya</t>
  </si>
  <si>
    <t>fulvastra</t>
  </si>
  <si>
    <t>orophilus</t>
  </si>
  <si>
    <t>puer</t>
  </si>
  <si>
    <t>ingrami</t>
  </si>
  <si>
    <t>tenuirostris</t>
  </si>
  <si>
    <t>scriptus</t>
  </si>
  <si>
    <t>Litopterna</t>
  </si>
  <si>
    <t>Macraucheniidae</t>
  </si>
  <si>
    <t>Macrauchenia</t>
  </si>
  <si>
    <t>patachonica</t>
  </si>
  <si>
    <t>lucina</t>
  </si>
  <si>
    <t>crassicaudata</t>
  </si>
  <si>
    <t>Cameroon to Ethiopia, south to angola and Natal (South Africa)</t>
  </si>
  <si>
    <t>stenops</t>
  </si>
  <si>
    <t>Phyllonycteris</t>
  </si>
  <si>
    <t>aphylla</t>
  </si>
  <si>
    <t>Cuba, Isle of Pines, Hispaniola</t>
  </si>
  <si>
    <t>faunulus</t>
  </si>
  <si>
    <t>Truk Isls (C Caroline Isls)</t>
  </si>
  <si>
    <t>Neopteryx</t>
  </si>
  <si>
    <t>frosti</t>
  </si>
  <si>
    <t>Alionycteris</t>
  </si>
  <si>
    <t>paucidentata</t>
  </si>
  <si>
    <t>vizcaccia</t>
  </si>
  <si>
    <t>Sao Tome Isl (Gulf of Guinea)</t>
  </si>
  <si>
    <t>Mimon</t>
  </si>
  <si>
    <t>Balabac, Palawan, Busuanga Isl (Philippines)</t>
  </si>
  <si>
    <t>Philippines, Panay, Concepcion</t>
  </si>
  <si>
    <t>Vanuata (=New Hebrides) New Caledonia, Fiji Isls, Caroline Isls</t>
  </si>
  <si>
    <t>Notopteris</t>
  </si>
  <si>
    <t>macdonaldi</t>
  </si>
  <si>
    <t>Gambia to Ethiopia, south to Angola, Zambia, Burundi and Tanzania</t>
  </si>
  <si>
    <t>Mortlock and Ponape Isls (Caroline Isls)</t>
  </si>
  <si>
    <t>molossinus</t>
  </si>
  <si>
    <t>Sonora and Tamaulipas (Mexico) to Peru, Bolivia and Brazil</t>
  </si>
  <si>
    <t>aurispinosus</t>
  </si>
  <si>
    <t>bemmeleni</t>
  </si>
  <si>
    <t>setiger</t>
  </si>
  <si>
    <t>Ghana, Nigeria, Cameroon, zaire, Uganda</t>
  </si>
  <si>
    <t>Venezuela, Trinidad, Surinam, brazil, Ecuador, Peru, Bolivia, paraguay, N Argentina</t>
  </si>
  <si>
    <t>Promops</t>
  </si>
  <si>
    <t>Guerrero and Yucatan (Mexico) to Peru, paraguay and s and E Brazil; Trinidad and Tobago, margarita Isl (venezuela); Aruba Isl (Netherlands Antilles); Grenada</t>
  </si>
  <si>
    <t>E Oaxaca and C Veracruz (Mexico) to C and E brazil, peru, Bolivia, French Guiana, Guyana and Surinam, trinidad</t>
  </si>
  <si>
    <t>Rhynchonycteris</t>
  </si>
  <si>
    <t>Eumops</t>
  </si>
  <si>
    <t>Coasta Rica, Panama, Venezuela, Guyana, French Guiana, Peru, Bolivia, Brazil</t>
  </si>
  <si>
    <t>hansae</t>
  </si>
  <si>
    <t>Oaxaca and Yutcatan (Mexico) to Peru, N Argentina, E Brazil and Trinidad</t>
  </si>
  <si>
    <t>auripendulus</t>
  </si>
  <si>
    <t>hunting, persecution, habitat loss, hybridizers, parasites/pathogens</t>
  </si>
  <si>
    <t>robinsoni</t>
  </si>
  <si>
    <t>rubra</t>
  </si>
  <si>
    <t>Vulpes</t>
  </si>
  <si>
    <t>chama</t>
  </si>
  <si>
    <t>pallida</t>
  </si>
  <si>
    <t>zunigae</t>
  </si>
  <si>
    <t>Glironia</t>
  </si>
  <si>
    <t>venusta</t>
  </si>
  <si>
    <t>Gracilinanus</t>
  </si>
  <si>
    <t>stolzmanni</t>
  </si>
  <si>
    <t>tweedii</t>
  </si>
  <si>
    <t>Irenomys</t>
  </si>
  <si>
    <t>tarsalis</t>
  </si>
  <si>
    <t>aceramarcae</t>
  </si>
  <si>
    <t>lixus</t>
  </si>
  <si>
    <t>murinus</t>
  </si>
  <si>
    <t>canaliculatus</t>
  </si>
  <si>
    <t>11, 52</t>
  </si>
  <si>
    <t>remyi</t>
  </si>
  <si>
    <t>Tayassuidae</t>
  </si>
  <si>
    <t>Tayassu</t>
  </si>
  <si>
    <t>pecari</t>
  </si>
  <si>
    <t>Brachylagus</t>
  </si>
  <si>
    <t>bombifrons</t>
  </si>
  <si>
    <t>W Venezuela, Colombia, Ecuador, peru, Bolivia, NW Argentina</t>
  </si>
  <si>
    <t>Amorphochilus</t>
  </si>
  <si>
    <t>schnablii</t>
  </si>
  <si>
    <t>Costa Rica to Peru and E brazil, Trinidad</t>
  </si>
  <si>
    <t>Furipterus</t>
  </si>
  <si>
    <t>wahlbergi</t>
  </si>
  <si>
    <t>Senegal to W Ethiopia, S Tanzania to Angola and South Africa</t>
  </si>
  <si>
    <t>Ariteus</t>
  </si>
  <si>
    <t>Luisiade Arch, D'Entrecasteaux Isls and Trobriand Isls (Papua New Guinea)</t>
  </si>
  <si>
    <t>pannietensis</t>
  </si>
  <si>
    <t>Colombia to Venezuela, peru and Bolivia, amazonian Brazil</t>
  </si>
  <si>
    <t>Sphaeronycteris</t>
  </si>
  <si>
    <t>toxophyllum</t>
  </si>
  <si>
    <t>Pygoderma</t>
  </si>
  <si>
    <t>bilabiatum</t>
  </si>
  <si>
    <t>Sumatra, Borneo, W Malaysia, Luzon and Mindanao (Philippines)</t>
  </si>
  <si>
    <t>Dyacopterus</t>
  </si>
  <si>
    <t>Eidolon</t>
  </si>
  <si>
    <t>helvum</t>
  </si>
  <si>
    <t>N Angola, S Congo Republic</t>
  </si>
  <si>
    <t>Epomophorus</t>
  </si>
  <si>
    <t>Nigeria to Ethiopia and south to Congo Republic and Malawi</t>
  </si>
  <si>
    <t>Fiji Isls, Tutuila Isl (american Samoa)</t>
  </si>
  <si>
    <t>samoensis</t>
  </si>
  <si>
    <t>Cloeotis</t>
  </si>
  <si>
    <t>Solomon Isls, Admirality Isls, New Britain and Tabar Isls (Bismarck Arch.)</t>
  </si>
  <si>
    <t>NW Peru and N Venezuela to S Baja California, S Sonora and Nuevo Leon (Mexico); Trinidad; S Lesser antilles</t>
  </si>
  <si>
    <t>Colombia, Venezuela, Guianas, N Brazil, Peru</t>
  </si>
  <si>
    <t>Jalisco (Mexico) to NW Nicaragua, Guyana</t>
  </si>
  <si>
    <t>subrufa</t>
  </si>
  <si>
    <t>gymnonotus</t>
  </si>
  <si>
    <t>leporinus</t>
  </si>
  <si>
    <t>Senegal, Dialakoto</t>
  </si>
  <si>
    <t>gambiensis</t>
  </si>
  <si>
    <t>Sierra leone to Ethiopia and Kenya</t>
  </si>
  <si>
    <t>nanulus</t>
  </si>
  <si>
    <t>Zambia and South Africa to SW Tanzania; Ethiopia, Somalia; Cameroon</t>
  </si>
  <si>
    <t>woodi</t>
  </si>
  <si>
    <t>Guaseloupe and Montserrat (Lesser Antilles)</t>
  </si>
  <si>
    <t>improvisum</t>
  </si>
  <si>
    <t>sinaloa (Mexico) to Guianas, s Brazil, N Argentina, and Peru, Trinidad; Greater and Lesser Antilles; s Bahamas</t>
  </si>
  <si>
    <t>W Malaysia, Sumatra, Borneo, perhaps Java</t>
  </si>
  <si>
    <t>mops</t>
  </si>
  <si>
    <t>Sudan, Zaire, Uganda, Burkina Faso</t>
  </si>
  <si>
    <t>cooperi</t>
  </si>
  <si>
    <t>Tylomys</t>
  </si>
  <si>
    <t>cinerea</t>
  </si>
  <si>
    <t>Phocidae</t>
  </si>
  <si>
    <t>Lobodon</t>
  </si>
  <si>
    <t>simulus</t>
  </si>
  <si>
    <t>Connochaetes</t>
  </si>
  <si>
    <t>narica</t>
  </si>
  <si>
    <t>Nasuella</t>
  </si>
  <si>
    <t>olivacea</t>
  </si>
  <si>
    <t>lunatus</t>
  </si>
  <si>
    <t>pectoralis</t>
  </si>
  <si>
    <t>perfulvus</t>
  </si>
  <si>
    <t>polionotus</t>
  </si>
  <si>
    <t>polius</t>
  </si>
  <si>
    <t>incomtus</t>
  </si>
  <si>
    <t>Delanymys</t>
  </si>
  <si>
    <t>borealis</t>
  </si>
  <si>
    <t>Eremitalpa</t>
  </si>
  <si>
    <t>gabbii</t>
  </si>
  <si>
    <t>bennetti</t>
  </si>
  <si>
    <t>Agoutidae</t>
  </si>
  <si>
    <t>Agouti</t>
  </si>
  <si>
    <t>melanotis</t>
  </si>
  <si>
    <t>dayi</t>
  </si>
  <si>
    <t>africaeaustralis</t>
  </si>
  <si>
    <t>trivirgatus</t>
  </si>
  <si>
    <t>Solomon Isl, Santa Cruz Isls, Ndeni Isl.</t>
  </si>
  <si>
    <t>Sierra leone to s and E Zaire; W Kenya; SW Sudan; NE Angola; Bioko</t>
  </si>
  <si>
    <t>arge</t>
  </si>
  <si>
    <t>Indonesia, Batjan, Halmahera, Morotai, Ternate, Tidore</t>
  </si>
  <si>
    <t>hunting, pollution</t>
  </si>
  <si>
    <t xml:space="preserve">Nusa Tenggara: islands of Rintja, Padar, and Flores; probably occurs on other islands in the Lesser Sunda chain (e.g., Komodo). </t>
  </si>
  <si>
    <t>Russia, China</t>
  </si>
  <si>
    <t>China, Mongolia, Russia (Siberia), Korea</t>
  </si>
  <si>
    <t>Ukraine, Kazakhstan, Mongolia, NW China</t>
  </si>
  <si>
    <t>kuhlii</t>
  </si>
  <si>
    <t>fuscicollis</t>
  </si>
  <si>
    <t>imperator</t>
  </si>
  <si>
    <t>inustus</t>
  </si>
  <si>
    <t>N Pacific, from Hokkaido (Japan) to S California (USA)</t>
  </si>
  <si>
    <t>Veracruz (Mexico) to Ecuador and Peru, N and SW Brazil and Guinanas, Trinidad, perhaps Jamaica</t>
  </si>
  <si>
    <t>Umboi Isl, Bismarck Arch, Solomon Isl</t>
  </si>
  <si>
    <t>Megasorex</t>
  </si>
  <si>
    <t>optatum</t>
  </si>
  <si>
    <t>latrans</t>
  </si>
  <si>
    <t>edwardsii</t>
  </si>
  <si>
    <t>Oecomys</t>
  </si>
  <si>
    <t>cleberi</t>
  </si>
  <si>
    <t>flavicans</t>
  </si>
  <si>
    <t>mamorae</t>
  </si>
  <si>
    <t>paricola</t>
  </si>
  <si>
    <t>Notiomys</t>
  </si>
  <si>
    <t>novaehollandiae</t>
  </si>
  <si>
    <t>apodemoides</t>
  </si>
  <si>
    <t>roberti</t>
  </si>
  <si>
    <t>speciosus</t>
  </si>
  <si>
    <t>S&amp;C China, Tibet, N Vietnam</t>
  </si>
  <si>
    <t>superans</t>
  </si>
  <si>
    <t>Chrysocyon</t>
  </si>
  <si>
    <t>demerarae</t>
  </si>
  <si>
    <t>arizonae</t>
  </si>
  <si>
    <t>cracens</t>
  </si>
  <si>
    <t>dorothea</t>
  </si>
  <si>
    <t>lupus</t>
  </si>
  <si>
    <t>rueppelli</t>
  </si>
  <si>
    <t>vulpes</t>
  </si>
  <si>
    <t>zerda</t>
  </si>
  <si>
    <t>altissimus</t>
  </si>
  <si>
    <t>brevicaudata</t>
  </si>
  <si>
    <t>domestica</t>
  </si>
  <si>
    <t>iheringi</t>
  </si>
  <si>
    <t>kunsi</t>
  </si>
  <si>
    <t>osgoodi</t>
  </si>
  <si>
    <t>Acinonyx</t>
  </si>
  <si>
    <t>Greater Antilles, adjacent small islands</t>
  </si>
  <si>
    <t>Mormoopidae</t>
  </si>
  <si>
    <t>Mormoops</t>
  </si>
  <si>
    <t>blainvillii</t>
  </si>
  <si>
    <t>Colobia, Venezuela, Paraguay, N Argentina</t>
  </si>
  <si>
    <t>E Zaire, Rwanda, Kenya, Tanzania, Zambia, Malawi, Zimbabwe, Transvaal (South africa), Madagascar</t>
  </si>
  <si>
    <t>brazil</t>
  </si>
  <si>
    <t>espiritosantensis</t>
  </si>
  <si>
    <t>Kenya, zimbabwe</t>
  </si>
  <si>
    <t>lobata</t>
  </si>
  <si>
    <t>Ethiopia to south Africa</t>
  </si>
  <si>
    <t>hunting, persecution, habitat loss, parasites/pathogens, chgs in native species dynamics</t>
  </si>
  <si>
    <t>hunting, habitat loss, civil war, poor reproduction</t>
  </si>
  <si>
    <t>hunting, chgs in prey base</t>
  </si>
  <si>
    <t>Microryzomys</t>
  </si>
  <si>
    <t>nigricauda</t>
  </si>
  <si>
    <t>robusta</t>
  </si>
  <si>
    <t>Neusticomys</t>
  </si>
  <si>
    <t>mussoi</t>
  </si>
  <si>
    <t>hucucha</t>
  </si>
  <si>
    <t>nasutus</t>
  </si>
  <si>
    <t>yunganus</t>
  </si>
  <si>
    <t>hacketti</t>
  </si>
  <si>
    <t>Megalibgwilia</t>
  </si>
  <si>
    <t>ramsayi</t>
  </si>
  <si>
    <t>spp1</t>
  </si>
  <si>
    <t>Bunolagus</t>
  </si>
  <si>
    <t>monticularis</t>
  </si>
  <si>
    <t>rupestris</t>
  </si>
  <si>
    <t>Cameroon to Somalia, south to Angola and South Africa; Pemba and Zanzibar isls</t>
  </si>
  <si>
    <t>Guatemala, El Salvador, Honduras, NC Nicaragua</t>
  </si>
  <si>
    <t>tawitawiensis</t>
  </si>
  <si>
    <t>turkestanicus</t>
  </si>
  <si>
    <t>xanthurus</t>
  </si>
  <si>
    <t>salamonis</t>
  </si>
  <si>
    <t>Pygathrix</t>
  </si>
  <si>
    <t>feliceus</t>
  </si>
  <si>
    <t>foramineus</t>
  </si>
  <si>
    <t>entellus</t>
  </si>
  <si>
    <t>Trachypithecus</t>
  </si>
  <si>
    <t>giluwensis</t>
  </si>
  <si>
    <t>hainaldi</t>
  </si>
  <si>
    <t>sicula</t>
  </si>
  <si>
    <t>susiana</t>
  </si>
  <si>
    <t>tarella</t>
  </si>
  <si>
    <t>zimmermanni</t>
  </si>
  <si>
    <t>Diplomesodon</t>
  </si>
  <si>
    <t>jobiensis</t>
  </si>
  <si>
    <t>Senegal to Somalia; S to S Africa, Botswana and Nambia</t>
  </si>
  <si>
    <t>San Salvador Isls., Galapagos Archipelago</t>
  </si>
  <si>
    <t>Nepal, India, Burma, China</t>
  </si>
  <si>
    <t>Senegal to Ethiopia to South Africa; SW Arabia, islands in the Guinea Gulf and off E Africa</t>
  </si>
  <si>
    <t>Alor Isls (near Timor) Lombok and Flores (Indonesia)</t>
  </si>
  <si>
    <t>lombocensis</t>
  </si>
  <si>
    <t>males: 95.1 (75-117); females: 85 (72-97.5)</t>
  </si>
  <si>
    <t>soemmerringii</t>
  </si>
  <si>
    <t>spekei</t>
  </si>
  <si>
    <t>thomsonii</t>
  </si>
  <si>
    <t>cuvieri</t>
  </si>
  <si>
    <t>Hippotragus</t>
  </si>
  <si>
    <t>Scotinomys</t>
  </si>
  <si>
    <t>teguina</t>
  </si>
  <si>
    <t>Sigmodon</t>
  </si>
  <si>
    <t>villosus</t>
  </si>
  <si>
    <t>sumichrasti</t>
  </si>
  <si>
    <t>Nasua</t>
  </si>
  <si>
    <t>Taiwan, Hainan Isl., China</t>
  </si>
  <si>
    <t>Korea, China</t>
  </si>
  <si>
    <t>Angola</t>
  </si>
  <si>
    <t>Espiritu Santo Island, Mexico</t>
  </si>
  <si>
    <t>Senegal to Somalia and south to Angola and South Africa; Zanzibar; Bioko</t>
  </si>
  <si>
    <t>S Texas (USA) to Venezuela, Peru, Bolivia and E Brazil</t>
  </si>
  <si>
    <t>Diphylla</t>
  </si>
  <si>
    <t>ecaudata</t>
  </si>
  <si>
    <t>spurrelli</t>
  </si>
  <si>
    <t>NW Zaire, Uganda</t>
  </si>
  <si>
    <t>trevori</t>
  </si>
  <si>
    <t>N and C Australia</t>
  </si>
  <si>
    <t>Macroderma</t>
  </si>
  <si>
    <t>New Guinea, Bismarck Arch.</t>
  </si>
  <si>
    <t>Senegal to saudi arabia, south to Botswana and Tansvall (South africa), Madagascar</t>
  </si>
  <si>
    <t>Senegal to Somalia, south to Zambia and Malawi; Zanzibar</t>
  </si>
  <si>
    <t>Lavia</t>
  </si>
  <si>
    <t>frons</t>
  </si>
  <si>
    <t>niangarae</t>
  </si>
  <si>
    <t>Sulawesi (Indonesia) and adjacent small islands, Philippines</t>
  </si>
  <si>
    <t>sarasinorum</t>
  </si>
  <si>
    <t>Liberia, Ivory Coast, Ghana, Togo, Benin, Rio Muni and Bioko (Equatorial Guinea) Zaire</t>
  </si>
  <si>
    <t>Centronycteris</t>
  </si>
  <si>
    <t>Neotragus</t>
  </si>
  <si>
    <t>Gerbillus</t>
  </si>
  <si>
    <t>Xenomys</t>
  </si>
  <si>
    <t>Abrawayaomys</t>
  </si>
  <si>
    <t>ruschii</t>
  </si>
  <si>
    <t>melanocephalus</t>
  </si>
  <si>
    <t>Callicebus</t>
  </si>
  <si>
    <t>brunneus</t>
  </si>
  <si>
    <t>caligatus</t>
  </si>
  <si>
    <t>cinerascens</t>
  </si>
  <si>
    <t>cupreus</t>
  </si>
  <si>
    <t>lichtensteinii</t>
  </si>
  <si>
    <t>lemurinus</t>
  </si>
  <si>
    <t>nancymaae</t>
  </si>
  <si>
    <t>nigriceps</t>
  </si>
  <si>
    <t>Rwanda, Uganda, Kenya</t>
  </si>
  <si>
    <t>scandens</t>
  </si>
  <si>
    <t>slevini</t>
  </si>
  <si>
    <t>mayori</t>
  </si>
  <si>
    <t>neavei</t>
  </si>
  <si>
    <t>orangiae</t>
  </si>
  <si>
    <t>oubanguii</t>
  </si>
  <si>
    <t>pahari</t>
  </si>
  <si>
    <t>platythrix</t>
  </si>
  <si>
    <t>saxicola</t>
  </si>
  <si>
    <t>sorella</t>
  </si>
  <si>
    <t>thibetana</t>
  </si>
  <si>
    <t>New Ireland, Bishmarch Arch</t>
  </si>
  <si>
    <t>Pakistan, Nepal, India, Bangladesh</t>
  </si>
  <si>
    <t>Tadzhikistan</t>
  </si>
  <si>
    <t>clara</t>
  </si>
  <si>
    <t>davidi</t>
  </si>
  <si>
    <t>zacatecae</t>
  </si>
  <si>
    <t>pallasi</t>
  </si>
  <si>
    <t>rutila</t>
  </si>
  <si>
    <t>NW Nicaragua, Honduras</t>
  </si>
  <si>
    <t>poliopus</t>
  </si>
  <si>
    <t>quadruplicatus</t>
  </si>
  <si>
    <t>setosus</t>
  </si>
  <si>
    <t>simonsi</t>
  </si>
  <si>
    <t>steerei</t>
  </si>
  <si>
    <t>Peroryctes</t>
  </si>
  <si>
    <t>orii</t>
  </si>
  <si>
    <t>osorio</t>
  </si>
  <si>
    <t>palawanensis</t>
  </si>
  <si>
    <t>terrestris</t>
  </si>
  <si>
    <t>Pholidota</t>
  </si>
  <si>
    <t>Manidae</t>
  </si>
  <si>
    <t>bendirii</t>
  </si>
  <si>
    <t>dispar</t>
  </si>
  <si>
    <t>emarginatus</t>
  </si>
  <si>
    <t>Sakhalin Isls, Russia; Kurile Isls</t>
  </si>
  <si>
    <t>St. Lawrence Isls., Bering Sea</t>
  </si>
  <si>
    <t>Tibet</t>
  </si>
  <si>
    <t>Paramushir Isl., Russia</t>
  </si>
  <si>
    <t>offella</t>
  </si>
  <si>
    <t>torrei</t>
  </si>
  <si>
    <t>Brotomys</t>
  </si>
  <si>
    <t>contractus</t>
  </si>
  <si>
    <t>voratus</t>
  </si>
  <si>
    <t>urichi</t>
  </si>
  <si>
    <t>jubatus</t>
  </si>
  <si>
    <t>Caracal</t>
  </si>
  <si>
    <t>caracal</t>
  </si>
  <si>
    <t>Felis</t>
  </si>
  <si>
    <t>chaus</t>
  </si>
  <si>
    <t>buccinatus</t>
  </si>
  <si>
    <t>Burramyidae</t>
  </si>
  <si>
    <t>occidentalis</t>
  </si>
  <si>
    <t>Notomys</t>
  </si>
  <si>
    <t>alexis</t>
  </si>
  <si>
    <t>cervinus</t>
  </si>
  <si>
    <t>fuscus</t>
  </si>
  <si>
    <t>trinitatis</t>
  </si>
  <si>
    <t>arenalis</t>
  </si>
  <si>
    <t>destructor</t>
  </si>
  <si>
    <t>squamipes</t>
  </si>
  <si>
    <t>thomasi</t>
  </si>
  <si>
    <t>rubida</t>
  </si>
  <si>
    <t>scalops</t>
  </si>
  <si>
    <t>margarita</t>
  </si>
  <si>
    <t>nigripes</t>
  </si>
  <si>
    <t>silvestris</t>
  </si>
  <si>
    <t>Leptailurus</t>
  </si>
  <si>
    <t>serval</t>
  </si>
  <si>
    <t>Panthera</t>
  </si>
  <si>
    <t>leo</t>
  </si>
  <si>
    <t>aurata</t>
  </si>
  <si>
    <t>xantheolus</t>
  </si>
  <si>
    <t>India and Sri Lanka throug SE Asia to Borneo, Sumatra, Java and Timor (Indonesia); New Guinea, NE Queensland (Australia); Guadalcanal Isl (Solomon Isls)</t>
  </si>
  <si>
    <t>Australia (except Tasmania), SE New Guinea</t>
  </si>
  <si>
    <t>Ecuador, Peru, S Colombia</t>
  </si>
  <si>
    <t>Epomops</t>
  </si>
  <si>
    <t>Venezuela, N Colombia</t>
  </si>
  <si>
    <t>Brazil, Guianas, Venezuela, Trindad, Colombia, Ecuador, peru, Bolivia</t>
  </si>
  <si>
    <t>spelaea</t>
  </si>
  <si>
    <t>ludovici</t>
  </si>
  <si>
    <t>Ivory Coast to Sudan, Uganda, NW Tanzania, N Zambia and Angola</t>
  </si>
  <si>
    <t>California and Texas (USA) to Zacatecas and Hidalgo (Mexico), Colombia to N argentina and E Brazil, Cuba</t>
  </si>
  <si>
    <t>Lesser Antilles, sonora and Tamaulipas (Mexico) to N Argentina, uruguay and E Brazil, Trindad and Tobago, perhaps Jamaica</t>
  </si>
  <si>
    <t>lilium</t>
  </si>
  <si>
    <t>Scleronycteris</t>
  </si>
  <si>
    <t>ega</t>
  </si>
  <si>
    <t>larger than P. dorsalis</t>
  </si>
  <si>
    <t>Nepal, India, China, Burma, Laos, Vietnam, Malay Penninsula</t>
  </si>
  <si>
    <t>Additional species in North and South America derived from Silva and Downing CRC Body Masses for Mammals (supervision of data input by D. Kaufman).</t>
  </si>
  <si>
    <t>Coronados Isls, Baja California</t>
  </si>
  <si>
    <t>rufomitratus</t>
  </si>
  <si>
    <t>tatarica</t>
  </si>
  <si>
    <t>Santa Cruze and Fernandinan Isls., Galapagos Archipelago</t>
  </si>
  <si>
    <t>Bangladesh, Burma, Cambodia, China, India, Laos, Malaysia, Pakistan, Thailand, Vietnam, Hong Kong</t>
  </si>
  <si>
    <t>Germany, Czechoslovakia, Poland, SE Europe, turkey, Moldova, Ukraine</t>
  </si>
  <si>
    <t>males: head-body: 369 (317-447); tail: 148 (131-173); hindfoot: 64.8 (61-70); females: head-body 341 (337-345); tail: 133; hindfoot: 60.5 (58-63)</t>
  </si>
  <si>
    <t>Philipines</t>
  </si>
  <si>
    <t>Podomys</t>
  </si>
  <si>
    <t>Reithrodontomys</t>
  </si>
  <si>
    <t>dama</t>
  </si>
  <si>
    <t>humulis</t>
  </si>
  <si>
    <t>calabarensis</t>
  </si>
  <si>
    <t>niloticus</t>
  </si>
  <si>
    <t>Beamys</t>
  </si>
  <si>
    <t>Colomys</t>
  </si>
  <si>
    <t>goslingi</t>
  </si>
  <si>
    <t>Cricetomys</t>
  </si>
  <si>
    <t>emini</t>
  </si>
  <si>
    <t>gambianus</t>
  </si>
  <si>
    <t>leche</t>
  </si>
  <si>
    <t>megaceros</t>
  </si>
  <si>
    <t>vardonii</t>
  </si>
  <si>
    <t>Litocranius</t>
  </si>
  <si>
    <t>Soricidae</t>
  </si>
  <si>
    <t>Tremarctos</t>
  </si>
  <si>
    <t>ornatus</t>
  </si>
  <si>
    <t>Viverridae</t>
  </si>
  <si>
    <t>Civettictis</t>
  </si>
  <si>
    <t>civetta</t>
  </si>
  <si>
    <t>angolensis</t>
  </si>
  <si>
    <t>genetta</t>
  </si>
  <si>
    <t>maculata</t>
  </si>
  <si>
    <t>congobelgica</t>
  </si>
  <si>
    <t>servalina</t>
  </si>
  <si>
    <t>thierryi</t>
  </si>
  <si>
    <t>tigrina</t>
  </si>
  <si>
    <t>victoriae</t>
  </si>
  <si>
    <t>Chrysospalax</t>
  </si>
  <si>
    <t>Thailand, W Malysia, Borneo, Durian and Galang Isls</t>
  </si>
  <si>
    <t>Balionycteris</t>
  </si>
  <si>
    <t>N Sulawesi (Indonesia)</t>
  </si>
  <si>
    <t>Boneia</t>
  </si>
  <si>
    <t>Cameroon to E Zaire</t>
  </si>
  <si>
    <t>Casinycteris</t>
  </si>
  <si>
    <t>argynnis</t>
  </si>
  <si>
    <t>Thailand, W Malaysia, Borneo, Sumatra, Java, Nias Isl and Sulawesi</t>
  </si>
  <si>
    <t>Lesser Antilles from Anguilla to St Vincent and Barbados. Fossils known from Puerto Rico</t>
  </si>
  <si>
    <t>plethodon</t>
  </si>
  <si>
    <t>W Malaysia, Borneo, Sumatra, Java and Lombok</t>
  </si>
  <si>
    <t>Aethalops</t>
  </si>
  <si>
    <t>Mindanao (Philippines)</t>
  </si>
  <si>
    <t>maximiliani</t>
  </si>
  <si>
    <t>Costa Rica to C Sonora and S Baja California (Mexico); N Colombia</t>
  </si>
  <si>
    <t>plicata</t>
  </si>
  <si>
    <t>W Ecuador</t>
  </si>
  <si>
    <t>infusca</t>
  </si>
  <si>
    <t>S Veracruz (Mexico) to Peru, brazil and Guianas</t>
  </si>
  <si>
    <t>Chironax</t>
  </si>
  <si>
    <t>Oaxaca (Mexico) to Peru, Bolivia and N Brazil; Trindad and Tobago</t>
  </si>
  <si>
    <t>relicta</t>
  </si>
  <si>
    <t>usambarae</t>
  </si>
  <si>
    <t>watsoni</t>
  </si>
  <si>
    <t>nehringi</t>
  </si>
  <si>
    <t>males: 10366 (7500-14500); females: 8796 (6500-10000)</t>
  </si>
  <si>
    <t>S China, Vietnam, Laos, Thailand, Cambodia, Burma</t>
  </si>
  <si>
    <t>Christmas Isl., Australia</t>
  </si>
  <si>
    <t>China, Laos, Thailand, Burma, India, Bangladesh, Nepal</t>
  </si>
  <si>
    <t>India, Banladesh, Burma, S China</t>
  </si>
  <si>
    <t>Taiwan, Hainan Isl., china</t>
  </si>
  <si>
    <t>stephani</t>
  </si>
  <si>
    <t>stirtoni</t>
  </si>
  <si>
    <t>creper</t>
  </si>
  <si>
    <t>mattheyi</t>
  </si>
  <si>
    <t>introduction</t>
  </si>
  <si>
    <t>Vietnam</t>
  </si>
  <si>
    <t>Cameroon, Gabon, Bioko, Congo Republic, Zaire, Uganda, Tanzania, Burundi</t>
  </si>
  <si>
    <t>China, Nepal</t>
  </si>
  <si>
    <t>Canada (Alberta, Saskatchewan, Manitoba), USA (Montana, to Kansas, east to Minnesota)</t>
  </si>
  <si>
    <t>uncia</t>
  </si>
  <si>
    <t>paradoxura</t>
  </si>
  <si>
    <t>macrocercus</t>
  </si>
  <si>
    <t>Males: head-body: 363 (345-380); tail: 285; hindfoot: 55; ear: 36 (30-41); females: head-body: 305; tail: 250; hindfoot: 54; ear: 36</t>
  </si>
  <si>
    <t>Sudan, Kenya, Tanzania</t>
  </si>
  <si>
    <t>Mozambique</t>
  </si>
  <si>
    <t>EC Africa, Uganda to N Malawi and Zambia to EC tanzania</t>
  </si>
  <si>
    <t>sinensis</t>
  </si>
  <si>
    <t>ankoliae</t>
  </si>
  <si>
    <t>annectens</t>
  </si>
  <si>
    <t>audax</t>
  </si>
  <si>
    <t>daemon</t>
  </si>
  <si>
    <t>males: 2500 (1600-3500); females: 2475 (2000-3000)</t>
  </si>
  <si>
    <t>oriundus</t>
  </si>
  <si>
    <t>Nesolagus</t>
  </si>
  <si>
    <t>netscheri</t>
  </si>
  <si>
    <t>Pentalagus</t>
  </si>
  <si>
    <t>Nigeria, Cameroon</t>
  </si>
  <si>
    <t>males: 2039 (1750-2405); females: 1967 (1900-2000)</t>
  </si>
  <si>
    <t>smallest dasyurid in New Guinea</t>
  </si>
  <si>
    <t>Acrobates</t>
  </si>
  <si>
    <t>Neurotrichus</t>
  </si>
  <si>
    <t>gibbsii</t>
  </si>
  <si>
    <t>sorex</t>
  </si>
  <si>
    <t>macrodon</t>
  </si>
  <si>
    <t>unguifera</t>
  </si>
  <si>
    <t>Dendrolagus</t>
  </si>
  <si>
    <t>lumholtzi</t>
  </si>
  <si>
    <t>irma</t>
  </si>
  <si>
    <t>xanthopus</t>
  </si>
  <si>
    <t>transitionalis</t>
  </si>
  <si>
    <t>goliah</t>
  </si>
  <si>
    <t>rapha</t>
  </si>
  <si>
    <t>Pseudoryzomys</t>
  </si>
  <si>
    <t>collinum</t>
  </si>
  <si>
    <t>26, 28</t>
  </si>
  <si>
    <t>24, 25</t>
  </si>
  <si>
    <t>Tetrameryx</t>
  </si>
  <si>
    <t>shuleri</t>
  </si>
  <si>
    <t>gaspensis</t>
  </si>
  <si>
    <t>fuscatus</t>
  </si>
  <si>
    <t>handleyi</t>
  </si>
  <si>
    <t>impavidus</t>
  </si>
  <si>
    <t>invictus</t>
  </si>
  <si>
    <t>saussurei</t>
  </si>
  <si>
    <t>thor</t>
  </si>
  <si>
    <t>piltonesis</t>
  </si>
  <si>
    <t>Procoptodon</t>
  </si>
  <si>
    <t>North Pacific, Bering Seas</t>
  </si>
  <si>
    <t>N. gen</t>
  </si>
  <si>
    <t>Propleopus</t>
  </si>
  <si>
    <t>oscillans</t>
  </si>
  <si>
    <t>1, 3</t>
  </si>
  <si>
    <t>N India, Burma, S China, Thailand, W malaysia, Borneo, Sumatra, Java, Sumba, Timpr, and Sulawesi (Indonesia), Philippines, Andaman Isls (India)</t>
  </si>
  <si>
    <t>Eonycteris</t>
  </si>
  <si>
    <t>Amazonian Brazil, S Venezuela</t>
  </si>
  <si>
    <t>S Ukraine, Caucasus; turkey, Iran</t>
  </si>
  <si>
    <t>N Korea, China, Russia</t>
  </si>
  <si>
    <t>NE Siberia</t>
  </si>
  <si>
    <t>males: 212, no weight for females</t>
  </si>
  <si>
    <t>Fernandina Isl., Galapagos Archipelago</t>
  </si>
  <si>
    <t>Mongolia</t>
  </si>
  <si>
    <t>Paksitan, Nepal, India</t>
  </si>
  <si>
    <t>Malay peninsula</t>
  </si>
  <si>
    <t>Siberia from Vladivostok to the Amur</t>
  </si>
  <si>
    <t>Kirgizistan, Kazakhstan</t>
  </si>
  <si>
    <t>vegetus</t>
  </si>
  <si>
    <t>victus</t>
  </si>
  <si>
    <t>Chana, SW Nigeria</t>
  </si>
  <si>
    <t>tundra west of hudson bay, Canada; Alaska USA</t>
  </si>
  <si>
    <t>indefessus</t>
  </si>
  <si>
    <t>India, Burma, thailand, Laos, Vietnam</t>
  </si>
  <si>
    <t>Massoutiera</t>
  </si>
  <si>
    <t>mzabi</t>
  </si>
  <si>
    <t>ladacensis</t>
  </si>
  <si>
    <t>sanfelipensis</t>
  </si>
  <si>
    <t>paramicrus</t>
  </si>
  <si>
    <t>migratorius</t>
  </si>
  <si>
    <t>Trinkat, Little Nicobar and Great Nicobar Isls., India</t>
  </si>
  <si>
    <t>napaea</t>
  </si>
  <si>
    <t>bulbivorus</t>
  </si>
  <si>
    <t>Species Distribution</t>
  </si>
  <si>
    <t>E Ukraine, N Caucasus, Turkmenistan, Uzbekistan, Kazakhstan</t>
  </si>
  <si>
    <t>Malaysian subregion</t>
  </si>
  <si>
    <t>trevelyani</t>
  </si>
  <si>
    <t>Manis</t>
  </si>
  <si>
    <t>Glossotherium</t>
  </si>
  <si>
    <t>harlani</t>
  </si>
  <si>
    <t>Crocidura</t>
  </si>
  <si>
    <t>Bangladesh, Burma, china, Indonesia, India, cambodia, Laos, Malaysia, Nepal, Thailand, Vietnam</t>
  </si>
  <si>
    <t>China, Laos, Vietnam</t>
  </si>
  <si>
    <t>manengubae</t>
  </si>
  <si>
    <t>fusciceps</t>
  </si>
  <si>
    <t>Hydrochoeridae</t>
  </si>
  <si>
    <t>avus</t>
  </si>
  <si>
    <t>Cebidae</t>
  </si>
  <si>
    <t>Alouatta</t>
  </si>
  <si>
    <t>palliata</t>
  </si>
  <si>
    <t>Neocherus</t>
  </si>
  <si>
    <t>oesopi</t>
  </si>
  <si>
    <t>Neochoerus</t>
  </si>
  <si>
    <t>pinckneyi</t>
  </si>
  <si>
    <t>Turkey</t>
  </si>
  <si>
    <t>Coastal plains of S. Arabian Peninsula</t>
  </si>
  <si>
    <t>Armenia</t>
  </si>
  <si>
    <t>Canada</t>
  </si>
  <si>
    <t>ultima</t>
  </si>
  <si>
    <t>Phylloderma</t>
  </si>
  <si>
    <t>W Colombia, W Ecuador</t>
  </si>
  <si>
    <t>periosus</t>
  </si>
  <si>
    <t>poeyi</t>
  </si>
  <si>
    <t>brachycephala</t>
  </si>
  <si>
    <t>Nicobar Isls (Bay of Bengal, India)</t>
  </si>
  <si>
    <t>Guinea to central african ruplic</t>
  </si>
  <si>
    <t>Nanonycteris</t>
  </si>
  <si>
    <t>veldkampi</t>
  </si>
  <si>
    <t>Sigmodontomys</t>
  </si>
  <si>
    <t>aphrastus</t>
  </si>
  <si>
    <t>panamensis</t>
  </si>
  <si>
    <t>Costa Rica, Panama</t>
  </si>
  <si>
    <t>dominator</t>
  </si>
  <si>
    <t>Paulamys</t>
  </si>
  <si>
    <t>campanae</t>
  </si>
  <si>
    <t>Sakhalin, Isl., Russia</t>
  </si>
  <si>
    <t>Portugal and Spain</t>
  </si>
  <si>
    <t>semispinosus</t>
  </si>
  <si>
    <t>gabriellae</t>
  </si>
  <si>
    <t>FAMILY</t>
  </si>
  <si>
    <t>extinct</t>
  </si>
  <si>
    <t>ugyunak</t>
  </si>
  <si>
    <t>volnuchini</t>
  </si>
  <si>
    <t>cephalophus</t>
  </si>
  <si>
    <t>Elaphurus</t>
  </si>
  <si>
    <t>davidianus</t>
  </si>
  <si>
    <t>leucops</t>
  </si>
  <si>
    <t>attenuata</t>
  </si>
  <si>
    <t>vandeuseni</t>
  </si>
  <si>
    <t>onager</t>
  </si>
  <si>
    <t>quagga</t>
  </si>
  <si>
    <t>ruatanica</t>
  </si>
  <si>
    <t>excelsus</t>
  </si>
  <si>
    <t>gracillimus</t>
  </si>
  <si>
    <t>Semnopithecus</t>
  </si>
  <si>
    <t>palpator</t>
  </si>
  <si>
    <t>tatei</t>
  </si>
  <si>
    <t>Megaptera</t>
  </si>
  <si>
    <t>medius</t>
  </si>
  <si>
    <t>corinnae</t>
  </si>
  <si>
    <t>Thylacinus</t>
  </si>
  <si>
    <t>garnettii</t>
  </si>
  <si>
    <t>Pongo</t>
  </si>
  <si>
    <t>Galidia</t>
  </si>
  <si>
    <t>Mogera</t>
  </si>
  <si>
    <t>nubrica</t>
  </si>
  <si>
    <t>N. and S. San Lorenzo Isls., and Salsipuedes Isls. Gulf of California</t>
  </si>
  <si>
    <t>Mexico, Guatemala, El Salvador, Hondura</t>
  </si>
  <si>
    <t>Tres Marias Isls, Mexico</t>
  </si>
  <si>
    <t>Guatemala</t>
  </si>
  <si>
    <t>ludia</t>
  </si>
  <si>
    <t>mindorus</t>
  </si>
  <si>
    <t>minuta</t>
  </si>
  <si>
    <t>miya</t>
  </si>
  <si>
    <t>muricauda</t>
  </si>
  <si>
    <t>closest in size and appearance to Phascolosorex dorsalis</t>
  </si>
  <si>
    <t>males: 59 (32-102); females: 48.5</t>
  </si>
  <si>
    <t>no weight for males; females: 200</t>
  </si>
  <si>
    <t>males: 39.1 (38-41.5); females: 49.1 (38-62)</t>
  </si>
  <si>
    <t>called Phalanger gymnotis in mammals of New Guinea</t>
  </si>
  <si>
    <t>Africa -supervision of data input by T.Dayan (see original archive files for species specific body mass references and geographic data)</t>
  </si>
  <si>
    <t>vae</t>
  </si>
  <si>
    <t>Pectinator</t>
  </si>
  <si>
    <t>christyi</t>
  </si>
  <si>
    <t>enganus</t>
  </si>
  <si>
    <t>Nepal to China and to N Burma and Vietnam</t>
  </si>
  <si>
    <t>Sumatra, Borneo (Indonesia)</t>
  </si>
  <si>
    <t>Burma, Malaya</t>
  </si>
  <si>
    <t>S. Thailand to Sumatra</t>
  </si>
  <si>
    <t>Alaska, USA; Yukon, Northwest Territories, Canada</t>
  </si>
  <si>
    <t>Boreno, Sumatra (Indonesia)</t>
  </si>
  <si>
    <t>Kazakhstan, Russia, C Asia, Mongolia, Transbaikalia, China, Afghanistan</t>
  </si>
  <si>
    <t>China, Tibet, Nepal</t>
  </si>
  <si>
    <t>Thylacoleonidae</t>
  </si>
  <si>
    <t>orarius</t>
  </si>
  <si>
    <t>townsendii</t>
  </si>
  <si>
    <t>13, 16, 22</t>
  </si>
  <si>
    <t>misonnei</t>
  </si>
  <si>
    <t>mutoni</t>
  </si>
  <si>
    <t>Surdisorex</t>
  </si>
  <si>
    <t>Taiga zone from Norway, Sweden and Estonia to E Siberia, Mongolia, China, S. Korea</t>
  </si>
  <si>
    <t>Selevinia</t>
  </si>
  <si>
    <t>Glirulus</t>
  </si>
  <si>
    <t>Santa Cruz Island, Galapgos Archipelago</t>
  </si>
  <si>
    <t>annandalei</t>
  </si>
  <si>
    <t>ponceleti</t>
  </si>
  <si>
    <t>philippii</t>
  </si>
  <si>
    <t>Armenia, Azerbaijan, Georgia, maybe Turkey and Iran</t>
  </si>
  <si>
    <t>walie</t>
  </si>
  <si>
    <t>strigidorsa</t>
  </si>
  <si>
    <t>schauinslandi</t>
  </si>
  <si>
    <t>Microperoryctes</t>
  </si>
  <si>
    <t>blarina</t>
  </si>
  <si>
    <t>geata</t>
  </si>
  <si>
    <t>Haiti and Gonave Isl.</t>
  </si>
  <si>
    <t>leucorhina</t>
  </si>
  <si>
    <t>Microhydromys</t>
  </si>
  <si>
    <t>Cuba, Haiti, Pinos Isl.</t>
  </si>
  <si>
    <t>zeylanicus</t>
  </si>
  <si>
    <t>simalurensis</t>
  </si>
  <si>
    <t>steini</t>
  </si>
  <si>
    <t>stoicus</t>
  </si>
  <si>
    <t>tanezumi</t>
  </si>
  <si>
    <t>maura</t>
  </si>
  <si>
    <t>ochreata</t>
  </si>
  <si>
    <t>Hydropotes</t>
  </si>
  <si>
    <t>dicei</t>
  </si>
  <si>
    <t>mansuetus</t>
  </si>
  <si>
    <t>pentadactyla</t>
  </si>
  <si>
    <t>novaeguineae</t>
  </si>
  <si>
    <t>klossi</t>
  </si>
  <si>
    <t>micrura</t>
  </si>
  <si>
    <t>ranjiniae</t>
  </si>
  <si>
    <t>sanila</t>
  </si>
  <si>
    <t>sikkimensis</t>
  </si>
  <si>
    <t>corsicanus</t>
  </si>
  <si>
    <t>angelcabrerai</t>
  </si>
  <si>
    <t>males: 9; females: 11.5 (11-12)</t>
  </si>
  <si>
    <t>Enggano Isl., Indonesia</t>
  </si>
  <si>
    <t>Seram Isl., Indonesia</t>
  </si>
  <si>
    <t>Flores Isls., Indonesia</t>
  </si>
  <si>
    <t>Peleng Isl., Indonesia</t>
  </si>
  <si>
    <t>Allactaga</t>
  </si>
  <si>
    <t>Hexolobodon</t>
  </si>
  <si>
    <t>Isolobodon</t>
  </si>
  <si>
    <t>portoricensis</t>
  </si>
  <si>
    <t>araeum</t>
  </si>
  <si>
    <t>Reference</t>
  </si>
  <si>
    <t>Easternmost panama</t>
  </si>
  <si>
    <t>Trinidad</t>
  </si>
  <si>
    <t>South America -P. Marquet</t>
  </si>
  <si>
    <t>Mysateles</t>
  </si>
  <si>
    <t>garridoi</t>
  </si>
  <si>
    <t>gundlachi</t>
  </si>
  <si>
    <t>meridionalis</t>
  </si>
  <si>
    <t>females: 33 (31-35)</t>
  </si>
  <si>
    <t>males: 16.2 (13-17.6); females: 17.4 (14.5-19.9)</t>
  </si>
  <si>
    <t>males: 24 ; females: 19.8 (19-20.5)</t>
  </si>
  <si>
    <t>Himalayas, china, Tibet, Nepal, India, bhutan, Burma</t>
  </si>
  <si>
    <t xml:space="preserve">males: 19.5 (19-20); females: 18 </t>
  </si>
  <si>
    <t>smaller than any other endemic New Guinea murid; only Lorentzimys nouhuysi is similar in body and form</t>
  </si>
  <si>
    <t>Nicobar Isls., India</t>
  </si>
  <si>
    <t>vanheurni</t>
  </si>
  <si>
    <t>ohiensis</t>
  </si>
  <si>
    <t>females: head-body 193; tail 171, hindfoot 48; ear 22</t>
  </si>
  <si>
    <t>Mongolia, China, Kazakhstan, Iran, Afghanistan, Pakistan</t>
  </si>
  <si>
    <t>Spain, Italy</t>
  </si>
  <si>
    <t>Kenya, Tanzania</t>
  </si>
  <si>
    <t>Taiga and Tundra zones of E Europe; Ukraine, Sibiria, Kazakhstan, Mongolia, China, Korea, Sakhalin</t>
  </si>
  <si>
    <t>Rhizomys</t>
  </si>
  <si>
    <t>pruinosus</t>
  </si>
  <si>
    <t>spinipinnis</t>
  </si>
  <si>
    <t>Kogia</t>
  </si>
  <si>
    <t>Inia</t>
  </si>
  <si>
    <t>geoffrensis</t>
  </si>
  <si>
    <t>Platanista</t>
  </si>
  <si>
    <t>indicus</t>
  </si>
  <si>
    <t>Vandeleuria</t>
  </si>
  <si>
    <t>hydrodromus</t>
  </si>
  <si>
    <t>Siberia to N Korea, Manchuria</t>
  </si>
  <si>
    <t>francoisi</t>
  </si>
  <si>
    <t>geei</t>
  </si>
  <si>
    <t>tardigradus</t>
  </si>
  <si>
    <t>callitrichus</t>
  </si>
  <si>
    <t>hamatus</t>
  </si>
  <si>
    <t>punicans</t>
  </si>
  <si>
    <t>korinchi</t>
  </si>
  <si>
    <t>losea</t>
  </si>
  <si>
    <t>macleari</t>
  </si>
  <si>
    <t>marmosurus</t>
  </si>
  <si>
    <t>mollicomulus</t>
  </si>
  <si>
    <t>morotaiensis</t>
  </si>
  <si>
    <t>lowii</t>
  </si>
  <si>
    <t>Tupaia</t>
  </si>
  <si>
    <t>dobsoni</t>
  </si>
  <si>
    <t>pennatus</t>
  </si>
  <si>
    <t>Sicista</t>
  </si>
  <si>
    <t>euphratica</t>
  </si>
  <si>
    <t>Dipus</t>
  </si>
  <si>
    <t>sagitta</t>
  </si>
  <si>
    <t>bonariensis</t>
  </si>
  <si>
    <t>zamicrus</t>
  </si>
  <si>
    <t>cowani</t>
  </si>
  <si>
    <t>principula</t>
  </si>
  <si>
    <t>leporides</t>
  </si>
  <si>
    <t>greyi</t>
  </si>
  <si>
    <t>strelzowi</t>
  </si>
  <si>
    <t>Apodemus</t>
  </si>
  <si>
    <t>agrarius</t>
  </si>
  <si>
    <t>Talpa</t>
  </si>
  <si>
    <t>europaea</t>
  </si>
  <si>
    <t>sondaicus</t>
  </si>
  <si>
    <t>tenuis</t>
  </si>
  <si>
    <t>Dorcopsulus</t>
  </si>
  <si>
    <t>Ailurops</t>
  </si>
  <si>
    <t>carmelitae</t>
  </si>
  <si>
    <t>Nycticebus</t>
  </si>
  <si>
    <t>males: 392 (355-440); females: 378 (354-395)</t>
  </si>
  <si>
    <t>SW British Columbia, W Washington</t>
  </si>
  <si>
    <t>matanim</t>
  </si>
  <si>
    <t>pelengensis</t>
  </si>
  <si>
    <t>rufoniger</t>
  </si>
  <si>
    <t>lorraineus</t>
  </si>
  <si>
    <t>monardi</t>
  </si>
  <si>
    <t>olga</t>
  </si>
  <si>
    <t>kelleni</t>
  </si>
  <si>
    <t>japonicus</t>
  </si>
  <si>
    <t>zechi</t>
  </si>
  <si>
    <t>crassispinis</t>
  </si>
  <si>
    <t>rupicola</t>
  </si>
  <si>
    <t>Dryomys</t>
  </si>
  <si>
    <t>salebrosus</t>
  </si>
  <si>
    <t>mongoz</t>
  </si>
  <si>
    <t>vali</t>
  </si>
  <si>
    <t>Felovia</t>
  </si>
  <si>
    <t>cynocephalus</t>
  </si>
  <si>
    <t>soricoides</t>
  </si>
  <si>
    <t>Solomys</t>
  </si>
  <si>
    <t>phocaenoides</t>
  </si>
  <si>
    <t>Capromys</t>
  </si>
  <si>
    <t>palmipes</t>
  </si>
  <si>
    <t>males: 3000 (1500-4850); females: 2410 (1800-3000)</t>
  </si>
  <si>
    <t>intercastellanus</t>
  </si>
  <si>
    <t>males: 1870 (1700-2000); females: 2225 (2000-2600)</t>
  </si>
  <si>
    <t>San Pedro Isls, Mexico</t>
  </si>
  <si>
    <t>Himalayas and NE Tibet</t>
  </si>
  <si>
    <t>desmarestianus</t>
  </si>
  <si>
    <t xml:space="preserve">60, 61 </t>
  </si>
  <si>
    <t>arcuatus</t>
  </si>
  <si>
    <t>avunculus</t>
  </si>
  <si>
    <t>brelichi</t>
  </si>
  <si>
    <t>nolthenii</t>
  </si>
  <si>
    <t>albopunctatus</t>
  </si>
  <si>
    <t>spartacus</t>
  </si>
  <si>
    <t>oleracea</t>
  </si>
  <si>
    <t>Vernaya</t>
  </si>
  <si>
    <t>Cameroon, Equatorial Guinea, Gabon, Central African Republic</t>
  </si>
  <si>
    <t>theodorverhoeveni</t>
  </si>
  <si>
    <t>Parahydromys</t>
  </si>
  <si>
    <t>goodfellowi</t>
  </si>
  <si>
    <t>Nepal, India, Bangladesh, S China, Indochina, peninsular thailand, Malay peninsular</t>
  </si>
  <si>
    <t>nitedula</t>
  </si>
  <si>
    <t>sichuanensis</t>
  </si>
  <si>
    <t>Myomimus</t>
  </si>
  <si>
    <t>roachi</t>
  </si>
  <si>
    <t>Caloprymnus</t>
  </si>
  <si>
    <t>martinensis</t>
  </si>
  <si>
    <t>varia</t>
  </si>
  <si>
    <t>Nesoryzomys</t>
  </si>
  <si>
    <t>bailwardi</t>
  </si>
  <si>
    <t>micrus</t>
  </si>
  <si>
    <t>Zaire, Uganda, Rwanda, Kenya, Tanzania, Cameroon</t>
  </si>
  <si>
    <t>no weight in mammals of new guinea</t>
  </si>
  <si>
    <t>nebulosa</t>
  </si>
  <si>
    <t>Enhydra</t>
  </si>
  <si>
    <t>lutris</t>
  </si>
  <si>
    <t>Lutrogale</t>
  </si>
  <si>
    <t>Platacanthomys</t>
  </si>
  <si>
    <t>hondurensis</t>
  </si>
  <si>
    <t>Nectogale</t>
  </si>
  <si>
    <t>parca</t>
  </si>
  <si>
    <t>groenlandica</t>
  </si>
  <si>
    <t>hispida</t>
  </si>
  <si>
    <t>vitulina</t>
  </si>
  <si>
    <t>Ailuropoda</t>
  </si>
  <si>
    <t>davensis</t>
  </si>
  <si>
    <t>fraterculus</t>
  </si>
  <si>
    <t>hoogstraali</t>
  </si>
  <si>
    <t>melanoleuca</t>
  </si>
  <si>
    <t>Ailurus</t>
  </si>
  <si>
    <t>fulgens</t>
  </si>
  <si>
    <t>Helarctos</t>
  </si>
  <si>
    <t>malayanus</t>
  </si>
  <si>
    <t>Melursus</t>
  </si>
  <si>
    <t>Eupleres</t>
  </si>
  <si>
    <t>samarensis</t>
  </si>
  <si>
    <t>dentatus</t>
  </si>
  <si>
    <t>salomonseni</t>
  </si>
  <si>
    <t>Berylmys</t>
  </si>
  <si>
    <t>Archboldomys</t>
  </si>
  <si>
    <t>luzonensis</t>
  </si>
  <si>
    <t>nairobae</t>
  </si>
  <si>
    <t>savilei</t>
  </si>
  <si>
    <t>Batomys</t>
  </si>
  <si>
    <t>Nasalis</t>
  </si>
  <si>
    <t>carlhubbsi</t>
  </si>
  <si>
    <t>mizura</t>
  </si>
  <si>
    <t>lokriah</t>
  </si>
  <si>
    <t>pernyi</t>
  </si>
  <si>
    <t>Sudan, Zaire, Uganda, Kenya, Tanzania, Zambia</t>
  </si>
  <si>
    <t>Siberia, China</t>
  </si>
  <si>
    <t>Turner Island, Sonora, Mexico</t>
  </si>
  <si>
    <t>Zaire, Rwanda, Uganda</t>
  </si>
  <si>
    <t>Erethizontidae</t>
  </si>
  <si>
    <t>Erethizon</t>
  </si>
  <si>
    <t>perspicillata</t>
  </si>
  <si>
    <t>flavigula</t>
  </si>
  <si>
    <t>bedfordiae</t>
  </si>
  <si>
    <t>alticola</t>
  </si>
  <si>
    <t>manul</t>
  </si>
  <si>
    <t>tigris</t>
  </si>
  <si>
    <t>taerae</t>
  </si>
  <si>
    <t>Tarsomys</t>
  </si>
  <si>
    <t>apoensis</t>
  </si>
  <si>
    <t>pallidus</t>
  </si>
  <si>
    <t>Perognathus</t>
  </si>
  <si>
    <t>antillensis</t>
  </si>
  <si>
    <t>insulans</t>
  </si>
  <si>
    <t>males: head-body 108; tail 101; hindfoot 22; ear 13</t>
  </si>
  <si>
    <t>Paraleptomys</t>
  </si>
  <si>
    <t>wilhelmina</t>
  </si>
  <si>
    <t>Paruromys</t>
  </si>
  <si>
    <t>Australia - Morgan Ernest (data from Strahn 1995 -Mammals of Australia. Refer to this source for specific body mass reference)</t>
  </si>
  <si>
    <t>pseudocrinitus</t>
  </si>
  <si>
    <t>rubicunda</t>
  </si>
  <si>
    <t>mayensis</t>
  </si>
  <si>
    <t>tonkeana</t>
  </si>
  <si>
    <t>femoralis</t>
  </si>
  <si>
    <t>Hemitragus</t>
  </si>
  <si>
    <t>Paracrocidura</t>
  </si>
  <si>
    <t>wolfi</t>
  </si>
  <si>
    <t>frontata</t>
  </si>
  <si>
    <t>potenziani</t>
  </si>
  <si>
    <t>graueri</t>
  </si>
  <si>
    <t>maxima</t>
  </si>
  <si>
    <t>Phascolosorex</t>
  </si>
  <si>
    <t>doriae</t>
  </si>
  <si>
    <t>Presbytis</t>
  </si>
  <si>
    <t>comata</t>
  </si>
  <si>
    <t>melalophos</t>
  </si>
  <si>
    <t>Monserrate Isls. Baja CA</t>
  </si>
  <si>
    <t>China,  Vietnam, Laos, Cambodia, Thailand, Burma, India, Nepal</t>
  </si>
  <si>
    <t>muliensis</t>
  </si>
  <si>
    <t>Otocolobus</t>
  </si>
  <si>
    <t>Tateomys</t>
  </si>
  <si>
    <t>echinatus</t>
  </si>
  <si>
    <t>inornatus</t>
  </si>
  <si>
    <t>peruvianus</t>
  </si>
  <si>
    <t>stejnegeri</t>
  </si>
  <si>
    <t>Tasmacetus</t>
  </si>
  <si>
    <t>Fossa</t>
  </si>
  <si>
    <t>naivashae</t>
  </si>
  <si>
    <t>ruandae</t>
  </si>
  <si>
    <t>spalacinus</t>
  </si>
  <si>
    <t>markhami</t>
  </si>
  <si>
    <t>labiosus</t>
  </si>
  <si>
    <t>flavidus</t>
  </si>
  <si>
    <t>cryophilus</t>
  </si>
  <si>
    <t>shepherdi</t>
  </si>
  <si>
    <t>Zenkerella</t>
  </si>
  <si>
    <t>Colorado, Utah, S. through New Mexico and trans pe os, TX to NW Coahuila mexico</t>
  </si>
  <si>
    <t>Vancouver Island, Canada</t>
  </si>
  <si>
    <t>negrina</t>
  </si>
  <si>
    <t>nicobarica</t>
  </si>
  <si>
    <t>obscurior</t>
  </si>
  <si>
    <t>quadricornis</t>
  </si>
  <si>
    <t>bactrianus</t>
  </si>
  <si>
    <t>Wilfredomys</t>
  </si>
  <si>
    <t>oenax</t>
  </si>
  <si>
    <t>pictipes</t>
  </si>
  <si>
    <t>Zygodontomys</t>
  </si>
  <si>
    <t>Myocastoridae</t>
  </si>
  <si>
    <t>berezovskii</t>
  </si>
  <si>
    <t>calamianensis</t>
  </si>
  <si>
    <t>alfredi</t>
  </si>
  <si>
    <t>mariannus</t>
  </si>
  <si>
    <t>schomburgki</t>
  </si>
  <si>
    <t>Galagoides</t>
  </si>
  <si>
    <t>demidoff</t>
  </si>
  <si>
    <t>zanzibaricus</t>
  </si>
  <si>
    <t>maximowiczii</t>
  </si>
  <si>
    <t>obiensis</t>
  </si>
  <si>
    <t>rattoides</t>
  </si>
  <si>
    <t>rubex</t>
  </si>
  <si>
    <t>socialis</t>
  </si>
  <si>
    <t>belangeri</t>
  </si>
  <si>
    <t>picta</t>
  </si>
  <si>
    <t>Elephas</t>
  </si>
  <si>
    <t>janetta</t>
  </si>
  <si>
    <t>meltada</t>
  </si>
  <si>
    <t>musculoides</t>
  </si>
  <si>
    <t>spretus</t>
  </si>
  <si>
    <t>Myopus</t>
  </si>
  <si>
    <t>hopkinsi</t>
  </si>
  <si>
    <t>Phloeomys</t>
  </si>
  <si>
    <t>cossyrensis</t>
  </si>
  <si>
    <t>bocagei</t>
  </si>
  <si>
    <t>mechowi</t>
  </si>
  <si>
    <t>sardus</t>
  </si>
  <si>
    <t>Caprolagus</t>
  </si>
  <si>
    <t>macleayi</t>
  </si>
  <si>
    <t>betulina</t>
  </si>
  <si>
    <t>Echinops</t>
  </si>
  <si>
    <t>Hydrodamalis</t>
  </si>
  <si>
    <t>Ctenodactylus</t>
  </si>
  <si>
    <t>gundi</t>
  </si>
  <si>
    <t>cricetus</t>
  </si>
  <si>
    <t>rubricatus</t>
  </si>
  <si>
    <t>Dinaromys</t>
  </si>
  <si>
    <t>lusitanicus</t>
  </si>
  <si>
    <t>majori</t>
  </si>
  <si>
    <t>rosalinda</t>
  </si>
  <si>
    <t>mirae</t>
  </si>
  <si>
    <t>Wiedomys</t>
  </si>
  <si>
    <t>pyrrhorhinos</t>
  </si>
  <si>
    <t>anthonyi</t>
  </si>
  <si>
    <t>abidi</t>
  </si>
  <si>
    <t>Distoechurus</t>
  </si>
  <si>
    <t>Kazakhstan, Siberia, China, Mongolia</t>
  </si>
  <si>
    <t>paradoxus</t>
  </si>
  <si>
    <t>canariensis</t>
  </si>
  <si>
    <t>brachyura</t>
  </si>
  <si>
    <t>pumila</t>
  </si>
  <si>
    <t>Russia, Mongolia, China, Korea, Palearctic taiga fro N Finland east to Russia</t>
  </si>
  <si>
    <t>Angola, Nambiia</t>
  </si>
  <si>
    <t>Ziphius</t>
  </si>
  <si>
    <t>cavirostris</t>
  </si>
  <si>
    <t>Strigocuscus</t>
  </si>
  <si>
    <t>arnhemensis</t>
  </si>
  <si>
    <t>swarthi</t>
  </si>
  <si>
    <t>whiteheadi</t>
  </si>
  <si>
    <t>hurrianae</t>
  </si>
  <si>
    <t>persicus</t>
  </si>
  <si>
    <t>unguiculatus</t>
  </si>
  <si>
    <t>Mesocricetus</t>
  </si>
  <si>
    <t>brandti</t>
  </si>
  <si>
    <t>superbus</t>
  </si>
  <si>
    <t>gongshanensis</t>
  </si>
  <si>
    <t>devius</t>
  </si>
  <si>
    <t>lunata</t>
  </si>
  <si>
    <t>brunii</t>
  </si>
  <si>
    <t>schisticolor</t>
  </si>
  <si>
    <t>Niviventer</t>
  </si>
  <si>
    <t>cremoriventer</t>
  </si>
  <si>
    <t>sitkensis</t>
  </si>
  <si>
    <t>Phodopus</t>
  </si>
  <si>
    <t>sungorus</t>
  </si>
  <si>
    <t>loriae</t>
  </si>
  <si>
    <t>tiomanicus</t>
  </si>
  <si>
    <t>Chaeropus</t>
  </si>
  <si>
    <t>laticaudatus</t>
  </si>
  <si>
    <t>vulgaris</t>
  </si>
  <si>
    <t>mohavensis</t>
  </si>
  <si>
    <t>undulatus</t>
  </si>
  <si>
    <t>diadema</t>
  </si>
  <si>
    <t>schoutedeni</t>
  </si>
  <si>
    <t>fulva</t>
  </si>
  <si>
    <t>Xenuromys</t>
  </si>
  <si>
    <t>vestitus</t>
  </si>
  <si>
    <t>Geomyidae</t>
  </si>
  <si>
    <t>Geomys</t>
  </si>
  <si>
    <t>arenarius</t>
  </si>
  <si>
    <t>armandvillei</t>
  </si>
  <si>
    <t>caissara</t>
  </si>
  <si>
    <t>coibensis</t>
  </si>
  <si>
    <t>hamlyni</t>
  </si>
  <si>
    <t>preussi</t>
  </si>
  <si>
    <t>papuensis</t>
  </si>
  <si>
    <t>Solisorex</t>
  </si>
  <si>
    <t>schaeferi</t>
  </si>
  <si>
    <t>Sundasciurus</t>
  </si>
  <si>
    <t>hippurus</t>
  </si>
  <si>
    <t>cylindricornis</t>
  </si>
  <si>
    <t>falconeri</t>
  </si>
  <si>
    <t>romana</t>
  </si>
  <si>
    <t>spectabilis</t>
  </si>
  <si>
    <t>salenskii</t>
  </si>
  <si>
    <t>Galemys</t>
  </si>
  <si>
    <t>pyrenaicus</t>
  </si>
  <si>
    <t>Euroscaptor</t>
  </si>
  <si>
    <t>uchidai</t>
  </si>
  <si>
    <t>Parascaptor</t>
  </si>
  <si>
    <t>Scapanulus</t>
  </si>
  <si>
    <t>oweni</t>
  </si>
  <si>
    <t>pyrrhomerus</t>
  </si>
  <si>
    <t>rufigenis</t>
  </si>
  <si>
    <t>Exilisciurus</t>
  </si>
  <si>
    <t>decemlineata</t>
  </si>
  <si>
    <t>bowersi</t>
  </si>
  <si>
    <t>Aeretes</t>
  </si>
  <si>
    <t>fossana</t>
  </si>
  <si>
    <t>Paguma</t>
  </si>
  <si>
    <t>larvata</t>
  </si>
  <si>
    <t>Paradoxurus</t>
  </si>
  <si>
    <t>hermaphroditus</t>
  </si>
  <si>
    <t>Viverra</t>
  </si>
  <si>
    <t>Balaena</t>
  </si>
  <si>
    <t>mysticetus</t>
  </si>
  <si>
    <t>Eubalaena</t>
  </si>
  <si>
    <t>glacialis</t>
  </si>
  <si>
    <t>tangalunga</t>
  </si>
  <si>
    <t>zibetha</t>
  </si>
  <si>
    <t>biswasi</t>
  </si>
  <si>
    <t>Eupetaurus</t>
  </si>
  <si>
    <t>Hylopetes</t>
  </si>
  <si>
    <t>alboniger</t>
  </si>
  <si>
    <t>baberi</t>
  </si>
  <si>
    <t>edeni</t>
  </si>
  <si>
    <t>physalus</t>
  </si>
  <si>
    <t>bartelsi</t>
  </si>
  <si>
    <t>Chiromyscus</t>
  </si>
  <si>
    <t>chiropus</t>
  </si>
  <si>
    <t>novaeangliae</t>
  </si>
  <si>
    <t>Microcebus</t>
  </si>
  <si>
    <t>coquereli</t>
  </si>
  <si>
    <t>Phaner</t>
  </si>
  <si>
    <t>furcifer</t>
  </si>
  <si>
    <t>Hylobates</t>
  </si>
  <si>
    <t>hoolock</t>
  </si>
  <si>
    <t>klossii</t>
  </si>
  <si>
    <t>lar</t>
  </si>
  <si>
    <t>muelleri</t>
  </si>
  <si>
    <t>syndactylus</t>
  </si>
  <si>
    <t>Syntheosciurus</t>
  </si>
  <si>
    <t>brochus</t>
  </si>
  <si>
    <t>canipes</t>
  </si>
  <si>
    <t>Tamiops</t>
  </si>
  <si>
    <t>macclellandi</t>
  </si>
  <si>
    <t>rodolphei</t>
  </si>
  <si>
    <t>bastardi</t>
  </si>
  <si>
    <t>Nesomys</t>
  </si>
  <si>
    <t>anchietae</t>
  </si>
  <si>
    <t>Boselaphus</t>
  </si>
  <si>
    <t>tragocamelus</t>
  </si>
  <si>
    <t>Budorcas</t>
  </si>
  <si>
    <t>taxicolor</t>
  </si>
  <si>
    <t>caucasica</t>
  </si>
  <si>
    <t>Rhinoceros</t>
  </si>
  <si>
    <t>unicornis</t>
  </si>
  <si>
    <t>silenus</t>
  </si>
  <si>
    <t>Arctogalidia</t>
  </si>
  <si>
    <t>Chrotogale</t>
  </si>
  <si>
    <t>owstoni</t>
  </si>
  <si>
    <t>Cryptoprocta</t>
  </si>
  <si>
    <t>ferox</t>
  </si>
  <si>
    <t>bidens</t>
  </si>
  <si>
    <t>bowdoini</t>
  </si>
  <si>
    <t>sinica</t>
  </si>
  <si>
    <t>scotti</t>
  </si>
  <si>
    <t>javanica</t>
  </si>
  <si>
    <t>arctoides</t>
  </si>
  <si>
    <t>fascicularis</t>
  </si>
  <si>
    <t>mulatta</t>
  </si>
  <si>
    <t>nemestrina</t>
  </si>
  <si>
    <t>nigra</t>
  </si>
  <si>
    <t>radiata</t>
  </si>
  <si>
    <t>densirostris</t>
  </si>
  <si>
    <t>gangetica</t>
  </si>
  <si>
    <t>arnuxii</t>
  </si>
  <si>
    <t>Indopacetus</t>
  </si>
  <si>
    <t>Mesoplodon</t>
  </si>
  <si>
    <t>himalayica</t>
  </si>
  <si>
    <t>platycephala</t>
  </si>
  <si>
    <t>styani</t>
  </si>
  <si>
    <t>endersi</t>
  </si>
  <si>
    <t>rhinogradoides</t>
  </si>
  <si>
    <t>loringi</t>
  </si>
  <si>
    <t>Tokudaia</t>
  </si>
  <si>
    <t>longimembris</t>
  </si>
  <si>
    <t>xanthanotus</t>
  </si>
  <si>
    <t>delphis</t>
  </si>
  <si>
    <t>Orcaella</t>
  </si>
  <si>
    <t>hosei</t>
  </si>
  <si>
    <t>macrorhynchus</t>
  </si>
  <si>
    <t>melas</t>
  </si>
  <si>
    <t>Lagenodelphis</t>
  </si>
  <si>
    <t>hectori</t>
  </si>
  <si>
    <t>acutus</t>
  </si>
  <si>
    <t>severtzovi</t>
  </si>
  <si>
    <t>brevirostris</t>
  </si>
  <si>
    <t>Lemur</t>
  </si>
  <si>
    <t>variegata</t>
  </si>
  <si>
    <t>rubriventer</t>
  </si>
  <si>
    <t>Hapalemur</t>
  </si>
  <si>
    <t>catodon</t>
  </si>
  <si>
    <t>platyurus</t>
  </si>
  <si>
    <t>Sakhalin Isl, Russia; Paramushir Isl, N Kuriles</t>
  </si>
  <si>
    <t>martes</t>
  </si>
  <si>
    <t>neglecta</t>
  </si>
  <si>
    <t>layardii</t>
  </si>
  <si>
    <t>mirus</t>
  </si>
  <si>
    <t>syrichta</t>
  </si>
  <si>
    <t>Propithecus</t>
  </si>
  <si>
    <t>verreauxi</t>
  </si>
  <si>
    <t>Eulemur</t>
  </si>
  <si>
    <t>coronatus</t>
  </si>
  <si>
    <t>macaco</t>
  </si>
  <si>
    <t>luciae</t>
  </si>
  <si>
    <t>chrysomelas</t>
  </si>
  <si>
    <t>fiber</t>
  </si>
  <si>
    <t>Neophocaena</t>
  </si>
  <si>
    <t>Pontoporia</t>
  </si>
  <si>
    <t>Berardius</t>
  </si>
  <si>
    <t>Murexia</t>
  </si>
  <si>
    <t>Myoictis</t>
  </si>
  <si>
    <t>Neophascogale</t>
  </si>
  <si>
    <t>lorentzi</t>
  </si>
  <si>
    <t>pagensis</t>
  </si>
  <si>
    <t>panglima</t>
  </si>
  <si>
    <t>rajah</t>
  </si>
  <si>
    <t>surifer</t>
  </si>
  <si>
    <t>wattsi</t>
  </si>
  <si>
    <t>bogdanovi</t>
  </si>
  <si>
    <t>Eolagurus</t>
  </si>
  <si>
    <t>luteus</t>
  </si>
  <si>
    <t>allenbyi</t>
  </si>
  <si>
    <t>perpallidus</t>
  </si>
  <si>
    <t>sachalinensis</t>
  </si>
  <si>
    <t>savii</t>
  </si>
  <si>
    <t>schelkovnikovi</t>
  </si>
  <si>
    <t>sikimensis</t>
  </si>
  <si>
    <t>tatricus</t>
  </si>
  <si>
    <t>transcaspicus</t>
  </si>
  <si>
    <t>Phaulomys</t>
  </si>
  <si>
    <t>ungava</t>
  </si>
  <si>
    <t>Proedromys</t>
  </si>
  <si>
    <t>bedfordi</t>
  </si>
  <si>
    <t>cyanus</t>
  </si>
  <si>
    <t>howelli</t>
  </si>
  <si>
    <t>isabellae</t>
  </si>
  <si>
    <t>prattorum</t>
  </si>
  <si>
    <t>antineae</t>
  </si>
  <si>
    <t>petersi</t>
  </si>
  <si>
    <t>Allocebus</t>
  </si>
  <si>
    <t>solatus</t>
  </si>
  <si>
    <t>vignei</t>
  </si>
  <si>
    <t>ruficaudatus</t>
  </si>
  <si>
    <t>aries</t>
  </si>
  <si>
    <t>musschenbroekii</t>
  </si>
  <si>
    <t>jerdoni</t>
  </si>
  <si>
    <t>zeylonensis</t>
  </si>
  <si>
    <t>Prionodon</t>
  </si>
  <si>
    <t>linsang</t>
  </si>
  <si>
    <t>townsendi</t>
  </si>
  <si>
    <t>Phocarctos</t>
  </si>
  <si>
    <t>hookeri</t>
  </si>
  <si>
    <t>Myosciurus</t>
  </si>
  <si>
    <t>bottai</t>
  </si>
  <si>
    <t>brockmani</t>
  </si>
  <si>
    <t>Hemigalus</t>
  </si>
  <si>
    <t>rufobrachium</t>
  </si>
  <si>
    <t>aquilus</t>
  </si>
  <si>
    <t>picticaudata</t>
  </si>
  <si>
    <t>castroviejoi</t>
  </si>
  <si>
    <t>comus</t>
  </si>
  <si>
    <t>coreanus</t>
  </si>
  <si>
    <t>asper</t>
  </si>
  <si>
    <t>bilkis</t>
  </si>
  <si>
    <t>leptoceros</t>
  </si>
  <si>
    <t>saudiya</t>
  </si>
  <si>
    <t>subgutturosa</t>
  </si>
  <si>
    <t>piacentinii</t>
  </si>
  <si>
    <t>Procapra</t>
  </si>
  <si>
    <t>gutturosa</t>
  </si>
  <si>
    <t>agrestis</t>
  </si>
  <si>
    <t>arvalis</t>
  </si>
  <si>
    <t>Dendrogale</t>
  </si>
  <si>
    <t>reevesi</t>
  </si>
  <si>
    <t>arabica</t>
  </si>
  <si>
    <t>bennettii</t>
  </si>
  <si>
    <t>Micromys</t>
  </si>
  <si>
    <t>Bandicota</t>
  </si>
  <si>
    <t>Anathana</t>
  </si>
  <si>
    <t>mystacinus</t>
  </si>
  <si>
    <t>sylvaticus</t>
  </si>
  <si>
    <t>Arvicola</t>
  </si>
  <si>
    <t>males: 7900 (6700-9100); females 8150 (7700-8600)</t>
  </si>
  <si>
    <t>fernandinae</t>
  </si>
  <si>
    <t>schlegeli</t>
  </si>
  <si>
    <t>albertisii</t>
  </si>
  <si>
    <t>pembertoni</t>
  </si>
  <si>
    <t>Species distribution information is provided for Chiroptera; such information may be available in the archive files for other orders.</t>
  </si>
  <si>
    <t>lasiura</t>
  </si>
  <si>
    <t>lea</t>
  </si>
  <si>
    <t>tuberculatus</t>
  </si>
  <si>
    <t>fagani</t>
  </si>
  <si>
    <t>hainanus</t>
  </si>
  <si>
    <t>mandshuricus</t>
  </si>
  <si>
    <t>oiostolus</t>
  </si>
  <si>
    <t>pequensis</t>
  </si>
  <si>
    <t>starcki</t>
  </si>
  <si>
    <t>tolai</t>
  </si>
  <si>
    <t>Rupicapra</t>
  </si>
  <si>
    <t>praeconis</t>
  </si>
  <si>
    <t>pacos</t>
  </si>
  <si>
    <t>inermis</t>
  </si>
  <si>
    <t>rupicapra</t>
  </si>
  <si>
    <t>Angola, Tanzania, Malawi, Kenya</t>
  </si>
  <si>
    <t>fellowesgordoni</t>
  </si>
  <si>
    <t>mertensi</t>
  </si>
  <si>
    <t>babyrussa</t>
  </si>
  <si>
    <t>Moschiola</t>
  </si>
  <si>
    <t>hodgsonii</t>
  </si>
  <si>
    <t>Pseudois</t>
  </si>
  <si>
    <t>nayaur</t>
  </si>
  <si>
    <t>littoralis</t>
  </si>
  <si>
    <t>crispus</t>
  </si>
  <si>
    <t>swinhoei</t>
  </si>
  <si>
    <t>nivicola</t>
  </si>
  <si>
    <t>tattersalli</t>
  </si>
  <si>
    <t>gallarum</t>
  </si>
  <si>
    <t>pumilus</t>
  </si>
  <si>
    <t>spectrum</t>
  </si>
  <si>
    <t>pardinus</t>
  </si>
  <si>
    <t>Neofelis</t>
  </si>
  <si>
    <t>prevostii</t>
  </si>
  <si>
    <t>pygerythrus</t>
  </si>
  <si>
    <t>quinquestriatus</t>
  </si>
  <si>
    <t>Dremomys</t>
  </si>
  <si>
    <t>pelurus</t>
  </si>
  <si>
    <t>praetor</t>
  </si>
  <si>
    <t>Feroculus</t>
  </si>
  <si>
    <t>glaucus</t>
  </si>
  <si>
    <t>patrius</t>
  </si>
  <si>
    <t>broweri</t>
  </si>
  <si>
    <t>Scaptonyx</t>
  </si>
  <si>
    <t>fusicaudus</t>
  </si>
  <si>
    <t>caeca</t>
  </si>
  <si>
    <t>levantis</t>
  </si>
  <si>
    <t>chimborazi</t>
  </si>
  <si>
    <t>Stegomastodon</t>
  </si>
  <si>
    <t>Panochthus</t>
  </si>
  <si>
    <t>Plaxhaplous</t>
  </si>
  <si>
    <t>goudotii</t>
  </si>
  <si>
    <t>steerii</t>
  </si>
  <si>
    <t>Rumania and Bulgaria</t>
  </si>
  <si>
    <t>Russia, Mongolia, china</t>
  </si>
  <si>
    <t>Marajo Isl, Brazil</t>
  </si>
  <si>
    <t>Sulawesi, Indonesia</t>
  </si>
  <si>
    <t>Triaenops</t>
  </si>
  <si>
    <t>Hispaniola &amp; LaGonave Island</t>
  </si>
  <si>
    <t>Hispanoila</t>
  </si>
  <si>
    <t>vexillifer</t>
  </si>
  <si>
    <t>basilii</t>
  </si>
  <si>
    <t>habbema</t>
  </si>
  <si>
    <t>hussoni</t>
  </si>
  <si>
    <t>kazbegica</t>
  </si>
  <si>
    <t>ecaudatus</t>
  </si>
  <si>
    <t>timidus</t>
  </si>
  <si>
    <t>Zaglossus</t>
  </si>
  <si>
    <t>bruijni</t>
  </si>
  <si>
    <t>kalubu</t>
  </si>
  <si>
    <t>burchellii</t>
  </si>
  <si>
    <t>artus</t>
  </si>
  <si>
    <t>dorianus</t>
  </si>
  <si>
    <t>larvatus</t>
  </si>
  <si>
    <t>cumingi</t>
  </si>
  <si>
    <t>Pithecheir</t>
  </si>
  <si>
    <t>Pogonomelomys</t>
  </si>
  <si>
    <t>mayeri</t>
  </si>
  <si>
    <t>sevia</t>
  </si>
  <si>
    <t>championi</t>
  </si>
  <si>
    <t>levicula</t>
  </si>
  <si>
    <t>ginkgodens</t>
  </si>
  <si>
    <t>Balaenoptera</t>
  </si>
  <si>
    <t>acutorostrata</t>
  </si>
  <si>
    <t>johnii</t>
  </si>
  <si>
    <t>pileatus</t>
  </si>
  <si>
    <t>Cheirogaleus</t>
  </si>
  <si>
    <t>major</t>
  </si>
  <si>
    <t>Plagiodontia</t>
  </si>
  <si>
    <t>aedium</t>
  </si>
  <si>
    <t>pseudonapaea</t>
  </si>
  <si>
    <t>ctenodactylus</t>
  </si>
  <si>
    <t>armenica</t>
  </si>
  <si>
    <t>Alticola</t>
  </si>
  <si>
    <t>argentatus</t>
  </si>
  <si>
    <t>strandi</t>
  </si>
  <si>
    <t>subtilis</t>
  </si>
  <si>
    <t>tianshanica</t>
  </si>
  <si>
    <t>talazaci</t>
  </si>
  <si>
    <t>Setifer</t>
  </si>
  <si>
    <t>Tenrec</t>
  </si>
  <si>
    <t>Ptilocercus</t>
  </si>
  <si>
    <t>montana</t>
  </si>
  <si>
    <t>Cannomys</t>
  </si>
  <si>
    <t>gunningi</t>
  </si>
  <si>
    <t>duthieae</t>
  </si>
  <si>
    <t>kathleenae</t>
  </si>
  <si>
    <t>kondana</t>
  </si>
  <si>
    <t>baoulei</t>
  </si>
  <si>
    <t>scottae</t>
  </si>
  <si>
    <t>Dorcopsis</t>
  </si>
  <si>
    <t>atrata</t>
  </si>
  <si>
    <t>luctuosa</t>
  </si>
  <si>
    <t>prehensilis</t>
  </si>
  <si>
    <t>Echinoprocta</t>
  </si>
  <si>
    <t>Sphiggurus</t>
  </si>
  <si>
    <t>callewaerti</t>
  </si>
  <si>
    <t>coucang</t>
  </si>
  <si>
    <t>melanura</t>
  </si>
  <si>
    <t>lullulae</t>
  </si>
  <si>
    <t>Lepilemur</t>
  </si>
  <si>
    <t>mustelinus</t>
  </si>
  <si>
    <t>Tarsius</t>
  </si>
  <si>
    <t>bancanus</t>
  </si>
  <si>
    <t>ochraceiventer</t>
  </si>
  <si>
    <t>mephistopheles</t>
  </si>
  <si>
    <t>mindorensis</t>
  </si>
  <si>
    <t>mesopotamica</t>
  </si>
  <si>
    <t>desperata</t>
  </si>
  <si>
    <t>dhofarensis</t>
  </si>
  <si>
    <t>dsinezumi</t>
  </si>
  <si>
    <t>elongata</t>
  </si>
  <si>
    <t>grayi</t>
  </si>
  <si>
    <t>gueldenstaedtii</t>
  </si>
  <si>
    <t>quercinus</t>
  </si>
  <si>
    <t>xerampelinus</t>
  </si>
  <si>
    <t>Sundamys</t>
  </si>
  <si>
    <t>Eliomys</t>
  </si>
  <si>
    <t>mujanensis</t>
  </si>
  <si>
    <t>multiplex</t>
  </si>
  <si>
    <t>nasarovi</t>
  </si>
  <si>
    <t>rossiaemeridionalis</t>
  </si>
  <si>
    <t>weight at 90-220g in mammals of madagascar</t>
  </si>
  <si>
    <t>N. Senegal</t>
  </si>
  <si>
    <t>E. Ethiopia, Somalia, Kenya</t>
  </si>
  <si>
    <t>Egypt, Libya, Tunisia, Algeria</t>
  </si>
  <si>
    <t>female:6400, male:6500</t>
  </si>
  <si>
    <t>range15-40g</t>
  </si>
  <si>
    <t>68, 118</t>
  </si>
  <si>
    <t>described by Carleton &amp; Goodman, 1996</t>
  </si>
  <si>
    <t>male:8600, female: 8100</t>
  </si>
  <si>
    <t>introduced</t>
  </si>
  <si>
    <t>111, 114</t>
  </si>
  <si>
    <t>female:8100, male: 8600</t>
  </si>
  <si>
    <t>civettina</t>
  </si>
  <si>
    <t>Muntiacus</t>
  </si>
  <si>
    <t>assamensis</t>
  </si>
  <si>
    <t>cyclopis</t>
  </si>
  <si>
    <t>fuscata</t>
  </si>
  <si>
    <t>cuppedius</t>
  </si>
  <si>
    <t>Ammospermophilus</t>
  </si>
  <si>
    <t>przewalskii</t>
  </si>
  <si>
    <t>sauveli</t>
  </si>
  <si>
    <t>harenna</t>
  </si>
  <si>
    <t>horsfieldii</t>
  </si>
  <si>
    <t>jenkinsi</t>
  </si>
  <si>
    <t>Prometheomys</t>
  </si>
  <si>
    <t>degus</t>
  </si>
  <si>
    <t>quarlesi</t>
  </si>
  <si>
    <t>broadbenti</t>
  </si>
  <si>
    <t>raffrayana</t>
  </si>
  <si>
    <t>Rhynchomeles</t>
  </si>
  <si>
    <t>philippensis</t>
  </si>
  <si>
    <t>Petinomys</t>
  </si>
  <si>
    <t>genibarbis</t>
  </si>
  <si>
    <t>Ratufa</t>
  </si>
  <si>
    <t>Rhinosciurus</t>
  </si>
  <si>
    <t>norae</t>
  </si>
  <si>
    <t>polulus</t>
  </si>
  <si>
    <t>dianae</t>
  </si>
  <si>
    <t>septentrionalis</t>
  </si>
  <si>
    <t>Callosciurus</t>
  </si>
  <si>
    <t>avellanarius</t>
  </si>
  <si>
    <t>feroculus</t>
  </si>
  <si>
    <t>babaulti</t>
  </si>
  <si>
    <t>furnessi</t>
  </si>
  <si>
    <t>largha</t>
  </si>
  <si>
    <t>rumpii</t>
  </si>
  <si>
    <t>schalleri</t>
  </si>
  <si>
    <t>echinista</t>
  </si>
  <si>
    <t>Indonesia (Sumatra, Java, Borneo)</t>
  </si>
  <si>
    <t>ater</t>
  </si>
  <si>
    <t>Pantholops</t>
  </si>
  <si>
    <t>dongolanus</t>
  </si>
  <si>
    <t>pardicolor</t>
  </si>
  <si>
    <t>Saudia Arabia &amp; Oman</t>
  </si>
  <si>
    <t>Hall and St. Matthew Isls., Bering Sea, Alaska</t>
  </si>
  <si>
    <t>Germany</t>
  </si>
  <si>
    <t>Mongolia, Manchuria (China), Russia</t>
  </si>
  <si>
    <t>furax</t>
  </si>
  <si>
    <t>Iran &amp; Afghanistan</t>
  </si>
  <si>
    <t>Mongolia &amp; china</t>
  </si>
  <si>
    <t>Greece, Yugoslavia, Turkey</t>
  </si>
  <si>
    <t>Malaysia</t>
  </si>
  <si>
    <t>axpeitianus</t>
  </si>
  <si>
    <t>complicatus</t>
  </si>
  <si>
    <t>conversidens</t>
  </si>
  <si>
    <t>30, 36</t>
  </si>
  <si>
    <t>Capreolus</t>
  </si>
  <si>
    <t>albirostris</t>
  </si>
  <si>
    <t>eldii</t>
  </si>
  <si>
    <t>nippon</t>
  </si>
  <si>
    <t>Cuon</t>
  </si>
  <si>
    <t>Nyctereutes</t>
  </si>
  <si>
    <t>Catopuma</t>
  </si>
  <si>
    <t>lynx</t>
  </si>
  <si>
    <t>Haplomastodon</t>
  </si>
  <si>
    <t>Thailand, Cambodia, Laos, Vietnam, Malay Peninsula</t>
  </si>
  <si>
    <t>Burma, Cambodia, China, India, Indonesia, Malaysia, Nepal, Taiwan, Thailand, and Vietnam</t>
  </si>
  <si>
    <t>SE Burma, SW &amp; Peninsular Thailand, Malaya Peninsula</t>
  </si>
  <si>
    <t>nigricepts</t>
  </si>
  <si>
    <t>70-160g</t>
  </si>
  <si>
    <t>avg. weight:  350-400g; seasonal variation:  250-500g; mammals of madagascar</t>
  </si>
  <si>
    <t>Indonesia, Sulawesi</t>
  </si>
  <si>
    <t>Zambia, Malawi, SC Tanzania, Kenya to S Sudan</t>
  </si>
  <si>
    <t>India, Burma, China, Thailand, Laos, Vietnam</t>
  </si>
  <si>
    <t>Peninsular India</t>
  </si>
  <si>
    <t>Peninsular India, Pakistan, Nepal</t>
  </si>
  <si>
    <t>China, Vietnam</t>
  </si>
  <si>
    <t>China, India, Bhutan</t>
  </si>
  <si>
    <t>China, Nepal (Everest)</t>
  </si>
  <si>
    <t>Russia, Mongolia, China, Korea</t>
  </si>
  <si>
    <t>Nigeria</t>
  </si>
  <si>
    <t>Togo</t>
  </si>
  <si>
    <t>Indonesia (Sumatra, Borneo)</t>
  </si>
  <si>
    <t>kiang</t>
  </si>
  <si>
    <t>kilangmiutak</t>
  </si>
  <si>
    <t>meyeri</t>
  </si>
  <si>
    <t>Chionomys</t>
  </si>
  <si>
    <t>Chiropodomys</t>
  </si>
  <si>
    <t>Japan</t>
  </si>
  <si>
    <t>Loris</t>
  </si>
  <si>
    <t>Cynocephalus</t>
  </si>
  <si>
    <t>coeruleoalba</t>
  </si>
  <si>
    <t>verecundus</t>
  </si>
  <si>
    <t>Delphinapterus</t>
  </si>
  <si>
    <t>Geocapromys</t>
  </si>
  <si>
    <t>bryanti</t>
  </si>
  <si>
    <t>bunkeri</t>
  </si>
  <si>
    <t>ellioti</t>
  </si>
  <si>
    <t>Haeromys</t>
  </si>
  <si>
    <t>margarettae</t>
  </si>
  <si>
    <t>minahassae</t>
  </si>
  <si>
    <t>Hapalomys</t>
  </si>
  <si>
    <t>Salpingotus</t>
  </si>
  <si>
    <t>Tursiops</t>
  </si>
  <si>
    <t>leucas</t>
  </si>
  <si>
    <t>shitkovi</t>
  </si>
  <si>
    <t>Cardiocranius</t>
  </si>
  <si>
    <t>gymnura</t>
  </si>
  <si>
    <t>Echinosorex</t>
  </si>
  <si>
    <t>Europe, Russia, Mongolia, China</t>
  </si>
  <si>
    <t>Megalomys</t>
  </si>
  <si>
    <t>desmarestii</t>
  </si>
  <si>
    <t>araneus</t>
  </si>
  <si>
    <t>pacificus</t>
  </si>
  <si>
    <t>Caperea</t>
  </si>
  <si>
    <t>Hyperoodon</t>
  </si>
  <si>
    <t>ampullatus</t>
  </si>
  <si>
    <t>Eozapus</t>
  </si>
  <si>
    <t>pilorides</t>
  </si>
  <si>
    <t>elater</t>
  </si>
  <si>
    <t>brownii</t>
  </si>
  <si>
    <t>Scandinavia to S Siberia, south to Israel; Iraq; China, Korea, and Japan; and on Ireland, Britain, Crete, and Rhodes.</t>
  </si>
  <si>
    <t>Sudan, Ethiopia, Somalia, Kenya, Tanzania</t>
  </si>
  <si>
    <t>S Egypt &amp; probably Sudan</t>
  </si>
  <si>
    <t>Chaerephon</t>
  </si>
  <si>
    <t>jobensis</t>
  </si>
  <si>
    <t>described by Jenkins et al., 1997</t>
  </si>
  <si>
    <t>fotsifotsy</t>
  </si>
  <si>
    <t>caroli</t>
  </si>
  <si>
    <t>tenaster</t>
  </si>
  <si>
    <t>Palawanomys</t>
  </si>
  <si>
    <t>Papagomys</t>
  </si>
  <si>
    <t>isarogensis</t>
  </si>
  <si>
    <t>inflatus</t>
  </si>
  <si>
    <t>moi</t>
  </si>
  <si>
    <t>Maria Madre Island, Mexico</t>
  </si>
  <si>
    <t>subterraneus</t>
  </si>
  <si>
    <t>Millardia</t>
  </si>
  <si>
    <t>Myocastor</t>
  </si>
  <si>
    <t>coypus</t>
  </si>
  <si>
    <t>atherodes</t>
  </si>
  <si>
    <t>depressicornis</t>
  </si>
  <si>
    <t>NE China</t>
  </si>
  <si>
    <t>Philippines</t>
  </si>
  <si>
    <t>Europe</t>
  </si>
  <si>
    <t>Zaire</t>
  </si>
  <si>
    <t>Saudi Arabia</t>
  </si>
  <si>
    <t>Iran to NW India</t>
  </si>
  <si>
    <t>N Yemen</t>
  </si>
  <si>
    <t>ravelobensis</t>
  </si>
  <si>
    <t>Brachyuromys</t>
  </si>
  <si>
    <t>hosonoi</t>
  </si>
  <si>
    <t>eutropia</t>
  </si>
  <si>
    <t>irroratus</t>
  </si>
  <si>
    <t>Microdillus</t>
  </si>
  <si>
    <t>sinus</t>
  </si>
  <si>
    <t>Heptaxodontidae</t>
  </si>
  <si>
    <t>Halichoerus</t>
  </si>
  <si>
    <t>grypus</t>
  </si>
  <si>
    <t>xanthoprymnus</t>
  </si>
  <si>
    <t>Cystophora</t>
  </si>
  <si>
    <t>NE India and S China</t>
  </si>
  <si>
    <t>Nicaragua to Honduras</t>
  </si>
  <si>
    <t>NW Colombia</t>
  </si>
  <si>
    <t>alecto</t>
  </si>
  <si>
    <t>Plesiorycteropus</t>
  </si>
  <si>
    <t>germainepetterae</t>
  </si>
  <si>
    <t>Pachylemur</t>
  </si>
  <si>
    <t>Yugoslavia, Bulgaria, Turkey, Iran, Syria, Jordan, Israel</t>
  </si>
  <si>
    <t>Mexico, Guatemala, El Salvador, Honduras, Nicaragua</t>
  </si>
  <si>
    <t>indeterminate status</t>
  </si>
  <si>
    <t>megaspila</t>
  </si>
  <si>
    <t>Viverricula</t>
  </si>
  <si>
    <t>duvaucelii</t>
  </si>
  <si>
    <t>pauli</t>
  </si>
  <si>
    <t>Elaphodus</t>
  </si>
  <si>
    <t>napu</t>
  </si>
  <si>
    <t>Babyrousa</t>
  </si>
  <si>
    <t>moschiferus</t>
  </si>
  <si>
    <t>harwoodi</t>
  </si>
  <si>
    <t>hesperinus</t>
  </si>
  <si>
    <t>conoveri</t>
  </si>
  <si>
    <t>Funambulus</t>
  </si>
  <si>
    <t>emilianus</t>
  </si>
  <si>
    <t>cana</t>
  </si>
  <si>
    <t>maghrebi</t>
  </si>
  <si>
    <t>baluensis</t>
  </si>
  <si>
    <t>procyonoides</t>
  </si>
  <si>
    <t>Saiga</t>
  </si>
  <si>
    <t>lasius</t>
  </si>
  <si>
    <t>mauritaniae</t>
  </si>
  <si>
    <t>gloveralleni</t>
  </si>
  <si>
    <t>himalayana</t>
  </si>
  <si>
    <t>arimalius</t>
  </si>
  <si>
    <t>zibellina</t>
  </si>
  <si>
    <t>Prionailurus</t>
  </si>
  <si>
    <t>rubiginosus</t>
  </si>
  <si>
    <t>Uncia</t>
  </si>
  <si>
    <t>bobak</t>
  </si>
  <si>
    <t>Buka Isl, Solomon Isls</t>
  </si>
  <si>
    <t>Circumpolar Arctic seas (Canada, Greenland, Japan, Norway, USA, republics of the former USSR), south to Hokkaido (Japan) and Newfoundland</t>
  </si>
  <si>
    <t>jullyi</t>
  </si>
  <si>
    <t>corynophyllus</t>
  </si>
  <si>
    <t>Pharotis</t>
  </si>
  <si>
    <t>Myzopoda</t>
  </si>
  <si>
    <t>8-10g</t>
  </si>
  <si>
    <t>mass avg. 40-45g; seasonal variation 30-55g</t>
  </si>
  <si>
    <t>Capisan Sea</t>
  </si>
  <si>
    <t>ohioensis</t>
  </si>
  <si>
    <t>imperfectus</t>
  </si>
  <si>
    <t>Bangladesh, Bhutan, Burma, China, Laos, India, Indonesia (Sumatra), Korea, Malaysia, Nepal, Thailand, Vietnam, and republics of the former USSR. Formerly found in Afghanistan, Pakistan, Iran, and Indonesia (Java and Bali)</t>
  </si>
  <si>
    <t>Java; Sumatra; Malaysia; montane forest areas of the Indian peninsula and N Pakistan through Tibet and Xinjiang (Tian Shan and Altai--extinct); Indochina and China to Korea and Ussuri region (Russia), and mountains of S Siberia and N Mongolia.</t>
  </si>
  <si>
    <t>Ethiopia</t>
  </si>
  <si>
    <t>Boiko Isl, West Africa</t>
  </si>
  <si>
    <t>mona</t>
  </si>
  <si>
    <t>neglectus</t>
  </si>
  <si>
    <t>nictitans</t>
  </si>
  <si>
    <t>Sri Lanka; India, north to the Indian desert and to the foothills of the Himalayas</t>
  </si>
  <si>
    <t>SW Arabia</t>
  </si>
  <si>
    <t>Israel</t>
  </si>
  <si>
    <t>S Laos, S Vietnam, Cambodia</t>
  </si>
  <si>
    <t>SE Sulawesi, Muna, Butung (Indonesia)</t>
  </si>
  <si>
    <t>estimated measurement</t>
  </si>
  <si>
    <t>described by Carleton, 1994</t>
  </si>
  <si>
    <t>villosa</t>
  </si>
  <si>
    <t>drouhardi</t>
  </si>
  <si>
    <t>gymnorhyncha</t>
  </si>
  <si>
    <t>12-20g</t>
  </si>
  <si>
    <t>25-40g</t>
  </si>
  <si>
    <t>5-12g</t>
  </si>
  <si>
    <t>nombe</t>
  </si>
  <si>
    <t>noibano</t>
  </si>
  <si>
    <t>Madagascar and Asia</t>
  </si>
  <si>
    <t>glareolus</t>
  </si>
  <si>
    <t>rufocanus</t>
  </si>
  <si>
    <t>Cricetulus</t>
  </si>
  <si>
    <t>sumatrensis</t>
  </si>
  <si>
    <t>Ellobius</t>
  </si>
  <si>
    <t>alaicus</t>
  </si>
  <si>
    <t>weynsi</t>
  </si>
  <si>
    <t>bunnii</t>
  </si>
  <si>
    <t>marcanoi</t>
  </si>
  <si>
    <t>gravis</t>
  </si>
  <si>
    <t>cubanus</t>
  </si>
  <si>
    <t>cookii</t>
  </si>
  <si>
    <t>crociduroides</t>
  </si>
  <si>
    <t>fernandoni</t>
  </si>
  <si>
    <t>telfairi</t>
  </si>
  <si>
    <t>bengalensis</t>
  </si>
  <si>
    <t>Calomyscus</t>
  </si>
  <si>
    <t>Russia, Mongolia, Kazakhstan, China</t>
  </si>
  <si>
    <t>16-22g</t>
  </si>
  <si>
    <t>described by Jenkins et al., 1996</t>
  </si>
  <si>
    <t>laloumena</t>
  </si>
  <si>
    <t>smaller than H. Lemerlei</t>
  </si>
  <si>
    <t>hunting, habitat loss, invasive competitors, pollution</t>
  </si>
  <si>
    <t xml:space="preserve">hunting, pollution, chgs in native predators </t>
  </si>
  <si>
    <t>hutning, habitat loss</t>
  </si>
  <si>
    <t>40-100g</t>
  </si>
  <si>
    <t>mass ranges from 30-100g across entire range (including asia)</t>
  </si>
  <si>
    <t>Kazakhstan, Kirghizia, Tadzhikistan, Turkenistan</t>
  </si>
  <si>
    <t>China, Tibetan Plateau, Himalayas to Kashmir</t>
  </si>
  <si>
    <t>Taphozous</t>
  </si>
  <si>
    <t>mauritianus</t>
  </si>
  <si>
    <t>Nycteridae</t>
  </si>
  <si>
    <t>Nycteris</t>
  </si>
  <si>
    <t>Pteropodidae</t>
  </si>
  <si>
    <t>Pteropus</t>
  </si>
  <si>
    <t>Vespertilionidae</t>
  </si>
  <si>
    <t>Myotis</t>
  </si>
  <si>
    <t>goudoti</t>
  </si>
  <si>
    <t xml:space="preserve">N Atlantic and Arctic oceans, from Newfoundland (Canada) to S Greenland, Svalbard and Novaya Zemlya (Russia); occasionally south to Portugal and Florida (USA). </t>
  </si>
  <si>
    <t>Interior New Guinea</t>
  </si>
  <si>
    <t>S Algeria</t>
  </si>
  <si>
    <t>haydeni</t>
  </si>
  <si>
    <t>Myospalax</t>
  </si>
  <si>
    <t>cinereicollis</t>
  </si>
  <si>
    <t>durangae</t>
  </si>
  <si>
    <t>franklinii</t>
  </si>
  <si>
    <t>madrensis</t>
  </si>
  <si>
    <t>parryii</t>
  </si>
  <si>
    <t>branickii</t>
  </si>
  <si>
    <t>Holochilus</t>
  </si>
  <si>
    <t>Dipodidae</t>
  </si>
  <si>
    <t>Jaculus</t>
  </si>
  <si>
    <t>jaculus</t>
  </si>
  <si>
    <t>Carterodon</t>
  </si>
  <si>
    <t>sulcidens</t>
  </si>
  <si>
    <t>aestuans</t>
  </si>
  <si>
    <t>rufodorsalis</t>
  </si>
  <si>
    <t>Echimys</t>
  </si>
  <si>
    <t>lamarum</t>
  </si>
  <si>
    <t>Microsciurus</t>
  </si>
  <si>
    <t>alfari</t>
  </si>
  <si>
    <t>flaviventer</t>
  </si>
  <si>
    <t>mimulus</t>
  </si>
  <si>
    <t>santanderensis</t>
  </si>
  <si>
    <t>Sciurillus</t>
  </si>
  <si>
    <t>Orycteropodidae</t>
  </si>
  <si>
    <t>Bullimus</t>
  </si>
  <si>
    <t>Prosciurillus</t>
  </si>
  <si>
    <t>Erignathus</t>
  </si>
  <si>
    <t>barbatus</t>
  </si>
  <si>
    <t>richmondi</t>
  </si>
  <si>
    <t>Spermophilopsis</t>
  </si>
  <si>
    <t>leptodactylus</t>
  </si>
  <si>
    <t>alashanicus</t>
  </si>
  <si>
    <t>canus</t>
  </si>
  <si>
    <t>alpicola</t>
  </si>
  <si>
    <t>argenteus</t>
  </si>
  <si>
    <t>arianus</t>
  </si>
  <si>
    <t>chevrieri</t>
  </si>
  <si>
    <t>draco</t>
  </si>
  <si>
    <t>philippinensis</t>
  </si>
  <si>
    <t>rabori</t>
  </si>
  <si>
    <t>peninsulae</t>
  </si>
  <si>
    <t>ponticus</t>
  </si>
  <si>
    <t>rusiges</t>
  </si>
  <si>
    <t>semotus</t>
  </si>
  <si>
    <t>uralensis</t>
  </si>
  <si>
    <t>wardi</t>
  </si>
  <si>
    <t>ochrogenys</t>
  </si>
  <si>
    <t>palmeri</t>
  </si>
  <si>
    <t>draconilla</t>
  </si>
  <si>
    <t>adversus</t>
  </si>
  <si>
    <t>Archaeolemuridae</t>
  </si>
  <si>
    <t>Archaeolemur</t>
  </si>
  <si>
    <t>15-25kg</t>
  </si>
  <si>
    <t>Eptesicus</t>
  </si>
  <si>
    <t>Scotophilus</t>
  </si>
  <si>
    <t>borbonicus</t>
  </si>
  <si>
    <t>E. Europe through Belarus, Ukraine, Russia to Kazakhstan</t>
  </si>
  <si>
    <t>Alaska, Yukon</t>
  </si>
  <si>
    <t>WC Sudan</t>
  </si>
  <si>
    <t>N Kenya &amp; S Somalia</t>
  </si>
  <si>
    <t>Hemicentetes</t>
  </si>
  <si>
    <t>Limnogale</t>
  </si>
  <si>
    <t>mergulus</t>
  </si>
  <si>
    <t>lemkei</t>
  </si>
  <si>
    <t>ceramicus</t>
  </si>
  <si>
    <t>hermonensis</t>
  </si>
  <si>
    <t>Neohydromys</t>
  </si>
  <si>
    <t>insidiosus</t>
  </si>
  <si>
    <t>koopmani</t>
  </si>
  <si>
    <t>Muriculus</t>
  </si>
  <si>
    <t>Coendou</t>
  </si>
  <si>
    <t>25-50g</t>
  </si>
  <si>
    <t>timoriensis</t>
  </si>
  <si>
    <t>vanzolinii</t>
  </si>
  <si>
    <t>gravipes</t>
  </si>
  <si>
    <t>Cercopithecidae</t>
  </si>
  <si>
    <t>Allenopithecus</t>
  </si>
  <si>
    <t>Lasiopodomys</t>
  </si>
  <si>
    <t>brandtii</t>
  </si>
  <si>
    <t>verschureni</t>
  </si>
  <si>
    <t>abbreviatus</t>
  </si>
  <si>
    <t>bavaricus</t>
  </si>
  <si>
    <t>cabrerae</t>
  </si>
  <si>
    <t>gregalis</t>
  </si>
  <si>
    <t>hyperboreus</t>
  </si>
  <si>
    <t>erythrotis</t>
  </si>
  <si>
    <t>Mallomys</t>
  </si>
  <si>
    <t>lorentzii</t>
  </si>
  <si>
    <t>Galagonidae</t>
  </si>
  <si>
    <t>Euoticus</t>
  </si>
  <si>
    <t>elegantulus</t>
  </si>
  <si>
    <t>Galago</t>
  </si>
  <si>
    <t>matschiei</t>
  </si>
  <si>
    <t>senegalensis</t>
  </si>
  <si>
    <t>lhoesti</t>
  </si>
  <si>
    <t>mitis</t>
  </si>
  <si>
    <t>hunting, low densities</t>
  </si>
  <si>
    <t>193.  Zahler, P.  1996.  Rediscovery of the woolly flying squirrel (Eupetaurus cinereus).  Journal of Mammalogy.  77:54-57.</t>
  </si>
  <si>
    <t>Arvicanthis</t>
  </si>
  <si>
    <t>troglodytes</t>
  </si>
  <si>
    <t>Georychus</t>
  </si>
  <si>
    <t>truei</t>
  </si>
  <si>
    <t>winkelmanni</t>
  </si>
  <si>
    <t>Spalacopus</t>
  </si>
  <si>
    <t>Tympanoctomys</t>
  </si>
  <si>
    <t>barrerae</t>
  </si>
  <si>
    <t>baluchi</t>
  </si>
  <si>
    <t>tsolovi</t>
  </si>
  <si>
    <t>urartensis</t>
  </si>
  <si>
    <t>Allocricetulus</t>
  </si>
  <si>
    <t>eversmanni</t>
  </si>
  <si>
    <t>kamensis</t>
  </si>
  <si>
    <t>Cansumys</t>
  </si>
  <si>
    <t>jemlahicus</t>
  </si>
  <si>
    <t>Naemorhedus</t>
  </si>
  <si>
    <t>goral</t>
  </si>
  <si>
    <t>sumatraensis</t>
  </si>
  <si>
    <t>leucoryx</t>
  </si>
  <si>
    <t>petaurista</t>
  </si>
  <si>
    <t>pogonias</t>
  </si>
  <si>
    <t>Chlorocebus</t>
  </si>
  <si>
    <t>aethiops</t>
  </si>
  <si>
    <t>sphinx</t>
  </si>
  <si>
    <t>Miopithecus</t>
  </si>
  <si>
    <t>talapoin</t>
  </si>
  <si>
    <t>Papio</t>
  </si>
  <si>
    <t>hamadryas</t>
  </si>
  <si>
    <t>Mandrillus</t>
  </si>
  <si>
    <t>leucophaeus</t>
  </si>
  <si>
    <t>Otolemur</t>
  </si>
  <si>
    <t>Hominidae</t>
  </si>
  <si>
    <t>paramorum</t>
  </si>
  <si>
    <t>Pan</t>
  </si>
  <si>
    <t>sp.</t>
  </si>
  <si>
    <t>tumbuna</t>
  </si>
  <si>
    <t>Taiga forests from Scandinavia through E Siberia and Sakhalin; from China (Gansu, Qinghai, Shaanxi, and Sichuan) through montane Europe (formerly widespread, now restricted to Balkans, Carpathians, Pyreneans [French side], and Alps; reintroduced to French Vosges and Jura Mt., Swiss Alps, Austria, and Yugoslavia)</t>
  </si>
  <si>
    <t>SW Spain and Portugal</t>
  </si>
  <si>
    <t>Martinique, Lesser Antilles</t>
  </si>
  <si>
    <t>Santa Lucia, Lesser Antilles</t>
  </si>
  <si>
    <t>tokudae</t>
  </si>
  <si>
    <t>wogura</t>
  </si>
  <si>
    <t>cansulus</t>
  </si>
  <si>
    <t>Nesoscaptor</t>
  </si>
  <si>
    <t>pergrisea</t>
  </si>
  <si>
    <t>S. Cape Prov., South Africa</t>
  </si>
  <si>
    <t>found Kelangurr Cave &amp; West Baliem River (41500 +- 1500 ybp); generic average</t>
  </si>
  <si>
    <t>Monticolomys</t>
  </si>
  <si>
    <t>10-16g</t>
  </si>
  <si>
    <t>3-4g</t>
  </si>
  <si>
    <t>Seram Isl, Indonesia</t>
  </si>
  <si>
    <t>Taeromys</t>
  </si>
  <si>
    <t>neobritanicus</t>
  </si>
  <si>
    <t>porculus</t>
  </si>
  <si>
    <t>aspalax</t>
  </si>
  <si>
    <t>Chimarrogale</t>
  </si>
  <si>
    <t>venustus</t>
  </si>
  <si>
    <t>Heteromys</t>
  </si>
  <si>
    <t>granarius</t>
  </si>
  <si>
    <t>leucomus</t>
  </si>
  <si>
    <t>armatus</t>
  </si>
  <si>
    <t>leporina</t>
  </si>
  <si>
    <t>Parotomys</t>
  </si>
  <si>
    <t>quadrimaculatus</t>
  </si>
  <si>
    <t>atricapillus</t>
  </si>
  <si>
    <t>tucumanus</t>
  </si>
  <si>
    <t>harringtoni</t>
  </si>
  <si>
    <t>phillipsi</t>
  </si>
  <si>
    <t>californianus</t>
  </si>
  <si>
    <t>cineraceus</t>
  </si>
  <si>
    <t>minous</t>
  </si>
  <si>
    <t>perotensis</t>
  </si>
  <si>
    <t>quadrivittatus</t>
  </si>
  <si>
    <t>ruficaudus</t>
  </si>
  <si>
    <t>Psammomys</t>
  </si>
  <si>
    <t>obesus</t>
  </si>
  <si>
    <t>citellus</t>
  </si>
  <si>
    <t>senex</t>
  </si>
  <si>
    <t>siskiyou</t>
  </si>
  <si>
    <t>fulvipectus</t>
  </si>
  <si>
    <t>gurkha</t>
  </si>
  <si>
    <t>hyrcanicus</t>
  </si>
  <si>
    <t>latronum</t>
  </si>
  <si>
    <t>bishopi</t>
  </si>
  <si>
    <t>bullata</t>
  </si>
  <si>
    <t>eburnea</t>
  </si>
  <si>
    <t>bagobus</t>
  </si>
  <si>
    <t>Orycteropus</t>
  </si>
  <si>
    <t>afer</t>
  </si>
  <si>
    <t>Xenarthra</t>
  </si>
  <si>
    <t>Bradypodidae</t>
  </si>
  <si>
    <t>pilosus</t>
  </si>
  <si>
    <t>gregorianus</t>
  </si>
  <si>
    <t>septemcinctus</t>
  </si>
  <si>
    <t>muroides</t>
  </si>
  <si>
    <t>gymnurus</t>
  </si>
  <si>
    <t>hybridus</t>
  </si>
  <si>
    <t>kappleri</t>
  </si>
  <si>
    <t>Chiruromys</t>
  </si>
  <si>
    <t>forbesi</t>
  </si>
  <si>
    <t>vates</t>
  </si>
  <si>
    <t>sabanicola</t>
  </si>
  <si>
    <t>karlkoopmani</t>
  </si>
  <si>
    <t>Cephalorhynchus</t>
  </si>
  <si>
    <t>fimbriatus</t>
  </si>
  <si>
    <t>graecus</t>
  </si>
  <si>
    <t>Globicephala</t>
  </si>
  <si>
    <t>microphthalmus</t>
  </si>
  <si>
    <t>zemni</t>
  </si>
  <si>
    <t>Phocoena</t>
  </si>
  <si>
    <t>phocoena</t>
  </si>
  <si>
    <t>Delphinus</t>
  </si>
  <si>
    <t>sipora</t>
  </si>
  <si>
    <t>winstoni</t>
  </si>
  <si>
    <t>Iomys</t>
  </si>
  <si>
    <t>horsfieldi</t>
  </si>
  <si>
    <t>Petaurillus</t>
  </si>
  <si>
    <t>commersonii</t>
  </si>
  <si>
    <t>hotsoni</t>
  </si>
  <si>
    <t>Crunomys</t>
  </si>
  <si>
    <t>cavator</t>
  </si>
  <si>
    <t>cherriei</t>
  </si>
  <si>
    <t>heterodus</t>
  </si>
  <si>
    <t>matagalpae</t>
  </si>
  <si>
    <t>thaeleri</t>
  </si>
  <si>
    <t>michaelis</t>
  </si>
  <si>
    <t>blanfordi</t>
  </si>
  <si>
    <t>Erinaceus</t>
  </si>
  <si>
    <t>Eropeplus</t>
  </si>
  <si>
    <t>definitus</t>
  </si>
  <si>
    <t>aridulus</t>
  </si>
  <si>
    <t>Rhizoplagiodontia</t>
  </si>
  <si>
    <t>vulcani</t>
  </si>
  <si>
    <t>Napaeozapus</t>
  </si>
  <si>
    <t>insignis</t>
  </si>
  <si>
    <t>Zapus</t>
  </si>
  <si>
    <t>hudsonius</t>
  </si>
  <si>
    <t>trinotatus</t>
  </si>
  <si>
    <t>Echimyidae</t>
  </si>
  <si>
    <t>pyrrhinus</t>
  </si>
  <si>
    <t>spadiceus</t>
  </si>
  <si>
    <t>stramineus</t>
  </si>
  <si>
    <t>Thryonomyidae</t>
  </si>
  <si>
    <t>Thryonomys</t>
  </si>
  <si>
    <t>setchuanus</t>
  </si>
  <si>
    <t>kluchorica</t>
  </si>
  <si>
    <t>barakshin</t>
  </si>
  <si>
    <t>montosa</t>
  </si>
  <si>
    <t>roylei</t>
  </si>
  <si>
    <t>semicanus</t>
  </si>
  <si>
    <t>stoliczkanus</t>
  </si>
  <si>
    <t>stracheyi</t>
  </si>
  <si>
    <t>Dicerorhinus</t>
  </si>
  <si>
    <t>afghanus</t>
  </si>
  <si>
    <t>sikotanensis</t>
  </si>
  <si>
    <t>exsul</t>
  </si>
  <si>
    <t>mittendorfi</t>
  </si>
  <si>
    <t>roseveari</t>
  </si>
  <si>
    <t>cebifrons</t>
  </si>
  <si>
    <t>celebensis</t>
  </si>
  <si>
    <t>heureni</t>
  </si>
  <si>
    <t>Urogale</t>
  </si>
  <si>
    <t>nunatakensis</t>
  </si>
  <si>
    <t>unalascensis</t>
  </si>
  <si>
    <t>Lenothrix</t>
  </si>
  <si>
    <t>Leopoldamys</t>
  </si>
  <si>
    <t>neilli</t>
  </si>
  <si>
    <t>ferrilata</t>
  </si>
  <si>
    <t>badia</t>
  </si>
  <si>
    <t>Nesophontes</t>
  </si>
  <si>
    <t>hypomicrus</t>
  </si>
  <si>
    <t>terricolor</t>
  </si>
  <si>
    <t>goundae</t>
  </si>
  <si>
    <t>haussa</t>
  </si>
  <si>
    <t>kasaicus</t>
  </si>
  <si>
    <t>Geogale</t>
  </si>
  <si>
    <t>191. Yigit, N.  Qolak, E. Qolak, R., Ozkan, B. and Ozkurt, S.  2003.  ON THE TURKISH POPULATIONS OF DRYOMYS NITEDULA (PALLAS, 1779) AND DRYOMYS LANIGER FELTEN AND STORCH, 1968 (MAMMALIA: RODENTIA).  Acta Zoologica Academiae Scientiarum Hungaricae 49 (Suppl. 1), pp. 147-158.  Available at:  http://216.239.57.104/search?q=cache:2mznwwa3v-8J:zoo.zoo.nhmus.hu/publication/actazool/49/S1/yigit.pdf+Dryomys+laniger+weight&amp;hl=en</t>
  </si>
  <si>
    <t>hunting, habitat loss, invasive competitors, accidental mortality</t>
  </si>
  <si>
    <t>barabensis</t>
  </si>
  <si>
    <t>Castoridae</t>
  </si>
  <si>
    <t>Castor</t>
  </si>
  <si>
    <t>Caviidae</t>
  </si>
  <si>
    <t>Cavia</t>
  </si>
  <si>
    <t>aperea</t>
  </si>
  <si>
    <t>fulgida</t>
  </si>
  <si>
    <t>Microcavia</t>
  </si>
  <si>
    <t>juninensis</t>
  </si>
  <si>
    <t>caffer</t>
  </si>
  <si>
    <t>patagonum</t>
  </si>
  <si>
    <t>salinicola</t>
  </si>
  <si>
    <t>Galea</t>
  </si>
  <si>
    <t>interpres</t>
  </si>
  <si>
    <t>Lemniscomys</t>
  </si>
  <si>
    <t>albescens</t>
  </si>
  <si>
    <t>mackillingini</t>
  </si>
  <si>
    <t>colburni</t>
  </si>
  <si>
    <t>famulus</t>
  </si>
  <si>
    <t>garamantis</t>
  </si>
  <si>
    <t>gleadowi</t>
  </si>
  <si>
    <t>jamesi</t>
  </si>
  <si>
    <t>frater</t>
  </si>
  <si>
    <t>fulvus</t>
  </si>
  <si>
    <t>mesopotamiae</t>
  </si>
  <si>
    <t>muriculus</t>
  </si>
  <si>
    <t>nancillus</t>
  </si>
  <si>
    <t>occiduus</t>
  </si>
  <si>
    <t>percivali</t>
  </si>
  <si>
    <t>poecilops</t>
  </si>
  <si>
    <t>principulus</t>
  </si>
  <si>
    <t>Mus</t>
  </si>
  <si>
    <t>bufo</t>
  </si>
  <si>
    <t>Lariscus</t>
  </si>
  <si>
    <t>cylindricauda</t>
  </si>
  <si>
    <t>daphaenodon</t>
  </si>
  <si>
    <t>stephensi</t>
  </si>
  <si>
    <t>Steno</t>
  </si>
  <si>
    <t>bredanensis</t>
  </si>
  <si>
    <t>Australophocaena</t>
  </si>
  <si>
    <t>Antilope</t>
  </si>
  <si>
    <t>cervicapra</t>
  </si>
  <si>
    <t>berdmorei</t>
  </si>
  <si>
    <t>tristrami</t>
  </si>
  <si>
    <t>punctata</t>
  </si>
  <si>
    <t>abstrusus</t>
  </si>
  <si>
    <t>females: 165</t>
  </si>
  <si>
    <t>habitat loss, accidental mortality</t>
  </si>
  <si>
    <t>huntin, habitat loss, parasites/pathogens</t>
  </si>
  <si>
    <t>Kirghizia, Tadzhikistan, Afghanistan, Pakistan</t>
  </si>
  <si>
    <t>Costa Rica &amp; Panama</t>
  </si>
  <si>
    <t>SE Nicaragua</t>
  </si>
  <si>
    <t>Tibet, China, India, Nepal</t>
  </si>
  <si>
    <t>Russia, China, Mongolia</t>
  </si>
  <si>
    <t>Mongol &amp; E China</t>
  </si>
  <si>
    <t>baibacina</t>
  </si>
  <si>
    <t>pulvinatus</t>
  </si>
  <si>
    <t>Hyosciurus</t>
  </si>
  <si>
    <t>heinrichi</t>
  </si>
  <si>
    <t>ileile</t>
  </si>
  <si>
    <t>deppei</t>
  </si>
  <si>
    <t>nayaritensis</t>
  </si>
  <si>
    <t>rosmarus</t>
  </si>
  <si>
    <t>galapagoensis</t>
  </si>
  <si>
    <t>lucifer</t>
  </si>
  <si>
    <t>ochraceus</t>
  </si>
  <si>
    <t>Tryphomys</t>
  </si>
  <si>
    <t>anak</t>
  </si>
  <si>
    <t>etigo</t>
  </si>
  <si>
    <t>kobeae</t>
  </si>
  <si>
    <t>n=1</t>
  </si>
  <si>
    <t>119, 142</t>
  </si>
  <si>
    <t>68, 142</t>
  </si>
  <si>
    <t>mean Male:870.7 (650-1005); Female:580, 505</t>
  </si>
  <si>
    <t>range(26.5-34)</t>
  </si>
  <si>
    <t>hunting, habitat loss, human disturbance</t>
  </si>
  <si>
    <t>polia</t>
  </si>
  <si>
    <t>pullata</t>
  </si>
  <si>
    <t>rhoditis</t>
  </si>
  <si>
    <t>117, 128, 188</t>
  </si>
  <si>
    <t>spinosus</t>
  </si>
  <si>
    <t>dasythrix</t>
  </si>
  <si>
    <t>grandis</t>
  </si>
  <si>
    <t>Hoplomys</t>
  </si>
  <si>
    <t>semivillosus</t>
  </si>
  <si>
    <t>Dasypodidae</t>
  </si>
  <si>
    <t>Euphractus</t>
  </si>
  <si>
    <t>sexcinctus</t>
  </si>
  <si>
    <t>Priodontes</t>
  </si>
  <si>
    <t>Tolypeutes</t>
  </si>
  <si>
    <t>Bradypus</t>
  </si>
  <si>
    <t>Chrotomys</t>
  </si>
  <si>
    <t>gonzalesi</t>
  </si>
  <si>
    <t>Coccymys</t>
  </si>
  <si>
    <t>albidens</t>
  </si>
  <si>
    <t>ruemmleri</t>
  </si>
  <si>
    <t>Coryphomys</t>
  </si>
  <si>
    <t>buhleri</t>
  </si>
  <si>
    <t>nobilis</t>
  </si>
  <si>
    <t>Crateromys</t>
  </si>
  <si>
    <t>paulus</t>
  </si>
  <si>
    <t>xanthotis</t>
  </si>
  <si>
    <t>fuscocapillus</t>
  </si>
  <si>
    <t>hageni</t>
  </si>
  <si>
    <t>vordermanni</t>
  </si>
  <si>
    <t>Pteromys</t>
  </si>
  <si>
    <t>Lagenorhynchus</t>
  </si>
  <si>
    <t>clusius</t>
  </si>
  <si>
    <t>balikunica</t>
  </si>
  <si>
    <t>carillus</t>
  </si>
  <si>
    <t>Hyomys</t>
  </si>
  <si>
    <t>dammermani</t>
  </si>
  <si>
    <t>goliath</t>
  </si>
  <si>
    <t>macedonicus</t>
  </si>
  <si>
    <t>inundata</t>
  </si>
  <si>
    <t>Microgale</t>
  </si>
  <si>
    <t>males: head-body 170.7 (160-177); tail 152 (136-160); hindfoot 37 (36.5-37.9); ear 17.8 (17.3-18.7); females: head-body 179.5 (179-180); tail 147 (134-160); hindfoot 33.5 (30-37); ear 19.8 (19.5-20)</t>
  </si>
  <si>
    <t>males: 137 (103-180); females: 129 (105-154)</t>
  </si>
  <si>
    <t>6.5 to 10 g</t>
  </si>
  <si>
    <t>4.5 to 8 g</t>
  </si>
  <si>
    <t>3 to 8 g</t>
  </si>
  <si>
    <t>1.2 to 4</t>
  </si>
  <si>
    <t>changes in native competitor dynamics</t>
  </si>
  <si>
    <t>posioning, habitat loss</t>
  </si>
  <si>
    <t>hunting, habitat loss, invasive spp hybridizing</t>
  </si>
  <si>
    <t>poisoning, drought, pathogens, parasiteshabitat loss</t>
  </si>
  <si>
    <t>56, 129</t>
  </si>
  <si>
    <t>60, 128, 130</t>
  </si>
  <si>
    <t>60, 130</t>
  </si>
  <si>
    <t>EN</t>
  </si>
  <si>
    <t>habitat loss</t>
  </si>
  <si>
    <t>LR</t>
  </si>
  <si>
    <t>habitat loss, predators, restricted range</t>
  </si>
  <si>
    <t>60, 128</t>
  </si>
  <si>
    <t>Clidomys</t>
  </si>
  <si>
    <t>osborni</t>
  </si>
  <si>
    <t>Amblyrhiza</t>
  </si>
  <si>
    <t>flavicollis</t>
  </si>
  <si>
    <t>Thrichomys</t>
  </si>
  <si>
    <t>apereoides</t>
  </si>
  <si>
    <t>ingrahami</t>
  </si>
  <si>
    <t>thoracatus</t>
  </si>
  <si>
    <t>dorsatum</t>
  </si>
  <si>
    <t>yemeni</t>
  </si>
  <si>
    <t>Congosorex</t>
  </si>
  <si>
    <t>polli</t>
  </si>
  <si>
    <t>bucculentus</t>
  </si>
  <si>
    <t>habitat loss, invasive spp</t>
  </si>
  <si>
    <t>S. India</t>
  </si>
  <si>
    <t>m 5.6, f 6.5 tonnes</t>
  </si>
  <si>
    <t>5.6 tonnes</t>
  </si>
  <si>
    <t>hunting, parasites/pathogens</t>
  </si>
  <si>
    <t>mass of adult male; skulls show no dimophism</t>
  </si>
  <si>
    <t>4.8 tonnes</t>
  </si>
  <si>
    <t>3.6 tonnes</t>
  </si>
  <si>
    <t>163.  Hutterer, R. and Happold, D. C. D.  1983.  The shrews of Nigeria (Mammalia:  Soricidae).  Bonner Zoologische Monographien, Nr. 18.  Zoologisches Forschungsinstitut Und Museum Alexander Koenig, Bonn.  79pp.</t>
  </si>
  <si>
    <t>Amblonyx</t>
  </si>
  <si>
    <t>felina</t>
  </si>
  <si>
    <t>sumatrana</t>
  </si>
  <si>
    <t>Arctonyx</t>
  </si>
  <si>
    <t>mansoensis</t>
  </si>
  <si>
    <t>mimus</t>
  </si>
  <si>
    <t>molinae</t>
  </si>
  <si>
    <t>mollis</t>
  </si>
  <si>
    <t>neocenus</t>
  </si>
  <si>
    <t>nigrita</t>
  </si>
  <si>
    <t>Cynogale</t>
  </si>
  <si>
    <t>porcellus</t>
  </si>
  <si>
    <t>tschudii</t>
  </si>
  <si>
    <t>Dolichotis</t>
  </si>
  <si>
    <t>greenwoodi</t>
  </si>
  <si>
    <t>hildegardeae</t>
  </si>
  <si>
    <t>hirta</t>
  </si>
  <si>
    <t>flavidens</t>
  </si>
  <si>
    <t>viscacia</t>
  </si>
  <si>
    <t>barbarus</t>
  </si>
  <si>
    <t>griselda</t>
  </si>
  <si>
    <t>macculus</t>
  </si>
  <si>
    <t>lutreolina</t>
  </si>
  <si>
    <t>nudipes</t>
  </si>
  <si>
    <t>marchei</t>
  </si>
  <si>
    <t>foina</t>
  </si>
  <si>
    <t>gwatkinsii</t>
  </si>
  <si>
    <t>ochraceocinereus</t>
  </si>
  <si>
    <t>millicens</t>
  </si>
  <si>
    <t>musseri</t>
  </si>
  <si>
    <t>derbyanus</t>
  </si>
  <si>
    <t>Ammodillus</t>
  </si>
  <si>
    <t>schaposchnikowi</t>
  </si>
  <si>
    <t>Volemys</t>
  </si>
  <si>
    <t>longicauda</t>
  </si>
  <si>
    <t>kikuchii</t>
  </si>
  <si>
    <t>Muscardinus</t>
  </si>
  <si>
    <t>maxi</t>
  </si>
  <si>
    <t>menzbieri</t>
  </si>
  <si>
    <t>persecution, loss of prey base</t>
  </si>
  <si>
    <t>invasive spp.</t>
  </si>
  <si>
    <t>persecution, habitat loss, accidental mortality, parasites/pathogens, changes in native competitors</t>
  </si>
  <si>
    <t>males: 387 (291-500); females: 310 (210-400)</t>
  </si>
  <si>
    <t>hunting, habitat loss, civil war</t>
  </si>
  <si>
    <t>Taxonomy follows Wilson and Reeder (1993) -All 4629 species are included here even those with no body mass. Note that species may occur multiple times ifthey occur on different continents</t>
  </si>
  <si>
    <t>males: 1769 (1500-2250); females: 1680 (1300-2000)</t>
  </si>
  <si>
    <t>males: 121 (78.5-175); females: 96 (65-156)</t>
  </si>
  <si>
    <t>males: head-body 145; hindfoot 36; ear 11</t>
  </si>
  <si>
    <t>similar to M. lorentzii</t>
  </si>
  <si>
    <t>males: 1056 (925-1100); females: 1190 (1080-1300)</t>
  </si>
  <si>
    <t>males: 1500</t>
  </si>
  <si>
    <t>Mar-May 2004 - corrected mistakes in location designations by SKL</t>
  </si>
  <si>
    <t>males: 46.7 (29-66); females: 40 (29-50)</t>
  </si>
  <si>
    <t>males: 44.7 (28-60); females: 45.1 (35-56)</t>
  </si>
  <si>
    <t>persecution, habitat loss, accidental mortality</t>
  </si>
  <si>
    <t>males: 122 (120-123); females: 112.4 (100-119)</t>
  </si>
  <si>
    <t>habitat loss, changes in native prey base</t>
  </si>
  <si>
    <t>188.  Degen, A. A., Kam. M, Khokhlova, I. S., Krasnov, B. R., and Barraclough, T. G. 1998.  Average daily metabolic rate of rodents:  habitat and dietary comparisons.  Functional Ecology 12:63-73.</t>
  </si>
  <si>
    <t>cats, habitat alteration</t>
  </si>
  <si>
    <t>hunting, fur trading, poisoning</t>
  </si>
  <si>
    <t>competition with sheep, cats, habitat alteration</t>
  </si>
  <si>
    <t>hunting, habitat loss, drought, parasites/pathogens</t>
  </si>
  <si>
    <t>14 to 24 g</t>
  </si>
  <si>
    <t>14 to 24g</t>
  </si>
  <si>
    <t>6.5 to 14.5</t>
  </si>
  <si>
    <t>Desmomys</t>
  </si>
  <si>
    <t>sordidus</t>
  </si>
  <si>
    <t>woodwardi</t>
  </si>
  <si>
    <t>Added in by KJ and ME</t>
  </si>
  <si>
    <t>Cheirogaleidae</t>
  </si>
  <si>
    <t>underwoodi</t>
  </si>
  <si>
    <t>Indridae</t>
  </si>
  <si>
    <t>millardi</t>
  </si>
  <si>
    <t>caudimaculatus</t>
  </si>
  <si>
    <t>gouldii</t>
  </si>
  <si>
    <t>mordax</t>
  </si>
  <si>
    <t>Phyllotis</t>
  </si>
  <si>
    <t>buntingi</t>
  </si>
  <si>
    <t>cometes</t>
  </si>
  <si>
    <t>haggardi</t>
  </si>
  <si>
    <t>Solenodon</t>
  </si>
  <si>
    <t>telum</t>
  </si>
  <si>
    <t>Euchoreutes</t>
  </si>
  <si>
    <t>Balaenopteridae</t>
  </si>
  <si>
    <t>Delphinidae</t>
  </si>
  <si>
    <t>Desmana</t>
  </si>
  <si>
    <t>moschata</t>
  </si>
  <si>
    <t>Paradipus</t>
  </si>
  <si>
    <t>Baiomys</t>
  </si>
  <si>
    <t>turcmenicus</t>
  </si>
  <si>
    <t>Stylodipus</t>
  </si>
  <si>
    <t>neobrittanicus</t>
  </si>
  <si>
    <t>shawmayeri</t>
  </si>
  <si>
    <t>Cetacea</t>
  </si>
  <si>
    <t>Balaenidae</t>
  </si>
  <si>
    <t>bucharicus</t>
  </si>
  <si>
    <t>gud</t>
  </si>
  <si>
    <t>baeri</t>
  </si>
  <si>
    <t>introduction and spread of the fox, habitat alteration</t>
  </si>
  <si>
    <t>E. f. fulvus: 2-3kg; E. f. sandfordi: 2-2.5kg; E. f. albifrons:  2-2.6kg; E. f. rufus:  2-2.75kf; E. f. albocollaris: 2-2.5kg; E. f. collaris:  2.25-2.5kg; 150</t>
  </si>
  <si>
    <t>named Abeomelomys sevia in 151</t>
  </si>
  <si>
    <t>restricted range, habitat loss</t>
  </si>
  <si>
    <t>restricted  range</t>
  </si>
  <si>
    <t>habitat loss, fire</t>
  </si>
  <si>
    <t>70, 129</t>
  </si>
  <si>
    <t>hunting</t>
  </si>
  <si>
    <t>once thought to be a Tubulidentata; estimate is using a primate model; using dasypodid model, estimates are 9640g; using a caviomorph model, estimates are 18370g.  MacPhee thought the caviomorph model was too high</t>
  </si>
  <si>
    <t>Taiga zone of Siberia S. to N. Mongolia</t>
  </si>
  <si>
    <t>NW Caucasus</t>
  </si>
  <si>
    <t>New Mexico, Texas, USA</t>
  </si>
  <si>
    <t>habitat loss, hybridizers</t>
  </si>
  <si>
    <t>50 to 80g</t>
  </si>
  <si>
    <t>40 to 85 g</t>
  </si>
  <si>
    <t>40 to 65 g</t>
  </si>
  <si>
    <t>30 to 60g</t>
  </si>
  <si>
    <t>25 to 46g</t>
  </si>
  <si>
    <t>14 to 28g</t>
  </si>
  <si>
    <t>http://www.encyclopediaofukraine.com/pages/B/O/Bobac.htm</t>
  </si>
  <si>
    <t>http://www.napak.com/marmots_of_the_world.html</t>
  </si>
  <si>
    <t>males: head-body 137.5 (135-140); tail 180 (175-195); hindfoot: 30; ear: 18; females: head-body 135.5 (131-140); tail: 177.5 (175-180); hindfoot: 29 (27-31); ear 17.3 (17-17.5)</t>
  </si>
  <si>
    <t>171.  Koh, H.S., Chun, T.Y., Yoo, H.S., Zhang, Y.P., Wang, J., Zhang, M., and Wu, C.H.  2001.  Mitochondrial Cytochrome b Gene Sequence Diversity in the Korean Hare, Lepus coreanus Thomas (Mammalia, Lagomorpha) Biochemical Genetics 39 (11-12): 417-429, December 2001</t>
  </si>
  <si>
    <t>harrisii</t>
  </si>
  <si>
    <t>Protoxerus</t>
  </si>
  <si>
    <t>muntjak</t>
  </si>
  <si>
    <t>Moschus</t>
  </si>
  <si>
    <t>melanogaster</t>
  </si>
  <si>
    <t>orestes</t>
  </si>
  <si>
    <t>phayrei</t>
  </si>
  <si>
    <t>leucurus</t>
  </si>
  <si>
    <t>adamsi</t>
  </si>
  <si>
    <t>erythraeus</t>
  </si>
  <si>
    <t>finlaysonii</t>
  </si>
  <si>
    <t>Cynomys</t>
  </si>
  <si>
    <t>dunni</t>
  </si>
  <si>
    <t>niata</t>
  </si>
  <si>
    <t>shiptoni</t>
  </si>
  <si>
    <t>Chinchillidae</t>
  </si>
  <si>
    <t>juliani</t>
  </si>
  <si>
    <t>latastei</t>
  </si>
  <si>
    <t>lowei</t>
  </si>
  <si>
    <t>grobbeni</t>
  </si>
  <si>
    <t>Ctenomyidae</t>
  </si>
  <si>
    <t>Ctenomys</t>
  </si>
  <si>
    <t>argentinus</t>
  </si>
  <si>
    <t>azarae</t>
  </si>
  <si>
    <t>bonettoi</t>
  </si>
  <si>
    <t>nikolausi</t>
  </si>
  <si>
    <t>Meriones</t>
  </si>
  <si>
    <t>crassus</t>
  </si>
  <si>
    <t>libycus</t>
  </si>
  <si>
    <t>shawi</t>
  </si>
  <si>
    <t>haigi</t>
  </si>
  <si>
    <t>knighti</t>
  </si>
  <si>
    <t>buchariensis</t>
  </si>
  <si>
    <t>maraxina</t>
  </si>
  <si>
    <t>epsilanus</t>
  </si>
  <si>
    <t>caecutiens</t>
  </si>
  <si>
    <t>Marmota</t>
  </si>
  <si>
    <t>Blarinella</t>
  </si>
  <si>
    <t>quadraticauda</t>
  </si>
  <si>
    <t>sinalis</t>
  </si>
  <si>
    <t>tundrensis</t>
  </si>
  <si>
    <t>infraluteus</t>
  </si>
  <si>
    <t>small # of individuals, in a single population, in a restricted area, intenstively modified by humans</t>
  </si>
  <si>
    <t>hunting, habitat loss, poor reproduction, changes in prey base</t>
  </si>
  <si>
    <t>Literature added</t>
  </si>
  <si>
    <t>head and body length is 153-182mm and body weight is 95-164g</t>
  </si>
  <si>
    <t>head and body length ranges from 125-185mm; body weight from 48-175g</t>
  </si>
  <si>
    <t xml:space="preserve">hunting, habitat loss, </t>
  </si>
  <si>
    <t>unknown, extinct by 1901, introduction of exotic predators</t>
  </si>
  <si>
    <t>60, 117, 128</t>
  </si>
  <si>
    <t>males: 47.7 (34-60); females: 43.4 (23-68)</t>
  </si>
  <si>
    <t>competiton with or disease brought by introduced black and brown rats, feral cats</t>
  </si>
  <si>
    <t>males: head-body 173; tail 197; hindfoot 33; females: head-body 180; tail 190; hindfoot 34; ear 9</t>
  </si>
  <si>
    <t>T. Spp. Was originally described as T. brunii, could use that body size</t>
  </si>
  <si>
    <t>human disturbance</t>
  </si>
  <si>
    <t>115, 117, 119, 120, 142</t>
  </si>
  <si>
    <t>68, 118, 142</t>
  </si>
  <si>
    <t>male:47, 60; females:46, 44</t>
  </si>
  <si>
    <t>human induced change</t>
  </si>
  <si>
    <t>males: 753 (750-755); females: 882 (850-945)</t>
  </si>
  <si>
    <t>disease, cats, competion with rats, habitat alteration</t>
  </si>
  <si>
    <t>hunting, habitat alteration, invasion of predators</t>
  </si>
  <si>
    <t>habitat loss, cars</t>
  </si>
  <si>
    <t>hunting, persecution, habitat loss, invasive competitors, restricted range</t>
  </si>
  <si>
    <t>hunting, habitat loss, floods</t>
  </si>
  <si>
    <t>female:5000-7000; male:7000-13000</t>
  </si>
  <si>
    <t>4, 70</t>
  </si>
  <si>
    <t>183.  Alves, P. C., and Rocha, A.  2003.  Environmental factors have little influence on the reproductive activity of the Iberian hare (Lepus granatensis).  Wildlife Research.  30:639-647.</t>
  </si>
  <si>
    <t>habitat loss, drought, low reproduction</t>
  </si>
  <si>
    <t>range:800-1600</t>
  </si>
  <si>
    <t xml:space="preserve">Status: extant, extinct (terminal Pleistocene), historical (near-time or last 500 years). Note that some recently extinct species may be listed here as extant </t>
  </si>
  <si>
    <t>114, 117, 134</t>
  </si>
  <si>
    <t>111, 134</t>
  </si>
  <si>
    <t>114, 134</t>
  </si>
  <si>
    <t>range240-340g</t>
  </si>
  <si>
    <t>males: 47.8 (range: 26-69.5); females:  no weight</t>
  </si>
  <si>
    <t>R. steini and R. praetor are similar in size</t>
  </si>
  <si>
    <t>males: 2988; (2500-3400)</t>
  </si>
  <si>
    <t>males: 71 (68-74); females: 63.5 (50-88)</t>
  </si>
  <si>
    <t>habitat loss, invasive predators</t>
  </si>
  <si>
    <t>males: head-body 155; tail 220; hindfoot 37; ear 15; females: head-body 156 (153-158); tail: 206.5 (206-207); hindfoot: 36.5 (36-37); ear: 20.5 (20-21)</t>
  </si>
  <si>
    <t>habitat loss, accidental mortality (poisoning, cars)</t>
  </si>
  <si>
    <t>min:136100, max:209100</t>
  </si>
  <si>
    <t>Utah, Colorado, Arizona</t>
  </si>
  <si>
    <t>Tanzania, Kenya</t>
  </si>
  <si>
    <t>SW Western Australia</t>
  </si>
  <si>
    <t>S. Uganda</t>
  </si>
  <si>
    <t>Kenya, Uganda</t>
  </si>
  <si>
    <t>females: 8750 (8500-9000); no male weight</t>
  </si>
  <si>
    <t>females: 5500 (5000-6000)</t>
  </si>
  <si>
    <t>only known from Pleistocene cave deposits near Lagoa Santa</t>
  </si>
  <si>
    <t>hunting, habitat loss, pathogens/parasites</t>
  </si>
  <si>
    <t>unknown</t>
  </si>
  <si>
    <t>cats</t>
  </si>
  <si>
    <t>3.4 tonnes</t>
  </si>
  <si>
    <t>3.2 tonnes</t>
  </si>
  <si>
    <t>trapping for pelt, introducted predators, competition from rabbits</t>
  </si>
  <si>
    <t>males: 102 (88-118); females: 115 (100-133)</t>
  </si>
  <si>
    <t>65 to 120g</t>
  </si>
  <si>
    <t>hunting, habitat loss, accidental mortality</t>
  </si>
  <si>
    <t>prairie dog extermination</t>
  </si>
  <si>
    <t>males: 518 (400-650); females: 617 (450-695)</t>
  </si>
  <si>
    <t>162.  Smithers, R. H. N.  1971.  The mammals of Botswana.  Museum Memoir No. 4, The Trustees of the national Museums of Rodesia.  Printed by Mardon Printers Ltd., Salisbury Rhodesia.  340pp.</t>
  </si>
  <si>
    <t>60, 163</t>
  </si>
  <si>
    <t>males: 198 (164-228); females: 188 (178-203)</t>
  </si>
  <si>
    <t>Costa Rica to Panama</t>
  </si>
  <si>
    <t>habitat loss, changes in predators</t>
  </si>
  <si>
    <t>m 60-80, f 25-35 kg</t>
  </si>
  <si>
    <t>http://members.vienna.at/shrew/itsesAP95-talpinae.html#mogera</t>
  </si>
  <si>
    <t>males: 235; females: 365 (350-380)</t>
  </si>
  <si>
    <t>females: 440</t>
  </si>
  <si>
    <t>males: 879 (800-1020); females: 450</t>
  </si>
  <si>
    <t>Burma, Malaysia, Thailand, Vietnam</t>
  </si>
  <si>
    <t>males: 274.5; females</t>
  </si>
  <si>
    <t>habitat loss, invasion of exotics, invasive predators</t>
  </si>
  <si>
    <t>EX</t>
  </si>
  <si>
    <t>hunting, persecution, habitat loss</t>
  </si>
  <si>
    <t>hunting, habitat loss, changes in competitors</t>
  </si>
  <si>
    <t>males:31.3, 28.1; female:28.2</t>
  </si>
  <si>
    <t>141, 142</t>
  </si>
  <si>
    <t>hunting, invasive predators</t>
  </si>
  <si>
    <t>listed as praomys</t>
  </si>
  <si>
    <t>insular</t>
  </si>
  <si>
    <t>Baja; san hose island</t>
  </si>
  <si>
    <t>persecution</t>
  </si>
  <si>
    <t>habitat loss, pollution</t>
  </si>
  <si>
    <t>ranges between 35.5 and 80g</t>
  </si>
  <si>
    <t>habitat loss, invasive competitors</t>
  </si>
  <si>
    <t>persecution, habitat loss</t>
  </si>
  <si>
    <t>males: head-body 164 (135-195); tail 120 (102-135); hindfoot 33.8 (26-39); ear 16.3 (15-18); females: head-body 177 (175-178); tail 118 (105-130); hindfoot 33 (32-34); ear 15.5 (13-18)</t>
  </si>
  <si>
    <t>Guadalcanal Isls.</t>
  </si>
  <si>
    <t>males: 84.7 (77.5-102); females: 69.1 (65-80)</t>
  </si>
  <si>
    <t>hunting, invasive spp.</t>
  </si>
  <si>
    <t>males: 240000-39000; female:20000-28000</t>
  </si>
  <si>
    <t>males: head-body 117 (111-122); tails 156 (144-162); hindfoot 25 (24-26); ear 21 (19-22)</t>
  </si>
  <si>
    <t>Bernier Isl, Australia</t>
  </si>
  <si>
    <t>hunting, habitat loss, invasive competitors, invasive predators, persecution, changes in food base</t>
  </si>
  <si>
    <t>hunting, habitat loss, restricted range, parasites/pathogens, accidental mortality</t>
  </si>
  <si>
    <t>hunting, habitat loss, pathogens/predators</t>
  </si>
  <si>
    <t>hunting, persecution</t>
  </si>
  <si>
    <t>males: 49.9 (36-55.5); females: 42.3 (36-50)</t>
  </si>
  <si>
    <t>sometimes considered a synonym of S. richardsoni; not mentioned by W&amp;R 1993</t>
  </si>
  <si>
    <t>males: 69.6 (66-74); females: 59</t>
  </si>
  <si>
    <t>males: 71.8 (69-78)</t>
  </si>
  <si>
    <t>competition with cattle and sheep</t>
  </si>
  <si>
    <t>not been seen since 1895, probably extinct</t>
  </si>
  <si>
    <t>size of a cat, largest giant rice rat, volcano eruption</t>
  </si>
  <si>
    <t>habitat loss, invasive predators, cars, community composition changes</t>
  </si>
  <si>
    <t>average of sexually mature female and fat male</t>
  </si>
  <si>
    <t>walkers online</t>
  </si>
  <si>
    <t>hunting, persecution, changes in prey base</t>
  </si>
  <si>
    <t>106, 134</t>
  </si>
  <si>
    <t>female:45000-75000; males:60000-150000</t>
  </si>
  <si>
    <t>low densities, restricted range</t>
  </si>
  <si>
    <t>GUESS; unknown</t>
  </si>
  <si>
    <t>invasive predators, land use practices</t>
  </si>
  <si>
    <t>habitat loss, exotic competitors</t>
  </si>
  <si>
    <t>habitat loss, invasive spp, parasites/pathogens</t>
  </si>
  <si>
    <t>hunting, habitat loss, pollution</t>
  </si>
  <si>
    <t>persecution, habitat loss, invasive spp. (competitors and preditors)</t>
  </si>
  <si>
    <t>Vietnam, Laos, Cambodia</t>
  </si>
  <si>
    <t>India, Pakistan, Nepal</t>
  </si>
  <si>
    <t>disease, intro of cats, habitat alteration</t>
  </si>
  <si>
    <t>size of small cat</t>
  </si>
  <si>
    <t>patchy distribution</t>
  </si>
  <si>
    <t>males:1400 (range: 5900-8000); females:  1700 (range: 7400-9800)</t>
  </si>
  <si>
    <t>males: 211.2 (190-241); females: 211.7 (175-315)</t>
  </si>
  <si>
    <t>maximum</t>
  </si>
  <si>
    <t>female weights:300000 (range180000-220000)</t>
  </si>
  <si>
    <t>males range: 20000-43000; female range:18000-33000</t>
  </si>
  <si>
    <t>weight from australia</t>
  </si>
  <si>
    <t>habitat loss, drought</t>
  </si>
  <si>
    <t>hunting, habitat loss, parasites/pathogens</t>
  </si>
  <si>
    <t>IUCN status</t>
  </si>
  <si>
    <t>habitat alteration, introduction of exotics</t>
  </si>
  <si>
    <t>introducted predators, IUCN redlist</t>
  </si>
  <si>
    <t>4, 59</t>
  </si>
  <si>
    <t>habitat alteration by sheep</t>
  </si>
  <si>
    <t>13, 15, 59</t>
  </si>
  <si>
    <t>exact cause unknown</t>
  </si>
  <si>
    <t>Madagascar and Comores Isls.</t>
  </si>
  <si>
    <t>males: 880; females: 985</t>
  </si>
  <si>
    <t>European Balkan, Greece, S. Yugoslavia, Albania</t>
  </si>
  <si>
    <t>bruijnii</t>
  </si>
  <si>
    <t>china, Burma, Nepal</t>
  </si>
  <si>
    <t>invasive spp., restricted range</t>
  </si>
  <si>
    <t>hunting, habitat loss, pathogens/parasites, low densities</t>
  </si>
  <si>
    <t>NT</t>
  </si>
  <si>
    <t>hunting, habitat loss, drought, pathogens/parasites</t>
  </si>
  <si>
    <t>DD</t>
  </si>
  <si>
    <t>VU</t>
  </si>
  <si>
    <t>habitat loss, invasive spp., parasites/pathogens, high juvenile mortality rate</t>
  </si>
  <si>
    <t>hunting, habitat loss, pollution, accidental mortality</t>
  </si>
  <si>
    <t>males: 88.5 (69-114); females: 81.6 (70-94)</t>
  </si>
  <si>
    <t>males: 149 (115-178); females: 154.5 (105-206)</t>
  </si>
  <si>
    <t>hunting, persecution, pollution, predators</t>
  </si>
  <si>
    <t>males: 1087 (950-1260); females: 1228 (925-1500)</t>
  </si>
  <si>
    <t>invasive predators</t>
  </si>
  <si>
    <t>hunting, habitat loss, restrictred range</t>
  </si>
  <si>
    <t>hunting, habitat loss, diesease</t>
  </si>
  <si>
    <t>males: 1000 (900-1100)</t>
  </si>
  <si>
    <t>nesodytes</t>
  </si>
  <si>
    <t>males: 1313 (840-1500); females: 604 (450-820)</t>
  </si>
  <si>
    <t>hunting, habitat loss, pollution, tourism, changes in competitors</t>
  </si>
  <si>
    <t>117, 128</t>
  </si>
  <si>
    <t>males: 813 (750-875); females: 756.7 (640-860)</t>
  </si>
  <si>
    <t>males: head-body 147; tail 170; hindfoot 36; ear 9</t>
  </si>
  <si>
    <t>males: 1800 (1600-2000); females: 1528 (1410-1700)</t>
  </si>
  <si>
    <t>males: 732 (620-835); females: 566 (450-650)</t>
  </si>
  <si>
    <t>hunting, habitat loss, accidents</t>
  </si>
  <si>
    <t>EW</t>
  </si>
  <si>
    <t>low population density, restricted range</t>
  </si>
  <si>
    <t>low populations density, restricted range</t>
  </si>
  <si>
    <t>Notoryctidae</t>
  </si>
  <si>
    <t>gaimardi</t>
  </si>
  <si>
    <t>Microbiotheriidae</t>
  </si>
  <si>
    <t>habitat loss, invasive predators, fire</t>
  </si>
  <si>
    <t>2-4kg; introduced</t>
  </si>
  <si>
    <t>males: 60.4 (42-80); females: 59.8 (37-102)</t>
  </si>
  <si>
    <t>males: head-body: 112 (103-121); tail: 116.5 (112-121); hindfoot 21.5 (21.4-21.5); ear 18.9 (18.3-19.5); females: no head-body; tail: 111; hindfoot: 21.4; ear 18.6</t>
  </si>
  <si>
    <t>hunting, changes in native competitors</t>
  </si>
  <si>
    <t>hunting, habitat loss, invasive competitors</t>
  </si>
  <si>
    <t>males: head-body: 102 (96-107); tail: 95.8 (88-105); hindfoot: 19 (18-20); ear 18.1 (15-19); females: head-body 84 (83-85); tail 84.5 (82-87); hindfoot 17.5 (17-18); ear 16.5 (16-17)</t>
  </si>
  <si>
    <t>weight taken from Australia</t>
  </si>
  <si>
    <t>Peninsular India, Nepal, burma, China, Thailand</t>
  </si>
  <si>
    <t>Henry Lawrence Isl., India</t>
  </si>
  <si>
    <t>rhabdops</t>
  </si>
  <si>
    <t>males: 508 (388-580); females:  513 (500-525)</t>
  </si>
  <si>
    <t>males: head-body 148 (146-150); tail 227 (211-235); hindfoot 33.7 (31-37); ear 14.3 (12-16); females:  141 (137-145); tail 225; hindfoot 31 (30-32); ear 13.5 (11-16)</t>
  </si>
  <si>
    <t>males:head-body 469 (410-545); tail: 103 (90-115); hindfoot 77 (74-83); ear: 33.3 (29-40); femals: head-body 438; tail 84; hindfoot 63; ear 31</t>
  </si>
  <si>
    <t>males: 478 (350-660); females: 598 (510-670)</t>
  </si>
  <si>
    <t>smallest bandicoot</t>
  </si>
  <si>
    <t>Sumatra, Java, Borneo, Kangean Isl., Bali; Lesser Sunda Isls.</t>
  </si>
  <si>
    <t>unknown, rapidly extinct after europeans came in, introduction of exotics predators</t>
  </si>
  <si>
    <t>habitat alteration, introduction of exotic predators</t>
  </si>
  <si>
    <t>hunting, unknown reasons</t>
  </si>
  <si>
    <t>introduced predators</t>
  </si>
  <si>
    <t>mass from a sex unknown (head-tail 790)</t>
  </si>
  <si>
    <t>habitat alteration</t>
  </si>
  <si>
    <t>106, 655</t>
  </si>
  <si>
    <t>habitat loss, invasive predators, skewed sex ratios</t>
  </si>
  <si>
    <t>intro of exotics, habitat alteration</t>
  </si>
  <si>
    <t>competiton with or disease brought by introduced black and brown rats</t>
  </si>
  <si>
    <t>unkown</t>
  </si>
  <si>
    <t>habitat loss, feral cats</t>
  </si>
  <si>
    <t>habitat loss, persecution</t>
  </si>
  <si>
    <t>restricted habitats</t>
  </si>
  <si>
    <t>Flores Island, Indonesia</t>
  </si>
  <si>
    <t>head-body 151 (136-187); tail 98.9 (84--108); hindfoot 29.9 (28-32)</t>
  </si>
  <si>
    <t>luna</t>
  </si>
  <si>
    <t>lusitania</t>
  </si>
  <si>
    <t>macarthuri</t>
  </si>
  <si>
    <t>macmillani</t>
  </si>
  <si>
    <t>macowi</t>
  </si>
  <si>
    <t>malayana</t>
  </si>
  <si>
    <t>marginatus</t>
  </si>
  <si>
    <t>males: 48.2 (32-57); females: 44.9 (31-53.5)</t>
  </si>
  <si>
    <t>males: 33.4 (30-34.8); females: 26</t>
  </si>
  <si>
    <t>Notoryctemorphia</t>
  </si>
  <si>
    <t>serum</t>
  </si>
  <si>
    <t>leo atrox</t>
  </si>
  <si>
    <t>Notiomastodon</t>
  </si>
  <si>
    <t>Russia (Sakhalin Isl, Kurile Isls, Commander Isls, Kamchatka), Canada, USA (Aleutian Isls, and S Alaska to California). Formerly in Mexico (Baja California) and Japan (coastal Hokkaido)</t>
  </si>
  <si>
    <t>Mylodon</t>
  </si>
  <si>
    <t>listai</t>
  </si>
  <si>
    <t>stirlingi</t>
  </si>
  <si>
    <t>laurillardi</t>
  </si>
  <si>
    <t>Megatherium</t>
  </si>
  <si>
    <t>Miracinonyx</t>
  </si>
  <si>
    <t>trumani</t>
  </si>
  <si>
    <t>amnicola</t>
  </si>
  <si>
    <t>CR</t>
  </si>
  <si>
    <t xml:space="preserve">hunting, habitat loss </t>
  </si>
  <si>
    <t>male: 627; range: 580-710</t>
  </si>
  <si>
    <t>larger than D. Albopunctatus</t>
  </si>
  <si>
    <t>Wyoming, USA</t>
  </si>
  <si>
    <t>males: 1767 (1500-1900); females: 1933 (1400-2400)</t>
  </si>
  <si>
    <t>hunting, persecution, accidental mortality, habitat loss, pathogens/parasites</t>
  </si>
  <si>
    <t>restricted range</t>
  </si>
  <si>
    <t>hunting, habitat loss</t>
  </si>
  <si>
    <t>hunting, civil war</t>
  </si>
  <si>
    <t>drought, pathogens/parasites</t>
  </si>
  <si>
    <t>hunting, habitat loss, fire</t>
  </si>
  <si>
    <t>Herpestes</t>
  </si>
  <si>
    <t>ichneumon</t>
  </si>
  <si>
    <t>naso</t>
  </si>
  <si>
    <t>parma</t>
  </si>
  <si>
    <t>stigmatica</t>
  </si>
  <si>
    <t>inornata</t>
  </si>
  <si>
    <t>Crossarchus</t>
  </si>
  <si>
    <t>Lemmus</t>
  </si>
  <si>
    <t>sibiricus</t>
  </si>
  <si>
    <t>ochrogaster</t>
  </si>
  <si>
    <t>albicauda</t>
  </si>
  <si>
    <t>Hyaenidae</t>
  </si>
  <si>
    <t>penicillata</t>
  </si>
  <si>
    <t>robustus</t>
  </si>
  <si>
    <t>hunting, habitat loss, invasive hybridizers</t>
  </si>
  <si>
    <t>omlichodes</t>
  </si>
  <si>
    <t>habitat loss, invasive competitors, invasive predators</t>
  </si>
  <si>
    <t>75, 128</t>
  </si>
  <si>
    <t>60, 129</t>
  </si>
  <si>
    <t>males: 50.4 (44-56); females: 44 (40.5-48)</t>
  </si>
  <si>
    <t>Scalopus</t>
  </si>
  <si>
    <t>Scelidotherium</t>
  </si>
  <si>
    <t>leptocephalum</t>
  </si>
  <si>
    <t>3, 18</t>
  </si>
  <si>
    <t>3, 19</t>
  </si>
  <si>
    <t>3, 20</t>
  </si>
  <si>
    <t>3, 21</t>
  </si>
  <si>
    <t>aculeatus</t>
  </si>
  <si>
    <t>Monotremata</t>
  </si>
  <si>
    <t>Homotherium</t>
  </si>
  <si>
    <t>males: 1490 (1140-1700); females: 983 (825-1140)</t>
  </si>
  <si>
    <t>Kazakhstan</t>
  </si>
  <si>
    <t>hunting, habitat loss, restricted range</t>
  </si>
  <si>
    <t>hunting habitat loss</t>
  </si>
  <si>
    <t>China, SE Tibet</t>
  </si>
  <si>
    <t>India and Burma</t>
  </si>
  <si>
    <t>Malaysia, Thailand, Burma, India, China, Cambodia, Laos, Vietnam</t>
  </si>
  <si>
    <t>Mentawei Islands, Indonesia</t>
  </si>
  <si>
    <t>peninsular Thailand, Peninsular Malaysia</t>
  </si>
  <si>
    <t>Great and Little Nicobar Isls., India</t>
  </si>
  <si>
    <t>simensis</t>
  </si>
  <si>
    <t>Lycaon</t>
  </si>
  <si>
    <t>Australian references added 31 Oct. 2002 from Morgan's brain</t>
  </si>
  <si>
    <t>veroensis</t>
  </si>
  <si>
    <t>Mammuthus</t>
  </si>
  <si>
    <t>columbi</t>
  </si>
  <si>
    <t>fraternus</t>
  </si>
  <si>
    <t>albifrons</t>
  </si>
  <si>
    <t>aequatorialis</t>
  </si>
  <si>
    <t>Sylvisorex</t>
  </si>
  <si>
    <t>lunaris</t>
  </si>
  <si>
    <t>Kirghizia, NE Iran, Afghanistan, Pakistan, India, Nepal, China</t>
  </si>
  <si>
    <t>Costa Rica, Nicaragua</t>
  </si>
  <si>
    <t>Burma, China</t>
  </si>
  <si>
    <t>smaller than forbesi</t>
  </si>
  <si>
    <t>small spp.  Habbema is closes relative</t>
  </si>
  <si>
    <t>Zaire, Uganda, Burundia</t>
  </si>
  <si>
    <t>SE Asia</t>
  </si>
  <si>
    <t>113, 129</t>
  </si>
  <si>
    <t>griseoventer</t>
  </si>
  <si>
    <t>archeri</t>
  </si>
  <si>
    <t>ooldea</t>
  </si>
  <si>
    <t>timealeyi</t>
  </si>
  <si>
    <t>gilesi</t>
  </si>
  <si>
    <t>Anotomys</t>
  </si>
  <si>
    <t>modestus</t>
  </si>
  <si>
    <t>moloch</t>
  </si>
  <si>
    <t>Diceros</t>
  </si>
  <si>
    <t>bicornis</t>
  </si>
  <si>
    <t>Tapiridae</t>
  </si>
  <si>
    <t>Tapirus</t>
  </si>
  <si>
    <t>sciureus</t>
  </si>
  <si>
    <t>whitakeri</t>
  </si>
  <si>
    <t>wimmeri</t>
  </si>
  <si>
    <t>xantippe</t>
  </si>
  <si>
    <t>humeralifer</t>
  </si>
  <si>
    <t>jacchus</t>
  </si>
  <si>
    <t>chrysomela</t>
  </si>
  <si>
    <t>rosalia</t>
  </si>
  <si>
    <t>Saguinus</t>
  </si>
  <si>
    <t>somereni</t>
  </si>
  <si>
    <t>Suncus</t>
  </si>
  <si>
    <t>etruscus</t>
  </si>
  <si>
    <t>infinitesimus</t>
  </si>
  <si>
    <t>albicans</t>
  </si>
  <si>
    <t>irrorata</t>
  </si>
  <si>
    <t>monachus</t>
  </si>
  <si>
    <t>pithecia</t>
  </si>
  <si>
    <t>Dicolpomys</t>
  </si>
  <si>
    <t>Windhausenia</t>
  </si>
  <si>
    <t>bondi</t>
  </si>
  <si>
    <t>Didelphis</t>
  </si>
  <si>
    <t>atlantica</t>
  </si>
  <si>
    <t>Notoungulata</t>
  </si>
  <si>
    <t>belzebuth</t>
  </si>
  <si>
    <t>chamek</t>
  </si>
  <si>
    <t>paniscus</t>
  </si>
  <si>
    <t>Brachyteles</t>
  </si>
  <si>
    <t>Pampatherium</t>
  </si>
  <si>
    <t>typum</t>
  </si>
  <si>
    <t>paulacoutoi</t>
  </si>
  <si>
    <t>Toxodontidae</t>
  </si>
  <si>
    <t>philander</t>
  </si>
  <si>
    <t>Propraopus</t>
  </si>
  <si>
    <t>Doedicurus</t>
  </si>
  <si>
    <t>clavicaudatus</t>
  </si>
  <si>
    <t>Chlamydotherium</t>
  </si>
  <si>
    <t>2, 4</t>
  </si>
  <si>
    <t>Megalotragus</t>
  </si>
  <si>
    <t>varilla</t>
  </si>
  <si>
    <t>crawfordi</t>
  </si>
  <si>
    <t>Sorex</t>
  </si>
  <si>
    <t>alaskanus</t>
  </si>
  <si>
    <t>arcticus</t>
  </si>
  <si>
    <t>tyleriana</t>
  </si>
  <si>
    <t>xerophila</t>
  </si>
  <si>
    <t>Marmosops</t>
  </si>
  <si>
    <t>Zygomaturus</t>
  </si>
  <si>
    <t>trilobus</t>
  </si>
  <si>
    <t>Phascolarctidae</t>
  </si>
  <si>
    <t>Mexico</t>
  </si>
  <si>
    <t>Spalax</t>
  </si>
  <si>
    <t>myosuros</t>
  </si>
  <si>
    <t>oconnelli</t>
  </si>
  <si>
    <t>oris</t>
  </si>
  <si>
    <t>lugens</t>
  </si>
  <si>
    <t>Akodon</t>
  </si>
  <si>
    <t>nasua</t>
  </si>
  <si>
    <t>Potos</t>
  </si>
  <si>
    <t>flavus</t>
  </si>
  <si>
    <t>Procyon</t>
  </si>
  <si>
    <t>gnou</t>
  </si>
  <si>
    <t>taurinus</t>
  </si>
  <si>
    <t>Phenacomys</t>
  </si>
  <si>
    <t>batesi</t>
  </si>
  <si>
    <t>Oreotragus</t>
  </si>
  <si>
    <t>capreolus</t>
  </si>
  <si>
    <t>sharpei</t>
  </si>
  <si>
    <t>lindberghi</t>
  </si>
  <si>
    <t>Redunca</t>
  </si>
  <si>
    <t>Aepeomys</t>
  </si>
  <si>
    <t>Peroryctidae</t>
  </si>
  <si>
    <t>Dendrohyrax</t>
  </si>
  <si>
    <t>Damaliscus</t>
  </si>
  <si>
    <t>hunteri</t>
  </si>
  <si>
    <t>moschatus</t>
  </si>
  <si>
    <t>pygmaeus</t>
  </si>
  <si>
    <t>Raphicerus</t>
  </si>
  <si>
    <t>abyssinica</t>
  </si>
  <si>
    <t>aztecus</t>
  </si>
  <si>
    <t>Hydrochaeris</t>
  </si>
  <si>
    <t>hydrochaeris</t>
  </si>
  <si>
    <t>Hystricidae</t>
  </si>
  <si>
    <t>Atherurus</t>
  </si>
  <si>
    <t>africanus</t>
  </si>
  <si>
    <t>Hystrix</t>
  </si>
  <si>
    <t>foxi</t>
  </si>
  <si>
    <t>leucotis</t>
  </si>
  <si>
    <t>mascotensis</t>
  </si>
  <si>
    <t>ochrognathus</t>
  </si>
  <si>
    <t>ellipsiprymnus</t>
  </si>
  <si>
    <t>kob</t>
  </si>
  <si>
    <t>Primates</t>
  </si>
  <si>
    <t>Callitrichidae</t>
  </si>
  <si>
    <t>Erinaceidae</t>
  </si>
  <si>
    <t>Hemibelideus</t>
  </si>
  <si>
    <t>lemuroides</t>
  </si>
  <si>
    <t>herbertensis</t>
  </si>
  <si>
    <t>Pseudochirops</t>
  </si>
  <si>
    <t>fatalis</t>
  </si>
  <si>
    <t xml:space="preserve">Brachyprotoma </t>
  </si>
  <si>
    <t>obtusata</t>
  </si>
  <si>
    <t>sonoitensis</t>
  </si>
  <si>
    <t>Arctodus</t>
  </si>
  <si>
    <t>pristinus</t>
  </si>
  <si>
    <t>Paramegatherium</t>
  </si>
  <si>
    <t>robustum</t>
  </si>
  <si>
    <t>gliroides</t>
  </si>
  <si>
    <t>Smilodon</t>
  </si>
  <si>
    <t>Sangamona</t>
  </si>
  <si>
    <t>fugitiva</t>
  </si>
  <si>
    <t>Mylohyus</t>
  </si>
  <si>
    <t>Platygonus</t>
  </si>
  <si>
    <t>compressus</t>
  </si>
  <si>
    <t>dirus</t>
  </si>
  <si>
    <t>Echymipera</t>
  </si>
  <si>
    <t>Perissodactyla</t>
  </si>
  <si>
    <t>arboreus</t>
  </si>
  <si>
    <t>Heterohyrax</t>
  </si>
  <si>
    <t>brucei</t>
  </si>
  <si>
    <t>Procavia</t>
  </si>
  <si>
    <t>Insectivora</t>
  </si>
  <si>
    <t>Ommatophoca</t>
  </si>
  <si>
    <t>gazella</t>
  </si>
  <si>
    <t>granti</t>
  </si>
  <si>
    <t>females: 1000, no male weight</t>
  </si>
  <si>
    <t>N. Vietnam</t>
  </si>
  <si>
    <t>males:22.5 (19-29.5); no female weight</t>
  </si>
  <si>
    <t>males: 540 (490-590)</t>
  </si>
  <si>
    <t>smallest know spp. Of hydromys</t>
  </si>
  <si>
    <t>shastense</t>
  </si>
  <si>
    <t>Mylodontidae</t>
  </si>
  <si>
    <t>parvipes</t>
  </si>
  <si>
    <t>pasha</t>
  </si>
  <si>
    <t>phaeura</t>
  </si>
  <si>
    <t>picea</t>
  </si>
  <si>
    <t>pitmani</t>
  </si>
  <si>
    <t>planiceps</t>
  </si>
  <si>
    <t>SA</t>
  </si>
  <si>
    <t>vociferans</t>
  </si>
  <si>
    <t>populator</t>
  </si>
  <si>
    <t>Dromiciops</t>
  </si>
  <si>
    <t>Psuedocheiridae</t>
  </si>
  <si>
    <t>Pseudocheirus</t>
  </si>
  <si>
    <t>peregrinus</t>
  </si>
  <si>
    <t>males: head-body 160; tail 125; hindfoot 30; ear 12</t>
  </si>
  <si>
    <t>Hainan isl., china</t>
  </si>
  <si>
    <t>Thailand, Cambodia, Vietnam, Malay Peninsula</t>
  </si>
  <si>
    <t>India, Burma, Vietnam</t>
  </si>
  <si>
    <t>Solomon Isls.</t>
  </si>
  <si>
    <t>Seram Isl. Indonesia</t>
  </si>
  <si>
    <t>Urkraine</t>
  </si>
  <si>
    <t>Romania, Ukraine</t>
  </si>
  <si>
    <t>Kashmir to N Burma, China</t>
  </si>
  <si>
    <t>China, Korea, Russia</t>
  </si>
  <si>
    <t>males: 155 (111-190); females: 155 (110-220)</t>
  </si>
  <si>
    <t>Queensland</t>
  </si>
  <si>
    <t>sechurae</t>
  </si>
  <si>
    <t>dimidiata</t>
  </si>
  <si>
    <t>vetulus</t>
  </si>
  <si>
    <t>Speothos</t>
  </si>
  <si>
    <t>venaticus</t>
  </si>
  <si>
    <t>Felidae</t>
  </si>
  <si>
    <t>auriventer</t>
  </si>
  <si>
    <t>balneator</t>
  </si>
  <si>
    <t>Herpailurus</t>
  </si>
  <si>
    <t>yaguarondi</t>
  </si>
  <si>
    <t>Leopardus</t>
  </si>
  <si>
    <t>delticola</t>
  </si>
  <si>
    <t>lamia</t>
  </si>
  <si>
    <t>legatus</t>
  </si>
  <si>
    <t>lutreolus</t>
  </si>
  <si>
    <t>Lagorchestes</t>
  </si>
  <si>
    <t>parvus</t>
  </si>
  <si>
    <t>Macropodidae</t>
  </si>
  <si>
    <t>Petrogale</t>
  </si>
  <si>
    <t>conklingi</t>
  </si>
  <si>
    <t>Oryctolagus</t>
  </si>
  <si>
    <t>1, 23</t>
  </si>
  <si>
    <t>saxatilis</t>
  </si>
  <si>
    <t>pusio</t>
  </si>
  <si>
    <t>Lepus</t>
  </si>
  <si>
    <t>nigricollis</t>
  </si>
  <si>
    <t>Onychogalea</t>
  </si>
  <si>
    <t>fraenata</t>
  </si>
  <si>
    <t>persephone</t>
  </si>
  <si>
    <t>Lagomorpha</t>
  </si>
  <si>
    <t>Leporidae</t>
  </si>
  <si>
    <t>cavifrons</t>
  </si>
  <si>
    <t>Camelops</t>
  </si>
  <si>
    <t>eugenii</t>
  </si>
  <si>
    <t>assimilis</t>
  </si>
  <si>
    <t>Pelorovis</t>
  </si>
  <si>
    <t>vulcanorum</t>
  </si>
  <si>
    <t>Blarina</t>
  </si>
  <si>
    <t>brevicauda</t>
  </si>
  <si>
    <t>Cryptotis</t>
  </si>
  <si>
    <t>goodwini</t>
  </si>
  <si>
    <t>magna</t>
  </si>
  <si>
    <t>nigrescens</t>
  </si>
  <si>
    <t>parva</t>
  </si>
  <si>
    <t>forresti</t>
  </si>
  <si>
    <t>Sirenia</t>
  </si>
  <si>
    <t>Isothrix</t>
  </si>
  <si>
    <t>eliurus</t>
  </si>
  <si>
    <t>aureus</t>
  </si>
  <si>
    <t>mesomelas</t>
  </si>
  <si>
    <t>adusta</t>
  </si>
  <si>
    <t>hermannsburgensis</t>
  </si>
  <si>
    <t>oyapocki</t>
  </si>
  <si>
    <t>peruviensis</t>
  </si>
  <si>
    <t>venezuelae</t>
  </si>
  <si>
    <t>lakedownensis</t>
  </si>
  <si>
    <t>pilligaensis</t>
  </si>
  <si>
    <t>Neacomys</t>
  </si>
  <si>
    <t>gorgasi</t>
  </si>
  <si>
    <t>hammondi</t>
  </si>
  <si>
    <t>intectus</t>
  </si>
  <si>
    <t>pardalis</t>
  </si>
  <si>
    <t>wiedii</t>
  </si>
  <si>
    <t>Lynx</t>
  </si>
  <si>
    <t>kelloggi</t>
  </si>
  <si>
    <t>ratticeps</t>
  </si>
  <si>
    <t>Stockoceros</t>
  </si>
  <si>
    <t>onusrosagris</t>
  </si>
  <si>
    <t>Reithrodon</t>
  </si>
  <si>
    <t>auritus</t>
  </si>
  <si>
    <t>darienensis</t>
  </si>
  <si>
    <t>Rhagomys</t>
  </si>
  <si>
    <t>spp.</t>
  </si>
  <si>
    <t>1, 28</t>
  </si>
  <si>
    <t>Symbos</t>
  </si>
  <si>
    <t>Guadeloupe Isl, Lesser Antilles</t>
  </si>
  <si>
    <t>saturatior</t>
  </si>
  <si>
    <t>dickeyi</t>
  </si>
  <si>
    <t>gratus</t>
  </si>
  <si>
    <t>guardia</t>
  </si>
  <si>
    <t>interparietalis</t>
  </si>
  <si>
    <t>W Morocoos to N Egypt (N Sahara)</t>
  </si>
  <si>
    <t>Todos Santos Isl., Baja California</t>
  </si>
  <si>
    <t>rodriguezi</t>
  </si>
  <si>
    <t>Kenya, Tanzania, Mozambique</t>
  </si>
  <si>
    <t>emiliae</t>
  </si>
  <si>
    <t>marica</t>
  </si>
  <si>
    <t>microtarsus</t>
  </si>
  <si>
    <t>Lestodelphys</t>
  </si>
  <si>
    <t>halli</t>
  </si>
  <si>
    <t>gigas</t>
  </si>
  <si>
    <t>Notiosorex</t>
  </si>
  <si>
    <t>Thallomys</t>
  </si>
  <si>
    <t>paedulcus</t>
  </si>
  <si>
    <t>Thamnomys</t>
  </si>
  <si>
    <t>Uranomys</t>
  </si>
  <si>
    <t>ruddi</t>
  </si>
  <si>
    <t>Zelotomys</t>
  </si>
  <si>
    <t>woosnami</t>
  </si>
  <si>
    <t>Pseudomys</t>
  </si>
  <si>
    <t>delicatulus</t>
  </si>
  <si>
    <t>goldmani</t>
  </si>
  <si>
    <t>females: 2000</t>
  </si>
  <si>
    <t>females: 1950</t>
  </si>
  <si>
    <t>males: 19.8 (17.2-23); females: 20.2 (15.5-24)</t>
  </si>
  <si>
    <t>Bootherium</t>
  </si>
  <si>
    <t>Phascolonus</t>
  </si>
  <si>
    <t>pallidior</t>
  </si>
  <si>
    <t>pusilla</t>
  </si>
  <si>
    <t>Tenrecidae</t>
  </si>
  <si>
    <t>Micropotamogale</t>
  </si>
  <si>
    <t>ruwenzorii</t>
  </si>
  <si>
    <t>Potamogale</t>
  </si>
  <si>
    <t>sanguinea</t>
  </si>
  <si>
    <t>Helogale</t>
  </si>
  <si>
    <t>hirtula</t>
  </si>
  <si>
    <t>parvula</t>
  </si>
  <si>
    <t>Tortuga Isl., Baja CA</t>
  </si>
  <si>
    <t>NE Venezuela</t>
  </si>
  <si>
    <t>Ursidae</t>
  </si>
  <si>
    <t>Ursus</t>
  </si>
  <si>
    <t>arctos</t>
  </si>
  <si>
    <t>maritimus</t>
  </si>
  <si>
    <t>oreotragus</t>
  </si>
  <si>
    <t>Oryx</t>
  </si>
  <si>
    <t>dammah</t>
  </si>
  <si>
    <t>Ourebia</t>
  </si>
  <si>
    <t>ourebi</t>
  </si>
  <si>
    <t>Pelea</t>
  </si>
  <si>
    <t>Nandinia</t>
  </si>
  <si>
    <t>binotata</t>
  </si>
  <si>
    <t>Osbornictis</t>
  </si>
  <si>
    <t>piscivora</t>
  </si>
  <si>
    <t>floweri</t>
  </si>
  <si>
    <t>douceti</t>
  </si>
  <si>
    <t>eisentrauti</t>
  </si>
  <si>
    <t>arundinum</t>
  </si>
  <si>
    <t>aerosus</t>
  </si>
  <si>
    <t>affinis</t>
  </si>
  <si>
    <t>redunca</t>
  </si>
  <si>
    <t>infulatus</t>
  </si>
  <si>
    <t>Bubalus</t>
  </si>
  <si>
    <t>bubalis</t>
  </si>
  <si>
    <t>Bison</t>
  </si>
  <si>
    <t>bison</t>
  </si>
  <si>
    <t>Oreamnos</t>
  </si>
  <si>
    <t>americanus</t>
  </si>
  <si>
    <t>Ovibos</t>
  </si>
  <si>
    <t>maquassiensis</t>
  </si>
  <si>
    <t>dalli</t>
  </si>
  <si>
    <t>Camelidae</t>
  </si>
  <si>
    <t>Camelus</t>
  </si>
  <si>
    <t>dromedarius</t>
  </si>
  <si>
    <t>youngsoni</t>
  </si>
  <si>
    <t>javanicus</t>
  </si>
  <si>
    <t>Andinomys</t>
  </si>
  <si>
    <t>seniculus</t>
  </si>
  <si>
    <t>Aotus</t>
  </si>
  <si>
    <t>azarai</t>
  </si>
  <si>
    <t>miconax</t>
  </si>
  <si>
    <t>orcesi</t>
  </si>
  <si>
    <t>pacivorus</t>
  </si>
  <si>
    <t>hirtipes</t>
  </si>
  <si>
    <t>maurisca</t>
  </si>
  <si>
    <t>monax</t>
  </si>
  <si>
    <t>montis</t>
  </si>
  <si>
    <t>simum</t>
  </si>
  <si>
    <t>tricuspis</t>
  </si>
  <si>
    <t>Ateles</t>
  </si>
  <si>
    <t>belzebul</t>
  </si>
  <si>
    <t>mariquensis</t>
  </si>
  <si>
    <t>longicaudata</t>
  </si>
  <si>
    <t>gilberti</t>
  </si>
  <si>
    <t>laniger</t>
  </si>
  <si>
    <t>Antechinus</t>
  </si>
  <si>
    <t>stuartii</t>
  </si>
  <si>
    <t>leucopus</t>
  </si>
  <si>
    <t>pigra</t>
  </si>
  <si>
    <t>midas</t>
  </si>
  <si>
    <t>mystax</t>
  </si>
  <si>
    <t>Saimiri</t>
  </si>
  <si>
    <t>boliviensis</t>
  </si>
  <si>
    <t>oerstedii</t>
  </si>
  <si>
    <t>viaria</t>
  </si>
  <si>
    <t>voi</t>
  </si>
  <si>
    <t>Ethiopia, Sudan, Zaire, South Africa, Botswana, Angola</t>
  </si>
  <si>
    <t>Malay peninsula, Singapore</t>
  </si>
  <si>
    <t>Zambia, Malawi, Tanzania, Kenya</t>
  </si>
  <si>
    <t>Guinea and Ivory Coast</t>
  </si>
  <si>
    <t>Pseudohydromys</t>
  </si>
  <si>
    <t>Tibet, Nepal, Bhutan, India</t>
  </si>
  <si>
    <t>C Nepal, India, Bhutan</t>
  </si>
  <si>
    <t>Russia, Kazakhstan, NE Iran, Mongolia, China</t>
  </si>
  <si>
    <t>Georgia, Turkey</t>
  </si>
  <si>
    <t>NC China</t>
  </si>
  <si>
    <t>Equatorial Guinea, Zaire, Uganda, Tanzania</t>
  </si>
  <si>
    <t>peninsular Burma, Malaysia</t>
  </si>
  <si>
    <t>nativitatis</t>
  </si>
  <si>
    <t>Burma, China, thailand</t>
  </si>
  <si>
    <t>Corsica, Sardinia</t>
  </si>
  <si>
    <t xml:space="preserve"> SE Poland east to Ukraine and south to Black Sea</t>
  </si>
  <si>
    <t>Ukraine, Russia</t>
  </si>
  <si>
    <t>habitat loss, restricted range, accidental mortality</t>
  </si>
  <si>
    <t>habitat loss, restricted range, pollution</t>
  </si>
  <si>
    <t>head-body 168 (140-198); tail 131 (100-167); hindfoot 30.6 (27.5-37)</t>
  </si>
  <si>
    <t>habitat loss, invasive predators, pathogens/parasites</t>
  </si>
  <si>
    <t>SE Kazakstan, Turkmenistan, Uzbekistan, Tadzhikistan, Iran, Afghanistan</t>
  </si>
  <si>
    <t>habitat loss, invasive predators, invasive competitors</t>
  </si>
  <si>
    <t>hunting, habitat loss, invasive predators</t>
  </si>
  <si>
    <t>exulans</t>
  </si>
  <si>
    <t>gymnocercus</t>
  </si>
  <si>
    <t>males: head body 103 (90-115); tail 117 (113-120); hindfoot 24.9 (23.4-25.6); ear 15.6 (14.9-16); females: head-body 107 (104-110); tail 111 (110-112); hindfoot 23.1 (23-23.1); ear 15.1 (15-15.1)</t>
  </si>
  <si>
    <t>Nepal, India, Burma, China, Thailand, Vietnam, Laos, Cambodia, Malay Peninsula</t>
  </si>
  <si>
    <t>males: 11500; females 9250 (9000-9500)</t>
  </si>
  <si>
    <t>male weight</t>
  </si>
  <si>
    <t>Cameroon, Nigeria, Gabon, Zaire</t>
  </si>
  <si>
    <t>China, Vietnam, Loas</t>
  </si>
  <si>
    <t>Java, Sumatra (Indonesia)</t>
  </si>
  <si>
    <t xml:space="preserve">Corfu Isl. </t>
  </si>
  <si>
    <t>Hong Kong</t>
  </si>
  <si>
    <t>Cozumel Island, Mexico</t>
  </si>
  <si>
    <t>Galerella</t>
  </si>
  <si>
    <t>pulverulenta</t>
  </si>
  <si>
    <t>brachyotis</t>
  </si>
  <si>
    <t>Thylogale</t>
  </si>
  <si>
    <t>thetis</t>
  </si>
  <si>
    <t>Ochotonidae</t>
  </si>
  <si>
    <t>obscurus</t>
  </si>
  <si>
    <t>simplex</t>
  </si>
  <si>
    <t>Punomys</t>
  </si>
  <si>
    <t>lemminus</t>
  </si>
  <si>
    <t>smaller than P. madagascariensis; estimate is from primate model; estimate using dasypodid model is 6240g; estimate using caviomorph model is 10830g.  MacPhee thought caviomorph estimate was too high.</t>
  </si>
  <si>
    <t>dunese</t>
  </si>
  <si>
    <t>Gansu, Tibet, China, Burma, Vietnam</t>
  </si>
  <si>
    <t>female: 55kg; males 70kg; estimated measurements for malagasy specimens</t>
  </si>
  <si>
    <t>larger than other spp. Of Chiruomys.  Chiruromys lamia is much smaller</t>
  </si>
  <si>
    <t>India, Nepal, Vietnam, Thailand, Malaysia</t>
  </si>
  <si>
    <t>N. Pacific to China and Japan</t>
  </si>
  <si>
    <t>Cedros Isls., Baja California</t>
  </si>
  <si>
    <t>S Cameroon, Gabon, Congo Republic, Zaire, Central African Republic</t>
  </si>
  <si>
    <t>Turkey, Armenia, Azerbaidzhan, Georgia, Iran, Syria, Lebanon, Israel</t>
  </si>
  <si>
    <t>Nicaragua</t>
  </si>
  <si>
    <t>largest species of the genus; discussed by Dieterlen and Heimde Balsac, 1979</t>
  </si>
  <si>
    <t>hunting, habitat loss, drought, changes in competitors, parasites/pathogens</t>
  </si>
  <si>
    <t>changes in native spp. Dynamics</t>
  </si>
  <si>
    <t>males: 5500; females: 6500 (6400-6600)</t>
  </si>
  <si>
    <t>males: 486 (425-550); females 310 (260-350)</t>
  </si>
  <si>
    <t>males: head-body 146; tail 176; hindfoot 36.5; ear 13; females: head-body 119; tail 165; hindfoot 33; ear 14</t>
  </si>
  <si>
    <t>Bulgaria, Turkey, Caucasus</t>
  </si>
  <si>
    <t>Spain, Portugal</t>
  </si>
  <si>
    <r>
      <t xml:space="preserve">275.  Yamada, F. and Cervantes, F. A.  2005.  </t>
    </r>
    <r>
      <rPr>
        <i/>
        <sz val="10"/>
        <color indexed="8"/>
        <rFont val="Arial"/>
        <family val="2"/>
      </rPr>
      <t>Pentalagus furnessi</t>
    </r>
    <r>
      <rPr>
        <sz val="10"/>
        <color indexed="8"/>
        <rFont val="Arial"/>
      </rPr>
      <t>.  Mammalian Species No. 782:1-5.  The American Society of Mammalogists.</t>
    </r>
  </si>
  <si>
    <t>61, 276</t>
  </si>
  <si>
    <t>male: 54 (range: 44-62.5); females: 42.8 (range: 37.6-48)</t>
  </si>
  <si>
    <t>males: 1750 (1500-2000); females: 1893 (1500-2340)</t>
  </si>
  <si>
    <t>males: 9128 (6700-11555); females: 3576</t>
  </si>
  <si>
    <t>Turkey, Caucasus</t>
  </si>
  <si>
    <t>Pacific coast from Oregon to N. California</t>
  </si>
  <si>
    <t>Barrow Isl, Australia</t>
  </si>
  <si>
    <t>Austria, Hungary, Yugoslavia, Rumania, Russia, Kazakhstan, Sibiria</t>
  </si>
  <si>
    <t>Kazakhstan, China</t>
  </si>
  <si>
    <t>Central African Republic, Sudan, Ethiopia, Somalia, Uganda, Kenya, Tanzania</t>
  </si>
  <si>
    <t>sumatrae</t>
  </si>
  <si>
    <t>Trichys</t>
  </si>
  <si>
    <t>fasciculata</t>
  </si>
  <si>
    <t>aleksandrisi</t>
  </si>
  <si>
    <t>Pseudantechinus</t>
  </si>
  <si>
    <t>ningbing</t>
  </si>
  <si>
    <t>flavescens</t>
  </si>
  <si>
    <t>males: 215 (185-227); females: 204 (172-236)</t>
  </si>
  <si>
    <t>China, Indian himalayas</t>
  </si>
  <si>
    <t>males: head-body 590 (580-600); tail 456.7 (400-570); hindfoot 130 (115-143); ear 65 (60-70); females: 495 (458-528); tail 329 (315-345); hindfoot 124 (115-131); ear 61 (60-62)</t>
  </si>
  <si>
    <t>SW china, N Burma, Thailand, N Vietnam</t>
  </si>
  <si>
    <t>FA:175.1</t>
  </si>
  <si>
    <t>FA:155</t>
  </si>
  <si>
    <t>FA:236</t>
  </si>
  <si>
    <t>FA:262</t>
  </si>
  <si>
    <t>FA:110</t>
  </si>
  <si>
    <t>FA:62</t>
  </si>
  <si>
    <t>FA:26.6</t>
  </si>
  <si>
    <t>FA:27.3</t>
  </si>
  <si>
    <t>FA:23.5</t>
  </si>
  <si>
    <t>S. Yemen</t>
  </si>
  <si>
    <t>FA:31.5</t>
  </si>
  <si>
    <t>FA:49.9</t>
  </si>
  <si>
    <t>FA:38.1</t>
  </si>
  <si>
    <t>FA:18.7</t>
  </si>
  <si>
    <t>FA:18.2</t>
  </si>
  <si>
    <t>FA:25.3</t>
  </si>
  <si>
    <t>FA:24.3</t>
  </si>
  <si>
    <t>FA:43.6</t>
  </si>
  <si>
    <t>FA:27.8</t>
  </si>
  <si>
    <t>FA:24.4</t>
  </si>
  <si>
    <t>FA:25.8</t>
  </si>
  <si>
    <t>FA:17.7</t>
  </si>
  <si>
    <t>FA:22</t>
  </si>
  <si>
    <t>FA:23</t>
  </si>
  <si>
    <t>FA:24.1</t>
  </si>
  <si>
    <t>FA:25.6</t>
  </si>
  <si>
    <t>FA:53.8</t>
  </si>
  <si>
    <t>FA:39.7</t>
  </si>
  <si>
    <t>FA:40.6</t>
  </si>
  <si>
    <t>FA:36.9</t>
  </si>
  <si>
    <t>FA:35.6</t>
  </si>
  <si>
    <t>FA:33</t>
  </si>
  <si>
    <t>FA:44.9</t>
  </si>
  <si>
    <t>FA:30.3</t>
  </si>
  <si>
    <t>FA:27.9</t>
  </si>
  <si>
    <t>FA:25</t>
  </si>
  <si>
    <t>males: 15500 (14000-17000); females: 11375 (10600-13000)</t>
  </si>
  <si>
    <t>Haiti</t>
  </si>
  <si>
    <t>Algeria, Tunisia, Libya</t>
  </si>
  <si>
    <t>New South Wales, S Queensland</t>
  </si>
  <si>
    <t>C China</t>
  </si>
  <si>
    <t>hartwigi</t>
  </si>
  <si>
    <t>E Afghanistan, India, China, Burma, Thailand, Indochina, Malaysia</t>
  </si>
  <si>
    <t>betpakdalaensis</t>
  </si>
  <si>
    <t>hantu</t>
  </si>
  <si>
    <t>Oregon, Nevada, Idaho, USA</t>
  </si>
  <si>
    <t>Burma, China, India, Laos, Malaysia, Nepal, Thailand, Vietnam</t>
  </si>
  <si>
    <t>chapmani</t>
  </si>
  <si>
    <t>Zyzomys</t>
  </si>
  <si>
    <t>pictus</t>
  </si>
  <si>
    <t>Otocyon</t>
  </si>
  <si>
    <t>desertor</t>
  </si>
  <si>
    <t>argurus</t>
  </si>
  <si>
    <t>aquilo</t>
  </si>
  <si>
    <t>Rattus</t>
  </si>
  <si>
    <t xml:space="preserve">220.  Gillihan, S. W. and K. R. Foresman.  2004.  Sorex vagrans.  Mammalian Species no. 744: 1-5.  The American Society of Mammalogists. </t>
  </si>
  <si>
    <t>Nepal, China, Burma, Vietnam</t>
  </si>
  <si>
    <t>Transcaucasis (Armenia, possibly Azerbaidzhan), turkey, Syria, Israel</t>
  </si>
  <si>
    <t>W Africa, Senegal w. to C. Niberia</t>
  </si>
  <si>
    <t>Senegal to NC Nigeria</t>
  </si>
  <si>
    <t>males: 168 (150-184); females: 148 (145-150)</t>
  </si>
  <si>
    <t>Western Australia</t>
  </si>
  <si>
    <t>Salawati, Indonesia</t>
  </si>
  <si>
    <t>Sumatra, Borneo Indonesia</t>
  </si>
  <si>
    <t>S. Vietnam</t>
  </si>
  <si>
    <t>Bhutan, Nepal, India</t>
  </si>
  <si>
    <t>San Jose Island, Gulf of CA, Mexico</t>
  </si>
  <si>
    <t>males: head-body 154 (128-167); tail 131 (113-152); hindfoot 28.3 (25-31); ear 12.2 (11-13); females:  head-body 150 (138-164); tail 126 (103-144); hindfoot 27.4 (26-29); ear 12.4 (12-16)</t>
  </si>
  <si>
    <t>gloveri</t>
  </si>
  <si>
    <t>hyperborea</t>
  </si>
  <si>
    <t>iliensis</t>
  </si>
  <si>
    <t>koslowi</t>
  </si>
  <si>
    <t>Thailand, Cambodia, Laos, Vietnam</t>
  </si>
  <si>
    <t>Kenya, Uganda, Rwanda, Burundi, Zaire</t>
  </si>
  <si>
    <t>ipnaeum</t>
  </si>
  <si>
    <t>Uzbekistan, Tadzhikistan, Iran to Afghanistan, Pakistan, NW India</t>
  </si>
  <si>
    <t>Nigeria, W Cameroon</t>
  </si>
  <si>
    <t>China, India, Burma, Thailand, Laos, Cambodia, Vietnam, Malay Peninsula</t>
  </si>
  <si>
    <t>NW Australia</t>
  </si>
  <si>
    <t>separated from P. truei in 1984); mass is that of P. truei</t>
  </si>
  <si>
    <r>
      <t xml:space="preserve">248.  Dávalos, L. M.  2004.  New Chocoan species of </t>
    </r>
    <r>
      <rPr>
        <i/>
        <sz val="10"/>
        <color indexed="8"/>
        <rFont val="Arial"/>
        <family val="2"/>
      </rPr>
      <t>Lonchophylla</t>
    </r>
    <r>
      <rPr>
        <sz val="10"/>
        <color indexed="8"/>
        <rFont val="Arial"/>
      </rPr>
      <t xml:space="preserve"> (Chiroptera:  Phyllostomidae).  American Museum Novitates.  Number 3426:1-14.</t>
    </r>
  </si>
  <si>
    <t>males: 4567 (2300-6000); females: 3060</t>
  </si>
  <si>
    <t>Prolagus</t>
  </si>
  <si>
    <t>Sarawak, Borneo, Indonesia</t>
  </si>
  <si>
    <t>Malawi, Tanzania, Zambia</t>
  </si>
  <si>
    <t>warreni</t>
  </si>
  <si>
    <t>Srilankamys</t>
  </si>
  <si>
    <t>USA (New Mexico), Mexico (interior)</t>
  </si>
  <si>
    <t>Dominican Republic</t>
  </si>
  <si>
    <t>males: 43.7 (38-52); females: 42 (40-43)</t>
  </si>
  <si>
    <t>males: head-body144; tail 151; hindfoot 38; ear 19</t>
  </si>
  <si>
    <t>damarensis</t>
  </si>
  <si>
    <t>Sigmoceros</t>
  </si>
  <si>
    <t>Dasymys</t>
  </si>
  <si>
    <t>Synaptomys</t>
  </si>
  <si>
    <t>Atelerix</t>
  </si>
  <si>
    <t>algirus</t>
  </si>
  <si>
    <t>frontalis</t>
  </si>
  <si>
    <t>cancrivorus</t>
  </si>
  <si>
    <t>60, jake goheen</t>
  </si>
  <si>
    <t>similar in size to L. capensis</t>
  </si>
  <si>
    <r>
      <t xml:space="preserve">276.  De Mello Beisiegel, B. and Zuercher, G. L.  2005.  </t>
    </r>
    <r>
      <rPr>
        <i/>
        <sz val="10"/>
        <color indexed="8"/>
        <rFont val="Arial"/>
        <family val="2"/>
      </rPr>
      <t>Speothos venaticus</t>
    </r>
    <r>
      <rPr>
        <sz val="10"/>
        <color indexed="8"/>
        <rFont val="Arial"/>
      </rPr>
      <t>.  Mammalian Species No. 783:1-6.  The American Society of Mammalogists.</t>
    </r>
  </si>
  <si>
    <t>153, 277</t>
  </si>
  <si>
    <t>pulchellum</t>
  </si>
  <si>
    <t>Iraq, Iran</t>
  </si>
  <si>
    <t>coibae</t>
  </si>
  <si>
    <t>Spelaeomys</t>
  </si>
  <si>
    <t>florensis</t>
  </si>
  <si>
    <t>ollula</t>
  </si>
  <si>
    <t>Subantarctic islands of New Zealand</t>
  </si>
  <si>
    <t>Russia, Kazakhstan, Mongolia, China</t>
  </si>
  <si>
    <t>females: 350</t>
  </si>
  <si>
    <t>males: 1550 (1100-2000)</t>
  </si>
  <si>
    <t>males: 81 (75-86)</t>
  </si>
  <si>
    <t>males: 448.1 (352-470); females: 360 (280-440)</t>
  </si>
  <si>
    <t xml:space="preserve">males: 328 (324-332); females: 228 </t>
  </si>
  <si>
    <t>Siberia, Mongolia, China</t>
  </si>
  <si>
    <t>India, Bhutan</t>
  </si>
  <si>
    <t>Laos, Burma, Vietnam, Thailand, China</t>
  </si>
  <si>
    <t>Tetracerus</t>
  </si>
  <si>
    <t>nemaeus</t>
  </si>
  <si>
    <t>roxellana</t>
  </si>
  <si>
    <t>portenkoi</t>
  </si>
  <si>
    <t>roboratus</t>
  </si>
  <si>
    <t>sadonis</t>
  </si>
  <si>
    <t>samniticus</t>
  </si>
  <si>
    <t>satunini</t>
  </si>
  <si>
    <t>shinto</t>
  </si>
  <si>
    <t>Soriculus</t>
  </si>
  <si>
    <t>fumidus</t>
  </si>
  <si>
    <t>hypsibius</t>
  </si>
  <si>
    <t>Santa Catalina Isls., Baja CA</t>
  </si>
  <si>
    <t>San Estaban Isls., Mexico</t>
  </si>
  <si>
    <t>argentiventer</t>
  </si>
  <si>
    <t>called Melomys lutillus in mammals of New Guinea</t>
  </si>
  <si>
    <t>Burma, Malaysia</t>
  </si>
  <si>
    <t>FA:63</t>
  </si>
  <si>
    <t>FA:60</t>
  </si>
  <si>
    <t>111, 114, 115, 261</t>
  </si>
  <si>
    <t>117, 261</t>
  </si>
  <si>
    <t>68, 261</t>
  </si>
  <si>
    <t>111, 114, 261</t>
  </si>
  <si>
    <t>SH:820</t>
  </si>
  <si>
    <t>FA:130</t>
  </si>
  <si>
    <t>FA:413</t>
  </si>
  <si>
    <t>9 July &amp; 11 July - added references 259-261 - SKL</t>
  </si>
  <si>
    <t>256.  Young, R. A. and Ford, G. I.  2000.  Bat fauna of a semi-arid environment in central western Queensland, Australia.  Wildlife Research.  27:203-215.</t>
  </si>
  <si>
    <t>WT:107</t>
  </si>
  <si>
    <t>WT:54.5</t>
  </si>
  <si>
    <t>WT:20000</t>
  </si>
  <si>
    <t>WT:5000</t>
  </si>
  <si>
    <t>Hainan Isl., China</t>
  </si>
  <si>
    <t>China, Burma</t>
  </si>
  <si>
    <t>Sumatra, Borneo</t>
  </si>
  <si>
    <t>Boromys</t>
  </si>
  <si>
    <t>elaphinus</t>
  </si>
  <si>
    <t xml:space="preserve">185.  Sutou, S. Mitsui, Y., Tsuchiya, K.  2001.  Sex determination without the Y chromosome in two japanese rodents Tokudaia osimensis osimensis and Tokudaia osimensis spp.  Mammalian Genome.  12:17-21.  </t>
  </si>
  <si>
    <t>208.  Lazell, J., Lu, W., Xia, W., Li, S. Y., and Smith, A.  1995.  Status of the Hainan Hare.  Species 25:   Available at:  http://www.ualberta.ca/~dhik/lsg/speciesreports.htm#December%201995,%20Number%2025.</t>
  </si>
  <si>
    <t>http://www.animalinfo.org/species/nesonets.htm</t>
  </si>
  <si>
    <t>263.  Rosevear, D. R.  1969.  The rodens of west Africa.  The British Museum (Natural History).  London, England.</t>
  </si>
  <si>
    <r>
      <t xml:space="preserve">270.  Rosi, M. I., Cona, M. I., Roig, V. G., Massarini, A. I., and Verzi, D. H.  2005.  </t>
    </r>
    <r>
      <rPr>
        <i/>
        <sz val="10"/>
        <color indexed="8"/>
        <rFont val="Arial"/>
        <family val="2"/>
      </rPr>
      <t>Ctenomys mendocinus</t>
    </r>
    <r>
      <rPr>
        <sz val="10"/>
        <color indexed="8"/>
        <rFont val="Arial"/>
      </rPr>
      <t>.  Mammalian Species No. 777:1-6.  The American Society of Mammalogists.</t>
    </r>
  </si>
  <si>
    <t>Nepal to Burma, China and Thailand to Laos</t>
  </si>
  <si>
    <t>Some North American species - J.Brown and P.Niccoleto (see Am. Nat publication)</t>
  </si>
  <si>
    <t>splendidula</t>
  </si>
  <si>
    <t>tana</t>
  </si>
  <si>
    <t>alpina</t>
  </si>
  <si>
    <t>cansus</t>
  </si>
  <si>
    <t>China, Burma, Vietnam</t>
  </si>
  <si>
    <t>Malay peninsula, Thailand, Laos, Cambodia, Vietnam, China, Burma</t>
  </si>
  <si>
    <t>curzoniae</t>
  </si>
  <si>
    <t>dauurica</t>
  </si>
  <si>
    <t>gaoligongensis</t>
  </si>
  <si>
    <t>245.  Aguirre, L. F., Herrel, A., van Damme, R. and Matthysen, E.  2002.  Ecomorphological analysis of trophic niche partitioning in a tropical savannah bat community.</t>
  </si>
  <si>
    <t>males: head-body 219 (174-265); tail 116 (111-120); hindfoot 34 (30-38); ear: 22</t>
  </si>
  <si>
    <t>largest of all bandicoots, fossil or modern</t>
  </si>
  <si>
    <t>males: 865 (730-1000); females: 812 (650-960)</t>
  </si>
  <si>
    <t>males: 54; females: 56 (54-58)</t>
  </si>
  <si>
    <t>high elevations in E Africa, Ethiopia, Uganda, Kenya, Malawi, Zambia, C Tanzania</t>
  </si>
  <si>
    <t>Stenomys</t>
  </si>
  <si>
    <t>Barbados, Lesser Antilles</t>
  </si>
  <si>
    <t>249.  Fenton, M. B., Bernard, E., Bouchard, S., Hollis, L., Johnston, D. S., Lausen, C. L., Ratcliffe, J. M., Riskin, D. K., Taylor, J. R., and Zigouris, J.  2001.  The bat fauna of Lamanai, Belize:  roosts and trophic roles.  Journal of Tropical Ecology.  17:511-524.</t>
  </si>
  <si>
    <t>aka Tatera ruddi</t>
  </si>
  <si>
    <t>60, http://members.vienna.at/shrew/itsesAP95-sorex.html#gracillimus</t>
  </si>
  <si>
    <t>182.  SARÀ, M. and MORAND, S.  2002.  Island incidence and mainland population density:  mammals from Mediterranean islands.  Diversity and  Distributions.  8:1-9.</t>
  </si>
  <si>
    <t>111, 182</t>
  </si>
  <si>
    <t>68, 182</t>
  </si>
  <si>
    <t>261.  Goodwin, G. G. and Greenhall, A. M.  1961.  A review of the bats of Trinidad and Tobago:  Descriptions, rabies infection, and ecology.  Bulletin of the American Museum of Natural History.  122:191-301.</t>
  </si>
  <si>
    <t>comment</t>
  </si>
  <si>
    <t>262.  Harrison, D. L., and Bates, P. J. J.  1991.  The mammals of Arabia.  Second edition.  Harrison Zoological Museum.  Sevenoaks, Kent, England.</t>
  </si>
  <si>
    <t>specimen from oman</t>
  </si>
  <si>
    <t>FA:116.6</t>
  </si>
  <si>
    <r>
      <t xml:space="preserve">277.  Lausen, C. L. and Barclay, R. M. R.  2005.  </t>
    </r>
    <r>
      <rPr>
        <i/>
        <sz val="10"/>
        <color indexed="8"/>
        <rFont val="Arial"/>
        <family val="2"/>
      </rPr>
      <t>Pipistrellus nanus</t>
    </r>
    <r>
      <rPr>
        <sz val="10"/>
        <color indexed="8"/>
        <rFont val="Arial"/>
      </rPr>
      <t>.  Mammalian Species No. 784:1-7.  The American Society of Mammalogists</t>
    </r>
  </si>
  <si>
    <t>153, 278</t>
  </si>
  <si>
    <t>cervicolor</t>
  </si>
  <si>
    <t>sejugis</t>
  </si>
  <si>
    <t>Angel de la Guarda Ils, Granito &amp; Mejia Isl., Gulf of California</t>
  </si>
  <si>
    <t>St. Paul, Pribilof Isls. Bering Sea</t>
  </si>
  <si>
    <t>Ecuador, Peru</t>
  </si>
  <si>
    <t>males</t>
  </si>
  <si>
    <t>Idaho, Montana, Wyoming, Utah</t>
  </si>
  <si>
    <t>Idaho, Oregon, California, Nevada, USA</t>
  </si>
  <si>
    <t>Vietnam, Laos, China</t>
  </si>
  <si>
    <t>229.  www.animalinfo.org/species/crypzyli.htm  (August 2004)</t>
  </si>
  <si>
    <r>
      <t xml:space="preserve">279.  Hwang, Y. T., and Lariviére, S.  2005.  </t>
    </r>
    <r>
      <rPr>
        <i/>
        <sz val="10"/>
        <color indexed="8"/>
        <rFont val="Arial"/>
        <family val="2"/>
      </rPr>
      <t>Lutrogale perspicillata</t>
    </r>
    <r>
      <rPr>
        <sz val="10"/>
        <color indexed="8"/>
        <rFont val="Arial"/>
      </rPr>
      <t>.  Mammalian Species No. 786:1-4.  The American Society of Mammalogists</t>
    </r>
  </si>
  <si>
    <t>232.  Www.it is.usda.gov/servlet/singlerpt/singlerpt?search_topic=aus (August 2004)</t>
  </si>
  <si>
    <t>male only</t>
  </si>
  <si>
    <r>
      <t xml:space="preserve">280.  Sherwin, R. E. and Gannon, W. L. 2005.  </t>
    </r>
    <r>
      <rPr>
        <i/>
        <sz val="10"/>
        <color indexed="8"/>
        <rFont val="Arial"/>
        <family val="2"/>
      </rPr>
      <t>Ariteus flavescens.</t>
    </r>
    <r>
      <rPr>
        <sz val="10"/>
        <color indexed="8"/>
        <rFont val="Arial"/>
      </rPr>
      <t xml:space="preserve">  </t>
    </r>
    <r>
      <rPr>
        <sz val="10"/>
        <color indexed="8"/>
        <rFont val="Arial"/>
        <family val="2"/>
      </rPr>
      <t>Mammalian Species No. 787:1-3.  The American Society of Mammalogists</t>
    </r>
  </si>
  <si>
    <t>FA:324</t>
  </si>
  <si>
    <t>FA:190.2</t>
  </si>
  <si>
    <t>254.  Webster, W. D. and Knox Jr., J. J.  1983.  Artibeus hirsutus and Artibeus inopinatus.  Mammalian Species No. 199:1-3. The American Society of Mammalogists.</t>
  </si>
  <si>
    <t>255.  Bouchard, S.  2001.  Chaerephon ansorgei.  Mammalian Species No. 660:1-3.  The American Society of Mammalogists.</t>
  </si>
  <si>
    <t>257.  Yasuma, S., Andau, M., Apin, L. Tuh Yit Yu, F., and Kimsui, L.  2003.  Identification keys to the mammals of Borneo.  Bornean Biodiversity &amp; Ecosystem conservation programme in Sabah.  Park Management Component  BBEC Programme.</t>
  </si>
  <si>
    <t>118, 257</t>
  </si>
  <si>
    <t>E New Guinea, Borneo</t>
  </si>
  <si>
    <t>215, 257</t>
  </si>
  <si>
    <t>119, 120, 257</t>
  </si>
  <si>
    <t>68, 118, 257</t>
  </si>
  <si>
    <t>listed as metanotis</t>
  </si>
  <si>
    <t>118, 123, 257</t>
  </si>
  <si>
    <t>60, 257</t>
  </si>
  <si>
    <t>75, 118, 257</t>
  </si>
  <si>
    <t>68, 257</t>
  </si>
  <si>
    <r>
      <t xml:space="preserve">272.  Gorsuch, W. A., and Lariviére, S.  2005.  </t>
    </r>
    <r>
      <rPr>
        <i/>
        <sz val="10"/>
        <color indexed="8"/>
        <rFont val="Arial"/>
        <family val="2"/>
      </rPr>
      <t>Vormela peregusna</t>
    </r>
    <r>
      <rPr>
        <sz val="10"/>
        <color indexed="8"/>
        <rFont val="Arial"/>
      </rPr>
      <t>.  Mammalian Species No. 779:1-5.  The American Society of Mammalogists.</t>
    </r>
  </si>
  <si>
    <r>
      <t xml:space="preserve">281.  Lim, B. K., and Engstrom, M. D.  2001.  Species diversity of bats (Mammalia: Chiroptera) in Iwokrama Forest, Guyana, and the Guianan subregion:  implications for conservation.  </t>
    </r>
    <r>
      <rPr>
        <i/>
        <sz val="10"/>
        <color indexed="8"/>
        <rFont val="Arial"/>
        <family val="2"/>
      </rPr>
      <t>Biodiversity and Conservation</t>
    </r>
    <r>
      <rPr>
        <sz val="10"/>
        <color indexed="8"/>
        <rFont val="Arial"/>
      </rPr>
      <t xml:space="preserve"> 10:613-657.</t>
    </r>
  </si>
  <si>
    <r>
      <t xml:space="preserve">273.  Barreto, G. R., and García-Rangel, S.  2005.  </t>
    </r>
    <r>
      <rPr>
        <i/>
        <sz val="10"/>
        <color indexed="8"/>
        <rFont val="Arial"/>
        <family val="2"/>
      </rPr>
      <t>Holochilus sciureus</t>
    </r>
    <r>
      <rPr>
        <sz val="10"/>
        <color indexed="8"/>
        <rFont val="Arial"/>
      </rPr>
      <t>.  Mammalian Species No. 780:1-5.  The American Society of Mammalogists.</t>
    </r>
  </si>
  <si>
    <r>
      <t xml:space="preserve">274.  Skurski, D. A., and Waterman, J. M.  2005.  </t>
    </r>
    <r>
      <rPr>
        <i/>
        <sz val="10"/>
        <color indexed="8"/>
        <rFont val="Arial"/>
        <family val="2"/>
      </rPr>
      <t>Xerus inauris</t>
    </r>
    <r>
      <rPr>
        <sz val="10"/>
        <color indexed="8"/>
        <rFont val="Arial"/>
      </rPr>
      <t>.  Mammalian Species No. 781:1-4.  The American Society of Mammalogists</t>
    </r>
  </si>
  <si>
    <t>190.  Haim, A., Shabtay, A. and Arad, Z.  1999.  The thermoregulatory and metabolic responses to photoperiod manipulations of the Macedonian mouse (Mus macedonicus), a post-fire invader.  Journal of Thermal Biology 24:  279-286.</t>
  </si>
  <si>
    <t>246.  Lim, B. K. and Engstrom, M. D.  2001.  Bat community structure at Iwokrama Guyana.  Journal of Tropical Ecology.  17:647-665.</t>
  </si>
  <si>
    <t>animaldiversity.ummz.umich.edu</t>
  </si>
  <si>
    <t>reported as 0.00379 kg in CRC - has to be mistake - see walkers</t>
  </si>
  <si>
    <t>Maria Madre Isl, Maria Magdalena Isl, Mexico</t>
  </si>
  <si>
    <r>
      <t xml:space="preserve">247.  McCarthy, T. J., Albuja V., L.  And Manzano, I.  2000.  Rediscovery of the brown sac-wing bat </t>
    </r>
    <r>
      <rPr>
        <i/>
        <sz val="10"/>
        <color indexed="8"/>
        <rFont val="Arial"/>
        <family val="2"/>
      </rPr>
      <t>Balantiopteryx infusca</t>
    </r>
    <r>
      <rPr>
        <sz val="10"/>
        <color indexed="8"/>
        <rFont val="Arial"/>
      </rPr>
      <t xml:space="preserve"> (Thomas, 1897), in Ecuador.  Journal of Mammalogy.  81: 958-961.</t>
    </r>
  </si>
  <si>
    <t xml:space="preserve">49-58mm; regression  </t>
  </si>
  <si>
    <t>Morgan</t>
  </si>
  <si>
    <t>Jake Goheen</t>
  </si>
  <si>
    <t>www.iiasa.ac.at/~sendzim/MammalDataSets/ African%20Rainfor%20Mamm.xls, Jake Goheen</t>
  </si>
  <si>
    <t>130, Jake Goheen</t>
  </si>
  <si>
    <t>231.  Www. Columbia.edu/~kj2107/research/databases/jonesbraindata.htm (August 2004)</t>
  </si>
  <si>
    <t>110-115 mm; http://translate.google.com/translate?hl=en&amp;sl=es&amp;u=http://www.peluzzo.com/variedad/varie05.htm&amp;prev=/search%3Fq%3D%2522Allocricetulus%2Bcurtatus%2522%26start%3D30%26hl%3Den%26lr%3D%26sa%3DN</t>
  </si>
  <si>
    <t xml:space="preserve">Body mass algorithm: A single body mass estimate per continent was derived by averaging male and female adult mass; if both were unavailable male mass was used in preference to female mass. </t>
  </si>
  <si>
    <t>Mammalian species #249, 60</t>
  </si>
  <si>
    <t>S Israel</t>
  </si>
  <si>
    <t>caudifera</t>
  </si>
  <si>
    <t>405mm</t>
  </si>
  <si>
    <t>61 mm</t>
  </si>
  <si>
    <t>Afghan mammals.pdf</t>
  </si>
  <si>
    <t>112 mm</t>
  </si>
  <si>
    <t>226, 244</t>
  </si>
  <si>
    <t>278.  Hernández-Meza, B., Domínguez-Castellanos, Y. and Ortega, J.  2005.  Mammalian Species No. 785:1-3.  The American Society of Mammalogists</t>
  </si>
  <si>
    <t>68, 279</t>
  </si>
  <si>
    <t>FA:49.8</t>
  </si>
  <si>
    <t>FA:61.3</t>
  </si>
  <si>
    <t>FA:51.4</t>
  </si>
  <si>
    <t>FA:44.5</t>
  </si>
  <si>
    <t>FA:58.6</t>
  </si>
  <si>
    <t>FA:53.9</t>
  </si>
  <si>
    <t>FA:67.1</t>
  </si>
  <si>
    <t>FA:59.8</t>
  </si>
  <si>
    <t>FA:40.2</t>
  </si>
  <si>
    <t>FA:40.4</t>
  </si>
  <si>
    <t>FA:39.3</t>
  </si>
  <si>
    <t>FA:39.2</t>
  </si>
  <si>
    <t>FA:54.8</t>
  </si>
  <si>
    <t>FA:46</t>
  </si>
  <si>
    <t>FA:34.2</t>
  </si>
  <si>
    <t>FA:30.5</t>
  </si>
  <si>
    <t>FA:33.6</t>
  </si>
  <si>
    <t>FA:33.5</t>
  </si>
  <si>
    <t>FA:32.9</t>
  </si>
  <si>
    <t>FA:29.5</t>
  </si>
  <si>
    <t>FA:30</t>
  </si>
  <si>
    <t>FA:30.9</t>
  </si>
  <si>
    <t>FA:51.5</t>
  </si>
  <si>
    <t>FA:63.6</t>
  </si>
  <si>
    <t>FA:39.5</t>
  </si>
  <si>
    <t>FA:38.4</t>
  </si>
  <si>
    <t>FA:45.2</t>
  </si>
  <si>
    <t>FA:271</t>
  </si>
  <si>
    <t>about the size of H. auritus</t>
  </si>
  <si>
    <t>184.  Vinogradov, A.E., Anatskaya, O.V., and Kudryavtsev, B. N.  2001.  Relationship of hepatocyte ploidy levels with body size and growth rate in mammals.  Genome 44: 350-360.</t>
  </si>
  <si>
    <t>228-90 mm; walkers online</t>
  </si>
  <si>
    <t xml:space="preserve">150-200mm </t>
  </si>
  <si>
    <t>Walkers online, 60</t>
  </si>
  <si>
    <t>head-body:162mm</t>
  </si>
  <si>
    <t>195.  Yigit, N. Qolak, E., Sozen, M. and Ozkurt, S.  2000.  A study on the hibernation of Spermophilus xanthoprymnus (Bennet, 1835) (Mammalia:  Rodentia) in Turkey.  Turkey Journal of Zoology.  24: 87-93.</t>
  </si>
  <si>
    <r>
      <t xml:space="preserve">251.  Canaals, M. Iriarte-Díaz, J., Olivares, R., and Novoa, F.  2001.  Comparison of the wing morphology of </t>
    </r>
    <r>
      <rPr>
        <i/>
        <sz val="10"/>
        <color indexed="8"/>
        <rFont val="Arial"/>
        <family val="2"/>
      </rPr>
      <t>Tadarida brasiliensis</t>
    </r>
    <r>
      <rPr>
        <sz val="10"/>
        <color indexed="8"/>
        <rFont val="Arial"/>
      </rPr>
      <t xml:space="preserve"> (Chiroptera:  Molossidae) and </t>
    </r>
    <r>
      <rPr>
        <i/>
        <sz val="10"/>
        <color indexed="8"/>
        <rFont val="Arial"/>
        <family val="2"/>
      </rPr>
      <t>Myotic chiloensis</t>
    </r>
    <r>
      <rPr>
        <sz val="10"/>
        <color indexed="8"/>
        <rFont val="Arial"/>
      </rPr>
      <t xml:space="preserve"> (Chiroptera:  Vespertilionidae) as representatives of two flight patterns.  Revista Chilena de Historia Natural.  74: 699-704</t>
    </r>
  </si>
  <si>
    <t>186.  Robert S. Hoffmann . 1996. A research information system for mammals with Palaearctic examples. in: Conserving China's Biodiversity (II)  (PETER Johan Schei, WANG Sung and XIE Yan eds.). China Environmental Science Press. Beijing. 231-246p</t>
  </si>
  <si>
    <t>318 to 408 kg</t>
  </si>
  <si>
    <t>m140, f120 kg</t>
  </si>
  <si>
    <t>m15, f 12 kg</t>
  </si>
  <si>
    <t>m 280, f 224</t>
  </si>
  <si>
    <t>165 to 275 g</t>
  </si>
  <si>
    <t xml:space="preserve">www.hokudai.ac.jp/fsc/ bg/muse/PDF/oriipdf/oriilist08.pdf </t>
  </si>
  <si>
    <t>189.  Qolak, E., Yigit, N., and Sozen, M.  1998.  A study on taxonomic status of Microtus subterraneus (de Selys Longchamps, 1836) and Microtus majori Thomas, 1906 (Mammalia:  Rodentia) in Turkey.  Turkey Journal of Zoology.  22: 119-129.</t>
  </si>
  <si>
    <r>
      <t xml:space="preserve">271.  Mancina, C.A. 2005.  </t>
    </r>
    <r>
      <rPr>
        <i/>
        <sz val="10"/>
        <color indexed="8"/>
        <rFont val="Arial"/>
        <family val="2"/>
      </rPr>
      <t>Pteronotus macleayii</t>
    </r>
    <r>
      <rPr>
        <sz val="10"/>
        <color indexed="8"/>
        <rFont val="Arial"/>
      </rPr>
      <t>.  Mammalian Species No. 778: 1-3.  The American Society of Mammalogists.</t>
    </r>
  </si>
  <si>
    <r>
      <t xml:space="preserve">252.  Riskin, D. K. and Fenton, M. B.  2001.  Sticking ability in Spix's disk-winged bat, </t>
    </r>
    <r>
      <rPr>
        <i/>
        <sz val="10"/>
        <color indexed="8"/>
        <rFont val="Arial"/>
        <family val="2"/>
      </rPr>
      <t>Thyroptera tricolor</t>
    </r>
    <r>
      <rPr>
        <sz val="10"/>
        <color indexed="8"/>
        <rFont val="Arial"/>
      </rPr>
      <t xml:space="preserve"> (Microchioptera: Thyropteridae).  Canadian Journal of Zoology 79:2261-2267.</t>
    </r>
  </si>
  <si>
    <t>211; http://members.tripod.com/uakari/trachypithecus_auratus.html</t>
  </si>
  <si>
    <t>habitat loss, changes in food base</t>
  </si>
  <si>
    <t>216.  White, C. R., and Seymour, R. S.  2003.  Mammalian basal metabolic rate is proportional to body mass^2/3.  PNAS 100:4046-4049.</t>
  </si>
  <si>
    <t>http://www.tiho-hannover.de/gibbons/main2/index.html</t>
  </si>
  <si>
    <t>267-305 mm, regression</t>
  </si>
  <si>
    <t>250.  Ibañez, C. Ramo, C. and Busto, B.  1992.  Notes on the food habits of the black and white owl.  Condor 94:529-531.</t>
  </si>
  <si>
    <t>112-148 mm head-body</t>
  </si>
  <si>
    <t>253.  Flannery, T. 1995a. Mammals of the South-West Pacific &amp; Moluccan Islands. Comstock/Cornell, Ithaca NY, USA</t>
  </si>
  <si>
    <t>253, http://www.animalinfo.org/species/bat/anthorna.htm</t>
  </si>
  <si>
    <t>FA:66.9</t>
  </si>
  <si>
    <t>FA:48.3</t>
  </si>
  <si>
    <t>FA:46.3</t>
  </si>
  <si>
    <t>FA:73.7</t>
  </si>
  <si>
    <t>FA:61.9</t>
  </si>
  <si>
    <t>FA:45.4</t>
  </si>
  <si>
    <t>FA:57.2</t>
  </si>
  <si>
    <t>FA:47.1</t>
  </si>
  <si>
    <t>FA:35.7</t>
  </si>
  <si>
    <t>FA:45.7</t>
  </si>
  <si>
    <t>FA:49.4</t>
  </si>
  <si>
    <t>FA:45.3</t>
  </si>
  <si>
    <t>FA:50.7</t>
  </si>
  <si>
    <r>
      <t xml:space="preserve">228.  Withers, P.C.  2000.  Metablic physiology of </t>
    </r>
    <r>
      <rPr>
        <sz val="10"/>
        <color indexed="8"/>
        <rFont val="Arial"/>
      </rPr>
      <t>Notoryctes caurinus.  Australian Journal of Zoology 48:241-258.</t>
    </r>
  </si>
  <si>
    <t>230.   www.animalinfo.org/species/chryvisa.htm  (August 2004)</t>
  </si>
  <si>
    <t>www.iiasa.ac.at/~sendzim/MammalDataSets/ Woodland%20Savanna%20Mamm.xls</t>
  </si>
  <si>
    <t>144, 146</t>
  </si>
  <si>
    <t>mammals of afghan.pdf</t>
  </si>
  <si>
    <t>141 mm</t>
  </si>
  <si>
    <t>angustirostris</t>
  </si>
  <si>
    <t>Monachus</t>
  </si>
  <si>
    <t>Phoca</t>
  </si>
  <si>
    <t>caspica</t>
  </si>
  <si>
    <t>fasciata</t>
  </si>
  <si>
    <t>brookei</t>
  </si>
  <si>
    <t>dauricus</t>
  </si>
  <si>
    <t>erythrogenys</t>
  </si>
  <si>
    <t>musicus</t>
  </si>
  <si>
    <t>relictus</t>
  </si>
  <si>
    <t>suslicus</t>
  </si>
  <si>
    <t>sonomae</t>
  </si>
  <si>
    <t>silindensis</t>
  </si>
  <si>
    <t>172.  Christiane Mauget, Robert Mauget, and Antoine Sempéré.  1999.  Energy expenditure in European roe deer fawns during the suckling period and its relationship with maternal reproductive cost.  Can. J. Zool. 77: 389–396.</t>
  </si>
  <si>
    <t>209.  McFarlane, D. A.  1999.  A note on dimorphism in Nesophontes edithae (Mammalia:  Insectivora), an extinct island-shrew from Puerto Rico.  Caribbean Journal of Science.  35:142-143.</t>
  </si>
  <si>
    <t xml:space="preserve">177. Charudutt Mishra1,2, Sipke E. Van Wieren1, Ignas M. A. Heitkönig1 and Herbert H. T. Prins1  (2002) A theoretical analysis of competitive exclusion in a  Trans-Himalayan large-herbivore assemblage  Animal Conservation 5, 251–258  ©2002 The Zoological Society of London  </t>
  </si>
  <si>
    <t>121-159mm; body weight is 48-127g</t>
  </si>
  <si>
    <t>restricted range, unknown</t>
  </si>
  <si>
    <r>
      <t xml:space="preserve">243.  Stanley, W.T. and Olson, L. E. 2005.  Phylogeny, phylogeography, and geographic variation of </t>
    </r>
    <r>
      <rPr>
        <i/>
        <sz val="10"/>
        <color indexed="8"/>
        <rFont val="Arial"/>
        <family val="2"/>
      </rPr>
      <t xml:space="preserve">Sylvisorex howelli </t>
    </r>
    <r>
      <rPr>
        <sz val="10"/>
        <color indexed="8"/>
        <rFont val="Arial"/>
      </rPr>
      <t>(Family Soricidae), an endemic shrew of the Eastern Arc Mountains, Tanzania.  Journal of Zoology (in press)</t>
    </r>
  </si>
  <si>
    <t>202. Key, N.  Cervus alfredi (Visayan spotted deer). [28 July 2004; online] Available at :  http://animaldiversity.ummz.umich.edu/site/accounts/information/Cervus_alfredi.html</t>
  </si>
  <si>
    <t>http://www.ultimateungulate.com/Artiodactyla/Sus_celebensis.html</t>
  </si>
  <si>
    <t>194.  Iriarte-Diaz, J.  2002.  Differential scaling of locomotor performance in small and large terrestrial mammals.  The Journal of Experimental Biology.  205:2897-2908.</t>
  </si>
  <si>
    <t>187.  Tchabovsky, A. and Bazykin, G.  2004.  Females delay dispersal and breeding in a solitary gerbil, Meriones tamariscinus.  Journal of Mammalogy.  85:105-112.</t>
  </si>
  <si>
    <t>60; http://members.vienna.at/shrew/itsesAP95-sorex.html#roboratus</t>
  </si>
  <si>
    <t>marmorata</t>
  </si>
  <si>
    <t>175.  Steinlechner, S.  1998.  DJUNGARIAN HAMSTER AND/OR SIBERIAN HAMSTER: WHO IS WHO? Reprinted from European Pineal Society NEWS, 1998, number 38 (April): 7-11</t>
  </si>
  <si>
    <t>50-81mm, regression</t>
  </si>
  <si>
    <t>morgan's dataset</t>
  </si>
  <si>
    <t>males: 42.2(36.3-47); females: 34.3(32.0-37.6)</t>
  </si>
  <si>
    <t>invasive pathogens/parasites</t>
  </si>
  <si>
    <t>70, 125</t>
  </si>
  <si>
    <t>226. Goodman, S.M., Hutterer, R., and P.R. Ngnegueu.  2001.  A report on the community of shrews (Mammalia:  Soricidae) occurrring in the Minkebe Forest, northeastern Gabon. Mammalian Biology 66:22-34.</t>
  </si>
  <si>
    <t>227.  OHDACHI, A. 1992.  Female reproduction in three species of Sorex in Hokkaido, Japan.  Journal of Mammalogy 73:455-457.</t>
  </si>
  <si>
    <t>Damuth working group</t>
  </si>
  <si>
    <t>mammalian spp. Account # 459</t>
  </si>
  <si>
    <t>male:1495; femal:1770</t>
  </si>
  <si>
    <t>europe</t>
  </si>
  <si>
    <t>knoblochi</t>
  </si>
  <si>
    <t>asia</t>
  </si>
  <si>
    <t>Coelodonta</t>
  </si>
  <si>
    <t>20.90±3.12 g</t>
  </si>
  <si>
    <t>244.  Goodman, S. M., and Hutterer, R.  2004.  A report on the shrews (Mammalia:  Soricidae) of Monts Doudou, Gabon:  Elevational Distribution and preliminary insights into their ecology.  California Academy of Sciences Memoir.  28: 93-105.</t>
  </si>
  <si>
    <t>170.  Liu, J.S., Wang, D.H., Sun, R.Y.  Metabolism and thermoregulation in striped hamsters(Cricetulus barabensis)from the Northeast of China.  Acta Zoologica Sinica, Aug. 2003, 49(4):451 - 457</t>
  </si>
  <si>
    <t>207.  Dieterlen, F. and Van Der Straeten, E.  1984.  New specimens of Malacomys vershureni from Eastern Zaïre (Mammalia, Muridae).  Revue de Zoologie Africaine.  98(4):  861-868.</t>
  </si>
  <si>
    <t>136-203mm; http://members.vienna.at/shrew/itsesAP95-talpinae.html#altaica</t>
  </si>
  <si>
    <t>Morgan's dataset</t>
  </si>
  <si>
    <t>http://members.vienna.at/shrew/itsesAP95-erinaceidae.html#mesechinus</t>
  </si>
  <si>
    <t>reported as 0.0024 kg in CRC - has to be mistake - see walkers</t>
  </si>
  <si>
    <t>36, 37, 38, 58, 112, Stuart 1999</t>
  </si>
  <si>
    <t>Europe &amp; Asia</t>
  </si>
  <si>
    <t>Spirocerus</t>
  </si>
  <si>
    <t>kiakhtensis</t>
  </si>
  <si>
    <t>Trogontherium</t>
  </si>
  <si>
    <t>www.aciar.gov.au/web.nsf/ doc/ACIA-5UFV6V/$file/MN100-Part%203.pd</t>
  </si>
  <si>
    <t>140, 244</t>
  </si>
  <si>
    <t>95 to 200 g</t>
  </si>
  <si>
    <t>80 to 115g</t>
  </si>
  <si>
    <t>hunting, persecution, habitat loss, invasive spp., restricted range</t>
  </si>
  <si>
    <t>thibetanus</t>
  </si>
  <si>
    <t>Arctictis</t>
  </si>
  <si>
    <t>binturong</t>
  </si>
  <si>
    <t>datae</t>
  </si>
  <si>
    <t>hylocoetes</t>
  </si>
  <si>
    <t>sacobianus</t>
  </si>
  <si>
    <t>Apomys</t>
  </si>
  <si>
    <t>abrae</t>
  </si>
  <si>
    <t>flammifer</t>
  </si>
  <si>
    <t>gilvigularis</t>
  </si>
  <si>
    <t>laticeps</t>
  </si>
  <si>
    <t>Tamiasciurus</t>
  </si>
  <si>
    <t>douglasii</t>
  </si>
  <si>
    <t>hudsonicus</t>
  </si>
  <si>
    <t>pucheranii</t>
  </si>
  <si>
    <t>granatensis</t>
  </si>
  <si>
    <t>ignitus</t>
  </si>
  <si>
    <t>igniventris</t>
  </si>
  <si>
    <t>Dugongidae</t>
  </si>
  <si>
    <t>Dugong</t>
  </si>
  <si>
    <t>dugon</t>
  </si>
  <si>
    <t>Tubulidentata</t>
  </si>
  <si>
    <t>manipulus</t>
  </si>
  <si>
    <t>mackenziei</t>
  </si>
  <si>
    <t>melanopterus</t>
  </si>
  <si>
    <t>Aeromys</t>
  </si>
  <si>
    <t>tephromelas</t>
  </si>
  <si>
    <t>Belomys</t>
  </si>
  <si>
    <t>pearsonii</t>
  </si>
  <si>
    <t>201.  Lacas. S., Allevard, A. M., Ag'Atteinine, S., Gallo-Bona, N., Gauquelin-Koch, G., Hardin-Pouzet, H., Gharib, C., Sicard, B., and Maurel, D.  2000.  Cardiac Natriuretic peptide response to water restriction in the hormonal adaptation of two semidesert rodents from West Africa (Steatomys caurinus, Taterillus gracilis).  General and Comparative Endocrinology.  120:176-189.</t>
  </si>
  <si>
    <t>210.  Mathieson, L. 2002. "Pentalagus furnessi" (On-line), Animal Diversity Web. Accessed July 30, 2004 at http://animaldiversity.ummz.umich.edu/site/accounts/information/Pentalagus_furnessi.html.</t>
  </si>
  <si>
    <t>168.  GOMBOBAATAR S, SUMIYA D., SAMIYA R., BAYARLKHAGVA D.  Current research and future trends of cooperative raptor research between Mongolia and Korea.  2003 Symposium on Cooperation between Korea and Mongolia for Wildlife Conservation.</t>
  </si>
  <si>
    <t>58-80mm; regression</t>
  </si>
  <si>
    <t>http://members.vienna.at/shrew/itsesAP95-talpinae.html</t>
  </si>
  <si>
    <t>80mm; regression</t>
  </si>
  <si>
    <t>60, http://members.vienna.at/shrew/itsesAP95-soricinae.html#schelkovnikovi</t>
  </si>
  <si>
    <t>60, http://members.vienna.at/shrew/itsesAP95-sorex.html#asper</t>
  </si>
  <si>
    <t>65mm; regression</t>
  </si>
  <si>
    <t>70mm; regression</t>
  </si>
  <si>
    <t>hunting, habitat loss, invasive predators, competitors &amp; pathogens</t>
  </si>
  <si>
    <t>hemitoechus</t>
  </si>
  <si>
    <t>178.  Juskaitis, Rimvydas.  1999.  Pygmy field mouse (Apodemus uralensis pallas):  a new mammal species in lithuania.  Acta Zoologica lituanica.  Biodiversity.  9:  118-119.</t>
  </si>
  <si>
    <t>persecution, changes in food base, accidental mortality</t>
  </si>
  <si>
    <t>Stuart, 1999, 165</t>
  </si>
  <si>
    <t>Northern Eurasia</t>
  </si>
  <si>
    <t>inas</t>
  </si>
  <si>
    <t>mandarinus</t>
  </si>
  <si>
    <t>amurensis</t>
  </si>
  <si>
    <t>verheyeni</t>
  </si>
  <si>
    <t>albigena</t>
  </si>
  <si>
    <t>Macaca</t>
  </si>
  <si>
    <t>sylvanus</t>
  </si>
  <si>
    <t>spechti</t>
  </si>
  <si>
    <t>eleusis</t>
  </si>
  <si>
    <t>hylophilus</t>
  </si>
  <si>
    <t>ischyurus</t>
  </si>
  <si>
    <t>ladewi</t>
  </si>
  <si>
    <t>monochromos</t>
  </si>
  <si>
    <t>niveipes</t>
  </si>
  <si>
    <t>notatus</t>
  </si>
  <si>
    <t>oreas</t>
  </si>
  <si>
    <t>Myoxidae</t>
  </si>
  <si>
    <t>crinifrons</t>
  </si>
  <si>
    <t>feae</t>
  </si>
  <si>
    <t>middendorffi</t>
  </si>
  <si>
    <t>mongolicus</t>
  </si>
  <si>
    <t>montebelli</t>
  </si>
  <si>
    <t>Graphiurus</t>
  </si>
  <si>
    <t>hueti</t>
  </si>
  <si>
    <t>ocularis</t>
  </si>
  <si>
    <t>platyops</t>
  </si>
  <si>
    <t>Octodontidae</t>
  </si>
  <si>
    <t>Aconaemys</t>
  </si>
  <si>
    <t>sagei</t>
  </si>
  <si>
    <t>Octodon</t>
  </si>
  <si>
    <t>bridgesi</t>
  </si>
  <si>
    <t>Octodontomys</t>
  </si>
  <si>
    <t>Octomys</t>
  </si>
  <si>
    <t>mimax</t>
  </si>
  <si>
    <t>Myoxus</t>
  </si>
  <si>
    <t>glis</t>
  </si>
  <si>
    <t>hylocrius</t>
  </si>
  <si>
    <t>jayakari</t>
  </si>
  <si>
    <t>pyrenaica</t>
  </si>
  <si>
    <t>ammon</t>
  </si>
  <si>
    <t>Macrogalidia</t>
  </si>
  <si>
    <t xml:space="preserve">199.  Aeschimann, J.,  Bourquin, L., Engels, B., Thomas, C. and Vogel, P.  1998.  Comparative winter thermoregulation and body temperature in three sympatric Apodemus species (A. alpicola, A. flavicollis, and A. sylvaticus).  Z. Säugetierkunde.  63.  273-284.  </t>
  </si>
  <si>
    <t>hunting, habitat loss, invasive predators/competitors</t>
  </si>
  <si>
    <t>221.  Herron, M. D. and J. M. Waterman.  2004.  Xerus erythropus.  Mammalian Species No. 748:1-4.  The American Society of Mammalogists.</t>
  </si>
  <si>
    <t>habitat loss, changes in native competitors/feral cats, dogs</t>
  </si>
  <si>
    <t xml:space="preserve">167.  Zhang, Y., Zhang, Z., and Liu, J.  2003. Burrowing rodents as ecosystem engineers: the ecology and  management of plateau zokors  Myospalax fontanierii  in alpine  meadow ecosystems on the Tibetan Plateau.  Mammal Rev . Volume 33, No. 3, 284–294. </t>
  </si>
  <si>
    <t>Within continents, estimates were averaged across geographic localities. See J.Haskell and F.Smith for details.</t>
  </si>
  <si>
    <t>200.  Yeboah, S. and Dakwa, K. B. 2002.  Aspects of the feeding habits and reproductive biology of the Ghana mole-rat Cryptomys zechi (Rodentia, Bathyergidae).  African Journal of Ecology.  40:110-119.</t>
  </si>
  <si>
    <t>isodon</t>
  </si>
  <si>
    <t>minutissimus</t>
  </si>
  <si>
    <t>mirabilis</t>
  </si>
  <si>
    <t>gaumeri</t>
  </si>
  <si>
    <t>Liomys</t>
  </si>
  <si>
    <t>amplus</t>
  </si>
  <si>
    <t>Typhlomys</t>
  </si>
  <si>
    <t>chapensis</t>
  </si>
  <si>
    <t>salvini</t>
  </si>
  <si>
    <t>Microdipodops</t>
  </si>
  <si>
    <t>megacephalus</t>
  </si>
  <si>
    <t>bonasus</t>
  </si>
  <si>
    <t>peeli</t>
  </si>
  <si>
    <t>dioptrica</t>
  </si>
  <si>
    <t>grunniens</t>
  </si>
  <si>
    <t>taurus</t>
  </si>
  <si>
    <t>imitator</t>
  </si>
  <si>
    <t>Anonymomys</t>
  </si>
  <si>
    <t>juvencus</t>
  </si>
  <si>
    <t>mindanensis</t>
  </si>
  <si>
    <t>moellendorffi</t>
  </si>
  <si>
    <t>Uzbekistan, Kazakhstan</t>
  </si>
  <si>
    <t>Mongolia, China</t>
  </si>
  <si>
    <t>males: 6618 (4000-9080); females: 4338 (3000-5900)</t>
  </si>
  <si>
    <t>browni</t>
  </si>
  <si>
    <t>males: 7000, females: 8600</t>
  </si>
  <si>
    <t>Angola, Zaire, Zambia, Malawi, Tanzania, Kenya, Uganda</t>
  </si>
  <si>
    <t>Somalia, Ethiopia, Kenya</t>
  </si>
  <si>
    <t>Armyanskaya</t>
  </si>
  <si>
    <t>Sakhalin Isl., Russia</t>
  </si>
  <si>
    <t>Georgia</t>
  </si>
  <si>
    <t>Turkmenistan, Uzbekistan, E Aral</t>
  </si>
  <si>
    <t>Burma, India, China</t>
  </si>
  <si>
    <t>Zaire, Uganda</t>
  </si>
  <si>
    <t>Afghanistan or Tibet</t>
  </si>
  <si>
    <t>Biswamoyopterus</t>
  </si>
  <si>
    <t>luzonicus</t>
  </si>
  <si>
    <t>Bunomys</t>
  </si>
  <si>
    <t>chrysocomus</t>
  </si>
  <si>
    <t>coelestis</t>
  </si>
  <si>
    <t>fratrorum</t>
  </si>
  <si>
    <t>penitus</t>
  </si>
  <si>
    <t>prolatus</t>
  </si>
  <si>
    <t>Canariomys</t>
  </si>
  <si>
    <t>tamarani</t>
  </si>
  <si>
    <t>Carpomys</t>
  </si>
  <si>
    <t>phaeurus</t>
  </si>
  <si>
    <t>Celaenomys</t>
  </si>
  <si>
    <t>silaceus</t>
  </si>
  <si>
    <t>Daubentonia</t>
  </si>
  <si>
    <t>madagascariensis</t>
  </si>
  <si>
    <t>moholi</t>
  </si>
  <si>
    <t>Avahi</t>
  </si>
  <si>
    <t>Indri</t>
  </si>
  <si>
    <t>indri</t>
  </si>
  <si>
    <t>catta</t>
  </si>
  <si>
    <t>Varecia</t>
  </si>
  <si>
    <t>margaritae</t>
  </si>
  <si>
    <t>oresterus</t>
  </si>
  <si>
    <t>Pygeretmus</t>
  </si>
  <si>
    <t>ibeanus</t>
  </si>
  <si>
    <t>www.iiasa.ac.at/~sendzim/MammalDataSets/ Tropical%20Moist%20Forest%20Mammals.xls</t>
  </si>
  <si>
    <t>60, http://members.vienna.at/shrew/itsesAP95-sorex.html#sinalis</t>
  </si>
  <si>
    <t>vinogradovi</t>
  </si>
  <si>
    <t>Lemuridae</t>
  </si>
  <si>
    <t>Diplothrix</t>
  </si>
  <si>
    <t>Echiothrix</t>
  </si>
  <si>
    <t>heptneri</t>
  </si>
  <si>
    <t>kozlovi</t>
  </si>
  <si>
    <t>Eschrichtius</t>
  </si>
  <si>
    <t>lichtensteini</t>
  </si>
  <si>
    <t>europaeus</t>
  </si>
  <si>
    <t>Hylomys</t>
  </si>
  <si>
    <t>Monodon</t>
  </si>
  <si>
    <t>monoceros</t>
  </si>
  <si>
    <t>marginata</t>
  </si>
  <si>
    <t>Neomys</t>
  </si>
  <si>
    <t>fodiens</t>
  </si>
  <si>
    <t>Lipotes</t>
  </si>
  <si>
    <t>70-98mm; regression</t>
  </si>
  <si>
    <t>habitat loss, restricted range</t>
  </si>
  <si>
    <t>habitat loss, changes in native competitors</t>
  </si>
  <si>
    <t>Oceanic</t>
  </si>
  <si>
    <t>kirchbergensis</t>
  </si>
  <si>
    <t>150, 165</t>
  </si>
  <si>
    <t>http://www.kyrgyz-taigan.elcat.kg/eng-gallery%205%203.htm</t>
  </si>
  <si>
    <t>persecution, habitat loss, changes in food base</t>
  </si>
  <si>
    <t>m400, f 350 kg</t>
  </si>
  <si>
    <t>211.   Rowe, N. 1996. The Pictorial Guide to the Living Primates. Pogonias Press: East Hampton, New York.</t>
  </si>
  <si>
    <t>persecution, invasive predators</t>
  </si>
  <si>
    <t>hunting, habitat loss, hybridization</t>
  </si>
  <si>
    <t>booduga</t>
  </si>
  <si>
    <t>vitticollis</t>
  </si>
  <si>
    <t>Rhynchomys</t>
  </si>
  <si>
    <t>irani</t>
  </si>
  <si>
    <t>irene</t>
  </si>
  <si>
    <t>juldaschi</t>
  </si>
  <si>
    <t>kermanensis</t>
  </si>
  <si>
    <t>kirgisorum</t>
  </si>
  <si>
    <t>limnophilus</t>
  </si>
  <si>
    <t>verrucosus</t>
  </si>
  <si>
    <t>lemerlei</t>
  </si>
  <si>
    <t>glama</t>
  </si>
  <si>
    <t>beccarii</t>
  </si>
  <si>
    <t>pernanus</t>
  </si>
  <si>
    <t>hunting, land clearing</t>
  </si>
  <si>
    <t>bontanus</t>
  </si>
  <si>
    <t>burrus</t>
  </si>
  <si>
    <t>males: 14.3 (10-20); females: 14.1 (12-22.5)</t>
  </si>
  <si>
    <t>calabyi</t>
  </si>
  <si>
    <t>males: head-body 575; tail 390; hindfoot 117</t>
  </si>
  <si>
    <t>habitat loss, disturbance, changes in predators</t>
  </si>
  <si>
    <t>habitat loss, persecution, competition</t>
  </si>
  <si>
    <t>San Miguel Island, off S. California</t>
  </si>
  <si>
    <t>Middle altitudes of the Himalaya from Tibet and Nepal to Assam and SW China</t>
  </si>
  <si>
    <t>Borneo, Sumatra, Malaya</t>
  </si>
  <si>
    <t>Transcaucasia, Turkey</t>
  </si>
  <si>
    <t>Russia to N Mongolia</t>
  </si>
  <si>
    <t>hoogerwerfi</t>
  </si>
  <si>
    <t>Home Range Size</t>
  </si>
  <si>
    <t>units for home range sizse</t>
  </si>
  <si>
    <t>reference for home range</t>
  </si>
  <si>
    <t>Galidictis</t>
  </si>
  <si>
    <t>Cricetus</t>
  </si>
  <si>
    <t>urva</t>
  </si>
  <si>
    <t>felteni</t>
  </si>
  <si>
    <t>fortis</t>
  </si>
  <si>
    <t>gerbei</t>
  </si>
  <si>
    <t>Mayermys</t>
  </si>
  <si>
    <t>ellermani</t>
  </si>
  <si>
    <t>Melasmothrix</t>
  </si>
  <si>
    <t>fellowsi</t>
  </si>
  <si>
    <t>Hypogeomys</t>
  </si>
  <si>
    <t>cheesmani</t>
  </si>
  <si>
    <t>cosensis</t>
  </si>
  <si>
    <t>dalloni</t>
  </si>
  <si>
    <t>diminutus</t>
  </si>
  <si>
    <t>marmota</t>
  </si>
  <si>
    <t>Petaurista</t>
  </si>
  <si>
    <t>males: 221(176-277); females:169.8(143-194)</t>
  </si>
  <si>
    <t>219.  Dos Reis, S. F. and L. M. Pessoa.  2004.  Thrichomys apereoides.  Mammalian Species No. 741, 1-5. The American Society of Mammalogists.</t>
  </si>
  <si>
    <t>n=47</t>
  </si>
  <si>
    <t>simus</t>
  </si>
  <si>
    <t>mutabilis</t>
  </si>
  <si>
    <t>camtschatica</t>
  </si>
  <si>
    <t>caudata</t>
  </si>
  <si>
    <t>syrticus</t>
  </si>
  <si>
    <t>tarabuli</t>
  </si>
  <si>
    <t>vivax</t>
  </si>
  <si>
    <t>chengi</t>
  </si>
  <si>
    <t>watersi</t>
  </si>
  <si>
    <t>altaica</t>
  </si>
  <si>
    <t>eversmannii</t>
  </si>
  <si>
    <t>lutreola</t>
  </si>
  <si>
    <t>sibirica</t>
  </si>
  <si>
    <t>Vormela</t>
  </si>
  <si>
    <t>bursarius</t>
  </si>
  <si>
    <t>pinetis</t>
  </si>
  <si>
    <t>Orthogeomys</t>
  </si>
  <si>
    <t>lanius</t>
  </si>
  <si>
    <t>Pappogeomys</t>
  </si>
  <si>
    <t>pilirostris</t>
  </si>
  <si>
    <t>Uropsilus</t>
  </si>
  <si>
    <t>Anourosorex</t>
  </si>
  <si>
    <t>hylophaga</t>
  </si>
  <si>
    <t>investigator</t>
  </si>
  <si>
    <t>alcorni</t>
  </si>
  <si>
    <t>79-107mm; regression</t>
  </si>
  <si>
    <t>mean: 6.3, range:4.5-8</t>
  </si>
  <si>
    <t>"Added in by KJ and ME"</t>
  </si>
  <si>
    <t>192. "Desert Dormouse." Encyclopædia Britannica. 2004.  Encyclopædia Britannica Premium Service. 26 July 200  &lt;http://www.britannica.com/eb/article?eu=68394&gt;.</t>
  </si>
  <si>
    <t>serezkyensis</t>
  </si>
  <si>
    <t>barbouri</t>
  </si>
  <si>
    <t>Kazakhstan (N. Aral and S. Balkhash)</t>
  </si>
  <si>
    <t>Honduras to Panama</t>
  </si>
  <si>
    <t>stannarius</t>
  </si>
  <si>
    <t>Anisomys</t>
  </si>
  <si>
    <t>Pakistan, Baluchistan</t>
  </si>
  <si>
    <t>Colombia, Benezuela, Ecuador</t>
  </si>
  <si>
    <t>intro of diseases brought by black rats</t>
  </si>
  <si>
    <t>China, Mongolia, Kazakhstan</t>
  </si>
  <si>
    <t>nubiana</t>
  </si>
  <si>
    <t>sokolovi</t>
  </si>
  <si>
    <t>nigrovittatus</t>
  </si>
  <si>
    <t>isabella</t>
  </si>
  <si>
    <t>buettneri</t>
  </si>
  <si>
    <t>Prionomys</t>
  </si>
  <si>
    <t>bilensis</t>
  </si>
  <si>
    <t>bonhotei</t>
  </si>
  <si>
    <t>Paraxerus</t>
  </si>
  <si>
    <t>caurinus</t>
  </si>
  <si>
    <t>peruanum</t>
  </si>
  <si>
    <t>Chinchilla</t>
  </si>
  <si>
    <t>lanigera</t>
  </si>
  <si>
    <t>stella</t>
  </si>
  <si>
    <t>maynardi</t>
  </si>
  <si>
    <t>cepapi</t>
  </si>
  <si>
    <t>palliatus</t>
  </si>
  <si>
    <t>meminna</t>
  </si>
  <si>
    <t>Tragulus</t>
  </si>
  <si>
    <t>insularis</t>
  </si>
  <si>
    <t>layardi</t>
  </si>
  <si>
    <t>palmarum</t>
  </si>
  <si>
    <t>pennantii</t>
  </si>
  <si>
    <t>tristriatus</t>
  </si>
  <si>
    <t>bayonii</t>
  </si>
  <si>
    <t>Glyphotes</t>
  </si>
  <si>
    <t>phillipsii</t>
  </si>
  <si>
    <t>streeti</t>
  </si>
  <si>
    <t>Scaptochirus</t>
  </si>
  <si>
    <t>Urotrichus</t>
  </si>
  <si>
    <t>Mungotictis</t>
  </si>
  <si>
    <t>muenninki</t>
  </si>
  <si>
    <t>osimensis</t>
  </si>
  <si>
    <t>invasive species, volcanoes, restricted range</t>
  </si>
  <si>
    <t>smallest New Guinean macropodid.  Approached in size by D. macleayi</t>
  </si>
  <si>
    <t>male range:28000-39000, female:25000</t>
  </si>
  <si>
    <t>largest macropodid in New Guinea</t>
  </si>
  <si>
    <t>Baja California Norte, Mexico</t>
  </si>
  <si>
    <t>males: 90.5 (69-120); females: 79 (66-90)</t>
  </si>
  <si>
    <t>females: 5000; no male weight</t>
  </si>
  <si>
    <t>synomized?</t>
    <phoneticPr fontId="7"/>
  </si>
  <si>
    <t>historical</t>
    <phoneticPr fontId="7"/>
  </si>
  <si>
    <t>Hadromys</t>
  </si>
  <si>
    <t>humei</t>
  </si>
  <si>
    <t>Phocoenoides</t>
  </si>
  <si>
    <t>Physeter</t>
  </si>
  <si>
    <t>Allactodipus</t>
  </si>
  <si>
    <t>bobrinskii</t>
  </si>
  <si>
    <t>Golunda</t>
  </si>
  <si>
    <t>Diomys</t>
  </si>
  <si>
    <t>crumpi</t>
  </si>
  <si>
    <t>Cameroon, Chad, Central African Republic, Zaire, Sudan, Uganda</t>
  </si>
  <si>
    <t>Sudan, Ethiopia, Uganda, Kenya, Zaire</t>
  </si>
  <si>
    <t>Malaysian peninsula</t>
  </si>
  <si>
    <t>N Northern Territory, NE Western Australia</t>
  </si>
  <si>
    <t>males: 138.5 (132-145); no female weight</t>
  </si>
  <si>
    <t>lamula</t>
  </si>
  <si>
    <t>sapientis</t>
  </si>
  <si>
    <t>spriggsarum</t>
  </si>
  <si>
    <t>Santa Cruz and San Diego Isls., Gulf of California</t>
  </si>
  <si>
    <t>sylvestris</t>
  </si>
  <si>
    <t>yarkandensis</t>
  </si>
  <si>
    <t>176.  Yüksel COfiKUN, Servet ULUTÜRK 2003.   Observations on the Mole Vole, Ellobius lutescensThomas 1897, (Mammalia: Rodentia) in Turkey  Research Article Turk J Zool 27 (2003) 81-87  © TÜB‹TAK</t>
  </si>
  <si>
    <t>max males: 160000; max females:98500</t>
  </si>
  <si>
    <t>antiquitatis</t>
  </si>
  <si>
    <t>woolly rhinoceros</t>
  </si>
  <si>
    <t>females: 109.7 (75-144)</t>
  </si>
  <si>
    <t>males: 49.4 (40-66); females: 51.5 (41-59)</t>
  </si>
  <si>
    <t>males: 94.4 (53-122); females: 96.4 (70-128)</t>
  </si>
  <si>
    <t>antimena</t>
  </si>
  <si>
    <t>lemmus</t>
  </si>
  <si>
    <t>Maxomys</t>
  </si>
  <si>
    <t>males: head-body 240; tail: 293; hindfoot 42; ear 28; females:  head-body 208; tail 283; hindfoot 42.5; ear 26.5</t>
  </si>
  <si>
    <t>habitat loss, low densities</t>
  </si>
  <si>
    <r>
      <rPr>
        <sz val="12"/>
        <color indexed="8"/>
        <rFont val="Arial"/>
        <family val="2"/>
      </rPr>
      <t>Metadata are available on the web from Ecology archives, along with the first published version.</t>
    </r>
    <r>
      <rPr>
        <b/>
        <sz val="12"/>
        <color indexed="8"/>
        <rFont val="Arial"/>
        <family val="2"/>
      </rPr>
      <t xml:space="preserve"> If you use these data, please cite as: Smith, F.A., S.K. Lyons, S.K.M. Ernest, K.E. Jones, D.M. Kaufman, T. Dayan, P.A. Marquet, J.H. Brown and J.P. Haskell.  2003. Body mass of late Quaternary mammals. Ecology 84:3402 (updated version obtained from senior author).</t>
    </r>
  </si>
  <si>
    <t>Diet Category</t>
  </si>
  <si>
    <t>NA/EA</t>
  </si>
  <si>
    <t>combined</t>
  </si>
  <si>
    <t>EA/INSULAr</t>
  </si>
  <si>
    <t>SriLanka/Borneo</t>
  </si>
  <si>
    <t>combines 68,118,132</t>
  </si>
  <si>
    <t>EA/Insular</t>
  </si>
  <si>
    <t>AF/EA</t>
  </si>
  <si>
    <t>EA/NA/AF</t>
  </si>
  <si>
    <t>60,65,111,114</t>
  </si>
  <si>
    <t xml:space="preserve">SriLanka </t>
  </si>
  <si>
    <t>75, 132</t>
  </si>
  <si>
    <t>TaxonomicName</t>
  </si>
  <si>
    <t>Rhinoceratidae</t>
  </si>
  <si>
    <t>data not part of original dataset; from jnais 1990</t>
  </si>
  <si>
    <t xml:space="preserve">AF </t>
  </si>
  <si>
    <t>1000 lb from Wikipedia (track down official weights)</t>
  </si>
  <si>
    <t>NAm</t>
  </si>
  <si>
    <t>NAm/EA</t>
  </si>
  <si>
    <t>from wikipedia (track down official weights)</t>
  </si>
  <si>
    <t>Animaldiversity.org for max weights</t>
  </si>
  <si>
    <t>EA/NAm/AF</t>
  </si>
  <si>
    <t>Rusa</t>
  </si>
  <si>
    <t>Nanger</t>
  </si>
  <si>
    <t>Philantomba</t>
  </si>
  <si>
    <t>Beatragus</t>
  </si>
  <si>
    <t>Rucervus</t>
  </si>
  <si>
    <t>angasi</t>
  </si>
  <si>
    <t>Gorgon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</si>
</sst>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00000000"/>
  </numFmts>
  <fonts count="30" x14ac:knownFonts="1">
    <font>
      <sz val="10"/>
      <color indexed="8"/>
      <name val="Arial"/>
    </font>
    <font>
      <sz val="10"/>
      <color indexed="8"/>
      <name val="Arial"/>
    </font>
    <font>
      <sz val="10"/>
      <color indexed="8"/>
      <name val="Arial"/>
      <family val="2"/>
    </font>
    <font>
      <b/>
      <sz val="12"/>
      <name val="Arial"/>
      <family val="2"/>
    </font>
    <font>
      <sz val="9"/>
      <name val="Geneva"/>
    </font>
    <font>
      <sz val="10"/>
      <color indexed="8"/>
      <name val="Arial"/>
      <family val="2"/>
    </font>
    <font>
      <u/>
      <sz val="10"/>
      <color indexed="12"/>
      <name val="Arial"/>
      <family val="2"/>
    </font>
    <font>
      <sz val="8"/>
      <name val="Arial"/>
      <family val="2"/>
    </font>
    <font>
      <sz val="10"/>
      <color indexed="8"/>
      <name val="Arial"/>
      <family val="2"/>
    </font>
    <font>
      <sz val="10"/>
      <name val="Arial"/>
      <family val="2"/>
    </font>
    <font>
      <sz val="10"/>
      <color indexed="8"/>
      <name val="Arial"/>
      <family val="2"/>
    </font>
    <font>
      <sz val="10"/>
      <color indexed="8"/>
      <name val="Arial"/>
      <family val="2"/>
    </font>
    <font>
      <u/>
      <sz val="10"/>
      <color indexed="8"/>
      <name val="Arial"/>
      <family val="2"/>
    </font>
    <font>
      <i/>
      <sz val="10"/>
      <color indexed="8"/>
      <name val="Arial"/>
      <family val="2"/>
    </font>
    <font>
      <sz val="12"/>
      <name val="Arial"/>
      <family val="2"/>
    </font>
    <font>
      <sz val="10"/>
      <color indexed="8"/>
      <name val="Arial"/>
      <family val="2"/>
    </font>
    <font>
      <b/>
      <sz val="11"/>
      <name val="Arial Narrow"/>
      <family val="2"/>
    </font>
    <font>
      <b/>
      <sz val="11"/>
      <color indexed="8"/>
      <name val="Arial Narrow"/>
      <family val="2"/>
    </font>
    <font>
      <b/>
      <sz val="14"/>
      <color indexed="8"/>
      <name val="Arial"/>
      <family val="2"/>
    </font>
    <font>
      <sz val="10"/>
      <name val="Verdana"/>
      <family val="2"/>
    </font>
    <font>
      <sz val="10"/>
      <name val="Palatino"/>
    </font>
    <font>
      <sz val="12"/>
      <color indexed="8"/>
      <name val="Arial"/>
      <family val="2"/>
    </font>
    <font>
      <b/>
      <sz val="12"/>
      <name val="Arial Narrow"/>
      <family val="2"/>
    </font>
    <font>
      <b/>
      <sz val="12"/>
      <color indexed="8"/>
      <name val="Arial"/>
      <family val="2"/>
    </font>
    <font>
      <sz val="8"/>
      <name val="Arial"/>
      <family val="2"/>
    </font>
    <font>
      <sz val="8"/>
      <name val="Verdana"/>
      <family val="2"/>
    </font>
    <font>
      <sz val="10"/>
      <color indexed="10"/>
      <name val="Arial"/>
      <family val="2"/>
    </font>
    <font>
      <strike/>
      <sz val="10"/>
      <color indexed="10"/>
      <name val="Arial"/>
      <family val="2"/>
    </font>
    <font>
      <sz val="11"/>
      <color indexed="8"/>
      <name val="Calibri"/>
      <family val="2"/>
    </font>
    <font>
      <i/>
      <sz val="9"/>
      <color rgb="FF000000"/>
      <name val="Arial"/>
      <family val="2"/>
    </font>
  </fonts>
  <fills count="7">
    <fill>
      <patternFill patternType="none"/>
    </fill>
    <fill>
      <patternFill patternType="gray125"/>
    </fill>
    <fill>
      <patternFill patternType="solid">
        <fgColor indexed="2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theme="9"/>
        <bgColor indexed="64"/>
      </patternFill>
    </fill>
  </fills>
  <borders count="6">
    <border>
      <left/>
      <right/>
      <top/>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style="thin">
        <color indexed="22"/>
      </left>
      <right/>
      <top style="thin">
        <color indexed="22"/>
      </top>
      <bottom style="thin">
        <color indexed="22"/>
      </bottom>
      <diagonal/>
    </border>
    <border>
      <left style="thin">
        <color indexed="22"/>
      </left>
      <right/>
      <top/>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6" fillId="0" borderId="0" applyNumberFormat="0" applyFill="0" applyBorder="0" applyAlignment="0" applyProtection="0">
      <alignment vertical="top"/>
      <protection locked="0"/>
    </xf>
    <xf numFmtId="0" fontId="4" fillId="0" borderId="0"/>
  </cellStyleXfs>
  <cellXfs count="321">
    <xf numFmtId="0" fontId="0" fillId="0" borderId="0" xfId="0"/>
    <xf numFmtId="0" fontId="0" fillId="0" borderId="0" xfId="0" applyAlignment="1"/>
    <xf numFmtId="0" fontId="0" fillId="0" borderId="0" xfId="0" applyAlignment="1">
      <alignment horizontal="left"/>
    </xf>
    <xf numFmtId="0" fontId="0" fillId="0" borderId="0" xfId="0" applyFill="1" applyAlignment="1"/>
    <xf numFmtId="0" fontId="0" fillId="0" borderId="0" xfId="0" applyFill="1"/>
    <xf numFmtId="0" fontId="1" fillId="0" borderId="0" xfId="0" applyFont="1" applyAlignment="1">
      <alignment horizontal="left"/>
    </xf>
    <xf numFmtId="0" fontId="0" fillId="0" borderId="0" xfId="0" applyFill="1" applyAlignment="1">
      <alignment horizontal="left"/>
    </xf>
    <xf numFmtId="0" fontId="1" fillId="0" borderId="0" xfId="0" applyFont="1" applyFill="1" applyAlignment="1">
      <alignment horizontal="left"/>
    </xf>
    <xf numFmtId="0" fontId="8" fillId="0" borderId="0" xfId="0" applyFont="1" applyBorder="1" applyAlignment="1"/>
    <xf numFmtId="1" fontId="8" fillId="0" borderId="0" xfId="0" applyNumberFormat="1" applyFont="1" applyFill="1" applyBorder="1" applyAlignment="1">
      <alignment horizontal="center"/>
    </xf>
    <xf numFmtId="1" fontId="1" fillId="0" borderId="0" xfId="0" applyNumberFormat="1" applyFont="1" applyFill="1" applyBorder="1" applyAlignment="1">
      <alignment horizontal="center"/>
    </xf>
    <xf numFmtId="0" fontId="9" fillId="0" borderId="0" xfId="0" applyFont="1"/>
    <xf numFmtId="0" fontId="15" fillId="0" borderId="0" xfId="0" applyFont="1" applyFill="1" applyAlignment="1"/>
    <xf numFmtId="0" fontId="15" fillId="0" borderId="0" xfId="0" applyFont="1"/>
    <xf numFmtId="0" fontId="1" fillId="0" borderId="0" xfId="0" applyFont="1" applyFill="1" applyAlignment="1"/>
    <xf numFmtId="0" fontId="1" fillId="0" borderId="0" xfId="0" applyFont="1"/>
    <xf numFmtId="0" fontId="15" fillId="0" borderId="0" xfId="0" applyFont="1" applyFill="1"/>
    <xf numFmtId="0" fontId="1" fillId="0" borderId="0" xfId="0" applyFont="1" applyFill="1"/>
    <xf numFmtId="0" fontId="5" fillId="0" borderId="0" xfId="0" applyFont="1" applyAlignment="1">
      <alignment horizontal="left"/>
    </xf>
    <xf numFmtId="0" fontId="8" fillId="0" borderId="0" xfId="0" applyFont="1" applyBorder="1" applyAlignment="1">
      <alignment horizontal="left"/>
    </xf>
    <xf numFmtId="0" fontId="1" fillId="0" borderId="0" xfId="0" applyFont="1" applyBorder="1" applyAlignment="1">
      <alignment horizontal="left"/>
    </xf>
    <xf numFmtId="0" fontId="8" fillId="0" borderId="0" xfId="0" applyFont="1" applyAlignment="1">
      <alignment horizontal="left"/>
    </xf>
    <xf numFmtId="0" fontId="10" fillId="0" borderId="0" xfId="0" applyFont="1" applyAlignment="1">
      <alignment horizontal="left"/>
    </xf>
    <xf numFmtId="0" fontId="16" fillId="0" borderId="2" xfId="0" applyFont="1" applyFill="1" applyBorder="1" applyAlignment="1"/>
    <xf numFmtId="0" fontId="17" fillId="0" borderId="0" xfId="0" applyFont="1" applyFill="1"/>
    <xf numFmtId="0" fontId="17" fillId="0" borderId="0" xfId="0" applyFont="1"/>
    <xf numFmtId="0" fontId="18" fillId="0" borderId="0" xfId="0" applyFont="1" applyAlignment="1">
      <alignment horizontal="left"/>
    </xf>
    <xf numFmtId="0" fontId="18" fillId="0" borderId="0" xfId="0" applyFont="1" applyFill="1" applyAlignment="1">
      <alignment horizontal="left"/>
    </xf>
    <xf numFmtId="164" fontId="8" fillId="0" borderId="0" xfId="0" applyNumberFormat="1" applyFont="1" applyBorder="1" applyAlignment="1">
      <alignment horizontal="left"/>
    </xf>
    <xf numFmtId="164" fontId="1" fillId="0" borderId="0" xfId="0" applyNumberFormat="1" applyFont="1" applyBorder="1" applyAlignment="1">
      <alignment horizontal="left"/>
    </xf>
    <xf numFmtId="164" fontId="8" fillId="0" borderId="0" xfId="0" applyNumberFormat="1" applyFont="1" applyBorder="1" applyAlignment="1"/>
    <xf numFmtId="0" fontId="1" fillId="0" borderId="0" xfId="0" applyFont="1" applyAlignment="1">
      <alignment wrapText="1"/>
    </xf>
    <xf numFmtId="0" fontId="1" fillId="0" borderId="0" xfId="0" applyFont="1" applyFill="1" applyBorder="1" applyAlignment="1">
      <alignment wrapText="1"/>
    </xf>
    <xf numFmtId="0" fontId="1" fillId="0" borderId="0" xfId="0" applyFont="1" applyFill="1" applyAlignment="1">
      <alignment wrapText="1"/>
    </xf>
    <xf numFmtId="0" fontId="9" fillId="0" borderId="0" xfId="2" applyFont="1" applyBorder="1" applyAlignment="1">
      <alignment wrapText="1"/>
    </xf>
    <xf numFmtId="0" fontId="0" fillId="0" borderId="0" xfId="0" applyAlignment="1">
      <alignment wrapText="1"/>
    </xf>
    <xf numFmtId="0" fontId="0" fillId="0" borderId="0" xfId="0" applyAlignment="1">
      <alignment horizontal="left" wrapText="1"/>
    </xf>
    <xf numFmtId="0" fontId="0" fillId="0" borderId="0" xfId="0" applyFill="1" applyAlignment="1">
      <alignment wrapText="1"/>
    </xf>
    <xf numFmtId="1" fontId="22" fillId="2" borderId="2" xfId="0" applyNumberFormat="1" applyFont="1" applyFill="1" applyBorder="1" applyAlignment="1">
      <alignment horizontal="center" vertical="center"/>
    </xf>
    <xf numFmtId="0" fontId="22" fillId="2" borderId="2" xfId="0" applyFont="1" applyFill="1" applyBorder="1" applyAlignment="1">
      <alignment horizontal="center" vertical="center" wrapText="1"/>
    </xf>
    <xf numFmtId="0" fontId="22" fillId="2" borderId="2" xfId="0" applyNumberFormat="1" applyFont="1" applyFill="1" applyBorder="1" applyAlignment="1" applyProtection="1">
      <alignment horizontal="center" vertical="center"/>
      <protection locked="0"/>
    </xf>
    <xf numFmtId="164" fontId="22" fillId="2" borderId="2" xfId="0" applyNumberFormat="1" applyFont="1" applyFill="1" applyBorder="1" applyAlignment="1">
      <alignment horizontal="center" vertical="center"/>
    </xf>
    <xf numFmtId="164" fontId="22" fillId="2" borderId="2" xfId="0" applyNumberFormat="1" applyFont="1" applyFill="1" applyBorder="1" applyAlignment="1" applyProtection="1">
      <alignment horizontal="center" vertical="center"/>
      <protection locked="0"/>
    </xf>
    <xf numFmtId="0" fontId="21" fillId="0" borderId="0" xfId="0" applyFont="1" applyFill="1" applyAlignment="1">
      <alignment horizontal="center" vertical="center"/>
    </xf>
    <xf numFmtId="0" fontId="21" fillId="0" borderId="0" xfId="0" applyFont="1" applyAlignment="1">
      <alignment horizontal="center" vertical="center"/>
    </xf>
    <xf numFmtId="0" fontId="18" fillId="0" borderId="0" xfId="0" applyFont="1" applyFill="1" applyAlignment="1">
      <alignment horizontal="left" wrapText="1"/>
    </xf>
    <xf numFmtId="0" fontId="1" fillId="0" borderId="0" xfId="0" applyFont="1" applyFill="1" applyAlignment="1">
      <alignment horizontal="left" wrapText="1"/>
    </xf>
    <xf numFmtId="0" fontId="14" fillId="0" borderId="0" xfId="0" applyFont="1" applyFill="1" applyBorder="1" applyAlignment="1">
      <alignment wrapText="1"/>
    </xf>
    <xf numFmtId="0" fontId="3" fillId="0" borderId="0" xfId="0" applyFont="1" applyFill="1" applyBorder="1" applyAlignment="1">
      <alignment wrapText="1"/>
    </xf>
    <xf numFmtId="0" fontId="15" fillId="0" borderId="0" xfId="0" applyFont="1" applyFill="1" applyAlignment="1">
      <alignment wrapText="1"/>
    </xf>
    <xf numFmtId="0" fontId="15" fillId="0" borderId="0" xfId="0" applyFont="1" applyFill="1" applyAlignment="1">
      <alignment horizontal="left" wrapText="1"/>
    </xf>
    <xf numFmtId="0" fontId="0" fillId="0" borderId="0" xfId="0" applyFill="1" applyAlignment="1">
      <alignment horizontal="left" wrapText="1"/>
    </xf>
    <xf numFmtId="164" fontId="1" fillId="0" borderId="0" xfId="0" applyNumberFormat="1" applyFont="1" applyFill="1" applyAlignment="1">
      <alignment wrapText="1"/>
    </xf>
    <xf numFmtId="0" fontId="0" fillId="0" borderId="0" xfId="0" applyFont="1" applyFill="1" applyAlignment="1">
      <alignment wrapText="1"/>
    </xf>
    <xf numFmtId="0" fontId="15" fillId="0" borderId="0" xfId="0" applyFont="1" applyAlignment="1">
      <alignment wrapText="1"/>
    </xf>
    <xf numFmtId="0" fontId="3" fillId="0" borderId="0" xfId="0" applyFont="1" applyFill="1" applyAlignment="1">
      <alignment wrapText="1"/>
    </xf>
    <xf numFmtId="0" fontId="15" fillId="0" borderId="0" xfId="0" applyFont="1" applyAlignment="1">
      <alignment horizontal="left" wrapText="1"/>
    </xf>
    <xf numFmtId="0" fontId="23" fillId="0" borderId="0" xfId="0" applyFont="1"/>
    <xf numFmtId="0" fontId="21" fillId="2" borderId="2" xfId="0" applyFont="1" applyFill="1" applyBorder="1" applyAlignment="1">
      <alignment horizontal="center" vertical="center" wrapText="1"/>
    </xf>
    <xf numFmtId="1" fontId="18" fillId="0" borderId="0" xfId="0" applyNumberFormat="1" applyFont="1" applyFill="1" applyBorder="1" applyAlignment="1">
      <alignment horizontal="center" vertical="center"/>
    </xf>
    <xf numFmtId="1" fontId="1" fillId="0" borderId="0" xfId="0" applyNumberFormat="1" applyFont="1" applyFill="1" applyBorder="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1" fontId="1" fillId="0" borderId="0" xfId="0" applyNumberFormat="1" applyFont="1" applyFill="1" applyAlignment="1">
      <alignment horizontal="center" vertical="center"/>
    </xf>
    <xf numFmtId="1" fontId="10" fillId="0" borderId="0" xfId="0" applyNumberFormat="1" applyFont="1" applyFill="1" applyAlignment="1">
      <alignment horizontal="center" vertical="center"/>
    </xf>
    <xf numFmtId="1" fontId="10" fillId="0" borderId="0" xfId="0" applyNumberFormat="1" applyFont="1" applyFill="1" applyBorder="1" applyAlignment="1">
      <alignment horizontal="center" vertical="center"/>
    </xf>
    <xf numFmtId="1" fontId="0" fillId="0" borderId="0" xfId="0" applyNumberFormat="1" applyBorder="1" applyAlignment="1">
      <alignment horizontal="center" vertical="center"/>
    </xf>
    <xf numFmtId="1" fontId="0" fillId="0" borderId="0" xfId="0" applyNumberFormat="1" applyAlignment="1">
      <alignment horizontal="center" vertical="center"/>
    </xf>
    <xf numFmtId="1" fontId="9" fillId="0" borderId="0" xfId="2" applyNumberFormat="1" applyFont="1" applyBorder="1" applyAlignment="1">
      <alignment horizontal="center" vertical="center"/>
    </xf>
    <xf numFmtId="1" fontId="1" fillId="0" borderId="0" xfId="0" applyNumberFormat="1" applyFont="1" applyBorder="1" applyAlignment="1">
      <alignment horizontal="center" vertical="center"/>
    </xf>
    <xf numFmtId="0" fontId="1" fillId="0" borderId="0" xfId="0" applyFont="1" applyFill="1" applyBorder="1" applyAlignment="1">
      <alignment horizontal="center" vertical="center"/>
    </xf>
    <xf numFmtId="1" fontId="11" fillId="0" borderId="0" xfId="0" applyNumberFormat="1" applyFont="1" applyFill="1" applyBorder="1" applyAlignment="1">
      <alignment horizontal="center" vertical="center"/>
    </xf>
    <xf numFmtId="1" fontId="1" fillId="0" borderId="0" xfId="0" applyNumberFormat="1" applyFont="1" applyAlignment="1">
      <alignment horizontal="center" vertical="center"/>
    </xf>
    <xf numFmtId="0" fontId="1" fillId="0" borderId="0" xfId="0" applyFont="1" applyFill="1" applyAlignment="1">
      <alignment horizontal="center" vertical="center"/>
    </xf>
    <xf numFmtId="1" fontId="21" fillId="0" borderId="0" xfId="0" applyNumberFormat="1" applyFont="1" applyFill="1" applyBorder="1" applyAlignment="1">
      <alignment horizontal="center" vertical="center"/>
    </xf>
    <xf numFmtId="1" fontId="1" fillId="0" borderId="1" xfId="0" applyNumberFormat="1" applyFont="1" applyFill="1" applyBorder="1" applyAlignment="1">
      <alignment horizontal="center" vertical="center"/>
    </xf>
    <xf numFmtId="1" fontId="1" fillId="0" borderId="1" xfId="0" applyNumberFormat="1" applyFont="1" applyBorder="1" applyAlignment="1">
      <alignment horizontal="center" vertical="center"/>
    </xf>
    <xf numFmtId="0" fontId="0" fillId="0" borderId="1" xfId="0" applyBorder="1" applyAlignment="1">
      <alignment horizontal="center" vertical="center"/>
    </xf>
    <xf numFmtId="0" fontId="18" fillId="0" borderId="0" xfId="0" applyFont="1" applyBorder="1" applyAlignment="1">
      <alignment horizontal="center" vertical="center" wrapText="1"/>
    </xf>
    <xf numFmtId="0" fontId="18" fillId="0" borderId="0" xfId="0" applyFont="1" applyBorder="1" applyAlignment="1">
      <alignment horizontal="center" vertical="center"/>
    </xf>
    <xf numFmtId="164" fontId="18" fillId="0" borderId="0" xfId="0" applyNumberFormat="1" applyFont="1" applyBorder="1" applyAlignment="1">
      <alignment horizontal="center" vertical="center"/>
    </xf>
    <xf numFmtId="0" fontId="1" fillId="0" borderId="0" xfId="0" applyFont="1" applyAlignment="1">
      <alignment horizontal="center" vertical="center"/>
    </xf>
    <xf numFmtId="0" fontId="1" fillId="0" borderId="0" xfId="0" applyFont="1" applyBorder="1" applyAlignment="1">
      <alignment horizontal="center" vertical="center" wrapText="1"/>
    </xf>
    <xf numFmtId="0" fontId="1" fillId="0" borderId="0" xfId="0" applyFont="1" applyBorder="1" applyAlignment="1">
      <alignment horizontal="center" vertical="center"/>
    </xf>
    <xf numFmtId="164" fontId="1" fillId="0" borderId="0" xfId="0" applyNumberFormat="1" applyFont="1" applyBorder="1" applyAlignment="1">
      <alignment horizontal="center" vertical="center"/>
    </xf>
    <xf numFmtId="164" fontId="1" fillId="0" borderId="0" xfId="0" applyNumberFormat="1" applyFont="1" applyFill="1" applyBorder="1" applyAlignment="1">
      <alignment horizontal="center" vertical="center"/>
    </xf>
    <xf numFmtId="0" fontId="9" fillId="0" borderId="0" xfId="2" applyFont="1" applyBorder="1" applyAlignment="1">
      <alignment horizontal="center" vertical="center"/>
    </xf>
    <xf numFmtId="0" fontId="9" fillId="0" borderId="0" xfId="2" applyFont="1" applyBorder="1" applyAlignment="1">
      <alignment horizontal="center" vertical="center" wrapText="1"/>
    </xf>
    <xf numFmtId="3" fontId="9" fillId="0" borderId="0" xfId="2" applyNumberFormat="1" applyFont="1" applyBorder="1" applyAlignment="1">
      <alignment horizontal="center" vertical="center"/>
    </xf>
    <xf numFmtId="164" fontId="9" fillId="0" borderId="0" xfId="2" applyNumberFormat="1" applyFont="1" applyBorder="1" applyAlignment="1">
      <alignment horizontal="center" vertical="center"/>
    </xf>
    <xf numFmtId="0" fontId="10" fillId="0" borderId="0" xfId="0" applyFont="1" applyBorder="1" applyAlignment="1">
      <alignment horizontal="center" vertical="center" wrapText="1"/>
    </xf>
    <xf numFmtId="0" fontId="10" fillId="0" borderId="0" xfId="0" applyFont="1" applyFill="1" applyBorder="1" applyAlignment="1">
      <alignment horizontal="center" vertical="center"/>
    </xf>
    <xf numFmtId="164" fontId="10" fillId="0" borderId="0" xfId="0" applyNumberFormat="1" applyFont="1" applyFill="1" applyBorder="1" applyAlignment="1">
      <alignment horizontal="center" vertical="center"/>
    </xf>
    <xf numFmtId="0" fontId="1" fillId="0" borderId="0" xfId="0" applyFont="1" applyFill="1" applyBorder="1" applyAlignment="1">
      <alignment horizontal="center" vertical="center" wrapText="1"/>
    </xf>
    <xf numFmtId="164" fontId="11" fillId="0" borderId="0" xfId="0" applyNumberFormat="1" applyFont="1" applyBorder="1" applyAlignment="1">
      <alignment horizontal="center" vertical="center"/>
    </xf>
    <xf numFmtId="164" fontId="1" fillId="0" borderId="0" xfId="0" applyNumberFormat="1" applyFont="1" applyFill="1" applyAlignment="1">
      <alignment horizontal="center" vertical="center"/>
    </xf>
    <xf numFmtId="0" fontId="1" fillId="0" borderId="0" xfId="0" applyFont="1" applyAlignment="1">
      <alignment horizontal="center" vertical="center" wrapText="1"/>
    </xf>
    <xf numFmtId="0" fontId="0" fillId="0" borderId="0" xfId="0" applyBorder="1" applyAlignment="1">
      <alignment horizontal="center" vertical="center" wrapText="1"/>
    </xf>
    <xf numFmtId="164" fontId="0" fillId="0" borderId="0" xfId="0" applyNumberFormat="1" applyBorder="1" applyAlignment="1">
      <alignment horizontal="center" vertical="center"/>
    </xf>
    <xf numFmtId="0" fontId="0" fillId="0" borderId="0" xfId="0" applyFill="1" applyAlignment="1">
      <alignment horizontal="center" vertical="center"/>
    </xf>
    <xf numFmtId="0" fontId="0" fillId="0" borderId="0" xfId="0" applyNumberFormat="1" applyAlignment="1" applyProtection="1">
      <alignment horizontal="center" vertical="center"/>
      <protection locked="0"/>
    </xf>
    <xf numFmtId="164" fontId="0" fillId="0" borderId="0" xfId="0" applyNumberFormat="1" applyAlignment="1" applyProtection="1">
      <alignment horizontal="center" vertical="center"/>
      <protection locked="0"/>
    </xf>
    <xf numFmtId="0" fontId="0" fillId="0" borderId="0" xfId="0" applyNumberFormat="1" applyBorder="1" applyAlignment="1" applyProtection="1">
      <alignment horizontal="center" vertical="center"/>
      <protection locked="0"/>
    </xf>
    <xf numFmtId="164" fontId="0" fillId="0" borderId="0" xfId="0" applyNumberFormat="1" applyAlignment="1">
      <alignment horizontal="center" vertical="center"/>
    </xf>
    <xf numFmtId="164" fontId="0" fillId="0" borderId="0" xfId="0" applyNumberFormat="1" applyBorder="1" applyAlignment="1" applyProtection="1">
      <alignment horizontal="center" vertical="center"/>
      <protection locked="0"/>
    </xf>
    <xf numFmtId="0" fontId="0" fillId="0" borderId="0" xfId="0" applyAlignment="1" applyProtection="1">
      <alignment horizontal="center" vertical="center"/>
      <protection locked="0"/>
    </xf>
    <xf numFmtId="2" fontId="0" fillId="0" borderId="0" xfId="0" applyNumberFormat="1" applyBorder="1" applyAlignment="1">
      <alignment horizontal="center" vertical="center"/>
    </xf>
    <xf numFmtId="0" fontId="0" fillId="0" borderId="0" xfId="0" applyBorder="1" applyAlignment="1" applyProtection="1">
      <alignment horizontal="center" vertical="center"/>
      <protection locked="0"/>
    </xf>
    <xf numFmtId="0" fontId="1" fillId="0" borderId="0" xfId="0" applyFont="1" applyFill="1" applyAlignment="1">
      <alignment horizontal="center" vertical="center" wrapText="1"/>
    </xf>
    <xf numFmtId="2" fontId="0" fillId="0" borderId="0" xfId="0" applyNumberFormat="1" applyBorder="1" applyAlignment="1" applyProtection="1">
      <alignment horizontal="center" vertical="center"/>
      <protection locked="0"/>
    </xf>
    <xf numFmtId="2" fontId="1" fillId="0" borderId="0" xfId="0" applyNumberFormat="1" applyFont="1" applyFill="1" applyBorder="1" applyAlignment="1">
      <alignment horizontal="center" vertical="center"/>
    </xf>
    <xf numFmtId="164" fontId="1" fillId="0" borderId="0" xfId="0" applyNumberFormat="1" applyFont="1" applyAlignment="1">
      <alignment horizontal="center" vertical="center"/>
    </xf>
    <xf numFmtId="2" fontId="20" fillId="0" borderId="0" xfId="0" applyNumberFormat="1" applyFont="1" applyAlignment="1">
      <alignment horizontal="center" vertical="center"/>
    </xf>
    <xf numFmtId="165" fontId="20" fillId="0" borderId="0" xfId="0" applyNumberFormat="1" applyFont="1" applyBorder="1" applyAlignment="1">
      <alignment horizontal="center" vertical="center"/>
    </xf>
    <xf numFmtId="0" fontId="19" fillId="0" borderId="0" xfId="0" applyFont="1" applyBorder="1" applyAlignment="1">
      <alignment horizontal="center" vertical="center"/>
    </xf>
    <xf numFmtId="0" fontId="0" fillId="0" borderId="0" xfId="0" applyAlignment="1">
      <alignment horizontal="center" vertical="center" wrapText="1"/>
    </xf>
    <xf numFmtId="165" fontId="20" fillId="0" borderId="0" xfId="0" applyNumberFormat="1" applyFont="1" applyAlignment="1">
      <alignment horizontal="center" vertical="center"/>
    </xf>
    <xf numFmtId="0" fontId="1" fillId="0"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horizontal="center" vertical="center" wrapText="1"/>
    </xf>
    <xf numFmtId="0" fontId="1" fillId="0" borderId="1" xfId="0" applyFont="1" applyFill="1" applyBorder="1" applyAlignment="1">
      <alignment horizontal="center" vertical="center"/>
    </xf>
    <xf numFmtId="164" fontId="1" fillId="0" borderId="1" xfId="0" applyNumberFormat="1" applyFont="1" applyFill="1" applyBorder="1" applyAlignment="1">
      <alignment horizontal="center" vertical="center"/>
    </xf>
    <xf numFmtId="164" fontId="0" fillId="0" borderId="1" xfId="0" applyNumberFormat="1" applyBorder="1" applyAlignment="1">
      <alignment horizontal="center" vertical="center"/>
    </xf>
    <xf numFmtId="0" fontId="10" fillId="0" borderId="1" xfId="0" applyFont="1" applyFill="1" applyBorder="1" applyAlignment="1">
      <alignment horizontal="center" vertical="center"/>
    </xf>
    <xf numFmtId="164" fontId="10" fillId="0" borderId="1" xfId="0" applyNumberFormat="1" applyFont="1" applyFill="1" applyBorder="1" applyAlignment="1">
      <alignment horizontal="center" vertical="center"/>
    </xf>
    <xf numFmtId="0" fontId="11" fillId="0" borderId="0" xfId="0" applyFont="1" applyBorder="1" applyAlignment="1">
      <alignment horizontal="center" vertical="center" wrapText="1"/>
    </xf>
    <xf numFmtId="0" fontId="11" fillId="0" borderId="0" xfId="0" applyFont="1" applyBorder="1" applyAlignment="1">
      <alignment horizontal="center" vertical="center"/>
    </xf>
    <xf numFmtId="2" fontId="1" fillId="0" borderId="0" xfId="0" applyNumberFormat="1" applyFont="1" applyBorder="1" applyAlignment="1">
      <alignment horizontal="center" vertical="center"/>
    </xf>
    <xf numFmtId="0" fontId="18" fillId="0" borderId="0" xfId="0" applyFont="1" applyBorder="1" applyAlignment="1">
      <alignment horizontal="left" vertical="center" wrapText="1"/>
    </xf>
    <xf numFmtId="0" fontId="1" fillId="0" borderId="0" xfId="0" applyFont="1" applyBorder="1" applyAlignment="1">
      <alignment horizontal="left" vertical="center" wrapText="1"/>
    </xf>
    <xf numFmtId="0" fontId="1" fillId="0" borderId="0" xfId="0" applyFont="1" applyFill="1" applyBorder="1" applyAlignment="1">
      <alignment vertical="center" wrapText="1"/>
    </xf>
    <xf numFmtId="0" fontId="9" fillId="0" borderId="0" xfId="2" applyFont="1" applyBorder="1" applyAlignment="1">
      <alignment vertical="center" wrapText="1"/>
    </xf>
    <xf numFmtId="0" fontId="10" fillId="0" borderId="0" xfId="0" applyFont="1" applyFill="1" applyBorder="1" applyAlignment="1">
      <alignment vertical="center" wrapText="1"/>
    </xf>
    <xf numFmtId="0" fontId="1" fillId="0" borderId="0" xfId="0" applyFont="1" applyFill="1" applyAlignment="1">
      <alignment vertical="center" wrapText="1"/>
    </xf>
    <xf numFmtId="0" fontId="0" fillId="0" borderId="0" xfId="0" applyBorder="1" applyAlignment="1">
      <alignment vertical="center" wrapText="1"/>
    </xf>
    <xf numFmtId="0" fontId="1" fillId="0" borderId="0" xfId="0" applyFont="1" applyBorder="1" applyAlignment="1">
      <alignment vertical="center" wrapText="1"/>
    </xf>
    <xf numFmtId="0" fontId="10" fillId="0" borderId="0" xfId="0" applyFont="1" applyBorder="1" applyAlignment="1">
      <alignment vertical="center" wrapText="1"/>
    </xf>
    <xf numFmtId="0" fontId="11" fillId="0" borderId="0" xfId="0" applyFont="1" applyBorder="1" applyAlignment="1">
      <alignment vertical="center" wrapText="1"/>
    </xf>
    <xf numFmtId="0" fontId="1" fillId="0" borderId="0" xfId="0" applyFont="1" applyAlignment="1">
      <alignment vertical="center" wrapText="1"/>
    </xf>
    <xf numFmtId="0" fontId="11" fillId="0" borderId="0" xfId="0" applyFont="1" applyAlignment="1">
      <alignment vertical="center" wrapText="1"/>
    </xf>
    <xf numFmtId="0" fontId="0" fillId="0" borderId="0" xfId="0" applyAlignment="1">
      <alignment vertical="center" wrapText="1"/>
    </xf>
    <xf numFmtId="0" fontId="0" fillId="0" borderId="0" xfId="0" applyFill="1" applyAlignment="1">
      <alignment vertical="center" wrapText="1"/>
    </xf>
    <xf numFmtId="2" fontId="0" fillId="0" borderId="0" xfId="0" applyNumberFormat="1" applyAlignment="1" applyProtection="1">
      <alignment vertical="center" wrapText="1"/>
      <protection locked="0"/>
    </xf>
    <xf numFmtId="2" fontId="0" fillId="0" borderId="0" xfId="0" applyNumberFormat="1" applyBorder="1" applyAlignment="1" applyProtection="1">
      <alignment vertical="center" wrapText="1"/>
      <protection locked="0"/>
    </xf>
    <xf numFmtId="0" fontId="0" fillId="0" borderId="0" xfId="0" applyNumberFormat="1" applyAlignment="1" applyProtection="1">
      <alignment vertical="center" wrapText="1"/>
      <protection locked="0"/>
    </xf>
    <xf numFmtId="0" fontId="9" fillId="0" borderId="0" xfId="2" applyFont="1" applyFill="1" applyBorder="1" applyAlignment="1">
      <alignment vertical="center" wrapText="1"/>
    </xf>
    <xf numFmtId="164" fontId="1" fillId="0" borderId="0" xfId="0" applyNumberFormat="1" applyFont="1" applyAlignment="1">
      <alignment vertical="center" wrapText="1"/>
    </xf>
    <xf numFmtId="164" fontId="1" fillId="0" borderId="0" xfId="0" applyNumberFormat="1" applyFont="1" applyFill="1" applyBorder="1" applyAlignment="1">
      <alignment vertical="center" wrapText="1"/>
    </xf>
    <xf numFmtId="2" fontId="1" fillId="0" borderId="0" xfId="0" applyNumberFormat="1" applyFont="1" applyFill="1" applyBorder="1" applyAlignment="1">
      <alignment vertical="center" wrapText="1"/>
    </xf>
    <xf numFmtId="0" fontId="1" fillId="0" borderId="1" xfId="0" applyFont="1" applyFill="1" applyBorder="1" applyAlignment="1">
      <alignment vertical="center" wrapText="1"/>
    </xf>
    <xf numFmtId="0" fontId="11" fillId="0" borderId="0" xfId="0" applyFont="1" applyBorder="1" applyAlignment="1">
      <alignment horizontal="left" vertical="center" wrapText="1"/>
    </xf>
    <xf numFmtId="0" fontId="0" fillId="0" borderId="0" xfId="0" applyAlignment="1">
      <alignment horizontal="left" vertical="center" wrapText="1"/>
    </xf>
    <xf numFmtId="0" fontId="1" fillId="0" borderId="0" xfId="0" applyFont="1" applyAlignment="1">
      <alignment horizontal="left" vertical="center"/>
    </xf>
    <xf numFmtId="0" fontId="0" fillId="0" borderId="0" xfId="0" applyAlignment="1">
      <alignment horizontal="left" vertical="center"/>
    </xf>
    <xf numFmtId="0" fontId="21" fillId="0" borderId="0" xfId="0" applyFont="1" applyAlignment="1">
      <alignment horizontal="left" vertical="center"/>
    </xf>
    <xf numFmtId="0" fontId="10" fillId="0" borderId="0" xfId="0" applyFont="1" applyAlignment="1">
      <alignment horizontal="left" vertical="center"/>
    </xf>
    <xf numFmtId="15" fontId="23" fillId="0" borderId="0" xfId="0" applyNumberFormat="1" applyFont="1" applyAlignment="1">
      <alignment horizontal="center" vertical="top"/>
    </xf>
    <xf numFmtId="15" fontId="0" fillId="0" borderId="0" xfId="0" applyNumberFormat="1" applyAlignment="1">
      <alignment horizontal="center" vertical="top"/>
    </xf>
    <xf numFmtId="15" fontId="1" fillId="0" borderId="0" xfId="0" applyNumberFormat="1" applyFont="1" applyAlignment="1">
      <alignment horizontal="center" vertical="top"/>
    </xf>
    <xf numFmtId="15" fontId="17" fillId="0" borderId="0" xfId="0" applyNumberFormat="1" applyFont="1" applyAlignment="1">
      <alignment horizontal="center" vertical="top"/>
    </xf>
    <xf numFmtId="164" fontId="0" fillId="0" borderId="0" xfId="0" applyNumberFormat="1" applyAlignment="1">
      <alignment horizontal="left"/>
    </xf>
    <xf numFmtId="1" fontId="0" fillId="0" borderId="0" xfId="0" applyNumberFormat="1" applyAlignment="1">
      <alignment horizontal="center"/>
    </xf>
    <xf numFmtId="0" fontId="22" fillId="2" borderId="2" xfId="0" applyFont="1" applyFill="1" applyBorder="1" applyAlignment="1">
      <alignment horizontal="center" vertical="center"/>
    </xf>
    <xf numFmtId="0" fontId="10" fillId="0" borderId="0" xfId="0" applyFont="1" applyFill="1" applyAlignment="1">
      <alignment horizontal="center" vertical="center"/>
    </xf>
    <xf numFmtId="0" fontId="0" fillId="0" borderId="3" xfId="0" applyBorder="1" applyAlignment="1">
      <alignment horizontal="center" vertical="center"/>
    </xf>
    <xf numFmtId="0" fontId="1" fillId="0" borderId="3" xfId="0" applyFont="1" applyFill="1" applyBorder="1" applyAlignment="1">
      <alignment horizontal="center" vertical="center"/>
    </xf>
    <xf numFmtId="0" fontId="9" fillId="0" borderId="3" xfId="2" applyFont="1" applyBorder="1" applyAlignment="1">
      <alignment horizontal="center" vertical="center"/>
    </xf>
    <xf numFmtId="0" fontId="0" fillId="0" borderId="3" xfId="0" applyFont="1" applyBorder="1" applyAlignment="1">
      <alignment horizontal="center" vertical="center"/>
    </xf>
    <xf numFmtId="0" fontId="10" fillId="0" borderId="3" xfId="0" applyFont="1" applyFill="1" applyBorder="1" applyAlignment="1">
      <alignment horizontal="center" vertical="center"/>
    </xf>
    <xf numFmtId="0" fontId="1" fillId="0" borderId="3" xfId="0" applyFont="1" applyBorder="1" applyAlignment="1">
      <alignment horizontal="center" vertical="center"/>
    </xf>
    <xf numFmtId="0" fontId="10" fillId="0" borderId="0" xfId="0" applyFont="1" applyAlignment="1">
      <alignment horizontal="center" vertical="center"/>
    </xf>
    <xf numFmtId="0" fontId="9" fillId="0" borderId="0" xfId="0" applyFont="1" applyBorder="1" applyAlignment="1">
      <alignment horizontal="center" vertical="center"/>
    </xf>
    <xf numFmtId="0" fontId="9" fillId="0" borderId="0" xfId="0" applyFont="1" applyAlignment="1">
      <alignment horizontal="center" vertical="center"/>
    </xf>
    <xf numFmtId="0" fontId="22" fillId="2" borderId="2" xfId="0" applyNumberFormat="1" applyFont="1" applyFill="1" applyBorder="1" applyAlignment="1" applyProtection="1">
      <alignment horizontal="center" vertical="center" wrapText="1"/>
      <protection locked="0"/>
    </xf>
    <xf numFmtId="0" fontId="0" fillId="0" borderId="0" xfId="0" applyNumberFormat="1" applyBorder="1" applyAlignment="1" applyProtection="1">
      <alignment horizontal="center" vertical="center" wrapText="1"/>
      <protection locked="0"/>
    </xf>
    <xf numFmtId="0" fontId="10" fillId="0" borderId="0" xfId="0" applyFont="1" applyFill="1" applyBorder="1" applyAlignment="1">
      <alignment horizontal="center" vertical="center" wrapText="1"/>
    </xf>
    <xf numFmtId="0" fontId="0" fillId="0" borderId="0" xfId="0" applyNumberFormat="1" applyAlignment="1" applyProtection="1">
      <alignment horizontal="center" vertical="center" wrapText="1"/>
      <protection locked="0"/>
    </xf>
    <xf numFmtId="0" fontId="0" fillId="0" borderId="0" xfId="0" applyAlignment="1" applyProtection="1">
      <alignment horizontal="center" vertical="center" wrapText="1"/>
      <protection locked="0"/>
    </xf>
    <xf numFmtId="0" fontId="0" fillId="0" borderId="0" xfId="0" applyBorder="1" applyAlignment="1" applyProtection="1">
      <alignment horizontal="center" vertical="center" wrapText="1"/>
      <protection locked="0"/>
    </xf>
    <xf numFmtId="0" fontId="26" fillId="0" borderId="0" xfId="0" applyFont="1" applyFill="1" applyBorder="1" applyAlignment="1">
      <alignment horizontal="center" vertical="center"/>
    </xf>
    <xf numFmtId="0" fontId="26" fillId="0" borderId="0" xfId="0" applyFont="1" applyBorder="1" applyAlignment="1">
      <alignment horizontal="center" vertical="center" wrapText="1"/>
    </xf>
    <xf numFmtId="0" fontId="26" fillId="0" borderId="0" xfId="0" applyFont="1" applyFill="1" applyBorder="1" applyAlignment="1">
      <alignment horizontal="center" vertical="center" wrapText="1"/>
    </xf>
    <xf numFmtId="164" fontId="26" fillId="0" borderId="0" xfId="0" applyNumberFormat="1" applyFont="1" applyFill="1" applyBorder="1" applyAlignment="1">
      <alignment horizontal="center" vertical="center"/>
    </xf>
    <xf numFmtId="0" fontId="26" fillId="0" borderId="0" xfId="0" applyFont="1" applyFill="1" applyBorder="1" applyAlignment="1">
      <alignment vertical="center" wrapText="1"/>
    </xf>
    <xf numFmtId="1" fontId="26" fillId="0" borderId="0" xfId="0" applyNumberFormat="1" applyFont="1" applyFill="1" applyBorder="1" applyAlignment="1">
      <alignment horizontal="center" vertical="center"/>
    </xf>
    <xf numFmtId="0" fontId="26" fillId="0" borderId="0" xfId="0" applyFont="1" applyFill="1" applyAlignment="1">
      <alignment wrapText="1"/>
    </xf>
    <xf numFmtId="0" fontId="26" fillId="0" borderId="0" xfId="0" applyFont="1" applyFill="1" applyAlignment="1"/>
    <xf numFmtId="0" fontId="26" fillId="0" borderId="0" xfId="0" applyFont="1" applyFill="1"/>
    <xf numFmtId="0" fontId="26" fillId="0" borderId="0" xfId="0" applyFont="1"/>
    <xf numFmtId="0" fontId="26" fillId="0" borderId="0" xfId="2" applyFont="1" applyBorder="1" applyAlignment="1">
      <alignment horizontal="center" vertical="center"/>
    </xf>
    <xf numFmtId="0" fontId="26" fillId="0" borderId="0" xfId="2" applyFont="1" applyBorder="1" applyAlignment="1">
      <alignment horizontal="center" vertical="center" wrapText="1"/>
    </xf>
    <xf numFmtId="3" fontId="26" fillId="0" borderId="0" xfId="2" applyNumberFormat="1" applyFont="1" applyBorder="1" applyAlignment="1">
      <alignment horizontal="center" vertical="center"/>
    </xf>
    <xf numFmtId="164" fontId="26" fillId="0" borderId="0" xfId="2" applyNumberFormat="1" applyFont="1" applyBorder="1" applyAlignment="1">
      <alignment horizontal="center" vertical="center"/>
    </xf>
    <xf numFmtId="0" fontId="26" fillId="0" borderId="0" xfId="2" applyFont="1" applyBorder="1" applyAlignment="1">
      <alignment vertical="center" wrapText="1"/>
    </xf>
    <xf numFmtId="1" fontId="26" fillId="0" borderId="0" xfId="2" applyNumberFormat="1" applyFont="1" applyBorder="1" applyAlignment="1">
      <alignment horizontal="center" vertical="center"/>
    </xf>
    <xf numFmtId="0" fontId="10" fillId="0" borderId="0" xfId="0" applyFont="1" applyFill="1" applyAlignment="1">
      <alignment horizontal="center" vertical="center" wrapText="1"/>
    </xf>
    <xf numFmtId="0" fontId="9" fillId="0" borderId="0" xfId="0" applyFont="1" applyFill="1" applyBorder="1" applyAlignment="1">
      <alignment horizontal="center" vertical="center" wrapText="1"/>
    </xf>
    <xf numFmtId="0" fontId="9" fillId="0" borderId="0" xfId="0" applyNumberFormat="1" applyFont="1" applyBorder="1" applyAlignment="1" applyProtection="1">
      <alignment horizontal="center" vertical="center"/>
      <protection locked="0"/>
    </xf>
    <xf numFmtId="0" fontId="9" fillId="0" borderId="0" xfId="0" applyNumberFormat="1" applyFont="1" applyBorder="1" applyAlignment="1" applyProtection="1">
      <alignment horizontal="center" vertical="center" wrapText="1"/>
      <protection locked="0"/>
    </xf>
    <xf numFmtId="164" fontId="9" fillId="0" borderId="0" xfId="0" applyNumberFormat="1" applyFont="1" applyBorder="1" applyAlignment="1">
      <alignment horizontal="center" vertical="center"/>
    </xf>
    <xf numFmtId="0" fontId="9" fillId="0" borderId="0" xfId="0" applyFont="1" applyBorder="1" applyAlignment="1">
      <alignment vertical="center" wrapText="1"/>
    </xf>
    <xf numFmtId="0" fontId="9" fillId="0" borderId="0" xfId="0" applyFont="1" applyFill="1" applyAlignment="1">
      <alignment wrapText="1"/>
    </xf>
    <xf numFmtId="0" fontId="9" fillId="0" borderId="0" xfId="0" applyFont="1" applyFill="1" applyAlignment="1"/>
    <xf numFmtId="0" fontId="9" fillId="0" borderId="0" xfId="0" applyFont="1" applyFill="1"/>
    <xf numFmtId="0" fontId="1" fillId="0" borderId="4" xfId="0" applyFont="1" applyFill="1" applyBorder="1" applyAlignment="1">
      <alignment horizontal="center" vertical="center"/>
    </xf>
    <xf numFmtId="0" fontId="10" fillId="0" borderId="3" xfId="0" applyFont="1" applyBorder="1" applyAlignment="1">
      <alignment horizontal="center" vertical="center"/>
    </xf>
    <xf numFmtId="0" fontId="0" fillId="0" borderId="1"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4" fontId="0" fillId="0" borderId="1" xfId="0" applyNumberFormat="1" applyBorder="1" applyAlignment="1" applyProtection="1">
      <alignment horizontal="center" vertical="center"/>
      <protection locked="0"/>
    </xf>
    <xf numFmtId="165" fontId="0" fillId="0" borderId="0" xfId="0" applyNumberFormat="1" applyBorder="1" applyAlignment="1">
      <alignment horizontal="center" vertical="center"/>
    </xf>
    <xf numFmtId="0" fontId="27" fillId="0" borderId="0" xfId="2" applyFont="1" applyBorder="1" applyAlignment="1">
      <alignment horizontal="center" vertical="center"/>
    </xf>
    <xf numFmtId="0" fontId="27" fillId="0" borderId="0" xfId="2" applyFont="1" applyBorder="1" applyAlignment="1">
      <alignment horizontal="center" vertical="center" wrapText="1"/>
    </xf>
    <xf numFmtId="3" fontId="27" fillId="0" borderId="0" xfId="2" applyNumberFormat="1" applyFont="1" applyBorder="1" applyAlignment="1">
      <alignment horizontal="center" vertical="center"/>
    </xf>
    <xf numFmtId="164" fontId="27" fillId="0" borderId="0" xfId="0" applyNumberFormat="1" applyFont="1" applyFill="1" applyBorder="1" applyAlignment="1">
      <alignment horizontal="center" vertical="center"/>
    </xf>
    <xf numFmtId="164" fontId="27" fillId="0" borderId="0" xfId="2" applyNumberFormat="1" applyFont="1" applyBorder="1" applyAlignment="1">
      <alignment horizontal="center" vertical="center"/>
    </xf>
    <xf numFmtId="0" fontId="27" fillId="0" borderId="0" xfId="2" applyFont="1" applyBorder="1" applyAlignment="1">
      <alignment vertical="center" wrapText="1"/>
    </xf>
    <xf numFmtId="0" fontId="27" fillId="0" borderId="0" xfId="0" applyFont="1" applyAlignment="1">
      <alignment horizontal="center" vertical="center"/>
    </xf>
    <xf numFmtId="0" fontId="27" fillId="0" borderId="0" xfId="0" applyFont="1" applyFill="1" applyAlignment="1">
      <alignment wrapText="1"/>
    </xf>
    <xf numFmtId="0" fontId="27" fillId="0" borderId="0" xfId="0" applyFont="1" applyFill="1" applyAlignment="1">
      <alignment horizontal="left" wrapText="1"/>
    </xf>
    <xf numFmtId="0" fontId="27" fillId="0" borderId="0" xfId="0" applyFont="1" applyFill="1" applyAlignment="1"/>
    <xf numFmtId="0" fontId="27" fillId="0" borderId="0" xfId="0" applyFont="1" applyFill="1"/>
    <xf numFmtId="0" fontId="27" fillId="0" borderId="0" xfId="0" applyFont="1"/>
    <xf numFmtId="0" fontId="18" fillId="0" borderId="0" xfId="0" applyFont="1" applyAlignment="1">
      <alignment horizontal="left" vertical="center"/>
    </xf>
    <xf numFmtId="0" fontId="0" fillId="0" borderId="4" xfId="0" applyBorder="1" applyAlignment="1">
      <alignment horizontal="center" vertical="center"/>
    </xf>
    <xf numFmtId="0" fontId="26" fillId="0" borderId="3" xfId="2" applyFont="1" applyBorder="1" applyAlignment="1">
      <alignment horizontal="center" vertical="center"/>
    </xf>
    <xf numFmtId="0" fontId="26" fillId="0" borderId="3" xfId="0" applyFont="1" applyFill="1" applyBorder="1" applyAlignment="1">
      <alignment horizontal="center" vertical="center"/>
    </xf>
    <xf numFmtId="0" fontId="9" fillId="0" borderId="3" xfId="0" applyFont="1" applyBorder="1" applyAlignment="1">
      <alignment horizontal="center" vertical="center"/>
    </xf>
    <xf numFmtId="0" fontId="27" fillId="0" borderId="3" xfId="2" applyFont="1" applyBorder="1" applyAlignment="1">
      <alignment horizontal="center" vertical="center"/>
    </xf>
    <xf numFmtId="0" fontId="0" fillId="0" borderId="0" xfId="0" applyFont="1" applyBorder="1" applyAlignment="1">
      <alignment horizontal="center" vertical="center"/>
    </xf>
    <xf numFmtId="0" fontId="9" fillId="0" borderId="1" xfId="2" applyFont="1" applyBorder="1" applyAlignment="1">
      <alignment horizontal="center" vertical="center" wrapText="1"/>
    </xf>
    <xf numFmtId="3" fontId="9" fillId="0" borderId="1" xfId="2" applyNumberFormat="1" applyFont="1" applyBorder="1" applyAlignment="1">
      <alignment horizontal="center" vertical="center"/>
    </xf>
    <xf numFmtId="0" fontId="9" fillId="0" borderId="1" xfId="2" applyFont="1" applyBorder="1" applyAlignment="1">
      <alignment horizontal="center" vertical="center"/>
    </xf>
    <xf numFmtId="164" fontId="9" fillId="0" borderId="1" xfId="2" applyNumberFormat="1" applyFont="1" applyBorder="1" applyAlignment="1">
      <alignment horizontal="center" vertical="center"/>
    </xf>
    <xf numFmtId="0" fontId="9" fillId="0" borderId="1" xfId="2" applyFont="1" applyBorder="1" applyAlignment="1">
      <alignment vertical="center" wrapText="1"/>
    </xf>
    <xf numFmtId="0" fontId="0" fillId="0" borderId="1" xfId="0" applyBorder="1" applyAlignment="1">
      <alignment vertical="center" wrapText="1"/>
    </xf>
    <xf numFmtId="0" fontId="9" fillId="3" borderId="0" xfId="2" applyFont="1" applyFill="1" applyBorder="1" applyAlignment="1">
      <alignment horizontal="center" vertical="center"/>
    </xf>
    <xf numFmtId="0" fontId="9" fillId="3" borderId="0" xfId="2" applyFont="1" applyFill="1" applyBorder="1" applyAlignment="1">
      <alignment horizontal="center" vertical="center" wrapText="1"/>
    </xf>
    <xf numFmtId="3" fontId="9" fillId="3" borderId="0" xfId="2" applyNumberFormat="1" applyFont="1" applyFill="1" applyBorder="1" applyAlignment="1">
      <alignment horizontal="center" vertical="center"/>
    </xf>
    <xf numFmtId="164" fontId="1" fillId="3" borderId="0" xfId="0" applyNumberFormat="1" applyFont="1" applyFill="1" applyBorder="1" applyAlignment="1">
      <alignment horizontal="center" vertical="center"/>
    </xf>
    <xf numFmtId="164" fontId="9" fillId="3" borderId="0" xfId="2" applyNumberFormat="1" applyFont="1" applyFill="1" applyBorder="1" applyAlignment="1">
      <alignment horizontal="center" vertical="center"/>
    </xf>
    <xf numFmtId="0" fontId="9" fillId="3" borderId="0" xfId="2" applyFont="1" applyFill="1" applyBorder="1" applyAlignment="1">
      <alignment vertical="center" wrapText="1"/>
    </xf>
    <xf numFmtId="0" fontId="0" fillId="3" borderId="0" xfId="0" applyFill="1" applyAlignment="1">
      <alignment horizontal="center" vertical="center"/>
    </xf>
    <xf numFmtId="0" fontId="15" fillId="3" borderId="0" xfId="0" applyFont="1" applyFill="1" applyAlignment="1">
      <alignment wrapText="1"/>
    </xf>
    <xf numFmtId="0" fontId="0" fillId="3" borderId="0" xfId="0" applyFill="1" applyAlignment="1">
      <alignment wrapText="1"/>
    </xf>
    <xf numFmtId="0" fontId="0" fillId="3" borderId="0" xfId="0" applyFill="1" applyAlignment="1"/>
    <xf numFmtId="0" fontId="0" fillId="3" borderId="0" xfId="0" applyFill="1"/>
    <xf numFmtId="0" fontId="0" fillId="3" borderId="0" xfId="0" applyFill="1" applyBorder="1" applyAlignment="1">
      <alignment horizontal="center" vertical="center"/>
    </xf>
    <xf numFmtId="0" fontId="1" fillId="3" borderId="0" xfId="0" applyFont="1" applyFill="1" applyBorder="1" applyAlignment="1">
      <alignment horizontal="center" vertical="center"/>
    </xf>
    <xf numFmtId="0" fontId="1" fillId="3" borderId="0" xfId="0" applyFont="1" applyFill="1" applyBorder="1" applyAlignment="1">
      <alignment horizontal="center" vertical="center" wrapText="1"/>
    </xf>
    <xf numFmtId="0" fontId="1" fillId="3" borderId="0" xfId="0" applyFont="1" applyFill="1" applyBorder="1" applyAlignment="1">
      <alignment vertical="center" wrapText="1"/>
    </xf>
    <xf numFmtId="1" fontId="1" fillId="3" borderId="0" xfId="0" applyNumberFormat="1" applyFont="1" applyFill="1" applyBorder="1" applyAlignment="1">
      <alignment horizontal="center" vertical="center"/>
    </xf>
    <xf numFmtId="0" fontId="15" fillId="3" borderId="0" xfId="0" applyFont="1" applyFill="1" applyAlignment="1">
      <alignment horizontal="left" wrapText="1"/>
    </xf>
    <xf numFmtId="0" fontId="10" fillId="3" borderId="0" xfId="0" applyFont="1" applyFill="1" applyBorder="1" applyAlignment="1">
      <alignment horizontal="center" vertical="center"/>
    </xf>
    <xf numFmtId="0" fontId="10" fillId="3" borderId="0" xfId="0" applyFont="1" applyFill="1" applyBorder="1" applyAlignment="1">
      <alignment horizontal="center" vertical="center" wrapText="1"/>
    </xf>
    <xf numFmtId="164" fontId="10" fillId="3" borderId="0" xfId="0" applyNumberFormat="1" applyFont="1" applyFill="1" applyBorder="1" applyAlignment="1">
      <alignment horizontal="center" vertical="center"/>
    </xf>
    <xf numFmtId="0" fontId="10" fillId="3" borderId="0" xfId="0" applyFont="1" applyFill="1" applyBorder="1" applyAlignment="1">
      <alignment vertical="center" wrapText="1"/>
    </xf>
    <xf numFmtId="1" fontId="10" fillId="3" borderId="0" xfId="0" applyNumberFormat="1" applyFont="1" applyFill="1" applyBorder="1" applyAlignment="1">
      <alignment horizontal="center" vertical="center"/>
    </xf>
    <xf numFmtId="0" fontId="1" fillId="3" borderId="0" xfId="0" applyFont="1" applyFill="1" applyAlignment="1">
      <alignment horizontal="center" vertical="center"/>
    </xf>
    <xf numFmtId="164" fontId="0" fillId="3" borderId="0" xfId="0" applyNumberFormat="1" applyFill="1" applyBorder="1" applyAlignment="1">
      <alignment horizontal="center" vertical="center"/>
    </xf>
    <xf numFmtId="0" fontId="0" fillId="3" borderId="0" xfId="0" applyFill="1" applyAlignment="1">
      <alignment horizontal="left" wrapText="1"/>
    </xf>
    <xf numFmtId="1" fontId="6" fillId="0" borderId="0" xfId="1" applyNumberFormat="1" applyFill="1" applyBorder="1" applyAlignment="1" applyProtection="1">
      <alignment horizontal="center" vertical="center"/>
    </xf>
    <xf numFmtId="0" fontId="9" fillId="0" borderId="0" xfId="2" applyFont="1" applyFill="1" applyBorder="1" applyAlignment="1">
      <alignment horizontal="center" vertical="center"/>
    </xf>
    <xf numFmtId="0" fontId="9" fillId="0" borderId="0" xfId="2" applyFont="1" applyFill="1" applyBorder="1" applyAlignment="1">
      <alignment horizontal="center" vertical="center" wrapText="1"/>
    </xf>
    <xf numFmtId="3" fontId="9" fillId="0" borderId="0" xfId="2" applyNumberFormat="1" applyFont="1" applyFill="1" applyBorder="1" applyAlignment="1">
      <alignment horizontal="center" vertical="center"/>
    </xf>
    <xf numFmtId="164" fontId="9" fillId="0" borderId="0" xfId="2" applyNumberFormat="1" applyFont="1" applyFill="1" applyBorder="1" applyAlignment="1">
      <alignment horizontal="center" vertical="center"/>
    </xf>
    <xf numFmtId="0" fontId="0" fillId="0" borderId="0" xfId="0" applyFill="1" applyBorder="1" applyAlignment="1">
      <alignment horizontal="center" vertical="center"/>
    </xf>
    <xf numFmtId="164" fontId="0" fillId="0" borderId="0" xfId="0" applyNumberFormat="1" applyFill="1" applyBorder="1" applyAlignment="1">
      <alignment horizontal="center" vertical="center"/>
    </xf>
    <xf numFmtId="0" fontId="26" fillId="0" borderId="0" xfId="2" applyFont="1" applyFill="1" applyBorder="1" applyAlignment="1">
      <alignment horizontal="center" vertical="center"/>
    </xf>
    <xf numFmtId="0" fontId="26" fillId="0" borderId="0" xfId="2" applyFont="1" applyFill="1" applyBorder="1" applyAlignment="1">
      <alignment horizontal="center" vertical="center" wrapText="1"/>
    </xf>
    <xf numFmtId="3" fontId="26" fillId="0" borderId="0" xfId="2" applyNumberFormat="1" applyFont="1" applyFill="1" applyBorder="1" applyAlignment="1">
      <alignment horizontal="center" vertical="center"/>
    </xf>
    <xf numFmtId="164" fontId="26" fillId="0" borderId="0" xfId="2" applyNumberFormat="1" applyFont="1" applyFill="1" applyBorder="1" applyAlignment="1">
      <alignment horizontal="center" vertical="center"/>
    </xf>
    <xf numFmtId="0" fontId="26" fillId="0" borderId="0" xfId="2" applyFont="1" applyFill="1" applyBorder="1" applyAlignment="1">
      <alignment vertical="center" wrapText="1"/>
    </xf>
    <xf numFmtId="1" fontId="26" fillId="0" borderId="0" xfId="2" applyNumberFormat="1" applyFont="1" applyFill="1" applyBorder="1" applyAlignment="1">
      <alignment horizontal="center" vertical="center"/>
    </xf>
    <xf numFmtId="1" fontId="9" fillId="0" borderId="0" xfId="2" applyNumberFormat="1" applyFont="1" applyFill="1" applyBorder="1" applyAlignment="1">
      <alignment horizontal="center" vertical="center"/>
    </xf>
    <xf numFmtId="0" fontId="1" fillId="4" borderId="0" xfId="0" applyFont="1" applyFill="1" applyBorder="1" applyAlignment="1">
      <alignment horizontal="center" vertical="center"/>
    </xf>
    <xf numFmtId="0" fontId="1" fillId="4" borderId="0" xfId="0" applyFont="1" applyFill="1" applyBorder="1" applyAlignment="1">
      <alignment horizontal="center" vertical="center" wrapText="1"/>
    </xf>
    <xf numFmtId="164" fontId="1" fillId="4" borderId="0" xfId="0" applyNumberFormat="1" applyFont="1" applyFill="1" applyBorder="1" applyAlignment="1">
      <alignment horizontal="center" vertical="center"/>
    </xf>
    <xf numFmtId="0" fontId="1" fillId="4" borderId="0" xfId="0" applyFont="1" applyFill="1" applyBorder="1" applyAlignment="1">
      <alignment vertical="center" wrapText="1"/>
    </xf>
    <xf numFmtId="1" fontId="1" fillId="4" borderId="0" xfId="0" applyNumberFormat="1" applyFont="1" applyFill="1" applyBorder="1" applyAlignment="1">
      <alignment horizontal="center" vertical="center"/>
    </xf>
    <xf numFmtId="0" fontId="1" fillId="4" borderId="0" xfId="0" applyFont="1" applyFill="1" applyAlignment="1">
      <alignment wrapText="1"/>
    </xf>
    <xf numFmtId="0" fontId="0" fillId="4" borderId="0" xfId="0" applyFill="1" applyAlignment="1">
      <alignment wrapText="1"/>
    </xf>
    <xf numFmtId="0" fontId="0" fillId="4" borderId="0" xfId="0" applyFill="1" applyAlignment="1"/>
    <xf numFmtId="0" fontId="0" fillId="4" borderId="0" xfId="0" applyFill="1"/>
    <xf numFmtId="0" fontId="15" fillId="4" borderId="0" xfId="0" applyFont="1" applyFill="1" applyAlignment="1">
      <alignment wrapText="1"/>
    </xf>
    <xf numFmtId="0" fontId="0" fillId="0" borderId="0" xfId="0" applyFont="1" applyFill="1" applyBorder="1" applyAlignment="1">
      <alignment horizontal="center" vertical="center"/>
    </xf>
    <xf numFmtId="0" fontId="1" fillId="5" borderId="3" xfId="0" applyFont="1" applyFill="1" applyBorder="1" applyAlignment="1">
      <alignment horizontal="center" vertical="center"/>
    </xf>
    <xf numFmtId="0" fontId="1" fillId="5" borderId="0" xfId="0" applyFont="1" applyFill="1" applyBorder="1" applyAlignment="1">
      <alignment horizontal="center" vertical="center" wrapText="1"/>
    </xf>
    <xf numFmtId="0" fontId="1" fillId="5" borderId="0" xfId="0" applyFont="1" applyFill="1" applyBorder="1" applyAlignment="1">
      <alignment horizontal="center" vertical="center"/>
    </xf>
    <xf numFmtId="164" fontId="1" fillId="5" borderId="0" xfId="0" applyNumberFormat="1" applyFont="1" applyFill="1" applyBorder="1" applyAlignment="1">
      <alignment horizontal="center" vertical="center"/>
    </xf>
    <xf numFmtId="0" fontId="1" fillId="5" borderId="0" xfId="0" applyFont="1" applyFill="1" applyBorder="1" applyAlignment="1">
      <alignment vertical="center" wrapText="1"/>
    </xf>
    <xf numFmtId="1" fontId="1" fillId="5" borderId="0" xfId="0" applyNumberFormat="1" applyFont="1" applyFill="1" applyBorder="1" applyAlignment="1">
      <alignment horizontal="center" vertical="center"/>
    </xf>
    <xf numFmtId="0" fontId="1" fillId="5" borderId="0" xfId="0" applyFont="1" applyFill="1" applyAlignment="1">
      <alignment wrapText="1"/>
    </xf>
    <xf numFmtId="0" fontId="0" fillId="5" borderId="0" xfId="0" applyFill="1" applyAlignment="1">
      <alignment wrapText="1"/>
    </xf>
    <xf numFmtId="0" fontId="0" fillId="5" borderId="0" xfId="0" applyFill="1" applyAlignment="1"/>
    <xf numFmtId="0" fontId="0" fillId="5" borderId="0" xfId="0" applyFill="1"/>
    <xf numFmtId="0" fontId="0" fillId="0" borderId="0" xfId="0" applyFont="1" applyFill="1" applyAlignment="1">
      <alignment horizontal="center" vertical="center"/>
    </xf>
    <xf numFmtId="14" fontId="1" fillId="0" borderId="0" xfId="0" applyNumberFormat="1" applyFont="1" applyFill="1" applyBorder="1" applyAlignment="1">
      <alignment horizontal="center" vertical="center"/>
    </xf>
    <xf numFmtId="1" fontId="0" fillId="0" borderId="0" xfId="0" applyNumberFormat="1" applyFont="1" applyFill="1" applyAlignment="1">
      <alignment horizontal="center" vertical="center"/>
    </xf>
    <xf numFmtId="0" fontId="0" fillId="0" borderId="0" xfId="0" applyFont="1" applyFill="1" applyBorder="1" applyAlignment="1">
      <alignment horizontal="center" vertical="center" wrapText="1"/>
    </xf>
    <xf numFmtId="164" fontId="1" fillId="0" borderId="0" xfId="0" applyNumberFormat="1" applyFont="1" applyFill="1" applyBorder="1" applyAlignment="1">
      <alignment horizontal="center" vertical="center" wrapText="1"/>
    </xf>
    <xf numFmtId="1" fontId="0" fillId="0" borderId="0" xfId="0" applyNumberFormat="1" applyFont="1" applyFill="1" applyBorder="1" applyAlignment="1">
      <alignment horizontal="center" vertical="center"/>
    </xf>
    <xf numFmtId="0" fontId="0" fillId="0" borderId="0" xfId="0" applyFont="1" applyBorder="1" applyAlignment="1">
      <alignment horizontal="center" vertical="center" wrapText="1"/>
    </xf>
    <xf numFmtId="0" fontId="2" fillId="0" borderId="0" xfId="0" applyFont="1" applyFill="1" applyBorder="1" applyAlignment="1">
      <alignment horizontal="center" vertical="center"/>
    </xf>
    <xf numFmtId="1" fontId="2" fillId="0" borderId="0" xfId="0" applyNumberFormat="1" applyFont="1" applyFill="1" applyBorder="1" applyAlignment="1">
      <alignment horizontal="center" vertical="center"/>
    </xf>
    <xf numFmtId="0" fontId="28" fillId="0" borderId="5" xfId="0" applyFont="1" applyBorder="1" applyAlignment="1">
      <alignment wrapText="1"/>
    </xf>
    <xf numFmtId="0" fontId="2" fillId="0" borderId="0" xfId="0" applyFont="1" applyFill="1" applyAlignment="1">
      <alignment horizontal="center" vertical="center"/>
    </xf>
    <xf numFmtId="0" fontId="0" fillId="6" borderId="0" xfId="0" applyFill="1" applyAlignment="1">
      <alignment horizontal="left"/>
    </xf>
    <xf numFmtId="0" fontId="29" fillId="0" borderId="0" xfId="0" applyFont="1"/>
    <xf numFmtId="0" fontId="0" fillId="0" borderId="0" xfId="0" applyAlignment="1">
      <alignment horizontal="left"/>
    </xf>
    <xf numFmtId="0" fontId="23" fillId="0" borderId="0" xfId="0" applyFont="1" applyAlignment="1">
      <alignment horizontal="left" vertical="center" wrapText="1"/>
    </xf>
    <xf numFmtId="0" fontId="0" fillId="6" borderId="0" xfId="0" applyFont="1" applyFill="1" applyBorder="1" applyAlignment="1">
      <alignment horizontal="center" vertical="center"/>
    </xf>
    <xf numFmtId="0" fontId="0" fillId="6" borderId="0" xfId="0" applyFont="1" applyFill="1" applyBorder="1" applyAlignment="1">
      <alignment horizontal="center" vertical="center" wrapText="1"/>
    </xf>
    <xf numFmtId="164" fontId="1" fillId="6" borderId="0" xfId="0" applyNumberFormat="1" applyFont="1" applyFill="1" applyBorder="1" applyAlignment="1">
      <alignment horizontal="center" vertical="center"/>
    </xf>
    <xf numFmtId="164" fontId="1" fillId="6" borderId="0" xfId="0" applyNumberFormat="1" applyFont="1" applyFill="1" applyBorder="1" applyAlignment="1">
      <alignment horizontal="center" vertical="center" wrapText="1"/>
    </xf>
    <xf numFmtId="0" fontId="1" fillId="6" borderId="0" xfId="0" applyFont="1" applyFill="1" applyBorder="1" applyAlignment="1">
      <alignment vertical="center" wrapText="1"/>
    </xf>
    <xf numFmtId="1" fontId="0" fillId="6" borderId="0" xfId="0" applyNumberFormat="1" applyFont="1" applyFill="1" applyBorder="1" applyAlignment="1">
      <alignment horizontal="center" vertical="center"/>
    </xf>
    <xf numFmtId="0" fontId="15" fillId="6" borderId="0" xfId="0" applyFont="1" applyFill="1" applyAlignment="1">
      <alignment horizontal="left" wrapText="1"/>
    </xf>
    <xf numFmtId="0" fontId="0" fillId="6" borderId="0" xfId="0" applyFill="1" applyAlignment="1">
      <alignment wrapText="1"/>
    </xf>
    <xf numFmtId="0" fontId="0" fillId="6" borderId="0" xfId="0" applyFill="1" applyAlignment="1"/>
    <xf numFmtId="0" fontId="0" fillId="6" borderId="0" xfId="0" applyFill="1"/>
  </cellXfs>
  <cellStyles count="3">
    <cellStyle name="Hyperlink" xfId="1" builtinId="8"/>
    <cellStyle name="Normal" xfId="0" builtinId="0"/>
    <cellStyle name="Normal_Sheet1" xfId="2" xr:uid="{00000000-0005-0000-0000-00000200000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www.ultimateungulate.com/Artiodactyla/Cervus_schomburgki.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8"/>
  <sheetViews>
    <sheetView zoomScale="125" zoomScaleNormal="125" workbookViewId="0">
      <selection activeCell="B10" sqref="B10:G10"/>
    </sheetView>
  </sheetViews>
  <sheetFormatPr baseColWidth="10" defaultColWidth="11.5" defaultRowHeight="13" x14ac:dyDescent="0.15"/>
  <cols>
    <col min="1" max="1" width="11.5" style="158"/>
  </cols>
  <sheetData>
    <row r="1" spans="1:29" s="57" customFormat="1" ht="16" x14ac:dyDescent="0.2">
      <c r="A1" s="157"/>
      <c r="B1" s="57" t="s">
        <v>1879</v>
      </c>
    </row>
    <row r="2" spans="1:29" s="2" customFormat="1" x14ac:dyDescent="0.15">
      <c r="A2" s="158"/>
      <c r="B2" s="21" t="s">
        <v>6608</v>
      </c>
      <c r="C2" s="8"/>
      <c r="D2" s="8"/>
      <c r="E2" s="8"/>
      <c r="F2" s="8"/>
      <c r="G2" s="8"/>
      <c r="H2" s="8"/>
      <c r="I2" s="30"/>
      <c r="J2" s="30"/>
      <c r="K2" s="8"/>
      <c r="L2" s="9"/>
      <c r="M2" s="7"/>
      <c r="N2" s="7"/>
      <c r="O2" s="7"/>
      <c r="P2" s="7"/>
      <c r="Q2" s="6"/>
      <c r="R2" s="6"/>
      <c r="S2" s="6"/>
      <c r="T2" s="6"/>
      <c r="U2" s="6"/>
      <c r="V2" s="6"/>
      <c r="W2" s="6"/>
      <c r="X2" s="6"/>
      <c r="Y2" s="6"/>
      <c r="Z2" s="6"/>
      <c r="AA2" s="6"/>
      <c r="AB2" s="6"/>
      <c r="AC2" s="6"/>
    </row>
    <row r="3" spans="1:29" s="2" customFormat="1" x14ac:dyDescent="0.15">
      <c r="A3" s="158"/>
      <c r="B3" s="21" t="s">
        <v>5556</v>
      </c>
      <c r="C3" s="8"/>
      <c r="D3" s="8"/>
      <c r="E3" s="8"/>
      <c r="F3" s="8"/>
      <c r="G3" s="8"/>
      <c r="H3" s="8"/>
      <c r="I3" s="30"/>
      <c r="J3" s="30"/>
      <c r="K3" s="8"/>
      <c r="L3" s="9"/>
      <c r="M3" s="7"/>
      <c r="N3" s="7"/>
      <c r="O3" s="7"/>
      <c r="P3" s="7"/>
      <c r="Q3" s="6"/>
      <c r="R3" s="6"/>
      <c r="S3" s="6"/>
      <c r="T3" s="6"/>
      <c r="U3" s="6"/>
      <c r="V3" s="6"/>
      <c r="W3" s="6"/>
      <c r="X3" s="6"/>
      <c r="Y3" s="6"/>
      <c r="Z3" s="6"/>
      <c r="AA3" s="6"/>
      <c r="AB3" s="6"/>
      <c r="AC3" s="6"/>
    </row>
    <row r="4" spans="1:29" s="2" customFormat="1" x14ac:dyDescent="0.15">
      <c r="A4" s="158"/>
      <c r="B4" s="21" t="s">
        <v>6461</v>
      </c>
      <c r="C4" s="8"/>
      <c r="D4" s="8"/>
      <c r="E4" s="8"/>
      <c r="F4" s="8"/>
      <c r="G4" s="8"/>
      <c r="H4" s="8"/>
      <c r="I4" s="30"/>
      <c r="J4" s="30"/>
      <c r="K4" s="8"/>
      <c r="L4" s="9"/>
      <c r="M4" s="7"/>
      <c r="N4" s="7"/>
      <c r="O4" s="7"/>
      <c r="P4" s="7"/>
      <c r="Q4" s="6"/>
      <c r="R4" s="6"/>
      <c r="S4" s="6"/>
      <c r="T4" s="6"/>
      <c r="U4" s="6"/>
      <c r="V4" s="6"/>
      <c r="W4" s="6"/>
      <c r="X4" s="6"/>
      <c r="Y4" s="6"/>
      <c r="Z4" s="6"/>
      <c r="AA4" s="6"/>
      <c r="AB4" s="6"/>
      <c r="AC4" s="6"/>
    </row>
    <row r="5" spans="1:29" s="2" customFormat="1" x14ac:dyDescent="0.15">
      <c r="A5" s="158"/>
      <c r="B5" s="21" t="s">
        <v>7559</v>
      </c>
      <c r="C5" s="19"/>
      <c r="D5" s="19"/>
      <c r="E5" s="19"/>
      <c r="F5" s="19"/>
      <c r="G5" s="19"/>
      <c r="H5" s="19"/>
      <c r="I5" s="28"/>
      <c r="J5" s="28"/>
      <c r="K5" s="19"/>
      <c r="L5" s="9"/>
      <c r="M5" s="7"/>
      <c r="N5" s="7"/>
      <c r="O5" s="7"/>
      <c r="P5" s="7"/>
      <c r="Q5" s="6"/>
      <c r="R5" s="6"/>
      <c r="S5" s="6"/>
      <c r="T5" s="6"/>
      <c r="U5" s="6"/>
      <c r="V5" s="6"/>
      <c r="W5" s="6"/>
      <c r="X5" s="6"/>
      <c r="Y5" s="6"/>
      <c r="Z5" s="6"/>
      <c r="AA5" s="6"/>
      <c r="AB5" s="6"/>
      <c r="AC5" s="6"/>
    </row>
    <row r="6" spans="1:29" s="2" customFormat="1" x14ac:dyDescent="0.15">
      <c r="A6" s="158"/>
      <c r="B6" s="21" t="s">
        <v>7793</v>
      </c>
      <c r="C6" s="19"/>
      <c r="D6" s="19"/>
      <c r="E6" s="19"/>
      <c r="F6" s="19"/>
      <c r="G6" s="19"/>
      <c r="H6" s="19"/>
      <c r="I6" s="28"/>
      <c r="J6" s="28"/>
      <c r="K6" s="19"/>
      <c r="L6" s="9"/>
      <c r="M6" s="7"/>
      <c r="N6" s="7"/>
      <c r="O6" s="7"/>
      <c r="P6" s="7"/>
      <c r="Q6" s="6"/>
      <c r="R6" s="6"/>
      <c r="S6" s="6"/>
      <c r="T6" s="6"/>
      <c r="U6" s="6"/>
      <c r="V6" s="6"/>
      <c r="W6" s="6"/>
      <c r="X6" s="6"/>
      <c r="Y6" s="6"/>
      <c r="Z6" s="6"/>
      <c r="AA6" s="6"/>
      <c r="AB6" s="6"/>
      <c r="AC6" s="6"/>
    </row>
    <row r="7" spans="1:29" s="2" customFormat="1" x14ac:dyDescent="0.15">
      <c r="A7" s="158"/>
      <c r="B7" s="18" t="s">
        <v>2632</v>
      </c>
      <c r="C7" s="8"/>
      <c r="D7" s="8"/>
      <c r="E7" s="8"/>
      <c r="F7" s="8"/>
      <c r="G7" s="8"/>
      <c r="H7" s="8"/>
      <c r="I7" s="30"/>
      <c r="J7" s="30"/>
      <c r="K7" s="8"/>
      <c r="L7" s="9"/>
      <c r="M7" s="7"/>
      <c r="N7" s="7"/>
      <c r="O7" s="7"/>
      <c r="P7" s="7"/>
      <c r="Q7" s="6"/>
      <c r="R7" s="6"/>
      <c r="S7" s="6"/>
      <c r="T7" s="6"/>
      <c r="U7" s="6"/>
      <c r="V7" s="6"/>
      <c r="W7" s="6"/>
      <c r="X7" s="6"/>
      <c r="Y7" s="6"/>
      <c r="Z7" s="6"/>
      <c r="AA7" s="6"/>
      <c r="AB7" s="6"/>
      <c r="AC7" s="6"/>
    </row>
    <row r="8" spans="1:29" s="2" customFormat="1" x14ac:dyDescent="0.15">
      <c r="A8" s="158"/>
      <c r="B8" s="309" t="s">
        <v>5015</v>
      </c>
      <c r="C8" s="309"/>
      <c r="I8" s="161"/>
      <c r="J8" s="161"/>
      <c r="L8" s="162"/>
    </row>
    <row r="9" spans="1:29" s="2" customFormat="1" x14ac:dyDescent="0.15">
      <c r="A9" s="158"/>
      <c r="B9" s="309" t="s">
        <v>4945</v>
      </c>
      <c r="C9" s="309"/>
      <c r="D9" s="309"/>
      <c r="E9" s="309"/>
      <c r="F9" s="309"/>
      <c r="G9" s="309"/>
      <c r="H9" s="309"/>
      <c r="I9" s="309"/>
      <c r="J9" s="309"/>
      <c r="L9" s="162"/>
    </row>
    <row r="10" spans="1:29" s="2" customFormat="1" x14ac:dyDescent="0.15">
      <c r="A10" s="158"/>
      <c r="B10" s="309" t="s">
        <v>7482</v>
      </c>
      <c r="C10" s="309"/>
      <c r="D10" s="309"/>
      <c r="E10" s="309"/>
      <c r="F10" s="309"/>
      <c r="G10" s="309"/>
      <c r="I10" s="161"/>
      <c r="J10" s="161"/>
      <c r="L10" s="162"/>
    </row>
    <row r="11" spans="1:29" s="57" customFormat="1" ht="16" x14ac:dyDescent="0.2">
      <c r="A11" s="158"/>
      <c r="B11" s="309" t="s">
        <v>5197</v>
      </c>
      <c r="C11" s="309"/>
      <c r="D11" s="309"/>
      <c r="E11" s="309"/>
      <c r="F11" s="309"/>
      <c r="G11" s="309"/>
      <c r="H11" s="309"/>
      <c r="I11" s="309"/>
      <c r="J11" s="309"/>
      <c r="K11" s="2"/>
      <c r="L11" s="162"/>
      <c r="M11" s="2"/>
      <c r="N11" s="2"/>
      <c r="O11" s="2"/>
      <c r="P11" s="2"/>
      <c r="Q11" s="2"/>
      <c r="R11" s="2"/>
      <c r="S11" s="2"/>
      <c r="T11" s="2"/>
      <c r="U11" s="2"/>
      <c r="V11" s="2"/>
      <c r="W11" s="2"/>
      <c r="X11" s="2"/>
      <c r="Y11" s="2"/>
      <c r="Z11" s="2"/>
      <c r="AA11" s="2"/>
      <c r="AB11" s="2"/>
      <c r="AC11" s="2"/>
    </row>
    <row r="12" spans="1:29" s="57" customFormat="1" ht="16" x14ac:dyDescent="0.2">
      <c r="A12" s="158"/>
      <c r="B12" s="309" t="s">
        <v>4697</v>
      </c>
      <c r="C12" s="309"/>
      <c r="D12" s="309"/>
      <c r="E12" s="309"/>
      <c r="F12" s="309"/>
      <c r="G12" s="309"/>
      <c r="H12" s="309"/>
      <c r="I12" s="309"/>
      <c r="J12" s="309"/>
      <c r="K12" s="309"/>
      <c r="L12" s="309"/>
      <c r="M12" s="2"/>
      <c r="N12" s="2"/>
      <c r="O12" s="2"/>
      <c r="P12" s="2"/>
      <c r="Q12" s="2"/>
      <c r="R12" s="2"/>
      <c r="S12" s="2"/>
      <c r="T12" s="2"/>
      <c r="U12" s="2"/>
      <c r="V12" s="2"/>
      <c r="W12" s="2"/>
      <c r="X12" s="2"/>
      <c r="Y12" s="2"/>
      <c r="Z12" s="2"/>
      <c r="AA12" s="2"/>
      <c r="AB12" s="2"/>
      <c r="AC12" s="2"/>
    </row>
    <row r="13" spans="1:29" s="57" customFormat="1" ht="16" x14ac:dyDescent="0.2">
      <c r="A13" s="158"/>
      <c r="B13" s="309" t="s">
        <v>41</v>
      </c>
      <c r="C13" s="309"/>
      <c r="D13" s="309"/>
      <c r="E13" s="309"/>
      <c r="F13" s="309"/>
      <c r="G13" s="309"/>
      <c r="H13" s="309"/>
      <c r="I13" s="309"/>
      <c r="J13" s="309"/>
      <c r="K13" s="309"/>
      <c r="L13" s="309"/>
      <c r="M13" s="2"/>
      <c r="N13" s="2"/>
      <c r="O13" s="2"/>
      <c r="P13" s="2"/>
      <c r="Q13" s="2"/>
      <c r="R13" s="2"/>
      <c r="S13" s="2"/>
      <c r="T13" s="2"/>
      <c r="U13" s="2"/>
      <c r="V13" s="2"/>
      <c r="W13" s="2"/>
      <c r="X13" s="2"/>
      <c r="Y13" s="2"/>
      <c r="Z13" s="2"/>
      <c r="AA13" s="2"/>
      <c r="AB13" s="2"/>
      <c r="AC13" s="2"/>
    </row>
    <row r="14" spans="1:29" s="57" customFormat="1" ht="16" x14ac:dyDescent="0.2">
      <c r="A14" s="158"/>
      <c r="B14" s="309" t="s">
        <v>42</v>
      </c>
      <c r="C14" s="309"/>
      <c r="D14" s="309"/>
      <c r="E14" s="309"/>
      <c r="F14" s="309"/>
      <c r="G14" s="309"/>
      <c r="H14" s="309"/>
      <c r="I14" s="309"/>
      <c r="J14" s="309"/>
      <c r="K14" s="309"/>
      <c r="L14" s="309"/>
      <c r="M14" s="309"/>
      <c r="N14" s="2"/>
      <c r="O14" s="2"/>
      <c r="P14" s="2"/>
      <c r="Q14" s="2"/>
      <c r="R14" s="2"/>
      <c r="S14" s="2"/>
      <c r="T14" s="2"/>
      <c r="U14" s="2"/>
      <c r="V14" s="2"/>
      <c r="W14" s="2"/>
      <c r="X14" s="2"/>
      <c r="Y14" s="2"/>
      <c r="Z14" s="2"/>
      <c r="AA14" s="2"/>
      <c r="AB14" s="2"/>
      <c r="AC14" s="2"/>
    </row>
    <row r="15" spans="1:29" s="57" customFormat="1" ht="16" x14ac:dyDescent="0.2">
      <c r="A15" s="158"/>
      <c r="B15" s="309" t="s">
        <v>7964</v>
      </c>
      <c r="C15" s="309"/>
      <c r="D15" s="2"/>
      <c r="E15" s="2"/>
      <c r="F15" s="2"/>
      <c r="G15" s="2"/>
      <c r="H15" s="2"/>
      <c r="I15" s="161"/>
      <c r="J15" s="161"/>
      <c r="K15" s="2"/>
      <c r="L15" s="162"/>
      <c r="M15" s="2"/>
      <c r="N15" s="2"/>
      <c r="O15" s="2"/>
      <c r="P15" s="2"/>
      <c r="Q15" s="2"/>
      <c r="R15" s="2"/>
      <c r="S15" s="2"/>
      <c r="T15" s="2"/>
      <c r="U15" s="2"/>
      <c r="V15" s="2"/>
      <c r="W15" s="2"/>
      <c r="X15" s="2"/>
      <c r="Y15" s="2"/>
      <c r="Z15" s="2"/>
      <c r="AA15" s="2"/>
      <c r="AB15" s="2"/>
      <c r="AC15" s="2"/>
    </row>
    <row r="16" spans="1:29" ht="14" customHeight="1" x14ac:dyDescent="0.15"/>
    <row r="17" spans="1:29" s="2" customFormat="1" x14ac:dyDescent="0.15">
      <c r="A17" s="158">
        <v>37560</v>
      </c>
      <c r="B17" s="18" t="s">
        <v>114</v>
      </c>
      <c r="C17" s="19"/>
      <c r="D17" s="19"/>
      <c r="E17" s="19"/>
      <c r="F17" s="19"/>
      <c r="G17" s="19"/>
      <c r="H17" s="19"/>
      <c r="I17" s="28"/>
      <c r="J17" s="28"/>
      <c r="K17" s="19"/>
      <c r="L17" s="9"/>
      <c r="M17" s="7"/>
      <c r="N17" s="7"/>
      <c r="O17" s="7"/>
      <c r="P17" s="7"/>
      <c r="Q17" s="6"/>
      <c r="R17" s="6"/>
      <c r="S17" s="6"/>
      <c r="T17" s="6"/>
      <c r="U17" s="6"/>
      <c r="V17" s="6"/>
      <c r="W17" s="6"/>
      <c r="X17" s="6"/>
      <c r="Y17" s="6"/>
      <c r="Z17" s="6"/>
      <c r="AA17" s="6"/>
      <c r="AB17" s="6"/>
      <c r="AC17" s="6"/>
    </row>
    <row r="18" spans="1:29" s="2" customFormat="1" x14ac:dyDescent="0.15">
      <c r="A18" s="158">
        <v>37560</v>
      </c>
      <c r="B18" s="18" t="s">
        <v>6863</v>
      </c>
      <c r="C18" s="19"/>
      <c r="D18" s="19"/>
      <c r="E18" s="19"/>
      <c r="F18" s="19"/>
      <c r="G18" s="19"/>
      <c r="H18" s="19"/>
      <c r="I18" s="28"/>
      <c r="J18" s="28"/>
      <c r="K18" s="19"/>
      <c r="L18" s="9"/>
      <c r="M18" s="7"/>
      <c r="N18" s="7"/>
      <c r="O18" s="7"/>
      <c r="P18" s="7"/>
      <c r="Q18" s="6"/>
      <c r="R18" s="6"/>
      <c r="S18" s="6"/>
      <c r="T18" s="6"/>
      <c r="U18" s="6"/>
      <c r="V18" s="6"/>
      <c r="W18" s="6"/>
      <c r="X18" s="6"/>
      <c r="Y18" s="6"/>
      <c r="Z18" s="6"/>
      <c r="AA18" s="6"/>
      <c r="AB18" s="6"/>
      <c r="AC18" s="6"/>
    </row>
    <row r="19" spans="1:29" s="5" customFormat="1" x14ac:dyDescent="0.15">
      <c r="A19" s="158">
        <v>37560</v>
      </c>
      <c r="B19" s="18" t="s">
        <v>78</v>
      </c>
      <c r="C19" s="20"/>
      <c r="D19" s="20"/>
      <c r="E19" s="20"/>
      <c r="F19" s="20"/>
      <c r="G19" s="20"/>
      <c r="H19" s="20"/>
      <c r="I19" s="29"/>
      <c r="J19" s="29"/>
      <c r="K19" s="20"/>
      <c r="L19" s="10"/>
      <c r="M19" s="7"/>
      <c r="N19" s="7"/>
      <c r="O19" s="7"/>
      <c r="P19" s="7"/>
      <c r="Q19" s="7"/>
      <c r="R19" s="7"/>
      <c r="S19" s="7"/>
      <c r="T19" s="7"/>
      <c r="U19" s="7"/>
      <c r="V19" s="7"/>
      <c r="W19" s="7"/>
      <c r="X19" s="7"/>
      <c r="Y19" s="7"/>
      <c r="Z19" s="7"/>
      <c r="AA19" s="7"/>
      <c r="AB19" s="7"/>
      <c r="AC19" s="7"/>
    </row>
    <row r="20" spans="1:29" s="2" customFormat="1" x14ac:dyDescent="0.15">
      <c r="A20" s="158">
        <v>37561</v>
      </c>
      <c r="B20" s="18" t="s">
        <v>115</v>
      </c>
      <c r="C20" s="19"/>
      <c r="D20" s="19"/>
      <c r="E20" s="19"/>
      <c r="F20" s="19"/>
      <c r="G20" s="19"/>
      <c r="H20" s="19"/>
      <c r="I20" s="28"/>
      <c r="J20" s="28"/>
      <c r="K20" s="19"/>
      <c r="L20" s="9"/>
      <c r="M20" s="7"/>
      <c r="N20" s="7"/>
      <c r="O20" s="7"/>
      <c r="P20" s="7"/>
      <c r="Q20" s="6"/>
      <c r="R20" s="6"/>
      <c r="S20" s="6"/>
      <c r="T20" s="6"/>
      <c r="U20" s="6"/>
      <c r="V20" s="6"/>
      <c r="W20" s="6"/>
      <c r="X20" s="6"/>
      <c r="Y20" s="6"/>
      <c r="Z20" s="6"/>
      <c r="AA20" s="6"/>
      <c r="AB20" s="6"/>
      <c r="AC20" s="6"/>
    </row>
    <row r="21" spans="1:29" s="2" customFormat="1" x14ac:dyDescent="0.15">
      <c r="A21" s="158">
        <v>37562</v>
      </c>
      <c r="B21" s="18" t="s">
        <v>50</v>
      </c>
      <c r="C21" s="19"/>
      <c r="D21" s="19"/>
      <c r="E21" s="19"/>
      <c r="F21" s="19"/>
      <c r="G21" s="19"/>
      <c r="H21" s="19"/>
      <c r="I21" s="28"/>
      <c r="J21" s="28"/>
      <c r="K21" s="19"/>
      <c r="L21" s="9"/>
      <c r="M21" s="7"/>
      <c r="N21" s="7"/>
      <c r="O21" s="7"/>
      <c r="P21" s="7"/>
      <c r="Q21" s="6"/>
      <c r="R21" s="6"/>
      <c r="S21" s="6"/>
      <c r="T21" s="6"/>
      <c r="U21" s="6"/>
      <c r="V21" s="6"/>
      <c r="W21" s="6"/>
      <c r="X21" s="6"/>
      <c r="Y21" s="6"/>
      <c r="Z21" s="6"/>
      <c r="AA21" s="6"/>
      <c r="AB21" s="6"/>
      <c r="AC21" s="6"/>
    </row>
    <row r="22" spans="1:29" s="2" customFormat="1" x14ac:dyDescent="0.15">
      <c r="A22" s="158">
        <v>37564</v>
      </c>
      <c r="B22" s="18" t="s">
        <v>113</v>
      </c>
      <c r="C22" s="19"/>
      <c r="D22" s="19"/>
      <c r="E22" s="19"/>
      <c r="F22" s="19"/>
      <c r="G22" s="19"/>
      <c r="H22" s="19"/>
      <c r="I22" s="28"/>
      <c r="J22" s="28"/>
      <c r="K22" s="19"/>
      <c r="L22" s="9"/>
      <c r="M22" s="7"/>
      <c r="N22" s="7"/>
      <c r="O22" s="7"/>
      <c r="P22" s="7"/>
      <c r="Q22" s="6"/>
      <c r="R22" s="6"/>
      <c r="S22" s="6"/>
      <c r="T22" s="6"/>
      <c r="U22" s="6"/>
      <c r="V22" s="6"/>
      <c r="W22" s="6"/>
      <c r="X22" s="6"/>
      <c r="Y22" s="6"/>
      <c r="Z22" s="6"/>
      <c r="AA22" s="6"/>
      <c r="AB22" s="6"/>
      <c r="AC22" s="6"/>
    </row>
    <row r="23" spans="1:29" s="2" customFormat="1" x14ac:dyDescent="0.15">
      <c r="A23" s="158">
        <v>37564</v>
      </c>
      <c r="B23" s="18" t="s">
        <v>116</v>
      </c>
      <c r="C23" s="19"/>
      <c r="D23" s="19"/>
      <c r="E23" s="19"/>
      <c r="F23" s="19"/>
      <c r="G23" s="19"/>
      <c r="H23" s="19"/>
      <c r="I23" s="28"/>
      <c r="J23" s="28"/>
      <c r="K23" s="19"/>
      <c r="L23" s="9"/>
      <c r="M23" s="7"/>
      <c r="N23" s="7"/>
      <c r="O23" s="7"/>
      <c r="P23" s="7"/>
      <c r="Q23" s="6"/>
      <c r="R23" s="6"/>
      <c r="S23" s="6"/>
      <c r="T23" s="6"/>
      <c r="U23" s="6"/>
      <c r="V23" s="6"/>
      <c r="W23" s="6"/>
      <c r="X23" s="6"/>
      <c r="Y23" s="6"/>
      <c r="Z23" s="6"/>
      <c r="AA23" s="6"/>
      <c r="AB23" s="6"/>
      <c r="AC23" s="6"/>
    </row>
    <row r="24" spans="1:29" s="2" customFormat="1" x14ac:dyDescent="0.15">
      <c r="A24" s="158">
        <v>37564</v>
      </c>
      <c r="B24" s="18" t="s">
        <v>117</v>
      </c>
      <c r="C24" s="19"/>
      <c r="D24" s="19"/>
      <c r="E24" s="19"/>
      <c r="F24" s="19"/>
      <c r="G24" s="19"/>
      <c r="H24" s="19"/>
      <c r="I24" s="28"/>
      <c r="J24" s="28"/>
      <c r="K24" s="19"/>
      <c r="L24" s="9"/>
      <c r="M24" s="7"/>
      <c r="N24" s="7"/>
      <c r="O24" s="7"/>
      <c r="P24" s="7"/>
      <c r="Q24" s="6"/>
      <c r="R24" s="6"/>
      <c r="S24" s="6"/>
      <c r="T24" s="6"/>
      <c r="U24" s="6"/>
      <c r="V24" s="6"/>
      <c r="W24" s="6"/>
      <c r="X24" s="6"/>
      <c r="Y24" s="6"/>
      <c r="Z24" s="6"/>
      <c r="AA24" s="6"/>
      <c r="AB24" s="6"/>
      <c r="AC24" s="6"/>
    </row>
    <row r="25" spans="1:29" s="2" customFormat="1" x14ac:dyDescent="0.15">
      <c r="A25" s="158">
        <v>37564</v>
      </c>
      <c r="B25" s="18" t="s">
        <v>65</v>
      </c>
      <c r="C25" s="19"/>
      <c r="D25" s="19"/>
      <c r="E25" s="19"/>
      <c r="F25" s="19"/>
      <c r="G25" s="19"/>
      <c r="H25" s="19"/>
      <c r="I25" s="28"/>
      <c r="J25" s="28"/>
      <c r="K25" s="19"/>
      <c r="L25" s="9"/>
      <c r="M25" s="7"/>
      <c r="N25" s="7"/>
      <c r="O25" s="7"/>
      <c r="P25" s="7"/>
      <c r="Q25" s="6"/>
      <c r="R25" s="6"/>
      <c r="S25" s="6"/>
      <c r="T25" s="6"/>
      <c r="U25" s="6"/>
      <c r="V25" s="6"/>
      <c r="W25" s="6"/>
      <c r="X25" s="6"/>
      <c r="Y25" s="6"/>
      <c r="Z25" s="6"/>
      <c r="AA25" s="6"/>
      <c r="AB25" s="6"/>
      <c r="AC25" s="6"/>
    </row>
    <row r="26" spans="1:29" s="2" customFormat="1" x14ac:dyDescent="0.15">
      <c r="A26" s="158">
        <v>37564</v>
      </c>
      <c r="B26" s="18" t="s">
        <v>63</v>
      </c>
      <c r="C26" s="19"/>
      <c r="D26" s="19"/>
      <c r="E26" s="19"/>
      <c r="F26" s="19"/>
      <c r="G26" s="19"/>
      <c r="H26" s="19"/>
      <c r="I26" s="28"/>
      <c r="J26" s="28"/>
      <c r="K26" s="19"/>
      <c r="L26" s="9"/>
      <c r="M26" s="7"/>
      <c r="N26" s="7"/>
      <c r="O26" s="7"/>
      <c r="P26" s="7"/>
      <c r="Q26" s="6"/>
      <c r="R26" s="6"/>
      <c r="S26" s="6"/>
      <c r="T26" s="6"/>
      <c r="U26" s="6"/>
      <c r="V26" s="6"/>
      <c r="W26" s="6"/>
      <c r="X26" s="6"/>
      <c r="Y26" s="6"/>
      <c r="Z26" s="6"/>
      <c r="AA26" s="6"/>
      <c r="AB26" s="6"/>
      <c r="AC26" s="6"/>
    </row>
    <row r="27" spans="1:29" s="2" customFormat="1" x14ac:dyDescent="0.15">
      <c r="A27" s="158">
        <v>37565</v>
      </c>
      <c r="B27" s="18" t="s">
        <v>64</v>
      </c>
      <c r="C27" s="19"/>
      <c r="D27" s="19"/>
      <c r="E27" s="19"/>
      <c r="F27" s="19"/>
      <c r="G27" s="19"/>
      <c r="H27" s="19"/>
      <c r="I27" s="28"/>
      <c r="J27" s="28"/>
      <c r="K27" s="19"/>
      <c r="L27" s="9"/>
      <c r="M27" s="7"/>
      <c r="N27" s="7"/>
      <c r="O27" s="7"/>
      <c r="P27" s="7"/>
      <c r="Q27" s="6"/>
      <c r="R27" s="6"/>
      <c r="S27" s="6"/>
      <c r="T27" s="6"/>
      <c r="U27" s="6"/>
      <c r="V27" s="6"/>
      <c r="W27" s="6"/>
      <c r="X27" s="6"/>
      <c r="Y27" s="6"/>
      <c r="Z27" s="6"/>
      <c r="AA27" s="6"/>
      <c r="AB27" s="6"/>
      <c r="AC27" s="6"/>
    </row>
    <row r="28" spans="1:29" s="2" customFormat="1" x14ac:dyDescent="0.15">
      <c r="A28" s="158">
        <v>37565</v>
      </c>
      <c r="B28" s="18" t="s">
        <v>40</v>
      </c>
      <c r="C28" s="19"/>
      <c r="D28" s="19"/>
      <c r="E28" s="19"/>
      <c r="F28" s="19"/>
      <c r="G28" s="19"/>
      <c r="H28" s="19"/>
      <c r="I28" s="28"/>
      <c r="J28" s="28"/>
      <c r="K28" s="19"/>
      <c r="L28" s="9"/>
      <c r="M28" s="7"/>
      <c r="N28" s="7"/>
      <c r="O28" s="7"/>
      <c r="P28" s="7"/>
      <c r="Q28" s="6"/>
      <c r="R28" s="6"/>
      <c r="S28" s="6"/>
      <c r="T28" s="6"/>
      <c r="U28" s="6"/>
      <c r="V28" s="6"/>
      <c r="W28" s="6"/>
      <c r="X28" s="6"/>
      <c r="Y28" s="6"/>
      <c r="Z28" s="6"/>
      <c r="AA28" s="6"/>
      <c r="AB28" s="6"/>
      <c r="AC28" s="6"/>
    </row>
    <row r="29" spans="1:29" s="2" customFormat="1" x14ac:dyDescent="0.15">
      <c r="A29" s="158">
        <v>37571</v>
      </c>
      <c r="B29" s="18" t="s">
        <v>132</v>
      </c>
      <c r="C29" s="19"/>
      <c r="D29" s="19"/>
      <c r="E29" s="19"/>
      <c r="F29" s="19"/>
      <c r="G29" s="19"/>
      <c r="H29" s="19"/>
      <c r="I29" s="28"/>
      <c r="J29" s="28"/>
      <c r="K29" s="19"/>
      <c r="L29" s="9"/>
      <c r="M29" s="7"/>
      <c r="N29" s="7"/>
      <c r="O29" s="7"/>
      <c r="P29" s="7"/>
      <c r="Q29" s="6"/>
      <c r="R29" s="6"/>
      <c r="S29" s="6"/>
      <c r="T29" s="6"/>
      <c r="U29" s="6"/>
      <c r="V29" s="6"/>
      <c r="W29" s="6"/>
      <c r="X29" s="6"/>
      <c r="Y29" s="6"/>
      <c r="Z29" s="6"/>
      <c r="AA29" s="6"/>
      <c r="AB29" s="6"/>
      <c r="AC29" s="6"/>
    </row>
    <row r="30" spans="1:29" s="2" customFormat="1" x14ac:dyDescent="0.15">
      <c r="A30" s="158">
        <v>37571</v>
      </c>
      <c r="B30" s="18" t="s">
        <v>79</v>
      </c>
      <c r="C30" s="19"/>
      <c r="D30" s="19"/>
      <c r="E30" s="19"/>
      <c r="F30" s="19"/>
      <c r="G30" s="19"/>
      <c r="H30" s="19"/>
      <c r="I30" s="28"/>
      <c r="J30" s="28"/>
      <c r="K30" s="19"/>
      <c r="L30" s="9"/>
      <c r="M30" s="7"/>
      <c r="N30" s="7"/>
      <c r="O30" s="7"/>
      <c r="P30" s="7"/>
      <c r="Q30" s="6"/>
      <c r="R30" s="6"/>
      <c r="S30" s="6"/>
      <c r="T30" s="6"/>
      <c r="U30" s="6"/>
      <c r="V30" s="6"/>
      <c r="W30" s="6"/>
      <c r="X30" s="6"/>
      <c r="Y30" s="6"/>
      <c r="Z30" s="6"/>
      <c r="AA30" s="6"/>
      <c r="AB30" s="6"/>
      <c r="AC30" s="6"/>
    </row>
    <row r="31" spans="1:29" s="2" customFormat="1" x14ac:dyDescent="0.15">
      <c r="A31" s="158">
        <v>37641</v>
      </c>
      <c r="B31" s="18" t="s">
        <v>48</v>
      </c>
      <c r="C31" s="19"/>
      <c r="D31" s="19"/>
      <c r="E31" s="19"/>
      <c r="F31" s="19"/>
      <c r="G31" s="19"/>
      <c r="H31" s="19"/>
      <c r="I31" s="28"/>
      <c r="J31" s="28"/>
      <c r="K31" s="19"/>
      <c r="L31" s="9"/>
      <c r="M31" s="7"/>
      <c r="N31" s="7"/>
      <c r="O31" s="7"/>
      <c r="P31" s="7"/>
      <c r="Q31" s="6"/>
      <c r="R31" s="6"/>
      <c r="S31" s="6"/>
      <c r="T31" s="6"/>
      <c r="U31" s="6"/>
      <c r="V31" s="6"/>
      <c r="W31" s="6"/>
      <c r="X31" s="6"/>
      <c r="Y31" s="6"/>
      <c r="Z31" s="6"/>
      <c r="AA31" s="6"/>
      <c r="AB31" s="6"/>
      <c r="AC31" s="6"/>
    </row>
    <row r="32" spans="1:29" s="2" customFormat="1" x14ac:dyDescent="0.15">
      <c r="A32" s="158">
        <v>37649</v>
      </c>
      <c r="B32" s="18" t="s">
        <v>49</v>
      </c>
      <c r="C32" s="19"/>
      <c r="D32" s="19"/>
      <c r="E32" s="19"/>
      <c r="F32" s="19"/>
      <c r="G32" s="19"/>
      <c r="H32" s="19"/>
      <c r="I32" s="28"/>
      <c r="J32" s="28"/>
      <c r="K32" s="19"/>
      <c r="L32" s="9"/>
      <c r="M32" s="7"/>
      <c r="N32" s="7"/>
      <c r="O32" s="7"/>
      <c r="P32" s="7"/>
      <c r="Q32" s="6"/>
      <c r="R32" s="6"/>
      <c r="S32" s="6"/>
      <c r="T32" s="6"/>
      <c r="U32" s="6"/>
      <c r="V32" s="6"/>
      <c r="W32" s="6"/>
      <c r="X32" s="6"/>
      <c r="Y32" s="6"/>
      <c r="Z32" s="6"/>
      <c r="AA32" s="6"/>
      <c r="AB32" s="6"/>
      <c r="AC32" s="6"/>
    </row>
    <row r="33" spans="1:29" s="2" customFormat="1" x14ac:dyDescent="0.15">
      <c r="A33" s="158">
        <v>37650</v>
      </c>
      <c r="B33" s="18" t="s">
        <v>71</v>
      </c>
      <c r="C33" s="19"/>
      <c r="D33" s="19"/>
      <c r="E33" s="19"/>
      <c r="F33" s="19"/>
      <c r="G33" s="19"/>
      <c r="H33" s="19"/>
      <c r="I33" s="28"/>
      <c r="J33" s="28"/>
      <c r="K33" s="19"/>
      <c r="L33" s="9"/>
      <c r="M33" s="7"/>
      <c r="N33" s="7"/>
      <c r="O33" s="7"/>
      <c r="P33" s="7"/>
      <c r="Q33" s="6"/>
      <c r="R33" s="6"/>
      <c r="S33" s="6"/>
      <c r="T33" s="6"/>
      <c r="U33" s="6"/>
      <c r="V33" s="6"/>
      <c r="W33" s="6"/>
      <c r="X33" s="6"/>
      <c r="Y33" s="6"/>
      <c r="Z33" s="6"/>
      <c r="AA33" s="6"/>
      <c r="AB33" s="6"/>
      <c r="AC33" s="6"/>
    </row>
    <row r="34" spans="1:29" s="2" customFormat="1" x14ac:dyDescent="0.15">
      <c r="A34" s="158">
        <v>37650</v>
      </c>
      <c r="B34" s="18" t="s">
        <v>72</v>
      </c>
      <c r="C34" s="19"/>
      <c r="D34" s="19"/>
      <c r="E34" s="19"/>
      <c r="F34" s="19"/>
      <c r="G34" s="19"/>
      <c r="H34" s="19"/>
      <c r="I34" s="28"/>
      <c r="J34" s="28"/>
      <c r="K34" s="19"/>
      <c r="L34" s="9"/>
      <c r="M34" s="7"/>
      <c r="N34" s="7"/>
      <c r="O34" s="7"/>
      <c r="P34" s="7"/>
      <c r="Q34" s="6"/>
      <c r="R34" s="6"/>
      <c r="S34" s="6"/>
      <c r="T34" s="6"/>
      <c r="U34" s="6"/>
      <c r="V34" s="6"/>
      <c r="W34" s="6"/>
      <c r="X34" s="6"/>
      <c r="Y34" s="6"/>
      <c r="Z34" s="6"/>
      <c r="AA34" s="6"/>
      <c r="AB34" s="6"/>
      <c r="AC34" s="6"/>
    </row>
    <row r="35" spans="1:29" s="2" customFormat="1" x14ac:dyDescent="0.15">
      <c r="A35" s="158">
        <v>37650</v>
      </c>
      <c r="B35" s="18" t="s">
        <v>74</v>
      </c>
      <c r="C35" s="19"/>
      <c r="D35" s="19"/>
      <c r="E35" s="19"/>
      <c r="F35" s="19"/>
      <c r="G35" s="19"/>
      <c r="H35" s="19"/>
      <c r="I35" s="28"/>
      <c r="J35" s="28"/>
      <c r="K35" s="19"/>
      <c r="L35" s="9"/>
      <c r="M35" s="7"/>
      <c r="N35" s="7"/>
      <c r="O35" s="7"/>
      <c r="P35" s="7"/>
      <c r="Q35" s="6"/>
      <c r="R35" s="6"/>
      <c r="S35" s="6"/>
      <c r="T35" s="6"/>
      <c r="U35" s="6"/>
      <c r="V35" s="6"/>
      <c r="W35" s="6"/>
      <c r="X35" s="6"/>
      <c r="Y35" s="6"/>
      <c r="Z35" s="6"/>
      <c r="AA35" s="6"/>
      <c r="AB35" s="6"/>
      <c r="AC35" s="6"/>
    </row>
    <row r="36" spans="1:29" s="2" customFormat="1" x14ac:dyDescent="0.15">
      <c r="A36" s="158">
        <v>37651</v>
      </c>
      <c r="B36" s="18" t="s">
        <v>73</v>
      </c>
      <c r="C36" s="19"/>
      <c r="D36" s="19"/>
      <c r="E36" s="19"/>
      <c r="F36" s="19"/>
      <c r="G36" s="19"/>
      <c r="H36" s="19"/>
      <c r="I36" s="28"/>
      <c r="J36" s="28"/>
      <c r="K36" s="19"/>
      <c r="L36" s="9"/>
      <c r="M36" s="7"/>
      <c r="N36" s="7"/>
      <c r="O36" s="7"/>
      <c r="P36" s="7"/>
      <c r="Q36" s="6"/>
      <c r="R36" s="6"/>
      <c r="S36" s="6"/>
      <c r="T36" s="6"/>
      <c r="U36" s="6"/>
      <c r="V36" s="6"/>
      <c r="W36" s="6"/>
      <c r="X36" s="6"/>
      <c r="Y36" s="6"/>
      <c r="Z36" s="6"/>
      <c r="AA36" s="6"/>
      <c r="AB36" s="6"/>
      <c r="AC36" s="6"/>
    </row>
    <row r="37" spans="1:29" s="2" customFormat="1" x14ac:dyDescent="0.15">
      <c r="A37" s="158">
        <v>37680</v>
      </c>
      <c r="B37" s="18" t="s">
        <v>70</v>
      </c>
      <c r="C37" s="19"/>
      <c r="D37" s="19"/>
      <c r="E37" s="19"/>
      <c r="F37" s="19"/>
      <c r="G37" s="19"/>
      <c r="H37" s="19"/>
      <c r="I37" s="28"/>
      <c r="J37" s="28"/>
      <c r="K37" s="19"/>
      <c r="L37" s="9"/>
      <c r="M37" s="7"/>
      <c r="N37" s="7"/>
      <c r="O37" s="7"/>
      <c r="P37" s="7"/>
      <c r="Q37" s="6"/>
      <c r="R37" s="6"/>
      <c r="S37" s="6"/>
      <c r="T37" s="6"/>
      <c r="U37" s="6"/>
      <c r="V37" s="6"/>
      <c r="W37" s="6"/>
      <c r="X37" s="6"/>
      <c r="Y37" s="6"/>
      <c r="Z37" s="6"/>
      <c r="AA37" s="6"/>
      <c r="AB37" s="6"/>
      <c r="AC37" s="6"/>
    </row>
    <row r="38" spans="1:29" s="2" customFormat="1" x14ac:dyDescent="0.15">
      <c r="A38" s="158">
        <v>37688</v>
      </c>
      <c r="B38" s="18" t="s">
        <v>68</v>
      </c>
      <c r="C38" s="19"/>
      <c r="D38" s="19"/>
      <c r="E38" s="19"/>
      <c r="F38" s="19"/>
      <c r="G38" s="19"/>
      <c r="H38" s="19"/>
      <c r="I38" s="28"/>
      <c r="J38" s="28"/>
      <c r="K38" s="19"/>
      <c r="L38" s="9"/>
      <c r="M38" s="7"/>
      <c r="N38" s="7"/>
      <c r="O38" s="7"/>
      <c r="P38" s="7"/>
      <c r="Q38" s="6"/>
      <c r="R38" s="6"/>
      <c r="S38" s="6"/>
      <c r="T38" s="6"/>
      <c r="U38" s="6"/>
      <c r="V38" s="6"/>
      <c r="W38" s="6"/>
      <c r="X38" s="6"/>
      <c r="Y38" s="6"/>
      <c r="Z38" s="6"/>
      <c r="AA38" s="6"/>
      <c r="AB38" s="6"/>
      <c r="AC38" s="6"/>
    </row>
    <row r="39" spans="1:29" s="2" customFormat="1" x14ac:dyDescent="0.15">
      <c r="A39" s="158">
        <v>37690</v>
      </c>
      <c r="B39" s="18" t="s">
        <v>69</v>
      </c>
      <c r="C39" s="19"/>
      <c r="D39" s="19"/>
      <c r="E39" s="19"/>
      <c r="F39" s="19"/>
      <c r="G39" s="19"/>
      <c r="H39" s="19"/>
      <c r="I39" s="28"/>
      <c r="J39" s="28"/>
      <c r="K39" s="19"/>
      <c r="L39" s="9"/>
      <c r="M39" s="7"/>
      <c r="N39" s="7"/>
      <c r="O39" s="7"/>
      <c r="P39" s="7"/>
      <c r="Q39" s="6"/>
      <c r="R39" s="6"/>
      <c r="S39" s="6"/>
      <c r="T39" s="6"/>
      <c r="U39" s="6"/>
      <c r="V39" s="6"/>
      <c r="W39" s="6"/>
      <c r="X39" s="6"/>
      <c r="Y39" s="6"/>
      <c r="Z39" s="6"/>
      <c r="AA39" s="6"/>
      <c r="AB39" s="6"/>
      <c r="AC39" s="6"/>
    </row>
    <row r="40" spans="1:29" s="2" customFormat="1" x14ac:dyDescent="0.15">
      <c r="A40" s="158">
        <v>37701</v>
      </c>
      <c r="B40" s="18" t="s">
        <v>67</v>
      </c>
      <c r="C40" s="19"/>
      <c r="D40" s="19"/>
      <c r="E40" s="19"/>
      <c r="F40" s="19"/>
      <c r="G40" s="19"/>
      <c r="H40" s="19"/>
      <c r="I40" s="28"/>
      <c r="J40" s="28"/>
      <c r="K40" s="19"/>
      <c r="L40" s="9"/>
      <c r="M40" s="7"/>
      <c r="N40" s="7"/>
      <c r="O40" s="7"/>
      <c r="P40" s="7"/>
      <c r="Q40" s="6"/>
      <c r="R40" s="6"/>
      <c r="S40" s="6"/>
      <c r="T40" s="6"/>
      <c r="U40" s="6"/>
      <c r="V40" s="6"/>
      <c r="W40" s="6"/>
      <c r="X40" s="6"/>
      <c r="Y40" s="6"/>
      <c r="Z40" s="6"/>
      <c r="AA40" s="6"/>
      <c r="AB40" s="6"/>
      <c r="AC40" s="6"/>
    </row>
    <row r="41" spans="1:29" s="2" customFormat="1" x14ac:dyDescent="0.15">
      <c r="A41" s="158">
        <v>37705</v>
      </c>
      <c r="B41" s="18" t="s">
        <v>66</v>
      </c>
      <c r="C41" s="19"/>
      <c r="D41" s="19"/>
      <c r="E41" s="19"/>
      <c r="F41" s="19"/>
      <c r="G41" s="19"/>
      <c r="H41" s="19"/>
      <c r="I41" s="28"/>
      <c r="J41" s="28"/>
      <c r="K41" s="19"/>
      <c r="L41" s="9"/>
      <c r="M41" s="7"/>
      <c r="N41" s="7"/>
      <c r="O41" s="7"/>
      <c r="P41" s="7"/>
      <c r="Q41" s="6"/>
      <c r="R41" s="6"/>
      <c r="S41" s="6"/>
      <c r="T41" s="6"/>
      <c r="U41" s="6"/>
      <c r="V41" s="6"/>
      <c r="W41" s="6"/>
      <c r="X41" s="6"/>
      <c r="Y41" s="6"/>
      <c r="Z41" s="6"/>
      <c r="AA41" s="6"/>
      <c r="AB41" s="6"/>
      <c r="AC41" s="6"/>
    </row>
    <row r="42" spans="1:29" s="2" customFormat="1" x14ac:dyDescent="0.15">
      <c r="A42" s="158">
        <v>37707</v>
      </c>
      <c r="B42" s="18" t="s">
        <v>77</v>
      </c>
      <c r="C42" s="19"/>
      <c r="D42" s="19"/>
      <c r="E42" s="19"/>
      <c r="F42" s="19"/>
      <c r="G42" s="19"/>
      <c r="H42" s="19"/>
      <c r="I42" s="28"/>
      <c r="J42" s="28"/>
      <c r="K42" s="19"/>
      <c r="L42" s="9"/>
      <c r="M42" s="7"/>
      <c r="N42" s="7"/>
      <c r="O42" s="7"/>
      <c r="P42" s="7"/>
      <c r="Q42" s="6"/>
      <c r="R42" s="6"/>
      <c r="S42" s="6"/>
      <c r="T42" s="6"/>
      <c r="U42" s="6"/>
      <c r="V42" s="6"/>
      <c r="W42" s="6"/>
      <c r="X42" s="6"/>
      <c r="Y42" s="6"/>
      <c r="Z42" s="6"/>
      <c r="AA42" s="6"/>
      <c r="AB42" s="6"/>
      <c r="AC42" s="6"/>
    </row>
    <row r="43" spans="1:29" s="2" customFormat="1" x14ac:dyDescent="0.15">
      <c r="A43" s="158">
        <v>37727</v>
      </c>
      <c r="B43" s="18" t="s">
        <v>76</v>
      </c>
      <c r="C43" s="19"/>
      <c r="D43" s="19"/>
      <c r="E43" s="19"/>
      <c r="F43" s="19"/>
      <c r="G43" s="19"/>
      <c r="H43" s="19"/>
      <c r="I43" s="28"/>
      <c r="J43" s="28"/>
      <c r="K43" s="19"/>
      <c r="L43" s="9"/>
      <c r="M43" s="7"/>
      <c r="N43" s="7"/>
      <c r="O43" s="7"/>
      <c r="P43" s="7"/>
      <c r="Q43" s="6"/>
      <c r="R43" s="6"/>
      <c r="S43" s="6"/>
      <c r="T43" s="6"/>
      <c r="U43" s="6"/>
      <c r="V43" s="6"/>
      <c r="W43" s="6"/>
      <c r="X43" s="6"/>
      <c r="Y43" s="6"/>
      <c r="Z43" s="6"/>
      <c r="AA43" s="6"/>
      <c r="AB43" s="6"/>
      <c r="AC43" s="6"/>
    </row>
    <row r="44" spans="1:29" s="2" customFormat="1" x14ac:dyDescent="0.15">
      <c r="A44" s="158">
        <v>37732</v>
      </c>
      <c r="B44" s="18" t="s">
        <v>75</v>
      </c>
      <c r="C44" s="19"/>
      <c r="D44" s="19"/>
      <c r="E44" s="19"/>
      <c r="F44" s="19"/>
      <c r="G44" s="19"/>
      <c r="H44" s="19"/>
      <c r="I44" s="28"/>
      <c r="J44" s="28"/>
      <c r="K44" s="19"/>
      <c r="L44" s="9"/>
      <c r="M44" s="7"/>
      <c r="N44" s="7"/>
      <c r="O44" s="7"/>
      <c r="P44" s="7"/>
      <c r="Q44" s="6"/>
      <c r="R44" s="6"/>
      <c r="S44" s="6"/>
      <c r="T44" s="6"/>
      <c r="U44" s="6"/>
      <c r="V44" s="6"/>
      <c r="W44" s="6"/>
      <c r="X44" s="6"/>
      <c r="Y44" s="6"/>
      <c r="Z44" s="6"/>
      <c r="AA44" s="6"/>
      <c r="AB44" s="6"/>
      <c r="AC44" s="6"/>
    </row>
    <row r="45" spans="1:29" s="2" customFormat="1" x14ac:dyDescent="0.15">
      <c r="A45" s="158">
        <v>37739</v>
      </c>
      <c r="B45" s="18" t="s">
        <v>97</v>
      </c>
      <c r="C45" s="19"/>
      <c r="D45" s="19"/>
      <c r="E45" s="19"/>
      <c r="F45" s="19"/>
      <c r="G45" s="19"/>
      <c r="H45" s="19"/>
      <c r="I45" s="28"/>
      <c r="J45" s="28"/>
      <c r="K45" s="19"/>
      <c r="L45" s="9"/>
      <c r="M45" s="7"/>
      <c r="N45" s="7"/>
      <c r="O45" s="7"/>
      <c r="P45" s="7"/>
      <c r="Q45" s="6"/>
      <c r="R45" s="6"/>
      <c r="S45" s="6"/>
      <c r="T45" s="6"/>
      <c r="U45" s="6"/>
      <c r="V45" s="6"/>
      <c r="W45" s="6"/>
      <c r="X45" s="6"/>
      <c r="Y45" s="6"/>
      <c r="Z45" s="6"/>
      <c r="AA45" s="6"/>
      <c r="AB45" s="6"/>
      <c r="AC45" s="6"/>
    </row>
    <row r="46" spans="1:29" s="2" customFormat="1" x14ac:dyDescent="0.15">
      <c r="A46" s="158">
        <v>37739</v>
      </c>
      <c r="B46" s="18" t="s">
        <v>135</v>
      </c>
      <c r="C46" s="19"/>
      <c r="D46" s="19"/>
      <c r="E46" s="19"/>
      <c r="F46" s="19"/>
      <c r="G46" s="19"/>
      <c r="H46" s="19"/>
      <c r="I46" s="28"/>
      <c r="J46" s="28"/>
      <c r="K46" s="19"/>
      <c r="L46" s="9"/>
      <c r="M46" s="7"/>
      <c r="N46" s="7"/>
      <c r="O46" s="7"/>
      <c r="P46" s="7"/>
      <c r="Q46" s="6"/>
      <c r="R46" s="6"/>
      <c r="S46" s="6"/>
      <c r="T46" s="6"/>
      <c r="U46" s="6"/>
      <c r="V46" s="6"/>
      <c r="W46" s="6"/>
      <c r="X46" s="6"/>
      <c r="Y46" s="6"/>
      <c r="Z46" s="6"/>
      <c r="AA46" s="6"/>
      <c r="AB46" s="6"/>
      <c r="AC46" s="6"/>
    </row>
    <row r="47" spans="1:29" s="5" customFormat="1" ht="12" customHeight="1" x14ac:dyDescent="0.15">
      <c r="A47" s="159">
        <v>37987</v>
      </c>
      <c r="B47" s="5" t="s">
        <v>136</v>
      </c>
      <c r="C47" s="20"/>
      <c r="D47" s="20"/>
      <c r="E47" s="20"/>
      <c r="F47" s="20"/>
      <c r="G47" s="20"/>
      <c r="H47" s="20"/>
      <c r="I47" s="29"/>
      <c r="J47" s="29"/>
      <c r="K47" s="20"/>
      <c r="L47" s="10"/>
      <c r="M47" s="7"/>
      <c r="N47" s="7"/>
      <c r="O47" s="7"/>
      <c r="P47" s="7"/>
      <c r="Q47" s="7"/>
      <c r="R47" s="7"/>
      <c r="S47" s="7"/>
      <c r="T47" s="7"/>
      <c r="U47" s="7"/>
      <c r="V47" s="7"/>
      <c r="W47" s="7"/>
      <c r="X47" s="7"/>
      <c r="Y47" s="7"/>
      <c r="Z47" s="7"/>
      <c r="AA47" s="7"/>
      <c r="AB47" s="7"/>
      <c r="AC47" s="7"/>
    </row>
    <row r="48" spans="1:29" s="5" customFormat="1" ht="12" customHeight="1" x14ac:dyDescent="0.15">
      <c r="A48" s="159">
        <v>38047</v>
      </c>
      <c r="B48" s="5" t="s">
        <v>138</v>
      </c>
      <c r="C48" s="20"/>
      <c r="D48" s="20"/>
      <c r="E48" s="20"/>
      <c r="F48" s="20"/>
      <c r="G48" s="20"/>
      <c r="H48" s="20"/>
      <c r="I48" s="29"/>
      <c r="J48" s="29"/>
      <c r="K48" s="20"/>
      <c r="L48" s="10"/>
      <c r="M48" s="7"/>
      <c r="N48" s="7"/>
      <c r="O48" s="7"/>
      <c r="P48" s="7"/>
      <c r="Q48" s="7"/>
      <c r="R48" s="7"/>
      <c r="S48" s="7"/>
      <c r="T48" s="7"/>
      <c r="U48" s="7"/>
      <c r="V48" s="7"/>
      <c r="W48" s="7"/>
      <c r="X48" s="7"/>
      <c r="Y48" s="7"/>
      <c r="Z48" s="7"/>
      <c r="AA48" s="7"/>
      <c r="AB48" s="7"/>
      <c r="AC48" s="7"/>
    </row>
    <row r="49" spans="1:29" s="5" customFormat="1" ht="12" customHeight="1" x14ac:dyDescent="0.15">
      <c r="A49" s="159">
        <v>38078</v>
      </c>
      <c r="B49" s="5" t="s">
        <v>6468</v>
      </c>
      <c r="C49" s="20"/>
      <c r="D49" s="20"/>
      <c r="E49" s="20"/>
      <c r="F49" s="20"/>
      <c r="G49" s="20"/>
      <c r="H49" s="20"/>
      <c r="I49" s="29"/>
      <c r="J49" s="29"/>
      <c r="K49" s="20"/>
      <c r="L49" s="10"/>
      <c r="M49" s="7"/>
      <c r="N49" s="7"/>
      <c r="O49" s="7"/>
      <c r="P49" s="7"/>
      <c r="Q49" s="7"/>
      <c r="R49" s="7"/>
      <c r="S49" s="7"/>
      <c r="T49" s="7"/>
      <c r="U49" s="7"/>
      <c r="V49" s="7"/>
      <c r="W49" s="7"/>
      <c r="X49" s="7"/>
      <c r="Y49" s="7"/>
      <c r="Z49" s="7"/>
      <c r="AA49" s="7"/>
      <c r="AB49" s="7"/>
      <c r="AC49" s="7"/>
    </row>
    <row r="50" spans="1:29" s="5" customFormat="1" ht="12" customHeight="1" x14ac:dyDescent="0.15">
      <c r="A50" s="159">
        <v>38108</v>
      </c>
      <c r="B50" s="5" t="s">
        <v>104</v>
      </c>
      <c r="C50" s="20"/>
      <c r="D50" s="20"/>
      <c r="E50" s="20"/>
      <c r="F50" s="20"/>
      <c r="G50" s="20"/>
      <c r="H50" s="20"/>
      <c r="I50" s="29"/>
      <c r="J50" s="29"/>
      <c r="K50" s="20"/>
      <c r="L50" s="10"/>
      <c r="M50" s="7"/>
      <c r="N50" s="7"/>
      <c r="O50" s="7"/>
      <c r="P50" s="7"/>
      <c r="Q50" s="7"/>
      <c r="R50" s="7"/>
      <c r="S50" s="7"/>
      <c r="T50" s="7"/>
      <c r="U50" s="7"/>
      <c r="V50" s="7"/>
      <c r="W50" s="7"/>
      <c r="X50" s="7"/>
      <c r="Y50" s="7"/>
      <c r="Z50" s="7"/>
      <c r="AA50" s="7"/>
      <c r="AB50" s="7"/>
      <c r="AC50" s="7"/>
    </row>
    <row r="51" spans="1:29" s="5" customFormat="1" ht="12" customHeight="1" x14ac:dyDescent="0.15">
      <c r="A51" s="159">
        <v>38108</v>
      </c>
      <c r="B51" s="5" t="s">
        <v>137</v>
      </c>
      <c r="C51" s="20"/>
      <c r="D51" s="20"/>
      <c r="E51" s="20"/>
      <c r="F51" s="20"/>
      <c r="G51" s="20"/>
      <c r="H51" s="20"/>
      <c r="I51" s="29"/>
      <c r="J51" s="29"/>
      <c r="K51" s="20"/>
      <c r="L51" s="10"/>
      <c r="M51" s="7"/>
      <c r="N51" s="7"/>
      <c r="O51" s="7"/>
      <c r="P51" s="7"/>
      <c r="Q51" s="7"/>
      <c r="R51" s="7"/>
      <c r="S51" s="7"/>
      <c r="T51" s="7"/>
      <c r="U51" s="7"/>
      <c r="V51" s="7"/>
      <c r="W51" s="7"/>
      <c r="X51" s="7"/>
      <c r="Y51" s="7"/>
      <c r="Z51" s="7"/>
      <c r="AA51" s="7"/>
      <c r="AB51" s="7"/>
      <c r="AC51" s="7"/>
    </row>
    <row r="52" spans="1:29" s="5" customFormat="1" ht="12" customHeight="1" x14ac:dyDescent="0.15">
      <c r="A52" s="159">
        <v>38159</v>
      </c>
      <c r="B52" s="5" t="s">
        <v>105</v>
      </c>
      <c r="C52" s="20"/>
      <c r="D52" s="20"/>
      <c r="E52" s="20"/>
      <c r="F52" s="20"/>
      <c r="G52" s="20"/>
      <c r="H52" s="20"/>
      <c r="I52" s="29"/>
      <c r="J52" s="29"/>
      <c r="K52" s="20"/>
      <c r="L52" s="10"/>
      <c r="M52" s="7"/>
      <c r="N52" s="7"/>
      <c r="O52" s="7"/>
      <c r="P52" s="7"/>
      <c r="Q52" s="7"/>
      <c r="R52" s="7"/>
      <c r="S52" s="7"/>
      <c r="T52" s="7"/>
      <c r="U52" s="7"/>
      <c r="V52" s="7"/>
      <c r="W52" s="7"/>
      <c r="X52" s="7"/>
      <c r="Y52" s="7"/>
      <c r="Z52" s="7"/>
      <c r="AA52" s="7"/>
      <c r="AB52" s="7"/>
      <c r="AC52" s="7"/>
    </row>
    <row r="53" spans="1:29" s="5" customFormat="1" ht="12" customHeight="1" x14ac:dyDescent="0.15">
      <c r="A53" s="159">
        <v>38160</v>
      </c>
      <c r="B53" s="5" t="s">
        <v>106</v>
      </c>
      <c r="C53" s="20"/>
      <c r="D53" s="20"/>
      <c r="E53" s="20"/>
      <c r="F53" s="20"/>
      <c r="G53" s="20"/>
      <c r="H53" s="20"/>
      <c r="I53" s="29"/>
      <c r="J53" s="29"/>
      <c r="K53" s="20"/>
      <c r="L53" s="10"/>
      <c r="M53" s="7"/>
      <c r="N53" s="7"/>
      <c r="O53" s="7"/>
      <c r="P53" s="7"/>
      <c r="Q53" s="7"/>
      <c r="R53" s="7"/>
      <c r="S53" s="7"/>
      <c r="T53" s="7"/>
      <c r="U53" s="7"/>
      <c r="V53" s="7"/>
      <c r="W53" s="7"/>
      <c r="X53" s="7"/>
      <c r="Y53" s="7"/>
      <c r="Z53" s="7"/>
      <c r="AA53" s="7"/>
      <c r="AB53" s="7"/>
      <c r="AC53" s="7"/>
    </row>
    <row r="54" spans="1:29" s="5" customFormat="1" ht="12" customHeight="1" x14ac:dyDescent="0.15">
      <c r="A54" s="159">
        <v>38169</v>
      </c>
      <c r="B54" s="5" t="s">
        <v>1873</v>
      </c>
      <c r="C54" s="20"/>
      <c r="D54" s="20"/>
      <c r="E54" s="20"/>
      <c r="F54" s="20"/>
      <c r="G54" s="20"/>
      <c r="H54" s="20"/>
      <c r="I54" s="29"/>
      <c r="J54" s="29"/>
      <c r="K54" s="20"/>
      <c r="L54" s="10"/>
      <c r="M54" s="7"/>
      <c r="N54" s="7"/>
      <c r="O54" s="7"/>
      <c r="P54" s="7"/>
      <c r="Q54" s="7"/>
      <c r="R54" s="7"/>
      <c r="S54" s="7"/>
      <c r="T54" s="7"/>
      <c r="U54" s="7"/>
      <c r="V54" s="7"/>
      <c r="W54" s="7"/>
      <c r="X54" s="7"/>
      <c r="Y54" s="7"/>
      <c r="Z54" s="7"/>
      <c r="AA54" s="7"/>
      <c r="AB54" s="7"/>
      <c r="AC54" s="7"/>
    </row>
    <row r="55" spans="1:29" s="5" customFormat="1" ht="12" customHeight="1" x14ac:dyDescent="0.15">
      <c r="A55" s="159">
        <v>38211</v>
      </c>
      <c r="B55" s="5" t="s">
        <v>107</v>
      </c>
      <c r="C55" s="20"/>
      <c r="D55" s="20"/>
      <c r="E55" s="20"/>
      <c r="F55" s="20"/>
      <c r="G55" s="20"/>
      <c r="H55" s="20"/>
      <c r="I55" s="29"/>
      <c r="J55" s="29"/>
      <c r="K55" s="20"/>
      <c r="L55" s="10"/>
      <c r="M55" s="7"/>
      <c r="N55" s="7"/>
      <c r="O55" s="7"/>
      <c r="P55" s="7"/>
      <c r="Q55" s="7"/>
      <c r="R55" s="7"/>
      <c r="S55" s="7"/>
      <c r="T55" s="7"/>
      <c r="U55" s="7"/>
      <c r="V55" s="7"/>
      <c r="W55" s="7"/>
      <c r="X55" s="7"/>
      <c r="Y55" s="7"/>
      <c r="Z55" s="7"/>
      <c r="AA55" s="7"/>
      <c r="AB55" s="7"/>
      <c r="AC55" s="7"/>
    </row>
    <row r="56" spans="1:29" s="5" customFormat="1" ht="12" customHeight="1" x14ac:dyDescent="0.15">
      <c r="A56" s="159">
        <v>38212</v>
      </c>
      <c r="B56" s="5" t="s">
        <v>108</v>
      </c>
      <c r="C56" s="20"/>
      <c r="D56" s="20"/>
      <c r="E56" s="20"/>
      <c r="F56" s="20"/>
      <c r="G56" s="20"/>
      <c r="H56" s="20"/>
      <c r="I56" s="29"/>
      <c r="J56" s="29"/>
      <c r="K56" s="20"/>
      <c r="L56" s="10"/>
      <c r="M56" s="7"/>
      <c r="N56" s="7"/>
      <c r="O56" s="7"/>
      <c r="P56" s="7"/>
      <c r="Q56" s="7"/>
      <c r="R56" s="7"/>
      <c r="S56" s="7"/>
      <c r="T56" s="7"/>
      <c r="U56" s="7"/>
      <c r="V56" s="7"/>
      <c r="W56" s="7"/>
      <c r="X56" s="7"/>
      <c r="Y56" s="7"/>
      <c r="Z56" s="7"/>
      <c r="AA56" s="7"/>
      <c r="AB56" s="7"/>
      <c r="AC56" s="7"/>
    </row>
    <row r="57" spans="1:29" s="5" customFormat="1" ht="12" customHeight="1" x14ac:dyDescent="0.15">
      <c r="A57" s="159">
        <v>38279</v>
      </c>
      <c r="B57" s="5" t="s">
        <v>43</v>
      </c>
      <c r="C57" s="20"/>
      <c r="D57" s="20"/>
      <c r="E57" s="20"/>
      <c r="F57" s="20"/>
      <c r="G57" s="20"/>
      <c r="H57" s="20"/>
      <c r="I57" s="29"/>
      <c r="J57" s="29"/>
      <c r="K57" s="20"/>
      <c r="L57" s="10"/>
      <c r="M57" s="7"/>
      <c r="N57" s="7"/>
      <c r="O57" s="7"/>
      <c r="P57" s="7"/>
      <c r="Q57" s="7"/>
      <c r="R57" s="7"/>
      <c r="S57" s="7"/>
      <c r="T57" s="7"/>
      <c r="U57" s="7"/>
      <c r="V57" s="7"/>
      <c r="W57" s="7"/>
      <c r="X57" s="7"/>
      <c r="Y57" s="7"/>
      <c r="Z57" s="7"/>
      <c r="AA57" s="7"/>
      <c r="AB57" s="7"/>
      <c r="AC57" s="7"/>
    </row>
    <row r="58" spans="1:29" s="5" customFormat="1" ht="12" customHeight="1" x14ac:dyDescent="0.15">
      <c r="A58" s="159">
        <v>38285</v>
      </c>
      <c r="B58" s="5" t="s">
        <v>103</v>
      </c>
      <c r="C58" s="20"/>
      <c r="D58" s="20"/>
      <c r="E58" s="20"/>
      <c r="F58" s="20"/>
      <c r="G58" s="20"/>
      <c r="H58" s="20"/>
      <c r="I58" s="29"/>
      <c r="J58" s="29"/>
      <c r="K58" s="20"/>
      <c r="L58" s="10"/>
      <c r="M58" s="7"/>
      <c r="N58" s="7"/>
      <c r="O58" s="7"/>
      <c r="P58" s="7"/>
      <c r="Q58" s="7"/>
      <c r="R58" s="7"/>
      <c r="S58" s="7"/>
      <c r="T58" s="7"/>
      <c r="U58" s="7"/>
      <c r="V58" s="7"/>
      <c r="W58" s="7"/>
      <c r="X58" s="7"/>
      <c r="Y58" s="7"/>
      <c r="Z58" s="7"/>
      <c r="AA58" s="7"/>
      <c r="AB58" s="7"/>
      <c r="AC58" s="7"/>
    </row>
    <row r="59" spans="1:29" s="5" customFormat="1" ht="12" customHeight="1" x14ac:dyDescent="0.15">
      <c r="A59" s="159">
        <v>38287</v>
      </c>
      <c r="B59" s="5" t="s">
        <v>102</v>
      </c>
      <c r="C59" s="20"/>
      <c r="D59" s="20"/>
      <c r="E59" s="20"/>
      <c r="F59" s="20"/>
      <c r="G59" s="20"/>
      <c r="H59" s="20"/>
      <c r="I59" s="29"/>
      <c r="J59" s="29"/>
      <c r="K59" s="20"/>
      <c r="L59" s="10"/>
      <c r="M59" s="7"/>
      <c r="N59" s="7"/>
      <c r="O59" s="7"/>
      <c r="P59" s="7"/>
      <c r="Q59" s="7"/>
      <c r="R59" s="7"/>
      <c r="S59" s="7"/>
      <c r="T59" s="7"/>
      <c r="U59" s="7"/>
      <c r="V59" s="7"/>
      <c r="W59" s="7"/>
      <c r="X59" s="7"/>
      <c r="Y59" s="7"/>
      <c r="Z59" s="7"/>
      <c r="AA59" s="7"/>
      <c r="AB59" s="7"/>
      <c r="AC59" s="7"/>
    </row>
    <row r="60" spans="1:29" s="5" customFormat="1" x14ac:dyDescent="0.15">
      <c r="A60" s="159">
        <v>38292</v>
      </c>
      <c r="B60" s="5" t="s">
        <v>100</v>
      </c>
      <c r="C60" s="20"/>
      <c r="D60" s="20"/>
      <c r="E60" s="20"/>
      <c r="F60" s="20"/>
      <c r="G60" s="20"/>
      <c r="H60" s="20"/>
      <c r="I60" s="29"/>
      <c r="J60" s="29"/>
      <c r="K60" s="20"/>
      <c r="L60" s="10"/>
      <c r="M60" s="7"/>
      <c r="N60" s="7"/>
      <c r="O60" s="7"/>
      <c r="P60" s="7"/>
      <c r="Q60" s="7"/>
      <c r="R60" s="7"/>
      <c r="S60" s="7"/>
      <c r="T60" s="7"/>
      <c r="U60" s="7"/>
      <c r="V60" s="7"/>
      <c r="W60" s="7"/>
      <c r="X60" s="7"/>
      <c r="Y60" s="7"/>
      <c r="Z60" s="7"/>
      <c r="AA60" s="7"/>
      <c r="AB60" s="7"/>
      <c r="AC60" s="7"/>
    </row>
    <row r="61" spans="1:29" s="5" customFormat="1" x14ac:dyDescent="0.15">
      <c r="A61" s="159">
        <v>38306</v>
      </c>
      <c r="B61" s="5" t="s">
        <v>101</v>
      </c>
      <c r="C61" s="20"/>
      <c r="D61" s="20"/>
      <c r="E61" s="20"/>
      <c r="F61" s="20"/>
      <c r="G61" s="20"/>
      <c r="H61" s="20"/>
      <c r="I61" s="29"/>
      <c r="J61" s="29"/>
      <c r="K61" s="20"/>
      <c r="L61" s="10"/>
      <c r="M61" s="7"/>
      <c r="N61" s="7"/>
      <c r="O61" s="7"/>
      <c r="P61" s="7"/>
      <c r="Q61" s="7"/>
      <c r="R61" s="7"/>
      <c r="S61" s="7"/>
      <c r="T61" s="7"/>
      <c r="U61" s="7"/>
      <c r="V61" s="7"/>
      <c r="W61" s="7"/>
      <c r="X61" s="7"/>
      <c r="Y61" s="7"/>
      <c r="Z61" s="7"/>
      <c r="AA61" s="7"/>
      <c r="AB61" s="7"/>
      <c r="AC61" s="7"/>
    </row>
    <row r="62" spans="1:29" s="5" customFormat="1" ht="12" customHeight="1" x14ac:dyDescent="0.15">
      <c r="A62" s="159">
        <v>38383</v>
      </c>
      <c r="B62" s="5" t="s">
        <v>99</v>
      </c>
      <c r="C62" s="20"/>
      <c r="D62" s="20"/>
      <c r="E62" s="20"/>
      <c r="F62" s="20"/>
      <c r="G62" s="20"/>
      <c r="H62" s="20"/>
      <c r="I62" s="29"/>
      <c r="J62" s="29"/>
      <c r="K62" s="20"/>
      <c r="L62" s="10"/>
      <c r="M62" s="7"/>
      <c r="N62" s="7"/>
      <c r="O62" s="7"/>
      <c r="P62" s="7"/>
      <c r="Q62" s="7"/>
      <c r="R62" s="7"/>
      <c r="S62" s="7"/>
      <c r="T62" s="7"/>
      <c r="U62" s="7"/>
      <c r="V62" s="7"/>
      <c r="W62" s="7"/>
      <c r="X62" s="7"/>
      <c r="Y62" s="7"/>
      <c r="Z62" s="7"/>
      <c r="AA62" s="7"/>
      <c r="AB62" s="7"/>
      <c r="AC62" s="7"/>
    </row>
    <row r="63" spans="1:29" s="5" customFormat="1" ht="12" customHeight="1" x14ac:dyDescent="0.15">
      <c r="A63" s="159">
        <v>38455</v>
      </c>
      <c r="B63" s="5" t="s">
        <v>165</v>
      </c>
      <c r="C63" s="20"/>
      <c r="D63" s="20"/>
      <c r="E63" s="20"/>
      <c r="F63" s="20"/>
      <c r="G63" s="20"/>
      <c r="H63" s="20"/>
      <c r="I63" s="29"/>
      <c r="J63" s="29"/>
      <c r="K63" s="20"/>
      <c r="L63" s="10"/>
      <c r="M63" s="7"/>
      <c r="N63" s="7"/>
      <c r="O63" s="7"/>
      <c r="P63" s="7"/>
      <c r="Q63" s="7"/>
      <c r="R63" s="7"/>
      <c r="S63" s="7"/>
      <c r="T63" s="7"/>
      <c r="U63" s="7"/>
      <c r="V63" s="7"/>
      <c r="W63" s="7"/>
      <c r="X63" s="7"/>
      <c r="Y63" s="7"/>
      <c r="Z63" s="7"/>
      <c r="AA63" s="7"/>
      <c r="AB63" s="7"/>
      <c r="AC63" s="7"/>
    </row>
    <row r="64" spans="1:29" s="5" customFormat="1" ht="12" customHeight="1" x14ac:dyDescent="0.15">
      <c r="A64" s="159">
        <v>38455</v>
      </c>
      <c r="B64" s="5" t="s">
        <v>98</v>
      </c>
      <c r="C64" s="20"/>
      <c r="D64" s="20"/>
      <c r="E64" s="20"/>
      <c r="F64" s="20"/>
      <c r="G64" s="20"/>
      <c r="H64" s="20"/>
      <c r="I64" s="29"/>
      <c r="J64" s="29"/>
      <c r="K64" s="20"/>
      <c r="L64" s="10"/>
      <c r="M64" s="7"/>
      <c r="N64" s="7"/>
      <c r="O64" s="7"/>
      <c r="P64" s="7"/>
      <c r="Q64" s="7"/>
      <c r="R64" s="7"/>
      <c r="S64" s="7"/>
      <c r="T64" s="7"/>
      <c r="U64" s="7"/>
      <c r="V64" s="7"/>
      <c r="W64" s="7"/>
      <c r="X64" s="7"/>
      <c r="Y64" s="7"/>
      <c r="Z64" s="7"/>
      <c r="AA64" s="7"/>
      <c r="AB64" s="7"/>
      <c r="AC64" s="7"/>
    </row>
    <row r="65" spans="1:29" s="5" customFormat="1" ht="12" customHeight="1" x14ac:dyDescent="0.15">
      <c r="A65" s="159">
        <v>38488</v>
      </c>
      <c r="B65" s="5" t="s">
        <v>164</v>
      </c>
      <c r="C65" s="20"/>
      <c r="D65" s="20"/>
      <c r="E65" s="20"/>
      <c r="F65" s="20"/>
      <c r="G65" s="20"/>
      <c r="H65" s="20"/>
      <c r="I65" s="29"/>
      <c r="J65" s="29"/>
      <c r="K65" s="20"/>
      <c r="L65" s="10"/>
      <c r="M65" s="7"/>
      <c r="N65" s="7"/>
      <c r="O65" s="7"/>
      <c r="P65" s="7"/>
      <c r="Q65" s="7"/>
      <c r="R65" s="7"/>
      <c r="S65" s="7"/>
      <c r="T65" s="7"/>
      <c r="U65" s="7"/>
      <c r="V65" s="7"/>
      <c r="W65" s="7"/>
      <c r="X65" s="7"/>
      <c r="Y65" s="7"/>
      <c r="Z65" s="7"/>
      <c r="AA65" s="7"/>
      <c r="AB65" s="7"/>
      <c r="AC65" s="7"/>
    </row>
    <row r="66" spans="1:29" s="5" customFormat="1" ht="12.75" customHeight="1" x14ac:dyDescent="0.15">
      <c r="A66" s="159">
        <v>38531</v>
      </c>
      <c r="B66" s="5" t="s">
        <v>110</v>
      </c>
      <c r="C66" s="20"/>
      <c r="D66" s="20"/>
      <c r="E66" s="20"/>
      <c r="F66" s="20"/>
      <c r="G66" s="20"/>
      <c r="H66" s="20"/>
      <c r="I66" s="29"/>
      <c r="J66" s="29"/>
      <c r="K66" s="20"/>
      <c r="L66" s="10"/>
      <c r="M66" s="7"/>
      <c r="N66" s="7"/>
      <c r="O66" s="7"/>
      <c r="P66" s="7"/>
      <c r="Q66" s="7"/>
      <c r="R66" s="7"/>
      <c r="S66" s="7"/>
      <c r="T66" s="7"/>
      <c r="U66" s="7"/>
      <c r="V66" s="7"/>
      <c r="W66" s="7"/>
      <c r="X66" s="7"/>
      <c r="Y66" s="7"/>
      <c r="Z66" s="7"/>
      <c r="AA66" s="7"/>
      <c r="AB66" s="7"/>
      <c r="AC66" s="7"/>
    </row>
    <row r="67" spans="1:29" s="5" customFormat="1" ht="12.75" customHeight="1" x14ac:dyDescent="0.15">
      <c r="A67" s="159">
        <v>38531</v>
      </c>
      <c r="B67" s="5" t="s">
        <v>112</v>
      </c>
      <c r="C67" s="20"/>
      <c r="D67" s="20"/>
      <c r="E67" s="20"/>
      <c r="F67" s="20"/>
      <c r="G67" s="20"/>
      <c r="H67" s="20"/>
      <c r="I67" s="29"/>
      <c r="J67" s="29"/>
      <c r="K67" s="20"/>
      <c r="L67" s="10"/>
      <c r="M67" s="7"/>
      <c r="N67" s="7"/>
      <c r="O67" s="7"/>
      <c r="P67" s="7"/>
      <c r="Q67" s="7"/>
      <c r="R67" s="7"/>
      <c r="S67" s="7"/>
      <c r="T67" s="7"/>
      <c r="U67" s="7"/>
      <c r="V67" s="7"/>
      <c r="W67" s="7"/>
      <c r="X67" s="7"/>
      <c r="Y67" s="7"/>
      <c r="Z67" s="7"/>
      <c r="AA67" s="7"/>
      <c r="AB67" s="7"/>
      <c r="AC67" s="7"/>
    </row>
    <row r="68" spans="1:29" s="5" customFormat="1" ht="12.75" customHeight="1" x14ac:dyDescent="0.15">
      <c r="A68" s="159">
        <v>38531</v>
      </c>
      <c r="B68" s="5" t="s">
        <v>161</v>
      </c>
      <c r="C68" s="20"/>
      <c r="D68" s="20"/>
      <c r="E68" s="20"/>
      <c r="F68" s="20"/>
      <c r="G68" s="20"/>
      <c r="H68" s="20"/>
      <c r="I68" s="29"/>
      <c r="J68" s="29"/>
      <c r="K68" s="20"/>
      <c r="L68" s="10"/>
      <c r="M68" s="7"/>
      <c r="N68" s="7"/>
      <c r="O68" s="7"/>
      <c r="P68" s="7"/>
      <c r="Q68" s="7"/>
      <c r="R68" s="7"/>
      <c r="S68" s="7"/>
      <c r="T68" s="7"/>
      <c r="U68" s="7"/>
      <c r="V68" s="7"/>
      <c r="W68" s="7"/>
      <c r="X68" s="7"/>
      <c r="Y68" s="7"/>
      <c r="Z68" s="7"/>
      <c r="AA68" s="7"/>
      <c r="AB68" s="7"/>
      <c r="AC68" s="7"/>
    </row>
    <row r="69" spans="1:29" s="5" customFormat="1" ht="12.75" customHeight="1" x14ac:dyDescent="0.15">
      <c r="A69" s="159">
        <v>38531</v>
      </c>
      <c r="B69" s="5" t="s">
        <v>111</v>
      </c>
      <c r="C69" s="20"/>
      <c r="D69" s="20"/>
      <c r="E69" s="20"/>
      <c r="F69" s="20"/>
      <c r="G69" s="20"/>
      <c r="H69" s="20"/>
      <c r="I69" s="29"/>
      <c r="J69" s="29"/>
      <c r="K69" s="20"/>
      <c r="L69" s="10"/>
      <c r="M69" s="7"/>
      <c r="N69" s="7"/>
      <c r="O69" s="7"/>
      <c r="P69" s="7"/>
      <c r="Q69" s="7"/>
      <c r="R69" s="7"/>
      <c r="S69" s="7"/>
      <c r="T69" s="7"/>
      <c r="U69" s="7"/>
      <c r="V69" s="7"/>
      <c r="W69" s="7"/>
      <c r="X69" s="7"/>
      <c r="Y69" s="7"/>
      <c r="Z69" s="7"/>
      <c r="AA69" s="7"/>
      <c r="AB69" s="7"/>
      <c r="AC69" s="7"/>
    </row>
    <row r="70" spans="1:29" s="5" customFormat="1" ht="12.75" customHeight="1" x14ac:dyDescent="0.15">
      <c r="A70" s="159">
        <v>38532</v>
      </c>
      <c r="B70" s="5" t="s">
        <v>163</v>
      </c>
      <c r="C70" s="20"/>
      <c r="D70" s="20"/>
      <c r="E70" s="20"/>
      <c r="F70" s="20"/>
      <c r="G70" s="20"/>
      <c r="H70" s="20"/>
      <c r="I70" s="29"/>
      <c r="J70" s="29"/>
      <c r="K70" s="20"/>
      <c r="L70" s="10"/>
      <c r="M70" s="7"/>
      <c r="N70" s="7"/>
      <c r="O70" s="7"/>
      <c r="P70" s="7"/>
      <c r="Q70" s="7"/>
      <c r="R70" s="7"/>
      <c r="S70" s="7"/>
      <c r="T70" s="7"/>
      <c r="U70" s="7"/>
      <c r="V70" s="7"/>
      <c r="W70" s="7"/>
      <c r="X70" s="7"/>
      <c r="Y70" s="7"/>
      <c r="Z70" s="7"/>
      <c r="AA70" s="7"/>
      <c r="AB70" s="7"/>
      <c r="AC70" s="7"/>
    </row>
    <row r="71" spans="1:29" s="5" customFormat="1" ht="12.75" customHeight="1" x14ac:dyDescent="0.15">
      <c r="A71" s="159">
        <v>38533</v>
      </c>
      <c r="B71" s="5" t="s">
        <v>162</v>
      </c>
      <c r="C71" s="20"/>
      <c r="D71" s="20"/>
      <c r="E71" s="20"/>
      <c r="F71" s="20"/>
      <c r="G71" s="20"/>
      <c r="H71" s="20"/>
      <c r="I71" s="29"/>
      <c r="J71" s="29"/>
      <c r="K71" s="20"/>
      <c r="L71" s="10"/>
      <c r="M71" s="7"/>
      <c r="N71" s="7"/>
      <c r="O71" s="7"/>
      <c r="P71" s="7"/>
      <c r="Q71" s="7"/>
      <c r="R71" s="7"/>
      <c r="S71" s="7"/>
      <c r="T71" s="7"/>
      <c r="U71" s="7"/>
      <c r="V71" s="7"/>
      <c r="W71" s="7"/>
      <c r="X71" s="7"/>
      <c r="Y71" s="7"/>
      <c r="Z71" s="7"/>
      <c r="AA71" s="7"/>
      <c r="AB71" s="7"/>
      <c r="AC71" s="7"/>
    </row>
    <row r="72" spans="1:29" s="5" customFormat="1" ht="12.75" customHeight="1" x14ac:dyDescent="0.15">
      <c r="A72" s="159">
        <v>38533</v>
      </c>
      <c r="B72" s="5" t="s">
        <v>109</v>
      </c>
      <c r="C72" s="20"/>
      <c r="D72" s="20"/>
      <c r="E72" s="20"/>
      <c r="F72" s="20"/>
      <c r="G72" s="20"/>
      <c r="H72" s="20"/>
      <c r="I72" s="29"/>
      <c r="J72" s="29"/>
      <c r="K72" s="20"/>
      <c r="L72" s="10"/>
      <c r="M72" s="7"/>
      <c r="N72" s="7"/>
      <c r="O72" s="7"/>
      <c r="P72" s="7"/>
      <c r="Q72" s="7"/>
      <c r="R72" s="7"/>
      <c r="S72" s="7"/>
      <c r="T72" s="7"/>
      <c r="U72" s="7"/>
      <c r="V72" s="7"/>
      <c r="W72" s="7"/>
      <c r="X72" s="7"/>
      <c r="Y72" s="7"/>
      <c r="Z72" s="7"/>
      <c r="AA72" s="7"/>
      <c r="AB72" s="7"/>
      <c r="AC72" s="7"/>
    </row>
    <row r="73" spans="1:29" s="5" customFormat="1" ht="12.75" customHeight="1" x14ac:dyDescent="0.15">
      <c r="A73" s="159">
        <v>38538</v>
      </c>
      <c r="B73" s="5" t="s">
        <v>121</v>
      </c>
      <c r="C73" s="20"/>
      <c r="D73" s="20"/>
      <c r="E73" s="20"/>
      <c r="F73" s="20"/>
      <c r="G73" s="20"/>
      <c r="H73" s="20"/>
      <c r="I73" s="29"/>
      <c r="J73" s="29"/>
      <c r="K73" s="20"/>
      <c r="L73" s="10"/>
      <c r="M73" s="7"/>
      <c r="N73" s="7"/>
      <c r="O73" s="7"/>
      <c r="P73" s="7"/>
      <c r="Q73" s="7"/>
      <c r="R73" s="7"/>
      <c r="S73" s="7"/>
      <c r="T73" s="7"/>
      <c r="U73" s="7"/>
      <c r="V73" s="7"/>
      <c r="W73" s="7"/>
      <c r="X73" s="7"/>
      <c r="Y73" s="7"/>
      <c r="Z73" s="7"/>
      <c r="AA73" s="7"/>
      <c r="AB73" s="7"/>
      <c r="AC73" s="7"/>
    </row>
    <row r="74" spans="1:29" s="5" customFormat="1" ht="12.75" customHeight="1" x14ac:dyDescent="0.15">
      <c r="A74" s="159">
        <v>38907</v>
      </c>
      <c r="B74" s="5" t="s">
        <v>7465</v>
      </c>
      <c r="C74" s="20"/>
      <c r="D74" s="20"/>
      <c r="E74" s="20"/>
      <c r="F74" s="20"/>
      <c r="G74" s="20"/>
      <c r="H74" s="20"/>
      <c r="I74" s="29"/>
      <c r="J74" s="29"/>
      <c r="K74" s="20"/>
      <c r="L74" s="10"/>
      <c r="M74" s="7"/>
      <c r="N74" s="7"/>
      <c r="O74" s="7"/>
      <c r="P74" s="7"/>
      <c r="Q74" s="7"/>
      <c r="R74" s="7"/>
      <c r="S74" s="7"/>
      <c r="T74" s="7"/>
      <c r="U74" s="7"/>
      <c r="V74" s="7"/>
      <c r="W74" s="7"/>
      <c r="X74" s="7"/>
      <c r="Y74" s="7"/>
      <c r="Z74" s="7"/>
      <c r="AA74" s="7"/>
      <c r="AB74" s="7"/>
      <c r="AC74" s="7"/>
    </row>
    <row r="75" spans="1:29" s="5" customFormat="1" ht="12.75" customHeight="1" x14ac:dyDescent="0.15">
      <c r="A75" s="159">
        <v>38909</v>
      </c>
      <c r="B75" s="5" t="s">
        <v>120</v>
      </c>
      <c r="C75" s="20"/>
      <c r="D75" s="20"/>
      <c r="E75" s="20"/>
      <c r="F75" s="20"/>
      <c r="G75" s="20"/>
      <c r="H75" s="20"/>
      <c r="I75" s="29"/>
      <c r="J75" s="29"/>
      <c r="K75" s="20"/>
      <c r="L75" s="10"/>
      <c r="M75" s="7"/>
      <c r="N75" s="7"/>
      <c r="O75" s="7"/>
      <c r="P75" s="7"/>
      <c r="Q75" s="7"/>
      <c r="R75" s="7"/>
      <c r="S75" s="7"/>
      <c r="T75" s="7"/>
      <c r="U75" s="7"/>
      <c r="V75" s="7"/>
      <c r="W75" s="7"/>
      <c r="X75" s="7"/>
      <c r="Y75" s="7"/>
      <c r="Z75" s="7"/>
      <c r="AA75" s="7"/>
      <c r="AB75" s="7"/>
      <c r="AC75" s="7"/>
    </row>
    <row r="76" spans="1:29" s="5" customFormat="1" ht="12.75" customHeight="1" x14ac:dyDescent="0.15">
      <c r="A76" s="159">
        <v>38931</v>
      </c>
      <c r="B76" s="5" t="s">
        <v>134</v>
      </c>
      <c r="C76" s="20"/>
      <c r="D76" s="20"/>
      <c r="E76" s="20"/>
      <c r="F76" s="20"/>
      <c r="G76" s="20"/>
      <c r="H76" s="20"/>
      <c r="I76" s="29"/>
      <c r="J76" s="29"/>
      <c r="K76" s="20"/>
      <c r="L76" s="10"/>
      <c r="M76" s="7"/>
      <c r="N76" s="7"/>
      <c r="O76" s="7"/>
      <c r="P76" s="7"/>
      <c r="Q76" s="7"/>
      <c r="R76" s="7"/>
      <c r="S76" s="7"/>
      <c r="T76" s="7"/>
      <c r="U76" s="7"/>
      <c r="V76" s="7"/>
      <c r="W76" s="7"/>
      <c r="X76" s="7"/>
      <c r="Y76" s="7"/>
      <c r="Z76" s="7"/>
      <c r="AA76" s="7"/>
      <c r="AB76" s="7"/>
      <c r="AC76" s="7"/>
    </row>
    <row r="77" spans="1:29" s="5" customFormat="1" ht="12.75" customHeight="1" x14ac:dyDescent="0.15">
      <c r="A77" s="159">
        <v>39101</v>
      </c>
      <c r="B77" s="5" t="s">
        <v>133</v>
      </c>
      <c r="C77" s="20"/>
      <c r="D77" s="20"/>
      <c r="E77" s="20"/>
      <c r="F77" s="20"/>
      <c r="G77" s="20"/>
      <c r="H77" s="20"/>
      <c r="I77" s="29"/>
      <c r="J77" s="29"/>
      <c r="K77" s="20"/>
      <c r="L77" s="10"/>
      <c r="M77" s="7"/>
      <c r="N77" s="7"/>
      <c r="O77" s="7"/>
      <c r="P77" s="7"/>
      <c r="Q77" s="7"/>
      <c r="R77" s="7"/>
      <c r="S77" s="7"/>
      <c r="T77" s="7"/>
      <c r="U77" s="7"/>
      <c r="V77" s="7"/>
      <c r="W77" s="7"/>
      <c r="X77" s="7"/>
      <c r="Y77" s="7"/>
      <c r="Z77" s="7"/>
      <c r="AA77" s="7"/>
      <c r="AB77" s="7"/>
      <c r="AC77" s="7"/>
    </row>
    <row r="78" spans="1:29" x14ac:dyDescent="0.15">
      <c r="A78" s="158">
        <v>40316</v>
      </c>
      <c r="B78" t="s">
        <v>119</v>
      </c>
    </row>
    <row r="79" spans="1:29" x14ac:dyDescent="0.15">
      <c r="A79" s="158">
        <v>40332</v>
      </c>
      <c r="B79" t="s">
        <v>118</v>
      </c>
    </row>
    <row r="80" spans="1:29" x14ac:dyDescent="0.15">
      <c r="A80" s="158">
        <v>40374</v>
      </c>
      <c r="B80" s="5" t="s">
        <v>81</v>
      </c>
    </row>
    <row r="81" spans="1:29" x14ac:dyDescent="0.15">
      <c r="A81" s="158">
        <v>40375</v>
      </c>
      <c r="B81" s="5" t="s">
        <v>45</v>
      </c>
    </row>
    <row r="82" spans="1:29" x14ac:dyDescent="0.15">
      <c r="A82" s="158">
        <v>40375</v>
      </c>
      <c r="B82" t="s">
        <v>46</v>
      </c>
    </row>
    <row r="83" spans="1:29" s="2" customFormat="1" x14ac:dyDescent="0.15">
      <c r="A83" s="158">
        <v>40375</v>
      </c>
      <c r="B83" s="22" t="s">
        <v>32</v>
      </c>
      <c r="C83" s="8"/>
      <c r="D83" s="8"/>
      <c r="E83" s="8"/>
      <c r="F83" s="8"/>
      <c r="G83" s="8"/>
      <c r="H83" s="8"/>
      <c r="I83" s="30"/>
      <c r="J83" s="30"/>
      <c r="K83" s="8"/>
      <c r="L83" s="9"/>
      <c r="M83" s="7"/>
      <c r="N83" s="7"/>
      <c r="O83" s="7"/>
      <c r="P83" s="7"/>
      <c r="Q83" s="6"/>
      <c r="R83" s="6"/>
      <c r="S83" s="6"/>
      <c r="T83" s="6"/>
      <c r="U83" s="6"/>
      <c r="V83" s="6"/>
      <c r="W83" s="6"/>
      <c r="X83" s="6"/>
      <c r="Y83" s="6"/>
      <c r="Z83" s="6"/>
      <c r="AA83" s="6"/>
      <c r="AB83" s="6"/>
      <c r="AC83" s="6"/>
    </row>
    <row r="84" spans="1:29" x14ac:dyDescent="0.15">
      <c r="A84" s="158">
        <v>40375</v>
      </c>
      <c r="B84" s="22" t="s">
        <v>0</v>
      </c>
    </row>
    <row r="86" spans="1:29" s="2" customFormat="1" x14ac:dyDescent="0.15">
      <c r="A86" s="158"/>
      <c r="B86" s="21"/>
      <c r="C86" s="8"/>
      <c r="D86" s="8"/>
      <c r="E86" s="8"/>
      <c r="F86" s="8"/>
      <c r="G86" s="8"/>
      <c r="H86" s="8"/>
      <c r="I86" s="30"/>
      <c r="J86" s="30"/>
      <c r="K86" s="8"/>
      <c r="L86" s="9"/>
      <c r="M86" s="7"/>
      <c r="N86" s="7"/>
      <c r="O86" s="7"/>
      <c r="P86" s="7"/>
      <c r="Q86" s="6"/>
      <c r="R86" s="6"/>
      <c r="S86" s="6"/>
      <c r="T86" s="6"/>
      <c r="U86" s="6"/>
      <c r="V86" s="6"/>
      <c r="W86" s="6"/>
      <c r="X86" s="6"/>
      <c r="Y86" s="6"/>
      <c r="Z86" s="6"/>
      <c r="AA86" s="6"/>
      <c r="AB86" s="6"/>
      <c r="AC86" s="6"/>
    </row>
    <row r="88" spans="1:29" s="25" customFormat="1" ht="15" customHeight="1" x14ac:dyDescent="0.15">
      <c r="A88" s="160"/>
      <c r="B88" s="22"/>
      <c r="C88" s="8"/>
      <c r="D88" s="8"/>
      <c r="E88" s="8"/>
      <c r="F88" s="8"/>
      <c r="G88" s="8"/>
      <c r="H88" s="8"/>
      <c r="I88" s="30"/>
      <c r="J88" s="30"/>
      <c r="K88" s="8"/>
      <c r="L88" s="9"/>
      <c r="M88" s="7"/>
      <c r="N88" s="7"/>
      <c r="O88" s="7"/>
      <c r="P88" s="7"/>
      <c r="Q88" s="6"/>
      <c r="R88" s="23"/>
      <c r="S88" s="23"/>
      <c r="T88" s="23"/>
      <c r="U88" s="23"/>
      <c r="V88" s="23"/>
      <c r="W88" s="23"/>
      <c r="X88" s="23"/>
      <c r="Y88" s="23"/>
      <c r="Z88" s="23"/>
      <c r="AA88" s="23"/>
      <c r="AB88" s="23"/>
      <c r="AC88" s="24"/>
    </row>
  </sheetData>
  <mergeCells count="8">
    <mergeCell ref="B14:M14"/>
    <mergeCell ref="B15:C15"/>
    <mergeCell ref="B8:C8"/>
    <mergeCell ref="B9:J9"/>
    <mergeCell ref="B10:G10"/>
    <mergeCell ref="B11:J11"/>
    <mergeCell ref="B12:L12"/>
    <mergeCell ref="B13:L13"/>
  </mergeCells>
  <phoneticPr fontId="24" type="noConversion"/>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724"/>
  <sheetViews>
    <sheetView tabSelected="1" topLeftCell="A51" workbookViewId="0">
      <selection activeCell="A67" sqref="A67:XFD67"/>
    </sheetView>
  </sheetViews>
  <sheetFormatPr baseColWidth="10" defaultColWidth="11.5" defaultRowHeight="13" x14ac:dyDescent="0.15"/>
  <cols>
    <col min="1" max="1" width="9.1640625" style="171" customWidth="1"/>
    <col min="2" max="2" width="23.33203125" style="126" customWidth="1"/>
    <col min="3" max="3" width="10.83203125" style="127" customWidth="1"/>
    <col min="4" max="5" width="13.6640625" style="127" customWidth="1"/>
    <col min="6" max="6" width="15.33203125" style="127" customWidth="1"/>
    <col min="7" max="7" width="14.83203125" style="127" customWidth="1"/>
    <col min="8" max="8" width="9" style="94" customWidth="1"/>
    <col min="9" max="9" width="18.5" style="94" customWidth="1"/>
    <col min="10" max="10" width="22.1640625" style="138" customWidth="1"/>
    <col min="11" max="11" width="16.1640625" style="71" customWidth="1"/>
    <col min="12" max="12" width="9" style="49" customWidth="1"/>
    <col min="13" max="13" width="12.5" style="37" customWidth="1"/>
    <col min="14" max="15" width="9" style="37" customWidth="1"/>
    <col min="16" max="24" width="8.83203125" style="3" customWidth="1"/>
    <col min="25" max="25" width="10.83203125" style="4" customWidth="1"/>
  </cols>
  <sheetData>
    <row r="1" spans="1:27" s="44" customFormat="1" ht="34" x14ac:dyDescent="0.15">
      <c r="A1" s="163" t="s">
        <v>3407</v>
      </c>
      <c r="B1" s="39" t="s">
        <v>4858</v>
      </c>
      <c r="C1" s="40" t="s">
        <v>4250</v>
      </c>
      <c r="D1" s="40" t="s">
        <v>4041</v>
      </c>
      <c r="E1" s="40" t="s">
        <v>4904</v>
      </c>
      <c r="F1" s="40" t="s">
        <v>3409</v>
      </c>
      <c r="G1" s="40" t="s">
        <v>4299</v>
      </c>
      <c r="H1" s="41" t="s">
        <v>3174</v>
      </c>
      <c r="I1" s="42" t="s">
        <v>3419</v>
      </c>
      <c r="J1" s="39" t="s">
        <v>3634</v>
      </c>
      <c r="K1" s="38" t="s">
        <v>5012</v>
      </c>
      <c r="L1" s="39" t="s">
        <v>6711</v>
      </c>
      <c r="M1" s="39" t="s">
        <v>8051</v>
      </c>
      <c r="N1" s="58"/>
      <c r="O1" s="58"/>
      <c r="P1" s="58"/>
      <c r="Q1" s="58"/>
      <c r="R1" s="43"/>
      <c r="S1" s="43"/>
      <c r="T1" s="43"/>
      <c r="U1" s="43"/>
      <c r="V1" s="43"/>
      <c r="W1" s="43"/>
      <c r="X1" s="43"/>
      <c r="Y1" s="43"/>
    </row>
    <row r="2" spans="1:27" ht="14" x14ac:dyDescent="0.15">
      <c r="A2" s="70" t="s">
        <v>2633</v>
      </c>
      <c r="B2" s="82"/>
      <c r="C2" s="70" t="s">
        <v>3636</v>
      </c>
      <c r="D2" s="70" t="s">
        <v>2837</v>
      </c>
      <c r="E2" s="70" t="s">
        <v>3178</v>
      </c>
      <c r="F2" s="70" t="s">
        <v>3179</v>
      </c>
      <c r="G2" s="70" t="s">
        <v>3180</v>
      </c>
      <c r="H2" s="85">
        <f t="shared" ref="H2:H65" si="0">LOG(I2)</f>
        <v>4.8451000000000004</v>
      </c>
      <c r="I2" s="85">
        <v>70000.315913089813</v>
      </c>
      <c r="J2" s="131" t="s">
        <v>6522</v>
      </c>
      <c r="K2" s="60">
        <v>60</v>
      </c>
      <c r="L2" s="49" t="s">
        <v>6809</v>
      </c>
    </row>
    <row r="3" spans="1:27" ht="28" x14ac:dyDescent="0.15">
      <c r="A3" s="70" t="s">
        <v>2633</v>
      </c>
      <c r="B3" s="82"/>
      <c r="C3" s="70" t="s">
        <v>3636</v>
      </c>
      <c r="D3" s="70" t="s">
        <v>2837</v>
      </c>
      <c r="E3" s="70" t="s">
        <v>3178</v>
      </c>
      <c r="F3" s="70" t="s">
        <v>3181</v>
      </c>
      <c r="G3" s="70" t="s">
        <v>3182</v>
      </c>
      <c r="H3" s="85">
        <f t="shared" si="0"/>
        <v>4.7201600000000008</v>
      </c>
      <c r="I3" s="85">
        <v>52500.084208338223</v>
      </c>
      <c r="J3" s="131" t="s">
        <v>7885</v>
      </c>
      <c r="K3" s="60" t="s">
        <v>2686</v>
      </c>
      <c r="L3" s="49" t="s">
        <v>6392</v>
      </c>
    </row>
    <row r="4" spans="1:27" ht="42" x14ac:dyDescent="0.15">
      <c r="A4" s="70" t="s">
        <v>2633</v>
      </c>
      <c r="B4" s="82"/>
      <c r="C4" s="70" t="s">
        <v>3636</v>
      </c>
      <c r="D4" s="70" t="s">
        <v>2837</v>
      </c>
      <c r="E4" s="70" t="s">
        <v>3178</v>
      </c>
      <c r="F4" s="70" t="s">
        <v>3450</v>
      </c>
      <c r="G4" s="70" t="s">
        <v>3860</v>
      </c>
      <c r="H4" s="85">
        <f t="shared" si="0"/>
        <v>5.2329999999999997</v>
      </c>
      <c r="I4" s="85">
        <v>171001.53150902878</v>
      </c>
      <c r="J4" s="131" t="s">
        <v>6726</v>
      </c>
      <c r="K4" s="60" t="s">
        <v>2686</v>
      </c>
      <c r="L4" s="49" t="s">
        <v>6392</v>
      </c>
    </row>
    <row r="5" spans="1:27" x14ac:dyDescent="0.15">
      <c r="A5" s="285" t="s">
        <v>8069</v>
      </c>
      <c r="B5" s="82"/>
      <c r="C5" s="285" t="s">
        <v>3636</v>
      </c>
      <c r="D5" s="285" t="s">
        <v>2837</v>
      </c>
      <c r="E5" s="285" t="s">
        <v>3724</v>
      </c>
      <c r="F5" s="285" t="s">
        <v>4136</v>
      </c>
      <c r="G5" s="285" t="s">
        <v>4151</v>
      </c>
      <c r="H5" s="85">
        <v>5.5526591765275475</v>
      </c>
      <c r="I5" s="85">
        <v>356998.16134961008</v>
      </c>
      <c r="J5" s="131"/>
      <c r="K5" s="60">
        <v>60111</v>
      </c>
    </row>
    <row r="6" spans="1:27" ht="14" x14ac:dyDescent="0.15">
      <c r="A6" s="70" t="s">
        <v>2633</v>
      </c>
      <c r="B6" s="82"/>
      <c r="C6" s="70" t="s">
        <v>3636</v>
      </c>
      <c r="D6" s="70" t="s">
        <v>2837</v>
      </c>
      <c r="E6" s="70" t="s">
        <v>3178</v>
      </c>
      <c r="F6" s="70" t="s">
        <v>3861</v>
      </c>
      <c r="G6" s="70" t="s">
        <v>3862</v>
      </c>
      <c r="H6" s="85">
        <f t="shared" si="0"/>
        <v>4.4479300000000004</v>
      </c>
      <c r="I6" s="85">
        <v>28049.814919141725</v>
      </c>
      <c r="J6" s="131" t="s">
        <v>6818</v>
      </c>
      <c r="K6" s="60">
        <v>60</v>
      </c>
      <c r="L6" s="49" t="s">
        <v>6728</v>
      </c>
    </row>
    <row r="7" spans="1:27" ht="14" x14ac:dyDescent="0.15">
      <c r="A7" s="70" t="s">
        <v>2633</v>
      </c>
      <c r="B7" s="82"/>
      <c r="C7" s="70" t="s">
        <v>3636</v>
      </c>
      <c r="D7" s="70" t="s">
        <v>2837</v>
      </c>
      <c r="E7" s="70" t="s">
        <v>3178</v>
      </c>
      <c r="F7" s="70" t="s">
        <v>3454</v>
      </c>
      <c r="G7" s="70" t="s">
        <v>3191</v>
      </c>
      <c r="H7" s="85">
        <f t="shared" si="0"/>
        <v>4.6812412373755876</v>
      </c>
      <c r="I7" s="85">
        <v>48000</v>
      </c>
      <c r="J7" s="131" t="s">
        <v>6817</v>
      </c>
      <c r="K7" s="60">
        <v>75</v>
      </c>
      <c r="L7" s="49" t="s">
        <v>6728</v>
      </c>
    </row>
    <row r="8" spans="1:27" ht="28" x14ac:dyDescent="0.15">
      <c r="A8" s="70" t="s">
        <v>2633</v>
      </c>
      <c r="B8" s="82"/>
      <c r="C8" s="70" t="s">
        <v>3636</v>
      </c>
      <c r="D8" s="70" t="s">
        <v>2837</v>
      </c>
      <c r="E8" s="70" t="s">
        <v>3178</v>
      </c>
      <c r="F8" s="70" t="s">
        <v>3192</v>
      </c>
      <c r="G8" s="70" t="s">
        <v>2996</v>
      </c>
      <c r="H8" s="85">
        <f t="shared" si="0"/>
        <v>4.4983105537896009</v>
      </c>
      <c r="I8" s="85">
        <f>AVERAGE(32000, 31000)</f>
        <v>31500</v>
      </c>
      <c r="J8" s="131" t="s">
        <v>6819</v>
      </c>
      <c r="K8" s="60">
        <v>236</v>
      </c>
      <c r="L8" s="49" t="s">
        <v>6392</v>
      </c>
      <c r="O8" s="49"/>
    </row>
    <row r="9" spans="1:27" ht="14" x14ac:dyDescent="0.15">
      <c r="A9" s="285" t="s">
        <v>8068</v>
      </c>
      <c r="B9" s="82"/>
      <c r="C9" s="70" t="s">
        <v>3636</v>
      </c>
      <c r="D9" s="70" t="s">
        <v>2837</v>
      </c>
      <c r="E9" s="70" t="s">
        <v>3022</v>
      </c>
      <c r="F9" s="70" t="s">
        <v>3023</v>
      </c>
      <c r="G9" s="70" t="s">
        <v>3176</v>
      </c>
      <c r="H9" s="85">
        <f t="shared" si="0"/>
        <v>4.6635400000000011</v>
      </c>
      <c r="I9" s="85">
        <v>46082.921067455376</v>
      </c>
      <c r="J9" s="131" t="s">
        <v>3177</v>
      </c>
      <c r="K9" s="60">
        <v>60</v>
      </c>
    </row>
    <row r="10" spans="1:27" ht="14" x14ac:dyDescent="0.15">
      <c r="A10" s="70" t="s">
        <v>2479</v>
      </c>
      <c r="B10" s="82"/>
      <c r="C10" s="70" t="s">
        <v>3636</v>
      </c>
      <c r="D10" s="70" t="s">
        <v>2837</v>
      </c>
      <c r="E10" s="73" t="s">
        <v>3178</v>
      </c>
      <c r="F10" s="70" t="s">
        <v>6301</v>
      </c>
      <c r="G10" s="70" t="s">
        <v>6302</v>
      </c>
      <c r="H10" s="85">
        <f t="shared" si="0"/>
        <v>4.5740312677277188</v>
      </c>
      <c r="I10" s="85">
        <v>37500</v>
      </c>
      <c r="J10" s="131" t="s">
        <v>6485</v>
      </c>
      <c r="K10" s="60">
        <v>68</v>
      </c>
      <c r="L10" s="49" t="s">
        <v>6728</v>
      </c>
    </row>
    <row r="11" spans="1:27" ht="14" x14ac:dyDescent="0.15">
      <c r="A11" s="285" t="s">
        <v>8057</v>
      </c>
      <c r="B11" s="302" t="s">
        <v>2330</v>
      </c>
      <c r="C11" s="285" t="s">
        <v>3636</v>
      </c>
      <c r="D11" s="285" t="s">
        <v>2837</v>
      </c>
      <c r="E11" s="296" t="s">
        <v>3724</v>
      </c>
      <c r="F11" s="285" t="s">
        <v>3683</v>
      </c>
      <c r="G11" s="285" t="s">
        <v>3727</v>
      </c>
      <c r="H11" s="85">
        <v>4.8199517502823781</v>
      </c>
      <c r="I11" s="85">
        <v>66172.774999999994</v>
      </c>
      <c r="J11" s="131"/>
      <c r="K11" s="301" t="s">
        <v>8062</v>
      </c>
    </row>
    <row r="12" spans="1:27" ht="28" x14ac:dyDescent="0.15">
      <c r="A12" s="62" t="s">
        <v>2481</v>
      </c>
      <c r="B12" s="97" t="s">
        <v>5852</v>
      </c>
      <c r="C12" s="70" t="s">
        <v>3636</v>
      </c>
      <c r="D12" s="70" t="s">
        <v>2837</v>
      </c>
      <c r="E12" s="70" t="s">
        <v>3724</v>
      </c>
      <c r="F12" s="70" t="s">
        <v>3683</v>
      </c>
      <c r="G12" s="70" t="s">
        <v>5248</v>
      </c>
      <c r="H12" s="85">
        <f t="shared" si="0"/>
        <v>4.6074550232146683</v>
      </c>
      <c r="I12" s="85">
        <f>AVERAGE(36000, 45000)</f>
        <v>40500</v>
      </c>
      <c r="J12" s="131" t="s">
        <v>6665</v>
      </c>
      <c r="K12" s="60">
        <v>141</v>
      </c>
      <c r="L12" s="33" t="s">
        <v>6392</v>
      </c>
    </row>
    <row r="13" spans="1:27" ht="28" x14ac:dyDescent="0.15">
      <c r="A13" s="70" t="s">
        <v>2481</v>
      </c>
      <c r="B13" s="82" t="s">
        <v>2487</v>
      </c>
      <c r="C13" s="70" t="s">
        <v>3636</v>
      </c>
      <c r="D13" s="70" t="s">
        <v>2837</v>
      </c>
      <c r="E13" s="70" t="s">
        <v>3724</v>
      </c>
      <c r="F13" s="70" t="s">
        <v>3683</v>
      </c>
      <c r="G13" s="70" t="s">
        <v>4464</v>
      </c>
      <c r="H13" s="85">
        <f t="shared" si="0"/>
        <v>4.7403626894942441</v>
      </c>
      <c r="I13" s="85">
        <v>55000</v>
      </c>
      <c r="J13" s="131" t="s">
        <v>6665</v>
      </c>
      <c r="K13" s="60">
        <v>147</v>
      </c>
      <c r="L13" s="33" t="s">
        <v>6390</v>
      </c>
    </row>
    <row r="14" spans="1:27" ht="14" x14ac:dyDescent="0.15">
      <c r="A14" s="285" t="s">
        <v>8057</v>
      </c>
      <c r="B14" s="302" t="s">
        <v>8061</v>
      </c>
      <c r="C14" s="285" t="s">
        <v>3636</v>
      </c>
      <c r="D14" s="285" t="s">
        <v>2837</v>
      </c>
      <c r="E14" s="285" t="s">
        <v>3724</v>
      </c>
      <c r="F14" s="285" t="s">
        <v>3683</v>
      </c>
      <c r="G14" s="285" t="s">
        <v>3684</v>
      </c>
      <c r="H14" s="85">
        <v>4.5329657631167635</v>
      </c>
      <c r="I14" s="85">
        <v>34127.75</v>
      </c>
      <c r="J14" s="131"/>
      <c r="K14" s="60">
        <v>59117132</v>
      </c>
      <c r="L14" s="33"/>
    </row>
    <row r="15" spans="1:27" ht="28" x14ac:dyDescent="0.15">
      <c r="A15" s="70" t="s">
        <v>2481</v>
      </c>
      <c r="B15" s="93" t="s">
        <v>2428</v>
      </c>
      <c r="C15" s="70" t="s">
        <v>3636</v>
      </c>
      <c r="D15" s="70" t="s">
        <v>2837</v>
      </c>
      <c r="E15" s="70" t="s">
        <v>3088</v>
      </c>
      <c r="F15" s="70" t="s">
        <v>5886</v>
      </c>
      <c r="G15" s="70" t="s">
        <v>5575</v>
      </c>
      <c r="H15" s="85">
        <f t="shared" si="0"/>
        <v>5</v>
      </c>
      <c r="I15" s="85">
        <v>100000</v>
      </c>
      <c r="J15" s="131" t="s">
        <v>6629</v>
      </c>
      <c r="K15" s="60">
        <v>68</v>
      </c>
      <c r="L15" s="49" t="s">
        <v>6728</v>
      </c>
      <c r="R15" s="245"/>
      <c r="S15" s="245"/>
      <c r="T15" s="245"/>
      <c r="U15" s="245"/>
      <c r="V15" s="245"/>
      <c r="W15" s="245"/>
      <c r="X15" s="245"/>
      <c r="Y15" s="246"/>
      <c r="Z15" s="243"/>
      <c r="AA15" s="243"/>
    </row>
    <row r="16" spans="1:27" ht="14" x14ac:dyDescent="0.15">
      <c r="A16" s="303" t="s">
        <v>8068</v>
      </c>
      <c r="B16" s="82"/>
      <c r="C16" s="70" t="s">
        <v>3636</v>
      </c>
      <c r="D16" s="70" t="s">
        <v>2837</v>
      </c>
      <c r="E16" s="70" t="s">
        <v>3178</v>
      </c>
      <c r="F16" s="70" t="s">
        <v>7191</v>
      </c>
      <c r="G16" s="70" t="s">
        <v>7192</v>
      </c>
      <c r="H16" s="85">
        <f t="shared" si="0"/>
        <v>5.7628700000000013</v>
      </c>
      <c r="I16" s="85">
        <v>579255.2784790505</v>
      </c>
      <c r="J16" s="131" t="s">
        <v>3177</v>
      </c>
      <c r="K16" s="63">
        <v>60</v>
      </c>
      <c r="L16" s="49" t="s">
        <v>6392</v>
      </c>
    </row>
    <row r="17" spans="1:27" s="189" customFormat="1" ht="14" x14ac:dyDescent="0.15">
      <c r="A17" s="70" t="s">
        <v>2479</v>
      </c>
      <c r="B17" s="82"/>
      <c r="C17" s="70" t="s">
        <v>3636</v>
      </c>
      <c r="D17" s="70" t="s">
        <v>2837</v>
      </c>
      <c r="E17" s="70" t="s">
        <v>3178</v>
      </c>
      <c r="F17" s="70" t="s">
        <v>7191</v>
      </c>
      <c r="G17" s="70" t="s">
        <v>7806</v>
      </c>
      <c r="H17" s="85">
        <f t="shared" si="0"/>
        <v>5.6989700043360187</v>
      </c>
      <c r="I17" s="85">
        <v>500000</v>
      </c>
      <c r="J17" s="131" t="s">
        <v>6485</v>
      </c>
      <c r="K17" s="60">
        <v>68</v>
      </c>
      <c r="L17" s="49" t="s">
        <v>6390</v>
      </c>
      <c r="M17" s="37"/>
      <c r="N17" s="37"/>
      <c r="O17" s="37"/>
      <c r="P17" s="3"/>
      <c r="Q17" s="3"/>
      <c r="R17" s="3"/>
      <c r="S17" s="3"/>
      <c r="T17" s="3"/>
      <c r="U17" s="3"/>
      <c r="V17" s="3"/>
      <c r="W17" s="3"/>
      <c r="X17" s="3"/>
      <c r="Y17" s="4"/>
      <c r="Z17"/>
      <c r="AA17"/>
    </row>
    <row r="18" spans="1:27" ht="28" x14ac:dyDescent="0.2">
      <c r="A18" s="70" t="s">
        <v>7029</v>
      </c>
      <c r="B18" s="82"/>
      <c r="C18" s="70" t="s">
        <v>3636</v>
      </c>
      <c r="D18" s="70" t="s">
        <v>2837</v>
      </c>
      <c r="E18" s="70" t="s">
        <v>3724</v>
      </c>
      <c r="F18" s="70" t="s">
        <v>3496</v>
      </c>
      <c r="G18" s="70" t="s">
        <v>4207</v>
      </c>
      <c r="H18" s="85">
        <f t="shared" si="0"/>
        <v>4.937850000000001</v>
      </c>
      <c r="I18" s="85">
        <v>86666.248943968283</v>
      </c>
      <c r="J18" s="131" t="s">
        <v>6737</v>
      </c>
      <c r="K18" s="60">
        <v>60</v>
      </c>
      <c r="L18" s="47" t="s">
        <v>6728</v>
      </c>
    </row>
    <row r="19" spans="1:27" ht="28" x14ac:dyDescent="0.15">
      <c r="A19" s="70" t="s">
        <v>2479</v>
      </c>
      <c r="B19" s="82"/>
      <c r="C19" s="70" t="s">
        <v>3636</v>
      </c>
      <c r="D19" s="70" t="s">
        <v>2837</v>
      </c>
      <c r="E19" s="70" t="s">
        <v>3178</v>
      </c>
      <c r="F19" s="70" t="s">
        <v>3885</v>
      </c>
      <c r="G19" s="70" t="s">
        <v>7417</v>
      </c>
      <c r="H19" s="85">
        <f t="shared" si="0"/>
        <v>5.9030899869919438</v>
      </c>
      <c r="I19" s="85">
        <v>800000</v>
      </c>
      <c r="J19" s="131" t="s">
        <v>6629</v>
      </c>
      <c r="K19" s="60">
        <v>68</v>
      </c>
      <c r="L19" s="33" t="s">
        <v>6728</v>
      </c>
    </row>
    <row r="20" spans="1:27" ht="42" x14ac:dyDescent="0.15">
      <c r="A20" s="70" t="s">
        <v>2479</v>
      </c>
      <c r="B20" s="82"/>
      <c r="C20" s="70" t="s">
        <v>3636</v>
      </c>
      <c r="D20" s="70" t="s">
        <v>2837</v>
      </c>
      <c r="E20" s="70" t="s">
        <v>3178</v>
      </c>
      <c r="F20" s="70" t="s">
        <v>3885</v>
      </c>
      <c r="G20" s="70" t="s">
        <v>7809</v>
      </c>
      <c r="H20" s="85">
        <f t="shared" si="0"/>
        <v>5.5224442335063202</v>
      </c>
      <c r="I20" s="85">
        <v>333000</v>
      </c>
      <c r="J20" s="131" t="s">
        <v>1335</v>
      </c>
      <c r="K20" s="60">
        <v>68</v>
      </c>
      <c r="L20" s="33" t="s">
        <v>6728</v>
      </c>
    </row>
    <row r="21" spans="1:27" ht="42" x14ac:dyDescent="0.15">
      <c r="A21" s="91" t="s">
        <v>2479</v>
      </c>
      <c r="B21" s="90"/>
      <c r="C21" s="91" t="s">
        <v>3636</v>
      </c>
      <c r="D21" s="91" t="s">
        <v>2837</v>
      </c>
      <c r="E21" s="91" t="s">
        <v>3178</v>
      </c>
      <c r="F21" s="91" t="s">
        <v>3885</v>
      </c>
      <c r="G21" s="91" t="s">
        <v>7202</v>
      </c>
      <c r="H21" s="85">
        <f t="shared" si="0"/>
        <v>5.8450980400142569</v>
      </c>
      <c r="I21" s="92">
        <v>700000</v>
      </c>
      <c r="J21" s="131" t="s">
        <v>1335</v>
      </c>
      <c r="K21" s="65">
        <v>75</v>
      </c>
      <c r="L21" s="33" t="s">
        <v>6390</v>
      </c>
    </row>
    <row r="22" spans="1:27" s="13" customFormat="1" ht="28" x14ac:dyDescent="0.15">
      <c r="A22" s="70" t="s">
        <v>2479</v>
      </c>
      <c r="B22" s="82"/>
      <c r="C22" s="70" t="s">
        <v>3636</v>
      </c>
      <c r="D22" s="70" t="s">
        <v>2837</v>
      </c>
      <c r="E22" s="70" t="s">
        <v>3178</v>
      </c>
      <c r="F22" s="70" t="s">
        <v>3885</v>
      </c>
      <c r="G22" s="70" t="s">
        <v>5719</v>
      </c>
      <c r="H22" s="85">
        <f t="shared" si="0"/>
        <v>5.9030899869919438</v>
      </c>
      <c r="I22" s="85">
        <v>800000</v>
      </c>
      <c r="J22" s="134" t="s">
        <v>6710</v>
      </c>
      <c r="K22" s="60">
        <v>136</v>
      </c>
      <c r="L22" s="33" t="s">
        <v>6809</v>
      </c>
      <c r="M22" s="37"/>
      <c r="N22" s="37"/>
      <c r="O22" s="37"/>
      <c r="P22" s="3"/>
      <c r="Q22" s="3"/>
      <c r="R22" s="3"/>
      <c r="S22" s="3"/>
      <c r="T22" s="3"/>
      <c r="U22" s="3"/>
      <c r="V22" s="3"/>
      <c r="W22" s="3"/>
      <c r="X22" s="3"/>
      <c r="Y22" s="4"/>
      <c r="Z22"/>
      <c r="AA22"/>
    </row>
    <row r="23" spans="1:27" ht="14" x14ac:dyDescent="0.15">
      <c r="A23" s="70" t="s">
        <v>2479</v>
      </c>
      <c r="B23" s="82"/>
      <c r="C23" s="70" t="s">
        <v>44</v>
      </c>
      <c r="D23" s="70" t="s">
        <v>2837</v>
      </c>
      <c r="E23" s="70" t="s">
        <v>3178</v>
      </c>
      <c r="F23" s="70" t="s">
        <v>3885</v>
      </c>
      <c r="G23" s="70" t="s">
        <v>7810</v>
      </c>
      <c r="H23" s="85">
        <f t="shared" si="0"/>
        <v>5.9542425094393252</v>
      </c>
      <c r="I23" s="85">
        <v>900000</v>
      </c>
      <c r="J23" s="131" t="s">
        <v>1305</v>
      </c>
      <c r="K23" s="60">
        <v>114</v>
      </c>
    </row>
    <row r="24" spans="1:27" s="11" customFormat="1" ht="14" x14ac:dyDescent="0.15">
      <c r="A24" s="70" t="s">
        <v>2479</v>
      </c>
      <c r="B24" s="82"/>
      <c r="C24" s="70" t="s">
        <v>3636</v>
      </c>
      <c r="D24" s="70" t="s">
        <v>2837</v>
      </c>
      <c r="E24" s="70" t="s">
        <v>3178</v>
      </c>
      <c r="F24" s="70" t="s">
        <v>5407</v>
      </c>
      <c r="G24" s="70" t="s">
        <v>5408</v>
      </c>
      <c r="H24" s="85">
        <f t="shared" si="0"/>
        <v>5.2278867046136739</v>
      </c>
      <c r="I24" s="85">
        <v>169000</v>
      </c>
      <c r="J24" s="131" t="s">
        <v>6485</v>
      </c>
      <c r="K24" s="63">
        <v>68</v>
      </c>
      <c r="L24" s="49" t="s">
        <v>6392</v>
      </c>
      <c r="M24" s="37"/>
      <c r="N24" s="37"/>
      <c r="O24" s="37"/>
      <c r="P24" s="3"/>
      <c r="Q24" s="3"/>
      <c r="R24" s="3"/>
      <c r="S24" s="3"/>
      <c r="T24" s="3"/>
      <c r="U24" s="3"/>
      <c r="V24" s="3"/>
      <c r="W24" s="3"/>
      <c r="X24" s="3"/>
      <c r="Y24" s="4"/>
      <c r="Z24"/>
      <c r="AA24"/>
    </row>
    <row r="25" spans="1:27" s="13" customFormat="1" ht="70" x14ac:dyDescent="0.2">
      <c r="A25" s="70" t="s">
        <v>2479</v>
      </c>
      <c r="B25" s="82"/>
      <c r="C25" s="70" t="s">
        <v>3636</v>
      </c>
      <c r="D25" s="70" t="s">
        <v>2837</v>
      </c>
      <c r="E25" s="70" t="s">
        <v>3178</v>
      </c>
      <c r="F25" s="70" t="s">
        <v>7189</v>
      </c>
      <c r="G25" s="70" t="s">
        <v>7190</v>
      </c>
      <c r="H25" s="85">
        <f t="shared" si="0"/>
        <v>4.5740312677277188</v>
      </c>
      <c r="I25" s="85">
        <f>AVERAGE(25000, 50000)</f>
        <v>37500</v>
      </c>
      <c r="J25" s="131" t="s">
        <v>1399</v>
      </c>
      <c r="K25" s="60">
        <v>111</v>
      </c>
      <c r="L25" s="47" t="s">
        <v>6390</v>
      </c>
      <c r="M25" s="37"/>
      <c r="N25" s="37"/>
      <c r="O25" s="37"/>
      <c r="P25" s="3"/>
      <c r="Q25" s="3"/>
      <c r="R25" s="3"/>
      <c r="S25" s="3"/>
      <c r="T25" s="3"/>
      <c r="U25" s="3"/>
      <c r="V25" s="3"/>
      <c r="W25" s="3"/>
      <c r="X25" s="3"/>
      <c r="Y25" s="4"/>
      <c r="Z25"/>
      <c r="AA25"/>
    </row>
    <row r="26" spans="1:27" ht="28" x14ac:dyDescent="0.15">
      <c r="A26" s="70" t="s">
        <v>2481</v>
      </c>
      <c r="B26" s="93" t="s">
        <v>2428</v>
      </c>
      <c r="C26" s="70" t="s">
        <v>3636</v>
      </c>
      <c r="D26" s="70" t="s">
        <v>2837</v>
      </c>
      <c r="E26" s="70" t="s">
        <v>3178</v>
      </c>
      <c r="F26" s="70" t="s">
        <v>7189</v>
      </c>
      <c r="G26" s="70" t="s">
        <v>5850</v>
      </c>
      <c r="H26" s="85">
        <f t="shared" si="0"/>
        <v>5.4771212547196626</v>
      </c>
      <c r="I26" s="85">
        <v>300000</v>
      </c>
      <c r="J26" s="131" t="s">
        <v>6629</v>
      </c>
      <c r="K26" s="63">
        <v>136</v>
      </c>
      <c r="L26" s="33" t="s">
        <v>6390</v>
      </c>
      <c r="P26" s="12"/>
      <c r="Q26" s="12"/>
    </row>
    <row r="27" spans="1:27" ht="41" customHeight="1" x14ac:dyDescent="0.15">
      <c r="A27" s="70" t="s">
        <v>2481</v>
      </c>
      <c r="B27" s="93" t="s">
        <v>5852</v>
      </c>
      <c r="C27" s="70" t="s">
        <v>3636</v>
      </c>
      <c r="D27" s="70" t="s">
        <v>2837</v>
      </c>
      <c r="E27" s="70" t="s">
        <v>3178</v>
      </c>
      <c r="F27" s="70" t="s">
        <v>7189</v>
      </c>
      <c r="G27" s="70" t="s">
        <v>5683</v>
      </c>
      <c r="H27" s="85">
        <f t="shared" si="0"/>
        <v>5.3679767852945943</v>
      </c>
      <c r="I27" s="85">
        <f>AVERAGE(180000, 220000, 300000)</f>
        <v>233333.33333333334</v>
      </c>
      <c r="J27" s="131" t="s">
        <v>6629</v>
      </c>
      <c r="K27" s="60">
        <v>92</v>
      </c>
      <c r="L27" s="33" t="s">
        <v>6809</v>
      </c>
      <c r="M27" s="32"/>
      <c r="P27" s="12"/>
      <c r="Q27" s="12"/>
    </row>
    <row r="28" spans="1:27" s="13" customFormat="1" ht="28" x14ac:dyDescent="0.15">
      <c r="A28" s="70" t="s">
        <v>2481</v>
      </c>
      <c r="B28" s="93" t="s">
        <v>2428</v>
      </c>
      <c r="C28" s="70" t="s">
        <v>3636</v>
      </c>
      <c r="D28" s="70" t="s">
        <v>2837</v>
      </c>
      <c r="E28" s="70" t="s">
        <v>3178</v>
      </c>
      <c r="F28" s="70" t="s">
        <v>7189</v>
      </c>
      <c r="G28" s="70" t="s">
        <v>5725</v>
      </c>
      <c r="H28" s="85">
        <f t="shared" si="0"/>
        <v>5.1760912590556813</v>
      </c>
      <c r="I28" s="85">
        <v>150000</v>
      </c>
      <c r="J28" s="131" t="s">
        <v>6629</v>
      </c>
      <c r="K28" s="60">
        <v>136</v>
      </c>
      <c r="L28" s="33" t="s">
        <v>6390</v>
      </c>
      <c r="M28" s="37"/>
      <c r="N28" s="37"/>
      <c r="O28" s="37"/>
      <c r="P28" s="3"/>
      <c r="Q28" s="3"/>
      <c r="R28" s="3"/>
      <c r="S28" s="3"/>
      <c r="T28" s="3"/>
      <c r="U28" s="3"/>
      <c r="V28" s="3"/>
      <c r="W28" s="3"/>
      <c r="X28" s="3"/>
      <c r="Y28" s="4"/>
      <c r="Z28"/>
      <c r="AA28"/>
    </row>
    <row r="29" spans="1:27" ht="56" x14ac:dyDescent="0.15">
      <c r="A29" s="70" t="s">
        <v>2479</v>
      </c>
      <c r="B29" s="82"/>
      <c r="C29" s="70" t="s">
        <v>3636</v>
      </c>
      <c r="D29" s="70" t="s">
        <v>2837</v>
      </c>
      <c r="E29" s="70" t="s">
        <v>3178</v>
      </c>
      <c r="F29" s="70" t="s">
        <v>5409</v>
      </c>
      <c r="G29" s="70" t="s">
        <v>5410</v>
      </c>
      <c r="H29" s="85">
        <f t="shared" si="0"/>
        <v>5.480006942957151</v>
      </c>
      <c r="I29" s="85">
        <v>302000</v>
      </c>
      <c r="J29" s="131" t="s">
        <v>1227</v>
      </c>
      <c r="K29" s="63">
        <v>68</v>
      </c>
      <c r="L29" s="49" t="s">
        <v>6728</v>
      </c>
    </row>
    <row r="30" spans="1:27" ht="31" customHeight="1" x14ac:dyDescent="0.15">
      <c r="A30" s="91" t="s">
        <v>2479</v>
      </c>
      <c r="B30" s="90"/>
      <c r="C30" s="91" t="s">
        <v>3636</v>
      </c>
      <c r="D30" s="91" t="s">
        <v>2837</v>
      </c>
      <c r="E30" s="91" t="s">
        <v>7198</v>
      </c>
      <c r="F30" s="91" t="s">
        <v>7199</v>
      </c>
      <c r="G30" s="91" t="s">
        <v>7200</v>
      </c>
      <c r="H30" s="85">
        <f t="shared" si="0"/>
        <v>5.6042260530844699</v>
      </c>
      <c r="I30" s="92">
        <v>402000</v>
      </c>
      <c r="J30" s="133"/>
      <c r="K30" s="64">
        <v>75</v>
      </c>
    </row>
    <row r="31" spans="1:27" ht="24" customHeight="1" x14ac:dyDescent="0.2">
      <c r="A31" s="70" t="s">
        <v>2479</v>
      </c>
      <c r="B31" s="82"/>
      <c r="C31" s="70" t="s">
        <v>3636</v>
      </c>
      <c r="D31" s="70" t="s">
        <v>2837</v>
      </c>
      <c r="E31" s="70" t="s">
        <v>3178</v>
      </c>
      <c r="F31" s="70" t="s">
        <v>2997</v>
      </c>
      <c r="G31" s="70" t="s">
        <v>5411</v>
      </c>
      <c r="H31" s="85">
        <f t="shared" si="0"/>
        <v>4.7403626894942441</v>
      </c>
      <c r="I31" s="85">
        <v>55000</v>
      </c>
      <c r="J31" s="131" t="s">
        <v>1132</v>
      </c>
      <c r="K31" s="60">
        <v>68</v>
      </c>
      <c r="L31" s="47" t="s">
        <v>6390</v>
      </c>
    </row>
    <row r="32" spans="1:27" ht="14" x14ac:dyDescent="0.15">
      <c r="A32" s="70" t="s">
        <v>2479</v>
      </c>
      <c r="B32" s="82"/>
      <c r="C32" s="70" t="s">
        <v>3636</v>
      </c>
      <c r="D32" s="70" t="s">
        <v>2837</v>
      </c>
      <c r="E32" s="70" t="s">
        <v>3178</v>
      </c>
      <c r="F32" s="70" t="s">
        <v>2997</v>
      </c>
      <c r="G32" s="70" t="s">
        <v>5347</v>
      </c>
      <c r="H32" s="85">
        <f t="shared" si="0"/>
        <v>4.6989700043360187</v>
      </c>
      <c r="I32" s="85">
        <v>50000</v>
      </c>
      <c r="J32" s="131" t="s">
        <v>5966</v>
      </c>
      <c r="K32" s="60">
        <v>68</v>
      </c>
      <c r="L32" s="49" t="s">
        <v>6728</v>
      </c>
    </row>
    <row r="33" spans="1:27" ht="42" x14ac:dyDescent="0.15">
      <c r="A33" s="70" t="s">
        <v>2479</v>
      </c>
      <c r="B33" s="82"/>
      <c r="C33" s="70" t="s">
        <v>3636</v>
      </c>
      <c r="D33" s="70" t="s">
        <v>2837</v>
      </c>
      <c r="E33" s="70" t="s">
        <v>3178</v>
      </c>
      <c r="F33" s="70" t="s">
        <v>2997</v>
      </c>
      <c r="G33" s="70" t="s">
        <v>5348</v>
      </c>
      <c r="H33" s="85">
        <f t="shared" si="0"/>
        <v>4.6127838567197355</v>
      </c>
      <c r="I33" s="85">
        <v>41000</v>
      </c>
      <c r="J33" s="131" t="s">
        <v>1413</v>
      </c>
      <c r="K33" s="60">
        <v>68</v>
      </c>
      <c r="L33" s="49" t="s">
        <v>6390</v>
      </c>
      <c r="P33" s="12"/>
      <c r="Q33" s="12"/>
    </row>
    <row r="34" spans="1:27" ht="56" x14ac:dyDescent="0.2">
      <c r="A34" s="70" t="s">
        <v>2479</v>
      </c>
      <c r="B34" s="82"/>
      <c r="C34" s="70" t="s">
        <v>3636</v>
      </c>
      <c r="D34" s="70" t="s">
        <v>2837</v>
      </c>
      <c r="E34" s="70" t="s">
        <v>3178</v>
      </c>
      <c r="F34" s="70" t="s">
        <v>2997</v>
      </c>
      <c r="G34" s="70" t="s">
        <v>3884</v>
      </c>
      <c r="H34" s="85">
        <f t="shared" si="0"/>
        <v>4.8750612633917001</v>
      </c>
      <c r="I34" s="85">
        <f>AVERAGE(97500, 52500)</f>
        <v>75000</v>
      </c>
      <c r="J34" s="131" t="s">
        <v>1416</v>
      </c>
      <c r="K34" s="60">
        <v>111</v>
      </c>
      <c r="L34" s="47" t="s">
        <v>6728</v>
      </c>
    </row>
    <row r="35" spans="1:27" ht="16" x14ac:dyDescent="0.2">
      <c r="A35" s="285" t="s">
        <v>8058</v>
      </c>
      <c r="B35" s="82"/>
      <c r="C35" s="285" t="s">
        <v>3636</v>
      </c>
      <c r="D35" s="285" t="s">
        <v>2837</v>
      </c>
      <c r="E35" s="285" t="s">
        <v>3178</v>
      </c>
      <c r="F35" s="285" t="s">
        <v>2997</v>
      </c>
      <c r="G35" s="285" t="s">
        <v>2998</v>
      </c>
      <c r="H35" s="85">
        <v>4.9226310401215496</v>
      </c>
      <c r="I35" s="85">
        <v>85166.506922721979</v>
      </c>
      <c r="J35" s="131"/>
      <c r="K35" s="60">
        <v>65114115</v>
      </c>
      <c r="L35" s="47"/>
    </row>
    <row r="36" spans="1:27" s="4" customFormat="1" x14ac:dyDescent="0.15">
      <c r="A36" s="285" t="s">
        <v>8058</v>
      </c>
      <c r="B36" s="93"/>
      <c r="C36" s="285" t="s">
        <v>3636</v>
      </c>
      <c r="D36" s="285" t="s">
        <v>2837</v>
      </c>
      <c r="E36" s="285" t="s">
        <v>3178</v>
      </c>
      <c r="F36" s="285" t="s">
        <v>2997</v>
      </c>
      <c r="G36" s="285" t="s">
        <v>7976</v>
      </c>
      <c r="H36" s="85">
        <v>4.7813685360048481</v>
      </c>
      <c r="I36" s="85">
        <v>62624.840256055322</v>
      </c>
      <c r="J36" s="131"/>
      <c r="K36" s="60">
        <v>70136</v>
      </c>
      <c r="L36" s="33"/>
      <c r="M36" s="37"/>
      <c r="N36" s="37"/>
      <c r="O36" s="37"/>
      <c r="P36" s="3"/>
      <c r="Q36" s="3"/>
      <c r="R36" s="3"/>
      <c r="S36" s="3"/>
      <c r="T36" s="3"/>
      <c r="U36" s="3"/>
      <c r="V36" s="3"/>
      <c r="W36" s="3"/>
      <c r="X36" s="3"/>
    </row>
    <row r="37" spans="1:27" ht="16" x14ac:dyDescent="0.2">
      <c r="A37" s="70" t="s">
        <v>2479</v>
      </c>
      <c r="B37" s="82" t="s">
        <v>5853</v>
      </c>
      <c r="C37" s="70" t="s">
        <v>3636</v>
      </c>
      <c r="D37" s="70" t="s">
        <v>2837</v>
      </c>
      <c r="E37" s="70" t="s">
        <v>3178</v>
      </c>
      <c r="F37" s="70" t="s">
        <v>2997</v>
      </c>
      <c r="G37" s="70" t="s">
        <v>7785</v>
      </c>
      <c r="H37" s="85">
        <f t="shared" si="0"/>
        <v>4.6989700043360187</v>
      </c>
      <c r="I37" s="85">
        <v>50000</v>
      </c>
      <c r="J37" s="131" t="s">
        <v>6592</v>
      </c>
      <c r="K37" s="60">
        <v>134</v>
      </c>
      <c r="L37" s="33" t="s">
        <v>6392</v>
      </c>
      <c r="M37" s="47"/>
      <c r="P37" s="12"/>
      <c r="Q37" s="12"/>
    </row>
    <row r="38" spans="1:27" ht="14" x14ac:dyDescent="0.15">
      <c r="A38" s="70" t="s">
        <v>2479</v>
      </c>
      <c r="B38" s="82"/>
      <c r="C38" s="70" t="s">
        <v>3636</v>
      </c>
      <c r="D38" s="70" t="s">
        <v>2837</v>
      </c>
      <c r="E38" s="70" t="s">
        <v>3178</v>
      </c>
      <c r="F38" s="70" t="s">
        <v>2997</v>
      </c>
      <c r="G38" s="70" t="s">
        <v>7949</v>
      </c>
      <c r="H38" s="85">
        <f t="shared" si="0"/>
        <v>5.1139433523068369</v>
      </c>
      <c r="I38" s="85">
        <v>130000</v>
      </c>
      <c r="J38" s="131" t="s">
        <v>3177</v>
      </c>
      <c r="K38" s="63">
        <v>104</v>
      </c>
    </row>
    <row r="39" spans="1:27" ht="14" x14ac:dyDescent="0.15">
      <c r="A39" s="70" t="s">
        <v>2479</v>
      </c>
      <c r="B39" s="82"/>
      <c r="C39" s="70" t="s">
        <v>3636</v>
      </c>
      <c r="D39" s="70" t="s">
        <v>2837</v>
      </c>
      <c r="E39" s="70" t="s">
        <v>3724</v>
      </c>
      <c r="F39" s="70" t="s">
        <v>5765</v>
      </c>
      <c r="G39" s="70" t="s">
        <v>6957</v>
      </c>
      <c r="H39" s="85">
        <f t="shared" si="0"/>
        <v>4.3521825181113627</v>
      </c>
      <c r="I39" s="85">
        <v>22500</v>
      </c>
      <c r="J39" s="131" t="s">
        <v>6485</v>
      </c>
      <c r="K39" s="60">
        <v>68</v>
      </c>
    </row>
    <row r="40" spans="1:27" s="189" customFormat="1" ht="14" x14ac:dyDescent="0.15">
      <c r="A40" s="83" t="s">
        <v>2479</v>
      </c>
      <c r="B40" s="82"/>
      <c r="C40" s="70" t="s">
        <v>3636</v>
      </c>
      <c r="D40" s="70" t="s">
        <v>2837</v>
      </c>
      <c r="E40" s="70" t="s">
        <v>3724</v>
      </c>
      <c r="F40" s="70" t="s">
        <v>5765</v>
      </c>
      <c r="G40" s="70" t="s">
        <v>1911</v>
      </c>
      <c r="H40" s="85">
        <f t="shared" si="0"/>
        <v>4.641</v>
      </c>
      <c r="I40" s="85">
        <v>43752.210515825202</v>
      </c>
      <c r="J40" s="131" t="s">
        <v>3177</v>
      </c>
      <c r="K40" s="60">
        <v>165</v>
      </c>
      <c r="L40" s="33"/>
      <c r="M40" s="37"/>
      <c r="N40" s="37"/>
      <c r="O40" s="37"/>
      <c r="P40" s="3"/>
      <c r="Q40" s="3"/>
      <c r="R40" s="3"/>
      <c r="S40" s="3"/>
      <c r="T40" s="3"/>
      <c r="U40" s="3"/>
      <c r="V40" s="3"/>
      <c r="W40" s="3"/>
      <c r="X40" s="3"/>
      <c r="Y40" s="4"/>
      <c r="Z40"/>
      <c r="AA40"/>
    </row>
    <row r="41" spans="1:27" s="189" customFormat="1" ht="28" x14ac:dyDescent="0.15">
      <c r="A41" s="70" t="s">
        <v>7029</v>
      </c>
      <c r="B41" s="82"/>
      <c r="C41" s="70" t="s">
        <v>3636</v>
      </c>
      <c r="D41" s="70" t="s">
        <v>2837</v>
      </c>
      <c r="E41" s="70" t="s">
        <v>4379</v>
      </c>
      <c r="F41" s="70" t="s">
        <v>4215</v>
      </c>
      <c r="G41" s="70" t="s">
        <v>4216</v>
      </c>
      <c r="H41" s="85">
        <f t="shared" si="0"/>
        <v>4.5510400000000004</v>
      </c>
      <c r="I41" s="85">
        <v>35566.407493235864</v>
      </c>
      <c r="J41" s="131" t="s">
        <v>6676</v>
      </c>
      <c r="K41" s="63">
        <v>60</v>
      </c>
      <c r="L41" s="49" t="s">
        <v>6390</v>
      </c>
      <c r="M41" s="37"/>
      <c r="N41" s="37"/>
      <c r="O41" s="37"/>
      <c r="P41" s="3"/>
      <c r="Q41" s="3"/>
      <c r="R41" s="3"/>
      <c r="S41" s="3"/>
      <c r="T41" s="3"/>
      <c r="U41" s="3"/>
      <c r="V41" s="3"/>
      <c r="W41" s="3"/>
      <c r="X41" s="3"/>
      <c r="Y41" s="4"/>
      <c r="Z41"/>
      <c r="AA41"/>
    </row>
    <row r="42" spans="1:27" ht="14" x14ac:dyDescent="0.15">
      <c r="A42" s="70" t="s">
        <v>2633</v>
      </c>
      <c r="B42" s="82"/>
      <c r="C42" s="70" t="s">
        <v>3636</v>
      </c>
      <c r="D42" s="70" t="s">
        <v>2837</v>
      </c>
      <c r="E42" s="70" t="s">
        <v>3178</v>
      </c>
      <c r="F42" s="70" t="s">
        <v>2999</v>
      </c>
      <c r="G42" s="70" t="s">
        <v>3000</v>
      </c>
      <c r="H42" s="85">
        <f t="shared" si="0"/>
        <v>3.9661400000000011</v>
      </c>
      <c r="I42" s="85">
        <v>9249.9630946172765</v>
      </c>
      <c r="J42" s="131" t="s">
        <v>6817</v>
      </c>
      <c r="K42" s="60" t="s">
        <v>2686</v>
      </c>
      <c r="L42" s="49" t="s">
        <v>6390</v>
      </c>
    </row>
    <row r="43" spans="1:27" ht="14" x14ac:dyDescent="0.15">
      <c r="A43" s="70" t="s">
        <v>2633</v>
      </c>
      <c r="B43" s="82"/>
      <c r="C43" s="70" t="s">
        <v>3636</v>
      </c>
      <c r="D43" s="70" t="s">
        <v>2837</v>
      </c>
      <c r="E43" s="70" t="s">
        <v>3178</v>
      </c>
      <c r="F43" s="70" t="s">
        <v>2999</v>
      </c>
      <c r="G43" s="70" t="s">
        <v>3448</v>
      </c>
      <c r="H43" s="85">
        <f t="shared" si="0"/>
        <v>4.26126</v>
      </c>
      <c r="I43" s="85">
        <v>18249.879447489526</v>
      </c>
      <c r="J43" s="131" t="s">
        <v>6817</v>
      </c>
      <c r="K43" s="60" t="s">
        <v>2686</v>
      </c>
      <c r="L43" s="49" t="s">
        <v>6392</v>
      </c>
    </row>
    <row r="44" spans="1:27" ht="14" x14ac:dyDescent="0.15">
      <c r="A44" s="70" t="s">
        <v>2633</v>
      </c>
      <c r="B44" s="82"/>
      <c r="C44" s="70" t="s">
        <v>3636</v>
      </c>
      <c r="D44" s="70" t="s">
        <v>2837</v>
      </c>
      <c r="E44" s="70" t="s">
        <v>3178</v>
      </c>
      <c r="F44" s="70" t="s">
        <v>2999</v>
      </c>
      <c r="G44" s="70" t="s">
        <v>3449</v>
      </c>
      <c r="H44" s="85">
        <f t="shared" si="0"/>
        <v>4.3010300000000008</v>
      </c>
      <c r="I44" s="85">
        <v>20000.000199681075</v>
      </c>
      <c r="J44" s="131" t="s">
        <v>6817</v>
      </c>
      <c r="K44" s="60">
        <v>60</v>
      </c>
      <c r="L44" s="49" t="s">
        <v>6392</v>
      </c>
    </row>
    <row r="45" spans="1:27" ht="14" x14ac:dyDescent="0.15">
      <c r="A45" s="70" t="s">
        <v>2633</v>
      </c>
      <c r="B45" s="82"/>
      <c r="C45" s="70" t="s">
        <v>3636</v>
      </c>
      <c r="D45" s="70" t="s">
        <v>2837</v>
      </c>
      <c r="E45" s="70" t="s">
        <v>3178</v>
      </c>
      <c r="F45" s="70" t="s">
        <v>2999</v>
      </c>
      <c r="G45" s="70" t="s">
        <v>4118</v>
      </c>
      <c r="H45" s="85">
        <f t="shared" si="0"/>
        <v>4.1613700000000007</v>
      </c>
      <c r="I45" s="85">
        <v>14500.066700500938</v>
      </c>
      <c r="J45" s="131" t="s">
        <v>6817</v>
      </c>
      <c r="K45" s="60" t="s">
        <v>2686</v>
      </c>
      <c r="L45" s="49" t="s">
        <v>6392</v>
      </c>
    </row>
    <row r="46" spans="1:27" ht="14" x14ac:dyDescent="0.15">
      <c r="A46" s="70" t="s">
        <v>2633</v>
      </c>
      <c r="B46" s="82"/>
      <c r="C46" s="70" t="s">
        <v>3636</v>
      </c>
      <c r="D46" s="70" t="s">
        <v>2837</v>
      </c>
      <c r="E46" s="70" t="s">
        <v>3178</v>
      </c>
      <c r="F46" s="70" t="s">
        <v>2999</v>
      </c>
      <c r="G46" s="70" t="s">
        <v>3863</v>
      </c>
      <c r="H46" s="85">
        <f t="shared" si="0"/>
        <v>4.8451000000000004</v>
      </c>
      <c r="I46" s="85">
        <v>70000.315913089813</v>
      </c>
      <c r="J46" s="131" t="s">
        <v>6817</v>
      </c>
      <c r="K46" s="60">
        <v>65</v>
      </c>
      <c r="L46" s="49" t="s">
        <v>6728</v>
      </c>
    </row>
    <row r="47" spans="1:27" ht="14" x14ac:dyDescent="0.15">
      <c r="A47" s="70" t="s">
        <v>2633</v>
      </c>
      <c r="B47" s="82"/>
      <c r="C47" s="70" t="s">
        <v>3636</v>
      </c>
      <c r="D47" s="70" t="s">
        <v>2837</v>
      </c>
      <c r="E47" s="70" t="s">
        <v>3178</v>
      </c>
      <c r="F47" s="70" t="s">
        <v>2999</v>
      </c>
      <c r="G47" s="70" t="s">
        <v>3864</v>
      </c>
      <c r="H47" s="85">
        <f t="shared" si="0"/>
        <v>4.1038000000000006</v>
      </c>
      <c r="I47" s="85">
        <v>12699.891189181128</v>
      </c>
      <c r="J47" s="131" t="s">
        <v>6817</v>
      </c>
      <c r="K47" s="60">
        <v>60</v>
      </c>
      <c r="L47" s="49" t="s">
        <v>6392</v>
      </c>
    </row>
    <row r="48" spans="1:27" ht="14" x14ac:dyDescent="0.15">
      <c r="A48" s="70" t="s">
        <v>2633</v>
      </c>
      <c r="B48" s="82"/>
      <c r="C48" s="70" t="s">
        <v>3636</v>
      </c>
      <c r="D48" s="70" t="s">
        <v>2837</v>
      </c>
      <c r="E48" s="70" t="s">
        <v>3178</v>
      </c>
      <c r="F48" s="308" t="s">
        <v>8075</v>
      </c>
      <c r="G48" s="70" t="s">
        <v>3865</v>
      </c>
      <c r="H48" s="85">
        <f t="shared" si="0"/>
        <v>4.0791800000000009</v>
      </c>
      <c r="I48" s="85">
        <v>11999.965570481174</v>
      </c>
      <c r="J48" s="131" t="s">
        <v>6522</v>
      </c>
      <c r="K48" s="60" t="s">
        <v>2686</v>
      </c>
      <c r="L48" s="49" t="s">
        <v>6392</v>
      </c>
    </row>
    <row r="49" spans="1:27" s="13" customFormat="1" ht="14" x14ac:dyDescent="0.15">
      <c r="A49" s="70" t="s">
        <v>2633</v>
      </c>
      <c r="B49" s="82"/>
      <c r="C49" s="70" t="s">
        <v>3636</v>
      </c>
      <c r="D49" s="70" t="s">
        <v>2837</v>
      </c>
      <c r="E49" s="70" t="s">
        <v>3178</v>
      </c>
      <c r="F49" s="308" t="s">
        <v>8075</v>
      </c>
      <c r="G49" s="70" t="s">
        <v>3866</v>
      </c>
      <c r="H49" s="85">
        <f t="shared" si="0"/>
        <v>3.7958799999999999</v>
      </c>
      <c r="I49" s="85">
        <v>6249.9997503986979</v>
      </c>
      <c r="J49" s="131" t="s">
        <v>3177</v>
      </c>
      <c r="K49" s="60">
        <v>60</v>
      </c>
      <c r="L49" s="49"/>
      <c r="M49" s="37"/>
      <c r="N49" s="37"/>
      <c r="O49" s="37"/>
      <c r="P49" s="3"/>
      <c r="Q49" s="3"/>
      <c r="R49" s="3"/>
      <c r="S49" s="3"/>
      <c r="T49" s="3"/>
      <c r="U49" s="3"/>
      <c r="V49" s="3"/>
      <c r="W49" s="3"/>
      <c r="X49" s="3"/>
      <c r="Y49" s="4"/>
      <c r="Z49"/>
      <c r="AA49"/>
    </row>
    <row r="50" spans="1:27" ht="14" x14ac:dyDescent="0.15">
      <c r="A50" s="70" t="s">
        <v>2633</v>
      </c>
      <c r="B50" s="82"/>
      <c r="C50" s="70" t="s">
        <v>3636</v>
      </c>
      <c r="D50" s="70" t="s">
        <v>2837</v>
      </c>
      <c r="E50" s="70" t="s">
        <v>3178</v>
      </c>
      <c r="F50" s="70" t="s">
        <v>2999</v>
      </c>
      <c r="G50" s="70" t="s">
        <v>3455</v>
      </c>
      <c r="H50" s="85">
        <f t="shared" si="0"/>
        <v>4.0791800000000009</v>
      </c>
      <c r="I50" s="85">
        <v>11999.965570481174</v>
      </c>
      <c r="J50" s="131" t="s">
        <v>6817</v>
      </c>
      <c r="K50" s="60">
        <v>60</v>
      </c>
      <c r="L50" s="49" t="s">
        <v>6392</v>
      </c>
    </row>
    <row r="51" spans="1:27" s="13" customFormat="1" ht="14" x14ac:dyDescent="0.15">
      <c r="A51" s="70" t="s">
        <v>2633</v>
      </c>
      <c r="B51" s="82"/>
      <c r="C51" s="70" t="s">
        <v>3636</v>
      </c>
      <c r="D51" s="70" t="s">
        <v>2837</v>
      </c>
      <c r="E51" s="70" t="s">
        <v>3178</v>
      </c>
      <c r="F51" s="70" t="s">
        <v>2999</v>
      </c>
      <c r="G51" s="70" t="s">
        <v>3656</v>
      </c>
      <c r="H51" s="85">
        <f t="shared" si="0"/>
        <v>4.3096300000000012</v>
      </c>
      <c r="I51" s="85">
        <v>20399.992135549033</v>
      </c>
      <c r="J51" s="131" t="s">
        <v>6522</v>
      </c>
      <c r="K51" s="60">
        <v>60</v>
      </c>
      <c r="L51" s="49" t="s">
        <v>6392</v>
      </c>
      <c r="M51" s="37"/>
      <c r="N51" s="37"/>
      <c r="O51" s="37"/>
      <c r="P51" s="3"/>
      <c r="Q51" s="3"/>
      <c r="R51" s="3"/>
      <c r="S51" s="3"/>
      <c r="T51" s="3"/>
      <c r="U51" s="3"/>
      <c r="V51" s="3"/>
      <c r="W51" s="3"/>
      <c r="X51" s="3"/>
      <c r="Y51" s="4"/>
      <c r="Z51"/>
      <c r="AA51"/>
    </row>
    <row r="52" spans="1:27" ht="14" x14ac:dyDescent="0.15">
      <c r="A52" s="70" t="s">
        <v>2633</v>
      </c>
      <c r="B52" s="82"/>
      <c r="C52" s="70" t="s">
        <v>3636</v>
      </c>
      <c r="D52" s="70" t="s">
        <v>2837</v>
      </c>
      <c r="E52" s="70" t="s">
        <v>3178</v>
      </c>
      <c r="F52" s="70" t="s">
        <v>2999</v>
      </c>
      <c r="G52" s="70" t="s">
        <v>3657</v>
      </c>
      <c r="H52" s="85">
        <f t="shared" si="0"/>
        <v>4.1430100000000003</v>
      </c>
      <c r="I52" s="85">
        <v>13899.846364239125</v>
      </c>
      <c r="J52" s="131" t="s">
        <v>6817</v>
      </c>
      <c r="K52" s="60">
        <v>60</v>
      </c>
      <c r="L52" s="49" t="s">
        <v>6392</v>
      </c>
    </row>
    <row r="53" spans="1:27" ht="14" x14ac:dyDescent="0.15">
      <c r="A53" s="70" t="s">
        <v>2633</v>
      </c>
      <c r="B53" s="82"/>
      <c r="C53" s="70" t="s">
        <v>3636</v>
      </c>
      <c r="D53" s="70" t="s">
        <v>2837</v>
      </c>
      <c r="E53" s="70" t="s">
        <v>3178</v>
      </c>
      <c r="F53" s="70" t="s">
        <v>2999</v>
      </c>
      <c r="G53" s="70" t="s">
        <v>3658</v>
      </c>
      <c r="H53" s="85">
        <f t="shared" si="0"/>
        <v>4.3010300000000008</v>
      </c>
      <c r="I53" s="85">
        <v>20000.000199681075</v>
      </c>
      <c r="J53" s="131" t="s">
        <v>6817</v>
      </c>
      <c r="K53" s="60" t="s">
        <v>2686</v>
      </c>
      <c r="L53" s="49" t="s">
        <v>6392</v>
      </c>
    </row>
    <row r="54" spans="1:27" ht="14" x14ac:dyDescent="0.15">
      <c r="A54" s="70" t="s">
        <v>2633</v>
      </c>
      <c r="B54" s="82"/>
      <c r="C54" s="70" t="s">
        <v>3636</v>
      </c>
      <c r="D54" s="70" t="s">
        <v>2837</v>
      </c>
      <c r="E54" s="70" t="s">
        <v>3178</v>
      </c>
      <c r="F54" s="70" t="s">
        <v>2999</v>
      </c>
      <c r="G54" s="70" t="s">
        <v>3420</v>
      </c>
      <c r="H54" s="85">
        <f t="shared" si="0"/>
        <v>4.1760900000000003</v>
      </c>
      <c r="I54" s="85">
        <v>14999.956513820405</v>
      </c>
      <c r="J54" s="131" t="s">
        <v>3177</v>
      </c>
      <c r="K54" s="60">
        <v>60</v>
      </c>
    </row>
    <row r="55" spans="1:27" ht="14" x14ac:dyDescent="0.15">
      <c r="A55" s="70" t="s">
        <v>2633</v>
      </c>
      <c r="B55" s="82"/>
      <c r="C55" s="70" t="s">
        <v>3636</v>
      </c>
      <c r="D55" s="70" t="s">
        <v>2837</v>
      </c>
      <c r="E55" s="70" t="s">
        <v>3178</v>
      </c>
      <c r="F55" s="70" t="s">
        <v>2999</v>
      </c>
      <c r="G55" s="70" t="s">
        <v>3894</v>
      </c>
      <c r="H55" s="85">
        <f t="shared" si="0"/>
        <v>4.0791800000000009</v>
      </c>
      <c r="I55" s="85">
        <v>11999.965570481174</v>
      </c>
      <c r="J55" s="131" t="s">
        <v>6522</v>
      </c>
      <c r="K55" s="60" t="s">
        <v>2686</v>
      </c>
      <c r="L55" s="49" t="s">
        <v>6392</v>
      </c>
    </row>
    <row r="56" spans="1:27" ht="14" x14ac:dyDescent="0.15">
      <c r="A56" s="70" t="s">
        <v>2633</v>
      </c>
      <c r="B56" s="82"/>
      <c r="C56" s="70" t="s">
        <v>3636</v>
      </c>
      <c r="D56" s="70" t="s">
        <v>2837</v>
      </c>
      <c r="E56" s="70" t="s">
        <v>3178</v>
      </c>
      <c r="F56" s="70" t="s">
        <v>2999</v>
      </c>
      <c r="G56" s="70" t="s">
        <v>3895</v>
      </c>
      <c r="H56" s="85">
        <f t="shared" si="0"/>
        <v>4.8603399999999999</v>
      </c>
      <c r="I56" s="85">
        <v>72500.332778657481</v>
      </c>
      <c r="J56" s="131" t="s">
        <v>6817</v>
      </c>
      <c r="K56" s="60">
        <v>60</v>
      </c>
      <c r="L56" s="49" t="s">
        <v>6392</v>
      </c>
    </row>
    <row r="57" spans="1:27" ht="28" x14ac:dyDescent="0.15">
      <c r="A57" s="70" t="s">
        <v>2633</v>
      </c>
      <c r="B57" s="82"/>
      <c r="C57" s="70" t="s">
        <v>3636</v>
      </c>
      <c r="D57" s="70" t="s">
        <v>2837</v>
      </c>
      <c r="E57" s="70" t="s">
        <v>3178</v>
      </c>
      <c r="F57" s="70" t="s">
        <v>2999</v>
      </c>
      <c r="G57" s="70" t="s">
        <v>3896</v>
      </c>
      <c r="H57" s="85">
        <f t="shared" si="0"/>
        <v>4.748190000000001</v>
      </c>
      <c r="I57" s="85">
        <v>56000.254407800254</v>
      </c>
      <c r="J57" s="131" t="s">
        <v>6853</v>
      </c>
      <c r="K57" s="60" t="s">
        <v>2686</v>
      </c>
      <c r="L57" s="49" t="s">
        <v>6392</v>
      </c>
    </row>
    <row r="58" spans="1:27" ht="14" x14ac:dyDescent="0.15">
      <c r="A58" s="70" t="s">
        <v>2633</v>
      </c>
      <c r="B58" s="93" t="s">
        <v>5854</v>
      </c>
      <c r="C58" s="70" t="s">
        <v>3636</v>
      </c>
      <c r="D58" s="70" t="s">
        <v>2837</v>
      </c>
      <c r="E58" s="70" t="s">
        <v>3178</v>
      </c>
      <c r="F58" s="70" t="s">
        <v>2999</v>
      </c>
      <c r="G58" s="70" t="s">
        <v>5948</v>
      </c>
      <c r="H58" s="94">
        <f t="shared" si="0"/>
        <v>4.2304489213782741</v>
      </c>
      <c r="I58" s="85">
        <f>AVERAGE(15000,19000)</f>
        <v>17000</v>
      </c>
      <c r="J58" s="131" t="s">
        <v>6817</v>
      </c>
      <c r="K58" s="60">
        <v>164</v>
      </c>
      <c r="L58" s="33" t="s">
        <v>6392</v>
      </c>
    </row>
    <row r="59" spans="1:27" ht="14" x14ac:dyDescent="0.15">
      <c r="A59" s="70" t="s">
        <v>2633</v>
      </c>
      <c r="B59" s="82"/>
      <c r="C59" s="70" t="s">
        <v>3636</v>
      </c>
      <c r="D59" s="70" t="s">
        <v>2837</v>
      </c>
      <c r="E59" s="70" t="s">
        <v>3178</v>
      </c>
      <c r="F59" s="70" t="s">
        <v>2999</v>
      </c>
      <c r="G59" s="70" t="s">
        <v>3897</v>
      </c>
      <c r="H59" s="85">
        <f t="shared" si="0"/>
        <v>4.2430400000000006</v>
      </c>
      <c r="I59" s="85">
        <v>17500.078628829033</v>
      </c>
      <c r="J59" s="131" t="s">
        <v>6817</v>
      </c>
      <c r="K59" s="60">
        <v>65</v>
      </c>
      <c r="L59" s="49" t="s">
        <v>6728</v>
      </c>
    </row>
    <row r="60" spans="1:27" ht="28" x14ac:dyDescent="0.15">
      <c r="A60" s="70" t="s">
        <v>2479</v>
      </c>
      <c r="B60" s="82"/>
      <c r="C60" s="70" t="s">
        <v>3636</v>
      </c>
      <c r="D60" s="70" t="s">
        <v>2837</v>
      </c>
      <c r="E60" s="70" t="s">
        <v>3724</v>
      </c>
      <c r="F60" s="70" t="s">
        <v>3725</v>
      </c>
      <c r="G60" s="70" t="s">
        <v>5766</v>
      </c>
      <c r="H60" s="85">
        <f t="shared" si="0"/>
        <v>5.0969100130080562</v>
      </c>
      <c r="I60" s="85">
        <v>125000</v>
      </c>
      <c r="J60" s="131" t="s">
        <v>1231</v>
      </c>
      <c r="K60" s="63">
        <v>68</v>
      </c>
      <c r="L60" s="49" t="s">
        <v>6728</v>
      </c>
    </row>
    <row r="61" spans="1:27" ht="14" x14ac:dyDescent="0.15">
      <c r="A61" s="62" t="s">
        <v>2481</v>
      </c>
      <c r="B61" s="97" t="s">
        <v>5852</v>
      </c>
      <c r="C61" s="70" t="s">
        <v>3636</v>
      </c>
      <c r="D61" s="70" t="s">
        <v>2837</v>
      </c>
      <c r="E61" s="70" t="s">
        <v>3724</v>
      </c>
      <c r="F61" s="70" t="s">
        <v>3725</v>
      </c>
      <c r="G61" s="70" t="s">
        <v>5249</v>
      </c>
      <c r="H61" s="85">
        <f t="shared" si="0"/>
        <v>4.6766936096248664</v>
      </c>
      <c r="I61" s="85">
        <f>AVERAGE(36000, 59000)</f>
        <v>47500</v>
      </c>
      <c r="J61" s="131" t="s">
        <v>3177</v>
      </c>
      <c r="K61" s="60">
        <v>202</v>
      </c>
      <c r="L61" s="33" t="s">
        <v>6390</v>
      </c>
    </row>
    <row r="62" spans="1:27" ht="14" x14ac:dyDescent="0.15">
      <c r="A62" s="70" t="s">
        <v>2479</v>
      </c>
      <c r="B62" s="82"/>
      <c r="C62" s="70" t="s">
        <v>3636</v>
      </c>
      <c r="D62" s="70" t="s">
        <v>2837</v>
      </c>
      <c r="E62" s="70" t="s">
        <v>3724</v>
      </c>
      <c r="F62" s="70" t="s">
        <v>3725</v>
      </c>
      <c r="G62" s="70" t="s">
        <v>5882</v>
      </c>
      <c r="H62" s="85">
        <f t="shared" si="0"/>
        <v>5.1553360374650614</v>
      </c>
      <c r="I62" s="85">
        <v>143000</v>
      </c>
      <c r="J62" s="131" t="s">
        <v>6817</v>
      </c>
      <c r="K62" s="63">
        <v>68</v>
      </c>
      <c r="L62" s="49" t="s">
        <v>6728</v>
      </c>
    </row>
    <row r="63" spans="1:27" x14ac:dyDescent="0.15">
      <c r="A63" s="303" t="s">
        <v>8072</v>
      </c>
      <c r="B63" s="82"/>
      <c r="C63" s="285" t="s">
        <v>3636</v>
      </c>
      <c r="D63" s="285" t="s">
        <v>2837</v>
      </c>
      <c r="E63" s="285" t="s">
        <v>3724</v>
      </c>
      <c r="F63" s="285" t="s">
        <v>3725</v>
      </c>
      <c r="G63" s="285" t="s">
        <v>3682</v>
      </c>
      <c r="H63" s="85">
        <v>5.2511190769022225</v>
      </c>
      <c r="I63" s="85">
        <v>180187.80378356134</v>
      </c>
      <c r="J63" s="131"/>
      <c r="K63" s="298" t="s">
        <v>8060</v>
      </c>
    </row>
    <row r="64" spans="1:27" ht="14" x14ac:dyDescent="0.15">
      <c r="A64" s="70" t="s">
        <v>2479</v>
      </c>
      <c r="B64" s="82"/>
      <c r="C64" s="70" t="s">
        <v>3636</v>
      </c>
      <c r="D64" s="70" t="s">
        <v>2837</v>
      </c>
      <c r="E64" s="70" t="s">
        <v>3724</v>
      </c>
      <c r="F64" s="70" t="s">
        <v>8077</v>
      </c>
      <c r="G64" s="70" t="s">
        <v>5767</v>
      </c>
      <c r="H64" s="85">
        <f t="shared" si="0"/>
        <v>4.8633228601204559</v>
      </c>
      <c r="I64" s="85">
        <v>73000</v>
      </c>
      <c r="J64" s="131" t="s">
        <v>6817</v>
      </c>
      <c r="K64" s="60">
        <v>68</v>
      </c>
      <c r="L64" s="33" t="s">
        <v>6728</v>
      </c>
    </row>
    <row r="65" spans="1:27" ht="14" x14ac:dyDescent="0.15">
      <c r="A65" s="62" t="s">
        <v>2481</v>
      </c>
      <c r="B65" s="97" t="s">
        <v>5852</v>
      </c>
      <c r="C65" s="70" t="s">
        <v>3636</v>
      </c>
      <c r="D65" s="70" t="s">
        <v>2837</v>
      </c>
      <c r="E65" s="70" t="s">
        <v>3724</v>
      </c>
      <c r="F65" s="70" t="s">
        <v>3725</v>
      </c>
      <c r="G65" s="70" t="s">
        <v>5250</v>
      </c>
      <c r="H65" s="85">
        <f t="shared" si="0"/>
        <v>4.6989700043360187</v>
      </c>
      <c r="I65" s="85">
        <v>50000</v>
      </c>
      <c r="J65" s="131" t="s">
        <v>6522</v>
      </c>
      <c r="K65" s="60">
        <v>136</v>
      </c>
      <c r="L65" s="33" t="s">
        <v>6727</v>
      </c>
    </row>
    <row r="66" spans="1:27" ht="14" x14ac:dyDescent="0.15">
      <c r="A66" s="70" t="s">
        <v>2479</v>
      </c>
      <c r="B66" s="82"/>
      <c r="C66" s="70" t="s">
        <v>3636</v>
      </c>
      <c r="D66" s="70" t="s">
        <v>2837</v>
      </c>
      <c r="E66" s="70" t="s">
        <v>3724</v>
      </c>
      <c r="F66" s="70" t="s">
        <v>3725</v>
      </c>
      <c r="G66" s="70" t="s">
        <v>5768</v>
      </c>
      <c r="H66" s="85">
        <f t="shared" ref="H66:H132" si="1">LOG(I66)</f>
        <v>4.7242758696007892</v>
      </c>
      <c r="I66" s="85">
        <v>53000</v>
      </c>
      <c r="J66" s="131" t="s">
        <v>6485</v>
      </c>
      <c r="K66" s="60">
        <v>68</v>
      </c>
    </row>
    <row r="67" spans="1:27" ht="14" x14ac:dyDescent="0.15">
      <c r="A67" s="70" t="s">
        <v>2481</v>
      </c>
      <c r="B67" s="82" t="s">
        <v>2018</v>
      </c>
      <c r="C67" s="70" t="s">
        <v>3636</v>
      </c>
      <c r="D67" s="70" t="s">
        <v>2837</v>
      </c>
      <c r="E67" s="70" t="s">
        <v>3724</v>
      </c>
      <c r="F67" s="307" t="s">
        <v>3725</v>
      </c>
      <c r="G67" s="70" t="s">
        <v>3728</v>
      </c>
      <c r="H67" s="85">
        <f t="shared" ref="H67" si="2">LOG(I67)</f>
        <v>4.7993405494535821</v>
      </c>
      <c r="I67" s="85">
        <v>63000</v>
      </c>
      <c r="J67" s="131"/>
      <c r="K67" s="60" t="s">
        <v>1611</v>
      </c>
      <c r="L67" s="33"/>
    </row>
    <row r="68" spans="1:27" ht="14" x14ac:dyDescent="0.15">
      <c r="A68" s="70" t="s">
        <v>2481</v>
      </c>
      <c r="B68" s="82" t="s">
        <v>2018</v>
      </c>
      <c r="C68" s="70" t="s">
        <v>3636</v>
      </c>
      <c r="D68" s="70" t="s">
        <v>2837</v>
      </c>
      <c r="E68" s="70" t="s">
        <v>3724</v>
      </c>
      <c r="F68" s="307" t="s">
        <v>8073</v>
      </c>
      <c r="G68" s="70" t="s">
        <v>3728</v>
      </c>
      <c r="H68" s="85">
        <f t="shared" si="1"/>
        <v>4.7993405494535821</v>
      </c>
      <c r="I68" s="85">
        <v>63000</v>
      </c>
      <c r="J68" s="131"/>
      <c r="K68" s="60" t="s">
        <v>1611</v>
      </c>
      <c r="L68" s="33"/>
    </row>
    <row r="69" spans="1:27" ht="14" x14ac:dyDescent="0.15">
      <c r="A69" s="285" t="s">
        <v>8057</v>
      </c>
      <c r="B69" s="302" t="s">
        <v>8055</v>
      </c>
      <c r="C69" s="285" t="s">
        <v>3636</v>
      </c>
      <c r="D69" s="285" t="s">
        <v>2837</v>
      </c>
      <c r="E69" s="285" t="s">
        <v>3724</v>
      </c>
      <c r="F69" s="307" t="s">
        <v>8073</v>
      </c>
      <c r="G69" s="285" t="s">
        <v>3471</v>
      </c>
      <c r="H69" s="85">
        <v>5.2528946260223401</v>
      </c>
      <c r="I69" s="85">
        <v>180344.44444444447</v>
      </c>
      <c r="J69" s="131"/>
      <c r="K69" s="60">
        <v>59118132133</v>
      </c>
      <c r="L69" s="33"/>
    </row>
    <row r="70" spans="1:27" ht="14" x14ac:dyDescent="0.15">
      <c r="A70" s="70" t="s">
        <v>2633</v>
      </c>
      <c r="B70" s="82"/>
      <c r="C70" s="70" t="s">
        <v>3636</v>
      </c>
      <c r="D70" s="70" t="s">
        <v>2837</v>
      </c>
      <c r="E70" s="70" t="s">
        <v>3178</v>
      </c>
      <c r="F70" s="70" t="s">
        <v>4434</v>
      </c>
      <c r="G70" s="70" t="s">
        <v>6952</v>
      </c>
      <c r="H70" s="85">
        <f t="shared" si="1"/>
        <v>5.2552700000000012</v>
      </c>
      <c r="I70" s="85">
        <v>179998.96172455972</v>
      </c>
      <c r="J70" s="131" t="s">
        <v>6709</v>
      </c>
      <c r="K70" s="60">
        <v>60</v>
      </c>
      <c r="L70" s="49" t="s">
        <v>6392</v>
      </c>
    </row>
    <row r="71" spans="1:27" ht="28" x14ac:dyDescent="0.15">
      <c r="A71" s="70" t="s">
        <v>2633</v>
      </c>
      <c r="B71" s="82"/>
      <c r="C71" s="70" t="s">
        <v>3636</v>
      </c>
      <c r="D71" s="70" t="s">
        <v>2837</v>
      </c>
      <c r="E71" s="70" t="s">
        <v>3178</v>
      </c>
      <c r="F71" s="70" t="s">
        <v>8079</v>
      </c>
      <c r="G71" s="70" t="s">
        <v>6953</v>
      </c>
      <c r="H71" s="85">
        <f t="shared" ref="H71" si="3">LOG(I71)</f>
        <v>5.2552700000000012</v>
      </c>
      <c r="I71" s="85">
        <v>179998.96172455972</v>
      </c>
      <c r="J71" s="131" t="s">
        <v>6710</v>
      </c>
      <c r="K71" s="60" t="s">
        <v>2686</v>
      </c>
      <c r="L71" s="49" t="s">
        <v>6392</v>
      </c>
      <c r="P71" s="12"/>
      <c r="Q71" s="12"/>
    </row>
    <row r="72" spans="1:27" ht="28" x14ac:dyDescent="0.15">
      <c r="A72" s="70" t="s">
        <v>2633</v>
      </c>
      <c r="B72" s="82"/>
      <c r="C72" s="70" t="s">
        <v>3636</v>
      </c>
      <c r="D72" s="70" t="s">
        <v>2837</v>
      </c>
      <c r="E72" s="70" t="s">
        <v>3178</v>
      </c>
      <c r="F72" s="70" t="s">
        <v>4434</v>
      </c>
      <c r="G72" s="70" t="s">
        <v>6953</v>
      </c>
      <c r="H72" s="85">
        <f t="shared" si="1"/>
        <v>5.2552700000000012</v>
      </c>
      <c r="I72" s="85">
        <v>179998.96172455972</v>
      </c>
      <c r="J72" s="131" t="s">
        <v>6710</v>
      </c>
      <c r="K72" s="60" t="s">
        <v>2686</v>
      </c>
      <c r="L72" s="49" t="s">
        <v>6392</v>
      </c>
      <c r="P72" s="12"/>
      <c r="Q72" s="12"/>
    </row>
    <row r="73" spans="1:27" x14ac:dyDescent="0.15">
      <c r="A73" s="70" t="s">
        <v>2479</v>
      </c>
      <c r="B73" s="82"/>
      <c r="C73" s="70" t="s">
        <v>3636</v>
      </c>
      <c r="D73" s="70" t="s">
        <v>2837</v>
      </c>
      <c r="E73" s="70" t="s">
        <v>3724</v>
      </c>
      <c r="F73" s="70" t="s">
        <v>3685</v>
      </c>
      <c r="G73" s="70" t="s">
        <v>4708</v>
      </c>
      <c r="H73" s="85">
        <f t="shared" si="1"/>
        <v>4.7501225267834002</v>
      </c>
      <c r="I73" s="85">
        <f>AVERAGE(72500, 40000)</f>
        <v>56250</v>
      </c>
      <c r="J73" s="131"/>
      <c r="K73" s="63">
        <v>111</v>
      </c>
      <c r="L73" s="33"/>
    </row>
    <row r="74" spans="1:27" ht="14" x14ac:dyDescent="0.15">
      <c r="A74" s="275" t="s">
        <v>2479</v>
      </c>
      <c r="B74" s="276"/>
      <c r="C74" s="275" t="s">
        <v>3636</v>
      </c>
      <c r="D74" s="275" t="s">
        <v>2837</v>
      </c>
      <c r="E74" s="275" t="s">
        <v>3724</v>
      </c>
      <c r="F74" s="275" t="s">
        <v>3685</v>
      </c>
      <c r="G74" s="275" t="s">
        <v>5684</v>
      </c>
      <c r="H74" s="277">
        <f t="shared" si="1"/>
        <v>4.860338006570994</v>
      </c>
      <c r="I74" s="277">
        <f>AVERAGE(50000, 95000)</f>
        <v>72500</v>
      </c>
      <c r="J74" s="278" t="s">
        <v>3177</v>
      </c>
      <c r="K74" s="279" t="s">
        <v>207</v>
      </c>
      <c r="L74" s="280"/>
      <c r="M74" s="281"/>
      <c r="N74" s="281"/>
      <c r="O74" s="281"/>
      <c r="P74" s="282"/>
      <c r="Q74" s="282"/>
      <c r="R74" s="282"/>
      <c r="S74" s="282"/>
      <c r="T74" s="282"/>
      <c r="U74" s="282"/>
      <c r="V74" s="282"/>
      <c r="W74" s="282"/>
      <c r="X74" s="282"/>
      <c r="Y74" s="283"/>
      <c r="Z74" s="283"/>
      <c r="AA74" s="283"/>
    </row>
    <row r="75" spans="1:27" ht="42" x14ac:dyDescent="0.15">
      <c r="A75" s="70" t="s">
        <v>2633</v>
      </c>
      <c r="B75" s="82"/>
      <c r="C75" s="70" t="s">
        <v>3636</v>
      </c>
      <c r="D75" s="70" t="s">
        <v>2837</v>
      </c>
      <c r="E75" s="70" t="s">
        <v>3178</v>
      </c>
      <c r="F75" s="303" t="s">
        <v>8076</v>
      </c>
      <c r="G75" s="70" t="s">
        <v>6965</v>
      </c>
      <c r="H75" s="85">
        <f t="shared" si="1"/>
        <v>4.9030900000000006</v>
      </c>
      <c r="I75" s="85">
        <v>80000.00239617264</v>
      </c>
      <c r="J75" s="131" t="s">
        <v>6726</v>
      </c>
      <c r="K75" s="60" t="s">
        <v>2686</v>
      </c>
      <c r="L75" s="49" t="s">
        <v>6809</v>
      </c>
    </row>
    <row r="76" spans="1:27" ht="56" x14ac:dyDescent="0.15">
      <c r="A76" s="70" t="s">
        <v>2633</v>
      </c>
      <c r="B76" s="82"/>
      <c r="C76" s="70" t="s">
        <v>3636</v>
      </c>
      <c r="D76" s="70" t="s">
        <v>2837</v>
      </c>
      <c r="E76" s="70" t="s">
        <v>3178</v>
      </c>
      <c r="F76" s="70" t="s">
        <v>6964</v>
      </c>
      <c r="G76" s="70" t="s">
        <v>4438</v>
      </c>
      <c r="H76" s="85">
        <f t="shared" si="1"/>
        <v>5.1335400000000009</v>
      </c>
      <c r="I76" s="85">
        <v>136000.34184601295</v>
      </c>
      <c r="J76" s="131" t="s">
        <v>7291</v>
      </c>
      <c r="K76" s="60" t="s">
        <v>2686</v>
      </c>
      <c r="L76" s="49" t="s">
        <v>6392</v>
      </c>
    </row>
    <row r="77" spans="1:27" ht="28" x14ac:dyDescent="0.15">
      <c r="A77" s="70" t="s">
        <v>2633</v>
      </c>
      <c r="B77" s="82"/>
      <c r="C77" s="70" t="s">
        <v>3636</v>
      </c>
      <c r="D77" s="70" t="s">
        <v>2837</v>
      </c>
      <c r="E77" s="70" t="s">
        <v>3178</v>
      </c>
      <c r="F77" s="70" t="s">
        <v>6964</v>
      </c>
      <c r="G77" s="70" t="s">
        <v>1911</v>
      </c>
      <c r="H77" s="85">
        <f t="shared" si="1"/>
        <v>5.008600171761918</v>
      </c>
      <c r="I77" s="85">
        <v>102000</v>
      </c>
      <c r="J77" s="131" t="s">
        <v>7292</v>
      </c>
      <c r="K77" s="66">
        <v>75</v>
      </c>
      <c r="L77" s="49" t="s">
        <v>6392</v>
      </c>
      <c r="P77" s="12"/>
      <c r="Q77" s="12"/>
    </row>
    <row r="78" spans="1:27" ht="14" x14ac:dyDescent="0.15">
      <c r="A78" s="70" t="s">
        <v>2633</v>
      </c>
      <c r="B78" s="82"/>
      <c r="C78" s="70" t="s">
        <v>3636</v>
      </c>
      <c r="D78" s="70" t="s">
        <v>2837</v>
      </c>
      <c r="E78" s="70" t="s">
        <v>3178</v>
      </c>
      <c r="F78" s="70" t="s">
        <v>1912</v>
      </c>
      <c r="G78" s="70" t="s">
        <v>1913</v>
      </c>
      <c r="H78" s="85">
        <f t="shared" si="1"/>
        <v>4.010720000000001</v>
      </c>
      <c r="I78" s="85">
        <v>10249.908771372877</v>
      </c>
      <c r="J78" s="131" t="s">
        <v>6391</v>
      </c>
      <c r="K78" s="60">
        <v>65</v>
      </c>
      <c r="L78" s="49" t="s">
        <v>6728</v>
      </c>
    </row>
    <row r="79" spans="1:27" ht="14" x14ac:dyDescent="0.15">
      <c r="A79" s="70" t="s">
        <v>2479</v>
      </c>
      <c r="B79" s="82"/>
      <c r="C79" s="70" t="s">
        <v>3636</v>
      </c>
      <c r="D79" s="70" t="s">
        <v>2837</v>
      </c>
      <c r="E79" s="70" t="s">
        <v>3724</v>
      </c>
      <c r="F79" s="70" t="s">
        <v>5884</v>
      </c>
      <c r="G79" s="70" t="s">
        <v>4908</v>
      </c>
      <c r="H79" s="85">
        <f t="shared" si="1"/>
        <v>4.5250448070368456</v>
      </c>
      <c r="I79" s="85">
        <v>33500</v>
      </c>
      <c r="J79" s="131" t="s">
        <v>6522</v>
      </c>
      <c r="K79" s="60">
        <v>68</v>
      </c>
      <c r="L79" s="33" t="s">
        <v>6727</v>
      </c>
    </row>
    <row r="80" spans="1:27" ht="14" x14ac:dyDescent="0.15">
      <c r="A80" s="70" t="s">
        <v>2479</v>
      </c>
      <c r="B80" s="82"/>
      <c r="C80" s="70" t="s">
        <v>3636</v>
      </c>
      <c r="D80" s="70" t="s">
        <v>2837</v>
      </c>
      <c r="E80" s="70" t="s">
        <v>3724</v>
      </c>
      <c r="F80" s="70" t="s">
        <v>4909</v>
      </c>
      <c r="G80" s="70" t="s">
        <v>4910</v>
      </c>
      <c r="H80" s="85">
        <f t="shared" si="1"/>
        <v>5.173186268412274</v>
      </c>
      <c r="I80" s="85">
        <v>149000</v>
      </c>
      <c r="J80" s="131" t="s">
        <v>6485</v>
      </c>
      <c r="K80" s="60">
        <v>68</v>
      </c>
      <c r="L80" s="33" t="s">
        <v>6809</v>
      </c>
      <c r="R80" s="245"/>
      <c r="S80" s="245"/>
      <c r="T80" s="245"/>
      <c r="U80" s="245"/>
      <c r="V80" s="245"/>
      <c r="W80" s="245"/>
      <c r="X80" s="245"/>
      <c r="Y80" s="246"/>
      <c r="Z80" s="244"/>
      <c r="AA80" s="244"/>
    </row>
    <row r="81" spans="1:27" ht="14" x14ac:dyDescent="0.15">
      <c r="A81" s="70" t="s">
        <v>2479</v>
      </c>
      <c r="B81" s="93" t="s">
        <v>5856</v>
      </c>
      <c r="C81" s="70" t="s">
        <v>3636</v>
      </c>
      <c r="D81" s="70" t="s">
        <v>2837</v>
      </c>
      <c r="E81" s="70" t="s">
        <v>3178</v>
      </c>
      <c r="F81" s="70" t="s">
        <v>1914</v>
      </c>
      <c r="G81" s="70" t="s">
        <v>5544</v>
      </c>
      <c r="H81" s="85">
        <f t="shared" si="1"/>
        <v>4.2768446111454983</v>
      </c>
      <c r="I81" s="85">
        <f>AVERAGE((50*454), (35*454), (40*454))</f>
        <v>18916.666666666668</v>
      </c>
      <c r="J81" s="131" t="s">
        <v>6817</v>
      </c>
      <c r="K81" s="60">
        <v>133</v>
      </c>
      <c r="L81" s="33" t="s">
        <v>6392</v>
      </c>
    </row>
    <row r="82" spans="1:27" ht="14" x14ac:dyDescent="0.15">
      <c r="A82" s="70" t="s">
        <v>2633</v>
      </c>
      <c r="B82" s="82"/>
      <c r="C82" s="70" t="s">
        <v>3636</v>
      </c>
      <c r="D82" s="70" t="s">
        <v>2837</v>
      </c>
      <c r="E82" s="70" t="s">
        <v>3178</v>
      </c>
      <c r="F82" s="70" t="s">
        <v>1914</v>
      </c>
      <c r="G82" s="70" t="s">
        <v>4708</v>
      </c>
      <c r="H82" s="85">
        <f t="shared" si="1"/>
        <v>4.8633199999999999</v>
      </c>
      <c r="I82" s="85">
        <v>72999.519247620075</v>
      </c>
      <c r="J82" s="131" t="s">
        <v>6817</v>
      </c>
      <c r="K82" s="60">
        <v>60</v>
      </c>
      <c r="L82" s="49" t="s">
        <v>6390</v>
      </c>
    </row>
    <row r="83" spans="1:27" ht="14" x14ac:dyDescent="0.15">
      <c r="A83" s="70" t="s">
        <v>2633</v>
      </c>
      <c r="B83" s="82"/>
      <c r="C83" s="70" t="s">
        <v>3636</v>
      </c>
      <c r="D83" s="70" t="s">
        <v>2837</v>
      </c>
      <c r="E83" s="70" t="s">
        <v>3178</v>
      </c>
      <c r="F83" s="70" t="s">
        <v>1914</v>
      </c>
      <c r="G83" s="70" t="s">
        <v>1907</v>
      </c>
      <c r="H83" s="85">
        <f t="shared" si="1"/>
        <v>4.3617299999999997</v>
      </c>
      <c r="I83" s="85">
        <v>23000.114603619051</v>
      </c>
      <c r="J83" s="131" t="s">
        <v>6817</v>
      </c>
      <c r="K83" s="60">
        <v>65</v>
      </c>
      <c r="L83" s="49" t="s">
        <v>6728</v>
      </c>
      <c r="O83" s="49"/>
      <c r="R83" s="245"/>
      <c r="S83" s="245"/>
      <c r="T83" s="245"/>
      <c r="U83" s="245"/>
      <c r="V83" s="245"/>
      <c r="W83" s="245"/>
      <c r="X83" s="245"/>
      <c r="Y83" s="246"/>
      <c r="Z83" s="246"/>
      <c r="AA83" s="246"/>
    </row>
    <row r="84" spans="1:27" x14ac:dyDescent="0.15">
      <c r="A84" s="285" t="s">
        <v>8058</v>
      </c>
      <c r="B84" s="82"/>
      <c r="C84" s="285" t="s">
        <v>3636</v>
      </c>
      <c r="D84" s="285" t="s">
        <v>2837</v>
      </c>
      <c r="E84" s="285" t="s">
        <v>3178</v>
      </c>
      <c r="F84" s="285" t="s">
        <v>1914</v>
      </c>
      <c r="G84" s="285" t="s">
        <v>7014</v>
      </c>
      <c r="H84" s="85">
        <v>4.3569539180087968</v>
      </c>
      <c r="I84" s="85">
        <v>22749.934770825148</v>
      </c>
      <c r="J84" s="131"/>
      <c r="K84" s="301" t="s">
        <v>8053</v>
      </c>
      <c r="O84" s="49"/>
      <c r="R84" s="245"/>
      <c r="S84" s="245"/>
      <c r="T84" s="245"/>
      <c r="U84" s="245"/>
      <c r="V84" s="245"/>
      <c r="W84" s="245"/>
      <c r="X84" s="245"/>
      <c r="Y84" s="246"/>
      <c r="Z84" s="246"/>
      <c r="AA84" s="246"/>
    </row>
    <row r="85" spans="1:27" ht="17" x14ac:dyDescent="0.2">
      <c r="A85" s="70" t="s">
        <v>2633</v>
      </c>
      <c r="B85" s="82"/>
      <c r="C85" s="70" t="s">
        <v>3636</v>
      </c>
      <c r="D85" s="70" t="s">
        <v>2837</v>
      </c>
      <c r="E85" s="70" t="s">
        <v>3178</v>
      </c>
      <c r="F85" s="70" t="s">
        <v>1914</v>
      </c>
      <c r="G85" s="70" t="s">
        <v>7015</v>
      </c>
      <c r="H85" s="85">
        <f t="shared" si="1"/>
        <v>4.7403600000000008</v>
      </c>
      <c r="I85" s="85">
        <v>54999.659397640258</v>
      </c>
      <c r="J85" s="131" t="s">
        <v>6817</v>
      </c>
      <c r="K85" s="60" t="s">
        <v>2686</v>
      </c>
      <c r="L85" s="47" t="s">
        <v>6392</v>
      </c>
      <c r="R85" s="245"/>
      <c r="S85" s="245"/>
      <c r="T85" s="245"/>
      <c r="U85" s="245"/>
      <c r="V85" s="245"/>
      <c r="W85" s="245"/>
      <c r="X85" s="245"/>
      <c r="Y85" s="246"/>
      <c r="Z85" s="246"/>
      <c r="AA85" s="246"/>
    </row>
    <row r="86" spans="1:27" ht="14" x14ac:dyDescent="0.15">
      <c r="A86" s="70" t="s">
        <v>2633</v>
      </c>
      <c r="B86" s="82"/>
      <c r="C86" s="70" t="s">
        <v>3636</v>
      </c>
      <c r="D86" s="70" t="s">
        <v>2837</v>
      </c>
      <c r="E86" s="70" t="s">
        <v>3178</v>
      </c>
      <c r="F86" s="70" t="s">
        <v>1914</v>
      </c>
      <c r="G86" s="70" t="s">
        <v>5533</v>
      </c>
      <c r="H86" s="85">
        <f t="shared" si="1"/>
        <v>4.3463529744506388</v>
      </c>
      <c r="I86" s="85">
        <v>22200</v>
      </c>
      <c r="J86" s="131" t="s">
        <v>6080</v>
      </c>
      <c r="K86" s="60">
        <v>75</v>
      </c>
      <c r="L86" s="49" t="s">
        <v>6390</v>
      </c>
    </row>
    <row r="87" spans="1:27" ht="14" x14ac:dyDescent="0.15">
      <c r="A87" s="70" t="s">
        <v>2633</v>
      </c>
      <c r="B87" s="82"/>
      <c r="C87" s="73" t="s">
        <v>3636</v>
      </c>
      <c r="D87" s="73" t="s">
        <v>2837</v>
      </c>
      <c r="E87" s="70" t="s">
        <v>3178</v>
      </c>
      <c r="F87" s="73" t="s">
        <v>1914</v>
      </c>
      <c r="G87" s="73" t="s">
        <v>1918</v>
      </c>
      <c r="H87" s="85">
        <f t="shared" si="1"/>
        <v>4.4313599999999997</v>
      </c>
      <c r="I87" s="95">
        <v>26999.76598401209</v>
      </c>
      <c r="J87" s="131" t="s">
        <v>6817</v>
      </c>
      <c r="K87" s="60">
        <v>60</v>
      </c>
      <c r="L87" s="49" t="s">
        <v>6728</v>
      </c>
      <c r="R87" s="187"/>
      <c r="S87" s="187"/>
      <c r="T87" s="187"/>
      <c r="U87" s="187"/>
      <c r="V87" s="187"/>
      <c r="W87" s="187"/>
      <c r="X87" s="187"/>
      <c r="Y87" s="188"/>
      <c r="Z87" s="189"/>
      <c r="AA87" s="189"/>
    </row>
    <row r="88" spans="1:27" ht="28" x14ac:dyDescent="0.15">
      <c r="A88" s="70" t="s">
        <v>2479</v>
      </c>
      <c r="B88" s="93" t="s">
        <v>2417</v>
      </c>
      <c r="C88" s="70" t="s">
        <v>3636</v>
      </c>
      <c r="D88" s="70" t="s">
        <v>2837</v>
      </c>
      <c r="E88" s="70" t="s">
        <v>3178</v>
      </c>
      <c r="F88" s="70" t="s">
        <v>1914</v>
      </c>
      <c r="G88" s="70" t="s">
        <v>5534</v>
      </c>
      <c r="H88" s="85">
        <f t="shared" si="1"/>
        <v>4.204119982655925</v>
      </c>
      <c r="I88" s="85">
        <v>16000</v>
      </c>
      <c r="J88" s="131" t="s">
        <v>3177</v>
      </c>
      <c r="K88" s="60">
        <v>143</v>
      </c>
      <c r="L88" s="49" t="s">
        <v>6748</v>
      </c>
      <c r="R88" s="245"/>
      <c r="S88" s="245"/>
      <c r="T88" s="245"/>
      <c r="U88" s="245"/>
      <c r="V88" s="245"/>
      <c r="W88" s="245"/>
      <c r="X88" s="245"/>
      <c r="Y88" s="246"/>
      <c r="Z88" s="244"/>
      <c r="AA88" s="244"/>
    </row>
    <row r="89" spans="1:27" ht="14" x14ac:dyDescent="0.15">
      <c r="A89" s="70" t="s">
        <v>2633</v>
      </c>
      <c r="B89" s="82"/>
      <c r="C89" s="70" t="s">
        <v>3636</v>
      </c>
      <c r="D89" s="70" t="s">
        <v>2837</v>
      </c>
      <c r="E89" s="70" t="s">
        <v>3178</v>
      </c>
      <c r="F89" s="303" t="s">
        <v>8074</v>
      </c>
      <c r="G89" s="70" t="s">
        <v>4558</v>
      </c>
      <c r="H89" s="85">
        <f t="shared" si="1"/>
        <v>4.6020599999999998</v>
      </c>
      <c r="I89" s="85">
        <v>40000.000798724192</v>
      </c>
      <c r="J89" s="131" t="s">
        <v>6817</v>
      </c>
      <c r="K89" s="60" t="s">
        <v>2686</v>
      </c>
      <c r="L89" s="49" t="s">
        <v>6728</v>
      </c>
    </row>
    <row r="90" spans="1:27" ht="14" x14ac:dyDescent="0.15">
      <c r="A90" s="70" t="s">
        <v>2633</v>
      </c>
      <c r="B90" s="82"/>
      <c r="C90" s="70" t="s">
        <v>3636</v>
      </c>
      <c r="D90" s="70" t="s">
        <v>2837</v>
      </c>
      <c r="E90" s="70" t="s">
        <v>3178</v>
      </c>
      <c r="F90" s="70" t="s">
        <v>1914</v>
      </c>
      <c r="G90" s="70" t="s">
        <v>4559</v>
      </c>
      <c r="H90" s="85">
        <f t="shared" si="1"/>
        <v>4.3010300000000008</v>
      </c>
      <c r="I90" s="85">
        <v>20000.000199681075</v>
      </c>
      <c r="J90" s="131" t="s">
        <v>6391</v>
      </c>
      <c r="K90" s="60">
        <v>65</v>
      </c>
      <c r="L90" s="49" t="s">
        <v>6728</v>
      </c>
      <c r="R90" s="245"/>
      <c r="S90" s="245"/>
      <c r="T90" s="245"/>
      <c r="U90" s="245"/>
      <c r="V90" s="245"/>
      <c r="W90" s="245"/>
      <c r="X90" s="245"/>
      <c r="Y90" s="246"/>
      <c r="Z90" s="243"/>
      <c r="AA90" s="243"/>
    </row>
    <row r="91" spans="1:27" ht="14" x14ac:dyDescent="0.15">
      <c r="A91" s="70" t="s">
        <v>2479</v>
      </c>
      <c r="B91" s="82"/>
      <c r="C91" s="70" t="s">
        <v>3636</v>
      </c>
      <c r="D91" s="70" t="s">
        <v>2837</v>
      </c>
      <c r="E91" s="70" t="s">
        <v>3178</v>
      </c>
      <c r="F91" s="70" t="s">
        <v>1914</v>
      </c>
      <c r="G91" s="70" t="s">
        <v>5535</v>
      </c>
      <c r="H91" s="85">
        <f t="shared" si="1"/>
        <v>4.4548448600085102</v>
      </c>
      <c r="I91" s="85">
        <f>AVERAGE(25500, 31500)</f>
        <v>28500</v>
      </c>
      <c r="J91" s="131" t="s">
        <v>6817</v>
      </c>
      <c r="K91" s="60">
        <v>91</v>
      </c>
      <c r="L91" s="49" t="s">
        <v>6392</v>
      </c>
      <c r="M91" s="32"/>
    </row>
    <row r="92" spans="1:27" ht="14" x14ac:dyDescent="0.15">
      <c r="A92" s="70" t="s">
        <v>2633</v>
      </c>
      <c r="B92" s="82"/>
      <c r="C92" s="70" t="s">
        <v>3636</v>
      </c>
      <c r="D92" s="70" t="s">
        <v>2837</v>
      </c>
      <c r="E92" s="70" t="s">
        <v>3178</v>
      </c>
      <c r="F92" s="70" t="s">
        <v>1914</v>
      </c>
      <c r="G92" s="70" t="s">
        <v>4560</v>
      </c>
      <c r="H92" s="85">
        <f t="shared" si="1"/>
        <v>4.31175</v>
      </c>
      <c r="I92" s="85">
        <v>20499.817747416979</v>
      </c>
      <c r="J92" s="131" t="s">
        <v>6522</v>
      </c>
      <c r="K92" s="60" t="s">
        <v>2686</v>
      </c>
      <c r="L92" s="49" t="s">
        <v>6392</v>
      </c>
    </row>
    <row r="93" spans="1:27" ht="14" x14ac:dyDescent="0.15">
      <c r="A93" s="70" t="s">
        <v>2633</v>
      </c>
      <c r="B93" s="82"/>
      <c r="C93" s="70" t="s">
        <v>3636</v>
      </c>
      <c r="D93" s="70" t="s">
        <v>2837</v>
      </c>
      <c r="E93" s="70" t="s">
        <v>3543</v>
      </c>
      <c r="F93" s="70" t="s">
        <v>3544</v>
      </c>
      <c r="G93" s="70" t="s">
        <v>3545</v>
      </c>
      <c r="H93" s="85">
        <f t="shared" si="1"/>
        <v>5.9542400000000013</v>
      </c>
      <c r="I93" s="85">
        <v>899994.79963720404</v>
      </c>
      <c r="J93" s="131" t="s">
        <v>6391</v>
      </c>
      <c r="K93" s="63" t="s">
        <v>2686</v>
      </c>
      <c r="L93" s="49" t="s">
        <v>6392</v>
      </c>
      <c r="R93" s="245"/>
      <c r="S93" s="245"/>
      <c r="T93" s="245"/>
      <c r="U93" s="245"/>
      <c r="V93" s="245"/>
      <c r="W93" s="245"/>
      <c r="X93" s="245"/>
      <c r="Y93" s="246"/>
      <c r="Z93" s="246"/>
      <c r="AA93" s="246"/>
    </row>
    <row r="94" spans="1:27" ht="14" x14ac:dyDescent="0.15">
      <c r="A94" s="70" t="s">
        <v>2479</v>
      </c>
      <c r="B94" s="93" t="s">
        <v>2418</v>
      </c>
      <c r="C94" s="70" t="s">
        <v>3636</v>
      </c>
      <c r="D94" s="70" t="s">
        <v>2837</v>
      </c>
      <c r="E94" s="70" t="s">
        <v>3178</v>
      </c>
      <c r="F94" s="70" t="s">
        <v>5203</v>
      </c>
      <c r="G94" s="70" t="s">
        <v>7783</v>
      </c>
      <c r="H94" s="85">
        <f t="shared" si="1"/>
        <v>4.8750612633917001</v>
      </c>
      <c r="I94" s="85">
        <v>75000</v>
      </c>
      <c r="J94" s="131" t="s">
        <v>6817</v>
      </c>
      <c r="K94" s="60">
        <v>136</v>
      </c>
      <c r="L94" s="31" t="s">
        <v>6390</v>
      </c>
      <c r="R94" s="245"/>
      <c r="S94" s="245"/>
      <c r="T94" s="245"/>
      <c r="U94" s="245"/>
      <c r="V94" s="245"/>
      <c r="W94" s="245"/>
      <c r="X94" s="245"/>
      <c r="Y94" s="246"/>
      <c r="Z94" s="244"/>
      <c r="AA94" s="244"/>
    </row>
    <row r="95" spans="1:27" ht="56" x14ac:dyDescent="0.2">
      <c r="A95" s="70" t="s">
        <v>2479</v>
      </c>
      <c r="B95" s="93" t="s">
        <v>2248</v>
      </c>
      <c r="C95" s="70" t="s">
        <v>3636</v>
      </c>
      <c r="D95" s="70" t="s">
        <v>2837</v>
      </c>
      <c r="E95" s="70" t="s">
        <v>3178</v>
      </c>
      <c r="F95" s="70" t="s">
        <v>5203</v>
      </c>
      <c r="G95" s="70" t="s">
        <v>7784</v>
      </c>
      <c r="H95" s="85">
        <f t="shared" si="1"/>
        <v>4.3617278360175931</v>
      </c>
      <c r="I95" s="85">
        <v>23000</v>
      </c>
      <c r="J95" s="131" t="s">
        <v>4256</v>
      </c>
      <c r="K95" s="60">
        <v>136</v>
      </c>
      <c r="L95" s="47" t="s">
        <v>6390</v>
      </c>
      <c r="M95" s="32"/>
    </row>
    <row r="96" spans="1:27" ht="42" x14ac:dyDescent="0.15">
      <c r="A96" s="70" t="s">
        <v>2479</v>
      </c>
      <c r="B96" s="82"/>
      <c r="C96" s="70" t="s">
        <v>3636</v>
      </c>
      <c r="D96" s="70" t="s">
        <v>2837</v>
      </c>
      <c r="E96" s="70" t="s">
        <v>3178</v>
      </c>
      <c r="F96" s="70" t="s">
        <v>5203</v>
      </c>
      <c r="G96" s="70" t="s">
        <v>6097</v>
      </c>
      <c r="H96" s="85">
        <f t="shared" si="1"/>
        <v>4.5465426634781307</v>
      </c>
      <c r="I96" s="85">
        <v>35200</v>
      </c>
      <c r="J96" s="131" t="s">
        <v>1413</v>
      </c>
      <c r="K96" s="60">
        <v>68</v>
      </c>
      <c r="L96" s="33" t="s">
        <v>6728</v>
      </c>
    </row>
    <row r="97" spans="1:27" ht="14" x14ac:dyDescent="0.15">
      <c r="A97" s="70" t="s">
        <v>2633</v>
      </c>
      <c r="B97" s="82"/>
      <c r="C97" s="70" t="s">
        <v>3636</v>
      </c>
      <c r="D97" s="70" t="s">
        <v>2837</v>
      </c>
      <c r="E97" s="70" t="s">
        <v>3538</v>
      </c>
      <c r="F97" s="70" t="s">
        <v>3539</v>
      </c>
      <c r="G97" s="70" t="s">
        <v>3540</v>
      </c>
      <c r="H97" s="85">
        <f t="shared" si="1"/>
        <v>5.3710700000000005</v>
      </c>
      <c r="I97" s="85">
        <v>235001.15674363667</v>
      </c>
      <c r="J97" s="131" t="s">
        <v>6817</v>
      </c>
      <c r="K97" s="60">
        <v>60</v>
      </c>
      <c r="L97" s="49" t="s">
        <v>6728</v>
      </c>
      <c r="R97" s="245"/>
      <c r="S97" s="245"/>
      <c r="T97" s="245"/>
      <c r="U97" s="245"/>
      <c r="V97" s="245"/>
      <c r="W97" s="245"/>
      <c r="X97" s="245"/>
      <c r="Y97" s="246"/>
      <c r="Z97" s="244"/>
      <c r="AA97" s="244"/>
    </row>
    <row r="98" spans="1:27" ht="42" x14ac:dyDescent="0.2">
      <c r="A98" s="70" t="s">
        <v>7029</v>
      </c>
      <c r="B98" s="82"/>
      <c r="C98" s="70" t="s">
        <v>3636</v>
      </c>
      <c r="D98" s="70" t="s">
        <v>2837</v>
      </c>
      <c r="E98" s="70" t="s">
        <v>3724</v>
      </c>
      <c r="F98" s="70" t="s">
        <v>3499</v>
      </c>
      <c r="G98" s="70" t="s">
        <v>4181</v>
      </c>
      <c r="H98" s="85">
        <f t="shared" si="1"/>
        <v>4.8363200000000006</v>
      </c>
      <c r="I98" s="85">
        <v>68599.349897000575</v>
      </c>
      <c r="J98" s="131" t="s">
        <v>7741</v>
      </c>
      <c r="K98" s="69">
        <v>61</v>
      </c>
      <c r="L98" s="47" t="s">
        <v>6727</v>
      </c>
      <c r="R98" s="245"/>
      <c r="S98" s="245"/>
      <c r="T98" s="245"/>
      <c r="U98" s="245"/>
      <c r="V98" s="245"/>
      <c r="W98" s="245"/>
      <c r="X98" s="245"/>
      <c r="Y98" s="246"/>
      <c r="Z98" s="244"/>
      <c r="AA98" s="244"/>
    </row>
    <row r="99" spans="1:27" ht="42" x14ac:dyDescent="0.15">
      <c r="A99" s="73" t="s">
        <v>7029</v>
      </c>
      <c r="B99" s="82"/>
      <c r="C99" s="70" t="s">
        <v>3636</v>
      </c>
      <c r="D99" s="70" t="s">
        <v>2837</v>
      </c>
      <c r="E99" s="70" t="s">
        <v>3724</v>
      </c>
      <c r="F99" s="70" t="s">
        <v>3499</v>
      </c>
      <c r="G99" s="70" t="s">
        <v>3498</v>
      </c>
      <c r="H99" s="85">
        <f t="shared" si="1"/>
        <v>4.8451000000000004</v>
      </c>
      <c r="I99" s="85">
        <v>70000.315913089813</v>
      </c>
      <c r="J99" s="131" t="s">
        <v>7741</v>
      </c>
      <c r="K99" s="69">
        <v>61</v>
      </c>
      <c r="L99" s="49" t="s">
        <v>6390</v>
      </c>
    </row>
    <row r="100" spans="1:27" ht="14" x14ac:dyDescent="0.15">
      <c r="A100" s="70" t="s">
        <v>2633</v>
      </c>
      <c r="B100" s="82"/>
      <c r="C100" s="70" t="s">
        <v>3636</v>
      </c>
      <c r="D100" s="70" t="s">
        <v>2837</v>
      </c>
      <c r="E100" s="70" t="s">
        <v>3538</v>
      </c>
      <c r="F100" s="70" t="s">
        <v>3541</v>
      </c>
      <c r="G100" s="70" t="s">
        <v>3542</v>
      </c>
      <c r="H100" s="85">
        <f t="shared" si="1"/>
        <v>6.1515199999999997</v>
      </c>
      <c r="I100" s="85">
        <v>1417489.98776606</v>
      </c>
      <c r="J100" s="131" t="s">
        <v>3177</v>
      </c>
      <c r="K100" s="60" t="s">
        <v>2686</v>
      </c>
      <c r="R100" s="245"/>
      <c r="S100" s="245"/>
      <c r="T100" s="245"/>
      <c r="U100" s="245"/>
      <c r="V100" s="245"/>
      <c r="W100" s="245"/>
      <c r="X100" s="245"/>
      <c r="Y100" s="246"/>
      <c r="Z100" s="244"/>
      <c r="AA100" s="244"/>
    </row>
    <row r="101" spans="1:27" ht="14" x14ac:dyDescent="0.15">
      <c r="A101" s="70" t="s">
        <v>2633</v>
      </c>
      <c r="B101" s="82"/>
      <c r="C101" s="70" t="s">
        <v>3636</v>
      </c>
      <c r="D101" s="70" t="s">
        <v>2837</v>
      </c>
      <c r="E101" s="70" t="s">
        <v>3178</v>
      </c>
      <c r="F101" s="70" t="s">
        <v>4562</v>
      </c>
      <c r="G101" s="70" t="s">
        <v>2143</v>
      </c>
      <c r="H101" s="85">
        <f t="shared" si="1"/>
        <v>5.4313600000000006</v>
      </c>
      <c r="I101" s="85">
        <v>269997.65984012122</v>
      </c>
      <c r="J101" s="131" t="s">
        <v>6817</v>
      </c>
      <c r="K101" s="60" t="s">
        <v>2686</v>
      </c>
      <c r="L101" s="49" t="s">
        <v>6392</v>
      </c>
    </row>
    <row r="102" spans="1:27" s="3" customFormat="1" ht="14" x14ac:dyDescent="0.15">
      <c r="A102" s="70" t="s">
        <v>2633</v>
      </c>
      <c r="B102" s="82"/>
      <c r="C102" s="70" t="s">
        <v>3636</v>
      </c>
      <c r="D102" s="70" t="s">
        <v>2837</v>
      </c>
      <c r="E102" s="70" t="s">
        <v>3178</v>
      </c>
      <c r="F102" s="70" t="s">
        <v>4562</v>
      </c>
      <c r="G102" s="70" t="s">
        <v>3656</v>
      </c>
      <c r="H102" s="85">
        <f t="shared" si="1"/>
        <v>5.356980000000001</v>
      </c>
      <c r="I102" s="85">
        <v>227499.26610759203</v>
      </c>
      <c r="J102" s="131" t="s">
        <v>6817</v>
      </c>
      <c r="K102" s="60" t="s">
        <v>2686</v>
      </c>
      <c r="L102" s="49" t="s">
        <v>6392</v>
      </c>
      <c r="M102" s="37"/>
      <c r="N102" s="37"/>
      <c r="O102" s="37"/>
      <c r="Y102" s="4"/>
      <c r="Z102"/>
      <c r="AA102"/>
    </row>
    <row r="103" spans="1:27" s="3" customFormat="1" ht="14" x14ac:dyDescent="0.15">
      <c r="A103" s="70" t="s">
        <v>2479</v>
      </c>
      <c r="B103" s="82"/>
      <c r="C103" s="70" t="s">
        <v>3636</v>
      </c>
      <c r="D103" s="70" t="s">
        <v>2837</v>
      </c>
      <c r="E103" s="70" t="s">
        <v>3724</v>
      </c>
      <c r="F103" s="70" t="s">
        <v>4990</v>
      </c>
      <c r="G103" s="70" t="s">
        <v>5570</v>
      </c>
      <c r="H103" s="85">
        <f t="shared" si="1"/>
        <v>4.1461280356782382</v>
      </c>
      <c r="I103" s="85">
        <v>14000</v>
      </c>
      <c r="J103" s="131" t="s">
        <v>6485</v>
      </c>
      <c r="K103" s="60">
        <v>68</v>
      </c>
      <c r="L103" s="49" t="s">
        <v>6392</v>
      </c>
      <c r="M103" s="37"/>
      <c r="N103" s="33"/>
      <c r="O103" s="37"/>
      <c r="Y103" s="4"/>
      <c r="Z103"/>
      <c r="AA103"/>
    </row>
    <row r="104" spans="1:27" s="3" customFormat="1" ht="14" x14ac:dyDescent="0.15">
      <c r="A104" s="70" t="s">
        <v>2633</v>
      </c>
      <c r="B104" s="82"/>
      <c r="C104" s="70" t="s">
        <v>3636</v>
      </c>
      <c r="D104" s="70" t="s">
        <v>2837</v>
      </c>
      <c r="E104" s="70" t="s">
        <v>3770</v>
      </c>
      <c r="F104" s="70" t="s">
        <v>3771</v>
      </c>
      <c r="G104" s="70" t="s">
        <v>3772</v>
      </c>
      <c r="H104" s="85">
        <f t="shared" si="1"/>
        <v>4.0354299999999999</v>
      </c>
      <c r="I104" s="85">
        <v>10850.006540950035</v>
      </c>
      <c r="J104" s="131" t="s">
        <v>6817</v>
      </c>
      <c r="K104" s="60">
        <v>60</v>
      </c>
      <c r="L104" s="49" t="s">
        <v>6727</v>
      </c>
      <c r="M104" s="37"/>
      <c r="N104" s="37"/>
      <c r="O104" s="37"/>
      <c r="R104" s="245"/>
      <c r="S104" s="245"/>
      <c r="T104" s="245"/>
      <c r="U104" s="245"/>
      <c r="V104" s="245"/>
      <c r="W104" s="245"/>
      <c r="X104" s="245"/>
      <c r="Y104" s="246"/>
      <c r="Z104" s="243"/>
      <c r="AA104" s="243"/>
    </row>
    <row r="105" spans="1:27" s="3" customFormat="1" ht="14" x14ac:dyDescent="0.15">
      <c r="A105" s="70" t="s">
        <v>2633</v>
      </c>
      <c r="B105" s="82"/>
      <c r="C105" s="70" t="s">
        <v>3636</v>
      </c>
      <c r="D105" s="70" t="s">
        <v>2837</v>
      </c>
      <c r="E105" s="70" t="s">
        <v>3088</v>
      </c>
      <c r="F105" s="70" t="s">
        <v>2899</v>
      </c>
      <c r="G105" s="70" t="s">
        <v>3299</v>
      </c>
      <c r="H105" s="85">
        <f t="shared" si="1"/>
        <v>5.2753113545418113</v>
      </c>
      <c r="I105" s="85">
        <f>AVERAGE(145000, 275000, 130000, 204000)</f>
        <v>188500</v>
      </c>
      <c r="J105" s="131" t="s">
        <v>3177</v>
      </c>
      <c r="K105" s="60">
        <v>116</v>
      </c>
      <c r="L105" s="49"/>
      <c r="M105" s="37"/>
      <c r="N105" s="37"/>
      <c r="O105" s="37"/>
      <c r="R105" s="245"/>
      <c r="S105" s="245"/>
      <c r="T105" s="245"/>
      <c r="U105" s="245"/>
      <c r="V105" s="245"/>
      <c r="W105" s="245"/>
      <c r="X105" s="245"/>
      <c r="Y105" s="246"/>
      <c r="Z105" s="243"/>
      <c r="AA105" s="243"/>
    </row>
    <row r="106" spans="1:27" s="3" customFormat="1" ht="14" x14ac:dyDescent="0.15">
      <c r="A106" s="73" t="s">
        <v>2633</v>
      </c>
      <c r="B106" s="82"/>
      <c r="C106" s="70" t="s">
        <v>3636</v>
      </c>
      <c r="D106" s="70" t="s">
        <v>2837</v>
      </c>
      <c r="E106" s="70" t="s">
        <v>3178</v>
      </c>
      <c r="F106" s="70" t="s">
        <v>2144</v>
      </c>
      <c r="G106" s="70" t="s">
        <v>6981</v>
      </c>
      <c r="H106" s="85">
        <f t="shared" si="1"/>
        <v>5.3222200000000006</v>
      </c>
      <c r="I106" s="85">
        <v>210000.34102666145</v>
      </c>
      <c r="J106" s="131" t="s">
        <v>6817</v>
      </c>
      <c r="K106" s="60" t="s">
        <v>2686</v>
      </c>
      <c r="L106" s="49" t="s">
        <v>6392</v>
      </c>
      <c r="M106" s="37"/>
      <c r="N106" s="37"/>
      <c r="O106" s="37"/>
      <c r="Y106" s="4"/>
      <c r="Z106"/>
      <c r="AA106"/>
    </row>
    <row r="107" spans="1:27" s="3" customFormat="1" ht="14" x14ac:dyDescent="0.15">
      <c r="A107" s="70" t="s">
        <v>2633</v>
      </c>
      <c r="B107" s="82"/>
      <c r="C107" s="70" t="s">
        <v>3636</v>
      </c>
      <c r="D107" s="70" t="s">
        <v>2837</v>
      </c>
      <c r="E107" s="70" t="s">
        <v>3178</v>
      </c>
      <c r="F107" s="70" t="s">
        <v>2144</v>
      </c>
      <c r="G107" s="70" t="s">
        <v>6982</v>
      </c>
      <c r="H107" s="85">
        <f t="shared" si="1"/>
        <v>4.8948700000000009</v>
      </c>
      <c r="I107" s="85">
        <v>78500.062044325954</v>
      </c>
      <c r="J107" s="131" t="s">
        <v>6818</v>
      </c>
      <c r="K107" s="60" t="s">
        <v>2686</v>
      </c>
      <c r="L107" s="49" t="s">
        <v>6392</v>
      </c>
      <c r="M107" s="37"/>
      <c r="N107" s="49"/>
      <c r="O107" s="37"/>
      <c r="Y107" s="4"/>
      <c r="Z107"/>
      <c r="AA107"/>
    </row>
    <row r="108" spans="1:27" s="3" customFormat="1" ht="14" x14ac:dyDescent="0.15">
      <c r="A108" s="70" t="s">
        <v>2633</v>
      </c>
      <c r="B108" s="82"/>
      <c r="C108" s="70" t="s">
        <v>3636</v>
      </c>
      <c r="D108" s="70" t="s">
        <v>2837</v>
      </c>
      <c r="E108" s="70" t="s">
        <v>3178</v>
      </c>
      <c r="F108" s="70" t="s">
        <v>2144</v>
      </c>
      <c r="G108" s="70" t="s">
        <v>4718</v>
      </c>
      <c r="H108" s="85">
        <f t="shared" si="1"/>
        <v>5.04434</v>
      </c>
      <c r="I108" s="85">
        <v>110749.04756364247</v>
      </c>
      <c r="J108" s="131" t="s">
        <v>6817</v>
      </c>
      <c r="K108" s="63">
        <v>60</v>
      </c>
      <c r="L108" s="49" t="s">
        <v>6392</v>
      </c>
      <c r="M108" s="37"/>
      <c r="N108" s="37"/>
      <c r="O108" s="49"/>
      <c r="R108" s="245"/>
      <c r="S108" s="245"/>
      <c r="T108" s="245"/>
      <c r="U108" s="245"/>
      <c r="V108" s="245"/>
      <c r="W108" s="245"/>
      <c r="X108" s="245"/>
      <c r="Y108" s="246"/>
      <c r="Z108" s="244"/>
      <c r="AA108" s="244"/>
    </row>
    <row r="109" spans="1:27" s="3" customFormat="1" ht="28" x14ac:dyDescent="0.15">
      <c r="A109" s="70" t="s">
        <v>2633</v>
      </c>
      <c r="B109" s="82"/>
      <c r="C109" s="70" t="s">
        <v>3636</v>
      </c>
      <c r="D109" s="70" t="s">
        <v>2837</v>
      </c>
      <c r="E109" s="70" t="s">
        <v>3178</v>
      </c>
      <c r="F109" s="70" t="s">
        <v>2144</v>
      </c>
      <c r="G109" s="70" t="s">
        <v>4719</v>
      </c>
      <c r="H109" s="85">
        <f t="shared" si="1"/>
        <v>4.9420100000000007</v>
      </c>
      <c r="I109" s="85">
        <v>87500.392270536715</v>
      </c>
      <c r="J109" s="131" t="s">
        <v>6460</v>
      </c>
      <c r="K109" s="60">
        <v>65</v>
      </c>
      <c r="L109" s="49" t="s">
        <v>6392</v>
      </c>
      <c r="M109" s="37"/>
      <c r="N109" s="37"/>
      <c r="O109" s="37"/>
      <c r="Y109" s="4"/>
      <c r="Z109"/>
      <c r="AA109"/>
    </row>
    <row r="110" spans="1:27" s="3" customFormat="1" ht="14" x14ac:dyDescent="0.15">
      <c r="A110" s="70" t="s">
        <v>2633</v>
      </c>
      <c r="B110" s="82"/>
      <c r="C110" s="70" t="s">
        <v>3636</v>
      </c>
      <c r="D110" s="70" t="s">
        <v>2837</v>
      </c>
      <c r="E110" s="70" t="s">
        <v>3178</v>
      </c>
      <c r="F110" s="70" t="s">
        <v>2144</v>
      </c>
      <c r="G110" s="70" t="s">
        <v>4720</v>
      </c>
      <c r="H110" s="85">
        <f t="shared" si="1"/>
        <v>4.8543099999999999</v>
      </c>
      <c r="I110" s="85">
        <v>71500.651660392279</v>
      </c>
      <c r="J110" s="131" t="s">
        <v>6080</v>
      </c>
      <c r="K110" s="60" t="s">
        <v>2686</v>
      </c>
      <c r="L110" s="49" t="s">
        <v>6392</v>
      </c>
      <c r="M110" s="37"/>
      <c r="N110" s="37"/>
      <c r="O110" s="37"/>
      <c r="Y110" s="4"/>
      <c r="Z110"/>
      <c r="AA110"/>
    </row>
    <row r="111" spans="1:27" s="3" customFormat="1" ht="28" x14ac:dyDescent="0.15">
      <c r="A111" s="70" t="s">
        <v>7029</v>
      </c>
      <c r="B111" s="82" t="s">
        <v>2486</v>
      </c>
      <c r="C111" s="70" t="s">
        <v>3636</v>
      </c>
      <c r="D111" s="70" t="s">
        <v>2837</v>
      </c>
      <c r="E111" s="70" t="s">
        <v>7198</v>
      </c>
      <c r="F111" s="70" t="s">
        <v>3982</v>
      </c>
      <c r="G111" s="70" t="s">
        <v>7897</v>
      </c>
      <c r="H111" s="85">
        <f t="shared" si="1"/>
        <v>5.153814864344529</v>
      </c>
      <c r="I111" s="85">
        <f>AVERAGE(130000, 155000)</f>
        <v>142500</v>
      </c>
      <c r="J111" s="131" t="s">
        <v>1326</v>
      </c>
      <c r="K111" s="60" t="s">
        <v>1387</v>
      </c>
      <c r="L111" s="33"/>
      <c r="M111" s="37"/>
      <c r="N111" s="37"/>
      <c r="O111" s="37"/>
      <c r="Y111" s="4"/>
      <c r="Z111"/>
      <c r="AA111"/>
    </row>
    <row r="112" spans="1:27" s="3" customFormat="1" ht="14" x14ac:dyDescent="0.15">
      <c r="A112" s="70" t="s">
        <v>7029</v>
      </c>
      <c r="B112" s="82"/>
      <c r="C112" s="70" t="s">
        <v>3636</v>
      </c>
      <c r="D112" s="70" t="s">
        <v>2837</v>
      </c>
      <c r="E112" s="70" t="s">
        <v>7198</v>
      </c>
      <c r="F112" s="70" t="s">
        <v>3982</v>
      </c>
      <c r="G112" s="70" t="s">
        <v>3688</v>
      </c>
      <c r="H112" s="85">
        <f t="shared" si="1"/>
        <v>5.0791812460476251</v>
      </c>
      <c r="I112" s="85">
        <v>120000</v>
      </c>
      <c r="J112" s="131" t="s">
        <v>3177</v>
      </c>
      <c r="K112" s="69">
        <v>61</v>
      </c>
      <c r="L112" s="50"/>
      <c r="M112" s="37"/>
      <c r="N112" s="37"/>
      <c r="O112" s="37"/>
      <c r="Y112" s="4"/>
      <c r="Z112"/>
      <c r="AA112"/>
    </row>
    <row r="113" spans="1:27" s="3" customFormat="1" ht="14" x14ac:dyDescent="0.15">
      <c r="A113" s="70" t="s">
        <v>7029</v>
      </c>
      <c r="B113" s="82"/>
      <c r="C113" s="70" t="s">
        <v>3636</v>
      </c>
      <c r="D113" s="70" t="s">
        <v>2837</v>
      </c>
      <c r="E113" s="70" t="s">
        <v>7198</v>
      </c>
      <c r="F113" s="70" t="s">
        <v>3982</v>
      </c>
      <c r="G113" s="70" t="s">
        <v>5569</v>
      </c>
      <c r="H113" s="85">
        <f t="shared" si="1"/>
        <v>4.7781512503836439</v>
      </c>
      <c r="I113" s="85">
        <v>60000</v>
      </c>
      <c r="J113" s="131" t="s">
        <v>6485</v>
      </c>
      <c r="K113" s="63">
        <v>68</v>
      </c>
      <c r="L113" s="49"/>
      <c r="M113" s="37"/>
      <c r="N113" s="37"/>
      <c r="O113" s="37"/>
      <c r="Y113" s="4"/>
      <c r="Z113"/>
      <c r="AA113"/>
    </row>
    <row r="114" spans="1:27" s="3" customFormat="1" ht="14" x14ac:dyDescent="0.15">
      <c r="A114" s="73" t="s">
        <v>2633</v>
      </c>
      <c r="B114" s="82"/>
      <c r="C114" s="70" t="s">
        <v>3636</v>
      </c>
      <c r="D114" s="70" t="s">
        <v>2837</v>
      </c>
      <c r="E114" s="70" t="s">
        <v>3178</v>
      </c>
      <c r="F114" s="70" t="s">
        <v>4721</v>
      </c>
      <c r="G114" s="70" t="s">
        <v>3710</v>
      </c>
      <c r="H114" s="85">
        <f t="shared" si="1"/>
        <v>4.5797800000000013</v>
      </c>
      <c r="I114" s="85">
        <v>37999.685303685583</v>
      </c>
      <c r="J114" s="131" t="s">
        <v>6817</v>
      </c>
      <c r="K114" s="60" t="s">
        <v>2686</v>
      </c>
      <c r="L114" s="49" t="s">
        <v>6392</v>
      </c>
      <c r="M114" s="37"/>
      <c r="N114" s="49"/>
      <c r="O114" s="37"/>
      <c r="Y114" s="4"/>
      <c r="Z114"/>
      <c r="AA114"/>
    </row>
    <row r="115" spans="1:27" s="3" customFormat="1" ht="14" x14ac:dyDescent="0.15">
      <c r="A115" s="70" t="s">
        <v>2633</v>
      </c>
      <c r="B115" s="82"/>
      <c r="C115" s="70" t="s">
        <v>3636</v>
      </c>
      <c r="D115" s="70" t="s">
        <v>2837</v>
      </c>
      <c r="E115" s="70" t="s">
        <v>3178</v>
      </c>
      <c r="F115" s="70" t="s">
        <v>3711</v>
      </c>
      <c r="G115" s="70" t="s">
        <v>3714</v>
      </c>
      <c r="H115" s="85">
        <f t="shared" si="1"/>
        <v>3.8750599999999999</v>
      </c>
      <c r="I115" s="85">
        <v>7499.9781820300241</v>
      </c>
      <c r="J115" s="131" t="s">
        <v>3177</v>
      </c>
      <c r="K115" s="60" t="s">
        <v>2686</v>
      </c>
      <c r="L115" s="49"/>
      <c r="M115" s="37"/>
      <c r="N115" s="37"/>
      <c r="O115" s="37"/>
      <c r="Y115" s="4"/>
      <c r="Z115"/>
      <c r="AA115"/>
    </row>
    <row r="116" spans="1:27" s="3" customFormat="1" ht="14" x14ac:dyDescent="0.15">
      <c r="A116" s="70" t="s">
        <v>2633</v>
      </c>
      <c r="B116" s="82"/>
      <c r="C116" s="70" t="s">
        <v>3636</v>
      </c>
      <c r="D116" s="70" t="s">
        <v>2837</v>
      </c>
      <c r="E116" s="70" t="s">
        <v>3178</v>
      </c>
      <c r="F116" s="70" t="s">
        <v>3711</v>
      </c>
      <c r="G116" s="70" t="s">
        <v>3715</v>
      </c>
      <c r="H116" s="85">
        <f t="shared" si="1"/>
        <v>3.7242800000000007</v>
      </c>
      <c r="I116" s="85">
        <v>5300.0504063966555</v>
      </c>
      <c r="J116" s="131" t="s">
        <v>3177</v>
      </c>
      <c r="K116" s="60" t="s">
        <v>2686</v>
      </c>
      <c r="L116" s="49"/>
      <c r="M116" s="37"/>
      <c r="N116" s="37"/>
      <c r="O116" s="37"/>
      <c r="Y116" s="4"/>
      <c r="Z116"/>
      <c r="AA116"/>
    </row>
    <row r="117" spans="1:27" s="3" customFormat="1" ht="14" x14ac:dyDescent="0.15">
      <c r="A117" s="70" t="s">
        <v>2633</v>
      </c>
      <c r="B117" s="93" t="s">
        <v>2497</v>
      </c>
      <c r="C117" s="70" t="s">
        <v>3636</v>
      </c>
      <c r="D117" s="70" t="s">
        <v>2837</v>
      </c>
      <c r="E117" s="70" t="s">
        <v>3178</v>
      </c>
      <c r="F117" s="70" t="s">
        <v>3711</v>
      </c>
      <c r="G117" s="70" t="s">
        <v>5536</v>
      </c>
      <c r="H117" s="85">
        <f t="shared" si="1"/>
        <v>3.3979400086720375</v>
      </c>
      <c r="I117" s="85">
        <v>2500</v>
      </c>
      <c r="J117" s="131" t="s">
        <v>6817</v>
      </c>
      <c r="K117" s="60">
        <v>70</v>
      </c>
      <c r="L117" s="49" t="s">
        <v>6728</v>
      </c>
      <c r="M117" s="37"/>
      <c r="N117" s="37"/>
      <c r="O117" s="37"/>
      <c r="Y117" s="4"/>
      <c r="Z117"/>
      <c r="AA117"/>
    </row>
    <row r="118" spans="1:27" ht="14" x14ac:dyDescent="0.15">
      <c r="A118" s="70" t="s">
        <v>2633</v>
      </c>
      <c r="B118" s="82"/>
      <c r="C118" s="70" t="s">
        <v>3636</v>
      </c>
      <c r="D118" s="70" t="s">
        <v>2837</v>
      </c>
      <c r="E118" s="70" t="s">
        <v>3178</v>
      </c>
      <c r="F118" s="70" t="s">
        <v>3711</v>
      </c>
      <c r="G118" s="70" t="s">
        <v>3662</v>
      </c>
      <c r="H118" s="85">
        <f t="shared" si="1"/>
        <v>3.5118800000000006</v>
      </c>
      <c r="I118" s="85">
        <v>3249.9748485428022</v>
      </c>
      <c r="J118" s="131" t="s">
        <v>3177</v>
      </c>
      <c r="K118" s="60">
        <v>65</v>
      </c>
    </row>
    <row r="119" spans="1:27" ht="14" x14ac:dyDescent="0.15">
      <c r="A119" s="303" t="s">
        <v>8068</v>
      </c>
      <c r="B119" s="82"/>
      <c r="C119" s="70" t="s">
        <v>3636</v>
      </c>
      <c r="D119" s="70" t="s">
        <v>2837</v>
      </c>
      <c r="E119" s="70" t="s">
        <v>3724</v>
      </c>
      <c r="F119" s="70" t="s">
        <v>4152</v>
      </c>
      <c r="G119" s="70" t="s">
        <v>3176</v>
      </c>
      <c r="H119" s="85">
        <f t="shared" si="1"/>
        <v>4.3579300000000005</v>
      </c>
      <c r="I119" s="85">
        <v>22799.7455390334</v>
      </c>
      <c r="J119" s="131" t="s">
        <v>3177</v>
      </c>
      <c r="K119" s="60">
        <v>60</v>
      </c>
      <c r="L119" s="49" t="s">
        <v>6727</v>
      </c>
    </row>
    <row r="120" spans="1:27" ht="14" x14ac:dyDescent="0.15">
      <c r="A120" s="70" t="s">
        <v>7029</v>
      </c>
      <c r="B120" s="82"/>
      <c r="C120" s="70" t="s">
        <v>3636</v>
      </c>
      <c r="D120" s="70" t="s">
        <v>2837</v>
      </c>
      <c r="E120" s="70" t="s">
        <v>3724</v>
      </c>
      <c r="F120" s="70" t="s">
        <v>4152</v>
      </c>
      <c r="G120" s="70" t="s">
        <v>3742</v>
      </c>
      <c r="H120" s="85">
        <f t="shared" si="1"/>
        <v>4.2174800000000001</v>
      </c>
      <c r="I120" s="95">
        <v>16499.850149526093</v>
      </c>
      <c r="J120" s="131" t="s">
        <v>3177</v>
      </c>
      <c r="K120" s="69">
        <v>61</v>
      </c>
      <c r="L120" s="50"/>
    </row>
    <row r="121" spans="1:27" ht="14" x14ac:dyDescent="0.15">
      <c r="A121" s="70" t="s">
        <v>7029</v>
      </c>
      <c r="B121" s="82"/>
      <c r="C121" s="70" t="s">
        <v>3636</v>
      </c>
      <c r="D121" s="70" t="s">
        <v>2837</v>
      </c>
      <c r="E121" s="70" t="s">
        <v>3724</v>
      </c>
      <c r="F121" s="70" t="s">
        <v>4152</v>
      </c>
      <c r="G121" s="70" t="s">
        <v>3743</v>
      </c>
      <c r="H121" s="85">
        <f t="shared" si="1"/>
        <v>4.2174800000000001</v>
      </c>
      <c r="I121" s="85">
        <v>16499.850149526093</v>
      </c>
      <c r="J121" s="131" t="s">
        <v>6522</v>
      </c>
      <c r="K121" s="69">
        <v>61</v>
      </c>
      <c r="L121" s="49" t="s">
        <v>6727</v>
      </c>
    </row>
    <row r="122" spans="1:27" ht="14" x14ac:dyDescent="0.15">
      <c r="A122" s="70" t="s">
        <v>7029</v>
      </c>
      <c r="B122" s="82"/>
      <c r="C122" s="70" t="s">
        <v>3636</v>
      </c>
      <c r="D122" s="70" t="s">
        <v>2837</v>
      </c>
      <c r="E122" s="70" t="s">
        <v>3724</v>
      </c>
      <c r="F122" s="70" t="s">
        <v>4152</v>
      </c>
      <c r="G122" s="70" t="s">
        <v>3323</v>
      </c>
      <c r="H122" s="85">
        <f t="shared" si="1"/>
        <v>4.2121899999999997</v>
      </c>
      <c r="I122" s="85">
        <v>16300.089912086862</v>
      </c>
      <c r="J122" s="131" t="s">
        <v>3177</v>
      </c>
      <c r="K122" s="69">
        <v>61</v>
      </c>
      <c r="L122" s="50" t="s">
        <v>6727</v>
      </c>
    </row>
    <row r="123" spans="1:27" ht="14" x14ac:dyDescent="0.15">
      <c r="A123" s="73" t="s">
        <v>7029</v>
      </c>
      <c r="B123" s="82"/>
      <c r="C123" s="70" t="s">
        <v>3636</v>
      </c>
      <c r="D123" s="70" t="s">
        <v>2837</v>
      </c>
      <c r="E123" s="70" t="s">
        <v>3724</v>
      </c>
      <c r="F123" s="70" t="s">
        <v>4152</v>
      </c>
      <c r="G123" s="70" t="s">
        <v>3324</v>
      </c>
      <c r="H123" s="85">
        <f t="shared" si="1"/>
        <v>4.2174800000000001</v>
      </c>
      <c r="I123" s="85">
        <v>16499.850149526093</v>
      </c>
      <c r="J123" s="131" t="s">
        <v>3177</v>
      </c>
      <c r="K123" s="69">
        <v>61</v>
      </c>
      <c r="L123" s="50" t="s">
        <v>6727</v>
      </c>
    </row>
    <row r="124" spans="1:27" s="246" customFormat="1" ht="14" x14ac:dyDescent="0.15">
      <c r="A124" s="70" t="s">
        <v>7029</v>
      </c>
      <c r="B124" s="82"/>
      <c r="C124" s="70" t="s">
        <v>3636</v>
      </c>
      <c r="D124" s="70" t="s">
        <v>2837</v>
      </c>
      <c r="E124" s="70" t="s">
        <v>3724</v>
      </c>
      <c r="F124" s="70" t="s">
        <v>4152</v>
      </c>
      <c r="G124" s="70" t="s">
        <v>3524</v>
      </c>
      <c r="H124" s="85">
        <f t="shared" si="1"/>
        <v>4.4149700000000003</v>
      </c>
      <c r="I124" s="85">
        <v>25999.799567092476</v>
      </c>
      <c r="J124" s="131" t="s">
        <v>3177</v>
      </c>
      <c r="K124" s="60">
        <v>60</v>
      </c>
      <c r="L124" s="50" t="s">
        <v>6392</v>
      </c>
      <c r="M124" s="37"/>
      <c r="N124" s="37"/>
      <c r="O124" s="37"/>
      <c r="P124" s="3"/>
      <c r="Q124" s="3"/>
      <c r="R124" s="3"/>
      <c r="S124" s="3"/>
      <c r="T124" s="3"/>
      <c r="U124" s="3"/>
      <c r="V124" s="3"/>
      <c r="W124" s="3"/>
      <c r="X124" s="3"/>
      <c r="Y124" s="4"/>
      <c r="Z124"/>
      <c r="AA124"/>
    </row>
    <row r="125" spans="1:27" s="320" customFormat="1" ht="14" x14ac:dyDescent="0.15">
      <c r="A125" s="311" t="s">
        <v>8057</v>
      </c>
      <c r="B125" s="312" t="s">
        <v>8055</v>
      </c>
      <c r="C125" s="311" t="s">
        <v>3636</v>
      </c>
      <c r="D125" s="311" t="s">
        <v>2837</v>
      </c>
      <c r="E125" s="311" t="s">
        <v>3770</v>
      </c>
      <c r="F125" s="311" t="s">
        <v>3719</v>
      </c>
      <c r="G125" s="311" t="s">
        <v>7993</v>
      </c>
      <c r="H125" s="313">
        <v>3.4619945469946307</v>
      </c>
      <c r="I125" s="314">
        <v>2938.140625</v>
      </c>
      <c r="J125" s="315"/>
      <c r="K125" s="316" t="s">
        <v>8053</v>
      </c>
      <c r="L125" s="317"/>
      <c r="M125" s="318"/>
      <c r="N125" s="318"/>
      <c r="O125" s="318"/>
      <c r="P125" s="319"/>
      <c r="Q125" s="319"/>
      <c r="R125" s="319"/>
      <c r="S125" s="319"/>
      <c r="T125" s="319"/>
      <c r="U125" s="319"/>
      <c r="V125" s="319"/>
      <c r="W125" s="319"/>
      <c r="X125" s="319"/>
    </row>
    <row r="126" spans="1:27" s="246" customFormat="1" ht="14" x14ac:dyDescent="0.15">
      <c r="A126" s="285" t="s">
        <v>8057</v>
      </c>
      <c r="B126" s="302" t="s">
        <v>8055</v>
      </c>
      <c r="C126" s="285" t="s">
        <v>3636</v>
      </c>
      <c r="D126" s="285" t="s">
        <v>2837</v>
      </c>
      <c r="E126" s="285" t="s">
        <v>3770</v>
      </c>
      <c r="F126" s="285" t="s">
        <v>5576</v>
      </c>
      <c r="G126" s="285" t="s">
        <v>7993</v>
      </c>
      <c r="H126" s="85">
        <v>3.4619945469946307</v>
      </c>
      <c r="I126" s="300">
        <v>2938.140625</v>
      </c>
      <c r="J126" s="131"/>
      <c r="K126" s="301" t="s">
        <v>8053</v>
      </c>
      <c r="L126" s="50"/>
      <c r="M126" s="37"/>
      <c r="N126" s="37"/>
      <c r="O126" s="37"/>
      <c r="P126" s="3"/>
      <c r="Q126" s="3"/>
      <c r="R126" s="3"/>
      <c r="S126" s="3"/>
      <c r="T126" s="3"/>
      <c r="U126" s="3"/>
      <c r="V126" s="3"/>
      <c r="W126" s="3"/>
      <c r="X126" s="3"/>
      <c r="Y126" s="4"/>
      <c r="Z126"/>
      <c r="AA126"/>
    </row>
    <row r="127" spans="1:27" s="246" customFormat="1" ht="28" x14ac:dyDescent="0.15">
      <c r="A127" s="70" t="s">
        <v>2479</v>
      </c>
      <c r="B127" s="93" t="s">
        <v>4485</v>
      </c>
      <c r="C127" s="70" t="s">
        <v>3636</v>
      </c>
      <c r="D127" s="70" t="s">
        <v>2837</v>
      </c>
      <c r="E127" s="70" t="s">
        <v>3162</v>
      </c>
      <c r="F127" s="70" t="s">
        <v>6541</v>
      </c>
      <c r="G127" s="70" t="s">
        <v>5247</v>
      </c>
      <c r="H127" s="85">
        <f t="shared" si="1"/>
        <v>3.9542425094393248</v>
      </c>
      <c r="I127" s="85">
        <v>9000</v>
      </c>
      <c r="J127" s="131" t="s">
        <v>3177</v>
      </c>
      <c r="K127" s="60">
        <v>172</v>
      </c>
      <c r="L127" s="33" t="s">
        <v>6392</v>
      </c>
      <c r="M127" s="37"/>
      <c r="N127" s="37"/>
      <c r="O127" s="37"/>
      <c r="P127" s="3"/>
      <c r="Q127" s="3"/>
      <c r="R127" s="3"/>
      <c r="S127" s="3"/>
      <c r="T127" s="3"/>
      <c r="U127" s="3"/>
      <c r="V127" s="3"/>
      <c r="W127" s="3"/>
      <c r="X127" s="3"/>
      <c r="Y127" s="4"/>
      <c r="Z127"/>
      <c r="AA127"/>
    </row>
    <row r="128" spans="1:27" s="246" customFormat="1" ht="56" x14ac:dyDescent="0.15">
      <c r="A128" s="70" t="s">
        <v>2479</v>
      </c>
      <c r="B128" s="93" t="s">
        <v>2597</v>
      </c>
      <c r="C128" s="70" t="s">
        <v>3636</v>
      </c>
      <c r="D128" s="70" t="s">
        <v>2837</v>
      </c>
      <c r="E128" s="70" t="s">
        <v>3162</v>
      </c>
      <c r="F128" s="70" t="s">
        <v>6541</v>
      </c>
      <c r="G128" s="70" t="s">
        <v>4095</v>
      </c>
      <c r="H128" s="85">
        <f t="shared" si="1"/>
        <v>4.1613680022349753</v>
      </c>
      <c r="I128" s="85">
        <f>AVERAGE(11000, 18000)</f>
        <v>14500</v>
      </c>
      <c r="J128" s="131" t="s">
        <v>3177</v>
      </c>
      <c r="K128" s="60">
        <v>147</v>
      </c>
      <c r="L128" s="31" t="s">
        <v>6392</v>
      </c>
      <c r="M128" s="37"/>
      <c r="N128" s="37"/>
      <c r="O128" s="37"/>
      <c r="P128" s="3"/>
      <c r="Q128" s="3"/>
      <c r="R128" s="3"/>
      <c r="S128" s="3"/>
      <c r="T128" s="3"/>
      <c r="U128" s="3"/>
      <c r="V128" s="3"/>
      <c r="W128" s="3"/>
      <c r="X128" s="3"/>
      <c r="Y128" s="4"/>
      <c r="Z128"/>
      <c r="AA128"/>
    </row>
    <row r="129" spans="1:27" s="246" customFormat="1" ht="28" x14ac:dyDescent="0.15">
      <c r="A129" s="275" t="s">
        <v>2479</v>
      </c>
      <c r="B129" s="276" t="s">
        <v>1968</v>
      </c>
      <c r="C129" s="275" t="s">
        <v>3636</v>
      </c>
      <c r="D129" s="275" t="s">
        <v>2837</v>
      </c>
      <c r="E129" s="275" t="s">
        <v>3162</v>
      </c>
      <c r="F129" s="275" t="s">
        <v>6541</v>
      </c>
      <c r="G129" s="275" t="s">
        <v>4664</v>
      </c>
      <c r="H129" s="277">
        <f t="shared" si="1"/>
        <v>1.0969100130080565</v>
      </c>
      <c r="I129" s="277">
        <f>AVERAGE(10,15)</f>
        <v>12.5</v>
      </c>
      <c r="J129" s="278" t="s">
        <v>3177</v>
      </c>
      <c r="K129" s="279" t="s">
        <v>168</v>
      </c>
      <c r="L129" s="280" t="s">
        <v>6392</v>
      </c>
      <c r="M129" s="281"/>
      <c r="N129" s="281"/>
      <c r="O129" s="281"/>
      <c r="P129" s="282"/>
      <c r="Q129" s="282"/>
      <c r="R129" s="282"/>
      <c r="S129" s="282"/>
      <c r="T129" s="282"/>
      <c r="U129" s="282"/>
      <c r="V129" s="282"/>
      <c r="W129" s="282"/>
      <c r="X129" s="282"/>
      <c r="Y129" s="283"/>
      <c r="Z129" s="283"/>
      <c r="AA129" s="283"/>
    </row>
    <row r="130" spans="1:27" s="246" customFormat="1" ht="14" x14ac:dyDescent="0.15">
      <c r="A130" s="70" t="s">
        <v>2479</v>
      </c>
      <c r="B130" s="82"/>
      <c r="C130" s="70" t="s">
        <v>3636</v>
      </c>
      <c r="D130" s="70" t="s">
        <v>2837</v>
      </c>
      <c r="E130" s="70" t="s">
        <v>3162</v>
      </c>
      <c r="F130" s="70" t="s">
        <v>6541</v>
      </c>
      <c r="G130" s="70" t="s">
        <v>5887</v>
      </c>
      <c r="H130" s="85">
        <f t="shared" si="1"/>
        <v>4.1139433523068369</v>
      </c>
      <c r="I130" s="85">
        <v>13000</v>
      </c>
      <c r="J130" s="131" t="s">
        <v>6522</v>
      </c>
      <c r="K130" s="60">
        <v>68</v>
      </c>
      <c r="L130" s="33" t="s">
        <v>6728</v>
      </c>
      <c r="M130" s="37"/>
      <c r="N130" s="33"/>
      <c r="O130" s="37"/>
      <c r="P130" s="3"/>
      <c r="Q130" s="3"/>
      <c r="R130" s="3"/>
      <c r="S130" s="3"/>
      <c r="T130" s="3"/>
      <c r="U130" s="3"/>
      <c r="V130" s="3"/>
      <c r="W130" s="3"/>
      <c r="X130" s="3"/>
      <c r="Y130" s="4"/>
      <c r="Z130"/>
      <c r="AA130"/>
    </row>
    <row r="131" spans="1:27" s="246" customFormat="1" ht="16" x14ac:dyDescent="0.2">
      <c r="A131" s="70" t="s">
        <v>2481</v>
      </c>
      <c r="B131" s="93" t="s">
        <v>2018</v>
      </c>
      <c r="C131" s="70" t="s">
        <v>3636</v>
      </c>
      <c r="D131" s="70" t="s">
        <v>2837</v>
      </c>
      <c r="E131" s="70" t="s">
        <v>3724</v>
      </c>
      <c r="F131" s="70" t="s">
        <v>5712</v>
      </c>
      <c r="G131" s="70" t="s">
        <v>5849</v>
      </c>
      <c r="H131" s="85">
        <f t="shared" si="1"/>
        <v>4.1931245983544612</v>
      </c>
      <c r="I131" s="85">
        <f>AVERAGE(13500, 17700)</f>
        <v>15600</v>
      </c>
      <c r="J131" s="131" t="s">
        <v>3177</v>
      </c>
      <c r="K131" s="60">
        <v>118</v>
      </c>
      <c r="L131" s="33"/>
      <c r="M131" s="48"/>
      <c r="N131" s="37"/>
      <c r="O131" s="37"/>
      <c r="P131" s="3"/>
      <c r="Q131" s="3"/>
      <c r="R131" s="3"/>
      <c r="S131" s="3"/>
      <c r="T131" s="3"/>
      <c r="U131" s="3"/>
      <c r="V131" s="3"/>
      <c r="W131" s="3"/>
      <c r="X131" s="3"/>
      <c r="Y131" s="4"/>
      <c r="Z131"/>
      <c r="AA131"/>
    </row>
    <row r="132" spans="1:27" s="246" customFormat="1" ht="14" x14ac:dyDescent="0.15">
      <c r="A132" s="70" t="s">
        <v>2479</v>
      </c>
      <c r="B132" s="93" t="s">
        <v>2488</v>
      </c>
      <c r="C132" s="70" t="s">
        <v>3636</v>
      </c>
      <c r="D132" s="70" t="s">
        <v>2837</v>
      </c>
      <c r="E132" s="70" t="s">
        <v>3724</v>
      </c>
      <c r="F132" s="70" t="s">
        <v>5712</v>
      </c>
      <c r="G132" s="70" t="s">
        <v>7764</v>
      </c>
      <c r="H132" s="85">
        <f t="shared" si="1"/>
        <v>4.5579999999999998</v>
      </c>
      <c r="I132" s="95">
        <v>36140.986263961298</v>
      </c>
      <c r="J132" s="131" t="s">
        <v>6522</v>
      </c>
      <c r="K132" s="60">
        <v>165</v>
      </c>
      <c r="L132" s="33" t="s">
        <v>6728</v>
      </c>
      <c r="M132" s="37"/>
      <c r="N132" s="37"/>
      <c r="O132" s="37"/>
      <c r="P132" s="3"/>
      <c r="Q132" s="3"/>
      <c r="R132" s="3"/>
      <c r="S132" s="3"/>
      <c r="T132" s="3"/>
      <c r="U132" s="3"/>
      <c r="V132" s="3"/>
      <c r="W132" s="3"/>
      <c r="X132" s="3"/>
      <c r="Y132" s="4"/>
      <c r="Z132"/>
      <c r="AA132"/>
    </row>
    <row r="133" spans="1:27" s="246" customFormat="1" ht="28" x14ac:dyDescent="0.2">
      <c r="A133" s="70" t="s">
        <v>2479</v>
      </c>
      <c r="B133" s="93" t="s">
        <v>2068</v>
      </c>
      <c r="C133" s="70" t="s">
        <v>3636</v>
      </c>
      <c r="D133" s="70" t="s">
        <v>2837</v>
      </c>
      <c r="E133" s="70" t="s">
        <v>3724</v>
      </c>
      <c r="F133" s="70" t="s">
        <v>5712</v>
      </c>
      <c r="G133" s="70" t="s">
        <v>7765</v>
      </c>
      <c r="H133" s="85">
        <f t="shared" ref="H133:H196" si="4">LOG(I133)</f>
        <v>4.3424226808222066</v>
      </c>
      <c r="I133" s="85">
        <v>22000</v>
      </c>
      <c r="J133" s="131" t="s">
        <v>3177</v>
      </c>
      <c r="K133" s="60" t="s">
        <v>7641</v>
      </c>
      <c r="L133" s="33" t="s">
        <v>6727</v>
      </c>
      <c r="M133" s="48"/>
      <c r="N133" s="37"/>
      <c r="O133" s="37"/>
      <c r="P133" s="3"/>
      <c r="Q133" s="3"/>
      <c r="R133" s="3"/>
      <c r="S133" s="3"/>
      <c r="T133" s="3"/>
      <c r="U133" s="3"/>
      <c r="V133" s="3"/>
      <c r="W133" s="3"/>
      <c r="X133" s="3"/>
      <c r="Y133" s="4"/>
      <c r="Z133"/>
      <c r="AA133"/>
    </row>
    <row r="134" spans="1:27" s="244" customFormat="1" ht="14" x14ac:dyDescent="0.15">
      <c r="A134" s="70" t="s">
        <v>2479</v>
      </c>
      <c r="B134" s="93" t="s">
        <v>2069</v>
      </c>
      <c r="C134" s="70" t="s">
        <v>3636</v>
      </c>
      <c r="D134" s="70" t="s">
        <v>2837</v>
      </c>
      <c r="E134" s="70" t="s">
        <v>3724</v>
      </c>
      <c r="F134" s="70" t="s">
        <v>5712</v>
      </c>
      <c r="G134" s="70" t="s">
        <v>5312</v>
      </c>
      <c r="H134" s="85">
        <f t="shared" si="4"/>
        <v>4.2990000000000004</v>
      </c>
      <c r="I134" s="85">
        <v>19906.733389871901</v>
      </c>
      <c r="J134" s="131" t="s">
        <v>6522</v>
      </c>
      <c r="K134" s="60">
        <v>165</v>
      </c>
      <c r="L134" s="33" t="s">
        <v>6727</v>
      </c>
      <c r="M134" s="37"/>
      <c r="N134" s="37"/>
      <c r="O134" s="37"/>
      <c r="P134" s="3"/>
      <c r="Q134" s="3"/>
      <c r="R134" s="245"/>
      <c r="S134" s="245"/>
      <c r="T134" s="245"/>
      <c r="U134" s="245"/>
      <c r="V134" s="245"/>
      <c r="W134" s="245"/>
      <c r="X134" s="245"/>
      <c r="Y134" s="246"/>
      <c r="Z134" s="246"/>
      <c r="AA134" s="246"/>
    </row>
    <row r="135" spans="1:27" s="244" customFormat="1" ht="14" x14ac:dyDescent="0.15">
      <c r="A135" s="285" t="s">
        <v>8054</v>
      </c>
      <c r="B135" s="299" t="s">
        <v>8055</v>
      </c>
      <c r="C135" s="285" t="s">
        <v>3636</v>
      </c>
      <c r="D135" s="285" t="s">
        <v>2837</v>
      </c>
      <c r="E135" s="285" t="s">
        <v>3724</v>
      </c>
      <c r="F135" s="285" t="s">
        <v>5712</v>
      </c>
      <c r="G135" s="285" t="s">
        <v>6540</v>
      </c>
      <c r="H135" s="85">
        <v>4.1961415732185552</v>
      </c>
      <c r="I135" s="85">
        <v>15925.791666666666</v>
      </c>
      <c r="J135" s="131"/>
      <c r="K135" s="301" t="s">
        <v>8056</v>
      </c>
      <c r="L135" s="33"/>
      <c r="M135" s="37"/>
      <c r="N135" s="37"/>
      <c r="O135" s="37"/>
      <c r="P135" s="3"/>
      <c r="Q135" s="3"/>
      <c r="R135" s="245"/>
      <c r="S135" s="245"/>
      <c r="T135" s="245"/>
      <c r="U135" s="245"/>
      <c r="V135" s="245"/>
      <c r="W135" s="245"/>
      <c r="X135" s="245"/>
      <c r="Y135" s="246"/>
      <c r="Z135" s="246"/>
      <c r="AA135" s="246"/>
    </row>
    <row r="136" spans="1:27" s="244" customFormat="1" ht="34" x14ac:dyDescent="0.2">
      <c r="A136" s="70" t="s">
        <v>2479</v>
      </c>
      <c r="B136" s="93" t="s">
        <v>1902</v>
      </c>
      <c r="C136" s="70" t="s">
        <v>3636</v>
      </c>
      <c r="D136" s="70" t="s">
        <v>2837</v>
      </c>
      <c r="E136" s="70" t="s">
        <v>3724</v>
      </c>
      <c r="F136" s="70" t="s">
        <v>5712</v>
      </c>
      <c r="G136" s="70" t="s">
        <v>5542</v>
      </c>
      <c r="H136" s="85">
        <f t="shared" si="4"/>
        <v>4.1303337684950066</v>
      </c>
      <c r="I136" s="85">
        <f>13.5*1000</f>
        <v>13500</v>
      </c>
      <c r="J136" s="131" t="s">
        <v>3177</v>
      </c>
      <c r="K136" s="60">
        <v>134</v>
      </c>
      <c r="L136" s="47" t="s">
        <v>7609</v>
      </c>
      <c r="M136" s="50"/>
      <c r="N136" s="37"/>
      <c r="O136" s="37"/>
      <c r="P136" s="3"/>
      <c r="Q136" s="3"/>
      <c r="R136" s="245"/>
      <c r="S136" s="245"/>
      <c r="T136" s="245"/>
      <c r="U136" s="245"/>
      <c r="V136" s="245"/>
      <c r="W136" s="245"/>
      <c r="X136" s="245"/>
      <c r="Y136" s="246"/>
      <c r="Z136" s="246"/>
      <c r="AA136" s="246"/>
    </row>
    <row r="137" spans="1:27" ht="14" x14ac:dyDescent="0.15">
      <c r="A137" s="70" t="s">
        <v>2481</v>
      </c>
      <c r="B137" s="93" t="s">
        <v>1856</v>
      </c>
      <c r="C137" s="70" t="s">
        <v>3636</v>
      </c>
      <c r="D137" s="70" t="s">
        <v>2837</v>
      </c>
      <c r="E137" s="70" t="s">
        <v>3724</v>
      </c>
      <c r="F137" s="70" t="s">
        <v>5712</v>
      </c>
      <c r="G137" s="70" t="s">
        <v>5542</v>
      </c>
      <c r="H137" s="85">
        <f t="shared" si="4"/>
        <v>4.1303337684950066</v>
      </c>
      <c r="I137" s="85">
        <f>AVERAGE(11000, 16000)</f>
        <v>13500</v>
      </c>
      <c r="J137" s="131" t="s">
        <v>3177</v>
      </c>
      <c r="K137" s="60">
        <v>136</v>
      </c>
      <c r="L137" s="33"/>
    </row>
    <row r="138" spans="1:27" ht="14" x14ac:dyDescent="0.15">
      <c r="A138" s="70" t="s">
        <v>2479</v>
      </c>
      <c r="B138" s="82" t="s">
        <v>2498</v>
      </c>
      <c r="C138" s="70" t="s">
        <v>3636</v>
      </c>
      <c r="D138" s="70" t="s">
        <v>2837</v>
      </c>
      <c r="E138" s="70" t="s">
        <v>3178</v>
      </c>
      <c r="F138" s="70" t="s">
        <v>6098</v>
      </c>
      <c r="G138" s="70" t="s">
        <v>2164</v>
      </c>
      <c r="H138" s="85">
        <f t="shared" si="4"/>
        <v>4.439135242368847</v>
      </c>
      <c r="I138" s="85">
        <f>AVERAGE(24993, 29982)</f>
        <v>27487.5</v>
      </c>
      <c r="J138" s="131" t="s">
        <v>6817</v>
      </c>
      <c r="K138" s="60">
        <v>215</v>
      </c>
      <c r="L138" s="49" t="s">
        <v>6728</v>
      </c>
      <c r="M138" s="35"/>
    </row>
    <row r="139" spans="1:27" ht="28" x14ac:dyDescent="0.2">
      <c r="A139" s="70" t="s">
        <v>2479</v>
      </c>
      <c r="B139" s="82" t="s">
        <v>2020</v>
      </c>
      <c r="C139" s="70" t="s">
        <v>3636</v>
      </c>
      <c r="D139" s="70" t="s">
        <v>2837</v>
      </c>
      <c r="E139" s="70" t="s">
        <v>3178</v>
      </c>
      <c r="F139" s="70" t="s">
        <v>6098</v>
      </c>
      <c r="G139" s="70" t="s">
        <v>2086</v>
      </c>
      <c r="H139" s="85">
        <f t="shared" si="4"/>
        <v>4.4313637641589869</v>
      </c>
      <c r="I139" s="85">
        <f>AVERAGE(22000, 32000)</f>
        <v>27000</v>
      </c>
      <c r="J139" s="131" t="s">
        <v>1132</v>
      </c>
      <c r="K139" s="60">
        <v>144</v>
      </c>
      <c r="L139" s="49" t="s">
        <v>6728</v>
      </c>
      <c r="M139" s="48"/>
    </row>
    <row r="140" spans="1:27" ht="14" x14ac:dyDescent="0.15">
      <c r="A140" s="70" t="s">
        <v>2481</v>
      </c>
      <c r="B140" s="82" t="s">
        <v>5797</v>
      </c>
      <c r="C140" s="70" t="s">
        <v>3636</v>
      </c>
      <c r="D140" s="70" t="s">
        <v>2837</v>
      </c>
      <c r="E140" s="70" t="s">
        <v>3178</v>
      </c>
      <c r="F140" s="70" t="s">
        <v>6098</v>
      </c>
      <c r="G140" s="70" t="s">
        <v>5581</v>
      </c>
      <c r="H140" s="85">
        <f t="shared" si="4"/>
        <v>4.5700757053216039</v>
      </c>
      <c r="I140" s="85">
        <f>AVERAGE(35890, 38430)</f>
        <v>37160</v>
      </c>
      <c r="J140" s="131" t="s">
        <v>6630</v>
      </c>
      <c r="K140" s="60">
        <v>233</v>
      </c>
      <c r="L140" s="33" t="s">
        <v>6392</v>
      </c>
    </row>
    <row r="141" spans="1:27" ht="17" x14ac:dyDescent="0.2">
      <c r="A141" s="70" t="s">
        <v>2479</v>
      </c>
      <c r="B141" s="82"/>
      <c r="C141" s="70" t="s">
        <v>3636</v>
      </c>
      <c r="D141" s="70" t="s">
        <v>2837</v>
      </c>
      <c r="E141" s="70" t="s">
        <v>3178</v>
      </c>
      <c r="F141" s="70" t="s">
        <v>6098</v>
      </c>
      <c r="G141" s="70" t="s">
        <v>6099</v>
      </c>
      <c r="H141" s="85">
        <f t="shared" si="4"/>
        <v>4.4548448600085102</v>
      </c>
      <c r="I141" s="85">
        <v>28500</v>
      </c>
      <c r="J141" s="131" t="s">
        <v>6820</v>
      </c>
      <c r="K141" s="63">
        <v>68</v>
      </c>
      <c r="L141" s="47" t="s">
        <v>6392</v>
      </c>
    </row>
    <row r="142" spans="1:27" ht="17" x14ac:dyDescent="0.2">
      <c r="A142" s="70" t="s">
        <v>2479</v>
      </c>
      <c r="B142" s="82"/>
      <c r="C142" s="70" t="s">
        <v>3636</v>
      </c>
      <c r="D142" s="70" t="s">
        <v>2837</v>
      </c>
      <c r="E142" s="70" t="s">
        <v>3178</v>
      </c>
      <c r="F142" s="70" t="s">
        <v>6098</v>
      </c>
      <c r="G142" s="70" t="s">
        <v>6100</v>
      </c>
      <c r="H142" s="85">
        <f t="shared" si="4"/>
        <v>4.9420080530223132</v>
      </c>
      <c r="I142" s="85">
        <v>87500</v>
      </c>
      <c r="J142" s="131" t="s">
        <v>6817</v>
      </c>
      <c r="K142" s="60">
        <v>68</v>
      </c>
      <c r="L142" s="47" t="s">
        <v>6728</v>
      </c>
    </row>
    <row r="143" spans="1:27" ht="28" x14ac:dyDescent="0.15">
      <c r="A143" s="70" t="s">
        <v>2481</v>
      </c>
      <c r="B143" s="93" t="s">
        <v>2021</v>
      </c>
      <c r="C143" s="70" t="s">
        <v>3636</v>
      </c>
      <c r="D143" s="70" t="s">
        <v>2837</v>
      </c>
      <c r="E143" s="70" t="s">
        <v>3178</v>
      </c>
      <c r="F143" s="70" t="s">
        <v>6098</v>
      </c>
      <c r="G143" s="70" t="s">
        <v>5582</v>
      </c>
      <c r="H143" s="85">
        <f t="shared" si="4"/>
        <v>4.3222192947339195</v>
      </c>
      <c r="I143" s="85">
        <f>AVERAGE(25000, 18000, 20000)</f>
        <v>21000</v>
      </c>
      <c r="J143" s="131" t="s">
        <v>1132</v>
      </c>
      <c r="K143" s="60" t="s">
        <v>1790</v>
      </c>
      <c r="L143" s="33" t="s">
        <v>6728</v>
      </c>
    </row>
    <row r="144" spans="1:27" ht="14" x14ac:dyDescent="0.15">
      <c r="A144" s="70" t="s">
        <v>2633</v>
      </c>
      <c r="B144" s="82"/>
      <c r="C144" s="70" t="s">
        <v>3636</v>
      </c>
      <c r="D144" s="70" t="s">
        <v>2837</v>
      </c>
      <c r="E144" s="70" t="s">
        <v>3178</v>
      </c>
      <c r="F144" s="70" t="s">
        <v>4592</v>
      </c>
      <c r="G144" s="70" t="s">
        <v>6955</v>
      </c>
      <c r="H144" s="85">
        <f t="shared" si="4"/>
        <v>3.4771200000000007</v>
      </c>
      <c r="I144" s="85">
        <v>2999.9913327161544</v>
      </c>
      <c r="J144" s="131" t="s">
        <v>6817</v>
      </c>
      <c r="K144" s="60">
        <v>60</v>
      </c>
      <c r="L144" s="49" t="s">
        <v>6392</v>
      </c>
      <c r="R144" s="14"/>
      <c r="S144" s="14"/>
      <c r="T144" s="14"/>
      <c r="U144" s="14"/>
      <c r="V144" s="14"/>
      <c r="W144" s="14"/>
      <c r="X144" s="14"/>
      <c r="Y144" s="17"/>
      <c r="Z144" s="15"/>
      <c r="AA144" s="15"/>
    </row>
    <row r="145" spans="1:27" ht="14" x14ac:dyDescent="0.15">
      <c r="A145" s="70" t="s">
        <v>2633</v>
      </c>
      <c r="B145" s="82"/>
      <c r="C145" s="70" t="s">
        <v>3636</v>
      </c>
      <c r="D145" s="70" t="s">
        <v>2837</v>
      </c>
      <c r="E145" s="70" t="s">
        <v>3178</v>
      </c>
      <c r="F145" s="70" t="s">
        <v>4592</v>
      </c>
      <c r="G145" s="70" t="s">
        <v>6966</v>
      </c>
      <c r="H145" s="85">
        <f t="shared" si="4"/>
        <v>3.81291</v>
      </c>
      <c r="I145" s="85">
        <v>6499.9497619814347</v>
      </c>
      <c r="J145" s="131" t="s">
        <v>6391</v>
      </c>
      <c r="K145" s="60" t="s">
        <v>2686</v>
      </c>
      <c r="L145" s="49" t="s">
        <v>6392</v>
      </c>
      <c r="R145" s="14"/>
      <c r="S145" s="14"/>
      <c r="T145" s="14"/>
      <c r="U145" s="14"/>
      <c r="V145" s="14"/>
      <c r="W145" s="14"/>
      <c r="X145" s="14"/>
      <c r="Y145" s="17"/>
      <c r="Z145" s="15"/>
      <c r="AA145" s="15"/>
    </row>
    <row r="146" spans="1:27" ht="14" x14ac:dyDescent="0.15">
      <c r="A146" s="70" t="s">
        <v>2633</v>
      </c>
      <c r="B146" s="82"/>
      <c r="C146" s="70" t="s">
        <v>3636</v>
      </c>
      <c r="D146" s="70" t="s">
        <v>2837</v>
      </c>
      <c r="E146" s="70" t="s">
        <v>3178</v>
      </c>
      <c r="F146" s="70" t="s">
        <v>4592</v>
      </c>
      <c r="G146" s="70" t="s">
        <v>6967</v>
      </c>
      <c r="H146" s="85">
        <f t="shared" si="4"/>
        <v>3.6020600000000003</v>
      </c>
      <c r="I146" s="85">
        <v>4000.0000798724222</v>
      </c>
      <c r="J146" s="131" t="s">
        <v>6817</v>
      </c>
      <c r="K146" s="63">
        <v>60</v>
      </c>
      <c r="L146" s="49" t="s">
        <v>6392</v>
      </c>
    </row>
    <row r="147" spans="1:27" ht="14" x14ac:dyDescent="0.15">
      <c r="A147" s="303" t="s">
        <v>8068</v>
      </c>
      <c r="B147" s="82"/>
      <c r="C147" s="70" t="s">
        <v>3636</v>
      </c>
      <c r="D147" s="70" t="s">
        <v>2837</v>
      </c>
      <c r="E147" s="70" t="s">
        <v>3724</v>
      </c>
      <c r="F147" s="70" t="s">
        <v>4153</v>
      </c>
      <c r="G147" s="70" t="s">
        <v>4154</v>
      </c>
      <c r="H147" s="85">
        <f t="shared" si="4"/>
        <v>4.7340999999999998</v>
      </c>
      <c r="I147" s="85">
        <v>54212.570508795718</v>
      </c>
      <c r="J147" s="131" t="s">
        <v>3177</v>
      </c>
      <c r="K147" s="63">
        <v>60</v>
      </c>
    </row>
    <row r="148" spans="1:27" ht="14" x14ac:dyDescent="0.15">
      <c r="A148" s="303" t="s">
        <v>8068</v>
      </c>
      <c r="B148" s="82"/>
      <c r="C148" s="70" t="s">
        <v>3636</v>
      </c>
      <c r="D148" s="70" t="s">
        <v>2837</v>
      </c>
      <c r="E148" s="70" t="s">
        <v>3724</v>
      </c>
      <c r="F148" s="70" t="s">
        <v>4153</v>
      </c>
      <c r="G148" s="70" t="s">
        <v>3932</v>
      </c>
      <c r="H148" s="85">
        <f t="shared" si="4"/>
        <v>4.7443600000000012</v>
      </c>
      <c r="I148" s="85">
        <v>55508.564980303127</v>
      </c>
      <c r="J148" s="131" t="s">
        <v>3177</v>
      </c>
      <c r="K148" s="63">
        <v>60</v>
      </c>
    </row>
    <row r="149" spans="1:27" ht="14" x14ac:dyDescent="0.15">
      <c r="A149" s="70" t="s">
        <v>2633</v>
      </c>
      <c r="B149" s="82"/>
      <c r="C149" s="70" t="s">
        <v>3636</v>
      </c>
      <c r="D149" s="70" t="s">
        <v>2837</v>
      </c>
      <c r="E149" s="70" t="s">
        <v>3543</v>
      </c>
      <c r="F149" s="70" t="s">
        <v>3296</v>
      </c>
      <c r="G149" s="70" t="s">
        <v>3537</v>
      </c>
      <c r="H149" s="85">
        <f t="shared" si="4"/>
        <v>5.3617300000000006</v>
      </c>
      <c r="I149" s="85">
        <v>230001.14603619074</v>
      </c>
      <c r="J149" s="131" t="s">
        <v>6817</v>
      </c>
      <c r="K149" s="60" t="s">
        <v>2686</v>
      </c>
      <c r="L149" s="49" t="s">
        <v>6392</v>
      </c>
      <c r="R149" s="245"/>
      <c r="S149" s="245"/>
      <c r="T149" s="245"/>
      <c r="U149" s="245"/>
      <c r="V149" s="245"/>
      <c r="W149" s="245"/>
      <c r="X149" s="245"/>
      <c r="Y149" s="246"/>
      <c r="Z149" s="244"/>
      <c r="AA149" s="244"/>
    </row>
    <row r="150" spans="1:27" s="244" customFormat="1" ht="14" x14ac:dyDescent="0.15">
      <c r="A150" s="303" t="s">
        <v>8068</v>
      </c>
      <c r="B150" s="82"/>
      <c r="C150" s="70" t="s">
        <v>3636</v>
      </c>
      <c r="D150" s="70" t="s">
        <v>2837</v>
      </c>
      <c r="E150" s="70" t="s">
        <v>3178</v>
      </c>
      <c r="F150" s="70" t="s">
        <v>7193</v>
      </c>
      <c r="G150" s="70" t="s">
        <v>7194</v>
      </c>
      <c r="H150" s="85">
        <f t="shared" si="4"/>
        <v>4.8603399999999999</v>
      </c>
      <c r="I150" s="85">
        <v>72500.332778657481</v>
      </c>
      <c r="J150" s="131" t="s">
        <v>3177</v>
      </c>
      <c r="K150" s="63">
        <v>60</v>
      </c>
      <c r="L150" s="49"/>
      <c r="M150" s="37"/>
      <c r="N150" s="37"/>
      <c r="O150" s="37"/>
      <c r="P150" s="3"/>
      <c r="Q150" s="3"/>
      <c r="R150" s="3"/>
      <c r="S150" s="3"/>
      <c r="T150" s="3"/>
      <c r="U150" s="3"/>
      <c r="V150" s="3"/>
      <c r="W150" s="3"/>
      <c r="X150" s="3"/>
      <c r="Y150" s="4"/>
      <c r="Z150"/>
      <c r="AA150"/>
    </row>
    <row r="151" spans="1:27" s="244" customFormat="1" ht="28" x14ac:dyDescent="0.15">
      <c r="A151" s="70" t="s">
        <v>2633</v>
      </c>
      <c r="B151" s="82"/>
      <c r="C151" s="70" t="s">
        <v>3636</v>
      </c>
      <c r="D151" s="70" t="s">
        <v>2837</v>
      </c>
      <c r="E151" s="70" t="s">
        <v>3178</v>
      </c>
      <c r="F151" s="70" t="s">
        <v>6956</v>
      </c>
      <c r="G151" s="70" t="s">
        <v>7171</v>
      </c>
      <c r="H151" s="85">
        <f t="shared" si="4"/>
        <v>4.1139400000000013</v>
      </c>
      <c r="I151" s="85">
        <v>12999.899653754575</v>
      </c>
      <c r="J151" s="131" t="s">
        <v>6758</v>
      </c>
      <c r="K151" s="60" t="s">
        <v>2686</v>
      </c>
      <c r="L151" s="49" t="s">
        <v>6392</v>
      </c>
      <c r="M151" s="37"/>
      <c r="N151" s="37"/>
      <c r="O151" s="37"/>
      <c r="P151" s="3"/>
      <c r="Q151" s="3"/>
      <c r="R151" s="3"/>
      <c r="S151" s="3"/>
      <c r="T151" s="3"/>
      <c r="U151" s="3"/>
      <c r="V151" s="3"/>
      <c r="W151" s="3"/>
      <c r="X151" s="3"/>
      <c r="Y151" s="4"/>
      <c r="Z151"/>
      <c r="AA151"/>
    </row>
    <row r="152" spans="1:27" s="244" customFormat="1" ht="14" x14ac:dyDescent="0.15">
      <c r="A152" s="70" t="s">
        <v>2633</v>
      </c>
      <c r="B152" s="82"/>
      <c r="C152" s="70" t="s">
        <v>3636</v>
      </c>
      <c r="D152" s="70" t="s">
        <v>2837</v>
      </c>
      <c r="E152" s="70" t="s">
        <v>3178</v>
      </c>
      <c r="F152" s="70" t="s">
        <v>7172</v>
      </c>
      <c r="G152" s="70" t="s">
        <v>7173</v>
      </c>
      <c r="H152" s="85">
        <f t="shared" si="4"/>
        <v>5.3010299999999999</v>
      </c>
      <c r="I152" s="85">
        <v>200000.00199681061</v>
      </c>
      <c r="J152" s="131" t="s">
        <v>6817</v>
      </c>
      <c r="K152" s="60">
        <v>60</v>
      </c>
      <c r="L152" s="49" t="s">
        <v>6748</v>
      </c>
      <c r="M152" s="37"/>
      <c r="N152" s="37"/>
      <c r="O152" s="37"/>
      <c r="P152" s="3"/>
      <c r="Q152" s="3"/>
      <c r="R152" s="3"/>
      <c r="S152" s="3"/>
      <c r="T152" s="3"/>
      <c r="U152" s="3"/>
      <c r="V152" s="3"/>
      <c r="W152" s="3"/>
      <c r="X152" s="3"/>
      <c r="Y152" s="4"/>
      <c r="Z152"/>
      <c r="AA152"/>
    </row>
    <row r="153" spans="1:27" s="244" customFormat="1" ht="28" x14ac:dyDescent="0.15">
      <c r="A153" s="73" t="s">
        <v>2633</v>
      </c>
      <c r="B153" s="82"/>
      <c r="C153" s="70" t="s">
        <v>3636</v>
      </c>
      <c r="D153" s="70" t="s">
        <v>2837</v>
      </c>
      <c r="E153" s="70" t="s">
        <v>3178</v>
      </c>
      <c r="F153" s="70" t="s">
        <v>7172</v>
      </c>
      <c r="G153" s="70" t="s">
        <v>7014</v>
      </c>
      <c r="H153" s="85">
        <f t="shared" si="4"/>
        <v>5.2278900000000013</v>
      </c>
      <c r="I153" s="85">
        <v>169001.2823612215</v>
      </c>
      <c r="J153" s="131" t="s">
        <v>6759</v>
      </c>
      <c r="K153" s="60" t="s">
        <v>2686</v>
      </c>
      <c r="L153" s="49" t="s">
        <v>6392</v>
      </c>
      <c r="M153" s="37"/>
      <c r="N153" s="37"/>
      <c r="O153" s="37"/>
      <c r="P153" s="3"/>
      <c r="Q153" s="3"/>
      <c r="R153" s="3"/>
      <c r="S153" s="3"/>
      <c r="T153" s="3"/>
      <c r="U153" s="3"/>
      <c r="V153" s="3"/>
      <c r="W153" s="3"/>
      <c r="X153" s="3"/>
      <c r="Y153" s="4"/>
      <c r="Z153"/>
      <c r="AA153"/>
    </row>
    <row r="154" spans="1:27" s="244" customFormat="1" ht="28" x14ac:dyDescent="0.2">
      <c r="A154" s="70" t="s">
        <v>2479</v>
      </c>
      <c r="B154" s="82"/>
      <c r="C154" s="70" t="s">
        <v>3636</v>
      </c>
      <c r="D154" s="70" t="s">
        <v>2837</v>
      </c>
      <c r="E154" s="70" t="s">
        <v>3178</v>
      </c>
      <c r="F154" s="70" t="s">
        <v>7172</v>
      </c>
      <c r="G154" s="70" t="s">
        <v>6101</v>
      </c>
      <c r="H154" s="85">
        <f t="shared" si="4"/>
        <v>4.9429995933660402</v>
      </c>
      <c r="I154" s="85">
        <v>87700</v>
      </c>
      <c r="J154" s="131" t="s">
        <v>7673</v>
      </c>
      <c r="K154" s="60">
        <v>68</v>
      </c>
      <c r="L154" s="47" t="s">
        <v>6390</v>
      </c>
      <c r="M154" s="37"/>
      <c r="N154" s="37"/>
      <c r="O154" s="37"/>
      <c r="P154" s="3"/>
      <c r="Q154" s="3"/>
      <c r="R154" s="3"/>
      <c r="S154" s="3"/>
      <c r="T154" s="3"/>
      <c r="U154" s="3"/>
      <c r="V154" s="3"/>
      <c r="W154" s="3"/>
      <c r="X154" s="3"/>
      <c r="Y154" s="4"/>
      <c r="Z154"/>
      <c r="AA154"/>
    </row>
    <row r="155" spans="1:27" s="244" customFormat="1" ht="14" x14ac:dyDescent="0.15">
      <c r="A155" s="73" t="s">
        <v>2633</v>
      </c>
      <c r="B155" s="82"/>
      <c r="C155" s="70" t="s">
        <v>3636</v>
      </c>
      <c r="D155" s="70" t="s">
        <v>2837</v>
      </c>
      <c r="E155" s="70" t="s">
        <v>3178</v>
      </c>
      <c r="F155" s="70" t="s">
        <v>7174</v>
      </c>
      <c r="G155" s="70" t="s">
        <v>7175</v>
      </c>
      <c r="H155" s="85">
        <f t="shared" si="4"/>
        <v>4.2367900000000001</v>
      </c>
      <c r="I155" s="85">
        <v>17250.035771133316</v>
      </c>
      <c r="J155" s="131" t="s">
        <v>6817</v>
      </c>
      <c r="K155" s="63" t="s">
        <v>2686</v>
      </c>
      <c r="L155" s="49" t="s">
        <v>6392</v>
      </c>
      <c r="M155" s="37"/>
      <c r="N155" s="37"/>
      <c r="O155" s="37"/>
      <c r="P155" s="3"/>
      <c r="Q155" s="3"/>
      <c r="R155" s="3"/>
      <c r="S155" s="3"/>
      <c r="T155" s="3"/>
      <c r="U155" s="3"/>
      <c r="V155" s="3"/>
      <c r="W155" s="3"/>
      <c r="X155" s="3"/>
      <c r="Y155" s="4"/>
      <c r="Z155"/>
      <c r="AA155"/>
    </row>
    <row r="156" spans="1:27" s="244" customFormat="1" x14ac:dyDescent="0.15">
      <c r="A156" s="306" t="s">
        <v>8069</v>
      </c>
      <c r="B156" s="82"/>
      <c r="C156" s="297">
        <v>42698</v>
      </c>
      <c r="D156" s="297">
        <v>42698</v>
      </c>
      <c r="E156" s="297">
        <v>42698</v>
      </c>
      <c r="F156" s="285" t="s">
        <v>7195</v>
      </c>
      <c r="G156" s="285" t="s">
        <v>6966</v>
      </c>
      <c r="H156" s="244">
        <v>5.5306450108400469</v>
      </c>
      <c r="I156" s="85">
        <v>340501.06394258211</v>
      </c>
      <c r="J156" s="131"/>
      <c r="K156" s="298" t="s">
        <v>8053</v>
      </c>
      <c r="L156" s="49"/>
      <c r="M156" s="37"/>
      <c r="N156" s="37"/>
      <c r="O156" s="37"/>
      <c r="P156" s="3"/>
      <c r="Q156" s="3"/>
      <c r="R156" s="3"/>
      <c r="S156" s="3"/>
      <c r="T156" s="3"/>
      <c r="U156" s="3"/>
      <c r="V156" s="3"/>
      <c r="W156" s="3"/>
      <c r="X156" s="3"/>
      <c r="Y156" s="4"/>
      <c r="Z156"/>
      <c r="AA156"/>
    </row>
    <row r="157" spans="1:27" s="244" customFormat="1" ht="56" x14ac:dyDescent="0.2">
      <c r="A157" s="70" t="s">
        <v>2479</v>
      </c>
      <c r="B157" s="96"/>
      <c r="C157" s="70" t="s">
        <v>3636</v>
      </c>
      <c r="D157" s="70" t="s">
        <v>2837</v>
      </c>
      <c r="E157" s="70" t="s">
        <v>3178</v>
      </c>
      <c r="F157" s="70" t="s">
        <v>3938</v>
      </c>
      <c r="G157" s="70" t="s">
        <v>7786</v>
      </c>
      <c r="H157" s="85">
        <f t="shared" si="4"/>
        <v>5.2552725051033065</v>
      </c>
      <c r="I157" s="85">
        <v>180000</v>
      </c>
      <c r="J157" s="131" t="s">
        <v>1188</v>
      </c>
      <c r="K157" s="60">
        <v>68</v>
      </c>
      <c r="L157" s="47" t="s">
        <v>6728</v>
      </c>
      <c r="M157" s="37"/>
      <c r="N157" s="37"/>
      <c r="O157" s="37"/>
      <c r="P157" s="3"/>
      <c r="Q157" s="3"/>
      <c r="R157" s="3"/>
      <c r="S157" s="3"/>
      <c r="T157" s="3"/>
      <c r="U157" s="3"/>
      <c r="V157" s="3"/>
      <c r="W157" s="3"/>
      <c r="X157" s="3"/>
      <c r="Y157" s="4"/>
      <c r="Z157"/>
      <c r="AA157"/>
    </row>
    <row r="158" spans="1:27" ht="16" x14ac:dyDescent="0.2">
      <c r="A158" s="70" t="s">
        <v>2479</v>
      </c>
      <c r="B158" s="82"/>
      <c r="C158" s="70" t="s">
        <v>3636</v>
      </c>
      <c r="D158" s="70" t="s">
        <v>2837</v>
      </c>
      <c r="E158" s="70" t="s">
        <v>3178</v>
      </c>
      <c r="F158" s="70" t="s">
        <v>3938</v>
      </c>
      <c r="G158" s="70" t="s">
        <v>5512</v>
      </c>
      <c r="H158" s="85">
        <f t="shared" si="4"/>
        <v>4.6989700043360187</v>
      </c>
      <c r="I158" s="85">
        <v>50000</v>
      </c>
      <c r="J158" s="131" t="s">
        <v>6485</v>
      </c>
      <c r="K158" s="60">
        <v>68</v>
      </c>
      <c r="L158" s="47"/>
    </row>
    <row r="159" spans="1:27" ht="42" x14ac:dyDescent="0.2">
      <c r="A159" s="303" t="s">
        <v>8068</v>
      </c>
      <c r="B159" s="82"/>
      <c r="C159" s="70" t="s">
        <v>3636</v>
      </c>
      <c r="D159" s="70" t="s">
        <v>2837</v>
      </c>
      <c r="E159" s="70" t="s">
        <v>3178</v>
      </c>
      <c r="F159" s="70" t="s">
        <v>3938</v>
      </c>
      <c r="G159" s="70" t="s">
        <v>3939</v>
      </c>
      <c r="H159" s="85">
        <f t="shared" si="4"/>
        <v>4.8730000000000011</v>
      </c>
      <c r="I159" s="85">
        <v>74644.875841006782</v>
      </c>
      <c r="J159" s="131" t="s">
        <v>6724</v>
      </c>
      <c r="K159" s="63">
        <v>60</v>
      </c>
      <c r="L159" s="47" t="s">
        <v>6392</v>
      </c>
    </row>
    <row r="160" spans="1:27" ht="14" x14ac:dyDescent="0.15">
      <c r="A160" s="303" t="s">
        <v>8068</v>
      </c>
      <c r="B160" s="82"/>
      <c r="C160" s="70" t="s">
        <v>3636</v>
      </c>
      <c r="D160" s="70" t="s">
        <v>2837</v>
      </c>
      <c r="E160" s="70" t="s">
        <v>3178</v>
      </c>
      <c r="F160" s="70" t="s">
        <v>3938</v>
      </c>
      <c r="G160" s="70" t="s">
        <v>7197</v>
      </c>
      <c r="H160" s="85">
        <f t="shared" si="4"/>
        <v>4.745470000000001</v>
      </c>
      <c r="I160" s="85">
        <v>55650.619084470993</v>
      </c>
      <c r="J160" s="131" t="s">
        <v>3177</v>
      </c>
      <c r="K160" s="60">
        <v>60</v>
      </c>
    </row>
    <row r="161" spans="1:27" ht="28" x14ac:dyDescent="0.2">
      <c r="A161" s="70" t="s">
        <v>2479</v>
      </c>
      <c r="B161" s="93" t="s">
        <v>2885</v>
      </c>
      <c r="C161" s="70" t="s">
        <v>3636</v>
      </c>
      <c r="D161" s="70" t="s">
        <v>2837</v>
      </c>
      <c r="E161" s="70" t="s">
        <v>3178</v>
      </c>
      <c r="F161" s="70" t="s">
        <v>3938</v>
      </c>
      <c r="G161" s="70" t="s">
        <v>5583</v>
      </c>
      <c r="H161" s="85">
        <f t="shared" si="4"/>
        <v>4.9542425094393252</v>
      </c>
      <c r="I161" s="85">
        <v>90000</v>
      </c>
      <c r="J161" s="131" t="s">
        <v>6758</v>
      </c>
      <c r="K161" s="60">
        <v>135</v>
      </c>
      <c r="L161" s="47" t="s">
        <v>6392</v>
      </c>
      <c r="M161" s="32"/>
    </row>
    <row r="162" spans="1:27" ht="42" x14ac:dyDescent="0.15">
      <c r="A162" s="70" t="s">
        <v>2479</v>
      </c>
      <c r="B162" s="93" t="s">
        <v>7395</v>
      </c>
      <c r="C162" s="70" t="s">
        <v>3636</v>
      </c>
      <c r="D162" s="70" t="s">
        <v>2837</v>
      </c>
      <c r="E162" s="70" t="s">
        <v>3178</v>
      </c>
      <c r="F162" s="70" t="s">
        <v>3938</v>
      </c>
      <c r="G162" s="70" t="s">
        <v>5510</v>
      </c>
      <c r="H162" s="85">
        <f t="shared" si="4"/>
        <v>4.7781512503836439</v>
      </c>
      <c r="I162" s="85">
        <v>60000</v>
      </c>
      <c r="J162" s="131" t="s">
        <v>3177</v>
      </c>
      <c r="K162" s="60">
        <v>56</v>
      </c>
      <c r="L162" s="33"/>
    </row>
    <row r="163" spans="1:27" ht="42" x14ac:dyDescent="0.15">
      <c r="A163" s="70" t="s">
        <v>7029</v>
      </c>
      <c r="B163" s="82"/>
      <c r="C163" s="70" t="s">
        <v>3636</v>
      </c>
      <c r="D163" s="70" t="s">
        <v>2837</v>
      </c>
      <c r="E163" s="70" t="s">
        <v>3724</v>
      </c>
      <c r="F163" s="70" t="s">
        <v>3755</v>
      </c>
      <c r="G163" s="70" t="s">
        <v>3756</v>
      </c>
      <c r="H163" s="85">
        <f t="shared" si="4"/>
        <v>4.6020599999999998</v>
      </c>
      <c r="I163" s="85">
        <v>40000.000798724192</v>
      </c>
      <c r="J163" s="131" t="s">
        <v>6729</v>
      </c>
      <c r="K163" s="60">
        <v>60</v>
      </c>
      <c r="L163" s="49" t="s">
        <v>6725</v>
      </c>
      <c r="R163" s="245"/>
      <c r="S163" s="245"/>
      <c r="T163" s="245"/>
      <c r="U163" s="245"/>
      <c r="V163" s="245"/>
      <c r="W163" s="245"/>
      <c r="X163" s="245"/>
      <c r="Y163" s="246"/>
      <c r="Z163" s="246"/>
      <c r="AA163" s="246"/>
    </row>
    <row r="164" spans="1:27" s="295" customFormat="1" ht="28" x14ac:dyDescent="0.2">
      <c r="A164" s="166" t="s">
        <v>2479</v>
      </c>
      <c r="B164" s="82"/>
      <c r="C164" s="70" t="s">
        <v>3636</v>
      </c>
      <c r="D164" s="70" t="s">
        <v>2837</v>
      </c>
      <c r="E164" s="70" t="s">
        <v>3178</v>
      </c>
      <c r="F164" s="70" t="s">
        <v>5749</v>
      </c>
      <c r="G164" s="70" t="s">
        <v>5577</v>
      </c>
      <c r="H164" s="85">
        <f t="shared" si="4"/>
        <v>4.4393326938302629</v>
      </c>
      <c r="I164" s="85">
        <v>27500</v>
      </c>
      <c r="J164" s="131" t="s">
        <v>6759</v>
      </c>
      <c r="K164" s="60">
        <v>68</v>
      </c>
      <c r="L164" s="47" t="s">
        <v>6390</v>
      </c>
      <c r="M164" s="37"/>
      <c r="N164" s="37"/>
      <c r="O164" s="37"/>
      <c r="P164" s="3"/>
      <c r="Q164" s="3"/>
      <c r="R164" s="3"/>
      <c r="S164" s="3"/>
      <c r="T164" s="3"/>
      <c r="U164" s="3"/>
      <c r="V164" s="3"/>
      <c r="W164" s="3"/>
      <c r="X164" s="3"/>
      <c r="Y164" s="4"/>
      <c r="Z164"/>
      <c r="AA164"/>
    </row>
    <row r="165" spans="1:27" s="295" customFormat="1" ht="14" x14ac:dyDescent="0.15">
      <c r="A165" s="303" t="s">
        <v>8068</v>
      </c>
      <c r="B165" s="82"/>
      <c r="C165" s="70" t="s">
        <v>3636</v>
      </c>
      <c r="D165" s="70" t="s">
        <v>2837</v>
      </c>
      <c r="E165" s="70" t="s">
        <v>4379</v>
      </c>
      <c r="F165" s="70" t="s">
        <v>3768</v>
      </c>
      <c r="G165" s="70" t="s">
        <v>3769</v>
      </c>
      <c r="H165" s="85">
        <f t="shared" si="4"/>
        <v>4.327700000000001</v>
      </c>
      <c r="I165" s="85">
        <v>21266.694872358308</v>
      </c>
      <c r="J165" s="131" t="s">
        <v>3177</v>
      </c>
      <c r="K165" s="60">
        <v>60</v>
      </c>
      <c r="L165" s="49"/>
      <c r="M165" s="37"/>
      <c r="N165" s="37"/>
      <c r="O165" s="37"/>
      <c r="P165" s="3"/>
      <c r="Q165" s="3"/>
      <c r="R165" s="3"/>
      <c r="S165" s="3"/>
      <c r="T165" s="3"/>
      <c r="U165" s="3"/>
      <c r="V165" s="3"/>
      <c r="W165" s="3"/>
      <c r="X165" s="3"/>
      <c r="Y165" s="4"/>
      <c r="Z165"/>
      <c r="AA165"/>
    </row>
    <row r="166" spans="1:27" ht="14" x14ac:dyDescent="0.15">
      <c r="A166" s="70" t="s">
        <v>2633</v>
      </c>
      <c r="B166" s="82"/>
      <c r="C166" s="70" t="s">
        <v>3636</v>
      </c>
      <c r="D166" s="70" t="s">
        <v>2837</v>
      </c>
      <c r="E166" s="70" t="s">
        <v>3178</v>
      </c>
      <c r="F166" s="70" t="s">
        <v>7176</v>
      </c>
      <c r="G166" s="70" t="s">
        <v>6957</v>
      </c>
      <c r="H166" s="85">
        <f t="shared" si="4"/>
        <v>4.3010300000000008</v>
      </c>
      <c r="I166" s="85">
        <v>20000.000199681075</v>
      </c>
      <c r="J166" s="131" t="s">
        <v>6522</v>
      </c>
      <c r="K166" s="60">
        <v>60</v>
      </c>
      <c r="L166" s="49" t="s">
        <v>6392</v>
      </c>
    </row>
    <row r="167" spans="1:27" ht="14" x14ac:dyDescent="0.15">
      <c r="A167" s="70" t="s">
        <v>2633</v>
      </c>
      <c r="B167" s="82"/>
      <c r="C167" s="70" t="s">
        <v>3636</v>
      </c>
      <c r="D167" s="70" t="s">
        <v>2837</v>
      </c>
      <c r="E167" s="70" t="s">
        <v>3088</v>
      </c>
      <c r="F167" s="70" t="s">
        <v>3300</v>
      </c>
      <c r="G167" s="70" t="s">
        <v>3301</v>
      </c>
      <c r="H167" s="85">
        <f t="shared" si="4"/>
        <v>4.8512599999999999</v>
      </c>
      <c r="I167" s="85">
        <v>71000.269957767028</v>
      </c>
      <c r="J167" s="131" t="s">
        <v>3177</v>
      </c>
      <c r="K167" s="60" t="s">
        <v>2686</v>
      </c>
      <c r="R167" s="245"/>
      <c r="S167" s="245"/>
      <c r="T167" s="245"/>
      <c r="U167" s="245"/>
      <c r="V167" s="245"/>
      <c r="W167" s="245"/>
      <c r="X167" s="245"/>
      <c r="Y167" s="246"/>
      <c r="Z167" s="243"/>
      <c r="AA167" s="243"/>
    </row>
    <row r="168" spans="1:27" ht="42" x14ac:dyDescent="0.15">
      <c r="A168" s="73" t="s">
        <v>2633</v>
      </c>
      <c r="B168" s="93" t="s">
        <v>4551</v>
      </c>
      <c r="C168" s="70" t="s">
        <v>3636</v>
      </c>
      <c r="D168" s="70" t="s">
        <v>2837</v>
      </c>
      <c r="E168" s="70" t="s">
        <v>3088</v>
      </c>
      <c r="F168" s="70" t="s">
        <v>3300</v>
      </c>
      <c r="G168" s="70" t="s">
        <v>6975</v>
      </c>
      <c r="H168" s="85">
        <f t="shared" si="4"/>
        <v>4.9164539485499255</v>
      </c>
      <c r="I168" s="85">
        <f>AVERAGE(60000, 105000)</f>
        <v>82500</v>
      </c>
      <c r="J168" s="131" t="s">
        <v>6690</v>
      </c>
      <c r="K168" s="63">
        <v>70</v>
      </c>
      <c r="L168" s="35"/>
    </row>
    <row r="169" spans="1:27" ht="42" x14ac:dyDescent="0.15">
      <c r="A169" s="70" t="s">
        <v>2633</v>
      </c>
      <c r="B169" s="93" t="s">
        <v>7233</v>
      </c>
      <c r="C169" s="70" t="s">
        <v>3636</v>
      </c>
      <c r="D169" s="70" t="s">
        <v>2837</v>
      </c>
      <c r="E169" s="70" t="s">
        <v>3088</v>
      </c>
      <c r="F169" s="70" t="s">
        <v>3302</v>
      </c>
      <c r="G169" s="70" t="s">
        <v>5630</v>
      </c>
      <c r="H169" s="85">
        <f t="shared" si="4"/>
        <v>4.989004615698537</v>
      </c>
      <c r="I169" s="85">
        <f>AVERAGE(45000, 150000)</f>
        <v>97500</v>
      </c>
      <c r="J169" s="131" t="s">
        <v>3177</v>
      </c>
      <c r="K169" s="60">
        <v>70</v>
      </c>
    </row>
    <row r="170" spans="1:27" ht="14" x14ac:dyDescent="0.15">
      <c r="A170" s="70" t="s">
        <v>2481</v>
      </c>
      <c r="B170" s="93" t="s">
        <v>2480</v>
      </c>
      <c r="C170" s="70" t="s">
        <v>3636</v>
      </c>
      <c r="D170" s="70" t="s">
        <v>2837</v>
      </c>
      <c r="E170" s="70" t="s">
        <v>3088</v>
      </c>
      <c r="F170" s="70" t="s">
        <v>3302</v>
      </c>
      <c r="G170" s="70" t="s">
        <v>5630</v>
      </c>
      <c r="H170" s="85">
        <f t="shared" si="4"/>
        <v>1.7958800173440752</v>
      </c>
      <c r="I170" s="85">
        <v>62.5</v>
      </c>
      <c r="K170" s="60">
        <v>150</v>
      </c>
      <c r="L170" s="37"/>
      <c r="M170" s="32"/>
      <c r="R170" s="245"/>
      <c r="S170" s="245"/>
      <c r="T170" s="245"/>
      <c r="U170" s="245"/>
      <c r="V170" s="245"/>
      <c r="W170" s="245"/>
      <c r="X170" s="245"/>
      <c r="Y170" s="246"/>
      <c r="Z170" s="244"/>
      <c r="AA170" s="244"/>
    </row>
    <row r="171" spans="1:27" s="222" customFormat="1" ht="14" x14ac:dyDescent="0.15">
      <c r="A171" s="70" t="s">
        <v>2633</v>
      </c>
      <c r="B171" s="82"/>
      <c r="C171" s="70" t="s">
        <v>3636</v>
      </c>
      <c r="D171" s="70" t="s">
        <v>2837</v>
      </c>
      <c r="E171" s="70" t="s">
        <v>3088</v>
      </c>
      <c r="F171" s="70" t="s">
        <v>3302</v>
      </c>
      <c r="G171" s="70" t="s">
        <v>3303</v>
      </c>
      <c r="H171" s="85">
        <f t="shared" si="4"/>
        <v>4.8451000000000004</v>
      </c>
      <c r="I171" s="85">
        <v>70000.315913089813</v>
      </c>
      <c r="J171" s="131" t="s">
        <v>3177</v>
      </c>
      <c r="K171" s="60" t="s">
        <v>2686</v>
      </c>
      <c r="L171" s="49"/>
      <c r="M171" s="37"/>
      <c r="N171" s="37"/>
      <c r="O171" s="37"/>
      <c r="P171" s="3"/>
      <c r="Q171" s="3"/>
      <c r="R171" s="245"/>
      <c r="S171" s="245"/>
      <c r="T171" s="245"/>
      <c r="U171" s="245"/>
      <c r="V171" s="245"/>
      <c r="W171" s="245"/>
      <c r="X171" s="245"/>
      <c r="Y171" s="246"/>
      <c r="Z171" s="244"/>
      <c r="AA171" s="244"/>
    </row>
    <row r="172" spans="1:27" ht="14" x14ac:dyDescent="0.15">
      <c r="A172" s="70" t="s">
        <v>2479</v>
      </c>
      <c r="B172" s="93" t="s">
        <v>4838</v>
      </c>
      <c r="C172" s="70" t="s">
        <v>3636</v>
      </c>
      <c r="D172" s="70" t="s">
        <v>2837</v>
      </c>
      <c r="E172" s="70" t="s">
        <v>3178</v>
      </c>
      <c r="F172" s="70" t="s">
        <v>5537</v>
      </c>
      <c r="G172" s="70" t="s">
        <v>5538</v>
      </c>
      <c r="H172" s="85">
        <f t="shared" si="4"/>
        <v>4.4432629874586951</v>
      </c>
      <c r="I172" s="85">
        <f>AVERAGE(24000, 31500)</f>
        <v>27750</v>
      </c>
      <c r="J172" s="131" t="s">
        <v>1551</v>
      </c>
      <c r="K172" s="60">
        <v>95</v>
      </c>
      <c r="L172" s="49" t="s">
        <v>6392</v>
      </c>
      <c r="M172" s="32"/>
    </row>
    <row r="173" spans="1:27" ht="14" x14ac:dyDescent="0.15">
      <c r="A173" s="70" t="s">
        <v>2479</v>
      </c>
      <c r="B173" s="93" t="s">
        <v>7317</v>
      </c>
      <c r="C173" s="70" t="s">
        <v>3636</v>
      </c>
      <c r="D173" s="70" t="s">
        <v>2837</v>
      </c>
      <c r="E173" s="70" t="s">
        <v>3178</v>
      </c>
      <c r="F173" s="70" t="s">
        <v>5537</v>
      </c>
      <c r="G173" s="70" t="s">
        <v>5527</v>
      </c>
      <c r="H173" s="85">
        <f t="shared" si="4"/>
        <v>4.3010299956639813</v>
      </c>
      <c r="I173" s="85">
        <v>20000</v>
      </c>
      <c r="J173" s="131" t="s">
        <v>1551</v>
      </c>
      <c r="K173" s="60">
        <v>136</v>
      </c>
      <c r="L173" s="49" t="s">
        <v>6392</v>
      </c>
    </row>
    <row r="174" spans="1:27" ht="42" x14ac:dyDescent="0.2">
      <c r="A174" s="70" t="s">
        <v>2479</v>
      </c>
      <c r="B174" s="93" t="s">
        <v>7242</v>
      </c>
      <c r="C174" s="70" t="s">
        <v>3636</v>
      </c>
      <c r="D174" s="70" t="s">
        <v>2837</v>
      </c>
      <c r="E174" s="70" t="s">
        <v>3178</v>
      </c>
      <c r="F174" s="70" t="s">
        <v>5537</v>
      </c>
      <c r="G174" s="70" t="s">
        <v>5718</v>
      </c>
      <c r="H174" s="85">
        <f t="shared" si="4"/>
        <v>4.4393326938302629</v>
      </c>
      <c r="I174" s="85">
        <f>AVERAGE(20000, 35000)</f>
        <v>27500</v>
      </c>
      <c r="J174" s="131" t="s">
        <v>1386</v>
      </c>
      <c r="K174" s="60">
        <v>141</v>
      </c>
      <c r="L174" s="47" t="s">
        <v>6809</v>
      </c>
      <c r="R174" s="12"/>
      <c r="S174" s="12"/>
      <c r="T174" s="12"/>
      <c r="U174" s="12"/>
      <c r="V174" s="12"/>
      <c r="W174" s="12"/>
      <c r="X174" s="12"/>
      <c r="Y174" s="16"/>
      <c r="Z174" s="13"/>
      <c r="AA174" s="13"/>
    </row>
    <row r="175" spans="1:27" ht="17" x14ac:dyDescent="0.2">
      <c r="A175" s="70" t="s">
        <v>2479</v>
      </c>
      <c r="B175" s="82"/>
      <c r="C175" s="70" t="s">
        <v>3636</v>
      </c>
      <c r="D175" s="70" t="s">
        <v>2837</v>
      </c>
      <c r="E175" s="70" t="s">
        <v>3178</v>
      </c>
      <c r="F175" s="70" t="s">
        <v>5578</v>
      </c>
      <c r="G175" s="70" t="s">
        <v>5579</v>
      </c>
      <c r="H175" s="85">
        <f t="shared" si="4"/>
        <v>4.653212513775344</v>
      </c>
      <c r="I175" s="85">
        <v>45000</v>
      </c>
      <c r="J175" s="131" t="s">
        <v>6817</v>
      </c>
      <c r="K175" s="60">
        <v>68</v>
      </c>
      <c r="L175" s="47" t="s">
        <v>6392</v>
      </c>
    </row>
    <row r="176" spans="1:27" ht="14" x14ac:dyDescent="0.15">
      <c r="A176" s="70" t="s">
        <v>2479</v>
      </c>
      <c r="B176" s="93" t="s">
        <v>1902</v>
      </c>
      <c r="C176" s="70" t="s">
        <v>3636</v>
      </c>
      <c r="D176" s="70" t="s">
        <v>2837</v>
      </c>
      <c r="E176" s="70" t="s">
        <v>3178</v>
      </c>
      <c r="F176" s="70" t="s">
        <v>5578</v>
      </c>
      <c r="G176" s="70" t="s">
        <v>5344</v>
      </c>
      <c r="H176" s="85">
        <f t="shared" si="4"/>
        <v>4.4661258704181996</v>
      </c>
      <c r="I176" s="85">
        <f>AVERAGE(33500, 25000)</f>
        <v>29250</v>
      </c>
      <c r="J176" s="131" t="s">
        <v>6522</v>
      </c>
      <c r="K176" s="60">
        <v>80</v>
      </c>
      <c r="L176" s="33" t="s">
        <v>6390</v>
      </c>
      <c r="M176" s="32"/>
    </row>
    <row r="177" spans="1:27" ht="28" x14ac:dyDescent="0.15">
      <c r="A177" s="70" t="s">
        <v>7029</v>
      </c>
      <c r="B177" s="82"/>
      <c r="C177" s="70" t="s">
        <v>3636</v>
      </c>
      <c r="D177" s="70" t="s">
        <v>2837</v>
      </c>
      <c r="E177" s="70" t="s">
        <v>3724</v>
      </c>
      <c r="F177" s="70" t="s">
        <v>3330</v>
      </c>
      <c r="G177" s="70" t="s">
        <v>2918</v>
      </c>
      <c r="H177" s="85">
        <f t="shared" si="4"/>
        <v>3.9822700000000006</v>
      </c>
      <c r="I177" s="85">
        <v>9599.9727439248272</v>
      </c>
      <c r="J177" s="131" t="s">
        <v>6658</v>
      </c>
      <c r="K177" s="69">
        <v>61</v>
      </c>
      <c r="L177" s="49" t="s">
        <v>6392</v>
      </c>
      <c r="R177" s="245"/>
      <c r="S177" s="245"/>
      <c r="T177" s="245"/>
      <c r="U177" s="245"/>
      <c r="V177" s="245"/>
      <c r="W177" s="245"/>
      <c r="X177" s="245"/>
      <c r="Y177" s="246"/>
      <c r="Z177" s="246"/>
      <c r="AA177" s="246"/>
    </row>
    <row r="178" spans="1:27" ht="14" x14ac:dyDescent="0.15">
      <c r="A178" s="70" t="s">
        <v>7029</v>
      </c>
      <c r="B178" s="82"/>
      <c r="C178" s="70" t="s">
        <v>3636</v>
      </c>
      <c r="D178" s="70" t="s">
        <v>2837</v>
      </c>
      <c r="E178" s="70" t="s">
        <v>3724</v>
      </c>
      <c r="F178" s="70" t="s">
        <v>3330</v>
      </c>
      <c r="G178" s="70" t="s">
        <v>4191</v>
      </c>
      <c r="H178" s="85">
        <f t="shared" si="4"/>
        <v>3.9890000000000003</v>
      </c>
      <c r="I178" s="85">
        <v>9749.8963771738727</v>
      </c>
      <c r="J178" s="131" t="s">
        <v>6670</v>
      </c>
      <c r="K178" s="69">
        <v>61</v>
      </c>
      <c r="L178" s="49" t="s">
        <v>6728</v>
      </c>
      <c r="R178" s="245"/>
      <c r="S178" s="245"/>
      <c r="T178" s="245"/>
      <c r="U178" s="245"/>
      <c r="V178" s="245"/>
      <c r="W178" s="245"/>
      <c r="X178" s="245"/>
      <c r="Y178" s="246"/>
      <c r="Z178" s="246"/>
      <c r="AA178" s="246"/>
    </row>
    <row r="179" spans="1:27" ht="14" x14ac:dyDescent="0.15">
      <c r="A179" s="70" t="s">
        <v>3635</v>
      </c>
      <c r="B179" s="82"/>
      <c r="C179" s="70" t="s">
        <v>3636</v>
      </c>
      <c r="D179" s="70" t="s">
        <v>2837</v>
      </c>
      <c r="E179" s="70" t="s">
        <v>3724</v>
      </c>
      <c r="F179" s="70" t="s">
        <v>3933</v>
      </c>
      <c r="G179" s="70" t="s">
        <v>3495</v>
      </c>
      <c r="H179" s="85">
        <f t="shared" si="4"/>
        <v>4.9346699999999997</v>
      </c>
      <c r="I179" s="85">
        <v>86033.977192547318</v>
      </c>
      <c r="J179" s="131" t="s">
        <v>3177</v>
      </c>
      <c r="K179" s="60">
        <v>60</v>
      </c>
      <c r="R179" s="245"/>
      <c r="S179" s="245"/>
      <c r="T179" s="245"/>
      <c r="U179" s="245"/>
      <c r="V179" s="245"/>
      <c r="W179" s="245"/>
      <c r="X179" s="245"/>
      <c r="Y179" s="246"/>
      <c r="Z179" s="246"/>
      <c r="AA179" s="246"/>
    </row>
    <row r="180" spans="1:27" ht="14" x14ac:dyDescent="0.15">
      <c r="A180" s="70" t="s">
        <v>2633</v>
      </c>
      <c r="B180" s="82"/>
      <c r="C180" s="70" t="s">
        <v>3636</v>
      </c>
      <c r="D180" s="70" t="s">
        <v>2837</v>
      </c>
      <c r="E180" s="70" t="s">
        <v>3178</v>
      </c>
      <c r="F180" s="70" t="s">
        <v>6968</v>
      </c>
      <c r="G180" s="70" t="s">
        <v>3447</v>
      </c>
      <c r="H180" s="85">
        <f t="shared" si="4"/>
        <v>4.0211900000000007</v>
      </c>
      <c r="I180" s="85">
        <v>10500.016946500356</v>
      </c>
      <c r="J180" s="131" t="s">
        <v>3177</v>
      </c>
      <c r="K180" s="60" t="s">
        <v>2686</v>
      </c>
    </row>
    <row r="181" spans="1:27" ht="14" x14ac:dyDescent="0.15">
      <c r="A181" s="70" t="s">
        <v>2633</v>
      </c>
      <c r="B181" s="82"/>
      <c r="C181" s="70" t="s">
        <v>3636</v>
      </c>
      <c r="D181" s="70" t="s">
        <v>2837</v>
      </c>
      <c r="E181" s="70" t="s">
        <v>3178</v>
      </c>
      <c r="F181" s="70" t="s">
        <v>6968</v>
      </c>
      <c r="G181" s="70" t="s">
        <v>4451</v>
      </c>
      <c r="H181" s="85">
        <f t="shared" si="4"/>
        <v>4.010720000000001</v>
      </c>
      <c r="I181" s="85">
        <v>10249.908771372877</v>
      </c>
      <c r="J181" s="131" t="s">
        <v>6816</v>
      </c>
      <c r="K181" s="60">
        <v>60</v>
      </c>
      <c r="L181" s="49" t="s">
        <v>6392</v>
      </c>
    </row>
    <row r="182" spans="1:27" s="222" customFormat="1" ht="14" x14ac:dyDescent="0.15">
      <c r="A182" s="73" t="s">
        <v>2633</v>
      </c>
      <c r="B182" s="82"/>
      <c r="C182" s="70" t="s">
        <v>3636</v>
      </c>
      <c r="D182" s="70" t="s">
        <v>2837</v>
      </c>
      <c r="E182" s="70" t="s">
        <v>3178</v>
      </c>
      <c r="F182" s="70" t="s">
        <v>6968</v>
      </c>
      <c r="G182" s="70" t="s">
        <v>6958</v>
      </c>
      <c r="H182" s="85">
        <f t="shared" si="4"/>
        <v>3.9777200000000006</v>
      </c>
      <c r="I182" s="85">
        <v>9499.9211362259666</v>
      </c>
      <c r="J182" s="131" t="s">
        <v>6817</v>
      </c>
      <c r="K182" s="63" t="s">
        <v>2686</v>
      </c>
      <c r="L182" s="49" t="s">
        <v>6392</v>
      </c>
      <c r="M182" s="37"/>
      <c r="N182" s="37"/>
      <c r="O182" s="37"/>
      <c r="P182" s="3"/>
      <c r="Q182" s="3"/>
      <c r="R182" s="3"/>
      <c r="S182" s="3"/>
      <c r="T182" s="3"/>
      <c r="U182" s="3"/>
      <c r="V182" s="3"/>
      <c r="W182" s="3"/>
      <c r="X182" s="3"/>
      <c r="Y182" s="4"/>
      <c r="Z182"/>
      <c r="AA182"/>
    </row>
    <row r="183" spans="1:27" ht="14" x14ac:dyDescent="0.15">
      <c r="A183" s="70" t="s">
        <v>2633</v>
      </c>
      <c r="B183" s="82"/>
      <c r="C183" s="70" t="s">
        <v>3636</v>
      </c>
      <c r="D183" s="70" t="s">
        <v>2837</v>
      </c>
      <c r="E183" s="70" t="s">
        <v>3178</v>
      </c>
      <c r="F183" s="70" t="s">
        <v>6960</v>
      </c>
      <c r="G183" s="70" t="s">
        <v>7184</v>
      </c>
      <c r="H183" s="85">
        <f t="shared" si="4"/>
        <v>4.7634300000000005</v>
      </c>
      <c r="I183" s="85">
        <v>58000.267960159108</v>
      </c>
      <c r="J183" s="131" t="s">
        <v>6391</v>
      </c>
      <c r="K183" s="60" t="s">
        <v>2686</v>
      </c>
      <c r="L183" s="49" t="s">
        <v>6392</v>
      </c>
    </row>
    <row r="184" spans="1:27" ht="14" x14ac:dyDescent="0.15">
      <c r="A184" s="70" t="s">
        <v>2633</v>
      </c>
      <c r="B184" s="82"/>
      <c r="C184" s="70" t="s">
        <v>3636</v>
      </c>
      <c r="D184" s="70" t="s">
        <v>2837</v>
      </c>
      <c r="E184" s="70" t="s">
        <v>3178</v>
      </c>
      <c r="F184" s="70" t="s">
        <v>6960</v>
      </c>
      <c r="G184" s="70" t="s">
        <v>2183</v>
      </c>
      <c r="H184" s="85">
        <f t="shared" si="4"/>
        <v>4.4698200000000003</v>
      </c>
      <c r="I184" s="85">
        <v>29499.863062460532</v>
      </c>
      <c r="J184" s="131" t="s">
        <v>7661</v>
      </c>
      <c r="K184" s="63" t="s">
        <v>2686</v>
      </c>
      <c r="L184" s="49" t="s">
        <v>6392</v>
      </c>
      <c r="O184" s="49"/>
    </row>
    <row r="185" spans="1:27" ht="14" x14ac:dyDescent="0.15">
      <c r="A185" s="70" t="s">
        <v>2633</v>
      </c>
      <c r="B185" s="82"/>
      <c r="C185" s="73" t="s">
        <v>3636</v>
      </c>
      <c r="D185" s="73" t="s">
        <v>2837</v>
      </c>
      <c r="E185" s="73" t="s">
        <v>3178</v>
      </c>
      <c r="F185" s="73" t="s">
        <v>6960</v>
      </c>
      <c r="G185" s="73" t="s">
        <v>7187</v>
      </c>
      <c r="H185" s="85">
        <f t="shared" si="4"/>
        <v>4.6439500000000011</v>
      </c>
      <c r="I185" s="95">
        <v>44050.414567309555</v>
      </c>
      <c r="J185" s="131" t="s">
        <v>6817</v>
      </c>
      <c r="K185" s="60" t="s">
        <v>2686</v>
      </c>
      <c r="L185" s="49" t="s">
        <v>6392</v>
      </c>
    </row>
    <row r="186" spans="1:27" ht="14" x14ac:dyDescent="0.15">
      <c r="A186" s="70" t="s">
        <v>2479</v>
      </c>
      <c r="B186" s="93" t="s">
        <v>5031</v>
      </c>
      <c r="C186" s="70" t="s">
        <v>3636</v>
      </c>
      <c r="D186" s="70" t="s">
        <v>2837</v>
      </c>
      <c r="E186" s="70" t="s">
        <v>3178</v>
      </c>
      <c r="F186" s="70" t="s">
        <v>5567</v>
      </c>
      <c r="G186" s="70" t="s">
        <v>7785</v>
      </c>
      <c r="H186" s="85">
        <f t="shared" si="4"/>
        <v>4.4771212547196626</v>
      </c>
      <c r="I186" s="85">
        <v>30000</v>
      </c>
      <c r="J186" s="131" t="s">
        <v>3177</v>
      </c>
      <c r="K186" s="60">
        <v>141</v>
      </c>
      <c r="L186" s="33" t="s">
        <v>6392</v>
      </c>
      <c r="P186"/>
      <c r="Q186"/>
    </row>
    <row r="187" spans="1:27" ht="16" x14ac:dyDescent="0.2">
      <c r="A187" s="70" t="s">
        <v>2479</v>
      </c>
      <c r="B187" s="82"/>
      <c r="C187" s="70" t="s">
        <v>3636</v>
      </c>
      <c r="D187" s="70" t="s">
        <v>2837</v>
      </c>
      <c r="E187" s="70" t="s">
        <v>3178</v>
      </c>
      <c r="F187" s="70" t="s">
        <v>5567</v>
      </c>
      <c r="G187" s="70" t="s">
        <v>5571</v>
      </c>
      <c r="H187" s="85">
        <f t="shared" si="4"/>
        <v>4.4166405073382808</v>
      </c>
      <c r="I187" s="85">
        <v>26100</v>
      </c>
      <c r="J187" s="131" t="s">
        <v>6485</v>
      </c>
      <c r="K187" s="60">
        <v>68</v>
      </c>
      <c r="L187" s="47"/>
      <c r="P187"/>
      <c r="Q187"/>
    </row>
    <row r="188" spans="1:27" ht="42" x14ac:dyDescent="0.2">
      <c r="A188" s="70" t="s">
        <v>2479</v>
      </c>
      <c r="B188" s="82"/>
      <c r="C188" s="70" t="s">
        <v>3636</v>
      </c>
      <c r="D188" s="70" t="s">
        <v>2837</v>
      </c>
      <c r="E188" s="70" t="s">
        <v>3178</v>
      </c>
      <c r="F188" s="70" t="s">
        <v>5897</v>
      </c>
      <c r="G188" s="70" t="s">
        <v>4700</v>
      </c>
      <c r="H188" s="85">
        <f t="shared" si="4"/>
        <v>4.4623979978989565</v>
      </c>
      <c r="I188" s="85">
        <v>29000</v>
      </c>
      <c r="J188" s="131" t="s">
        <v>1333</v>
      </c>
      <c r="K188" s="60">
        <v>68</v>
      </c>
      <c r="L188" s="47" t="s">
        <v>6809</v>
      </c>
    </row>
    <row r="189" spans="1:27" ht="14" x14ac:dyDescent="0.15">
      <c r="A189" s="73" t="s">
        <v>2633</v>
      </c>
      <c r="B189" s="82"/>
      <c r="C189" s="70" t="s">
        <v>3636</v>
      </c>
      <c r="D189" s="70" t="s">
        <v>2837</v>
      </c>
      <c r="E189" s="70" t="s">
        <v>3178</v>
      </c>
      <c r="F189" s="70" t="s">
        <v>7412</v>
      </c>
      <c r="G189" s="70" t="s">
        <v>4603</v>
      </c>
      <c r="H189" s="85">
        <f t="shared" si="4"/>
        <v>5.2342600000000008</v>
      </c>
      <c r="I189" s="85">
        <v>171498.37131800401</v>
      </c>
      <c r="J189" s="131" t="s">
        <v>6817</v>
      </c>
      <c r="K189" s="60">
        <v>60</v>
      </c>
      <c r="L189" s="49" t="s">
        <v>6392</v>
      </c>
    </row>
    <row r="190" spans="1:27" ht="14" x14ac:dyDescent="0.15">
      <c r="A190" s="70" t="s">
        <v>2479</v>
      </c>
      <c r="B190" s="93" t="s">
        <v>2367</v>
      </c>
      <c r="C190" s="70" t="s">
        <v>3636</v>
      </c>
      <c r="D190" s="70" t="s">
        <v>2837</v>
      </c>
      <c r="E190" s="70" t="s">
        <v>3088</v>
      </c>
      <c r="F190" s="70" t="s">
        <v>3304</v>
      </c>
      <c r="G190" s="70" t="s">
        <v>6011</v>
      </c>
      <c r="H190" s="85">
        <f t="shared" si="4"/>
        <v>4.9852767431792939</v>
      </c>
      <c r="I190" s="85">
        <f>AVERAGE(57000, 83000, 150000)</f>
        <v>96666.666666666672</v>
      </c>
      <c r="J190" s="131" t="s">
        <v>3177</v>
      </c>
      <c r="K190" s="60" t="s">
        <v>1474</v>
      </c>
      <c r="L190" s="33"/>
    </row>
    <row r="191" spans="1:27" ht="14" x14ac:dyDescent="0.15">
      <c r="A191" s="70" t="s">
        <v>2481</v>
      </c>
      <c r="B191" s="93" t="s">
        <v>7383</v>
      </c>
      <c r="C191" s="70" t="s">
        <v>3636</v>
      </c>
      <c r="D191" s="70" t="s">
        <v>2837</v>
      </c>
      <c r="E191" s="70" t="s">
        <v>3088</v>
      </c>
      <c r="F191" s="70" t="s">
        <v>3304</v>
      </c>
      <c r="G191" s="70" t="s">
        <v>6011</v>
      </c>
      <c r="H191" s="85">
        <f t="shared" si="4"/>
        <v>4.9852767431792939</v>
      </c>
      <c r="I191" s="85">
        <f>AVERAGE(57000, 83000, 150000)</f>
        <v>96666.666666666672</v>
      </c>
      <c r="J191" s="131" t="s">
        <v>3177</v>
      </c>
      <c r="K191" s="60" t="s">
        <v>1474</v>
      </c>
      <c r="L191" s="33"/>
    </row>
    <row r="192" spans="1:27" ht="14" x14ac:dyDescent="0.15">
      <c r="A192" s="275" t="s">
        <v>2481</v>
      </c>
      <c r="B192" s="276" t="s">
        <v>2487</v>
      </c>
      <c r="C192" s="275" t="s">
        <v>3636</v>
      </c>
      <c r="D192" s="275" t="s">
        <v>2837</v>
      </c>
      <c r="E192" s="275" t="s">
        <v>3088</v>
      </c>
      <c r="F192" s="275" t="s">
        <v>3304</v>
      </c>
      <c r="G192" s="275" t="s">
        <v>6242</v>
      </c>
      <c r="H192" s="277">
        <f t="shared" si="4"/>
        <v>4.7403626894942441</v>
      </c>
      <c r="I192" s="277">
        <f>AVERAGE(40000, 70000)</f>
        <v>55000</v>
      </c>
      <c r="J192" s="278" t="s">
        <v>3177</v>
      </c>
      <c r="K192" s="279" t="s">
        <v>7664</v>
      </c>
      <c r="L192" s="280"/>
      <c r="M192" s="281"/>
      <c r="N192" s="281"/>
      <c r="O192" s="281"/>
      <c r="P192" s="282"/>
      <c r="Q192" s="282"/>
      <c r="R192" s="282"/>
      <c r="S192" s="282"/>
      <c r="T192" s="282"/>
      <c r="U192" s="282"/>
      <c r="V192" s="282"/>
      <c r="W192" s="282"/>
      <c r="X192" s="282"/>
      <c r="Y192" s="283"/>
      <c r="Z192" s="281"/>
      <c r="AA192" s="281"/>
    </row>
    <row r="193" spans="1:27" ht="14" x14ac:dyDescent="0.15">
      <c r="A193" s="70" t="s">
        <v>2479</v>
      </c>
      <c r="B193" s="93" t="s">
        <v>7385</v>
      </c>
      <c r="C193" s="70" t="s">
        <v>3636</v>
      </c>
      <c r="D193" s="70" t="s">
        <v>2837</v>
      </c>
      <c r="E193" s="70" t="s">
        <v>3088</v>
      </c>
      <c r="F193" s="70" t="s">
        <v>3304</v>
      </c>
      <c r="G193" s="70" t="s">
        <v>2829</v>
      </c>
      <c r="H193" s="85">
        <f t="shared" si="4"/>
        <v>3.8875047742353779</v>
      </c>
      <c r="I193" s="85">
        <f>17*454</f>
        <v>7718</v>
      </c>
      <c r="J193" s="131" t="s">
        <v>6817</v>
      </c>
      <c r="K193" s="60">
        <v>133</v>
      </c>
      <c r="L193" s="31" t="s">
        <v>6809</v>
      </c>
    </row>
    <row r="194" spans="1:27" s="295" customFormat="1" x14ac:dyDescent="0.15">
      <c r="A194" s="286" t="s">
        <v>2479</v>
      </c>
      <c r="B194" s="287"/>
      <c r="C194" s="288" t="s">
        <v>3636</v>
      </c>
      <c r="D194" s="288" t="s">
        <v>2837</v>
      </c>
      <c r="E194" s="288" t="s">
        <v>3088</v>
      </c>
      <c r="F194" s="288" t="s">
        <v>3304</v>
      </c>
      <c r="G194" s="288" t="s">
        <v>3305</v>
      </c>
      <c r="H194" s="289">
        <f t="shared" si="4"/>
        <v>5.0692451171051838</v>
      </c>
      <c r="I194" s="289">
        <f>AVERAGE(112500, 92500, 60000, 153000, 45000, 128000, 230000)</f>
        <v>117285.71428571429</v>
      </c>
      <c r="J194" s="290"/>
      <c r="K194" s="291" t="s">
        <v>1329</v>
      </c>
      <c r="L194" s="292"/>
      <c r="M194" s="293"/>
      <c r="N194" s="293"/>
      <c r="O194" s="293"/>
      <c r="P194" s="294"/>
      <c r="Q194" s="294"/>
      <c r="R194" s="294"/>
      <c r="S194" s="294"/>
      <c r="T194" s="294"/>
      <c r="U194" s="294"/>
      <c r="V194" s="294"/>
      <c r="W194" s="294"/>
      <c r="X194" s="294"/>
    </row>
    <row r="195" spans="1:27" ht="14" x14ac:dyDescent="0.15">
      <c r="A195" s="70" t="s">
        <v>2481</v>
      </c>
      <c r="B195" s="93" t="s">
        <v>2426</v>
      </c>
      <c r="C195" s="70" t="s">
        <v>3636</v>
      </c>
      <c r="D195" s="70" t="s">
        <v>2837</v>
      </c>
      <c r="E195" s="70" t="s">
        <v>3088</v>
      </c>
      <c r="F195" s="70" t="s">
        <v>3304</v>
      </c>
      <c r="G195" s="70" t="s">
        <v>7895</v>
      </c>
      <c r="H195" s="85">
        <f t="shared" si="4"/>
        <v>4.9098233696509119</v>
      </c>
      <c r="I195" s="85">
        <f>AVERAGE(47500, 115000)</f>
        <v>81250</v>
      </c>
      <c r="J195" s="131" t="s">
        <v>3177</v>
      </c>
      <c r="K195" s="60">
        <v>136</v>
      </c>
      <c r="L195" s="33" t="s">
        <v>6390</v>
      </c>
    </row>
    <row r="196" spans="1:27" ht="14" x14ac:dyDescent="0.15">
      <c r="A196" s="70" t="s">
        <v>2633</v>
      </c>
      <c r="B196" s="82"/>
      <c r="C196" s="70" t="s">
        <v>3636</v>
      </c>
      <c r="D196" s="70" t="s">
        <v>2837</v>
      </c>
      <c r="E196" s="70" t="s">
        <v>3178</v>
      </c>
      <c r="F196" s="70" t="s">
        <v>3707</v>
      </c>
      <c r="G196" s="70" t="s">
        <v>3708</v>
      </c>
      <c r="H196" s="85">
        <f t="shared" si="4"/>
        <v>4.2900300000000007</v>
      </c>
      <c r="I196" s="85">
        <v>19499.792949034705</v>
      </c>
      <c r="J196" s="131" t="s">
        <v>3177</v>
      </c>
      <c r="K196" s="60" t="s">
        <v>2686</v>
      </c>
    </row>
    <row r="197" spans="1:27" ht="42" x14ac:dyDescent="0.15">
      <c r="A197" s="70" t="s">
        <v>2633</v>
      </c>
      <c r="B197" s="82"/>
      <c r="C197" s="70" t="s">
        <v>3636</v>
      </c>
      <c r="D197" s="70" t="s">
        <v>2837</v>
      </c>
      <c r="E197" s="70" t="s">
        <v>3178</v>
      </c>
      <c r="F197" s="70" t="s">
        <v>4120</v>
      </c>
      <c r="G197" s="70" t="s">
        <v>6270</v>
      </c>
      <c r="H197" s="85">
        <f t="shared" ref="H197:H211" si="5">LOG(I197)</f>
        <v>5.7634299999999996</v>
      </c>
      <c r="I197" s="85">
        <v>580002.67960159073</v>
      </c>
      <c r="J197" s="131" t="s">
        <v>6478</v>
      </c>
      <c r="K197" s="60" t="s">
        <v>2686</v>
      </c>
      <c r="L197" s="49" t="s">
        <v>6392</v>
      </c>
    </row>
    <row r="198" spans="1:27" ht="14" x14ac:dyDescent="0.15">
      <c r="A198" s="70" t="s">
        <v>2633</v>
      </c>
      <c r="B198" s="82"/>
      <c r="C198" s="70" t="s">
        <v>3636</v>
      </c>
      <c r="D198" s="70" t="s">
        <v>2837</v>
      </c>
      <c r="E198" s="70" t="s">
        <v>3178</v>
      </c>
      <c r="F198" s="70" t="s">
        <v>3235</v>
      </c>
      <c r="G198" s="70" t="s">
        <v>2897</v>
      </c>
      <c r="H198" s="85">
        <f t="shared" si="5"/>
        <v>5.8325089127062366</v>
      </c>
      <c r="I198" s="85">
        <v>680000</v>
      </c>
      <c r="J198" s="131" t="s">
        <v>6485</v>
      </c>
      <c r="K198" s="63">
        <v>68</v>
      </c>
      <c r="L198" s="49" t="s">
        <v>6392</v>
      </c>
    </row>
    <row r="199" spans="1:27" ht="14" x14ac:dyDescent="0.15">
      <c r="A199" s="70" t="s">
        <v>2633</v>
      </c>
      <c r="B199" s="82"/>
      <c r="C199" s="70" t="s">
        <v>3636</v>
      </c>
      <c r="D199" s="70" t="s">
        <v>2837</v>
      </c>
      <c r="E199" s="70" t="s">
        <v>3178</v>
      </c>
      <c r="F199" s="70" t="s">
        <v>3235</v>
      </c>
      <c r="G199" s="70" t="s">
        <v>3718</v>
      </c>
      <c r="H199" s="85">
        <f t="shared" si="5"/>
        <v>5.7558700000000007</v>
      </c>
      <c r="I199" s="85">
        <v>569993.62709414295</v>
      </c>
      <c r="J199" s="131" t="s">
        <v>3177</v>
      </c>
      <c r="K199" s="60" t="s">
        <v>2686</v>
      </c>
    </row>
    <row r="200" spans="1:27" ht="14" x14ac:dyDescent="0.15">
      <c r="A200" s="70" t="s">
        <v>7029</v>
      </c>
      <c r="B200" s="82"/>
      <c r="C200" s="70" t="s">
        <v>3636</v>
      </c>
      <c r="D200" s="70" t="s">
        <v>2837</v>
      </c>
      <c r="E200" s="70" t="s">
        <v>4379</v>
      </c>
      <c r="F200" s="70" t="s">
        <v>4380</v>
      </c>
      <c r="G200" s="70" t="s">
        <v>4381</v>
      </c>
      <c r="H200" s="85">
        <f t="shared" si="5"/>
        <v>4.5083100000000007</v>
      </c>
      <c r="I200" s="85">
        <v>32233.688154104955</v>
      </c>
      <c r="J200" s="131" t="s">
        <v>3177</v>
      </c>
      <c r="K200" s="63">
        <v>60</v>
      </c>
      <c r="R200" s="245"/>
      <c r="S200" s="245"/>
      <c r="T200" s="245"/>
      <c r="U200" s="245"/>
      <c r="V200" s="245"/>
      <c r="W200" s="245"/>
      <c r="X200" s="245"/>
      <c r="Y200" s="246"/>
      <c r="Z200" s="243"/>
      <c r="AA200" s="243"/>
    </row>
    <row r="201" spans="1:27" ht="17" x14ac:dyDescent="0.2">
      <c r="A201" s="70" t="s">
        <v>2479</v>
      </c>
      <c r="B201" s="82"/>
      <c r="C201" s="70" t="s">
        <v>3636</v>
      </c>
      <c r="D201" s="70" t="s">
        <v>2837</v>
      </c>
      <c r="E201" s="70" t="s">
        <v>3178</v>
      </c>
      <c r="F201" s="70" t="s">
        <v>7439</v>
      </c>
      <c r="G201" s="70" t="s">
        <v>5240</v>
      </c>
      <c r="H201" s="85">
        <f t="shared" si="5"/>
        <v>4.2787536009528289</v>
      </c>
      <c r="I201" s="85">
        <v>19000</v>
      </c>
      <c r="J201" s="134" t="s">
        <v>6817</v>
      </c>
      <c r="K201" s="63">
        <v>68</v>
      </c>
      <c r="L201" s="47" t="s">
        <v>6728</v>
      </c>
    </row>
    <row r="202" spans="1:27" ht="14" x14ac:dyDescent="0.15">
      <c r="A202" s="70" t="s">
        <v>2633</v>
      </c>
      <c r="B202" s="82"/>
      <c r="C202" s="73" t="s">
        <v>3636</v>
      </c>
      <c r="D202" s="73" t="s">
        <v>2837</v>
      </c>
      <c r="E202" s="70" t="s">
        <v>3178</v>
      </c>
      <c r="F202" s="73" t="s">
        <v>3719</v>
      </c>
      <c r="G202" s="73" t="s">
        <v>8078</v>
      </c>
      <c r="H202" s="85">
        <f t="shared" si="5"/>
        <v>4.9375200000000001</v>
      </c>
      <c r="I202" s="85">
        <v>86600.420340917175</v>
      </c>
      <c r="J202" s="131" t="s">
        <v>3177</v>
      </c>
      <c r="K202" s="60">
        <v>60</v>
      </c>
      <c r="L202" s="49" t="s">
        <v>6392</v>
      </c>
    </row>
    <row r="203" spans="1:27" ht="14" x14ac:dyDescent="0.15">
      <c r="A203" s="70" t="s">
        <v>2633</v>
      </c>
      <c r="B203" s="82"/>
      <c r="C203" s="70" t="s">
        <v>3636</v>
      </c>
      <c r="D203" s="70" t="s">
        <v>2837</v>
      </c>
      <c r="E203" s="70" t="s">
        <v>3178</v>
      </c>
      <c r="F203" s="70" t="s">
        <v>3719</v>
      </c>
      <c r="G203" s="70" t="s">
        <v>3702</v>
      </c>
      <c r="H203" s="85">
        <f t="shared" si="5"/>
        <v>5.3324400000000001</v>
      </c>
      <c r="I203" s="85">
        <v>215000.76242905634</v>
      </c>
      <c r="J203" s="131" t="s">
        <v>6816</v>
      </c>
      <c r="K203" s="60">
        <v>65</v>
      </c>
      <c r="L203" s="49" t="s">
        <v>6390</v>
      </c>
      <c r="R203" s="245"/>
      <c r="S203" s="245"/>
      <c r="T203" s="245"/>
      <c r="U203" s="245"/>
      <c r="V203" s="245"/>
      <c r="W203" s="245"/>
      <c r="X203" s="245"/>
      <c r="Y203" s="246"/>
      <c r="Z203" s="246"/>
      <c r="AA203" s="246"/>
    </row>
    <row r="204" spans="1:27" ht="14" x14ac:dyDescent="0.15">
      <c r="A204" s="70" t="s">
        <v>2633</v>
      </c>
      <c r="B204" s="82"/>
      <c r="C204" s="70" t="s">
        <v>3636</v>
      </c>
      <c r="D204" s="70" t="s">
        <v>2837</v>
      </c>
      <c r="E204" s="70" t="s">
        <v>3178</v>
      </c>
      <c r="F204" s="70" t="s">
        <v>3719</v>
      </c>
      <c r="G204" s="70" t="s">
        <v>3236</v>
      </c>
      <c r="H204" s="85">
        <f t="shared" si="5"/>
        <v>5.5171999999999999</v>
      </c>
      <c r="I204" s="85">
        <v>329003.10752470582</v>
      </c>
      <c r="J204" s="131" t="s">
        <v>6817</v>
      </c>
      <c r="K204" s="60">
        <v>60</v>
      </c>
      <c r="L204" s="49" t="s">
        <v>6392</v>
      </c>
      <c r="R204" s="245"/>
      <c r="S204" s="245"/>
      <c r="T204" s="245"/>
      <c r="U204" s="245"/>
      <c r="V204" s="245"/>
      <c r="W204" s="245"/>
      <c r="X204" s="245"/>
      <c r="Y204" s="246"/>
      <c r="Z204" s="246"/>
      <c r="AA204" s="246"/>
    </row>
    <row r="205" spans="1:27" ht="28" x14ac:dyDescent="0.15">
      <c r="A205" s="70" t="s">
        <v>2633</v>
      </c>
      <c r="B205" s="82"/>
      <c r="C205" s="70" t="s">
        <v>3636</v>
      </c>
      <c r="D205" s="70" t="s">
        <v>2837</v>
      </c>
      <c r="E205" s="70" t="s">
        <v>3178</v>
      </c>
      <c r="F205" s="70" t="s">
        <v>3719</v>
      </c>
      <c r="G205" s="70" t="s">
        <v>3237</v>
      </c>
      <c r="H205" s="85">
        <f t="shared" si="5"/>
        <v>4.9115600000000006</v>
      </c>
      <c r="I205" s="85">
        <v>81575.548013253661</v>
      </c>
      <c r="J205" s="131" t="s">
        <v>6412</v>
      </c>
      <c r="K205" s="60" t="s">
        <v>2686</v>
      </c>
      <c r="L205" s="49" t="s">
        <v>6392</v>
      </c>
    </row>
    <row r="206" spans="1:27" ht="14" x14ac:dyDescent="0.15">
      <c r="A206" s="70" t="s">
        <v>2633</v>
      </c>
      <c r="B206" s="82"/>
      <c r="C206" s="70" t="s">
        <v>3636</v>
      </c>
      <c r="D206" s="70" t="s">
        <v>2837</v>
      </c>
      <c r="E206" s="70" t="s">
        <v>3178</v>
      </c>
      <c r="F206" s="70" t="s">
        <v>3719</v>
      </c>
      <c r="G206" s="70" t="s">
        <v>4315</v>
      </c>
      <c r="H206" s="85">
        <f t="shared" si="5"/>
        <v>4.6359899999999996</v>
      </c>
      <c r="I206" s="85">
        <v>43250.387215066643</v>
      </c>
      <c r="J206" s="131" t="s">
        <v>3177</v>
      </c>
      <c r="K206" s="60" t="s">
        <v>2686</v>
      </c>
    </row>
    <row r="207" spans="1:27" ht="14" x14ac:dyDescent="0.15">
      <c r="A207" s="70" t="s">
        <v>2633</v>
      </c>
      <c r="B207" s="82"/>
      <c r="C207" s="70" t="s">
        <v>3636</v>
      </c>
      <c r="D207" s="70" t="s">
        <v>2837</v>
      </c>
      <c r="E207" s="70" t="s">
        <v>3178</v>
      </c>
      <c r="F207" s="70" t="s">
        <v>3719</v>
      </c>
      <c r="G207" s="70" t="s">
        <v>3882</v>
      </c>
      <c r="H207" s="85">
        <f t="shared" si="5"/>
        <v>4.8920899999999996</v>
      </c>
      <c r="I207" s="85">
        <v>77999.173353634396</v>
      </c>
      <c r="J207" s="131" t="s">
        <v>6817</v>
      </c>
      <c r="K207" s="60" t="s">
        <v>2686</v>
      </c>
      <c r="L207" s="49" t="s">
        <v>6392</v>
      </c>
    </row>
    <row r="208" spans="1:27" ht="14" x14ac:dyDescent="0.15">
      <c r="A208" s="73" t="s">
        <v>2633</v>
      </c>
      <c r="B208" s="82"/>
      <c r="C208" s="70" t="s">
        <v>3636</v>
      </c>
      <c r="D208" s="70" t="s">
        <v>2837</v>
      </c>
      <c r="E208" s="70" t="s">
        <v>3178</v>
      </c>
      <c r="F208" s="70" t="s">
        <v>3719</v>
      </c>
      <c r="G208" s="70" t="s">
        <v>3883</v>
      </c>
      <c r="H208" s="85">
        <f t="shared" si="5"/>
        <v>5.3293999999999997</v>
      </c>
      <c r="I208" s="85">
        <v>213501.04251272275</v>
      </c>
      <c r="J208" s="131" t="s">
        <v>3177</v>
      </c>
      <c r="K208" s="60" t="s">
        <v>2686</v>
      </c>
      <c r="L208" s="49" t="s">
        <v>6392</v>
      </c>
    </row>
    <row r="209" spans="1:27" ht="14" x14ac:dyDescent="0.15">
      <c r="A209" s="303" t="s">
        <v>8057</v>
      </c>
      <c r="B209" s="82"/>
      <c r="C209" s="70" t="s">
        <v>3636</v>
      </c>
      <c r="D209" s="70" t="s">
        <v>2837</v>
      </c>
      <c r="E209" s="70" t="s">
        <v>3770</v>
      </c>
      <c r="F209" s="70" t="s">
        <v>7994</v>
      </c>
      <c r="G209" s="70" t="s">
        <v>7202</v>
      </c>
      <c r="H209" s="85">
        <f t="shared" si="5"/>
        <v>3.4432629874586951</v>
      </c>
      <c r="I209" s="85">
        <v>2775</v>
      </c>
      <c r="J209" s="131" t="s">
        <v>6485</v>
      </c>
      <c r="K209" s="60">
        <v>68</v>
      </c>
    </row>
    <row r="210" spans="1:27" s="284" customFormat="1" ht="14" x14ac:dyDescent="0.15">
      <c r="A210" s="303" t="s">
        <v>8057</v>
      </c>
      <c r="B210" s="82"/>
      <c r="C210" s="70" t="s">
        <v>3636</v>
      </c>
      <c r="D210" s="70" t="s">
        <v>2837</v>
      </c>
      <c r="E210" s="70" t="s">
        <v>3770</v>
      </c>
      <c r="F210" s="70" t="s">
        <v>7994</v>
      </c>
      <c r="G210" s="70" t="s">
        <v>5885</v>
      </c>
      <c r="H210" s="85">
        <f t="shared" si="5"/>
        <v>3.6946051989335689</v>
      </c>
      <c r="I210" s="85">
        <v>4950</v>
      </c>
      <c r="J210" s="131" t="s">
        <v>6485</v>
      </c>
      <c r="K210" s="304" t="s">
        <v>5705</v>
      </c>
      <c r="L210" s="49"/>
      <c r="M210" s="37"/>
      <c r="N210" s="37"/>
      <c r="O210" s="37"/>
      <c r="P210" s="3"/>
      <c r="Q210" s="3"/>
      <c r="R210" s="3"/>
      <c r="S210" s="3"/>
      <c r="T210" s="3"/>
      <c r="U210" s="3"/>
      <c r="V210" s="3"/>
      <c r="W210" s="3"/>
      <c r="X210" s="3"/>
      <c r="Y210" s="4"/>
      <c r="Z210"/>
      <c r="AA210"/>
    </row>
    <row r="211" spans="1:27" s="284" customFormat="1" ht="14" x14ac:dyDescent="0.15">
      <c r="A211" s="70" t="s">
        <v>7029</v>
      </c>
      <c r="B211" s="82"/>
      <c r="C211" s="70" t="s">
        <v>3636</v>
      </c>
      <c r="D211" s="70" t="s">
        <v>2837</v>
      </c>
      <c r="E211" s="70" t="s">
        <v>7198</v>
      </c>
      <c r="F211" s="70" t="s">
        <v>3689</v>
      </c>
      <c r="G211" s="70" t="s">
        <v>3687</v>
      </c>
      <c r="H211" s="85">
        <f t="shared" si="5"/>
        <v>4.6766899999999998</v>
      </c>
      <c r="I211" s="85">
        <v>47499.605206891225</v>
      </c>
      <c r="J211" s="131" t="s">
        <v>3177</v>
      </c>
      <c r="K211" s="60">
        <v>60</v>
      </c>
      <c r="L211" s="49" t="s">
        <v>6392</v>
      </c>
      <c r="M211" s="37"/>
      <c r="N211" s="37"/>
      <c r="O211" s="37"/>
      <c r="P211" s="3"/>
      <c r="Q211" s="3"/>
      <c r="R211" s="3"/>
      <c r="S211" s="3"/>
      <c r="T211" s="3"/>
      <c r="U211" s="3"/>
      <c r="V211" s="3"/>
      <c r="W211" s="3"/>
      <c r="X211" s="3"/>
      <c r="Y211" s="4"/>
      <c r="Z211"/>
      <c r="AA211"/>
    </row>
    <row r="212" spans="1:27" x14ac:dyDescent="0.15">
      <c r="A212" t="s">
        <v>7029</v>
      </c>
      <c r="B212"/>
      <c r="C212" t="s">
        <v>3636</v>
      </c>
      <c r="D212" t="s">
        <v>7007</v>
      </c>
      <c r="E212" t="s">
        <v>6890</v>
      </c>
      <c r="F212" t="s">
        <v>6891</v>
      </c>
      <c r="G212" t="s">
        <v>1859</v>
      </c>
      <c r="H212">
        <v>5.173</v>
      </c>
      <c r="I212">
        <v>148949.826</v>
      </c>
      <c r="J212"/>
      <c r="K212"/>
      <c r="L212"/>
      <c r="M212"/>
      <c r="N212"/>
      <c r="O212"/>
      <c r="P212"/>
      <c r="Q212"/>
      <c r="R212"/>
      <c r="S212"/>
      <c r="T212"/>
      <c r="U212"/>
      <c r="V212"/>
      <c r="W212"/>
      <c r="X212"/>
      <c r="Y212"/>
    </row>
    <row r="213" spans="1:27" x14ac:dyDescent="0.15">
      <c r="A213" t="s">
        <v>7029</v>
      </c>
      <c r="B213"/>
      <c r="C213" t="s">
        <v>3636</v>
      </c>
      <c r="D213" t="s">
        <v>7007</v>
      </c>
      <c r="E213" t="s">
        <v>6890</v>
      </c>
      <c r="F213" t="s">
        <v>6891</v>
      </c>
      <c r="G213" t="s">
        <v>4637</v>
      </c>
      <c r="H213">
        <v>5.3170000000000002</v>
      </c>
      <c r="I213">
        <v>207500.90700000001</v>
      </c>
      <c r="J213"/>
      <c r="K213"/>
      <c r="L213"/>
      <c r="M213"/>
      <c r="N213"/>
      <c r="O213"/>
      <c r="P213"/>
      <c r="Q213"/>
      <c r="R213"/>
      <c r="S213"/>
      <c r="T213"/>
      <c r="U213"/>
      <c r="V213"/>
      <c r="W213"/>
      <c r="X213"/>
      <c r="Y213"/>
    </row>
    <row r="214" spans="1:27" x14ac:dyDescent="0.15">
      <c r="A214" t="s">
        <v>7029</v>
      </c>
      <c r="B214"/>
      <c r="C214" t="s">
        <v>3636</v>
      </c>
      <c r="D214" t="s">
        <v>7007</v>
      </c>
      <c r="E214" t="s">
        <v>6890</v>
      </c>
      <c r="F214" t="s">
        <v>6891</v>
      </c>
      <c r="G214" t="s">
        <v>1858</v>
      </c>
      <c r="H214">
        <v>5.4770000000000003</v>
      </c>
      <c r="I214">
        <v>299999.13299999997</v>
      </c>
      <c r="J214"/>
      <c r="K214"/>
      <c r="L214"/>
      <c r="M214"/>
      <c r="N214"/>
      <c r="O214"/>
      <c r="P214"/>
      <c r="Q214"/>
      <c r="R214"/>
      <c r="S214"/>
      <c r="T214"/>
      <c r="U214"/>
      <c r="V214"/>
      <c r="W214"/>
      <c r="X214"/>
      <c r="Y214"/>
    </row>
    <row r="215" spans="1:27" x14ac:dyDescent="0.15">
      <c r="A215" t="s">
        <v>2481</v>
      </c>
      <c r="B215"/>
      <c r="C215" t="s">
        <v>3636</v>
      </c>
      <c r="D215" t="s">
        <v>7007</v>
      </c>
      <c r="E215" t="s">
        <v>8064</v>
      </c>
      <c r="F215" t="s">
        <v>6888</v>
      </c>
      <c r="G215" t="s">
        <v>6889</v>
      </c>
      <c r="H215">
        <f t="shared" ref="H215:H220" si="6">LOG10(I215)</f>
        <v>6.0791812460476251</v>
      </c>
      <c r="I215">
        <v>1200000</v>
      </c>
      <c r="J215" t="s">
        <v>8065</v>
      </c>
      <c r="K215"/>
      <c r="L215"/>
      <c r="M215"/>
      <c r="N215"/>
      <c r="O215"/>
      <c r="P215"/>
      <c r="Q215"/>
      <c r="R215"/>
      <c r="S215"/>
      <c r="T215"/>
      <c r="U215"/>
      <c r="V215"/>
      <c r="W215"/>
      <c r="X215"/>
      <c r="Y215"/>
    </row>
    <row r="216" spans="1:27" x14ac:dyDescent="0.15">
      <c r="A216" t="s">
        <v>2633</v>
      </c>
      <c r="B216"/>
      <c r="C216" t="s">
        <v>3636</v>
      </c>
      <c r="D216" t="s">
        <v>7007</v>
      </c>
      <c r="E216" t="s">
        <v>8064</v>
      </c>
      <c r="F216" t="s">
        <v>6235</v>
      </c>
      <c r="G216" t="s">
        <v>5945</v>
      </c>
      <c r="H216">
        <f t="shared" si="6"/>
        <v>6</v>
      </c>
      <c r="I216">
        <v>1000000</v>
      </c>
      <c r="J216" t="s">
        <v>8065</v>
      </c>
      <c r="K216"/>
      <c r="L216"/>
      <c r="M216"/>
      <c r="N216"/>
      <c r="O216"/>
      <c r="P216"/>
      <c r="Q216"/>
      <c r="R216"/>
      <c r="S216"/>
      <c r="T216"/>
      <c r="U216"/>
      <c r="V216"/>
      <c r="W216"/>
      <c r="X216"/>
      <c r="Y216"/>
    </row>
    <row r="217" spans="1:27" x14ac:dyDescent="0.15">
      <c r="A217" t="s">
        <v>8066</v>
      </c>
      <c r="B217"/>
      <c r="C217" t="s">
        <v>3636</v>
      </c>
      <c r="D217" t="s">
        <v>2837</v>
      </c>
      <c r="E217" t="s">
        <v>7198</v>
      </c>
      <c r="F217" t="s">
        <v>7199</v>
      </c>
      <c r="G217" t="s">
        <v>5241</v>
      </c>
      <c r="H217">
        <f t="shared" si="6"/>
        <v>5.6566657405612899</v>
      </c>
      <c r="I217">
        <v>453592.37</v>
      </c>
      <c r="J217" t="s">
        <v>8067</v>
      </c>
      <c r="K217"/>
      <c r="L217"/>
      <c r="M217"/>
      <c r="N217"/>
      <c r="O217"/>
      <c r="P217"/>
      <c r="Q217"/>
      <c r="R217"/>
      <c r="S217"/>
      <c r="T217"/>
      <c r="U217"/>
      <c r="V217"/>
      <c r="W217"/>
      <c r="X217"/>
      <c r="Y217"/>
    </row>
    <row r="218" spans="1:27" s="49" customFormat="1" ht="29" thickBot="1" x14ac:dyDescent="0.2">
      <c r="A218" s="262" t="s">
        <v>8068</v>
      </c>
      <c r="B218" s="263"/>
      <c r="C218" s="264" t="s">
        <v>3636</v>
      </c>
      <c r="D218" s="262" t="s">
        <v>2837</v>
      </c>
      <c r="E218" s="262" t="s">
        <v>3724</v>
      </c>
      <c r="F218" s="262" t="s">
        <v>3725</v>
      </c>
      <c r="G218" s="262" t="s">
        <v>3939</v>
      </c>
      <c r="H218">
        <f t="shared" si="6"/>
        <v>5.5198279937757189</v>
      </c>
      <c r="I218" s="265">
        <v>331000</v>
      </c>
      <c r="J218" s="146" t="s">
        <v>8070</v>
      </c>
      <c r="K218" s="99"/>
      <c r="M218" s="37"/>
      <c r="N218" s="37"/>
      <c r="O218" s="37"/>
      <c r="P218" s="3"/>
      <c r="Q218" s="3"/>
      <c r="R218" s="3"/>
      <c r="S218" s="3"/>
      <c r="T218" s="3"/>
      <c r="U218" s="3"/>
      <c r="V218" s="3"/>
      <c r="W218" s="3"/>
      <c r="X218" s="3"/>
      <c r="Y218" s="4"/>
      <c r="Z218" s="4"/>
      <c r="AA218" s="4"/>
    </row>
    <row r="219" spans="1:27" s="49" customFormat="1" ht="29" thickBot="1" x14ac:dyDescent="0.25">
      <c r="A219" s="262" t="s">
        <v>2479</v>
      </c>
      <c r="B219" s="263"/>
      <c r="C219" s="264" t="s">
        <v>3636</v>
      </c>
      <c r="D219" s="262" t="s">
        <v>2837</v>
      </c>
      <c r="E219" s="262" t="s">
        <v>3178</v>
      </c>
      <c r="F219" s="305" t="s">
        <v>3938</v>
      </c>
      <c r="G219" s="305" t="s">
        <v>3624</v>
      </c>
      <c r="H219">
        <f t="shared" si="6"/>
        <v>4.6989700043360187</v>
      </c>
      <c r="I219" s="265">
        <v>50000</v>
      </c>
      <c r="J219" s="146" t="s">
        <v>8070</v>
      </c>
      <c r="K219" s="266"/>
      <c r="M219" s="37"/>
      <c r="N219" s="37"/>
      <c r="O219" s="37"/>
      <c r="P219" s="3"/>
      <c r="Q219" s="3"/>
      <c r="R219" s="3"/>
      <c r="S219" s="3"/>
      <c r="T219" s="3"/>
      <c r="U219" s="3"/>
      <c r="V219" s="3"/>
      <c r="W219" s="3"/>
      <c r="X219" s="3"/>
      <c r="Y219" s="4"/>
      <c r="Z219" s="4"/>
      <c r="AA219" s="4"/>
    </row>
    <row r="220" spans="1:27" s="4" customFormat="1" ht="28" x14ac:dyDescent="0.15">
      <c r="A220" s="262" t="s">
        <v>2633</v>
      </c>
      <c r="B220" s="263"/>
      <c r="C220" s="264" t="s">
        <v>3636</v>
      </c>
      <c r="D220" s="262" t="s">
        <v>7007</v>
      </c>
      <c r="E220" s="262" t="s">
        <v>8064</v>
      </c>
      <c r="F220" s="262" t="s">
        <v>2251</v>
      </c>
      <c r="G220" s="262" t="s">
        <v>7214</v>
      </c>
      <c r="H220">
        <f t="shared" si="6"/>
        <v>6.5563025007672868</v>
      </c>
      <c r="I220" s="265">
        <v>3600000</v>
      </c>
      <c r="J220" s="146" t="s">
        <v>8071</v>
      </c>
      <c r="K220" s="266"/>
      <c r="L220" s="49"/>
      <c r="M220" s="37"/>
      <c r="N220" s="37"/>
      <c r="O220" s="37"/>
      <c r="P220" s="3"/>
      <c r="Q220" s="3"/>
      <c r="R220" s="3"/>
      <c r="S220" s="3"/>
      <c r="T220" s="3"/>
      <c r="U220" s="3"/>
      <c r="V220" s="3"/>
      <c r="W220" s="3"/>
      <c r="X220" s="3"/>
    </row>
    <row r="221" spans="1:27" s="4" customFormat="1" x14ac:dyDescent="0.15">
      <c r="A221" s="262"/>
      <c r="B221" s="263"/>
      <c r="C221" s="264"/>
      <c r="D221" s="262"/>
      <c r="E221" s="262"/>
      <c r="F221" s="262"/>
      <c r="G221" s="262"/>
      <c r="H221" s="85"/>
      <c r="I221" s="265"/>
      <c r="J221" s="146"/>
      <c r="K221" s="266"/>
      <c r="L221" s="49"/>
      <c r="M221" s="37"/>
      <c r="N221" s="37"/>
      <c r="O221" s="37"/>
      <c r="P221" s="3"/>
      <c r="Q221" s="3"/>
      <c r="R221" s="3"/>
      <c r="S221" s="3"/>
      <c r="T221" s="3"/>
      <c r="U221" s="3"/>
      <c r="V221" s="3"/>
      <c r="W221" s="3"/>
      <c r="X221" s="3"/>
    </row>
    <row r="222" spans="1:27" s="4" customFormat="1" x14ac:dyDescent="0.15">
      <c r="A222" s="262"/>
      <c r="B222" s="263"/>
      <c r="C222" s="264"/>
      <c r="D222" s="262"/>
      <c r="E222" s="262"/>
      <c r="F222" s="262"/>
      <c r="G222" s="262"/>
      <c r="H222" s="85"/>
      <c r="I222" s="265"/>
      <c r="J222" s="146"/>
      <c r="K222" s="266"/>
      <c r="L222" s="49"/>
      <c r="M222" s="37"/>
      <c r="N222" s="37"/>
      <c r="O222" s="37"/>
      <c r="P222" s="3"/>
      <c r="Q222" s="3"/>
      <c r="R222" s="3"/>
      <c r="S222" s="3"/>
      <c r="T222" s="3"/>
      <c r="U222" s="3"/>
      <c r="V222" s="3"/>
      <c r="W222" s="3"/>
      <c r="X222" s="3"/>
    </row>
    <row r="223" spans="1:27" s="4" customFormat="1" x14ac:dyDescent="0.15">
      <c r="A223" s="262"/>
      <c r="B223" s="263"/>
      <c r="C223" s="264"/>
      <c r="D223" s="262"/>
      <c r="E223" s="262"/>
      <c r="F223" s="262"/>
      <c r="G223" s="262"/>
      <c r="H223" s="85"/>
      <c r="I223" s="265"/>
      <c r="J223" s="146"/>
      <c r="K223" s="266"/>
      <c r="L223" s="49"/>
      <c r="M223" s="37"/>
      <c r="N223" s="37"/>
      <c r="O223" s="37"/>
      <c r="P223" s="3"/>
      <c r="Q223" s="3"/>
      <c r="R223" s="3"/>
      <c r="S223" s="3"/>
      <c r="T223" s="3"/>
      <c r="U223" s="3"/>
      <c r="V223" s="3"/>
      <c r="W223" s="3"/>
      <c r="X223" s="3"/>
    </row>
    <row r="224" spans="1:27" s="4" customFormat="1" x14ac:dyDescent="0.15">
      <c r="A224" s="262"/>
      <c r="B224" s="263"/>
      <c r="C224" s="264"/>
      <c r="D224" s="262"/>
      <c r="E224" s="262"/>
      <c r="F224" s="262"/>
      <c r="G224" s="262"/>
      <c r="H224" s="85"/>
      <c r="I224" s="265"/>
      <c r="J224" s="146"/>
      <c r="K224" s="266"/>
      <c r="L224" s="49"/>
      <c r="M224" s="37"/>
      <c r="N224" s="37"/>
      <c r="O224" s="37"/>
      <c r="P224" s="3"/>
      <c r="Q224" s="3"/>
      <c r="R224" s="3"/>
      <c r="S224" s="3"/>
      <c r="T224" s="3"/>
      <c r="U224" s="3"/>
      <c r="V224" s="3"/>
      <c r="W224" s="3"/>
      <c r="X224" s="3"/>
    </row>
    <row r="225" spans="1:27" s="4" customFormat="1" x14ac:dyDescent="0.15">
      <c r="A225" s="262"/>
      <c r="B225" s="263"/>
      <c r="C225" s="264"/>
      <c r="D225" s="262"/>
      <c r="E225" s="262"/>
      <c r="F225" s="262"/>
      <c r="G225" s="262"/>
      <c r="H225" s="85"/>
      <c r="I225" s="265"/>
      <c r="J225" s="146"/>
      <c r="K225" s="99"/>
      <c r="L225" s="49"/>
      <c r="M225" s="37"/>
      <c r="N225" s="37"/>
      <c r="O225" s="37"/>
      <c r="P225" s="3"/>
      <c r="Q225" s="3"/>
      <c r="R225" s="3"/>
      <c r="S225" s="3"/>
      <c r="T225" s="3"/>
      <c r="U225" s="3"/>
      <c r="V225" s="3"/>
      <c r="W225" s="3"/>
      <c r="X225" s="3"/>
    </row>
    <row r="226" spans="1:27" s="4" customFormat="1" x14ac:dyDescent="0.15">
      <c r="A226" s="262"/>
      <c r="B226" s="263"/>
      <c r="C226" s="264"/>
      <c r="D226" s="262"/>
      <c r="E226" s="262"/>
      <c r="F226" s="262"/>
      <c r="G226" s="262"/>
      <c r="H226" s="85"/>
      <c r="I226" s="265"/>
      <c r="J226" s="146"/>
      <c r="K226" s="266"/>
      <c r="L226" s="49"/>
      <c r="M226" s="37"/>
      <c r="N226" s="37"/>
      <c r="O226" s="37"/>
      <c r="P226" s="3"/>
      <c r="Q226" s="3"/>
      <c r="R226" s="3"/>
      <c r="S226" s="3"/>
      <c r="T226" s="3"/>
      <c r="U226" s="3"/>
      <c r="V226" s="3"/>
      <c r="W226" s="3"/>
      <c r="X226" s="3"/>
    </row>
    <row r="227" spans="1:27" s="4" customFormat="1" x14ac:dyDescent="0.15">
      <c r="A227" s="262"/>
      <c r="B227" s="263"/>
      <c r="C227" s="264"/>
      <c r="D227" s="262"/>
      <c r="E227" s="262"/>
      <c r="F227" s="262"/>
      <c r="G227" s="262"/>
      <c r="H227" s="85"/>
      <c r="I227" s="265"/>
      <c r="J227" s="146"/>
      <c r="K227" s="266"/>
      <c r="L227" s="49"/>
      <c r="M227" s="37"/>
      <c r="N227" s="37"/>
      <c r="O227" s="37"/>
      <c r="P227" s="3"/>
      <c r="Q227" s="3"/>
      <c r="R227" s="3"/>
      <c r="S227" s="3"/>
      <c r="T227" s="3"/>
      <c r="U227" s="3"/>
      <c r="V227" s="3"/>
      <c r="W227" s="3"/>
      <c r="X227" s="3"/>
    </row>
    <row r="228" spans="1:27" s="4" customFormat="1" x14ac:dyDescent="0.15">
      <c r="A228" s="262"/>
      <c r="B228" s="263"/>
      <c r="C228" s="264"/>
      <c r="D228" s="262"/>
      <c r="E228" s="262"/>
      <c r="F228" s="262"/>
      <c r="G228" s="262"/>
      <c r="H228" s="85"/>
      <c r="I228" s="265"/>
      <c r="J228" s="146"/>
      <c r="K228" s="99"/>
      <c r="L228" s="49"/>
      <c r="M228" s="37"/>
      <c r="N228" s="37"/>
      <c r="O228" s="37"/>
      <c r="P228" s="3"/>
      <c r="Q228" s="3"/>
      <c r="R228" s="3"/>
      <c r="S228" s="3"/>
      <c r="T228" s="3"/>
      <c r="U228" s="3"/>
      <c r="V228" s="3"/>
      <c r="W228" s="3"/>
      <c r="X228" s="3"/>
    </row>
    <row r="229" spans="1:27" s="37" customFormat="1" x14ac:dyDescent="0.15">
      <c r="A229" s="262"/>
      <c r="B229" s="263"/>
      <c r="C229" s="264"/>
      <c r="D229" s="262"/>
      <c r="E229" s="262"/>
      <c r="F229" s="262"/>
      <c r="G229" s="262"/>
      <c r="H229" s="85"/>
      <c r="I229" s="265"/>
      <c r="J229" s="146"/>
      <c r="K229" s="266"/>
      <c r="L229" s="49"/>
      <c r="P229" s="3"/>
      <c r="Q229" s="3"/>
      <c r="R229" s="3"/>
      <c r="S229" s="3"/>
      <c r="T229" s="3"/>
      <c r="U229" s="3"/>
      <c r="V229" s="3"/>
      <c r="W229" s="3"/>
      <c r="X229" s="3"/>
      <c r="Y229" s="4"/>
      <c r="Z229" s="4"/>
      <c r="AA229" s="4"/>
    </row>
    <row r="230" spans="1:27" s="4" customFormat="1" x14ac:dyDescent="0.15">
      <c r="A230" s="70"/>
      <c r="B230" s="93"/>
      <c r="C230" s="70"/>
      <c r="D230" s="70"/>
      <c r="E230" s="70"/>
      <c r="F230" s="70"/>
      <c r="G230" s="70"/>
      <c r="H230" s="85"/>
      <c r="I230" s="85"/>
      <c r="J230" s="131"/>
      <c r="K230" s="60"/>
      <c r="L230" s="50"/>
      <c r="M230" s="37"/>
      <c r="N230" s="37"/>
      <c r="O230" s="37"/>
      <c r="P230" s="3"/>
      <c r="Q230" s="3"/>
      <c r="R230" s="3"/>
      <c r="S230" s="3"/>
      <c r="T230" s="3"/>
      <c r="U230" s="3"/>
      <c r="V230" s="3"/>
      <c r="W230" s="3"/>
      <c r="X230" s="3"/>
    </row>
    <row r="231" spans="1:27" s="4" customFormat="1" x14ac:dyDescent="0.15">
      <c r="A231" s="262"/>
      <c r="B231" s="263"/>
      <c r="C231" s="264"/>
      <c r="D231" s="262"/>
      <c r="E231" s="262"/>
      <c r="F231" s="262"/>
      <c r="G231" s="262"/>
      <c r="H231" s="85"/>
      <c r="I231" s="265"/>
      <c r="J231" s="146"/>
      <c r="K231" s="266"/>
      <c r="L231" s="49"/>
      <c r="M231" s="37"/>
      <c r="N231" s="37"/>
      <c r="O231" s="37"/>
      <c r="P231" s="3"/>
      <c r="Q231" s="3"/>
      <c r="R231" s="3"/>
      <c r="S231" s="3"/>
      <c r="T231" s="3"/>
      <c r="U231" s="3"/>
      <c r="V231" s="3"/>
      <c r="W231" s="3"/>
      <c r="X231" s="3"/>
    </row>
    <row r="232" spans="1:27" s="37" customFormat="1" x14ac:dyDescent="0.15">
      <c r="A232" s="262"/>
      <c r="B232" s="263"/>
      <c r="C232" s="264"/>
      <c r="D232" s="262"/>
      <c r="E232" s="262"/>
      <c r="F232" s="262"/>
      <c r="G232" s="262"/>
      <c r="H232" s="85"/>
      <c r="I232" s="265"/>
      <c r="J232" s="146"/>
      <c r="K232" s="266"/>
      <c r="L232" s="49"/>
      <c r="P232" s="3"/>
      <c r="Q232" s="3"/>
      <c r="R232" s="3"/>
      <c r="S232" s="3"/>
      <c r="T232" s="3"/>
      <c r="U232" s="3"/>
      <c r="V232" s="3"/>
      <c r="W232" s="3"/>
      <c r="X232" s="3"/>
      <c r="Y232" s="4"/>
    </row>
    <row r="233" spans="1:27" s="37" customFormat="1" x14ac:dyDescent="0.15">
      <c r="A233" s="262"/>
      <c r="B233" s="263"/>
      <c r="C233" s="264"/>
      <c r="D233" s="262"/>
      <c r="E233" s="262"/>
      <c r="F233" s="262"/>
      <c r="G233" s="262"/>
      <c r="H233" s="85"/>
      <c r="I233" s="265"/>
      <c r="J233" s="146"/>
      <c r="K233" s="99"/>
      <c r="L233" s="49"/>
      <c r="P233" s="3"/>
      <c r="Q233" s="3"/>
      <c r="R233" s="3"/>
      <c r="S233" s="3"/>
      <c r="T233" s="3"/>
      <c r="U233" s="3"/>
      <c r="V233" s="3"/>
      <c r="W233" s="3"/>
      <c r="X233" s="3"/>
      <c r="Y233" s="4"/>
      <c r="Z233" s="4"/>
      <c r="AA233" s="4"/>
    </row>
    <row r="234" spans="1:27" s="4" customFormat="1" x14ac:dyDescent="0.15">
      <c r="A234" s="91"/>
      <c r="B234" s="176"/>
      <c r="C234" s="91"/>
      <c r="D234" s="91"/>
      <c r="E234" s="91"/>
      <c r="F234" s="91"/>
      <c r="G234" s="91"/>
      <c r="H234" s="85"/>
      <c r="I234" s="92"/>
      <c r="J234" s="133"/>
      <c r="K234" s="65"/>
      <c r="L234" s="49"/>
      <c r="M234" s="37"/>
      <c r="N234" s="37"/>
      <c r="O234" s="37"/>
      <c r="P234" s="3"/>
      <c r="Q234" s="3"/>
      <c r="R234" s="3"/>
      <c r="S234" s="3"/>
      <c r="T234" s="3"/>
      <c r="U234" s="3"/>
      <c r="V234" s="3"/>
      <c r="W234" s="3"/>
      <c r="X234" s="3"/>
    </row>
    <row r="235" spans="1:27" s="4" customFormat="1" x14ac:dyDescent="0.15">
      <c r="A235" s="262"/>
      <c r="B235" s="263"/>
      <c r="C235" s="264"/>
      <c r="D235" s="262"/>
      <c r="E235" s="262"/>
      <c r="F235" s="262"/>
      <c r="G235" s="262"/>
      <c r="H235" s="85"/>
      <c r="I235" s="265"/>
      <c r="J235" s="146"/>
      <c r="K235" s="266"/>
      <c r="L235" s="49"/>
      <c r="M235" s="37"/>
      <c r="N235" s="37"/>
      <c r="O235" s="37"/>
      <c r="P235" s="3"/>
      <c r="Q235" s="3"/>
      <c r="R235" s="3"/>
      <c r="S235" s="3"/>
      <c r="T235" s="3"/>
      <c r="U235" s="3"/>
      <c r="V235" s="3"/>
      <c r="W235" s="3"/>
      <c r="X235" s="3"/>
    </row>
    <row r="236" spans="1:27" s="4" customFormat="1" x14ac:dyDescent="0.15">
      <c r="A236" s="262"/>
      <c r="B236" s="263"/>
      <c r="C236" s="264"/>
      <c r="D236" s="262"/>
      <c r="E236" s="262"/>
      <c r="F236" s="262"/>
      <c r="G236" s="262"/>
      <c r="H236" s="85"/>
      <c r="I236" s="265"/>
      <c r="J236" s="146"/>
      <c r="K236" s="266"/>
      <c r="L236" s="50"/>
      <c r="M236" s="37"/>
      <c r="N236" s="37"/>
      <c r="O236" s="37"/>
      <c r="P236" s="3"/>
      <c r="Q236" s="3"/>
      <c r="R236" s="3"/>
      <c r="S236" s="3"/>
      <c r="T236" s="3"/>
      <c r="U236" s="3"/>
      <c r="V236" s="3"/>
      <c r="W236" s="3"/>
      <c r="X236" s="3"/>
    </row>
    <row r="237" spans="1:27" s="4" customFormat="1" x14ac:dyDescent="0.15">
      <c r="A237" s="262"/>
      <c r="B237" s="263"/>
      <c r="C237" s="264"/>
      <c r="D237" s="262"/>
      <c r="E237" s="262"/>
      <c r="F237" s="262"/>
      <c r="G237" s="262"/>
      <c r="H237" s="85"/>
      <c r="I237" s="265"/>
      <c r="J237" s="146"/>
      <c r="K237" s="266"/>
      <c r="L237" s="49"/>
      <c r="M237" s="37"/>
      <c r="N237" s="37"/>
      <c r="O237" s="37"/>
      <c r="P237" s="3"/>
      <c r="Q237" s="3"/>
      <c r="R237" s="3"/>
      <c r="S237" s="3"/>
      <c r="T237" s="3"/>
      <c r="U237" s="3"/>
      <c r="V237" s="3"/>
      <c r="W237" s="3"/>
      <c r="X237" s="3"/>
    </row>
    <row r="238" spans="1:27" s="4" customFormat="1" x14ac:dyDescent="0.15">
      <c r="A238" s="262"/>
      <c r="B238" s="263"/>
      <c r="C238" s="264"/>
      <c r="D238" s="262"/>
      <c r="E238" s="262"/>
      <c r="F238" s="262"/>
      <c r="G238" s="262"/>
      <c r="H238" s="85"/>
      <c r="I238" s="265"/>
      <c r="J238" s="146"/>
      <c r="K238" s="266"/>
      <c r="L238" s="50"/>
      <c r="M238" s="37"/>
      <c r="N238" s="37"/>
      <c r="O238" s="37"/>
      <c r="P238" s="3"/>
      <c r="Q238" s="3"/>
      <c r="R238" s="3"/>
      <c r="S238" s="3"/>
      <c r="T238" s="3"/>
      <c r="U238" s="3"/>
      <c r="V238" s="3"/>
      <c r="W238" s="3"/>
      <c r="X238" s="3"/>
    </row>
    <row r="239" spans="1:27" s="4" customFormat="1" x14ac:dyDescent="0.15">
      <c r="A239" s="262"/>
      <c r="B239" s="263"/>
      <c r="C239" s="264"/>
      <c r="D239" s="262"/>
      <c r="E239" s="262"/>
      <c r="F239" s="262"/>
      <c r="G239" s="262"/>
      <c r="H239" s="85"/>
      <c r="I239" s="265"/>
      <c r="J239" s="146"/>
      <c r="K239" s="99"/>
      <c r="L239" s="49"/>
      <c r="M239" s="37"/>
      <c r="N239" s="37"/>
      <c r="O239" s="37"/>
      <c r="P239" s="3"/>
      <c r="Q239" s="3"/>
      <c r="R239" s="3"/>
      <c r="S239" s="3"/>
      <c r="T239" s="3"/>
      <c r="U239" s="3"/>
      <c r="V239" s="3"/>
      <c r="W239" s="3"/>
      <c r="X239" s="3"/>
    </row>
    <row r="240" spans="1:27" s="4" customFormat="1" x14ac:dyDescent="0.15">
      <c r="A240" s="262"/>
      <c r="B240" s="263"/>
      <c r="C240" s="264"/>
      <c r="D240" s="262"/>
      <c r="E240" s="262"/>
      <c r="F240" s="262"/>
      <c r="G240" s="262"/>
      <c r="H240" s="85"/>
      <c r="I240" s="265"/>
      <c r="J240" s="146"/>
      <c r="K240" s="266"/>
      <c r="L240" s="50"/>
      <c r="M240" s="37"/>
      <c r="N240" s="37"/>
      <c r="O240" s="37"/>
      <c r="P240" s="3"/>
      <c r="Q240" s="3"/>
      <c r="R240" s="3"/>
      <c r="S240" s="3"/>
      <c r="T240" s="3"/>
      <c r="U240" s="3"/>
      <c r="V240" s="3"/>
      <c r="W240" s="3"/>
      <c r="X240" s="3"/>
    </row>
    <row r="241" spans="1:27" s="4" customFormat="1" x14ac:dyDescent="0.15">
      <c r="A241" s="262"/>
      <c r="B241" s="263"/>
      <c r="C241" s="264"/>
      <c r="D241" s="262"/>
      <c r="E241" s="262"/>
      <c r="F241" s="262"/>
      <c r="G241" s="262"/>
      <c r="H241" s="85"/>
      <c r="I241" s="265"/>
      <c r="J241" s="146"/>
      <c r="K241" s="99"/>
      <c r="L241" s="50"/>
      <c r="M241" s="37"/>
      <c r="N241" s="37"/>
      <c r="O241" s="37"/>
      <c r="P241" s="3"/>
      <c r="Q241" s="3"/>
      <c r="R241" s="3"/>
      <c r="S241" s="3"/>
      <c r="T241" s="3"/>
      <c r="U241" s="3"/>
      <c r="V241" s="3"/>
      <c r="W241" s="3"/>
      <c r="X241" s="3"/>
    </row>
    <row r="242" spans="1:27" s="4" customFormat="1" x14ac:dyDescent="0.15">
      <c r="A242" s="262"/>
      <c r="B242" s="263"/>
      <c r="C242" s="264"/>
      <c r="D242" s="262"/>
      <c r="E242" s="262"/>
      <c r="F242" s="262"/>
      <c r="G242" s="262"/>
      <c r="H242" s="85"/>
      <c r="I242" s="265"/>
      <c r="J242" s="146"/>
      <c r="K242" s="266"/>
      <c r="L242" s="49"/>
      <c r="M242" s="37"/>
      <c r="N242" s="37"/>
      <c r="O242" s="37"/>
      <c r="P242" s="3"/>
      <c r="Q242" s="3"/>
      <c r="R242" s="3"/>
      <c r="S242" s="3"/>
      <c r="T242" s="3"/>
      <c r="U242" s="3"/>
      <c r="V242" s="3"/>
      <c r="W242" s="3"/>
      <c r="X242" s="3"/>
    </row>
    <row r="243" spans="1:27" s="4" customFormat="1" x14ac:dyDescent="0.15">
      <c r="A243" s="262"/>
      <c r="B243" s="263"/>
      <c r="C243" s="264"/>
      <c r="D243" s="262"/>
      <c r="E243" s="262"/>
      <c r="F243" s="262"/>
      <c r="G243" s="262"/>
      <c r="H243" s="85"/>
      <c r="I243" s="265"/>
      <c r="J243" s="146"/>
      <c r="K243" s="266"/>
      <c r="L243" s="49"/>
      <c r="M243" s="37"/>
      <c r="N243" s="37"/>
      <c r="O243" s="37"/>
      <c r="P243" s="3"/>
      <c r="Q243" s="3"/>
      <c r="R243" s="3"/>
      <c r="S243" s="3"/>
      <c r="T243" s="3"/>
      <c r="U243" s="3"/>
      <c r="V243" s="3"/>
      <c r="W243" s="3"/>
      <c r="X243" s="3"/>
    </row>
    <row r="244" spans="1:27" s="4" customFormat="1" x14ac:dyDescent="0.15">
      <c r="A244" s="262"/>
      <c r="B244" s="263"/>
      <c r="C244" s="264"/>
      <c r="D244" s="262"/>
      <c r="E244" s="262"/>
      <c r="F244" s="262"/>
      <c r="G244" s="262"/>
      <c r="H244" s="85"/>
      <c r="I244" s="265"/>
      <c r="J244" s="146"/>
      <c r="K244" s="266"/>
      <c r="L244" s="50"/>
      <c r="M244" s="37"/>
      <c r="N244" s="37"/>
      <c r="O244" s="37"/>
      <c r="P244" s="3"/>
      <c r="Q244" s="3"/>
      <c r="R244" s="3"/>
      <c r="S244" s="3"/>
      <c r="T244" s="3"/>
      <c r="U244" s="3"/>
      <c r="V244" s="3"/>
      <c r="W244" s="3"/>
      <c r="X244" s="3"/>
    </row>
    <row r="245" spans="1:27" s="4" customFormat="1" x14ac:dyDescent="0.15">
      <c r="A245" s="262"/>
      <c r="B245" s="263"/>
      <c r="C245" s="264"/>
      <c r="D245" s="262"/>
      <c r="E245" s="262"/>
      <c r="F245" s="262"/>
      <c r="G245" s="262"/>
      <c r="H245" s="85"/>
      <c r="I245" s="265"/>
      <c r="J245" s="146"/>
      <c r="K245" s="266"/>
      <c r="L245" s="49"/>
      <c r="M245" s="37"/>
      <c r="N245" s="37"/>
      <c r="O245" s="37"/>
      <c r="P245" s="3"/>
      <c r="Q245" s="3"/>
      <c r="R245" s="3"/>
      <c r="S245" s="3"/>
      <c r="T245" s="3"/>
      <c r="U245" s="3"/>
      <c r="V245" s="3"/>
      <c r="W245" s="3"/>
      <c r="X245" s="3"/>
    </row>
    <row r="246" spans="1:27" s="4" customFormat="1" x14ac:dyDescent="0.15">
      <c r="A246" s="262"/>
      <c r="B246" s="263"/>
      <c r="C246" s="264"/>
      <c r="D246" s="262"/>
      <c r="E246" s="262"/>
      <c r="F246" s="262"/>
      <c r="G246" s="262"/>
      <c r="H246" s="85"/>
      <c r="I246" s="265"/>
      <c r="J246" s="146"/>
      <c r="K246" s="266"/>
      <c r="L246" s="49"/>
      <c r="M246" s="37"/>
      <c r="N246" s="37"/>
      <c r="O246" s="37"/>
      <c r="P246" s="3"/>
      <c r="Q246" s="3"/>
      <c r="R246" s="3"/>
      <c r="S246" s="3"/>
      <c r="T246" s="3"/>
      <c r="U246" s="3"/>
      <c r="V246" s="3"/>
      <c r="W246" s="3"/>
      <c r="X246" s="3"/>
    </row>
    <row r="247" spans="1:27" s="4" customFormat="1" x14ac:dyDescent="0.15">
      <c r="A247" s="262"/>
      <c r="B247" s="263"/>
      <c r="C247" s="264"/>
      <c r="D247" s="262"/>
      <c r="E247" s="262"/>
      <c r="F247" s="262"/>
      <c r="G247" s="262"/>
      <c r="H247" s="85"/>
      <c r="I247" s="265"/>
      <c r="J247" s="146"/>
      <c r="K247" s="99"/>
      <c r="L247" s="50"/>
      <c r="M247" s="37"/>
      <c r="N247" s="37"/>
      <c r="O247" s="37"/>
      <c r="P247" s="3"/>
      <c r="Q247" s="3"/>
      <c r="R247" s="3"/>
      <c r="S247" s="3"/>
      <c r="T247" s="3"/>
      <c r="U247" s="3"/>
      <c r="V247" s="3"/>
      <c r="W247" s="3"/>
      <c r="X247" s="3"/>
    </row>
    <row r="248" spans="1:27" s="4" customFormat="1" x14ac:dyDescent="0.15">
      <c r="A248" s="262"/>
      <c r="B248" s="263"/>
      <c r="C248" s="264"/>
      <c r="D248" s="262"/>
      <c r="E248" s="262"/>
      <c r="F248" s="262"/>
      <c r="G248" s="262"/>
      <c r="H248" s="85"/>
      <c r="I248" s="265"/>
      <c r="J248" s="146"/>
      <c r="K248" s="266"/>
      <c r="L248" s="50"/>
      <c r="M248" s="37"/>
      <c r="N248" s="37"/>
      <c r="O248" s="37"/>
      <c r="P248" s="3"/>
      <c r="Q248" s="3"/>
      <c r="R248" s="3"/>
      <c r="S248" s="3"/>
      <c r="T248" s="3"/>
      <c r="U248" s="3"/>
      <c r="V248" s="3"/>
      <c r="W248" s="3"/>
      <c r="X248" s="3"/>
    </row>
    <row r="249" spans="1:27" s="4" customFormat="1" x14ac:dyDescent="0.15">
      <c r="A249" s="262"/>
      <c r="B249" s="263"/>
      <c r="C249" s="264"/>
      <c r="D249" s="262"/>
      <c r="E249" s="262"/>
      <c r="F249" s="262"/>
      <c r="G249" s="262"/>
      <c r="H249" s="85"/>
      <c r="I249" s="265"/>
      <c r="J249" s="146"/>
      <c r="K249" s="266"/>
      <c r="L249" s="49"/>
      <c r="M249" s="37"/>
      <c r="N249" s="37"/>
      <c r="O249" s="37"/>
      <c r="P249" s="3"/>
      <c r="Q249" s="3"/>
      <c r="R249" s="3"/>
      <c r="S249" s="3"/>
      <c r="T249" s="3"/>
      <c r="U249" s="3"/>
      <c r="V249" s="3"/>
      <c r="W249" s="3"/>
      <c r="X249" s="3"/>
    </row>
    <row r="250" spans="1:27" s="4" customFormat="1" x14ac:dyDescent="0.15">
      <c r="A250" s="262"/>
      <c r="B250" s="263"/>
      <c r="C250" s="264"/>
      <c r="D250" s="262"/>
      <c r="E250" s="262"/>
      <c r="F250" s="262"/>
      <c r="G250" s="262"/>
      <c r="H250" s="85"/>
      <c r="I250" s="265"/>
      <c r="J250" s="146"/>
      <c r="K250" s="266"/>
      <c r="L250" s="50"/>
      <c r="M250" s="37"/>
      <c r="N250" s="37"/>
      <c r="O250" s="37"/>
      <c r="P250" s="3"/>
      <c r="Q250" s="3"/>
      <c r="R250" s="3"/>
      <c r="S250" s="3"/>
      <c r="T250" s="3"/>
      <c r="U250" s="3"/>
      <c r="V250" s="3"/>
      <c r="W250" s="3"/>
      <c r="X250" s="3"/>
    </row>
    <row r="251" spans="1:27" s="4" customFormat="1" x14ac:dyDescent="0.15">
      <c r="A251" s="262"/>
      <c r="B251" s="263"/>
      <c r="C251" s="264"/>
      <c r="D251" s="262"/>
      <c r="E251" s="262"/>
      <c r="F251" s="262"/>
      <c r="G251" s="262"/>
      <c r="H251" s="85"/>
      <c r="I251" s="265"/>
      <c r="J251" s="146"/>
      <c r="K251" s="266"/>
      <c r="L251" s="49"/>
      <c r="M251" s="37"/>
      <c r="N251" s="37"/>
      <c r="O251" s="37"/>
      <c r="P251" s="3"/>
      <c r="Q251" s="3"/>
      <c r="R251" s="3"/>
      <c r="S251" s="3"/>
      <c r="T251" s="3"/>
      <c r="U251" s="3"/>
      <c r="V251" s="3"/>
      <c r="W251" s="3"/>
      <c r="X251" s="3"/>
    </row>
    <row r="252" spans="1:27" s="4" customFormat="1" x14ac:dyDescent="0.15">
      <c r="A252" s="262"/>
      <c r="B252" s="263"/>
      <c r="C252" s="264"/>
      <c r="D252" s="262"/>
      <c r="E252" s="262"/>
      <c r="F252" s="262"/>
      <c r="G252" s="262"/>
      <c r="H252" s="85"/>
      <c r="I252" s="265"/>
      <c r="J252" s="146"/>
      <c r="K252" s="266"/>
      <c r="L252" s="49"/>
      <c r="M252" s="37"/>
      <c r="N252" s="37"/>
      <c r="O252" s="37"/>
      <c r="P252" s="3"/>
      <c r="Q252" s="3"/>
      <c r="R252" s="3"/>
      <c r="S252" s="3"/>
      <c r="T252" s="3"/>
      <c r="U252" s="3"/>
      <c r="V252" s="3"/>
      <c r="W252" s="3"/>
      <c r="X252" s="3"/>
    </row>
    <row r="253" spans="1:27" s="4" customFormat="1" x14ac:dyDescent="0.15">
      <c r="A253" s="70"/>
      <c r="B253" s="93"/>
      <c r="C253" s="264"/>
      <c r="D253" s="70"/>
      <c r="E253" s="70"/>
      <c r="F253" s="70"/>
      <c r="G253" s="70"/>
      <c r="H253" s="85"/>
      <c r="I253" s="267"/>
      <c r="J253" s="131"/>
      <c r="K253" s="266"/>
      <c r="L253" s="37"/>
      <c r="M253" s="37"/>
      <c r="N253" s="37"/>
      <c r="O253" s="37"/>
      <c r="P253" s="3"/>
      <c r="Q253" s="3"/>
      <c r="R253" s="3"/>
      <c r="S253" s="3"/>
      <c r="T253" s="3"/>
      <c r="U253" s="3"/>
      <c r="V253" s="3"/>
      <c r="W253" s="3"/>
      <c r="X253" s="3"/>
    </row>
    <row r="254" spans="1:27" s="4" customFormat="1" x14ac:dyDescent="0.15">
      <c r="A254" s="73"/>
      <c r="B254" s="93"/>
      <c r="C254" s="264"/>
      <c r="D254" s="70"/>
      <c r="E254" s="70"/>
      <c r="F254" s="70"/>
      <c r="G254" s="70"/>
      <c r="H254" s="85"/>
      <c r="I254" s="85"/>
      <c r="J254" s="131"/>
      <c r="K254" s="266"/>
      <c r="L254" s="37"/>
      <c r="M254" s="37"/>
      <c r="N254" s="37"/>
      <c r="O254" s="37"/>
      <c r="P254" s="3"/>
      <c r="Q254" s="3"/>
      <c r="R254" s="3"/>
      <c r="S254" s="3"/>
      <c r="T254" s="3"/>
      <c r="U254" s="3"/>
      <c r="V254" s="3"/>
      <c r="W254" s="3"/>
      <c r="X254" s="3"/>
    </row>
    <row r="255" spans="1:27" s="4" customFormat="1" x14ac:dyDescent="0.15">
      <c r="A255" s="262"/>
      <c r="B255" s="263"/>
      <c r="C255" s="264"/>
      <c r="D255" s="262"/>
      <c r="E255" s="262"/>
      <c r="F255" s="262"/>
      <c r="G255" s="262"/>
      <c r="H255" s="85"/>
      <c r="I255" s="265"/>
      <c r="J255" s="146"/>
      <c r="K255" s="266"/>
      <c r="L255" s="49"/>
      <c r="M255" s="37"/>
      <c r="N255" s="37"/>
      <c r="O255" s="37"/>
      <c r="P255" s="3"/>
      <c r="Q255" s="3"/>
      <c r="R255" s="3"/>
      <c r="S255" s="3"/>
      <c r="T255" s="3"/>
      <c r="U255" s="3"/>
      <c r="V255" s="3"/>
      <c r="W255" s="3"/>
      <c r="X255" s="3"/>
      <c r="Z255" s="49"/>
      <c r="AA255" s="49"/>
    </row>
    <row r="256" spans="1:27" s="4" customFormat="1" x14ac:dyDescent="0.15">
      <c r="A256" s="262"/>
      <c r="B256" s="263"/>
      <c r="C256" s="264"/>
      <c r="D256" s="262"/>
      <c r="E256" s="262"/>
      <c r="F256" s="262"/>
      <c r="G256" s="262"/>
      <c r="H256" s="85"/>
      <c r="I256" s="265"/>
      <c r="J256" s="146"/>
      <c r="K256" s="99"/>
      <c r="L256" s="49"/>
      <c r="M256" s="37"/>
      <c r="N256" s="37"/>
      <c r="O256" s="37"/>
      <c r="P256" s="3"/>
      <c r="Q256" s="3"/>
      <c r="R256" s="3"/>
      <c r="S256" s="3"/>
      <c r="T256" s="3"/>
      <c r="U256" s="3"/>
      <c r="V256" s="3"/>
      <c r="W256" s="3"/>
      <c r="X256" s="3"/>
    </row>
    <row r="257" spans="1:27" s="4" customFormat="1" x14ac:dyDescent="0.15">
      <c r="A257" s="262"/>
      <c r="B257" s="263"/>
      <c r="C257" s="264"/>
      <c r="D257" s="262"/>
      <c r="E257" s="262"/>
      <c r="F257" s="262"/>
      <c r="G257" s="262"/>
      <c r="H257" s="85"/>
      <c r="I257" s="265"/>
      <c r="J257" s="146"/>
      <c r="K257" s="266"/>
      <c r="L257" s="49"/>
      <c r="M257" s="37"/>
      <c r="N257" s="37"/>
      <c r="O257" s="37"/>
      <c r="P257" s="3"/>
      <c r="Q257" s="3"/>
      <c r="R257" s="3"/>
      <c r="S257" s="3"/>
      <c r="T257" s="3"/>
      <c r="U257" s="3"/>
      <c r="V257" s="3"/>
      <c r="W257" s="3"/>
      <c r="X257" s="3"/>
    </row>
    <row r="258" spans="1:27" s="4" customFormat="1" x14ac:dyDescent="0.15">
      <c r="A258" s="262"/>
      <c r="B258" s="263"/>
      <c r="C258" s="264"/>
      <c r="D258" s="262"/>
      <c r="E258" s="262"/>
      <c r="F258" s="262"/>
      <c r="G258" s="262"/>
      <c r="H258" s="85"/>
      <c r="I258" s="265"/>
      <c r="J258" s="146"/>
      <c r="K258" s="99"/>
      <c r="L258" s="50"/>
      <c r="M258" s="37"/>
      <c r="N258" s="51"/>
      <c r="O258" s="37"/>
      <c r="P258" s="3"/>
      <c r="Q258" s="3"/>
      <c r="R258" s="3"/>
      <c r="S258" s="3"/>
      <c r="T258" s="3"/>
      <c r="U258" s="3"/>
      <c r="V258" s="3"/>
      <c r="W258" s="3"/>
      <c r="X258" s="3"/>
    </row>
    <row r="259" spans="1:27" s="37" customFormat="1" x14ac:dyDescent="0.15">
      <c r="A259" s="268"/>
      <c r="B259" s="269"/>
      <c r="C259" s="270"/>
      <c r="D259" s="268"/>
      <c r="E259" s="268"/>
      <c r="F259" s="268"/>
      <c r="G259" s="268"/>
      <c r="H259" s="183"/>
      <c r="I259" s="271"/>
      <c r="J259" s="272"/>
      <c r="K259" s="273"/>
      <c r="L259" s="186"/>
      <c r="M259" s="186"/>
      <c r="N259" s="186"/>
      <c r="O259" s="186"/>
      <c r="P259" s="187"/>
      <c r="Q259" s="187"/>
      <c r="R259" s="3"/>
      <c r="S259" s="3"/>
      <c r="T259" s="3"/>
      <c r="U259" s="3"/>
      <c r="V259" s="3"/>
      <c r="W259" s="3"/>
      <c r="X259" s="3"/>
      <c r="Y259" s="4"/>
      <c r="Z259" s="4"/>
      <c r="AA259" s="4"/>
    </row>
    <row r="260" spans="1:27" s="4" customFormat="1" x14ac:dyDescent="0.15">
      <c r="A260" s="70"/>
      <c r="B260" s="93"/>
      <c r="C260" s="70"/>
      <c r="D260" s="70"/>
      <c r="E260" s="70"/>
      <c r="F260" s="70"/>
      <c r="G260" s="70"/>
      <c r="H260" s="85"/>
      <c r="I260" s="85"/>
      <c r="J260" s="131"/>
      <c r="K260" s="60"/>
      <c r="L260" s="33"/>
      <c r="M260" s="37"/>
      <c r="N260" s="37"/>
      <c r="O260" s="37"/>
      <c r="P260" s="3"/>
      <c r="Q260" s="3"/>
      <c r="R260" s="3"/>
      <c r="S260" s="3"/>
      <c r="T260" s="3"/>
      <c r="U260" s="3"/>
      <c r="V260" s="3"/>
      <c r="W260" s="3"/>
      <c r="X260" s="3"/>
    </row>
    <row r="261" spans="1:27" s="4" customFormat="1" x14ac:dyDescent="0.15">
      <c r="A261" s="180"/>
      <c r="B261" s="182"/>
      <c r="C261" s="180"/>
      <c r="D261" s="180"/>
      <c r="E261" s="180"/>
      <c r="F261" s="180"/>
      <c r="G261" s="180"/>
      <c r="H261" s="183"/>
      <c r="I261" s="183"/>
      <c r="J261" s="184"/>
      <c r="K261" s="185"/>
      <c r="L261" s="186"/>
      <c r="M261" s="186"/>
      <c r="N261" s="186"/>
      <c r="O261" s="186"/>
      <c r="P261" s="187"/>
      <c r="Q261" s="187"/>
      <c r="R261" s="3"/>
      <c r="S261" s="3"/>
      <c r="T261" s="3"/>
      <c r="U261" s="3"/>
      <c r="V261" s="3"/>
      <c r="W261" s="3"/>
      <c r="X261" s="3"/>
    </row>
    <row r="262" spans="1:27" s="4" customFormat="1" x14ac:dyDescent="0.15">
      <c r="A262" s="262"/>
      <c r="B262" s="263"/>
      <c r="C262" s="264"/>
      <c r="D262" s="262"/>
      <c r="E262" s="262"/>
      <c r="F262" s="262"/>
      <c r="G262" s="262"/>
      <c r="H262" s="85"/>
      <c r="I262" s="265"/>
      <c r="J262" s="146"/>
      <c r="K262" s="274"/>
      <c r="L262" s="49"/>
      <c r="M262" s="37"/>
      <c r="N262" s="37"/>
      <c r="O262" s="49"/>
      <c r="P262" s="3"/>
      <c r="Q262" s="3"/>
      <c r="R262" s="3"/>
      <c r="S262" s="3"/>
      <c r="T262" s="3"/>
      <c r="U262" s="3"/>
      <c r="V262" s="3"/>
      <c r="W262" s="3"/>
      <c r="X262" s="3"/>
    </row>
    <row r="263" spans="1:27" s="4" customFormat="1" x14ac:dyDescent="0.15">
      <c r="A263" s="70"/>
      <c r="B263" s="93"/>
      <c r="C263" s="70"/>
      <c r="D263" s="70"/>
      <c r="E263" s="70"/>
      <c r="F263" s="70"/>
      <c r="G263" s="70"/>
      <c r="H263" s="85"/>
      <c r="I263" s="85"/>
      <c r="J263" s="131"/>
      <c r="K263" s="261"/>
      <c r="L263" s="49"/>
      <c r="M263" s="32"/>
      <c r="N263" s="37"/>
      <c r="O263" s="37"/>
      <c r="P263" s="3"/>
      <c r="Q263" s="3"/>
      <c r="R263" s="3"/>
      <c r="S263" s="3"/>
      <c r="T263" s="3"/>
      <c r="U263" s="3"/>
      <c r="V263" s="3"/>
      <c r="W263" s="3"/>
      <c r="X263" s="3"/>
    </row>
    <row r="264" spans="1:27" s="4" customFormat="1" x14ac:dyDescent="0.15">
      <c r="A264" s="70"/>
      <c r="B264" s="93"/>
      <c r="C264" s="70"/>
      <c r="D264" s="70"/>
      <c r="E264" s="70"/>
      <c r="F264" s="70"/>
      <c r="G264" s="70"/>
      <c r="H264" s="85"/>
      <c r="I264" s="85"/>
      <c r="J264" s="131"/>
      <c r="K264" s="60"/>
      <c r="L264" s="37"/>
      <c r="M264" s="37"/>
      <c r="N264" s="37"/>
      <c r="O264" s="37"/>
      <c r="P264" s="3"/>
      <c r="Q264" s="3"/>
      <c r="R264" s="3"/>
      <c r="S264" s="3"/>
      <c r="T264" s="3"/>
      <c r="U264" s="3"/>
      <c r="V264" s="3"/>
      <c r="W264" s="3"/>
      <c r="X264" s="3"/>
      <c r="Z264" s="37"/>
      <c r="AA264" s="37"/>
    </row>
    <row r="265" spans="1:27" s="4" customFormat="1" x14ac:dyDescent="0.15">
      <c r="A265" s="164"/>
      <c r="B265" s="176"/>
      <c r="C265" s="70"/>
      <c r="D265" s="91"/>
      <c r="E265" s="91"/>
      <c r="F265" s="91"/>
      <c r="G265" s="91"/>
      <c r="H265" s="85"/>
      <c r="I265" s="92"/>
      <c r="J265" s="133"/>
      <c r="K265" s="65"/>
      <c r="L265" s="49"/>
      <c r="M265" s="37"/>
      <c r="N265" s="37"/>
      <c r="O265" s="37"/>
      <c r="P265" s="3"/>
      <c r="Q265" s="3"/>
      <c r="R265" s="3"/>
      <c r="S265" s="3"/>
      <c r="T265" s="3"/>
      <c r="U265" s="3"/>
      <c r="V265" s="3"/>
      <c r="W265" s="3"/>
      <c r="X265" s="3"/>
    </row>
    <row r="266" spans="1:27" s="37" customFormat="1" ht="16" x14ac:dyDescent="0.2">
      <c r="A266" s="164"/>
      <c r="B266" s="176"/>
      <c r="C266" s="70"/>
      <c r="D266" s="91"/>
      <c r="E266" s="91"/>
      <c r="F266" s="91"/>
      <c r="G266" s="91"/>
      <c r="H266" s="85"/>
      <c r="I266" s="92"/>
      <c r="J266" s="133"/>
      <c r="K266" s="64"/>
      <c r="L266" s="47"/>
      <c r="P266" s="3"/>
      <c r="Q266" s="3"/>
      <c r="R266" s="3"/>
      <c r="S266" s="3"/>
      <c r="T266" s="3"/>
      <c r="U266" s="3"/>
      <c r="V266" s="3"/>
      <c r="W266" s="3"/>
      <c r="X266" s="3"/>
      <c r="Y266" s="4"/>
      <c r="Z266" s="4"/>
      <c r="AA266" s="4"/>
    </row>
    <row r="267" spans="1:27" s="37" customFormat="1" ht="16" x14ac:dyDescent="0.2">
      <c r="A267" s="91"/>
      <c r="B267" s="176"/>
      <c r="C267" s="70"/>
      <c r="D267" s="91"/>
      <c r="E267" s="91"/>
      <c r="F267" s="91"/>
      <c r="G267" s="91"/>
      <c r="H267" s="85"/>
      <c r="I267" s="92"/>
      <c r="J267" s="133"/>
      <c r="K267" s="64"/>
      <c r="L267" s="47"/>
      <c r="P267" s="3"/>
      <c r="Q267" s="3"/>
      <c r="R267" s="3"/>
      <c r="S267" s="3"/>
      <c r="T267" s="3"/>
      <c r="U267" s="3"/>
      <c r="V267" s="3"/>
      <c r="W267" s="3"/>
      <c r="X267" s="3"/>
      <c r="Y267" s="4"/>
      <c r="Z267" s="4"/>
      <c r="AA267" s="4"/>
    </row>
    <row r="268" spans="1:27" s="37" customFormat="1" x14ac:dyDescent="0.15">
      <c r="A268" s="91"/>
      <c r="B268" s="176"/>
      <c r="C268" s="70"/>
      <c r="D268" s="91"/>
      <c r="E268" s="91"/>
      <c r="F268" s="91"/>
      <c r="G268" s="91"/>
      <c r="H268" s="85"/>
      <c r="I268" s="92"/>
      <c r="J268" s="133"/>
      <c r="K268" s="64"/>
      <c r="L268" s="49"/>
      <c r="P268" s="3"/>
      <c r="Q268" s="3"/>
      <c r="R268" s="3"/>
      <c r="S268" s="3"/>
      <c r="T268" s="3"/>
      <c r="U268" s="3"/>
      <c r="V268" s="3"/>
      <c r="W268" s="3"/>
      <c r="X268" s="3"/>
      <c r="Y268" s="4"/>
      <c r="Z268" s="4"/>
      <c r="AA268" s="4"/>
    </row>
    <row r="269" spans="1:27" s="4" customFormat="1" x14ac:dyDescent="0.15">
      <c r="A269" s="91"/>
      <c r="B269" s="176"/>
      <c r="C269" s="73"/>
      <c r="D269" s="164"/>
      <c r="E269" s="91"/>
      <c r="F269" s="164"/>
      <c r="G269" s="164"/>
      <c r="H269" s="85"/>
      <c r="I269" s="92"/>
      <c r="J269" s="133"/>
      <c r="K269" s="65"/>
      <c r="L269" s="49"/>
      <c r="M269" s="37"/>
      <c r="N269" s="37"/>
      <c r="O269" s="37"/>
      <c r="P269" s="3"/>
      <c r="Q269" s="3"/>
      <c r="R269" s="3"/>
      <c r="S269" s="3"/>
      <c r="T269" s="3"/>
      <c r="U269" s="3"/>
      <c r="V269" s="3"/>
      <c r="W269" s="3"/>
      <c r="X269" s="3"/>
      <c r="Z269" s="49"/>
      <c r="AA269" s="49"/>
    </row>
    <row r="270" spans="1:27" s="4" customFormat="1" ht="16" x14ac:dyDescent="0.2">
      <c r="A270" s="91"/>
      <c r="B270" s="176"/>
      <c r="C270" s="70"/>
      <c r="D270" s="91"/>
      <c r="E270" s="91"/>
      <c r="F270" s="91"/>
      <c r="G270" s="91"/>
      <c r="H270" s="85"/>
      <c r="I270" s="92"/>
      <c r="J270" s="133"/>
      <c r="K270" s="65"/>
      <c r="L270" s="47"/>
      <c r="M270" s="37"/>
      <c r="N270" s="37"/>
      <c r="O270" s="37"/>
      <c r="P270" s="3"/>
      <c r="Q270" s="3"/>
      <c r="R270" s="3"/>
      <c r="S270" s="3"/>
      <c r="T270" s="3"/>
      <c r="U270" s="3"/>
      <c r="V270" s="3"/>
      <c r="W270" s="3"/>
      <c r="X270" s="3"/>
    </row>
    <row r="271" spans="1:27" s="4" customFormat="1" x14ac:dyDescent="0.15">
      <c r="A271" s="91"/>
      <c r="B271" s="176"/>
      <c r="C271" s="70"/>
      <c r="D271" s="91"/>
      <c r="E271" s="91"/>
      <c r="F271" s="91"/>
      <c r="G271" s="91"/>
      <c r="H271" s="85"/>
      <c r="I271" s="92"/>
      <c r="J271" s="133"/>
      <c r="K271" s="64"/>
      <c r="L271" s="49"/>
      <c r="M271" s="37"/>
      <c r="N271" s="37"/>
      <c r="O271" s="37"/>
      <c r="P271" s="3"/>
      <c r="Q271" s="3"/>
      <c r="R271" s="3"/>
      <c r="S271" s="3"/>
      <c r="T271" s="3"/>
      <c r="U271" s="3"/>
      <c r="V271" s="3"/>
      <c r="W271" s="3"/>
      <c r="X271" s="3"/>
    </row>
    <row r="272" spans="1:27" s="4" customFormat="1" x14ac:dyDescent="0.15">
      <c r="A272" s="91"/>
      <c r="B272" s="176"/>
      <c r="C272" s="70"/>
      <c r="D272" s="91"/>
      <c r="E272" s="91"/>
      <c r="F272" s="91"/>
      <c r="G272" s="91"/>
      <c r="H272" s="85"/>
      <c r="I272" s="92"/>
      <c r="J272" s="133"/>
      <c r="K272" s="65"/>
      <c r="L272" s="49"/>
      <c r="M272" s="37"/>
      <c r="N272" s="37"/>
      <c r="O272" s="37"/>
      <c r="P272" s="3"/>
      <c r="Q272" s="3"/>
      <c r="R272" s="3"/>
      <c r="S272" s="3"/>
      <c r="T272" s="3"/>
      <c r="U272" s="3"/>
      <c r="V272" s="3"/>
      <c r="W272" s="3"/>
      <c r="X272" s="3"/>
    </row>
    <row r="273" spans="1:27" s="4" customFormat="1" x14ac:dyDescent="0.15">
      <c r="A273" s="164"/>
      <c r="B273" s="176"/>
      <c r="C273" s="70"/>
      <c r="D273" s="91"/>
      <c r="E273" s="91"/>
      <c r="F273" s="91"/>
      <c r="G273" s="91"/>
      <c r="H273" s="85"/>
      <c r="I273" s="92"/>
      <c r="J273" s="133"/>
      <c r="K273" s="64"/>
      <c r="L273" s="49"/>
      <c r="M273" s="37"/>
      <c r="N273" s="37"/>
      <c r="O273" s="37"/>
      <c r="P273" s="3"/>
      <c r="Q273" s="3"/>
      <c r="R273" s="3"/>
      <c r="S273" s="3"/>
      <c r="T273" s="3"/>
      <c r="U273" s="3"/>
      <c r="V273" s="3"/>
      <c r="W273" s="3"/>
      <c r="X273" s="3"/>
    </row>
    <row r="274" spans="1:27" s="4" customFormat="1" x14ac:dyDescent="0.15">
      <c r="A274" s="91"/>
      <c r="B274" s="176"/>
      <c r="C274" s="70"/>
      <c r="D274" s="91"/>
      <c r="E274" s="91"/>
      <c r="F274" s="91"/>
      <c r="G274" s="91"/>
      <c r="H274" s="85"/>
      <c r="I274" s="92"/>
      <c r="J274" s="133"/>
      <c r="K274" s="64"/>
      <c r="L274" s="49"/>
      <c r="M274" s="37"/>
      <c r="N274" s="37"/>
      <c r="O274" s="37"/>
      <c r="P274" s="3"/>
      <c r="Q274" s="3"/>
      <c r="R274" s="3"/>
      <c r="S274" s="3"/>
      <c r="T274" s="3"/>
      <c r="U274" s="3"/>
      <c r="V274" s="3"/>
      <c r="W274" s="3"/>
      <c r="X274" s="3"/>
    </row>
    <row r="275" spans="1:27" s="4" customFormat="1" x14ac:dyDescent="0.15">
      <c r="A275" s="91"/>
      <c r="B275" s="176"/>
      <c r="C275" s="70"/>
      <c r="D275" s="91"/>
      <c r="E275" s="91"/>
      <c r="F275" s="91"/>
      <c r="G275" s="91"/>
      <c r="H275" s="85"/>
      <c r="I275" s="92"/>
      <c r="J275" s="133"/>
      <c r="K275" s="64"/>
      <c r="L275" s="49"/>
      <c r="M275" s="37"/>
      <c r="N275" s="37"/>
      <c r="O275" s="37"/>
      <c r="P275" s="3"/>
      <c r="Q275" s="3"/>
      <c r="R275" s="3"/>
      <c r="S275" s="3"/>
      <c r="T275" s="3"/>
      <c r="U275" s="3"/>
      <c r="V275" s="3"/>
      <c r="W275" s="3"/>
      <c r="X275" s="3"/>
    </row>
    <row r="276" spans="1:27" x14ac:dyDescent="0.15">
      <c r="A276" s="70"/>
      <c r="B276" s="93"/>
      <c r="C276" s="88"/>
      <c r="D276" s="70"/>
      <c r="E276" s="70"/>
      <c r="F276" s="70"/>
      <c r="G276" s="70"/>
      <c r="H276" s="85"/>
      <c r="I276" s="98"/>
      <c r="J276" s="131"/>
      <c r="K276" s="62"/>
      <c r="L276" s="35"/>
    </row>
    <row r="277" spans="1:27" x14ac:dyDescent="0.15">
      <c r="A277" s="70"/>
      <c r="B277" s="93"/>
      <c r="C277" s="88"/>
      <c r="D277" s="70"/>
      <c r="E277" s="62"/>
      <c r="F277" s="70"/>
      <c r="G277" s="70"/>
      <c r="H277" s="85"/>
      <c r="I277" s="98"/>
      <c r="J277" s="131"/>
      <c r="K277" s="62"/>
      <c r="L277" s="35"/>
    </row>
    <row r="278" spans="1:27" x14ac:dyDescent="0.15">
      <c r="A278" s="70"/>
      <c r="B278" s="82"/>
      <c r="C278" s="70">
        <f>COUNTIF(C2:C275, "extant")</f>
        <v>218</v>
      </c>
      <c r="D278" s="70"/>
      <c r="E278" s="70"/>
      <c r="F278" s="70"/>
      <c r="G278" s="70"/>
      <c r="H278" s="85"/>
      <c r="I278" s="85"/>
      <c r="J278" s="131"/>
      <c r="K278" s="63"/>
    </row>
    <row r="279" spans="1:27" x14ac:dyDescent="0.15">
      <c r="A279" s="70"/>
      <c r="B279" s="82"/>
      <c r="C279" s="70"/>
      <c r="D279" s="70"/>
      <c r="E279" s="70"/>
      <c r="F279" s="70"/>
      <c r="G279" s="70"/>
      <c r="H279" s="85"/>
      <c r="I279" s="95"/>
      <c r="J279" s="131"/>
      <c r="K279" s="63"/>
    </row>
    <row r="280" spans="1:27" ht="16" x14ac:dyDescent="0.2">
      <c r="A280" s="70"/>
      <c r="B280" s="93"/>
      <c r="C280" s="70"/>
      <c r="D280" s="70"/>
      <c r="E280" s="70"/>
      <c r="F280" s="70"/>
      <c r="G280" s="70"/>
      <c r="H280" s="85"/>
      <c r="I280" s="85"/>
      <c r="J280" s="131"/>
      <c r="K280" s="60"/>
      <c r="L280" s="47"/>
    </row>
    <row r="281" spans="1:27" x14ac:dyDescent="0.15">
      <c r="A281" s="180"/>
      <c r="B281" s="181"/>
      <c r="C281" s="180"/>
      <c r="D281" s="180"/>
      <c r="E281" s="180"/>
      <c r="F281" s="180"/>
      <c r="G281" s="180"/>
      <c r="H281" s="183"/>
      <c r="I281" s="183"/>
      <c r="J281" s="184"/>
      <c r="K281" s="185"/>
      <c r="L281" s="186"/>
      <c r="M281" s="186"/>
      <c r="N281" s="186"/>
      <c r="O281" s="186"/>
      <c r="P281" s="187"/>
      <c r="Q281" s="187"/>
    </row>
    <row r="282" spans="1:27" x14ac:dyDescent="0.15">
      <c r="A282" s="73"/>
      <c r="B282" s="93"/>
      <c r="C282" s="70"/>
      <c r="D282" s="70"/>
      <c r="E282" s="70"/>
      <c r="F282" s="70"/>
      <c r="G282" s="70"/>
      <c r="H282" s="85"/>
      <c r="I282" s="85"/>
      <c r="J282" s="131"/>
      <c r="K282" s="60"/>
      <c r="L282" s="33"/>
    </row>
    <row r="283" spans="1:27" x14ac:dyDescent="0.15">
      <c r="A283" s="70"/>
      <c r="B283" s="82"/>
      <c r="C283" s="70"/>
      <c r="D283" s="70"/>
      <c r="E283" s="70"/>
      <c r="F283" s="70"/>
      <c r="G283" s="70"/>
      <c r="H283" s="85"/>
      <c r="I283" s="85"/>
      <c r="J283" s="131"/>
      <c r="K283" s="60"/>
      <c r="L283" s="33"/>
    </row>
    <row r="284" spans="1:27" x14ac:dyDescent="0.15">
      <c r="A284" s="166"/>
      <c r="B284" s="82"/>
      <c r="C284" s="70"/>
      <c r="D284" s="70"/>
      <c r="E284" s="70"/>
      <c r="F284" s="70"/>
      <c r="G284" s="70"/>
      <c r="H284" s="85"/>
      <c r="I284" s="85"/>
      <c r="J284" s="131"/>
      <c r="K284" s="60"/>
    </row>
    <row r="285" spans="1:27" x14ac:dyDescent="0.15">
      <c r="A285" s="167"/>
      <c r="B285" s="87"/>
      <c r="C285" s="88"/>
      <c r="D285" s="86"/>
      <c r="E285" s="86"/>
      <c r="F285" s="86"/>
      <c r="G285" s="86"/>
      <c r="H285" s="85"/>
      <c r="I285" s="89"/>
      <c r="J285" s="132"/>
      <c r="K285" s="61"/>
    </row>
    <row r="286" spans="1:27" x14ac:dyDescent="0.15">
      <c r="A286" s="228"/>
      <c r="B286" s="212"/>
      <c r="C286" s="213"/>
      <c r="D286" s="211"/>
      <c r="E286" s="211"/>
      <c r="F286" s="211"/>
      <c r="G286" s="211"/>
      <c r="H286" s="214"/>
      <c r="I286" s="215"/>
      <c r="J286" s="216"/>
      <c r="K286" s="217"/>
      <c r="L286" s="218"/>
      <c r="M286" s="218"/>
      <c r="N286" s="218"/>
      <c r="O286" s="218"/>
      <c r="P286" s="220"/>
      <c r="Q286" s="220"/>
      <c r="R286" s="220"/>
      <c r="S286" s="220"/>
      <c r="T286" s="220"/>
      <c r="U286" s="220"/>
      <c r="V286" s="220"/>
      <c r="W286" s="220"/>
      <c r="X286" s="220"/>
      <c r="Y286" s="221"/>
      <c r="Z286" s="222"/>
      <c r="AA286" s="222"/>
    </row>
    <row r="287" spans="1:27" s="37" customFormat="1" x14ac:dyDescent="0.15">
      <c r="A287" s="167"/>
      <c r="B287" s="87"/>
      <c r="C287" s="88"/>
      <c r="D287" s="86"/>
      <c r="E287" s="86"/>
      <c r="F287" s="86"/>
      <c r="G287" s="86"/>
      <c r="H287" s="85"/>
      <c r="I287" s="89"/>
      <c r="J287" s="132"/>
      <c r="K287" s="61"/>
      <c r="L287" s="49"/>
      <c r="P287" s="3"/>
      <c r="Q287" s="3"/>
      <c r="R287" s="3"/>
      <c r="S287" s="3"/>
      <c r="T287" s="3"/>
      <c r="U287" s="3"/>
      <c r="V287" s="3"/>
      <c r="W287" s="3"/>
      <c r="X287" s="3"/>
      <c r="Y287" s="4"/>
      <c r="Z287"/>
      <c r="AA287"/>
    </row>
    <row r="288" spans="1:27" s="37" customFormat="1" x14ac:dyDescent="0.15">
      <c r="A288" s="167"/>
      <c r="B288" s="87"/>
      <c r="C288" s="88"/>
      <c r="D288" s="86"/>
      <c r="E288" s="86"/>
      <c r="F288" s="86"/>
      <c r="G288" s="86"/>
      <c r="H288" s="85"/>
      <c r="I288" s="89"/>
      <c r="J288" s="132"/>
      <c r="K288" s="61"/>
      <c r="L288" s="49"/>
      <c r="P288" s="3"/>
      <c r="Q288" s="3"/>
      <c r="R288" s="3"/>
      <c r="S288" s="3"/>
      <c r="T288" s="3"/>
      <c r="U288" s="3"/>
      <c r="V288" s="3"/>
      <c r="W288" s="3"/>
      <c r="X288" s="3"/>
      <c r="Y288" s="4"/>
      <c r="Z288"/>
      <c r="AA288"/>
    </row>
    <row r="289" spans="1:27" s="37" customFormat="1" x14ac:dyDescent="0.15">
      <c r="A289" s="167"/>
      <c r="B289" s="87"/>
      <c r="C289" s="88"/>
      <c r="D289" s="86"/>
      <c r="E289" s="86"/>
      <c r="F289" s="86"/>
      <c r="G289" s="86"/>
      <c r="H289" s="85"/>
      <c r="I289" s="89"/>
      <c r="J289" s="132"/>
      <c r="K289" s="61"/>
      <c r="L289" s="49"/>
      <c r="P289" s="3"/>
      <c r="Q289" s="3"/>
      <c r="R289" s="3"/>
      <c r="S289" s="3"/>
      <c r="T289" s="3"/>
      <c r="U289" s="3"/>
      <c r="V289" s="3"/>
      <c r="W289" s="3"/>
      <c r="X289" s="3"/>
      <c r="Y289" s="4"/>
      <c r="Z289"/>
      <c r="AA289"/>
    </row>
    <row r="290" spans="1:27" s="37" customFormat="1" x14ac:dyDescent="0.15">
      <c r="A290" s="167"/>
      <c r="B290" s="87"/>
      <c r="C290" s="88"/>
      <c r="D290" s="86"/>
      <c r="E290" s="86"/>
      <c r="F290" s="86"/>
      <c r="G290" s="86"/>
      <c r="H290" s="85"/>
      <c r="I290" s="89"/>
      <c r="J290" s="132"/>
      <c r="K290" s="61"/>
      <c r="L290" s="49"/>
      <c r="P290" s="3"/>
      <c r="Q290" s="3"/>
      <c r="R290" s="3"/>
      <c r="S290" s="3"/>
      <c r="T290" s="3"/>
      <c r="U290" s="3"/>
      <c r="V290" s="3"/>
      <c r="W290" s="3"/>
      <c r="X290" s="3"/>
      <c r="Y290" s="4"/>
      <c r="Z290"/>
      <c r="AA290"/>
    </row>
    <row r="291" spans="1:27" s="37" customFormat="1" x14ac:dyDescent="0.15">
      <c r="A291" s="167"/>
      <c r="B291" s="87"/>
      <c r="C291" s="88"/>
      <c r="D291" s="86"/>
      <c r="E291" s="86"/>
      <c r="F291" s="86"/>
      <c r="G291" s="86"/>
      <c r="H291" s="85"/>
      <c r="I291" s="89"/>
      <c r="J291" s="132"/>
      <c r="K291" s="61"/>
      <c r="L291" s="49"/>
      <c r="P291" s="3"/>
      <c r="Q291" s="3"/>
      <c r="R291" s="3"/>
      <c r="S291" s="3"/>
      <c r="T291" s="3"/>
      <c r="U291" s="3"/>
      <c r="V291" s="3"/>
      <c r="W291" s="3"/>
      <c r="X291" s="3"/>
      <c r="Y291" s="4"/>
      <c r="Z291"/>
      <c r="AA291"/>
    </row>
    <row r="292" spans="1:27" s="37" customFormat="1" x14ac:dyDescent="0.15">
      <c r="A292" s="167"/>
      <c r="B292" s="87"/>
      <c r="C292" s="88"/>
      <c r="D292" s="86"/>
      <c r="E292" s="86"/>
      <c r="F292" s="86"/>
      <c r="G292" s="86"/>
      <c r="H292" s="85"/>
      <c r="I292" s="89"/>
      <c r="J292" s="132"/>
      <c r="K292" s="61"/>
      <c r="L292" s="49"/>
      <c r="P292" s="3"/>
      <c r="Q292" s="3"/>
      <c r="R292" s="3"/>
      <c r="S292" s="3"/>
      <c r="T292" s="3"/>
      <c r="U292" s="3"/>
      <c r="V292" s="3"/>
      <c r="W292" s="3"/>
      <c r="X292" s="3"/>
      <c r="Y292" s="4"/>
      <c r="Z292"/>
      <c r="AA292"/>
    </row>
    <row r="293" spans="1:27" s="37" customFormat="1" x14ac:dyDescent="0.15">
      <c r="A293" s="167"/>
      <c r="B293" s="87"/>
      <c r="C293" s="88"/>
      <c r="D293" s="86"/>
      <c r="E293" s="86"/>
      <c r="F293" s="86"/>
      <c r="G293" s="86"/>
      <c r="H293" s="85"/>
      <c r="I293" s="89"/>
      <c r="J293" s="132"/>
      <c r="K293" s="61"/>
      <c r="L293" s="49"/>
      <c r="P293" s="3"/>
      <c r="Q293" s="3"/>
      <c r="R293" s="3"/>
      <c r="S293" s="3"/>
      <c r="T293" s="3"/>
      <c r="U293" s="3"/>
      <c r="V293" s="3"/>
      <c r="W293" s="3"/>
      <c r="X293" s="3"/>
      <c r="Y293" s="4"/>
      <c r="Z293"/>
      <c r="AA293"/>
    </row>
    <row r="294" spans="1:27" s="37" customFormat="1" x14ac:dyDescent="0.15">
      <c r="A294" s="167"/>
      <c r="B294" s="87"/>
      <c r="C294" s="88"/>
      <c r="D294" s="86"/>
      <c r="E294" s="86"/>
      <c r="F294" s="86"/>
      <c r="G294" s="86"/>
      <c r="H294" s="85"/>
      <c r="I294" s="89"/>
      <c r="J294" s="132"/>
      <c r="K294" s="61"/>
      <c r="L294" s="49"/>
      <c r="P294" s="3"/>
      <c r="Q294" s="3"/>
      <c r="R294" s="3"/>
      <c r="S294" s="3"/>
      <c r="T294" s="3"/>
      <c r="U294" s="3"/>
      <c r="V294" s="3"/>
      <c r="W294" s="3"/>
      <c r="X294" s="3"/>
      <c r="Y294" s="4"/>
      <c r="Z294"/>
      <c r="AA294"/>
    </row>
    <row r="295" spans="1:27" s="37" customFormat="1" x14ac:dyDescent="0.15">
      <c r="A295" s="167"/>
      <c r="B295" s="87"/>
      <c r="C295" s="88"/>
      <c r="D295" s="86"/>
      <c r="E295" s="86"/>
      <c r="F295" s="86"/>
      <c r="G295" s="86"/>
      <c r="H295" s="85"/>
      <c r="I295" s="89"/>
      <c r="J295" s="132"/>
      <c r="K295" s="61"/>
      <c r="L295" s="49"/>
      <c r="P295" s="3"/>
      <c r="Q295" s="3"/>
      <c r="R295" s="3"/>
      <c r="S295" s="3"/>
      <c r="T295" s="3"/>
      <c r="U295" s="3"/>
      <c r="V295" s="3"/>
      <c r="W295" s="3"/>
      <c r="X295" s="3"/>
      <c r="Y295" s="4"/>
      <c r="Z295"/>
      <c r="AA295"/>
    </row>
    <row r="296" spans="1:27" s="37" customFormat="1" x14ac:dyDescent="0.15">
      <c r="A296" s="86"/>
      <c r="B296" s="87"/>
      <c r="C296" s="88"/>
      <c r="D296" s="86"/>
      <c r="E296" s="86"/>
      <c r="F296" s="86"/>
      <c r="G296" s="86"/>
      <c r="H296" s="85"/>
      <c r="I296" s="89"/>
      <c r="J296" s="132"/>
      <c r="K296" s="61"/>
      <c r="L296" s="49"/>
      <c r="P296" s="3"/>
      <c r="Q296" s="3"/>
      <c r="R296" s="3"/>
      <c r="S296" s="3"/>
      <c r="T296" s="3"/>
      <c r="U296" s="3"/>
      <c r="V296" s="3"/>
      <c r="W296" s="3"/>
      <c r="X296" s="3"/>
      <c r="Y296" s="4"/>
      <c r="Z296"/>
      <c r="AA296"/>
    </row>
    <row r="297" spans="1:27" s="37" customFormat="1" x14ac:dyDescent="0.15">
      <c r="A297" s="167"/>
      <c r="B297" s="87"/>
      <c r="C297" s="88"/>
      <c r="D297" s="86"/>
      <c r="E297" s="86"/>
      <c r="F297" s="86"/>
      <c r="G297" s="86"/>
      <c r="H297" s="85"/>
      <c r="I297" s="89"/>
      <c r="J297" s="132"/>
      <c r="K297" s="61"/>
      <c r="L297" s="49"/>
      <c r="N297" s="36"/>
      <c r="P297" s="3"/>
      <c r="Q297" s="3"/>
      <c r="R297" s="3"/>
      <c r="S297" s="3"/>
      <c r="T297" s="3"/>
      <c r="U297" s="3"/>
      <c r="V297" s="3"/>
      <c r="W297" s="3"/>
      <c r="X297" s="3"/>
      <c r="Y297" s="4"/>
      <c r="Z297"/>
      <c r="AA297"/>
    </row>
    <row r="298" spans="1:27" s="37" customFormat="1" x14ac:dyDescent="0.15">
      <c r="A298" s="167"/>
      <c r="B298" s="87"/>
      <c r="C298" s="88"/>
      <c r="D298" s="86"/>
      <c r="E298" s="86"/>
      <c r="F298" s="86"/>
      <c r="G298" s="86"/>
      <c r="H298" s="85"/>
      <c r="I298" s="89"/>
      <c r="J298" s="132"/>
      <c r="K298" s="61"/>
      <c r="L298" s="50"/>
      <c r="P298" s="3"/>
      <c r="Q298" s="3"/>
      <c r="R298" s="3"/>
      <c r="S298" s="3"/>
      <c r="T298" s="3"/>
      <c r="U298" s="3"/>
      <c r="V298" s="3"/>
      <c r="W298" s="3"/>
      <c r="X298" s="3"/>
      <c r="Y298" s="4"/>
      <c r="Z298"/>
      <c r="AA298"/>
    </row>
    <row r="299" spans="1:27" s="37" customFormat="1" x14ac:dyDescent="0.15">
      <c r="A299" s="167"/>
      <c r="B299" s="87"/>
      <c r="C299" s="88"/>
      <c r="D299" s="86"/>
      <c r="E299" s="86"/>
      <c r="F299" s="86"/>
      <c r="G299" s="86"/>
      <c r="H299" s="85"/>
      <c r="I299" s="89"/>
      <c r="J299" s="132"/>
      <c r="K299" s="62"/>
      <c r="L299" s="50"/>
      <c r="P299" s="3"/>
      <c r="Q299" s="3"/>
      <c r="R299" s="3"/>
      <c r="S299" s="3"/>
      <c r="T299" s="3"/>
      <c r="U299" s="3"/>
      <c r="V299" s="3"/>
      <c r="W299" s="3"/>
      <c r="X299" s="3"/>
      <c r="Y299" s="4"/>
      <c r="Z299"/>
      <c r="AA299"/>
    </row>
    <row r="300" spans="1:27" s="37" customFormat="1" x14ac:dyDescent="0.15">
      <c r="A300" s="167"/>
      <c r="B300" s="87"/>
      <c r="C300" s="88"/>
      <c r="D300" s="86"/>
      <c r="E300" s="86"/>
      <c r="F300" s="86"/>
      <c r="G300" s="86"/>
      <c r="H300" s="85"/>
      <c r="I300" s="89"/>
      <c r="J300" s="132"/>
      <c r="K300" s="61"/>
      <c r="L300" s="50"/>
      <c r="P300" s="3"/>
      <c r="Q300" s="3"/>
      <c r="R300" s="3"/>
      <c r="S300" s="3"/>
      <c r="T300" s="3"/>
      <c r="U300" s="3"/>
      <c r="V300" s="3"/>
      <c r="W300" s="3"/>
      <c r="X300" s="3"/>
      <c r="Y300" s="4"/>
      <c r="Z300"/>
      <c r="AA300"/>
    </row>
    <row r="301" spans="1:27" s="37" customFormat="1" x14ac:dyDescent="0.15">
      <c r="A301" s="167"/>
      <c r="B301" s="87"/>
      <c r="C301" s="88"/>
      <c r="D301" s="86"/>
      <c r="E301" s="86"/>
      <c r="F301" s="86"/>
      <c r="G301" s="86"/>
      <c r="H301" s="85"/>
      <c r="I301" s="89"/>
      <c r="J301" s="132"/>
      <c r="K301" s="61"/>
      <c r="L301" s="49"/>
      <c r="P301" s="3"/>
      <c r="Q301" s="3"/>
      <c r="R301" s="3"/>
      <c r="S301" s="3"/>
      <c r="T301" s="3"/>
      <c r="U301" s="3"/>
      <c r="V301" s="3"/>
      <c r="W301" s="3"/>
      <c r="X301" s="3"/>
      <c r="Y301" s="4"/>
      <c r="Z301"/>
      <c r="AA301"/>
    </row>
    <row r="302" spans="1:27" s="37" customFormat="1" x14ac:dyDescent="0.15">
      <c r="A302" s="167"/>
      <c r="B302" s="87"/>
      <c r="C302" s="88"/>
      <c r="D302" s="86"/>
      <c r="E302" s="86"/>
      <c r="F302" s="86"/>
      <c r="G302" s="86"/>
      <c r="H302" s="85"/>
      <c r="I302" s="89"/>
      <c r="J302" s="132"/>
      <c r="K302" s="62"/>
      <c r="L302" s="50"/>
      <c r="P302" s="3"/>
      <c r="Q302" s="3"/>
      <c r="R302" s="3"/>
      <c r="S302" s="3"/>
      <c r="T302" s="3"/>
      <c r="U302" s="3"/>
      <c r="V302" s="3"/>
      <c r="W302" s="3"/>
      <c r="X302" s="3"/>
      <c r="Y302" s="4"/>
      <c r="Z302"/>
      <c r="AA302"/>
    </row>
    <row r="303" spans="1:27" s="37" customFormat="1" x14ac:dyDescent="0.15">
      <c r="A303" s="167"/>
      <c r="B303" s="87"/>
      <c r="C303" s="88"/>
      <c r="D303" s="86"/>
      <c r="E303" s="86"/>
      <c r="F303" s="86"/>
      <c r="G303" s="86"/>
      <c r="H303" s="85"/>
      <c r="I303" s="89"/>
      <c r="J303" s="132"/>
      <c r="K303" s="61"/>
      <c r="L303" s="49"/>
      <c r="P303" s="3"/>
      <c r="Q303" s="3"/>
      <c r="R303" s="3"/>
      <c r="S303" s="3"/>
      <c r="T303" s="3"/>
      <c r="U303" s="3"/>
      <c r="V303" s="3"/>
      <c r="W303" s="3"/>
      <c r="X303" s="3"/>
      <c r="Y303" s="4"/>
      <c r="Z303"/>
      <c r="AA303"/>
    </row>
    <row r="304" spans="1:27" s="37" customFormat="1" x14ac:dyDescent="0.15">
      <c r="A304" s="167"/>
      <c r="B304" s="87"/>
      <c r="C304" s="88"/>
      <c r="D304" s="86"/>
      <c r="E304" s="86"/>
      <c r="F304" s="86"/>
      <c r="G304" s="86"/>
      <c r="H304" s="85"/>
      <c r="I304" s="89"/>
      <c r="J304" s="132"/>
      <c r="K304" s="62"/>
      <c r="L304" s="49"/>
      <c r="P304" s="3"/>
      <c r="Q304" s="3"/>
      <c r="R304" s="3"/>
      <c r="S304" s="3"/>
      <c r="T304" s="3"/>
      <c r="U304" s="3"/>
      <c r="V304" s="3"/>
      <c r="W304" s="3"/>
      <c r="X304" s="3"/>
      <c r="Y304" s="4"/>
      <c r="Z304"/>
      <c r="AA304"/>
    </row>
    <row r="305" spans="1:27" s="37" customFormat="1" x14ac:dyDescent="0.15">
      <c r="A305" s="167"/>
      <c r="B305" s="87"/>
      <c r="C305" s="88"/>
      <c r="D305" s="86"/>
      <c r="E305" s="86"/>
      <c r="F305" s="86"/>
      <c r="G305" s="86"/>
      <c r="H305" s="85"/>
      <c r="I305" s="89"/>
      <c r="J305" s="132"/>
      <c r="K305" s="62"/>
      <c r="L305" s="49"/>
      <c r="P305" s="3"/>
      <c r="Q305" s="3"/>
      <c r="R305" s="3"/>
      <c r="S305" s="3"/>
      <c r="T305" s="3"/>
      <c r="U305" s="3"/>
      <c r="V305" s="3"/>
      <c r="W305" s="3"/>
      <c r="X305" s="3"/>
      <c r="Y305" s="4"/>
      <c r="Z305"/>
      <c r="AA305"/>
    </row>
    <row r="306" spans="1:27" s="37" customFormat="1" x14ac:dyDescent="0.15">
      <c r="A306" s="167"/>
      <c r="B306" s="87"/>
      <c r="C306" s="88"/>
      <c r="D306" s="86"/>
      <c r="E306" s="86"/>
      <c r="F306" s="86"/>
      <c r="G306" s="86"/>
      <c r="H306" s="85"/>
      <c r="I306" s="89"/>
      <c r="J306" s="132"/>
      <c r="K306" s="62"/>
      <c r="L306" s="49"/>
      <c r="P306" s="3"/>
      <c r="Q306" s="3"/>
      <c r="R306" s="3"/>
      <c r="S306" s="3"/>
      <c r="T306" s="3"/>
      <c r="U306" s="3"/>
      <c r="V306" s="3"/>
      <c r="W306" s="3"/>
      <c r="X306" s="3"/>
      <c r="Y306" s="4"/>
      <c r="Z306"/>
      <c r="AA306"/>
    </row>
    <row r="307" spans="1:27" s="37" customFormat="1" x14ac:dyDescent="0.15">
      <c r="A307" s="167"/>
      <c r="B307" s="87"/>
      <c r="C307" s="88"/>
      <c r="D307" s="86"/>
      <c r="E307" s="86"/>
      <c r="F307" s="86"/>
      <c r="G307" s="86"/>
      <c r="H307" s="85"/>
      <c r="I307" s="89"/>
      <c r="J307" s="132"/>
      <c r="K307" s="61"/>
      <c r="L307" s="50"/>
      <c r="P307" s="3"/>
      <c r="Q307" s="3"/>
      <c r="R307" s="3"/>
      <c r="S307" s="3"/>
      <c r="T307" s="3"/>
      <c r="U307" s="3"/>
      <c r="V307" s="3"/>
      <c r="W307" s="3"/>
      <c r="X307" s="3"/>
      <c r="Y307" s="4"/>
      <c r="Z307"/>
      <c r="AA307"/>
    </row>
    <row r="308" spans="1:27" s="37" customFormat="1" x14ac:dyDescent="0.15">
      <c r="A308" s="167"/>
      <c r="B308" s="87"/>
      <c r="C308" s="88"/>
      <c r="D308" s="86"/>
      <c r="E308" s="86"/>
      <c r="F308" s="86"/>
      <c r="G308" s="86"/>
      <c r="H308" s="85"/>
      <c r="I308" s="89"/>
      <c r="J308" s="132"/>
      <c r="K308" s="62"/>
      <c r="L308" s="49"/>
      <c r="P308" s="3"/>
      <c r="Q308" s="3"/>
      <c r="R308" s="3"/>
      <c r="S308" s="3"/>
      <c r="T308" s="3"/>
      <c r="U308" s="3"/>
      <c r="V308" s="3"/>
      <c r="W308" s="3"/>
      <c r="X308" s="3"/>
      <c r="Y308" s="4"/>
      <c r="Z308"/>
      <c r="AA308"/>
    </row>
    <row r="309" spans="1:27" s="37" customFormat="1" x14ac:dyDescent="0.15">
      <c r="A309" s="167"/>
      <c r="B309" s="87"/>
      <c r="C309" s="88"/>
      <c r="D309" s="86"/>
      <c r="E309" s="86"/>
      <c r="F309" s="86"/>
      <c r="G309" s="86"/>
      <c r="H309" s="85"/>
      <c r="I309" s="89"/>
      <c r="J309" s="132"/>
      <c r="K309" s="62"/>
      <c r="L309" s="49"/>
      <c r="P309" s="3"/>
      <c r="Q309" s="3"/>
      <c r="R309" s="3"/>
      <c r="S309" s="3"/>
      <c r="T309" s="3"/>
      <c r="U309" s="3"/>
      <c r="V309" s="3"/>
      <c r="W309" s="3"/>
      <c r="X309" s="3"/>
      <c r="Y309" s="4"/>
      <c r="Z309"/>
      <c r="AA309"/>
    </row>
    <row r="310" spans="1:27" s="37" customFormat="1" x14ac:dyDescent="0.15">
      <c r="A310" s="167"/>
      <c r="B310" s="87"/>
      <c r="C310" s="88"/>
      <c r="D310" s="86"/>
      <c r="E310" s="86"/>
      <c r="F310" s="86"/>
      <c r="G310" s="86"/>
      <c r="H310" s="85"/>
      <c r="I310" s="89"/>
      <c r="J310" s="132"/>
      <c r="K310" s="62"/>
      <c r="L310" s="50"/>
      <c r="N310" s="51"/>
      <c r="P310" s="3"/>
      <c r="Q310" s="3"/>
      <c r="R310" s="3"/>
      <c r="S310" s="3"/>
      <c r="T310" s="3"/>
      <c r="U310" s="3"/>
      <c r="V310" s="3"/>
      <c r="W310" s="3"/>
      <c r="X310" s="3"/>
      <c r="Y310" s="4"/>
      <c r="Z310"/>
      <c r="AA310"/>
    </row>
    <row r="311" spans="1:27" s="37" customFormat="1" x14ac:dyDescent="0.15">
      <c r="A311" s="166"/>
      <c r="B311" s="82"/>
      <c r="C311" s="70"/>
      <c r="D311" s="70"/>
      <c r="E311" s="70"/>
      <c r="F311" s="70"/>
      <c r="G311" s="70"/>
      <c r="H311" s="85"/>
      <c r="I311" s="85"/>
      <c r="J311" s="131"/>
      <c r="K311" s="60"/>
      <c r="L311" s="49"/>
      <c r="N311" s="49"/>
      <c r="P311" s="3"/>
      <c r="Q311" s="3"/>
      <c r="R311" s="3"/>
      <c r="S311" s="3"/>
      <c r="T311" s="3"/>
      <c r="U311" s="3"/>
      <c r="V311" s="3"/>
      <c r="W311" s="3"/>
      <c r="X311" s="3"/>
      <c r="Y311" s="4"/>
      <c r="Z311"/>
      <c r="AA311"/>
    </row>
    <row r="312" spans="1:27" s="37" customFormat="1" x14ac:dyDescent="0.15">
      <c r="A312" s="166"/>
      <c r="B312" s="82"/>
      <c r="C312" s="70"/>
      <c r="D312" s="70"/>
      <c r="E312" s="70"/>
      <c r="F312" s="70"/>
      <c r="G312" s="70"/>
      <c r="H312" s="85"/>
      <c r="I312" s="85"/>
      <c r="J312" s="131"/>
      <c r="K312" s="60"/>
      <c r="L312" s="49"/>
      <c r="P312" s="3"/>
      <c r="Q312" s="3"/>
      <c r="R312" s="3"/>
      <c r="S312" s="3"/>
      <c r="T312" s="3"/>
      <c r="U312" s="3"/>
      <c r="V312" s="3"/>
      <c r="W312" s="3"/>
      <c r="X312" s="3"/>
      <c r="Y312" s="4"/>
      <c r="Z312"/>
      <c r="AA312"/>
    </row>
    <row r="313" spans="1:27" s="37" customFormat="1" x14ac:dyDescent="0.15">
      <c r="A313" s="166"/>
      <c r="B313" s="82"/>
      <c r="C313" s="70"/>
      <c r="D313" s="70"/>
      <c r="E313" s="70"/>
      <c r="F313" s="70"/>
      <c r="G313" s="70"/>
      <c r="H313" s="85"/>
      <c r="I313" s="85"/>
      <c r="J313" s="131"/>
      <c r="K313" s="60"/>
      <c r="L313" s="49"/>
      <c r="P313" s="3"/>
      <c r="Q313" s="3"/>
      <c r="R313" s="3"/>
      <c r="S313" s="3"/>
      <c r="T313" s="3"/>
      <c r="U313" s="3"/>
      <c r="V313" s="3"/>
      <c r="W313" s="3"/>
      <c r="X313" s="3"/>
      <c r="Y313" s="4"/>
      <c r="Z313"/>
      <c r="AA313"/>
    </row>
    <row r="314" spans="1:27" s="37" customFormat="1" x14ac:dyDescent="0.15">
      <c r="A314" s="166"/>
      <c r="B314" s="82"/>
      <c r="C314" s="70"/>
      <c r="D314" s="70"/>
      <c r="E314" s="70"/>
      <c r="F314" s="70"/>
      <c r="G314" s="70"/>
      <c r="H314" s="85"/>
      <c r="I314" s="85"/>
      <c r="J314" s="131"/>
      <c r="K314" s="60"/>
      <c r="L314" s="49"/>
      <c r="P314" s="3"/>
      <c r="Q314" s="3"/>
      <c r="R314" s="3"/>
      <c r="S314" s="3"/>
      <c r="T314" s="3"/>
      <c r="U314" s="3"/>
      <c r="V314" s="3"/>
      <c r="W314" s="3"/>
      <c r="X314" s="3"/>
      <c r="Y314" s="4"/>
      <c r="Z314"/>
      <c r="AA314"/>
    </row>
    <row r="315" spans="1:27" s="37" customFormat="1" x14ac:dyDescent="0.15">
      <c r="A315" s="166"/>
      <c r="B315" s="82"/>
      <c r="C315" s="70"/>
      <c r="D315" s="70"/>
      <c r="E315" s="70"/>
      <c r="F315" s="70"/>
      <c r="G315" s="70"/>
      <c r="H315" s="85"/>
      <c r="I315" s="85"/>
      <c r="J315" s="131"/>
      <c r="K315" s="60"/>
      <c r="L315" s="49"/>
      <c r="P315" s="3"/>
      <c r="Q315" s="3"/>
      <c r="R315" s="3"/>
      <c r="S315" s="3"/>
      <c r="T315" s="3"/>
      <c r="U315" s="3"/>
      <c r="V315" s="3"/>
      <c r="W315" s="3"/>
      <c r="X315" s="3"/>
      <c r="Y315" s="4"/>
      <c r="Z315"/>
      <c r="AA315"/>
    </row>
    <row r="316" spans="1:27" s="37" customFormat="1" x14ac:dyDescent="0.15">
      <c r="A316" s="166"/>
      <c r="B316" s="82"/>
      <c r="C316" s="70"/>
      <c r="D316" s="70"/>
      <c r="E316" s="70"/>
      <c r="F316" s="70"/>
      <c r="G316" s="70"/>
      <c r="H316" s="85"/>
      <c r="I316" s="85"/>
      <c r="J316" s="131"/>
      <c r="K316" s="60"/>
      <c r="L316" s="49"/>
      <c r="P316" s="3"/>
      <c r="Q316" s="3"/>
      <c r="R316" s="3"/>
      <c r="S316" s="3"/>
      <c r="T316" s="3"/>
      <c r="U316" s="3"/>
      <c r="V316" s="3"/>
      <c r="W316" s="3"/>
      <c r="X316" s="3"/>
      <c r="Y316" s="4"/>
      <c r="Z316"/>
      <c r="AA316"/>
    </row>
    <row r="317" spans="1:27" s="37" customFormat="1" x14ac:dyDescent="0.15">
      <c r="A317" s="166"/>
      <c r="B317" s="82"/>
      <c r="C317" s="73"/>
      <c r="D317" s="73"/>
      <c r="E317" s="73"/>
      <c r="F317" s="73"/>
      <c r="G317" s="73"/>
      <c r="H317" s="85"/>
      <c r="I317" s="85"/>
      <c r="J317" s="131"/>
      <c r="K317" s="66"/>
      <c r="L317" s="49"/>
      <c r="P317" s="3"/>
      <c r="Q317" s="3"/>
      <c r="R317" s="3"/>
      <c r="S317" s="3"/>
      <c r="T317" s="3"/>
      <c r="U317" s="3"/>
      <c r="V317" s="3"/>
      <c r="W317" s="3"/>
      <c r="X317" s="3"/>
      <c r="Y317" s="4"/>
      <c r="Z317"/>
      <c r="AA317"/>
    </row>
    <row r="318" spans="1:27" s="37" customFormat="1" x14ac:dyDescent="0.15">
      <c r="A318" s="166"/>
      <c r="B318" s="82"/>
      <c r="C318" s="70"/>
      <c r="D318" s="70"/>
      <c r="E318" s="70"/>
      <c r="F318" s="70"/>
      <c r="G318" s="70"/>
      <c r="H318" s="85"/>
      <c r="I318" s="85"/>
      <c r="J318" s="131"/>
      <c r="K318" s="60"/>
      <c r="L318" s="49"/>
      <c r="P318" s="3"/>
      <c r="Q318" s="3"/>
      <c r="R318" s="3"/>
      <c r="S318" s="3"/>
      <c r="T318" s="3"/>
      <c r="U318" s="3"/>
      <c r="V318" s="3"/>
      <c r="W318" s="3"/>
      <c r="X318" s="3"/>
      <c r="Y318" s="4"/>
      <c r="Z318"/>
      <c r="AA318"/>
    </row>
    <row r="319" spans="1:27" s="49" customFormat="1" x14ac:dyDescent="0.15">
      <c r="A319" s="166"/>
      <c r="B319" s="82"/>
      <c r="C319" s="70"/>
      <c r="D319" s="70"/>
      <c r="E319" s="70"/>
      <c r="F319" s="70"/>
      <c r="G319" s="70"/>
      <c r="H319" s="85"/>
      <c r="I319" s="85"/>
      <c r="J319" s="131"/>
      <c r="K319" s="60"/>
      <c r="M319" s="37"/>
      <c r="N319" s="37"/>
      <c r="O319" s="37"/>
      <c r="P319" s="3"/>
      <c r="Q319" s="3"/>
      <c r="R319" s="3"/>
      <c r="S319" s="3"/>
      <c r="T319" s="3"/>
      <c r="U319" s="3"/>
      <c r="V319" s="3"/>
      <c r="W319" s="3"/>
      <c r="X319" s="3"/>
      <c r="Y319" s="4"/>
      <c r="Z319"/>
      <c r="AA319"/>
    </row>
    <row r="320" spans="1:27" s="49" customFormat="1" x14ac:dyDescent="0.15">
      <c r="A320" s="166"/>
      <c r="B320" s="82"/>
      <c r="C320" s="70"/>
      <c r="D320" s="70"/>
      <c r="E320" s="70"/>
      <c r="F320" s="70"/>
      <c r="G320" s="70"/>
      <c r="H320" s="85"/>
      <c r="I320" s="85"/>
      <c r="J320" s="131"/>
      <c r="K320" s="60"/>
      <c r="M320" s="37"/>
      <c r="N320" s="37"/>
      <c r="O320" s="37"/>
      <c r="P320" s="3"/>
      <c r="Q320" s="3"/>
      <c r="R320" s="3"/>
      <c r="S320" s="3"/>
      <c r="T320" s="3"/>
      <c r="U320" s="3"/>
      <c r="V320" s="3"/>
      <c r="W320" s="3"/>
      <c r="X320" s="3"/>
      <c r="Y320" s="4"/>
      <c r="Z320"/>
      <c r="AA320"/>
    </row>
    <row r="321" spans="1:27" s="49" customFormat="1" x14ac:dyDescent="0.15">
      <c r="A321" s="166"/>
      <c r="B321" s="82"/>
      <c r="C321" s="70"/>
      <c r="D321" s="70"/>
      <c r="E321" s="70"/>
      <c r="F321" s="70"/>
      <c r="G321" s="70"/>
      <c r="H321" s="85"/>
      <c r="I321" s="85"/>
      <c r="J321" s="131"/>
      <c r="K321" s="63"/>
      <c r="M321" s="37"/>
      <c r="N321" s="37"/>
      <c r="O321" s="37"/>
      <c r="P321" s="3"/>
      <c r="Q321" s="3"/>
      <c r="R321" s="3"/>
      <c r="S321" s="3"/>
      <c r="T321" s="3"/>
      <c r="U321" s="3"/>
      <c r="V321" s="3"/>
      <c r="W321" s="3"/>
      <c r="X321" s="3"/>
      <c r="Y321" s="4"/>
      <c r="Z321"/>
      <c r="AA321"/>
    </row>
    <row r="322" spans="1:27" s="49" customFormat="1" x14ac:dyDescent="0.15">
      <c r="A322" s="166"/>
      <c r="B322" s="82"/>
      <c r="C322" s="70"/>
      <c r="D322" s="70"/>
      <c r="E322" s="70"/>
      <c r="F322" s="70"/>
      <c r="G322" s="70"/>
      <c r="H322" s="85"/>
      <c r="I322" s="85"/>
      <c r="J322" s="131"/>
      <c r="K322" s="60"/>
      <c r="M322" s="37"/>
      <c r="N322" s="37"/>
      <c r="O322" s="37"/>
      <c r="P322" s="3"/>
      <c r="Q322" s="3"/>
      <c r="R322" s="3"/>
      <c r="S322" s="3"/>
      <c r="T322" s="3"/>
      <c r="U322" s="3"/>
      <c r="V322" s="3"/>
      <c r="W322" s="3"/>
      <c r="X322" s="3"/>
      <c r="Y322" s="4"/>
      <c r="Z322"/>
      <c r="AA322"/>
    </row>
    <row r="323" spans="1:27" s="49" customFormat="1" x14ac:dyDescent="0.15">
      <c r="A323" s="166"/>
      <c r="B323" s="82"/>
      <c r="C323" s="70"/>
      <c r="D323" s="70"/>
      <c r="E323" s="70"/>
      <c r="F323" s="70"/>
      <c r="G323" s="70"/>
      <c r="H323" s="85"/>
      <c r="I323" s="85"/>
      <c r="J323" s="131"/>
      <c r="K323" s="60"/>
      <c r="M323" s="37"/>
      <c r="N323" s="37"/>
      <c r="O323" s="37"/>
      <c r="P323" s="3"/>
      <c r="Q323" s="3"/>
      <c r="R323" s="3"/>
      <c r="S323" s="3"/>
      <c r="T323" s="3"/>
      <c r="U323" s="3"/>
      <c r="V323" s="3"/>
      <c r="W323" s="3"/>
      <c r="X323" s="3"/>
      <c r="Y323" s="4"/>
      <c r="Z323"/>
      <c r="AA323"/>
    </row>
    <row r="324" spans="1:27" s="49" customFormat="1" x14ac:dyDescent="0.15">
      <c r="A324" s="166"/>
      <c r="B324" s="82"/>
      <c r="C324" s="70"/>
      <c r="D324" s="70"/>
      <c r="E324" s="70"/>
      <c r="F324" s="70"/>
      <c r="G324" s="70"/>
      <c r="H324" s="85"/>
      <c r="I324" s="85"/>
      <c r="J324" s="131"/>
      <c r="K324" s="60"/>
      <c r="M324" s="37"/>
      <c r="N324" s="37"/>
      <c r="O324" s="37"/>
      <c r="P324" s="3"/>
      <c r="Q324" s="3"/>
      <c r="R324" s="3"/>
      <c r="S324" s="3"/>
      <c r="T324" s="3"/>
      <c r="U324" s="3"/>
      <c r="V324" s="3"/>
      <c r="W324" s="3"/>
      <c r="X324" s="3"/>
      <c r="Y324" s="4"/>
      <c r="Z324"/>
      <c r="AA324"/>
    </row>
    <row r="325" spans="1:27" s="49" customFormat="1" x14ac:dyDescent="0.15">
      <c r="A325" s="166"/>
      <c r="B325" s="82"/>
      <c r="C325" s="70"/>
      <c r="D325" s="70"/>
      <c r="E325" s="70"/>
      <c r="F325" s="70"/>
      <c r="G325" s="70"/>
      <c r="H325" s="85"/>
      <c r="I325" s="85"/>
      <c r="J325" s="131"/>
      <c r="K325" s="60"/>
      <c r="M325" s="37"/>
      <c r="N325" s="37"/>
      <c r="O325" s="37"/>
      <c r="P325" s="3"/>
      <c r="Q325" s="3"/>
      <c r="R325" s="3"/>
      <c r="S325" s="3"/>
      <c r="T325" s="3"/>
      <c r="U325" s="3"/>
      <c r="V325" s="3"/>
      <c r="W325" s="3"/>
      <c r="X325" s="3"/>
      <c r="Y325" s="4"/>
      <c r="Z325"/>
      <c r="AA325"/>
    </row>
    <row r="326" spans="1:27" s="49" customFormat="1" x14ac:dyDescent="0.15">
      <c r="A326" s="166"/>
      <c r="B326" s="82"/>
      <c r="C326" s="70"/>
      <c r="D326" s="70"/>
      <c r="E326" s="70"/>
      <c r="F326" s="70"/>
      <c r="G326" s="70"/>
      <c r="H326" s="85"/>
      <c r="I326" s="85"/>
      <c r="J326" s="131"/>
      <c r="K326" s="60"/>
      <c r="M326" s="37"/>
      <c r="N326" s="37"/>
      <c r="O326" s="37"/>
      <c r="P326" s="3"/>
      <c r="Q326" s="3"/>
      <c r="R326" s="3"/>
      <c r="S326" s="3"/>
      <c r="T326" s="3"/>
      <c r="U326" s="3"/>
      <c r="V326" s="3"/>
      <c r="W326" s="3"/>
      <c r="X326" s="3"/>
      <c r="Y326" s="4"/>
      <c r="Z326"/>
      <c r="AA326"/>
    </row>
    <row r="327" spans="1:27" s="49" customFormat="1" x14ac:dyDescent="0.15">
      <c r="A327" s="166"/>
      <c r="B327" s="82"/>
      <c r="C327" s="70"/>
      <c r="D327" s="70"/>
      <c r="E327" s="70"/>
      <c r="F327" s="70"/>
      <c r="G327" s="70"/>
      <c r="H327" s="85"/>
      <c r="I327" s="85"/>
      <c r="J327" s="131"/>
      <c r="K327" s="60"/>
      <c r="M327" s="37"/>
      <c r="N327" s="37"/>
      <c r="O327" s="37"/>
      <c r="P327" s="3"/>
      <c r="Q327" s="3"/>
      <c r="R327" s="3"/>
      <c r="S327" s="3"/>
      <c r="T327" s="3"/>
      <c r="U327" s="3"/>
      <c r="V327" s="3"/>
      <c r="W327" s="3"/>
      <c r="X327" s="3"/>
      <c r="Y327" s="4"/>
      <c r="Z327"/>
      <c r="AA327"/>
    </row>
    <row r="328" spans="1:27" s="49" customFormat="1" x14ac:dyDescent="0.15">
      <c r="A328" s="166"/>
      <c r="B328" s="82"/>
      <c r="C328" s="70"/>
      <c r="D328" s="70"/>
      <c r="E328" s="70"/>
      <c r="F328" s="70"/>
      <c r="G328" s="70"/>
      <c r="H328" s="85"/>
      <c r="I328" s="85"/>
      <c r="J328" s="131"/>
      <c r="K328" s="60"/>
      <c r="M328" s="37"/>
      <c r="N328" s="37"/>
      <c r="O328" s="37"/>
      <c r="P328" s="3"/>
      <c r="Q328" s="3"/>
      <c r="R328" s="3"/>
      <c r="S328" s="3"/>
      <c r="T328" s="3"/>
      <c r="U328" s="3"/>
      <c r="V328" s="3"/>
      <c r="W328" s="3"/>
      <c r="X328" s="3"/>
      <c r="Y328" s="4"/>
      <c r="Z328"/>
      <c r="AA328"/>
    </row>
    <row r="329" spans="1:27" s="49" customFormat="1" x14ac:dyDescent="0.15">
      <c r="A329" s="166"/>
      <c r="B329" s="82"/>
      <c r="C329" s="70"/>
      <c r="D329" s="70"/>
      <c r="E329" s="70"/>
      <c r="F329" s="70"/>
      <c r="G329" s="70"/>
      <c r="H329" s="85"/>
      <c r="I329" s="85"/>
      <c r="J329" s="131"/>
      <c r="K329" s="60"/>
      <c r="M329" s="37"/>
      <c r="N329" s="37"/>
      <c r="O329" s="37"/>
      <c r="P329" s="3"/>
      <c r="Q329" s="3"/>
      <c r="R329" s="3"/>
      <c r="S329" s="3"/>
      <c r="T329" s="3"/>
      <c r="U329" s="3"/>
      <c r="V329" s="3"/>
      <c r="W329" s="3"/>
      <c r="X329" s="3"/>
      <c r="Y329" s="4"/>
      <c r="Z329"/>
      <c r="AA329"/>
    </row>
    <row r="330" spans="1:27" s="49" customFormat="1" x14ac:dyDescent="0.15">
      <c r="A330" s="166"/>
      <c r="B330" s="82"/>
      <c r="C330" s="70"/>
      <c r="D330" s="70"/>
      <c r="E330" s="70"/>
      <c r="F330" s="70"/>
      <c r="G330" s="70"/>
      <c r="H330" s="85"/>
      <c r="I330" s="85"/>
      <c r="J330" s="131"/>
      <c r="K330" s="60"/>
      <c r="M330" s="37"/>
      <c r="N330" s="37"/>
      <c r="O330" s="37"/>
      <c r="P330" s="3"/>
      <c r="Q330" s="3"/>
      <c r="R330" s="3"/>
      <c r="S330" s="3"/>
      <c r="T330" s="3"/>
      <c r="U330" s="3"/>
      <c r="V330" s="3"/>
      <c r="W330" s="3"/>
      <c r="X330" s="3"/>
      <c r="Y330" s="4"/>
      <c r="Z330"/>
      <c r="AA330"/>
    </row>
    <row r="331" spans="1:27" s="49" customFormat="1" x14ac:dyDescent="0.15">
      <c r="A331" s="166"/>
      <c r="B331" s="82"/>
      <c r="C331" s="70"/>
      <c r="D331" s="70"/>
      <c r="E331" s="70"/>
      <c r="F331" s="70"/>
      <c r="G331" s="70"/>
      <c r="H331" s="85"/>
      <c r="I331" s="85"/>
      <c r="J331" s="131"/>
      <c r="K331" s="60"/>
      <c r="M331" s="37"/>
      <c r="N331" s="37"/>
      <c r="O331" s="37"/>
      <c r="P331" s="3"/>
      <c r="Q331" s="3"/>
      <c r="R331" s="3"/>
      <c r="S331" s="3"/>
      <c r="T331" s="3"/>
      <c r="U331" s="3"/>
      <c r="V331" s="3"/>
      <c r="W331" s="3"/>
      <c r="X331" s="3"/>
      <c r="Y331" s="4"/>
      <c r="Z331"/>
      <c r="AA331"/>
    </row>
    <row r="332" spans="1:27" s="49" customFormat="1" x14ac:dyDescent="0.15">
      <c r="A332" s="166"/>
      <c r="B332" s="82"/>
      <c r="C332" s="70"/>
      <c r="D332" s="70"/>
      <c r="E332" s="70"/>
      <c r="F332" s="70"/>
      <c r="G332" s="70"/>
      <c r="H332" s="85"/>
      <c r="I332" s="85"/>
      <c r="J332" s="131"/>
      <c r="K332" s="60"/>
      <c r="M332" s="37"/>
      <c r="N332" s="37"/>
      <c r="O332" s="37"/>
      <c r="P332" s="3"/>
      <c r="Q332" s="3"/>
      <c r="R332" s="3"/>
      <c r="S332" s="3"/>
      <c r="T332" s="3"/>
      <c r="U332" s="3"/>
      <c r="V332" s="3"/>
      <c r="W332" s="3"/>
      <c r="X332" s="3"/>
      <c r="Y332" s="4"/>
      <c r="Z332"/>
      <c r="AA332"/>
    </row>
    <row r="333" spans="1:27" s="49" customFormat="1" x14ac:dyDescent="0.15">
      <c r="A333" s="166"/>
      <c r="B333" s="82"/>
      <c r="C333" s="70"/>
      <c r="D333" s="70"/>
      <c r="E333" s="70"/>
      <c r="F333" s="70"/>
      <c r="G333" s="70"/>
      <c r="H333" s="85"/>
      <c r="I333" s="85"/>
      <c r="J333" s="131"/>
      <c r="K333" s="60"/>
      <c r="M333" s="37"/>
      <c r="N333" s="37"/>
      <c r="O333" s="37"/>
      <c r="P333" s="3"/>
      <c r="Q333" s="3"/>
      <c r="R333" s="3"/>
      <c r="S333" s="3"/>
      <c r="T333" s="3"/>
      <c r="U333" s="3"/>
      <c r="V333" s="3"/>
      <c r="W333" s="3"/>
      <c r="X333" s="3"/>
      <c r="Y333" s="4"/>
      <c r="Z333"/>
      <c r="AA333"/>
    </row>
    <row r="334" spans="1:27" s="49" customFormat="1" x14ac:dyDescent="0.15">
      <c r="A334" s="166"/>
      <c r="B334" s="82"/>
      <c r="C334" s="70"/>
      <c r="D334" s="70"/>
      <c r="E334" s="70"/>
      <c r="F334" s="70"/>
      <c r="G334" s="70"/>
      <c r="H334" s="85"/>
      <c r="I334" s="85"/>
      <c r="J334" s="131"/>
      <c r="K334" s="60"/>
      <c r="M334" s="37"/>
      <c r="N334" s="37"/>
      <c r="O334" s="37"/>
      <c r="P334" s="3"/>
      <c r="Q334" s="3"/>
      <c r="R334" s="3"/>
      <c r="S334" s="3"/>
      <c r="T334" s="3"/>
      <c r="U334" s="3"/>
      <c r="V334" s="3"/>
      <c r="W334" s="3"/>
      <c r="X334" s="3"/>
      <c r="Y334" s="4"/>
      <c r="Z334"/>
      <c r="AA334"/>
    </row>
    <row r="335" spans="1:27" s="3" customFormat="1" x14ac:dyDescent="0.15">
      <c r="A335" s="166"/>
      <c r="B335" s="82"/>
      <c r="C335" s="70"/>
      <c r="D335" s="70"/>
      <c r="E335" s="70"/>
      <c r="F335" s="70"/>
      <c r="G335" s="70"/>
      <c r="H335" s="85"/>
      <c r="I335" s="85"/>
      <c r="J335" s="131"/>
      <c r="K335" s="60"/>
      <c r="L335" s="49"/>
      <c r="M335" s="37"/>
      <c r="N335" s="37"/>
      <c r="O335" s="37"/>
      <c r="Y335" s="4"/>
      <c r="Z335"/>
      <c r="AA335"/>
    </row>
    <row r="336" spans="1:27" s="3" customFormat="1" x14ac:dyDescent="0.15">
      <c r="A336" s="166"/>
      <c r="B336" s="82"/>
      <c r="C336" s="70"/>
      <c r="D336" s="70"/>
      <c r="E336" s="70"/>
      <c r="F336" s="70"/>
      <c r="G336" s="70"/>
      <c r="H336" s="85"/>
      <c r="I336" s="85"/>
      <c r="J336" s="131"/>
      <c r="K336" s="60"/>
      <c r="L336" s="49"/>
      <c r="M336" s="37"/>
      <c r="N336" s="37"/>
      <c r="O336" s="37"/>
      <c r="Y336" s="4"/>
      <c r="Z336"/>
      <c r="AA336"/>
    </row>
    <row r="337" spans="1:27" s="3" customFormat="1" x14ac:dyDescent="0.15">
      <c r="A337" s="166"/>
      <c r="B337" s="82"/>
      <c r="C337" s="70"/>
      <c r="D337" s="70"/>
      <c r="E337" s="70"/>
      <c r="F337" s="70"/>
      <c r="G337" s="70"/>
      <c r="H337" s="85"/>
      <c r="I337" s="85"/>
      <c r="J337" s="131"/>
      <c r="K337" s="60"/>
      <c r="L337" s="49"/>
      <c r="M337" s="37"/>
      <c r="N337" s="37"/>
      <c r="O337" s="37"/>
      <c r="Y337" s="4"/>
      <c r="Z337"/>
      <c r="AA337"/>
    </row>
    <row r="338" spans="1:27" s="3" customFormat="1" x14ac:dyDescent="0.15">
      <c r="A338" s="166"/>
      <c r="B338" s="82"/>
      <c r="C338" s="70"/>
      <c r="D338" s="70"/>
      <c r="E338" s="70"/>
      <c r="F338" s="70"/>
      <c r="G338" s="70"/>
      <c r="H338" s="85"/>
      <c r="I338" s="85"/>
      <c r="J338" s="131"/>
      <c r="K338" s="60"/>
      <c r="L338" s="49"/>
      <c r="M338" s="37"/>
      <c r="N338" s="37"/>
      <c r="O338" s="37"/>
      <c r="Y338" s="4"/>
      <c r="Z338"/>
      <c r="AA338"/>
    </row>
    <row r="339" spans="1:27" s="3" customFormat="1" x14ac:dyDescent="0.15">
      <c r="A339" s="166"/>
      <c r="B339" s="82"/>
      <c r="C339" s="70"/>
      <c r="D339" s="70"/>
      <c r="E339" s="70"/>
      <c r="F339" s="70"/>
      <c r="G339" s="70"/>
      <c r="H339" s="85"/>
      <c r="I339" s="85"/>
      <c r="J339" s="131"/>
      <c r="K339" s="60"/>
      <c r="L339" s="49"/>
      <c r="M339" s="37"/>
      <c r="N339" s="37"/>
      <c r="O339" s="37"/>
      <c r="Y339" s="4"/>
      <c r="Z339"/>
      <c r="AA339"/>
    </row>
    <row r="340" spans="1:27" s="3" customFormat="1" x14ac:dyDescent="0.15">
      <c r="A340" s="166"/>
      <c r="B340" s="82"/>
      <c r="C340" s="70"/>
      <c r="D340" s="70"/>
      <c r="E340" s="70"/>
      <c r="F340" s="70"/>
      <c r="G340" s="70"/>
      <c r="H340" s="85"/>
      <c r="I340" s="85"/>
      <c r="J340" s="131"/>
      <c r="K340" s="60"/>
      <c r="L340" s="49"/>
      <c r="M340" s="37"/>
      <c r="N340" s="37"/>
      <c r="O340" s="37"/>
      <c r="Y340" s="4"/>
      <c r="Z340"/>
      <c r="AA340"/>
    </row>
    <row r="341" spans="1:27" s="3" customFormat="1" x14ac:dyDescent="0.15">
      <c r="A341" s="166"/>
      <c r="B341" s="82"/>
      <c r="C341" s="70"/>
      <c r="D341" s="70"/>
      <c r="E341" s="70"/>
      <c r="F341" s="70"/>
      <c r="G341" s="70"/>
      <c r="H341" s="85"/>
      <c r="I341" s="85"/>
      <c r="J341" s="131"/>
      <c r="K341" s="60"/>
      <c r="L341" s="49"/>
      <c r="M341" s="37"/>
      <c r="N341" s="37"/>
      <c r="O341" s="37"/>
      <c r="Y341" s="4"/>
      <c r="Z341"/>
      <c r="AA341"/>
    </row>
    <row r="342" spans="1:27" s="3" customFormat="1" x14ac:dyDescent="0.15">
      <c r="A342" s="166"/>
      <c r="B342" s="93"/>
      <c r="C342" s="70"/>
      <c r="D342" s="70"/>
      <c r="E342" s="70"/>
      <c r="F342" s="70"/>
      <c r="G342" s="70"/>
      <c r="H342" s="85"/>
      <c r="I342" s="85"/>
      <c r="J342" s="131"/>
      <c r="K342" s="60"/>
      <c r="L342" s="33"/>
      <c r="M342" s="37"/>
      <c r="N342" s="37"/>
      <c r="O342" s="37"/>
      <c r="Y342" s="4"/>
      <c r="Z342"/>
      <c r="AA342"/>
    </row>
    <row r="343" spans="1:27" s="3" customFormat="1" x14ac:dyDescent="0.15">
      <c r="A343" s="166"/>
      <c r="B343" s="93"/>
      <c r="C343" s="70"/>
      <c r="D343" s="70"/>
      <c r="E343" s="70"/>
      <c r="F343" s="70"/>
      <c r="G343" s="70"/>
      <c r="H343" s="85"/>
      <c r="I343" s="85"/>
      <c r="J343" s="131"/>
      <c r="K343" s="60"/>
      <c r="L343" s="33"/>
      <c r="M343" s="37"/>
      <c r="N343" s="37"/>
      <c r="O343" s="37"/>
      <c r="Y343" s="4"/>
      <c r="Z343"/>
      <c r="AA343"/>
    </row>
    <row r="344" spans="1:27" s="3" customFormat="1" x14ac:dyDescent="0.15">
      <c r="A344" s="166"/>
      <c r="B344" s="82"/>
      <c r="C344" s="70"/>
      <c r="D344" s="70"/>
      <c r="E344" s="70"/>
      <c r="F344" s="70"/>
      <c r="G344" s="70"/>
      <c r="H344" s="85"/>
      <c r="I344" s="85"/>
      <c r="J344" s="131"/>
      <c r="K344" s="60"/>
      <c r="L344" s="49"/>
      <c r="M344" s="37"/>
      <c r="N344" s="37"/>
      <c r="O344" s="37"/>
      <c r="Y344" s="4"/>
      <c r="Z344"/>
      <c r="AA344"/>
    </row>
    <row r="345" spans="1:27" s="3" customFormat="1" x14ac:dyDescent="0.15">
      <c r="A345" s="166"/>
      <c r="B345" s="82"/>
      <c r="C345" s="70"/>
      <c r="D345" s="70"/>
      <c r="E345" s="70"/>
      <c r="F345" s="70"/>
      <c r="G345" s="70"/>
      <c r="H345" s="85"/>
      <c r="I345" s="85"/>
      <c r="J345" s="131"/>
      <c r="K345" s="60"/>
      <c r="L345" s="49"/>
      <c r="M345" s="37"/>
      <c r="N345" s="37"/>
      <c r="O345" s="37"/>
      <c r="Y345" s="4"/>
      <c r="Z345"/>
      <c r="AA345"/>
    </row>
    <row r="346" spans="1:27" s="3" customFormat="1" x14ac:dyDescent="0.15">
      <c r="A346" s="166"/>
      <c r="B346" s="82"/>
      <c r="C346" s="70"/>
      <c r="D346" s="70"/>
      <c r="E346" s="70"/>
      <c r="F346" s="70"/>
      <c r="G346" s="70"/>
      <c r="H346" s="85"/>
      <c r="I346" s="85"/>
      <c r="J346" s="131"/>
      <c r="K346" s="60"/>
      <c r="L346" s="49"/>
      <c r="M346" s="37"/>
      <c r="N346" s="37"/>
      <c r="O346" s="37"/>
      <c r="Y346" s="4"/>
      <c r="Z346"/>
      <c r="AA346"/>
    </row>
    <row r="347" spans="1:27" s="3" customFormat="1" ht="16" x14ac:dyDescent="0.2">
      <c r="A347" s="166"/>
      <c r="B347" s="82"/>
      <c r="C347" s="70"/>
      <c r="D347" s="70"/>
      <c r="E347" s="70"/>
      <c r="F347" s="70"/>
      <c r="G347" s="70"/>
      <c r="H347" s="85"/>
      <c r="I347" s="85"/>
      <c r="J347" s="131"/>
      <c r="K347" s="60"/>
      <c r="L347" s="47"/>
      <c r="M347" s="37"/>
      <c r="N347" s="37"/>
      <c r="O347" s="37"/>
      <c r="Y347" s="4"/>
      <c r="Z347"/>
      <c r="AA347"/>
    </row>
    <row r="348" spans="1:27" s="3" customFormat="1" x14ac:dyDescent="0.15">
      <c r="A348" s="166"/>
      <c r="B348" s="82"/>
      <c r="C348" s="73"/>
      <c r="D348" s="73"/>
      <c r="E348" s="73"/>
      <c r="F348" s="73"/>
      <c r="G348" s="73"/>
      <c r="H348" s="85"/>
      <c r="I348" s="85"/>
      <c r="J348" s="131"/>
      <c r="K348" s="60"/>
      <c r="L348" s="49"/>
      <c r="M348" s="37"/>
      <c r="N348" s="37"/>
      <c r="O348" s="37"/>
      <c r="Y348" s="4"/>
      <c r="Z348"/>
      <c r="AA348"/>
    </row>
    <row r="349" spans="1:27" s="3" customFormat="1" x14ac:dyDescent="0.15">
      <c r="A349" s="166"/>
      <c r="B349" s="82"/>
      <c r="C349" s="70"/>
      <c r="D349" s="70"/>
      <c r="E349" s="70"/>
      <c r="F349" s="70"/>
      <c r="G349" s="70"/>
      <c r="H349" s="85"/>
      <c r="I349" s="85"/>
      <c r="J349" s="131"/>
      <c r="K349" s="60"/>
      <c r="L349" s="49"/>
      <c r="M349" s="37"/>
      <c r="N349" s="37"/>
      <c r="O349" s="35"/>
      <c r="Y349" s="4"/>
      <c r="Z349"/>
      <c r="AA349"/>
    </row>
    <row r="350" spans="1:27" s="3" customFormat="1" x14ac:dyDescent="0.15">
      <c r="A350" s="166"/>
      <c r="B350" s="82"/>
      <c r="C350" s="73"/>
      <c r="D350" s="73"/>
      <c r="E350" s="73"/>
      <c r="F350" s="73"/>
      <c r="G350" s="73"/>
      <c r="H350" s="85"/>
      <c r="I350" s="95"/>
      <c r="J350" s="131"/>
      <c r="K350" s="60"/>
      <c r="L350" s="49"/>
      <c r="M350" s="37"/>
      <c r="N350" s="37"/>
      <c r="O350" s="37"/>
      <c r="Y350" s="4"/>
      <c r="Z350"/>
      <c r="AA350"/>
    </row>
    <row r="351" spans="1:27" s="3" customFormat="1" x14ac:dyDescent="0.15">
      <c r="A351" s="166"/>
      <c r="B351" s="82"/>
      <c r="C351" s="70"/>
      <c r="D351" s="70"/>
      <c r="E351" s="70"/>
      <c r="F351" s="70"/>
      <c r="G351" s="70"/>
      <c r="H351" s="85"/>
      <c r="I351" s="85"/>
      <c r="J351" s="131"/>
      <c r="K351" s="60"/>
      <c r="L351" s="49"/>
      <c r="M351" s="37"/>
      <c r="N351" s="37"/>
      <c r="O351" s="37"/>
      <c r="Y351" s="4"/>
      <c r="Z351"/>
      <c r="AA351"/>
    </row>
    <row r="352" spans="1:27" s="3" customFormat="1" x14ac:dyDescent="0.15">
      <c r="A352" s="166"/>
      <c r="B352" s="82"/>
      <c r="C352" s="70"/>
      <c r="D352" s="70"/>
      <c r="E352" s="70"/>
      <c r="F352" s="70"/>
      <c r="G352" s="70"/>
      <c r="H352" s="85"/>
      <c r="I352" s="85"/>
      <c r="J352" s="131"/>
      <c r="K352" s="60"/>
      <c r="L352" s="49"/>
      <c r="M352" s="37"/>
      <c r="N352" s="37"/>
      <c r="O352" s="37"/>
      <c r="Y352" s="4"/>
      <c r="Z352"/>
      <c r="AA352"/>
    </row>
    <row r="353" spans="1:27" s="3" customFormat="1" x14ac:dyDescent="0.15">
      <c r="A353" s="166"/>
      <c r="B353" s="82"/>
      <c r="C353" s="70"/>
      <c r="D353" s="70"/>
      <c r="E353" s="70"/>
      <c r="F353" s="70"/>
      <c r="G353" s="70"/>
      <c r="H353" s="85"/>
      <c r="I353" s="85"/>
      <c r="J353" s="131"/>
      <c r="K353" s="60"/>
      <c r="L353" s="49"/>
      <c r="M353" s="37"/>
      <c r="N353" s="37"/>
      <c r="O353" s="37"/>
      <c r="Y353" s="4"/>
      <c r="Z353"/>
      <c r="AA353"/>
    </row>
    <row r="354" spans="1:27" s="3" customFormat="1" x14ac:dyDescent="0.15">
      <c r="A354" s="166"/>
      <c r="B354" s="82"/>
      <c r="C354" s="70"/>
      <c r="D354" s="70"/>
      <c r="E354" s="70"/>
      <c r="F354" s="70"/>
      <c r="G354" s="70"/>
      <c r="H354" s="85"/>
      <c r="I354" s="85"/>
      <c r="J354" s="131"/>
      <c r="K354" s="60"/>
      <c r="L354" s="49"/>
      <c r="M354" s="37"/>
      <c r="N354" s="37"/>
      <c r="O354" s="37"/>
      <c r="Y354" s="4"/>
      <c r="Z354"/>
      <c r="AA354"/>
    </row>
    <row r="355" spans="1:27" s="3" customFormat="1" x14ac:dyDescent="0.15">
      <c r="A355" s="166"/>
      <c r="B355" s="82"/>
      <c r="C355" s="70"/>
      <c r="D355" s="70"/>
      <c r="E355" s="70"/>
      <c r="F355" s="70"/>
      <c r="G355" s="70"/>
      <c r="H355" s="85"/>
      <c r="I355" s="85"/>
      <c r="J355" s="131"/>
      <c r="K355" s="60"/>
      <c r="L355" s="49"/>
      <c r="M355" s="37"/>
      <c r="N355" s="37"/>
      <c r="O355" s="37"/>
      <c r="Y355" s="4"/>
      <c r="Z355"/>
      <c r="AA355"/>
    </row>
    <row r="356" spans="1:27" s="3" customFormat="1" x14ac:dyDescent="0.15">
      <c r="A356" s="166"/>
      <c r="B356" s="82"/>
      <c r="C356" s="70"/>
      <c r="D356" s="70"/>
      <c r="E356" s="70"/>
      <c r="F356" s="70"/>
      <c r="G356" s="70"/>
      <c r="H356" s="85"/>
      <c r="I356" s="85"/>
      <c r="J356" s="131"/>
      <c r="K356" s="60"/>
      <c r="L356" s="49"/>
      <c r="M356" s="37"/>
      <c r="N356" s="37"/>
      <c r="O356" s="37"/>
      <c r="Y356" s="4"/>
      <c r="Z356"/>
      <c r="AA356"/>
    </row>
    <row r="357" spans="1:27" s="3" customFormat="1" x14ac:dyDescent="0.15">
      <c r="A357" s="166"/>
      <c r="B357" s="82"/>
      <c r="C357" s="70"/>
      <c r="D357" s="70"/>
      <c r="E357" s="70"/>
      <c r="F357" s="70"/>
      <c r="G357" s="70"/>
      <c r="H357" s="85"/>
      <c r="I357" s="85"/>
      <c r="J357" s="131"/>
      <c r="K357" s="60"/>
      <c r="L357" s="49"/>
      <c r="M357" s="37"/>
      <c r="N357" s="37"/>
      <c r="O357" s="37"/>
      <c r="Y357" s="4"/>
      <c r="Z357"/>
      <c r="AA357"/>
    </row>
    <row r="358" spans="1:27" s="3" customFormat="1" x14ac:dyDescent="0.15">
      <c r="A358" s="166"/>
      <c r="B358" s="82"/>
      <c r="C358" s="70"/>
      <c r="D358" s="70"/>
      <c r="E358" s="70"/>
      <c r="F358" s="70"/>
      <c r="G358" s="70"/>
      <c r="H358" s="85"/>
      <c r="I358" s="85"/>
      <c r="J358" s="131"/>
      <c r="K358" s="60"/>
      <c r="L358" s="49"/>
      <c r="M358" s="37"/>
      <c r="N358" s="37"/>
      <c r="O358" s="37"/>
      <c r="Y358" s="4"/>
      <c r="Z358"/>
      <c r="AA358"/>
    </row>
    <row r="359" spans="1:27" s="3" customFormat="1" x14ac:dyDescent="0.15">
      <c r="A359" s="166"/>
      <c r="B359" s="82"/>
      <c r="C359" s="70"/>
      <c r="D359" s="70"/>
      <c r="E359" s="70"/>
      <c r="F359" s="70"/>
      <c r="G359" s="70"/>
      <c r="H359" s="85"/>
      <c r="I359" s="85"/>
      <c r="J359" s="131"/>
      <c r="K359" s="60"/>
      <c r="L359" s="49"/>
      <c r="M359" s="37"/>
      <c r="N359" s="37"/>
      <c r="O359" s="35"/>
      <c r="Y359" s="4"/>
      <c r="Z359"/>
      <c r="AA359"/>
    </row>
    <row r="360" spans="1:27" s="3" customFormat="1" x14ac:dyDescent="0.15">
      <c r="A360" s="166"/>
      <c r="B360" s="82"/>
      <c r="C360" s="70"/>
      <c r="D360" s="70"/>
      <c r="E360" s="70"/>
      <c r="F360" s="70"/>
      <c r="G360" s="70"/>
      <c r="H360" s="85"/>
      <c r="I360" s="85"/>
      <c r="J360" s="131"/>
      <c r="K360" s="60"/>
      <c r="L360" s="49"/>
      <c r="M360" s="37"/>
      <c r="N360" s="37"/>
      <c r="O360" s="37"/>
      <c r="Y360" s="4"/>
      <c r="Z360"/>
      <c r="AA360"/>
    </row>
    <row r="361" spans="1:27" s="3" customFormat="1" x14ac:dyDescent="0.15">
      <c r="A361" s="166"/>
      <c r="B361" s="82"/>
      <c r="C361" s="70"/>
      <c r="D361" s="70"/>
      <c r="E361" s="70"/>
      <c r="F361" s="70"/>
      <c r="G361" s="70"/>
      <c r="H361" s="85"/>
      <c r="I361" s="85"/>
      <c r="J361" s="131"/>
      <c r="K361" s="60"/>
      <c r="L361" s="49"/>
      <c r="M361" s="37"/>
      <c r="N361" s="37"/>
      <c r="O361" s="37"/>
      <c r="Y361" s="4"/>
      <c r="Z361"/>
      <c r="AA361"/>
    </row>
    <row r="362" spans="1:27" s="3" customFormat="1" x14ac:dyDescent="0.15">
      <c r="A362" s="166"/>
      <c r="B362" s="82"/>
      <c r="C362" s="70"/>
      <c r="D362" s="70"/>
      <c r="E362" s="70"/>
      <c r="F362" s="70"/>
      <c r="G362" s="70"/>
      <c r="H362" s="85"/>
      <c r="I362" s="85"/>
      <c r="J362" s="131"/>
      <c r="K362" s="60"/>
      <c r="L362" s="49"/>
      <c r="M362" s="37"/>
      <c r="N362" s="37"/>
      <c r="O362" s="37"/>
      <c r="Y362" s="4"/>
      <c r="Z362"/>
      <c r="AA362"/>
    </row>
    <row r="363" spans="1:27" s="3" customFormat="1" x14ac:dyDescent="0.15">
      <c r="A363" s="166"/>
      <c r="B363" s="82"/>
      <c r="C363" s="70"/>
      <c r="D363" s="70"/>
      <c r="E363" s="70"/>
      <c r="F363" s="70"/>
      <c r="G363" s="70"/>
      <c r="H363" s="85"/>
      <c r="I363" s="85"/>
      <c r="J363" s="131"/>
      <c r="K363" s="60"/>
      <c r="L363" s="49"/>
      <c r="M363" s="37"/>
      <c r="N363" s="37"/>
      <c r="O363" s="37"/>
      <c r="Y363" s="4"/>
      <c r="Z363"/>
      <c r="AA363"/>
    </row>
    <row r="364" spans="1:27" s="3" customFormat="1" x14ac:dyDescent="0.15">
      <c r="A364" s="166"/>
      <c r="B364" s="82"/>
      <c r="C364" s="70"/>
      <c r="D364" s="70"/>
      <c r="E364" s="70"/>
      <c r="F364" s="70"/>
      <c r="G364" s="70"/>
      <c r="H364" s="85"/>
      <c r="I364" s="85"/>
      <c r="J364" s="131"/>
      <c r="K364" s="60"/>
      <c r="L364" s="49"/>
      <c r="M364" s="37"/>
      <c r="N364" s="37"/>
      <c r="O364" s="37"/>
      <c r="Y364" s="4"/>
      <c r="Z364"/>
      <c r="AA364"/>
    </row>
    <row r="365" spans="1:27" s="3" customFormat="1" x14ac:dyDescent="0.15">
      <c r="A365" s="166"/>
      <c r="B365" s="82"/>
      <c r="C365" s="70"/>
      <c r="D365" s="70"/>
      <c r="E365" s="70"/>
      <c r="F365" s="70"/>
      <c r="G365" s="70"/>
      <c r="H365" s="85"/>
      <c r="I365" s="85"/>
      <c r="J365" s="131"/>
      <c r="K365" s="60"/>
      <c r="L365" s="49"/>
      <c r="M365" s="37"/>
      <c r="N365" s="37"/>
      <c r="O365" s="37"/>
      <c r="Y365" s="4"/>
      <c r="Z365"/>
      <c r="AA365"/>
    </row>
    <row r="366" spans="1:27" s="3" customFormat="1" x14ac:dyDescent="0.15">
      <c r="A366" s="166"/>
      <c r="B366" s="82"/>
      <c r="C366" s="70"/>
      <c r="D366" s="70"/>
      <c r="E366" s="70"/>
      <c r="F366" s="70"/>
      <c r="G366" s="70"/>
      <c r="H366" s="85"/>
      <c r="I366" s="85"/>
      <c r="J366" s="131"/>
      <c r="K366" s="60"/>
      <c r="L366" s="49"/>
      <c r="M366" s="37"/>
      <c r="N366" s="37"/>
      <c r="O366" s="37"/>
      <c r="Y366" s="4"/>
      <c r="Z366"/>
      <c r="AA366"/>
    </row>
    <row r="367" spans="1:27" s="37" customFormat="1" x14ac:dyDescent="0.15">
      <c r="A367" s="166"/>
      <c r="B367" s="82"/>
      <c r="C367" s="70"/>
      <c r="D367" s="70"/>
      <c r="E367" s="70"/>
      <c r="F367" s="70"/>
      <c r="G367" s="70"/>
      <c r="H367" s="85"/>
      <c r="I367" s="85"/>
      <c r="J367" s="131"/>
      <c r="K367" s="60"/>
      <c r="L367" s="49"/>
      <c r="P367" s="3"/>
      <c r="Q367" s="3"/>
      <c r="R367" s="3"/>
      <c r="S367" s="3"/>
      <c r="T367" s="3"/>
      <c r="U367" s="3"/>
      <c r="V367" s="3"/>
      <c r="W367" s="3"/>
      <c r="X367" s="3"/>
      <c r="Y367" s="4"/>
      <c r="Z367"/>
      <c r="AA367"/>
    </row>
    <row r="368" spans="1:27" s="37" customFormat="1" x14ac:dyDescent="0.15">
      <c r="A368" s="166"/>
      <c r="B368" s="82"/>
      <c r="C368" s="70"/>
      <c r="D368" s="70"/>
      <c r="E368" s="70"/>
      <c r="F368" s="70"/>
      <c r="G368" s="70"/>
      <c r="H368" s="85"/>
      <c r="I368" s="85"/>
      <c r="J368" s="131"/>
      <c r="K368" s="60"/>
      <c r="L368" s="49"/>
      <c r="P368" s="3"/>
      <c r="Q368" s="3"/>
      <c r="R368" s="3"/>
      <c r="S368" s="3"/>
      <c r="T368" s="3"/>
      <c r="U368" s="3"/>
      <c r="V368" s="3"/>
      <c r="W368" s="3"/>
      <c r="X368" s="3"/>
      <c r="Y368" s="4"/>
      <c r="Z368"/>
      <c r="AA368"/>
    </row>
    <row r="369" spans="1:27" s="37" customFormat="1" x14ac:dyDescent="0.15">
      <c r="A369" s="70"/>
      <c r="B369" s="82"/>
      <c r="C369" s="70"/>
      <c r="D369" s="70"/>
      <c r="E369" s="70"/>
      <c r="F369" s="70"/>
      <c r="G369" s="70"/>
      <c r="H369" s="85"/>
      <c r="I369" s="85"/>
      <c r="J369" s="131"/>
      <c r="K369" s="60"/>
      <c r="L369" s="49"/>
      <c r="P369" s="3"/>
      <c r="Q369" s="3"/>
      <c r="R369" s="3"/>
      <c r="S369" s="3"/>
      <c r="T369" s="3"/>
      <c r="U369" s="3"/>
      <c r="V369" s="3"/>
      <c r="W369" s="3"/>
      <c r="X369" s="3"/>
      <c r="Y369" s="4"/>
      <c r="Z369"/>
      <c r="AA369"/>
    </row>
    <row r="370" spans="1:27" s="37" customFormat="1" x14ac:dyDescent="0.15">
      <c r="A370" s="70"/>
      <c r="B370" s="82"/>
      <c r="C370" s="70"/>
      <c r="D370" s="70"/>
      <c r="E370" s="70"/>
      <c r="F370" s="70"/>
      <c r="G370" s="70"/>
      <c r="H370" s="85"/>
      <c r="I370" s="85"/>
      <c r="J370" s="131"/>
      <c r="K370" s="60"/>
      <c r="L370" s="49"/>
      <c r="P370" s="3"/>
      <c r="Q370" s="3"/>
      <c r="R370" s="3"/>
      <c r="S370" s="3"/>
      <c r="T370" s="3"/>
      <c r="U370" s="3"/>
      <c r="V370" s="3"/>
      <c r="W370" s="3"/>
      <c r="X370" s="3"/>
      <c r="Y370" s="4"/>
      <c r="Z370"/>
      <c r="AA370"/>
    </row>
    <row r="371" spans="1:27" s="37" customFormat="1" x14ac:dyDescent="0.15">
      <c r="A371" s="70"/>
      <c r="B371" s="82"/>
      <c r="C371" s="70"/>
      <c r="D371" s="70"/>
      <c r="E371" s="70"/>
      <c r="F371" s="70"/>
      <c r="G371" s="70"/>
      <c r="H371" s="85"/>
      <c r="I371" s="85"/>
      <c r="J371" s="131"/>
      <c r="K371" s="60"/>
      <c r="L371" s="49"/>
      <c r="N371" s="51"/>
      <c r="P371" s="3"/>
      <c r="Q371" s="3"/>
      <c r="R371" s="3"/>
      <c r="S371" s="3"/>
      <c r="T371" s="3"/>
      <c r="U371" s="3"/>
      <c r="V371" s="3"/>
      <c r="W371" s="3"/>
      <c r="X371" s="3"/>
      <c r="Y371" s="4"/>
      <c r="Z371"/>
      <c r="AA371"/>
    </row>
    <row r="372" spans="1:27" s="37" customFormat="1" x14ac:dyDescent="0.15">
      <c r="A372" s="70"/>
      <c r="B372" s="82"/>
      <c r="C372" s="70"/>
      <c r="D372" s="70"/>
      <c r="E372" s="70"/>
      <c r="F372" s="70"/>
      <c r="G372" s="70"/>
      <c r="H372" s="85"/>
      <c r="I372" s="85"/>
      <c r="J372" s="131"/>
      <c r="K372" s="60"/>
      <c r="L372" s="49"/>
      <c r="P372" s="3"/>
      <c r="Q372" s="3"/>
      <c r="R372" s="3"/>
      <c r="S372" s="3"/>
      <c r="T372" s="3"/>
      <c r="U372" s="3"/>
      <c r="V372" s="3"/>
      <c r="W372" s="3"/>
      <c r="X372" s="3"/>
      <c r="Y372" s="4"/>
      <c r="Z372"/>
      <c r="AA372"/>
    </row>
    <row r="373" spans="1:27" s="37" customFormat="1" x14ac:dyDescent="0.15">
      <c r="A373" s="73"/>
      <c r="B373" s="82"/>
      <c r="C373" s="70"/>
      <c r="D373" s="70"/>
      <c r="E373" s="70"/>
      <c r="F373" s="70"/>
      <c r="G373" s="70"/>
      <c r="H373" s="85"/>
      <c r="I373" s="85"/>
      <c r="J373" s="131"/>
      <c r="K373" s="60"/>
      <c r="L373" s="49"/>
      <c r="P373" s="3"/>
      <c r="Q373" s="3"/>
      <c r="R373" s="3"/>
      <c r="S373" s="3"/>
      <c r="T373" s="3"/>
      <c r="U373" s="3"/>
      <c r="V373" s="3"/>
      <c r="W373" s="3"/>
      <c r="X373" s="3"/>
      <c r="Y373" s="4"/>
      <c r="Z373"/>
      <c r="AA373"/>
    </row>
    <row r="374" spans="1:27" s="37" customFormat="1" x14ac:dyDescent="0.15">
      <c r="A374" s="70"/>
      <c r="B374" s="82"/>
      <c r="C374" s="70"/>
      <c r="D374" s="70"/>
      <c r="E374" s="70"/>
      <c r="F374" s="70"/>
      <c r="G374" s="70"/>
      <c r="H374" s="85"/>
      <c r="I374" s="85"/>
      <c r="J374" s="131"/>
      <c r="K374" s="60"/>
      <c r="L374" s="49"/>
      <c r="P374" s="3"/>
      <c r="Q374" s="3"/>
      <c r="R374" s="3"/>
      <c r="S374" s="3"/>
      <c r="T374" s="3"/>
      <c r="U374" s="3"/>
      <c r="V374" s="3"/>
      <c r="W374" s="3"/>
      <c r="X374" s="3"/>
      <c r="Y374" s="4"/>
      <c r="Z374"/>
      <c r="AA374"/>
    </row>
    <row r="375" spans="1:27" s="37" customFormat="1" x14ac:dyDescent="0.15">
      <c r="A375" s="70"/>
      <c r="B375" s="82"/>
      <c r="C375" s="70"/>
      <c r="D375" s="70"/>
      <c r="E375" s="70"/>
      <c r="F375" s="70"/>
      <c r="G375" s="70"/>
      <c r="H375" s="85"/>
      <c r="I375" s="85"/>
      <c r="J375" s="131"/>
      <c r="K375" s="60"/>
      <c r="L375" s="49"/>
      <c r="P375" s="3"/>
      <c r="Q375" s="3"/>
      <c r="R375" s="3"/>
      <c r="S375" s="3"/>
      <c r="T375" s="3"/>
      <c r="U375" s="3"/>
      <c r="V375" s="3"/>
      <c r="W375" s="3"/>
      <c r="X375" s="3"/>
      <c r="Y375" s="4"/>
      <c r="Z375"/>
      <c r="AA375"/>
    </row>
    <row r="376" spans="1:27" s="37" customFormat="1" x14ac:dyDescent="0.15">
      <c r="A376" s="70"/>
      <c r="B376" s="82"/>
      <c r="C376" s="70"/>
      <c r="D376" s="70"/>
      <c r="E376" s="70"/>
      <c r="F376" s="70"/>
      <c r="G376" s="70"/>
      <c r="H376" s="85"/>
      <c r="I376" s="85"/>
      <c r="J376" s="131"/>
      <c r="K376" s="60"/>
      <c r="L376" s="49"/>
      <c r="P376" s="3"/>
      <c r="Q376" s="3"/>
      <c r="R376" s="3"/>
      <c r="S376" s="3"/>
      <c r="T376" s="3"/>
      <c r="U376" s="3"/>
      <c r="V376" s="3"/>
      <c r="W376" s="3"/>
      <c r="X376" s="3"/>
      <c r="Y376" s="4"/>
      <c r="Z376"/>
      <c r="AA376"/>
    </row>
    <row r="377" spans="1:27" s="37" customFormat="1" x14ac:dyDescent="0.15">
      <c r="A377" s="70"/>
      <c r="B377" s="82"/>
      <c r="C377" s="70"/>
      <c r="D377" s="70"/>
      <c r="E377" s="70"/>
      <c r="F377" s="70"/>
      <c r="G377" s="70"/>
      <c r="H377" s="85"/>
      <c r="I377" s="85"/>
      <c r="J377" s="131"/>
      <c r="K377" s="60"/>
      <c r="L377" s="49"/>
      <c r="P377" s="3"/>
      <c r="Q377" s="3"/>
      <c r="R377" s="3"/>
      <c r="S377" s="3"/>
      <c r="T377" s="3"/>
      <c r="U377" s="3"/>
      <c r="V377" s="3"/>
      <c r="W377" s="3"/>
      <c r="X377" s="3"/>
      <c r="Y377" s="4"/>
      <c r="Z377"/>
      <c r="AA377"/>
    </row>
    <row r="378" spans="1:27" s="37" customFormat="1" x14ac:dyDescent="0.15">
      <c r="A378" s="70"/>
      <c r="B378" s="82"/>
      <c r="C378" s="70"/>
      <c r="D378" s="70"/>
      <c r="E378" s="70"/>
      <c r="F378" s="70"/>
      <c r="G378" s="70"/>
      <c r="H378" s="85"/>
      <c r="I378" s="85"/>
      <c r="J378" s="131"/>
      <c r="K378" s="66"/>
      <c r="L378" s="49"/>
      <c r="P378" s="3"/>
      <c r="Q378" s="3"/>
      <c r="R378" s="3"/>
      <c r="S378" s="3"/>
      <c r="T378" s="3"/>
      <c r="U378" s="3"/>
      <c r="V378" s="3"/>
      <c r="W378" s="3"/>
      <c r="X378" s="3"/>
      <c r="Y378" s="4"/>
      <c r="Z378"/>
      <c r="AA378"/>
    </row>
    <row r="379" spans="1:27" s="37" customFormat="1" x14ac:dyDescent="0.15">
      <c r="A379" s="73"/>
      <c r="B379" s="82"/>
      <c r="C379" s="70"/>
      <c r="D379" s="70"/>
      <c r="E379" s="70"/>
      <c r="F379" s="70"/>
      <c r="G379" s="70"/>
      <c r="H379" s="85"/>
      <c r="I379" s="85"/>
      <c r="J379" s="131"/>
      <c r="K379" s="60"/>
      <c r="L379" s="49"/>
      <c r="P379" s="3"/>
      <c r="Q379" s="3"/>
      <c r="R379" s="3"/>
      <c r="S379" s="3"/>
      <c r="T379" s="3"/>
      <c r="U379" s="3"/>
      <c r="V379" s="3"/>
      <c r="W379" s="3"/>
      <c r="X379" s="3"/>
      <c r="Y379" s="4"/>
      <c r="Z379"/>
      <c r="AA379"/>
    </row>
    <row r="380" spans="1:27" s="37" customFormat="1" x14ac:dyDescent="0.15">
      <c r="A380" s="73"/>
      <c r="B380" s="82"/>
      <c r="C380" s="70"/>
      <c r="D380" s="70"/>
      <c r="E380" s="70"/>
      <c r="F380" s="70"/>
      <c r="G380" s="70"/>
      <c r="H380" s="85"/>
      <c r="I380" s="85"/>
      <c r="J380" s="131"/>
      <c r="K380" s="63"/>
      <c r="L380" s="49"/>
      <c r="P380" s="3"/>
      <c r="Q380" s="3"/>
      <c r="R380" s="3"/>
      <c r="S380" s="3"/>
      <c r="T380" s="3"/>
      <c r="U380" s="3"/>
      <c r="V380" s="3"/>
      <c r="W380" s="3"/>
      <c r="X380" s="3"/>
      <c r="Y380" s="4"/>
      <c r="Z380"/>
      <c r="AA380"/>
    </row>
    <row r="381" spans="1:27" s="37" customFormat="1" x14ac:dyDescent="0.15">
      <c r="A381" s="166"/>
      <c r="B381" s="82"/>
      <c r="C381" s="70"/>
      <c r="D381" s="70"/>
      <c r="E381" s="70"/>
      <c r="F381" s="70"/>
      <c r="G381" s="70"/>
      <c r="H381" s="85"/>
      <c r="I381" s="85"/>
      <c r="J381" s="131"/>
      <c r="K381" s="60"/>
      <c r="L381" s="49"/>
      <c r="P381" s="3"/>
      <c r="Q381" s="3"/>
      <c r="R381" s="3"/>
      <c r="S381" s="3"/>
      <c r="T381" s="3"/>
      <c r="U381" s="3"/>
      <c r="V381" s="3"/>
      <c r="W381" s="3"/>
      <c r="X381" s="3"/>
      <c r="Y381" s="4"/>
      <c r="Z381"/>
      <c r="AA381"/>
    </row>
    <row r="382" spans="1:27" s="37" customFormat="1" x14ac:dyDescent="0.15">
      <c r="A382" s="70"/>
      <c r="B382" s="82"/>
      <c r="C382" s="70"/>
      <c r="D382" s="70"/>
      <c r="E382" s="70"/>
      <c r="F382" s="70"/>
      <c r="G382" s="70"/>
      <c r="H382" s="85"/>
      <c r="I382" s="85"/>
      <c r="J382" s="131"/>
      <c r="K382" s="60"/>
      <c r="L382" s="49"/>
      <c r="P382" s="3"/>
      <c r="Q382" s="3"/>
      <c r="R382" s="3"/>
      <c r="S382" s="3"/>
      <c r="T382" s="3"/>
      <c r="U382" s="3"/>
      <c r="V382" s="3"/>
      <c r="W382" s="3"/>
      <c r="X382" s="3"/>
      <c r="Y382" s="4"/>
      <c r="Z382"/>
      <c r="AA382"/>
    </row>
    <row r="383" spans="1:27" s="37" customFormat="1" x14ac:dyDescent="0.15">
      <c r="A383" s="70"/>
      <c r="B383" s="82"/>
      <c r="C383" s="70"/>
      <c r="D383" s="70"/>
      <c r="E383" s="70"/>
      <c r="F383" s="70"/>
      <c r="G383" s="70"/>
      <c r="H383" s="85"/>
      <c r="I383" s="85"/>
      <c r="J383" s="131"/>
      <c r="K383" s="60"/>
      <c r="L383" s="49"/>
      <c r="P383" s="3"/>
      <c r="Q383" s="3"/>
      <c r="R383" s="3"/>
      <c r="S383" s="3"/>
      <c r="T383" s="3"/>
      <c r="U383" s="3"/>
      <c r="V383" s="3"/>
      <c r="W383" s="3"/>
      <c r="X383" s="3"/>
      <c r="Y383" s="4"/>
      <c r="Z383"/>
      <c r="AA383"/>
    </row>
    <row r="384" spans="1:27" s="37" customFormat="1" x14ac:dyDescent="0.15">
      <c r="A384" s="70"/>
      <c r="B384" s="82"/>
      <c r="C384" s="70"/>
      <c r="D384" s="70"/>
      <c r="E384" s="70"/>
      <c r="F384" s="70"/>
      <c r="G384" s="70"/>
      <c r="H384" s="85"/>
      <c r="I384" s="85"/>
      <c r="J384" s="131"/>
      <c r="K384" s="60"/>
      <c r="L384" s="49"/>
      <c r="P384" s="3"/>
      <c r="Q384" s="3"/>
      <c r="R384" s="3"/>
      <c r="S384" s="3"/>
      <c r="T384" s="3"/>
      <c r="U384" s="3"/>
      <c r="V384" s="3"/>
      <c r="W384" s="3"/>
      <c r="X384" s="3"/>
      <c r="Y384" s="4"/>
      <c r="Z384"/>
      <c r="AA384"/>
    </row>
    <row r="385" spans="1:27" s="37" customFormat="1" x14ac:dyDescent="0.15">
      <c r="A385" s="70"/>
      <c r="B385" s="82"/>
      <c r="C385" s="70"/>
      <c r="D385" s="70"/>
      <c r="E385" s="70"/>
      <c r="F385" s="70"/>
      <c r="G385" s="70"/>
      <c r="H385" s="85"/>
      <c r="I385" s="85"/>
      <c r="J385" s="131"/>
      <c r="K385" s="60"/>
      <c r="L385" s="49"/>
      <c r="P385" s="3"/>
      <c r="Q385" s="3"/>
      <c r="R385" s="3"/>
      <c r="S385" s="3"/>
      <c r="T385" s="3"/>
      <c r="U385" s="3"/>
      <c r="V385" s="3"/>
      <c r="W385" s="3"/>
      <c r="X385" s="3"/>
      <c r="Y385" s="4"/>
      <c r="Z385"/>
      <c r="AA385"/>
    </row>
    <row r="386" spans="1:27" s="37" customFormat="1" x14ac:dyDescent="0.15">
      <c r="A386" s="70"/>
      <c r="B386" s="82"/>
      <c r="C386" s="70"/>
      <c r="D386" s="70"/>
      <c r="E386" s="70"/>
      <c r="F386" s="70"/>
      <c r="G386" s="70"/>
      <c r="H386" s="85"/>
      <c r="I386" s="85"/>
      <c r="J386" s="131"/>
      <c r="K386" s="60"/>
      <c r="L386" s="49"/>
      <c r="P386" s="3"/>
      <c r="Q386" s="3"/>
      <c r="R386" s="3"/>
      <c r="S386" s="3"/>
      <c r="T386" s="3"/>
      <c r="U386" s="3"/>
      <c r="V386" s="3"/>
      <c r="W386" s="3"/>
      <c r="X386" s="3"/>
      <c r="Y386" s="4"/>
      <c r="Z386"/>
      <c r="AA386"/>
    </row>
    <row r="387" spans="1:27" s="37" customFormat="1" x14ac:dyDescent="0.15">
      <c r="A387" s="166"/>
      <c r="B387" s="82"/>
      <c r="C387" s="70"/>
      <c r="D387" s="70"/>
      <c r="E387" s="70"/>
      <c r="F387" s="70"/>
      <c r="G387" s="70"/>
      <c r="H387" s="85"/>
      <c r="I387" s="85"/>
      <c r="J387" s="131"/>
      <c r="K387" s="60"/>
      <c r="L387" s="49"/>
      <c r="P387" s="3"/>
      <c r="Q387" s="3"/>
      <c r="R387" s="3"/>
      <c r="S387" s="3"/>
      <c r="T387" s="3"/>
      <c r="U387" s="3"/>
      <c r="V387" s="3"/>
      <c r="W387" s="3"/>
      <c r="X387" s="3"/>
      <c r="Y387" s="4"/>
      <c r="Z387"/>
      <c r="AA387"/>
    </row>
    <row r="388" spans="1:27" s="37" customFormat="1" x14ac:dyDescent="0.15">
      <c r="A388" s="70"/>
      <c r="B388" s="82"/>
      <c r="C388" s="70"/>
      <c r="D388" s="70"/>
      <c r="E388" s="70"/>
      <c r="F388" s="70"/>
      <c r="G388" s="70"/>
      <c r="H388" s="85"/>
      <c r="I388" s="85"/>
      <c r="J388" s="131"/>
      <c r="K388" s="60"/>
      <c r="L388" s="49"/>
      <c r="P388" s="3"/>
      <c r="Q388" s="3"/>
      <c r="R388" s="3"/>
      <c r="S388" s="3"/>
      <c r="T388" s="3"/>
      <c r="U388" s="3"/>
      <c r="V388" s="3"/>
      <c r="W388" s="3"/>
      <c r="X388" s="3"/>
      <c r="Y388" s="4"/>
      <c r="Z388"/>
      <c r="AA388"/>
    </row>
    <row r="389" spans="1:27" s="37" customFormat="1" x14ac:dyDescent="0.15">
      <c r="A389" s="70"/>
      <c r="B389" s="82"/>
      <c r="C389" s="70"/>
      <c r="D389" s="70"/>
      <c r="E389" s="70"/>
      <c r="F389" s="70"/>
      <c r="G389" s="70"/>
      <c r="H389" s="85"/>
      <c r="I389" s="85"/>
      <c r="J389" s="131"/>
      <c r="K389" s="60"/>
      <c r="L389" s="49"/>
      <c r="P389" s="3"/>
      <c r="Q389" s="3"/>
      <c r="R389" s="3"/>
      <c r="S389" s="3"/>
      <c r="T389" s="3"/>
      <c r="U389" s="3"/>
      <c r="V389" s="3"/>
      <c r="W389" s="3"/>
      <c r="X389" s="3"/>
      <c r="Y389" s="4"/>
      <c r="Z389"/>
      <c r="AA389"/>
    </row>
    <row r="390" spans="1:27" s="37" customFormat="1" x14ac:dyDescent="0.15">
      <c r="A390" s="70"/>
      <c r="B390" s="82"/>
      <c r="C390" s="70"/>
      <c r="D390" s="70"/>
      <c r="E390" s="70"/>
      <c r="F390" s="70"/>
      <c r="G390" s="70"/>
      <c r="H390" s="85"/>
      <c r="I390" s="85"/>
      <c r="J390" s="131"/>
      <c r="K390" s="60"/>
      <c r="L390" s="49"/>
      <c r="P390" s="3"/>
      <c r="Q390" s="3"/>
      <c r="R390" s="3"/>
      <c r="S390" s="3"/>
      <c r="T390" s="3"/>
      <c r="U390" s="3"/>
      <c r="V390" s="3"/>
      <c r="W390" s="3"/>
      <c r="X390" s="3"/>
      <c r="Y390" s="4"/>
      <c r="Z390"/>
      <c r="AA390"/>
    </row>
    <row r="391" spans="1:27" s="37" customFormat="1" x14ac:dyDescent="0.15">
      <c r="A391" s="70"/>
      <c r="B391" s="82"/>
      <c r="C391" s="70"/>
      <c r="D391" s="70"/>
      <c r="E391" s="70"/>
      <c r="F391" s="70"/>
      <c r="G391" s="70"/>
      <c r="H391" s="85"/>
      <c r="I391" s="85"/>
      <c r="J391" s="131"/>
      <c r="K391" s="60"/>
      <c r="L391" s="49"/>
      <c r="P391" s="3"/>
      <c r="Q391" s="3"/>
      <c r="R391" s="3"/>
      <c r="S391" s="3"/>
      <c r="T391" s="3"/>
      <c r="U391" s="3"/>
      <c r="V391" s="3"/>
      <c r="W391" s="3"/>
      <c r="X391" s="3"/>
      <c r="Y391" s="4"/>
      <c r="Z391"/>
      <c r="AA391"/>
    </row>
    <row r="392" spans="1:27" s="37" customFormat="1" x14ac:dyDescent="0.15">
      <c r="A392" s="70"/>
      <c r="B392" s="82"/>
      <c r="C392" s="70"/>
      <c r="D392" s="70"/>
      <c r="E392" s="70"/>
      <c r="F392" s="70"/>
      <c r="G392" s="70"/>
      <c r="H392" s="85"/>
      <c r="I392" s="85"/>
      <c r="J392" s="131"/>
      <c r="K392" s="60"/>
      <c r="L392" s="49"/>
      <c r="P392" s="3"/>
      <c r="Q392" s="3"/>
      <c r="R392" s="3"/>
      <c r="S392" s="3"/>
      <c r="T392" s="3"/>
      <c r="U392" s="3"/>
      <c r="V392" s="3"/>
      <c r="W392" s="3"/>
      <c r="X392" s="3"/>
      <c r="Y392" s="4"/>
      <c r="Z392"/>
      <c r="AA392"/>
    </row>
    <row r="393" spans="1:27" s="37" customFormat="1" x14ac:dyDescent="0.15">
      <c r="A393" s="70"/>
      <c r="B393" s="82"/>
      <c r="C393" s="70"/>
      <c r="D393" s="70"/>
      <c r="E393" s="70"/>
      <c r="F393" s="70"/>
      <c r="G393" s="70"/>
      <c r="H393" s="85"/>
      <c r="I393" s="85"/>
      <c r="J393" s="131"/>
      <c r="K393" s="60"/>
      <c r="L393" s="49"/>
      <c r="P393" s="3"/>
      <c r="Q393" s="3"/>
      <c r="R393" s="3"/>
      <c r="S393" s="3"/>
      <c r="T393" s="3"/>
      <c r="U393" s="3"/>
      <c r="V393" s="3"/>
      <c r="W393" s="3"/>
      <c r="X393" s="3"/>
      <c r="Y393" s="4"/>
      <c r="Z393"/>
      <c r="AA393"/>
    </row>
    <row r="394" spans="1:27" s="37" customFormat="1" x14ac:dyDescent="0.15">
      <c r="A394" s="166"/>
      <c r="B394" s="82"/>
      <c r="C394" s="70"/>
      <c r="D394" s="70"/>
      <c r="E394" s="70"/>
      <c r="F394" s="70"/>
      <c r="G394" s="70"/>
      <c r="H394" s="85"/>
      <c r="I394" s="85"/>
      <c r="J394" s="131"/>
      <c r="K394" s="60"/>
      <c r="L394" s="49"/>
      <c r="P394" s="3"/>
      <c r="Q394" s="3"/>
      <c r="R394" s="3"/>
      <c r="S394" s="3"/>
      <c r="T394" s="3"/>
      <c r="U394" s="3"/>
      <c r="V394" s="3"/>
      <c r="W394" s="3"/>
      <c r="X394" s="3"/>
      <c r="Y394" s="4"/>
      <c r="Z394"/>
      <c r="AA394"/>
    </row>
    <row r="395" spans="1:27" s="37" customFormat="1" x14ac:dyDescent="0.15">
      <c r="A395" s="70"/>
      <c r="B395" s="82"/>
      <c r="C395" s="70"/>
      <c r="D395" s="70"/>
      <c r="E395" s="70"/>
      <c r="F395" s="70"/>
      <c r="G395" s="70"/>
      <c r="H395" s="85"/>
      <c r="I395" s="85"/>
      <c r="J395" s="131"/>
      <c r="K395" s="60"/>
      <c r="L395" s="33"/>
      <c r="P395" s="3"/>
      <c r="Q395" s="3"/>
      <c r="R395" s="3"/>
      <c r="S395" s="3"/>
      <c r="T395" s="3"/>
      <c r="U395" s="3"/>
      <c r="V395" s="3"/>
      <c r="W395" s="3"/>
      <c r="X395" s="3"/>
      <c r="Y395" s="4"/>
      <c r="Z395"/>
      <c r="AA395"/>
    </row>
    <row r="396" spans="1:27" s="37" customFormat="1" x14ac:dyDescent="0.15">
      <c r="A396" s="70"/>
      <c r="B396" s="82"/>
      <c r="C396" s="70"/>
      <c r="D396" s="70"/>
      <c r="E396" s="70"/>
      <c r="F396" s="70"/>
      <c r="G396" s="70"/>
      <c r="H396" s="85"/>
      <c r="I396" s="85"/>
      <c r="J396" s="131"/>
      <c r="K396" s="60"/>
      <c r="L396" s="33"/>
      <c r="P396" s="3"/>
      <c r="Q396" s="3"/>
      <c r="R396" s="3"/>
      <c r="S396" s="3"/>
      <c r="T396" s="3"/>
      <c r="U396" s="3"/>
      <c r="V396" s="3"/>
      <c r="W396" s="3"/>
      <c r="X396" s="3"/>
      <c r="Y396" s="4"/>
      <c r="Z396"/>
      <c r="AA396"/>
    </row>
    <row r="397" spans="1:27" s="37" customFormat="1" x14ac:dyDescent="0.15">
      <c r="A397" s="70"/>
      <c r="B397" s="82"/>
      <c r="C397" s="70"/>
      <c r="D397" s="70"/>
      <c r="E397" s="70"/>
      <c r="F397" s="70"/>
      <c r="G397" s="70"/>
      <c r="H397" s="85"/>
      <c r="I397" s="85"/>
      <c r="J397" s="134"/>
      <c r="K397" s="63"/>
      <c r="L397" s="33"/>
      <c r="P397" s="3"/>
      <c r="Q397" s="3"/>
      <c r="R397" s="3"/>
      <c r="S397" s="3"/>
      <c r="T397" s="3"/>
      <c r="U397" s="3"/>
      <c r="V397" s="3"/>
      <c r="W397" s="3"/>
      <c r="X397" s="3"/>
      <c r="Y397" s="4"/>
      <c r="Z397"/>
      <c r="AA397"/>
    </row>
    <row r="398" spans="1:27" s="37" customFormat="1" x14ac:dyDescent="0.15">
      <c r="A398" s="70"/>
      <c r="B398" s="82"/>
      <c r="C398" s="70"/>
      <c r="D398" s="70"/>
      <c r="E398" s="70"/>
      <c r="F398" s="70"/>
      <c r="G398" s="70"/>
      <c r="H398" s="85"/>
      <c r="I398" s="95"/>
      <c r="J398" s="139"/>
      <c r="K398" s="63"/>
      <c r="L398" s="33"/>
      <c r="P398" s="3"/>
      <c r="Q398" s="3"/>
      <c r="R398" s="3"/>
      <c r="S398" s="3"/>
      <c r="T398" s="3"/>
      <c r="U398" s="3"/>
      <c r="V398" s="3"/>
      <c r="W398" s="3"/>
      <c r="X398" s="3"/>
      <c r="Y398" s="4"/>
      <c r="Z398"/>
      <c r="AA398"/>
    </row>
    <row r="399" spans="1:27" s="37" customFormat="1" x14ac:dyDescent="0.15">
      <c r="A399" s="70"/>
      <c r="B399" s="82"/>
      <c r="C399" s="70"/>
      <c r="D399" s="70"/>
      <c r="E399" s="70"/>
      <c r="F399" s="70"/>
      <c r="G399" s="70"/>
      <c r="H399" s="85"/>
      <c r="I399" s="85"/>
      <c r="J399" s="131"/>
      <c r="K399" s="60"/>
      <c r="L399" s="49"/>
      <c r="P399" s="3"/>
      <c r="Q399" s="3"/>
      <c r="R399" s="3"/>
      <c r="S399" s="3"/>
      <c r="T399" s="3"/>
      <c r="U399" s="3"/>
      <c r="V399" s="3"/>
      <c r="W399" s="3"/>
      <c r="X399" s="3"/>
      <c r="Y399" s="4"/>
      <c r="Z399"/>
      <c r="AA399"/>
    </row>
    <row r="400" spans="1:27" s="37" customFormat="1" x14ac:dyDescent="0.15">
      <c r="A400" s="70"/>
      <c r="B400" s="82"/>
      <c r="C400" s="70"/>
      <c r="D400" s="70"/>
      <c r="E400" s="70"/>
      <c r="F400" s="70"/>
      <c r="G400" s="70"/>
      <c r="H400" s="85"/>
      <c r="I400" s="85"/>
      <c r="J400" s="131"/>
      <c r="K400" s="60"/>
      <c r="L400" s="49"/>
      <c r="P400" s="3"/>
      <c r="Q400" s="3"/>
      <c r="R400" s="3"/>
      <c r="S400" s="3"/>
      <c r="T400" s="3"/>
      <c r="U400" s="3"/>
      <c r="V400" s="3"/>
      <c r="W400" s="3"/>
      <c r="X400" s="3"/>
      <c r="Y400" s="4"/>
      <c r="Z400"/>
      <c r="AA400"/>
    </row>
    <row r="401" spans="1:27" s="37" customFormat="1" x14ac:dyDescent="0.15">
      <c r="A401" s="70"/>
      <c r="B401" s="82"/>
      <c r="C401" s="70"/>
      <c r="D401" s="70"/>
      <c r="E401" s="70"/>
      <c r="F401" s="70"/>
      <c r="G401" s="70"/>
      <c r="H401" s="85"/>
      <c r="I401" s="85"/>
      <c r="J401" s="131"/>
      <c r="K401" s="60"/>
      <c r="L401" s="49"/>
      <c r="P401" s="3"/>
      <c r="Q401" s="3"/>
      <c r="R401" s="3"/>
      <c r="S401" s="3"/>
      <c r="T401" s="3"/>
      <c r="U401" s="3"/>
      <c r="V401" s="3"/>
      <c r="W401" s="3"/>
      <c r="X401" s="3"/>
      <c r="Y401" s="4"/>
      <c r="Z401"/>
      <c r="AA401"/>
    </row>
    <row r="402" spans="1:27" s="37" customFormat="1" x14ac:dyDescent="0.15">
      <c r="A402" s="70"/>
      <c r="B402" s="82"/>
      <c r="C402" s="73"/>
      <c r="D402" s="73"/>
      <c r="E402" s="73"/>
      <c r="F402" s="73"/>
      <c r="G402" s="73"/>
      <c r="H402" s="85"/>
      <c r="I402" s="85"/>
      <c r="J402" s="131"/>
      <c r="K402" s="66"/>
      <c r="L402" s="49"/>
      <c r="P402" s="3"/>
      <c r="Q402" s="3"/>
      <c r="R402" s="3"/>
      <c r="S402" s="3"/>
      <c r="T402" s="3"/>
      <c r="U402" s="3"/>
      <c r="V402" s="3"/>
      <c r="W402" s="3"/>
      <c r="X402" s="3"/>
      <c r="Y402" s="4"/>
      <c r="Z402"/>
      <c r="AA402"/>
    </row>
    <row r="403" spans="1:27" s="37" customFormat="1" x14ac:dyDescent="0.15">
      <c r="A403" s="70"/>
      <c r="B403" s="93"/>
      <c r="C403" s="70"/>
      <c r="D403" s="70"/>
      <c r="E403" s="70"/>
      <c r="F403" s="70"/>
      <c r="G403" s="70"/>
      <c r="H403" s="85"/>
      <c r="I403" s="85"/>
      <c r="J403" s="131"/>
      <c r="K403" s="60"/>
      <c r="L403" s="49"/>
      <c r="N403" s="33"/>
      <c r="P403" s="3"/>
      <c r="Q403" s="3"/>
      <c r="R403" s="3"/>
      <c r="S403" s="3"/>
      <c r="T403" s="3"/>
      <c r="U403" s="3"/>
      <c r="V403" s="3"/>
      <c r="W403" s="3"/>
      <c r="X403" s="3"/>
      <c r="Y403" s="4"/>
      <c r="Z403"/>
      <c r="AA403"/>
    </row>
    <row r="404" spans="1:27" s="37" customFormat="1" x14ac:dyDescent="0.15">
      <c r="A404" s="70"/>
      <c r="B404" s="82"/>
      <c r="C404" s="70"/>
      <c r="D404" s="70"/>
      <c r="E404" s="70"/>
      <c r="F404" s="70"/>
      <c r="G404" s="70"/>
      <c r="H404" s="85"/>
      <c r="I404" s="85"/>
      <c r="J404" s="131"/>
      <c r="K404" s="60"/>
      <c r="L404" s="33"/>
      <c r="P404" s="3"/>
      <c r="Q404" s="3"/>
      <c r="R404" s="3"/>
      <c r="S404" s="3"/>
      <c r="T404" s="3"/>
      <c r="U404" s="3"/>
      <c r="V404" s="3"/>
      <c r="W404" s="3"/>
      <c r="X404" s="3"/>
      <c r="Y404" s="4"/>
      <c r="Z404"/>
      <c r="AA404"/>
    </row>
    <row r="405" spans="1:27" s="37" customFormat="1" x14ac:dyDescent="0.15">
      <c r="A405" s="70"/>
      <c r="B405" s="93"/>
      <c r="C405" s="70"/>
      <c r="D405" s="70"/>
      <c r="E405" s="70"/>
      <c r="F405" s="70"/>
      <c r="G405" s="70"/>
      <c r="H405" s="85"/>
      <c r="I405" s="85"/>
      <c r="J405" s="131"/>
      <c r="K405" s="60"/>
      <c r="L405" s="33"/>
      <c r="P405" s="3"/>
      <c r="Q405" s="3"/>
      <c r="R405" s="3"/>
      <c r="S405" s="3"/>
      <c r="T405" s="3"/>
      <c r="U405" s="3"/>
      <c r="V405" s="3"/>
      <c r="W405" s="3"/>
      <c r="X405" s="3"/>
      <c r="Y405" s="4"/>
      <c r="Z405"/>
      <c r="AA405"/>
    </row>
    <row r="406" spans="1:27" s="37" customFormat="1" x14ac:dyDescent="0.15">
      <c r="A406" s="70"/>
      <c r="B406" s="93"/>
      <c r="C406" s="70"/>
      <c r="D406" s="70"/>
      <c r="E406" s="70"/>
      <c r="F406" s="70"/>
      <c r="G406" s="70"/>
      <c r="H406" s="85"/>
      <c r="I406" s="85"/>
      <c r="J406" s="131"/>
      <c r="K406" s="60"/>
      <c r="L406" s="33"/>
      <c r="P406" s="3"/>
      <c r="Q406" s="3"/>
      <c r="R406" s="3"/>
      <c r="S406" s="3"/>
      <c r="T406" s="3"/>
      <c r="U406" s="3"/>
      <c r="V406" s="3"/>
      <c r="W406" s="3"/>
      <c r="X406" s="3"/>
      <c r="Y406" s="4"/>
      <c r="Z406"/>
      <c r="AA406"/>
    </row>
    <row r="407" spans="1:27" s="37" customFormat="1" x14ac:dyDescent="0.15">
      <c r="A407" s="70"/>
      <c r="B407" s="82"/>
      <c r="C407" s="70"/>
      <c r="D407" s="70"/>
      <c r="E407" s="70"/>
      <c r="F407" s="70"/>
      <c r="G407" s="70"/>
      <c r="H407" s="85"/>
      <c r="I407" s="85"/>
      <c r="J407" s="131"/>
      <c r="K407" s="60"/>
      <c r="L407" s="33"/>
      <c r="P407" s="3"/>
      <c r="Q407" s="3"/>
      <c r="R407" s="3"/>
      <c r="S407" s="3"/>
      <c r="T407" s="3"/>
      <c r="U407" s="3"/>
      <c r="V407" s="3"/>
      <c r="W407" s="3"/>
      <c r="X407" s="3"/>
      <c r="Y407" s="4"/>
      <c r="Z407"/>
      <c r="AA407"/>
    </row>
    <row r="408" spans="1:27" s="37" customFormat="1" x14ac:dyDescent="0.15">
      <c r="A408" s="70"/>
      <c r="B408" s="82"/>
      <c r="C408" s="70"/>
      <c r="D408" s="70"/>
      <c r="E408" s="70"/>
      <c r="F408" s="70"/>
      <c r="G408" s="70"/>
      <c r="H408" s="85"/>
      <c r="I408" s="85"/>
      <c r="J408" s="131"/>
      <c r="K408" s="60"/>
      <c r="L408" s="33"/>
      <c r="P408" s="3"/>
      <c r="Q408" s="3"/>
      <c r="R408" s="3"/>
      <c r="S408" s="3"/>
      <c r="T408" s="3"/>
      <c r="U408" s="3"/>
      <c r="V408" s="3"/>
      <c r="W408" s="3"/>
      <c r="X408" s="3"/>
      <c r="Y408" s="4"/>
      <c r="Z408"/>
      <c r="AA408"/>
    </row>
    <row r="409" spans="1:27" s="37" customFormat="1" x14ac:dyDescent="0.15">
      <c r="A409" s="70"/>
      <c r="B409" s="82"/>
      <c r="C409" s="70"/>
      <c r="D409" s="70"/>
      <c r="E409" s="70"/>
      <c r="F409" s="70"/>
      <c r="G409" s="70"/>
      <c r="H409" s="85"/>
      <c r="I409" s="85"/>
      <c r="J409" s="131"/>
      <c r="K409" s="60"/>
      <c r="L409" s="33"/>
      <c r="P409" s="3"/>
      <c r="Q409" s="3"/>
      <c r="R409" s="3"/>
      <c r="S409" s="3"/>
      <c r="T409" s="3"/>
      <c r="U409" s="3"/>
      <c r="V409" s="3"/>
      <c r="W409" s="3"/>
      <c r="X409" s="3"/>
      <c r="Y409" s="4"/>
      <c r="Z409"/>
      <c r="AA409"/>
    </row>
    <row r="410" spans="1:27" s="37" customFormat="1" ht="16" x14ac:dyDescent="0.2">
      <c r="A410" s="70"/>
      <c r="B410" s="96"/>
      <c r="C410" s="73"/>
      <c r="D410" s="73"/>
      <c r="E410" s="70"/>
      <c r="F410" s="73"/>
      <c r="G410" s="73"/>
      <c r="H410" s="85"/>
      <c r="I410" s="95"/>
      <c r="J410" s="131"/>
      <c r="K410" s="60"/>
      <c r="L410" s="47"/>
      <c r="P410" s="3"/>
      <c r="Q410" s="3"/>
      <c r="R410" s="3"/>
      <c r="S410" s="3"/>
      <c r="T410" s="3"/>
      <c r="U410" s="3"/>
      <c r="V410" s="3"/>
      <c r="W410" s="3"/>
      <c r="X410" s="3"/>
      <c r="Y410" s="4"/>
      <c r="Z410"/>
      <c r="AA410"/>
    </row>
    <row r="411" spans="1:27" s="37" customFormat="1" x14ac:dyDescent="0.15">
      <c r="A411" s="70"/>
      <c r="B411" s="82"/>
      <c r="C411" s="70"/>
      <c r="D411" s="70"/>
      <c r="E411" s="70"/>
      <c r="F411" s="70"/>
      <c r="G411" s="70"/>
      <c r="H411" s="85"/>
      <c r="I411" s="85"/>
      <c r="J411" s="131"/>
      <c r="K411" s="60"/>
      <c r="L411" s="33"/>
      <c r="P411" s="3"/>
      <c r="Q411" s="3"/>
      <c r="R411" s="3"/>
      <c r="S411" s="3"/>
      <c r="T411" s="3"/>
      <c r="U411" s="3"/>
      <c r="V411" s="3"/>
      <c r="W411" s="3"/>
      <c r="X411" s="3"/>
      <c r="Y411" s="4"/>
      <c r="Z411"/>
      <c r="AA411"/>
    </row>
    <row r="412" spans="1:27" s="37" customFormat="1" x14ac:dyDescent="0.15">
      <c r="A412" s="70"/>
      <c r="B412" s="93"/>
      <c r="C412" s="70"/>
      <c r="D412" s="70"/>
      <c r="E412" s="70"/>
      <c r="F412" s="70"/>
      <c r="G412" s="70"/>
      <c r="H412" s="85"/>
      <c r="I412" s="85"/>
      <c r="J412" s="131"/>
      <c r="K412" s="60"/>
      <c r="L412" s="33"/>
      <c r="P412" s="3"/>
      <c r="Q412" s="3"/>
      <c r="R412" s="3"/>
      <c r="S412" s="3"/>
      <c r="T412" s="3"/>
      <c r="U412" s="3"/>
      <c r="V412" s="3"/>
      <c r="W412" s="3"/>
      <c r="X412" s="3"/>
      <c r="Y412" s="4"/>
      <c r="Z412"/>
      <c r="AA412"/>
    </row>
    <row r="413" spans="1:27" s="37" customFormat="1" x14ac:dyDescent="0.15">
      <c r="A413" s="70"/>
      <c r="B413" s="96"/>
      <c r="C413" s="70"/>
      <c r="D413" s="70"/>
      <c r="E413" s="70"/>
      <c r="F413" s="70"/>
      <c r="G413" s="70"/>
      <c r="H413" s="85"/>
      <c r="I413" s="85"/>
      <c r="J413" s="134"/>
      <c r="K413" s="63"/>
      <c r="L413" s="33"/>
      <c r="P413" s="3"/>
      <c r="Q413" s="3"/>
      <c r="R413" s="3"/>
      <c r="S413" s="3"/>
      <c r="T413" s="3"/>
      <c r="U413" s="3"/>
      <c r="V413" s="3"/>
      <c r="W413" s="3"/>
      <c r="X413" s="3"/>
      <c r="Y413" s="4"/>
      <c r="Z413"/>
      <c r="AA413"/>
    </row>
    <row r="414" spans="1:27" s="37" customFormat="1" x14ac:dyDescent="0.15">
      <c r="A414" s="70"/>
      <c r="B414" s="82"/>
      <c r="C414" s="70"/>
      <c r="D414" s="70"/>
      <c r="E414" s="70"/>
      <c r="F414" s="70"/>
      <c r="G414" s="70"/>
      <c r="H414" s="85"/>
      <c r="I414" s="85"/>
      <c r="J414" s="131"/>
      <c r="K414" s="60"/>
      <c r="L414" s="33"/>
      <c r="P414" s="3"/>
      <c r="Q414" s="3"/>
      <c r="R414" s="3"/>
      <c r="S414" s="3"/>
      <c r="T414" s="3"/>
      <c r="U414" s="3"/>
      <c r="V414" s="3"/>
      <c r="W414" s="3"/>
      <c r="X414" s="3"/>
      <c r="Y414" s="4"/>
      <c r="Z414"/>
      <c r="AA414"/>
    </row>
    <row r="415" spans="1:27" s="37" customFormat="1" x14ac:dyDescent="0.15">
      <c r="A415" s="70"/>
      <c r="B415" s="82"/>
      <c r="C415" s="70"/>
      <c r="D415" s="70"/>
      <c r="E415" s="70"/>
      <c r="F415" s="70"/>
      <c r="G415" s="70"/>
      <c r="H415" s="85"/>
      <c r="I415" s="85"/>
      <c r="J415" s="131"/>
      <c r="K415" s="60"/>
      <c r="L415" s="49"/>
      <c r="P415" s="3"/>
      <c r="Q415" s="3"/>
      <c r="R415" s="3"/>
      <c r="S415" s="3"/>
      <c r="T415" s="3"/>
      <c r="U415" s="3"/>
      <c r="V415" s="3"/>
      <c r="W415" s="3"/>
      <c r="X415" s="3"/>
      <c r="Y415" s="4"/>
      <c r="Z415"/>
      <c r="AA415"/>
    </row>
    <row r="416" spans="1:27" s="37" customFormat="1" ht="16" x14ac:dyDescent="0.2">
      <c r="A416" s="70"/>
      <c r="B416" s="82"/>
      <c r="C416" s="70"/>
      <c r="D416" s="70"/>
      <c r="E416" s="70"/>
      <c r="F416" s="70"/>
      <c r="G416" s="70"/>
      <c r="H416" s="85"/>
      <c r="I416" s="85"/>
      <c r="J416" s="131"/>
      <c r="K416" s="60"/>
      <c r="L416" s="47"/>
      <c r="P416" s="3"/>
      <c r="Q416" s="3"/>
      <c r="R416" s="3"/>
      <c r="S416" s="3"/>
      <c r="T416" s="3"/>
      <c r="U416" s="3"/>
      <c r="V416" s="3"/>
      <c r="W416" s="3"/>
      <c r="X416" s="3"/>
      <c r="Y416" s="4"/>
      <c r="Z416"/>
      <c r="AA416"/>
    </row>
    <row r="417" spans="1:27" s="37" customFormat="1" x14ac:dyDescent="0.15">
      <c r="A417" s="166"/>
      <c r="B417" s="82"/>
      <c r="C417" s="70"/>
      <c r="D417" s="70"/>
      <c r="E417" s="70"/>
      <c r="F417" s="70"/>
      <c r="G417" s="70"/>
      <c r="H417" s="85"/>
      <c r="I417" s="85"/>
      <c r="J417" s="131"/>
      <c r="K417" s="60"/>
      <c r="L417" s="49"/>
      <c r="P417" s="3"/>
      <c r="Q417" s="3"/>
      <c r="R417" s="3"/>
      <c r="S417" s="3"/>
      <c r="T417" s="3"/>
      <c r="U417" s="3"/>
      <c r="V417" s="3"/>
      <c r="W417" s="3"/>
      <c r="X417" s="3"/>
      <c r="Y417" s="4"/>
      <c r="Z417"/>
      <c r="AA417"/>
    </row>
    <row r="418" spans="1:27" s="37" customFormat="1" x14ac:dyDescent="0.15">
      <c r="A418" s="70"/>
      <c r="B418" s="82"/>
      <c r="C418" s="70"/>
      <c r="D418" s="70"/>
      <c r="E418" s="73"/>
      <c r="F418" s="70"/>
      <c r="G418" s="70"/>
      <c r="H418" s="85"/>
      <c r="I418" s="85"/>
      <c r="J418" s="131"/>
      <c r="K418" s="60"/>
      <c r="L418" s="49"/>
      <c r="P418" s="3"/>
      <c r="Q418" s="3"/>
      <c r="R418" s="3"/>
      <c r="S418" s="3"/>
      <c r="T418" s="3"/>
      <c r="U418" s="3"/>
      <c r="V418" s="3"/>
      <c r="W418" s="3"/>
      <c r="X418" s="3"/>
      <c r="Y418" s="4"/>
      <c r="Z418"/>
      <c r="AA418"/>
    </row>
    <row r="419" spans="1:27" s="37" customFormat="1" ht="16" x14ac:dyDescent="0.2">
      <c r="A419" s="70"/>
      <c r="B419" s="82"/>
      <c r="C419" s="70"/>
      <c r="D419" s="70"/>
      <c r="E419" s="70"/>
      <c r="F419" s="70"/>
      <c r="G419" s="70"/>
      <c r="H419" s="85"/>
      <c r="I419" s="85"/>
      <c r="J419" s="131"/>
      <c r="K419" s="60"/>
      <c r="L419" s="33"/>
      <c r="M419" s="48"/>
      <c r="P419" s="3"/>
      <c r="Q419" s="3"/>
      <c r="R419" s="3"/>
      <c r="S419" s="3"/>
      <c r="T419" s="3"/>
      <c r="U419" s="3"/>
      <c r="V419" s="3"/>
      <c r="W419" s="3"/>
      <c r="X419" s="3"/>
      <c r="Y419" s="4"/>
      <c r="Z419"/>
      <c r="AA419"/>
    </row>
    <row r="420" spans="1:27" s="37" customFormat="1" x14ac:dyDescent="0.15">
      <c r="A420" s="70"/>
      <c r="B420" s="82"/>
      <c r="C420" s="70"/>
      <c r="D420" s="70"/>
      <c r="E420" s="70"/>
      <c r="F420" s="70"/>
      <c r="G420" s="70"/>
      <c r="H420" s="85"/>
      <c r="I420" s="85"/>
      <c r="J420" s="131"/>
      <c r="K420" s="60"/>
      <c r="L420" s="49"/>
      <c r="P420" s="3"/>
      <c r="Q420" s="3"/>
      <c r="R420" s="3"/>
      <c r="S420" s="3"/>
      <c r="T420" s="3"/>
      <c r="U420" s="3"/>
      <c r="V420" s="3"/>
      <c r="W420" s="3"/>
      <c r="X420" s="3"/>
      <c r="Y420" s="4"/>
      <c r="Z420"/>
      <c r="AA420"/>
    </row>
    <row r="421" spans="1:27" s="37" customFormat="1" x14ac:dyDescent="0.15">
      <c r="A421" s="70"/>
      <c r="B421" s="82"/>
      <c r="C421" s="70"/>
      <c r="D421" s="70"/>
      <c r="E421" s="70"/>
      <c r="F421" s="70"/>
      <c r="G421" s="70"/>
      <c r="H421" s="85"/>
      <c r="I421" s="85"/>
      <c r="J421" s="131"/>
      <c r="K421" s="60"/>
      <c r="L421" s="33"/>
      <c r="P421" s="3"/>
      <c r="Q421" s="3"/>
      <c r="R421" s="3"/>
      <c r="S421" s="3"/>
      <c r="T421" s="3"/>
      <c r="U421" s="3"/>
      <c r="V421" s="3"/>
      <c r="W421" s="3"/>
      <c r="X421" s="3"/>
      <c r="Y421" s="4"/>
      <c r="Z421"/>
      <c r="AA421"/>
    </row>
    <row r="422" spans="1:27" s="37" customFormat="1" x14ac:dyDescent="0.15">
      <c r="A422" s="70"/>
      <c r="B422" s="82"/>
      <c r="C422" s="70"/>
      <c r="D422" s="70"/>
      <c r="E422" s="70"/>
      <c r="F422" s="70"/>
      <c r="G422" s="70"/>
      <c r="H422" s="85"/>
      <c r="I422" s="85"/>
      <c r="J422" s="131"/>
      <c r="K422" s="60"/>
      <c r="L422" s="49"/>
      <c r="P422" s="3"/>
      <c r="Q422" s="3"/>
      <c r="R422" s="3"/>
      <c r="S422" s="3"/>
      <c r="T422" s="3"/>
      <c r="U422" s="3"/>
      <c r="V422" s="3"/>
      <c r="W422" s="3"/>
      <c r="X422" s="3"/>
      <c r="Y422" s="4"/>
      <c r="Z422"/>
      <c r="AA422"/>
    </row>
    <row r="423" spans="1:27" s="37" customFormat="1" x14ac:dyDescent="0.15">
      <c r="A423" s="70"/>
      <c r="B423" s="82"/>
      <c r="C423" s="70"/>
      <c r="D423" s="70"/>
      <c r="E423" s="70"/>
      <c r="F423" s="70"/>
      <c r="G423" s="70"/>
      <c r="H423" s="85"/>
      <c r="I423" s="85"/>
      <c r="J423" s="131"/>
      <c r="K423" s="60"/>
      <c r="L423" s="49"/>
      <c r="P423" s="3"/>
      <c r="Q423" s="3"/>
      <c r="R423" s="3"/>
      <c r="S423" s="3"/>
      <c r="T423" s="3"/>
      <c r="U423" s="3"/>
      <c r="V423" s="3"/>
      <c r="W423" s="3"/>
      <c r="X423" s="3"/>
      <c r="Y423" s="4"/>
      <c r="Z423"/>
      <c r="AA423"/>
    </row>
    <row r="424" spans="1:27" s="37" customFormat="1" ht="16" x14ac:dyDescent="0.2">
      <c r="A424" s="70"/>
      <c r="B424" s="82"/>
      <c r="C424" s="70"/>
      <c r="D424" s="70"/>
      <c r="E424" s="70"/>
      <c r="F424" s="70"/>
      <c r="G424" s="70"/>
      <c r="H424" s="85"/>
      <c r="I424" s="85"/>
      <c r="J424" s="131"/>
      <c r="K424" s="60"/>
      <c r="L424" s="47"/>
      <c r="P424" s="3"/>
      <c r="Q424" s="3"/>
      <c r="R424" s="3"/>
      <c r="S424" s="3"/>
      <c r="T424" s="3"/>
      <c r="U424" s="3"/>
      <c r="V424" s="3"/>
      <c r="W424" s="3"/>
      <c r="X424" s="3"/>
      <c r="Y424" s="4"/>
      <c r="Z424"/>
      <c r="AA424"/>
    </row>
    <row r="425" spans="1:27" s="37" customFormat="1" x14ac:dyDescent="0.15">
      <c r="A425" s="70"/>
      <c r="B425" s="82"/>
      <c r="C425" s="70"/>
      <c r="D425" s="70"/>
      <c r="E425" s="70"/>
      <c r="F425" s="70"/>
      <c r="G425" s="70"/>
      <c r="H425" s="85"/>
      <c r="I425" s="85"/>
      <c r="J425" s="131"/>
      <c r="K425" s="60"/>
      <c r="L425" s="49"/>
      <c r="P425" s="3"/>
      <c r="Q425" s="3"/>
      <c r="R425" s="3"/>
      <c r="S425" s="3"/>
      <c r="T425" s="3"/>
      <c r="U425" s="3"/>
      <c r="V425" s="3"/>
      <c r="W425" s="3"/>
      <c r="X425" s="3"/>
      <c r="Y425" s="4"/>
      <c r="Z425"/>
      <c r="AA425"/>
    </row>
    <row r="426" spans="1:27" s="37" customFormat="1" ht="16" x14ac:dyDescent="0.2">
      <c r="A426" s="70"/>
      <c r="B426" s="93"/>
      <c r="C426" s="70"/>
      <c r="D426" s="70"/>
      <c r="E426" s="70"/>
      <c r="F426" s="70"/>
      <c r="G426" s="70"/>
      <c r="H426" s="85"/>
      <c r="I426" s="85"/>
      <c r="J426" s="131"/>
      <c r="K426" s="60"/>
      <c r="L426" s="47"/>
      <c r="M426" s="48"/>
      <c r="P426" s="3"/>
      <c r="Q426" s="3"/>
      <c r="R426" s="3"/>
      <c r="S426" s="3"/>
      <c r="T426" s="3"/>
      <c r="U426" s="3"/>
      <c r="V426" s="3"/>
      <c r="W426" s="3"/>
      <c r="X426" s="3"/>
      <c r="Y426" s="4"/>
      <c r="Z426"/>
      <c r="AA426"/>
    </row>
    <row r="427" spans="1:27" s="37" customFormat="1" x14ac:dyDescent="0.15">
      <c r="A427" s="70"/>
      <c r="B427" s="82"/>
      <c r="C427" s="70"/>
      <c r="D427" s="70"/>
      <c r="E427" s="70"/>
      <c r="F427" s="70"/>
      <c r="G427" s="70"/>
      <c r="H427" s="85"/>
      <c r="I427" s="85"/>
      <c r="J427" s="131"/>
      <c r="K427" s="60"/>
      <c r="L427" s="49"/>
      <c r="P427" s="3"/>
      <c r="Q427" s="3"/>
      <c r="R427" s="3"/>
      <c r="S427" s="3"/>
      <c r="T427" s="3"/>
      <c r="U427" s="3"/>
      <c r="V427" s="3"/>
      <c r="W427" s="3"/>
      <c r="X427" s="3"/>
      <c r="Y427" s="4"/>
      <c r="Z427"/>
      <c r="AA427"/>
    </row>
    <row r="428" spans="1:27" s="37" customFormat="1" x14ac:dyDescent="0.15">
      <c r="A428" s="70"/>
      <c r="B428" s="82"/>
      <c r="C428" s="70"/>
      <c r="D428" s="70"/>
      <c r="E428" s="70"/>
      <c r="F428" s="70"/>
      <c r="G428" s="70"/>
      <c r="H428" s="85"/>
      <c r="I428" s="85"/>
      <c r="J428" s="131"/>
      <c r="K428" s="60"/>
      <c r="L428" s="33"/>
      <c r="P428" s="3"/>
      <c r="Q428" s="3"/>
      <c r="R428" s="3"/>
      <c r="S428" s="3"/>
      <c r="T428" s="3"/>
      <c r="U428" s="3"/>
      <c r="V428" s="3"/>
      <c r="W428" s="3"/>
      <c r="X428" s="3"/>
      <c r="Y428" s="4"/>
      <c r="Z428"/>
      <c r="AA428"/>
    </row>
    <row r="429" spans="1:27" s="37" customFormat="1" ht="16" x14ac:dyDescent="0.2">
      <c r="A429" s="70"/>
      <c r="B429" s="93"/>
      <c r="C429" s="70"/>
      <c r="D429" s="70"/>
      <c r="E429" s="70"/>
      <c r="F429" s="70"/>
      <c r="G429" s="70"/>
      <c r="H429" s="85"/>
      <c r="I429" s="85"/>
      <c r="J429" s="131"/>
      <c r="K429" s="60"/>
      <c r="L429" s="47"/>
      <c r="M429" s="48"/>
      <c r="P429" s="3"/>
      <c r="Q429" s="3"/>
      <c r="R429" s="3"/>
      <c r="S429" s="3"/>
      <c r="T429" s="3"/>
      <c r="U429" s="3"/>
      <c r="V429" s="3"/>
      <c r="W429" s="3"/>
      <c r="X429" s="3"/>
      <c r="Y429" s="4"/>
      <c r="Z429"/>
      <c r="AA429"/>
    </row>
    <row r="430" spans="1:27" s="37" customFormat="1" x14ac:dyDescent="0.15">
      <c r="A430" s="70"/>
      <c r="B430" s="82"/>
      <c r="C430" s="70"/>
      <c r="D430" s="70"/>
      <c r="E430" s="70"/>
      <c r="F430" s="70"/>
      <c r="G430" s="70"/>
      <c r="H430" s="85"/>
      <c r="I430" s="85"/>
      <c r="J430" s="131"/>
      <c r="K430" s="60"/>
      <c r="L430" s="33"/>
      <c r="P430" s="3"/>
      <c r="Q430" s="3"/>
      <c r="R430" s="3"/>
      <c r="S430" s="3"/>
      <c r="T430" s="3"/>
      <c r="U430" s="3"/>
      <c r="V430" s="3"/>
      <c r="W430" s="3"/>
      <c r="X430" s="3"/>
      <c r="Y430" s="4"/>
      <c r="Z430"/>
      <c r="AA430"/>
    </row>
    <row r="431" spans="1:27" x14ac:dyDescent="0.15">
      <c r="A431" s="70"/>
      <c r="B431" s="93"/>
      <c r="C431" s="70"/>
      <c r="D431" s="70"/>
      <c r="E431" s="70"/>
      <c r="F431" s="70"/>
      <c r="G431" s="70"/>
      <c r="H431" s="85"/>
      <c r="I431" s="85"/>
      <c r="J431" s="131"/>
      <c r="K431" s="60"/>
      <c r="L431" s="33"/>
    </row>
    <row r="432" spans="1:27" x14ac:dyDescent="0.15">
      <c r="A432" s="70"/>
      <c r="B432" s="82"/>
      <c r="C432" s="70"/>
      <c r="D432" s="70"/>
      <c r="E432" s="70"/>
      <c r="F432" s="70"/>
      <c r="G432" s="70"/>
      <c r="H432" s="85"/>
      <c r="I432" s="85"/>
      <c r="J432" s="131"/>
      <c r="K432" s="60"/>
      <c r="L432" s="33"/>
    </row>
    <row r="433" spans="1:27" ht="16" x14ac:dyDescent="0.2">
      <c r="A433" s="70"/>
      <c r="B433" s="82"/>
      <c r="C433" s="70"/>
      <c r="D433" s="70"/>
      <c r="E433" s="70"/>
      <c r="F433" s="70"/>
      <c r="G433" s="70"/>
      <c r="H433" s="85"/>
      <c r="I433" s="85"/>
      <c r="J433" s="131"/>
      <c r="K433" s="60"/>
      <c r="L433" s="47"/>
    </row>
    <row r="434" spans="1:27" x14ac:dyDescent="0.15">
      <c r="A434" s="70"/>
      <c r="B434" s="82"/>
      <c r="C434" s="70"/>
      <c r="D434" s="70"/>
      <c r="E434" s="70"/>
      <c r="F434" s="70"/>
      <c r="G434" s="70"/>
      <c r="H434" s="85"/>
      <c r="I434" s="85"/>
      <c r="J434" s="131"/>
      <c r="K434" s="60"/>
      <c r="O434" s="35"/>
    </row>
    <row r="435" spans="1:27" x14ac:dyDescent="0.15">
      <c r="A435" s="70"/>
      <c r="B435" s="82"/>
      <c r="C435" s="70"/>
      <c r="D435" s="70"/>
      <c r="E435" s="70"/>
      <c r="F435" s="70"/>
      <c r="G435" s="70"/>
      <c r="H435" s="85"/>
      <c r="I435" s="85"/>
      <c r="J435" s="131"/>
      <c r="K435" s="60"/>
      <c r="N435" s="33"/>
    </row>
    <row r="436" spans="1:27" x14ac:dyDescent="0.15">
      <c r="A436" s="70"/>
      <c r="B436" s="82"/>
      <c r="C436" s="70"/>
      <c r="D436" s="70"/>
      <c r="E436" s="70"/>
      <c r="F436" s="70"/>
      <c r="G436" s="70"/>
      <c r="H436" s="85"/>
      <c r="I436" s="85"/>
      <c r="J436" s="131"/>
      <c r="K436" s="60"/>
      <c r="L436" s="32"/>
    </row>
    <row r="437" spans="1:27" x14ac:dyDescent="0.15">
      <c r="A437" s="70"/>
      <c r="B437" s="82"/>
      <c r="C437" s="70"/>
      <c r="D437" s="70"/>
      <c r="E437" s="70"/>
      <c r="F437" s="70"/>
      <c r="G437" s="70"/>
      <c r="H437" s="85"/>
      <c r="I437" s="85"/>
      <c r="J437" s="131"/>
      <c r="K437" s="60"/>
      <c r="L437" s="33"/>
    </row>
    <row r="438" spans="1:27" ht="16" x14ac:dyDescent="0.2">
      <c r="A438" s="70"/>
      <c r="B438" s="82"/>
      <c r="C438" s="70"/>
      <c r="D438" s="70"/>
      <c r="E438" s="70"/>
      <c r="F438" s="70"/>
      <c r="G438" s="70"/>
      <c r="H438" s="85"/>
      <c r="I438" s="85"/>
      <c r="J438" s="131"/>
      <c r="K438" s="60"/>
      <c r="L438" s="33"/>
      <c r="M438" s="48"/>
      <c r="R438"/>
      <c r="S438"/>
      <c r="T438"/>
      <c r="U438"/>
      <c r="V438"/>
      <c r="W438"/>
      <c r="X438"/>
      <c r="Y438"/>
    </row>
    <row r="439" spans="1:27" x14ac:dyDescent="0.15">
      <c r="A439" s="70"/>
      <c r="B439" s="82"/>
      <c r="C439" s="70"/>
      <c r="D439" s="70"/>
      <c r="E439" s="70"/>
      <c r="F439" s="70"/>
      <c r="G439" s="70"/>
      <c r="H439" s="85"/>
      <c r="I439" s="85"/>
      <c r="J439" s="131"/>
      <c r="K439" s="60"/>
      <c r="L439" s="33"/>
    </row>
    <row r="440" spans="1:27" ht="16" x14ac:dyDescent="0.2">
      <c r="A440" s="70"/>
      <c r="B440" s="82"/>
      <c r="C440" s="70"/>
      <c r="D440" s="70"/>
      <c r="E440" s="70"/>
      <c r="F440" s="70"/>
      <c r="G440" s="70"/>
      <c r="H440" s="85"/>
      <c r="I440" s="85"/>
      <c r="J440" s="131"/>
      <c r="K440" s="60"/>
      <c r="M440" s="48"/>
    </row>
    <row r="441" spans="1:27" x14ac:dyDescent="0.15">
      <c r="A441" s="70"/>
      <c r="B441" s="82"/>
      <c r="C441" s="70"/>
      <c r="D441" s="70"/>
      <c r="E441" s="70"/>
      <c r="F441" s="70"/>
      <c r="G441" s="70"/>
      <c r="H441" s="85"/>
      <c r="I441" s="85"/>
      <c r="J441" s="131"/>
      <c r="K441" s="60"/>
    </row>
    <row r="442" spans="1:27" x14ac:dyDescent="0.15">
      <c r="A442" s="70"/>
      <c r="B442" s="82"/>
      <c r="C442" s="70"/>
      <c r="D442" s="70"/>
      <c r="E442" s="70"/>
      <c r="F442" s="70"/>
      <c r="G442" s="70"/>
      <c r="H442" s="85"/>
      <c r="I442" s="85"/>
      <c r="J442" s="131"/>
      <c r="K442" s="60"/>
    </row>
    <row r="443" spans="1:27" x14ac:dyDescent="0.15">
      <c r="A443" s="70"/>
      <c r="B443" s="93"/>
      <c r="C443" s="70"/>
      <c r="D443" s="70"/>
      <c r="E443" s="70"/>
      <c r="F443" s="70"/>
      <c r="G443" s="70"/>
      <c r="H443" s="85"/>
      <c r="I443" s="85"/>
      <c r="J443" s="131"/>
      <c r="K443" s="60"/>
      <c r="L443" s="33"/>
    </row>
    <row r="444" spans="1:27" x14ac:dyDescent="0.15">
      <c r="A444" s="70"/>
      <c r="B444" s="82"/>
      <c r="C444" s="70"/>
      <c r="D444" s="70"/>
      <c r="E444" s="70"/>
      <c r="F444" s="70"/>
      <c r="G444" s="70"/>
      <c r="H444" s="85"/>
      <c r="I444" s="85"/>
      <c r="J444" s="131"/>
      <c r="K444" s="60"/>
    </row>
    <row r="445" spans="1:27" x14ac:dyDescent="0.15">
      <c r="A445" s="70"/>
      <c r="B445" s="82"/>
      <c r="C445" s="70"/>
      <c r="D445" s="70"/>
      <c r="E445" s="70"/>
      <c r="F445" s="70"/>
      <c r="G445" s="70"/>
      <c r="H445" s="85"/>
      <c r="I445" s="85"/>
      <c r="J445" s="131"/>
      <c r="K445" s="60"/>
    </row>
    <row r="446" spans="1:27" x14ac:dyDescent="0.15">
      <c r="A446" s="70"/>
      <c r="B446" s="82"/>
      <c r="C446" s="70"/>
      <c r="D446" s="70"/>
      <c r="E446" s="70"/>
      <c r="F446" s="70"/>
      <c r="G446" s="70"/>
      <c r="H446" s="85"/>
      <c r="I446" s="85"/>
      <c r="J446" s="131"/>
      <c r="K446" s="60"/>
      <c r="L446" s="33"/>
    </row>
    <row r="447" spans="1:27" s="37" customFormat="1" x14ac:dyDescent="0.15">
      <c r="A447" s="166"/>
      <c r="B447" s="82"/>
      <c r="C447" s="70"/>
      <c r="D447" s="70"/>
      <c r="E447" s="70"/>
      <c r="F447" s="70"/>
      <c r="G447" s="70"/>
      <c r="H447" s="85"/>
      <c r="I447" s="85"/>
      <c r="J447" s="131"/>
      <c r="K447" s="60"/>
      <c r="L447" s="33"/>
      <c r="P447" s="3"/>
      <c r="Q447" s="3"/>
      <c r="R447" s="3"/>
      <c r="S447" s="3"/>
      <c r="T447" s="3"/>
      <c r="U447" s="3"/>
      <c r="V447" s="3"/>
      <c r="W447" s="3"/>
      <c r="X447" s="3"/>
      <c r="Y447" s="4"/>
      <c r="Z447"/>
      <c r="AA447"/>
    </row>
    <row r="448" spans="1:27" s="37" customFormat="1" x14ac:dyDescent="0.15">
      <c r="A448" s="70"/>
      <c r="B448" s="82"/>
      <c r="C448" s="70"/>
      <c r="D448" s="70"/>
      <c r="E448" s="70"/>
      <c r="F448" s="70"/>
      <c r="G448" s="70"/>
      <c r="H448" s="85"/>
      <c r="I448" s="85"/>
      <c r="J448" s="131"/>
      <c r="K448" s="60"/>
      <c r="L448" s="49"/>
      <c r="P448" s="3"/>
      <c r="Q448" s="3"/>
      <c r="R448" s="3"/>
      <c r="S448" s="3"/>
      <c r="T448" s="3"/>
      <c r="U448" s="3"/>
      <c r="V448" s="3"/>
      <c r="W448" s="3"/>
      <c r="X448" s="3"/>
      <c r="Y448" s="4"/>
      <c r="Z448"/>
      <c r="AA448"/>
    </row>
    <row r="449" spans="1:27" s="37" customFormat="1" x14ac:dyDescent="0.15">
      <c r="A449" s="70"/>
      <c r="B449" s="82"/>
      <c r="C449" s="70"/>
      <c r="D449" s="70"/>
      <c r="E449" s="70"/>
      <c r="F449" s="70"/>
      <c r="G449" s="70"/>
      <c r="H449" s="85"/>
      <c r="I449" s="85"/>
      <c r="J449" s="131"/>
      <c r="K449" s="60"/>
      <c r="L449" s="49"/>
      <c r="P449" s="3"/>
      <c r="Q449" s="3"/>
      <c r="R449" s="3"/>
      <c r="S449" s="3"/>
      <c r="T449" s="3"/>
      <c r="U449" s="3"/>
      <c r="V449" s="3"/>
      <c r="W449" s="3"/>
      <c r="X449" s="3"/>
      <c r="Y449" s="4"/>
      <c r="Z449"/>
      <c r="AA449"/>
    </row>
    <row r="450" spans="1:27" s="37" customFormat="1" x14ac:dyDescent="0.15">
      <c r="A450" s="70"/>
      <c r="B450" s="82"/>
      <c r="C450" s="70"/>
      <c r="D450" s="70"/>
      <c r="E450" s="70"/>
      <c r="F450" s="70"/>
      <c r="G450" s="70"/>
      <c r="H450" s="85"/>
      <c r="I450" s="85"/>
      <c r="J450" s="131"/>
      <c r="K450" s="60"/>
      <c r="L450" s="33"/>
      <c r="P450" s="3"/>
      <c r="Q450" s="3"/>
      <c r="R450" s="3"/>
      <c r="S450" s="3"/>
      <c r="T450" s="3"/>
      <c r="U450" s="3"/>
      <c r="V450" s="3"/>
      <c r="W450" s="3"/>
      <c r="X450" s="3"/>
      <c r="Y450" s="4"/>
      <c r="Z450"/>
      <c r="AA450"/>
    </row>
    <row r="451" spans="1:27" s="37" customFormat="1" x14ac:dyDescent="0.15">
      <c r="A451" s="70"/>
      <c r="B451" s="82"/>
      <c r="C451" s="70"/>
      <c r="D451" s="70"/>
      <c r="E451" s="70"/>
      <c r="F451" s="70"/>
      <c r="G451" s="70"/>
      <c r="H451" s="85"/>
      <c r="I451" s="85"/>
      <c r="J451" s="131"/>
      <c r="K451" s="60"/>
      <c r="L451" s="49"/>
      <c r="P451" s="3"/>
      <c r="Q451" s="3"/>
      <c r="R451" s="3"/>
      <c r="S451" s="3"/>
      <c r="T451" s="3"/>
      <c r="U451" s="3"/>
      <c r="V451" s="3"/>
      <c r="W451" s="3"/>
      <c r="X451" s="3"/>
      <c r="Y451" s="4"/>
      <c r="Z451"/>
      <c r="AA451"/>
    </row>
    <row r="452" spans="1:27" s="37" customFormat="1" x14ac:dyDescent="0.15">
      <c r="A452" s="70"/>
      <c r="B452" s="82"/>
      <c r="C452" s="70"/>
      <c r="D452" s="70"/>
      <c r="E452" s="70"/>
      <c r="F452" s="70"/>
      <c r="G452" s="70"/>
      <c r="H452" s="85"/>
      <c r="I452" s="85"/>
      <c r="J452" s="131"/>
      <c r="K452" s="60"/>
      <c r="L452" s="33"/>
      <c r="P452" s="3"/>
      <c r="Q452" s="3"/>
      <c r="R452" s="3"/>
      <c r="S452" s="3"/>
      <c r="T452" s="3"/>
      <c r="U452" s="3"/>
      <c r="V452" s="3"/>
      <c r="W452" s="3"/>
      <c r="X452" s="3"/>
      <c r="Y452" s="4"/>
      <c r="Z452"/>
      <c r="AA452"/>
    </row>
    <row r="453" spans="1:27" s="37" customFormat="1" ht="16" x14ac:dyDescent="0.2">
      <c r="A453" s="73"/>
      <c r="B453" s="82"/>
      <c r="C453" s="70"/>
      <c r="D453" s="70"/>
      <c r="E453" s="70"/>
      <c r="F453" s="70"/>
      <c r="G453" s="70"/>
      <c r="H453" s="85"/>
      <c r="I453" s="85"/>
      <c r="J453" s="131"/>
      <c r="K453" s="60"/>
      <c r="L453" s="47"/>
      <c r="P453" s="3"/>
      <c r="Q453" s="3"/>
      <c r="R453" s="3"/>
      <c r="S453" s="3"/>
      <c r="T453" s="3"/>
      <c r="U453" s="3"/>
      <c r="V453" s="3"/>
      <c r="W453" s="3"/>
      <c r="X453" s="3"/>
      <c r="Y453" s="4"/>
      <c r="Z453"/>
      <c r="AA453"/>
    </row>
    <row r="454" spans="1:27" s="37" customFormat="1" x14ac:dyDescent="0.15">
      <c r="A454" s="70"/>
      <c r="B454" s="82"/>
      <c r="C454" s="70"/>
      <c r="D454" s="70"/>
      <c r="E454" s="70"/>
      <c r="F454" s="70"/>
      <c r="G454" s="70"/>
      <c r="H454" s="85"/>
      <c r="I454" s="85"/>
      <c r="J454" s="131"/>
      <c r="K454" s="60"/>
      <c r="L454" s="33"/>
      <c r="P454" s="3"/>
      <c r="Q454" s="3"/>
      <c r="R454" s="3"/>
      <c r="S454" s="3"/>
      <c r="T454" s="3"/>
      <c r="U454" s="3"/>
      <c r="V454" s="3"/>
      <c r="W454" s="3"/>
      <c r="X454" s="3"/>
      <c r="Y454" s="4"/>
      <c r="Z454"/>
      <c r="AA454"/>
    </row>
    <row r="455" spans="1:27" s="37" customFormat="1" x14ac:dyDescent="0.15">
      <c r="A455" s="70"/>
      <c r="B455" s="82"/>
      <c r="C455" s="70"/>
      <c r="D455" s="70"/>
      <c r="E455" s="70"/>
      <c r="F455" s="70"/>
      <c r="G455" s="70"/>
      <c r="H455" s="85"/>
      <c r="I455" s="85"/>
      <c r="J455" s="131"/>
      <c r="K455" s="60"/>
      <c r="L455" s="49"/>
      <c r="P455" s="3"/>
      <c r="Q455" s="3"/>
      <c r="R455" s="3"/>
      <c r="S455" s="3"/>
      <c r="T455" s="3"/>
      <c r="U455" s="3"/>
      <c r="V455" s="3"/>
      <c r="W455" s="3"/>
      <c r="X455" s="3"/>
      <c r="Y455" s="4"/>
      <c r="Z455"/>
      <c r="AA455"/>
    </row>
    <row r="456" spans="1:27" s="37" customFormat="1" x14ac:dyDescent="0.15">
      <c r="A456" s="70"/>
      <c r="B456" s="82"/>
      <c r="C456" s="70"/>
      <c r="D456" s="70"/>
      <c r="E456" s="70"/>
      <c r="F456" s="70"/>
      <c r="G456" s="70"/>
      <c r="H456" s="85"/>
      <c r="I456" s="85"/>
      <c r="J456" s="131"/>
      <c r="K456" s="60"/>
      <c r="L456" s="33"/>
      <c r="P456" s="3"/>
      <c r="Q456" s="3"/>
      <c r="R456" s="3"/>
      <c r="S456" s="3"/>
      <c r="T456" s="3"/>
      <c r="U456" s="3"/>
      <c r="V456" s="3"/>
      <c r="W456" s="3"/>
      <c r="X456" s="3"/>
      <c r="Y456" s="4"/>
      <c r="Z456"/>
      <c r="AA456"/>
    </row>
    <row r="457" spans="1:27" s="37" customFormat="1" ht="16" x14ac:dyDescent="0.2">
      <c r="A457" s="70"/>
      <c r="B457" s="82"/>
      <c r="C457" s="70"/>
      <c r="D457" s="70"/>
      <c r="E457" s="70"/>
      <c r="F457" s="70"/>
      <c r="G457" s="70"/>
      <c r="H457" s="85"/>
      <c r="I457" s="85"/>
      <c r="J457" s="131"/>
      <c r="K457" s="60"/>
      <c r="L457" s="47"/>
      <c r="P457" s="3"/>
      <c r="Q457" s="3"/>
      <c r="R457" s="3"/>
      <c r="S457" s="3"/>
      <c r="T457" s="3"/>
      <c r="U457" s="3"/>
      <c r="V457" s="3"/>
      <c r="W457" s="3"/>
      <c r="X457" s="3"/>
      <c r="Y457" s="4"/>
      <c r="Z457"/>
      <c r="AA457"/>
    </row>
    <row r="458" spans="1:27" s="37" customFormat="1" x14ac:dyDescent="0.15">
      <c r="A458" s="70"/>
      <c r="B458" s="82"/>
      <c r="C458" s="70"/>
      <c r="D458" s="70"/>
      <c r="E458" s="70"/>
      <c r="F458" s="70"/>
      <c r="G458" s="70"/>
      <c r="H458" s="85"/>
      <c r="I458" s="85"/>
      <c r="J458" s="131"/>
      <c r="K458" s="60"/>
      <c r="L458" s="49"/>
      <c r="P458" s="3"/>
      <c r="Q458" s="3"/>
      <c r="R458" s="3"/>
      <c r="S458" s="3"/>
      <c r="T458" s="3"/>
      <c r="U458" s="3"/>
      <c r="V458" s="3"/>
      <c r="W458" s="3"/>
      <c r="X458" s="3"/>
      <c r="Y458" s="4"/>
      <c r="Z458"/>
      <c r="AA458"/>
    </row>
    <row r="459" spans="1:27" s="37" customFormat="1" x14ac:dyDescent="0.15">
      <c r="A459" s="70"/>
      <c r="B459" s="82"/>
      <c r="C459" s="70"/>
      <c r="D459" s="70"/>
      <c r="E459" s="70"/>
      <c r="F459" s="70"/>
      <c r="G459" s="70"/>
      <c r="H459" s="85"/>
      <c r="I459" s="85"/>
      <c r="J459" s="131"/>
      <c r="K459" s="60"/>
      <c r="L459" s="33"/>
      <c r="P459" s="3"/>
      <c r="Q459" s="3"/>
      <c r="R459" s="3"/>
      <c r="S459" s="3"/>
      <c r="T459" s="3"/>
      <c r="U459" s="3"/>
      <c r="V459" s="3"/>
      <c r="W459" s="3"/>
      <c r="X459" s="3"/>
      <c r="Y459" s="4"/>
      <c r="Z459"/>
      <c r="AA459"/>
    </row>
    <row r="460" spans="1:27" s="37" customFormat="1" x14ac:dyDescent="0.15">
      <c r="A460" s="70"/>
      <c r="B460" s="82"/>
      <c r="C460" s="73"/>
      <c r="D460" s="73"/>
      <c r="E460" s="70"/>
      <c r="F460" s="73"/>
      <c r="G460" s="73"/>
      <c r="H460" s="85"/>
      <c r="I460" s="95"/>
      <c r="J460" s="131"/>
      <c r="K460" s="60"/>
      <c r="L460" s="33"/>
      <c r="P460" s="3"/>
      <c r="Q460" s="3"/>
      <c r="R460" s="3"/>
      <c r="S460" s="3"/>
      <c r="T460" s="3"/>
      <c r="U460" s="3"/>
      <c r="V460" s="3"/>
      <c r="W460" s="3"/>
      <c r="X460" s="3"/>
      <c r="Y460" s="4"/>
      <c r="Z460"/>
      <c r="AA460"/>
    </row>
    <row r="461" spans="1:27" s="37" customFormat="1" ht="16" x14ac:dyDescent="0.2">
      <c r="A461" s="70"/>
      <c r="B461" s="82"/>
      <c r="C461" s="70"/>
      <c r="D461" s="70"/>
      <c r="E461" s="73"/>
      <c r="F461" s="70"/>
      <c r="G461" s="70"/>
      <c r="H461" s="85"/>
      <c r="I461" s="85"/>
      <c r="J461" s="131"/>
      <c r="K461" s="60"/>
      <c r="L461" s="47"/>
      <c r="P461" s="3"/>
      <c r="Q461" s="3"/>
      <c r="R461" s="3"/>
      <c r="S461" s="3"/>
      <c r="T461" s="3"/>
      <c r="U461" s="3"/>
      <c r="V461" s="3"/>
      <c r="W461" s="3"/>
      <c r="X461" s="3"/>
      <c r="Y461" s="4"/>
      <c r="Z461"/>
      <c r="AA461"/>
    </row>
    <row r="462" spans="1:27" s="37" customFormat="1" x14ac:dyDescent="0.15">
      <c r="A462" s="70"/>
      <c r="B462" s="82"/>
      <c r="C462" s="70"/>
      <c r="D462" s="70"/>
      <c r="E462" s="70"/>
      <c r="F462" s="70"/>
      <c r="G462" s="70"/>
      <c r="H462" s="85"/>
      <c r="I462" s="85"/>
      <c r="J462" s="131"/>
      <c r="K462" s="60"/>
      <c r="L462" s="33"/>
      <c r="P462" s="3"/>
      <c r="Q462" s="3"/>
      <c r="R462" s="3"/>
      <c r="S462" s="3"/>
      <c r="T462" s="3"/>
      <c r="U462" s="3"/>
      <c r="V462" s="3"/>
      <c r="W462" s="3"/>
      <c r="X462" s="3"/>
      <c r="Y462" s="4"/>
      <c r="Z462"/>
      <c r="AA462"/>
    </row>
    <row r="463" spans="1:27" s="37" customFormat="1" x14ac:dyDescent="0.15">
      <c r="A463" s="70"/>
      <c r="B463" s="82"/>
      <c r="C463" s="70"/>
      <c r="D463" s="70"/>
      <c r="E463" s="70"/>
      <c r="F463" s="70"/>
      <c r="G463" s="70"/>
      <c r="H463" s="85"/>
      <c r="I463" s="99"/>
      <c r="J463" s="131"/>
      <c r="K463" s="60"/>
      <c r="L463" s="49"/>
      <c r="P463" s="3"/>
      <c r="Q463" s="3"/>
      <c r="R463" s="3"/>
      <c r="S463" s="3"/>
      <c r="T463" s="3"/>
      <c r="U463" s="3"/>
      <c r="V463" s="3"/>
      <c r="W463" s="3"/>
      <c r="X463" s="3"/>
      <c r="Y463" s="4"/>
      <c r="Z463"/>
      <c r="AA463"/>
    </row>
    <row r="464" spans="1:27" s="37" customFormat="1" x14ac:dyDescent="0.15">
      <c r="A464" s="73"/>
      <c r="B464" s="82"/>
      <c r="C464" s="70"/>
      <c r="D464" s="70"/>
      <c r="E464" s="70"/>
      <c r="F464" s="70"/>
      <c r="G464" s="70"/>
      <c r="H464" s="85"/>
      <c r="I464" s="85"/>
      <c r="J464" s="131"/>
      <c r="K464" s="60"/>
      <c r="L464" s="49"/>
      <c r="P464" s="3"/>
      <c r="Q464" s="3"/>
      <c r="R464" s="3"/>
      <c r="S464" s="3"/>
      <c r="T464" s="3"/>
      <c r="U464" s="3"/>
      <c r="V464" s="3"/>
      <c r="W464" s="3"/>
      <c r="X464" s="3"/>
      <c r="Y464" s="4"/>
      <c r="Z464"/>
      <c r="AA464"/>
    </row>
    <row r="465" spans="1:27" s="37" customFormat="1" ht="16" x14ac:dyDescent="0.2">
      <c r="A465" s="70"/>
      <c r="B465" s="82"/>
      <c r="C465" s="70"/>
      <c r="D465" s="70"/>
      <c r="E465" s="70"/>
      <c r="F465" s="70"/>
      <c r="G465" s="70"/>
      <c r="H465" s="85"/>
      <c r="I465" s="85"/>
      <c r="J465" s="131"/>
      <c r="K465" s="60"/>
      <c r="L465" s="47"/>
      <c r="P465" s="3"/>
      <c r="Q465" s="3"/>
      <c r="R465" s="3"/>
      <c r="S465" s="3"/>
      <c r="T465" s="3"/>
      <c r="U465" s="3"/>
      <c r="V465" s="3"/>
      <c r="W465" s="3"/>
      <c r="X465" s="3"/>
      <c r="Y465" s="4"/>
      <c r="Z465"/>
      <c r="AA465"/>
    </row>
    <row r="466" spans="1:27" s="37" customFormat="1" ht="16" x14ac:dyDescent="0.2">
      <c r="A466" s="70"/>
      <c r="B466" s="82"/>
      <c r="C466" s="70"/>
      <c r="D466" s="70"/>
      <c r="E466" s="70"/>
      <c r="F466" s="70"/>
      <c r="G466" s="70"/>
      <c r="H466" s="85"/>
      <c r="I466" s="85"/>
      <c r="J466" s="131"/>
      <c r="K466" s="60"/>
      <c r="L466" s="47"/>
      <c r="P466" s="3"/>
      <c r="Q466" s="3"/>
      <c r="R466" s="3"/>
      <c r="S466" s="3"/>
      <c r="T466" s="3"/>
      <c r="U466" s="3"/>
      <c r="V466" s="3"/>
      <c r="W466" s="3"/>
      <c r="X466" s="3"/>
      <c r="Y466" s="4"/>
      <c r="Z466"/>
      <c r="AA466"/>
    </row>
    <row r="467" spans="1:27" s="37" customFormat="1" x14ac:dyDescent="0.15">
      <c r="A467" s="73"/>
      <c r="B467" s="82"/>
      <c r="C467" s="70"/>
      <c r="D467" s="70"/>
      <c r="E467" s="70"/>
      <c r="F467" s="70"/>
      <c r="G467" s="70"/>
      <c r="H467" s="85"/>
      <c r="I467" s="85"/>
      <c r="J467" s="131"/>
      <c r="K467" s="60"/>
      <c r="L467" s="49"/>
      <c r="P467" s="3"/>
      <c r="Q467" s="3"/>
      <c r="R467" s="3"/>
      <c r="S467" s="3"/>
      <c r="T467" s="3"/>
      <c r="U467" s="3"/>
      <c r="V467" s="3"/>
      <c r="W467" s="3"/>
      <c r="X467" s="3"/>
      <c r="Y467" s="4"/>
      <c r="Z467"/>
      <c r="AA467"/>
    </row>
    <row r="468" spans="1:27" s="37" customFormat="1" x14ac:dyDescent="0.15">
      <c r="A468" s="70"/>
      <c r="B468" s="82"/>
      <c r="C468" s="70"/>
      <c r="D468" s="70"/>
      <c r="E468" s="70"/>
      <c r="F468" s="70"/>
      <c r="G468" s="70"/>
      <c r="H468" s="85"/>
      <c r="I468" s="85"/>
      <c r="J468" s="131"/>
      <c r="K468" s="60"/>
      <c r="L468" s="49"/>
      <c r="P468" s="3"/>
      <c r="Q468" s="3"/>
      <c r="R468" s="3"/>
      <c r="S468" s="3"/>
      <c r="T468" s="3"/>
      <c r="U468" s="3"/>
      <c r="V468" s="3"/>
      <c r="W468" s="3"/>
      <c r="X468" s="3"/>
      <c r="Y468" s="4"/>
      <c r="Z468"/>
      <c r="AA468"/>
    </row>
    <row r="469" spans="1:27" s="37" customFormat="1" x14ac:dyDescent="0.15">
      <c r="A469" s="70"/>
      <c r="B469" s="82"/>
      <c r="C469" s="70"/>
      <c r="D469" s="70"/>
      <c r="E469" s="70"/>
      <c r="F469" s="70"/>
      <c r="G469" s="70"/>
      <c r="H469" s="85"/>
      <c r="I469" s="85"/>
      <c r="J469" s="131"/>
      <c r="K469" s="60"/>
      <c r="L469" s="49"/>
      <c r="P469" s="3"/>
      <c r="Q469" s="3"/>
      <c r="R469" s="3"/>
      <c r="S469" s="3"/>
      <c r="T469" s="3"/>
      <c r="U469" s="3"/>
      <c r="V469" s="3"/>
      <c r="W469" s="3"/>
      <c r="X469" s="3"/>
      <c r="Y469" s="4"/>
      <c r="Z469"/>
      <c r="AA469"/>
    </row>
    <row r="470" spans="1:27" s="37" customFormat="1" x14ac:dyDescent="0.15">
      <c r="A470" s="70"/>
      <c r="B470" s="82"/>
      <c r="C470" s="70"/>
      <c r="D470" s="70"/>
      <c r="E470" s="70"/>
      <c r="F470" s="70"/>
      <c r="G470" s="70"/>
      <c r="H470" s="85"/>
      <c r="I470" s="85"/>
      <c r="J470" s="131"/>
      <c r="K470" s="60"/>
      <c r="L470" s="49"/>
      <c r="P470" s="3"/>
      <c r="Q470" s="3"/>
      <c r="R470" s="3"/>
      <c r="S470" s="3"/>
      <c r="T470" s="3"/>
      <c r="U470" s="3"/>
      <c r="V470" s="3"/>
      <c r="W470" s="3"/>
      <c r="X470" s="3"/>
      <c r="Y470" s="4"/>
      <c r="Z470"/>
      <c r="AA470"/>
    </row>
    <row r="471" spans="1:27" s="37" customFormat="1" x14ac:dyDescent="0.15">
      <c r="A471" s="70"/>
      <c r="B471" s="82"/>
      <c r="C471" s="70"/>
      <c r="D471" s="70"/>
      <c r="E471" s="70"/>
      <c r="F471" s="70"/>
      <c r="G471" s="70"/>
      <c r="H471" s="85"/>
      <c r="I471" s="85"/>
      <c r="J471" s="131"/>
      <c r="K471" s="60"/>
      <c r="L471" s="49"/>
      <c r="P471" s="3"/>
      <c r="Q471" s="3"/>
      <c r="R471" s="3"/>
      <c r="S471" s="3"/>
      <c r="T471" s="3"/>
      <c r="U471" s="3"/>
      <c r="V471" s="3"/>
      <c r="W471" s="3"/>
      <c r="X471" s="3"/>
      <c r="Y471" s="4"/>
      <c r="Z471"/>
      <c r="AA471"/>
    </row>
    <row r="472" spans="1:27" s="37" customFormat="1" x14ac:dyDescent="0.15">
      <c r="A472" s="70"/>
      <c r="B472" s="82"/>
      <c r="C472" s="70"/>
      <c r="D472" s="70"/>
      <c r="E472" s="70"/>
      <c r="F472" s="70"/>
      <c r="G472" s="70"/>
      <c r="H472" s="85"/>
      <c r="I472" s="85"/>
      <c r="J472" s="131"/>
      <c r="K472" s="60"/>
      <c r="L472" s="49"/>
      <c r="P472" s="3"/>
      <c r="Q472" s="3"/>
      <c r="R472" s="3"/>
      <c r="S472" s="3"/>
      <c r="T472" s="3"/>
      <c r="U472" s="3"/>
      <c r="V472" s="3"/>
      <c r="W472" s="3"/>
      <c r="X472" s="3"/>
      <c r="Y472" s="4"/>
      <c r="Z472"/>
      <c r="AA472"/>
    </row>
    <row r="473" spans="1:27" s="37" customFormat="1" x14ac:dyDescent="0.15">
      <c r="A473" s="70"/>
      <c r="B473" s="93"/>
      <c r="C473" s="70"/>
      <c r="D473" s="70"/>
      <c r="E473" s="70"/>
      <c r="F473" s="70"/>
      <c r="G473" s="70"/>
      <c r="H473" s="85"/>
      <c r="I473" s="85"/>
      <c r="J473" s="131"/>
      <c r="K473" s="60"/>
      <c r="L473" s="49"/>
      <c r="P473" s="3"/>
      <c r="Q473" s="3"/>
      <c r="R473" s="3"/>
      <c r="S473" s="3"/>
      <c r="T473" s="3"/>
      <c r="U473" s="3"/>
      <c r="V473" s="3"/>
      <c r="W473" s="3"/>
      <c r="X473" s="3"/>
      <c r="Y473" s="4"/>
      <c r="Z473"/>
      <c r="AA473"/>
    </row>
    <row r="474" spans="1:27" s="37" customFormat="1" ht="16" x14ac:dyDescent="0.2">
      <c r="A474" s="70"/>
      <c r="B474" s="82"/>
      <c r="C474" s="70"/>
      <c r="D474" s="70"/>
      <c r="E474" s="70"/>
      <c r="F474" s="70"/>
      <c r="G474" s="70"/>
      <c r="H474" s="85"/>
      <c r="I474" s="85"/>
      <c r="J474" s="131"/>
      <c r="K474" s="60"/>
      <c r="L474" s="47"/>
      <c r="P474" s="3"/>
      <c r="Q474" s="3"/>
      <c r="R474" s="3"/>
      <c r="S474" s="3"/>
      <c r="T474" s="3"/>
      <c r="U474" s="3"/>
      <c r="V474" s="3"/>
      <c r="W474" s="3"/>
      <c r="X474" s="3"/>
      <c r="Y474" s="4"/>
      <c r="Z474"/>
      <c r="AA474"/>
    </row>
    <row r="475" spans="1:27" s="37" customFormat="1" x14ac:dyDescent="0.15">
      <c r="A475" s="70"/>
      <c r="B475" s="82"/>
      <c r="C475" s="70"/>
      <c r="D475" s="70"/>
      <c r="E475" s="70"/>
      <c r="F475" s="70"/>
      <c r="G475" s="70"/>
      <c r="H475" s="85"/>
      <c r="I475" s="85"/>
      <c r="J475" s="131"/>
      <c r="K475" s="60"/>
      <c r="L475" s="49"/>
      <c r="P475" s="3"/>
      <c r="Q475" s="3"/>
      <c r="R475" s="3"/>
      <c r="S475" s="3"/>
      <c r="T475" s="3"/>
      <c r="U475" s="3"/>
      <c r="V475" s="3"/>
      <c r="W475" s="3"/>
      <c r="X475" s="3"/>
      <c r="Y475" s="4"/>
      <c r="Z475"/>
      <c r="AA475"/>
    </row>
    <row r="476" spans="1:27" s="37" customFormat="1" x14ac:dyDescent="0.15">
      <c r="A476" s="70"/>
      <c r="B476" s="93"/>
      <c r="C476" s="70"/>
      <c r="D476" s="70"/>
      <c r="E476" s="70"/>
      <c r="F476" s="70"/>
      <c r="G476" s="70"/>
      <c r="H476" s="85"/>
      <c r="I476" s="85"/>
      <c r="J476" s="131"/>
      <c r="K476" s="60"/>
      <c r="L476" s="33"/>
      <c r="P476" s="3"/>
      <c r="Q476" s="3"/>
      <c r="R476" s="3"/>
      <c r="S476" s="3"/>
      <c r="T476" s="3"/>
      <c r="U476" s="3"/>
      <c r="V476" s="3"/>
      <c r="W476" s="3"/>
      <c r="X476" s="3"/>
      <c r="Y476" s="4"/>
      <c r="Z476"/>
      <c r="AA476"/>
    </row>
    <row r="477" spans="1:27" s="37" customFormat="1" x14ac:dyDescent="0.15">
      <c r="A477" s="73"/>
      <c r="B477" s="82"/>
      <c r="C477" s="70"/>
      <c r="D477" s="70"/>
      <c r="E477" s="70"/>
      <c r="F477" s="70"/>
      <c r="G477" s="70"/>
      <c r="H477" s="85"/>
      <c r="I477" s="85"/>
      <c r="J477" s="131"/>
      <c r="K477" s="60"/>
      <c r="L477" s="33"/>
      <c r="P477" s="3"/>
      <c r="Q477" s="3"/>
      <c r="R477" s="3"/>
      <c r="S477" s="3"/>
      <c r="T477" s="3"/>
      <c r="U477" s="3"/>
      <c r="V477" s="3"/>
      <c r="W477" s="3"/>
      <c r="X477" s="3"/>
      <c r="Y477" s="4"/>
      <c r="Z477"/>
      <c r="AA477"/>
    </row>
    <row r="478" spans="1:27" s="37" customFormat="1" x14ac:dyDescent="0.15">
      <c r="A478" s="73"/>
      <c r="B478" s="96"/>
      <c r="C478" s="70"/>
      <c r="D478" s="70"/>
      <c r="E478" s="70"/>
      <c r="F478" s="70"/>
      <c r="G478" s="70"/>
      <c r="H478" s="85"/>
      <c r="I478" s="85"/>
      <c r="J478" s="131"/>
      <c r="K478" s="60"/>
      <c r="L478" s="33"/>
      <c r="P478" s="3"/>
      <c r="Q478" s="3"/>
      <c r="R478" s="3"/>
      <c r="S478" s="3"/>
      <c r="T478" s="3"/>
      <c r="U478" s="3"/>
      <c r="V478" s="3"/>
      <c r="W478" s="3"/>
      <c r="X478" s="3"/>
      <c r="Y478" s="4"/>
      <c r="Z478"/>
      <c r="AA478"/>
    </row>
    <row r="479" spans="1:27" s="37" customFormat="1" x14ac:dyDescent="0.15">
      <c r="A479" s="70"/>
      <c r="B479" s="82"/>
      <c r="C479" s="70"/>
      <c r="D479" s="70"/>
      <c r="E479" s="70"/>
      <c r="F479" s="70"/>
      <c r="G479" s="70"/>
      <c r="H479" s="85"/>
      <c r="I479" s="85"/>
      <c r="J479" s="131"/>
      <c r="K479" s="60"/>
      <c r="L479" s="33"/>
      <c r="P479" s="3"/>
      <c r="Q479" s="3"/>
      <c r="R479" s="3"/>
      <c r="S479" s="3"/>
      <c r="T479" s="3"/>
      <c r="U479" s="3"/>
      <c r="V479" s="3"/>
      <c r="W479" s="3"/>
      <c r="X479" s="3"/>
      <c r="Y479" s="4"/>
      <c r="Z479"/>
      <c r="AA479"/>
    </row>
    <row r="480" spans="1:27" s="37" customFormat="1" ht="16" x14ac:dyDescent="0.2">
      <c r="A480" s="73"/>
      <c r="B480" s="82"/>
      <c r="C480" s="70"/>
      <c r="D480" s="70"/>
      <c r="E480" s="70"/>
      <c r="F480" s="70"/>
      <c r="G480" s="70"/>
      <c r="H480" s="85"/>
      <c r="I480" s="85"/>
      <c r="J480" s="131"/>
      <c r="K480" s="60"/>
      <c r="L480" s="47"/>
      <c r="P480" s="3"/>
      <c r="Q480" s="3"/>
      <c r="R480" s="3"/>
      <c r="S480" s="3"/>
      <c r="T480" s="3"/>
      <c r="U480" s="3"/>
      <c r="V480" s="3"/>
      <c r="W480" s="3"/>
      <c r="X480" s="3"/>
      <c r="Y480" s="4"/>
      <c r="Z480"/>
      <c r="AA480"/>
    </row>
    <row r="481" spans="1:27" s="37" customFormat="1" x14ac:dyDescent="0.15">
      <c r="A481" s="70"/>
      <c r="B481" s="82"/>
      <c r="C481" s="70"/>
      <c r="D481" s="70"/>
      <c r="E481" s="70"/>
      <c r="F481" s="70"/>
      <c r="G481" s="70"/>
      <c r="H481" s="85"/>
      <c r="I481" s="85"/>
      <c r="J481" s="131"/>
      <c r="K481" s="60"/>
      <c r="L481" s="33"/>
      <c r="P481" s="3"/>
      <c r="Q481" s="3"/>
      <c r="R481" s="3"/>
      <c r="S481" s="3"/>
      <c r="T481" s="3"/>
      <c r="U481" s="3"/>
      <c r="V481" s="3"/>
      <c r="W481" s="3"/>
      <c r="X481" s="3"/>
      <c r="Y481" s="4"/>
      <c r="Z481"/>
      <c r="AA481"/>
    </row>
    <row r="482" spans="1:27" s="37" customFormat="1" x14ac:dyDescent="0.15">
      <c r="A482" s="70"/>
      <c r="B482" s="82"/>
      <c r="C482" s="70"/>
      <c r="D482" s="70"/>
      <c r="E482" s="70"/>
      <c r="F482" s="70"/>
      <c r="G482" s="70"/>
      <c r="H482" s="85"/>
      <c r="I482" s="85"/>
      <c r="J482" s="131"/>
      <c r="K482" s="60"/>
      <c r="L482" s="33"/>
      <c r="P482" s="3"/>
      <c r="Q482" s="3"/>
      <c r="R482" s="3"/>
      <c r="S482" s="3"/>
      <c r="T482" s="3"/>
      <c r="U482" s="3"/>
      <c r="V482" s="3"/>
      <c r="W482" s="3"/>
      <c r="X482" s="3"/>
      <c r="Y482" s="4"/>
      <c r="Z482"/>
      <c r="AA482"/>
    </row>
    <row r="483" spans="1:27" s="37" customFormat="1" ht="16" x14ac:dyDescent="0.2">
      <c r="A483" s="70"/>
      <c r="B483" s="82"/>
      <c r="C483" s="70"/>
      <c r="D483" s="70"/>
      <c r="E483" s="70"/>
      <c r="F483" s="70"/>
      <c r="G483" s="70"/>
      <c r="H483" s="85"/>
      <c r="I483" s="85"/>
      <c r="J483" s="131"/>
      <c r="K483" s="60"/>
      <c r="L483" s="33"/>
      <c r="M483" s="48"/>
      <c r="P483" s="3"/>
      <c r="Q483" s="3"/>
      <c r="R483" s="3"/>
      <c r="S483" s="3"/>
      <c r="T483" s="3"/>
      <c r="U483" s="3"/>
      <c r="V483" s="3"/>
      <c r="W483" s="3"/>
      <c r="X483" s="3"/>
      <c r="Y483" s="4"/>
      <c r="Z483"/>
      <c r="AA483"/>
    </row>
    <row r="484" spans="1:27" s="37" customFormat="1" x14ac:dyDescent="0.15">
      <c r="A484" s="70"/>
      <c r="B484" s="82"/>
      <c r="C484" s="70"/>
      <c r="D484" s="70"/>
      <c r="E484" s="70"/>
      <c r="F484" s="70"/>
      <c r="G484" s="70"/>
      <c r="H484" s="85"/>
      <c r="I484" s="85"/>
      <c r="J484" s="131"/>
      <c r="K484" s="60"/>
      <c r="L484" s="49"/>
      <c r="N484" s="51"/>
      <c r="P484" s="3"/>
      <c r="Q484" s="3"/>
      <c r="R484" s="3"/>
      <c r="S484" s="3"/>
      <c r="T484" s="3"/>
      <c r="U484" s="3"/>
      <c r="V484" s="3"/>
      <c r="W484" s="3"/>
      <c r="X484" s="3"/>
      <c r="Y484" s="4"/>
      <c r="Z484"/>
      <c r="AA484"/>
    </row>
    <row r="485" spans="1:27" s="37" customFormat="1" ht="16" x14ac:dyDescent="0.2">
      <c r="A485" s="70"/>
      <c r="B485" s="82"/>
      <c r="C485" s="70"/>
      <c r="D485" s="70"/>
      <c r="E485" s="70"/>
      <c r="F485" s="70"/>
      <c r="G485" s="70"/>
      <c r="H485" s="85"/>
      <c r="I485" s="85"/>
      <c r="J485" s="131"/>
      <c r="K485" s="60"/>
      <c r="L485" s="47"/>
      <c r="P485" s="3"/>
      <c r="Q485" s="3"/>
      <c r="R485" s="3"/>
      <c r="S485" s="3"/>
      <c r="T485" s="3"/>
      <c r="U485" s="3"/>
      <c r="V485" s="3"/>
      <c r="W485" s="3"/>
      <c r="X485" s="3"/>
      <c r="Y485" s="4"/>
      <c r="Z485"/>
      <c r="AA485"/>
    </row>
    <row r="486" spans="1:27" s="37" customFormat="1" x14ac:dyDescent="0.15">
      <c r="A486" s="70"/>
      <c r="B486" s="82"/>
      <c r="C486" s="70"/>
      <c r="D486" s="70"/>
      <c r="E486" s="70"/>
      <c r="F486" s="70"/>
      <c r="G486" s="70"/>
      <c r="H486" s="85"/>
      <c r="I486" s="85"/>
      <c r="J486" s="131"/>
      <c r="K486" s="60"/>
      <c r="L486" s="49"/>
      <c r="P486" s="3"/>
      <c r="Q486" s="3"/>
      <c r="R486" s="3"/>
      <c r="S486" s="3"/>
      <c r="T486" s="3"/>
      <c r="U486" s="3"/>
      <c r="V486" s="3"/>
      <c r="W486" s="3"/>
      <c r="X486" s="3"/>
      <c r="Y486" s="4"/>
      <c r="Z486"/>
      <c r="AA486"/>
    </row>
    <row r="487" spans="1:27" s="37" customFormat="1" x14ac:dyDescent="0.15">
      <c r="A487" s="70"/>
      <c r="B487" s="93"/>
      <c r="C487" s="70"/>
      <c r="D487" s="70"/>
      <c r="E487" s="70"/>
      <c r="F487" s="70"/>
      <c r="G487" s="70"/>
      <c r="H487" s="85"/>
      <c r="I487" s="85"/>
      <c r="J487" s="131"/>
      <c r="K487" s="60"/>
      <c r="L487" s="49"/>
      <c r="P487" s="3"/>
      <c r="Q487" s="3"/>
      <c r="R487" s="3"/>
      <c r="S487" s="3"/>
      <c r="T487" s="3"/>
      <c r="U487" s="3"/>
      <c r="V487" s="3"/>
      <c r="W487" s="3"/>
      <c r="X487" s="3"/>
      <c r="Y487" s="4"/>
      <c r="Z487"/>
      <c r="AA487"/>
    </row>
    <row r="488" spans="1:27" s="37" customFormat="1" x14ac:dyDescent="0.15">
      <c r="A488" s="70"/>
      <c r="B488" s="93"/>
      <c r="C488" s="70"/>
      <c r="D488" s="70"/>
      <c r="E488" s="70"/>
      <c r="F488" s="70"/>
      <c r="G488" s="70"/>
      <c r="H488" s="85"/>
      <c r="I488" s="85"/>
      <c r="J488" s="131"/>
      <c r="K488" s="60"/>
      <c r="L488" s="49"/>
      <c r="P488" s="3"/>
      <c r="Q488" s="3"/>
      <c r="R488" s="3"/>
      <c r="S488" s="3"/>
      <c r="T488" s="3"/>
      <c r="U488" s="3"/>
      <c r="V488" s="3"/>
      <c r="W488" s="3"/>
      <c r="X488" s="3"/>
      <c r="Y488" s="4"/>
      <c r="Z488"/>
      <c r="AA488"/>
    </row>
    <row r="489" spans="1:27" s="37" customFormat="1" x14ac:dyDescent="0.15">
      <c r="A489" s="70"/>
      <c r="B489" s="82"/>
      <c r="C489" s="70"/>
      <c r="D489" s="70"/>
      <c r="E489" s="70"/>
      <c r="F489" s="70"/>
      <c r="G489" s="70"/>
      <c r="H489" s="85"/>
      <c r="I489" s="85"/>
      <c r="J489" s="131"/>
      <c r="K489" s="60"/>
      <c r="L489" s="33"/>
      <c r="P489" s="3"/>
      <c r="Q489" s="3"/>
      <c r="R489" s="3"/>
      <c r="S489" s="3"/>
      <c r="T489" s="3"/>
      <c r="U489" s="3"/>
      <c r="V489" s="3"/>
      <c r="W489" s="3"/>
      <c r="X489" s="3"/>
      <c r="Y489" s="4"/>
      <c r="Z489"/>
      <c r="AA489"/>
    </row>
    <row r="490" spans="1:27" s="37" customFormat="1" x14ac:dyDescent="0.15">
      <c r="A490" s="70"/>
      <c r="B490" s="93"/>
      <c r="C490" s="70"/>
      <c r="D490" s="70"/>
      <c r="E490" s="70"/>
      <c r="F490" s="70"/>
      <c r="G490" s="70"/>
      <c r="H490" s="85"/>
      <c r="I490" s="85"/>
      <c r="J490" s="131"/>
      <c r="K490" s="60"/>
      <c r="L490" s="49"/>
      <c r="P490" s="3"/>
      <c r="Q490" s="3"/>
      <c r="R490" s="3"/>
      <c r="S490" s="3"/>
      <c r="T490" s="3"/>
      <c r="U490" s="3"/>
      <c r="V490" s="3"/>
      <c r="W490" s="3"/>
      <c r="X490" s="3"/>
      <c r="Y490" s="4"/>
      <c r="Z490"/>
      <c r="AA490"/>
    </row>
    <row r="491" spans="1:27" s="37" customFormat="1" x14ac:dyDescent="0.15">
      <c r="A491" s="70"/>
      <c r="B491" s="82"/>
      <c r="C491" s="70"/>
      <c r="D491" s="70"/>
      <c r="E491" s="70"/>
      <c r="F491" s="70"/>
      <c r="G491" s="70"/>
      <c r="H491" s="85"/>
      <c r="I491" s="85"/>
      <c r="J491" s="131"/>
      <c r="K491" s="60"/>
      <c r="L491" s="49"/>
      <c r="P491" s="3"/>
      <c r="Q491" s="3"/>
      <c r="R491" s="3"/>
      <c r="S491" s="3"/>
      <c r="T491" s="3"/>
      <c r="U491" s="3"/>
      <c r="V491" s="3"/>
      <c r="W491" s="3"/>
      <c r="X491" s="3"/>
      <c r="Y491" s="4"/>
      <c r="Z491"/>
      <c r="AA491"/>
    </row>
    <row r="492" spans="1:27" s="37" customFormat="1" x14ac:dyDescent="0.15">
      <c r="A492" s="70"/>
      <c r="B492" s="93"/>
      <c r="C492" s="70"/>
      <c r="D492" s="70"/>
      <c r="E492" s="70"/>
      <c r="F492" s="70"/>
      <c r="G492" s="70"/>
      <c r="H492" s="85"/>
      <c r="I492" s="85"/>
      <c r="J492" s="131"/>
      <c r="K492" s="60"/>
      <c r="L492" s="49"/>
      <c r="N492" s="33"/>
      <c r="P492" s="3"/>
      <c r="Q492" s="3"/>
      <c r="R492" s="3"/>
      <c r="S492" s="3"/>
      <c r="T492" s="3"/>
      <c r="U492" s="3"/>
      <c r="V492" s="3"/>
      <c r="W492" s="3"/>
      <c r="X492" s="3"/>
      <c r="Y492" s="4"/>
      <c r="Z492"/>
      <c r="AA492"/>
    </row>
    <row r="493" spans="1:27" s="37" customFormat="1" x14ac:dyDescent="0.15">
      <c r="A493" s="70"/>
      <c r="B493" s="82"/>
      <c r="C493" s="70"/>
      <c r="D493" s="70"/>
      <c r="E493" s="70"/>
      <c r="F493" s="70"/>
      <c r="G493" s="70"/>
      <c r="H493" s="85"/>
      <c r="I493" s="85"/>
      <c r="J493" s="131"/>
      <c r="K493" s="60"/>
      <c r="L493" s="49"/>
      <c r="P493" s="3"/>
      <c r="Q493" s="3"/>
      <c r="R493" s="3"/>
      <c r="S493" s="3"/>
      <c r="T493" s="3"/>
      <c r="U493" s="3"/>
      <c r="V493" s="3"/>
      <c r="W493" s="3"/>
      <c r="X493" s="3"/>
      <c r="Y493" s="4"/>
      <c r="Z493"/>
      <c r="AA493"/>
    </row>
    <row r="494" spans="1:27" s="37" customFormat="1" x14ac:dyDescent="0.15">
      <c r="A494" s="70"/>
      <c r="B494" s="93"/>
      <c r="C494" s="70"/>
      <c r="D494" s="70"/>
      <c r="E494" s="70"/>
      <c r="F494" s="70"/>
      <c r="G494" s="70"/>
      <c r="H494" s="85"/>
      <c r="I494" s="85"/>
      <c r="J494" s="131"/>
      <c r="K494" s="63"/>
      <c r="L494" s="33"/>
      <c r="P494" s="3"/>
      <c r="Q494" s="3"/>
      <c r="R494" s="3"/>
      <c r="S494" s="3"/>
      <c r="T494" s="3"/>
      <c r="U494" s="3"/>
      <c r="V494" s="3"/>
      <c r="W494" s="3"/>
      <c r="X494" s="3"/>
      <c r="Y494" s="4"/>
      <c r="Z494"/>
      <c r="AA494"/>
    </row>
    <row r="495" spans="1:27" s="37" customFormat="1" ht="16" x14ac:dyDescent="0.2">
      <c r="A495" s="70"/>
      <c r="B495" s="93"/>
      <c r="C495" s="70"/>
      <c r="D495" s="70"/>
      <c r="E495" s="70"/>
      <c r="F495" s="70"/>
      <c r="G495" s="70"/>
      <c r="H495" s="85"/>
      <c r="I495" s="85"/>
      <c r="J495" s="131"/>
      <c r="K495" s="60"/>
      <c r="L495" s="47"/>
      <c r="P495" s="3"/>
      <c r="Q495" s="3"/>
      <c r="R495" s="3"/>
      <c r="S495" s="3"/>
      <c r="T495" s="3"/>
      <c r="U495" s="3"/>
      <c r="V495" s="3"/>
      <c r="W495" s="3"/>
      <c r="X495" s="3"/>
      <c r="Y495" s="4"/>
      <c r="Z495"/>
      <c r="AA495"/>
    </row>
    <row r="496" spans="1:27" s="37" customFormat="1" x14ac:dyDescent="0.15">
      <c r="A496" s="70"/>
      <c r="B496" s="82"/>
      <c r="C496" s="70"/>
      <c r="D496" s="70"/>
      <c r="E496" s="70"/>
      <c r="F496" s="70"/>
      <c r="G496" s="70"/>
      <c r="H496" s="85"/>
      <c r="I496" s="85"/>
      <c r="J496" s="131"/>
      <c r="K496" s="60"/>
      <c r="L496" s="49"/>
      <c r="P496" s="3"/>
      <c r="Q496" s="3"/>
      <c r="R496" s="3"/>
      <c r="S496" s="3"/>
      <c r="T496" s="3"/>
      <c r="U496" s="3"/>
      <c r="V496" s="3"/>
      <c r="W496" s="3"/>
      <c r="X496" s="3"/>
      <c r="Y496" s="4"/>
      <c r="Z496"/>
      <c r="AA496"/>
    </row>
    <row r="497" spans="1:27" s="37" customFormat="1" x14ac:dyDescent="0.15">
      <c r="A497" s="70"/>
      <c r="B497" s="93"/>
      <c r="C497" s="70"/>
      <c r="D497" s="70"/>
      <c r="E497" s="70"/>
      <c r="F497" s="70"/>
      <c r="G497" s="70"/>
      <c r="H497" s="85"/>
      <c r="I497" s="85"/>
      <c r="J497" s="131"/>
      <c r="K497" s="60"/>
      <c r="L497" s="33"/>
      <c r="P497" s="3"/>
      <c r="Q497" s="3"/>
      <c r="R497" s="3"/>
      <c r="S497" s="3"/>
      <c r="T497" s="3"/>
      <c r="U497" s="3"/>
      <c r="V497" s="3"/>
      <c r="W497" s="3"/>
      <c r="X497" s="3"/>
      <c r="Y497" s="4"/>
      <c r="Z497"/>
      <c r="AA497"/>
    </row>
    <row r="498" spans="1:27" s="37" customFormat="1" x14ac:dyDescent="0.15">
      <c r="A498" s="70"/>
      <c r="B498" s="82"/>
      <c r="C498" s="70"/>
      <c r="D498" s="70"/>
      <c r="E498" s="70"/>
      <c r="F498" s="70"/>
      <c r="G498" s="70"/>
      <c r="H498" s="85"/>
      <c r="I498" s="85"/>
      <c r="J498" s="131"/>
      <c r="K498" s="63"/>
      <c r="L498" s="49"/>
      <c r="P498" s="3"/>
      <c r="Q498" s="3"/>
      <c r="R498" s="3"/>
      <c r="S498" s="3"/>
      <c r="T498" s="3"/>
      <c r="U498" s="3"/>
      <c r="V498" s="3"/>
      <c r="W498" s="3"/>
      <c r="X498" s="3"/>
      <c r="Y498" s="4"/>
      <c r="Z498"/>
      <c r="AA498"/>
    </row>
    <row r="499" spans="1:27" s="37" customFormat="1" ht="16" x14ac:dyDescent="0.2">
      <c r="A499" s="70"/>
      <c r="B499" s="93"/>
      <c r="C499" s="73"/>
      <c r="D499" s="73"/>
      <c r="E499" s="73"/>
      <c r="F499" s="73"/>
      <c r="G499" s="73"/>
      <c r="H499" s="85"/>
      <c r="I499" s="95"/>
      <c r="J499" s="131"/>
      <c r="K499" s="60"/>
      <c r="L499" s="47"/>
      <c r="P499" s="3"/>
      <c r="Q499" s="3"/>
      <c r="R499" s="3"/>
      <c r="S499" s="3"/>
      <c r="T499" s="3"/>
      <c r="U499" s="3"/>
      <c r="V499" s="3"/>
      <c r="W499" s="3"/>
      <c r="X499" s="3"/>
      <c r="Y499" s="4"/>
      <c r="Z499"/>
      <c r="AA499"/>
    </row>
    <row r="500" spans="1:27" s="37" customFormat="1" x14ac:dyDescent="0.15">
      <c r="A500" s="70"/>
      <c r="B500" s="93"/>
      <c r="C500" s="73"/>
      <c r="D500" s="73"/>
      <c r="E500" s="70"/>
      <c r="F500" s="73"/>
      <c r="G500" s="73"/>
      <c r="H500" s="85"/>
      <c r="I500" s="85"/>
      <c r="J500" s="131"/>
      <c r="K500" s="60"/>
      <c r="L500" s="33"/>
      <c r="P500" s="3"/>
      <c r="Q500" s="3"/>
      <c r="R500" s="3"/>
      <c r="S500" s="3"/>
      <c r="T500" s="3"/>
      <c r="U500" s="3"/>
      <c r="V500" s="3"/>
      <c r="W500" s="3"/>
      <c r="X500" s="3"/>
      <c r="Y500" s="4"/>
      <c r="Z500"/>
      <c r="AA500"/>
    </row>
    <row r="501" spans="1:27" s="37" customFormat="1" x14ac:dyDescent="0.15">
      <c r="A501" s="70"/>
      <c r="B501" s="82"/>
      <c r="C501" s="70"/>
      <c r="D501" s="70"/>
      <c r="E501" s="70"/>
      <c r="F501" s="70"/>
      <c r="G501" s="70"/>
      <c r="H501" s="85"/>
      <c r="I501" s="85"/>
      <c r="J501" s="131"/>
      <c r="K501" s="60"/>
      <c r="L501" s="33"/>
      <c r="P501" s="3"/>
      <c r="Q501" s="3"/>
      <c r="R501" s="3"/>
      <c r="S501" s="3"/>
      <c r="T501" s="3"/>
      <c r="U501" s="3"/>
      <c r="V501" s="3"/>
      <c r="W501" s="3"/>
      <c r="X501" s="3"/>
      <c r="Y501" s="4"/>
      <c r="Z501"/>
      <c r="AA501"/>
    </row>
    <row r="502" spans="1:27" s="37" customFormat="1" x14ac:dyDescent="0.15">
      <c r="A502" s="70"/>
      <c r="B502" s="82"/>
      <c r="C502" s="70"/>
      <c r="D502" s="70"/>
      <c r="E502" s="70"/>
      <c r="F502" s="70"/>
      <c r="G502" s="70"/>
      <c r="H502" s="85"/>
      <c r="I502" s="85"/>
      <c r="J502" s="131"/>
      <c r="K502" s="60"/>
      <c r="L502" s="33"/>
      <c r="P502" s="3"/>
      <c r="Q502" s="3"/>
      <c r="R502" s="3"/>
      <c r="S502" s="3"/>
      <c r="T502" s="3"/>
      <c r="U502" s="3"/>
      <c r="V502" s="3"/>
      <c r="W502" s="3"/>
      <c r="X502" s="3"/>
      <c r="Y502" s="4"/>
      <c r="Z502"/>
      <c r="AA502"/>
    </row>
    <row r="503" spans="1:27" s="37" customFormat="1" x14ac:dyDescent="0.15">
      <c r="A503" s="70"/>
      <c r="B503" s="93"/>
      <c r="C503" s="70"/>
      <c r="D503" s="70"/>
      <c r="E503" s="70"/>
      <c r="F503" s="70"/>
      <c r="G503" s="70"/>
      <c r="H503" s="85"/>
      <c r="I503" s="85"/>
      <c r="J503" s="131"/>
      <c r="K503" s="60"/>
      <c r="L503" s="33"/>
      <c r="P503" s="3"/>
      <c r="Q503" s="3"/>
      <c r="R503" s="3"/>
      <c r="S503" s="3"/>
      <c r="T503" s="3"/>
      <c r="U503" s="3"/>
      <c r="V503" s="3"/>
      <c r="W503" s="3"/>
      <c r="X503" s="3"/>
      <c r="Y503" s="4"/>
      <c r="Z503"/>
      <c r="AA503"/>
    </row>
    <row r="504" spans="1:27" s="37" customFormat="1" ht="16" x14ac:dyDescent="0.2">
      <c r="A504" s="166"/>
      <c r="B504" s="82"/>
      <c r="C504" s="70"/>
      <c r="D504" s="70"/>
      <c r="E504" s="70"/>
      <c r="F504" s="70"/>
      <c r="G504" s="70"/>
      <c r="H504" s="85"/>
      <c r="I504" s="85"/>
      <c r="J504" s="131"/>
      <c r="K504" s="60"/>
      <c r="L504" s="47"/>
      <c r="P504" s="3"/>
      <c r="Q504" s="3"/>
      <c r="R504" s="3"/>
      <c r="S504" s="3"/>
      <c r="T504" s="3"/>
      <c r="U504" s="3"/>
      <c r="V504" s="3"/>
      <c r="W504" s="3"/>
      <c r="X504" s="3"/>
      <c r="Y504" s="4"/>
      <c r="Z504"/>
      <c r="AA504"/>
    </row>
    <row r="505" spans="1:27" s="37" customFormat="1" x14ac:dyDescent="0.15">
      <c r="A505" s="166"/>
      <c r="B505" s="82"/>
      <c r="C505" s="70"/>
      <c r="D505" s="70"/>
      <c r="E505" s="70"/>
      <c r="F505" s="70"/>
      <c r="G505" s="70"/>
      <c r="H505" s="85"/>
      <c r="I505" s="85"/>
      <c r="J505" s="131"/>
      <c r="K505" s="60"/>
      <c r="L505" s="33"/>
      <c r="P505" s="3"/>
      <c r="Q505" s="3"/>
      <c r="R505" s="3"/>
      <c r="S505" s="3"/>
      <c r="T505" s="3"/>
      <c r="U505" s="3"/>
      <c r="V505" s="3"/>
      <c r="W505" s="3"/>
      <c r="X505" s="3"/>
      <c r="Y505" s="4"/>
      <c r="Z505"/>
      <c r="AA505"/>
    </row>
    <row r="506" spans="1:27" s="37" customFormat="1" ht="16" x14ac:dyDescent="0.2">
      <c r="A506" s="166"/>
      <c r="B506" s="82"/>
      <c r="C506" s="70"/>
      <c r="D506" s="70"/>
      <c r="E506" s="70"/>
      <c r="F506" s="70"/>
      <c r="G506" s="70"/>
      <c r="H506" s="85"/>
      <c r="I506" s="85"/>
      <c r="J506" s="131"/>
      <c r="K506" s="60"/>
      <c r="L506" s="33"/>
      <c r="M506" s="48"/>
      <c r="P506" s="3"/>
      <c r="Q506" s="3"/>
      <c r="R506" s="3"/>
      <c r="S506" s="3"/>
      <c r="T506" s="3"/>
      <c r="U506" s="3"/>
      <c r="V506" s="3"/>
      <c r="W506" s="3"/>
      <c r="X506" s="3"/>
      <c r="Y506" s="4"/>
      <c r="Z506"/>
      <c r="AA506"/>
    </row>
    <row r="507" spans="1:27" s="37" customFormat="1" x14ac:dyDescent="0.15">
      <c r="A507" s="166"/>
      <c r="B507" s="82"/>
      <c r="C507" s="70"/>
      <c r="D507" s="70"/>
      <c r="E507" s="70"/>
      <c r="F507" s="70"/>
      <c r="G507" s="70"/>
      <c r="H507" s="85"/>
      <c r="I507" s="85"/>
      <c r="J507" s="131"/>
      <c r="K507" s="60"/>
      <c r="L507" s="33"/>
      <c r="P507" s="3"/>
      <c r="Q507" s="3"/>
      <c r="R507" s="3"/>
      <c r="S507" s="3"/>
      <c r="T507" s="3"/>
      <c r="U507" s="3"/>
      <c r="V507" s="3"/>
      <c r="W507" s="3"/>
      <c r="X507" s="3"/>
      <c r="Y507" s="4"/>
      <c r="Z507"/>
      <c r="AA507"/>
    </row>
    <row r="508" spans="1:27" s="37" customFormat="1" x14ac:dyDescent="0.15">
      <c r="A508" s="166"/>
      <c r="B508" s="82"/>
      <c r="C508" s="70"/>
      <c r="D508" s="70"/>
      <c r="E508" s="70"/>
      <c r="F508" s="70"/>
      <c r="G508" s="70"/>
      <c r="H508" s="85"/>
      <c r="I508" s="85"/>
      <c r="J508" s="131"/>
      <c r="K508" s="60"/>
      <c r="L508" s="33"/>
      <c r="P508" s="3"/>
      <c r="Q508" s="3"/>
      <c r="R508" s="3"/>
      <c r="S508" s="3"/>
      <c r="T508" s="3"/>
      <c r="U508" s="3"/>
      <c r="V508" s="3"/>
      <c r="W508" s="3"/>
      <c r="X508" s="3"/>
      <c r="Y508" s="4"/>
      <c r="Z508"/>
      <c r="AA508"/>
    </row>
    <row r="509" spans="1:27" s="37" customFormat="1" x14ac:dyDescent="0.15">
      <c r="A509" s="166"/>
      <c r="B509" s="82"/>
      <c r="C509" s="70"/>
      <c r="D509" s="70"/>
      <c r="E509" s="70"/>
      <c r="F509" s="70"/>
      <c r="G509" s="70"/>
      <c r="H509" s="85"/>
      <c r="I509" s="85"/>
      <c r="J509" s="131"/>
      <c r="K509" s="60"/>
      <c r="L509" s="33"/>
      <c r="P509" s="3"/>
      <c r="Q509" s="3"/>
      <c r="R509" s="3"/>
      <c r="S509" s="3"/>
      <c r="T509" s="3"/>
      <c r="U509" s="3"/>
      <c r="V509" s="3"/>
      <c r="W509" s="3"/>
      <c r="X509" s="3"/>
      <c r="Y509" s="4"/>
      <c r="Z509"/>
      <c r="AA509"/>
    </row>
    <row r="510" spans="1:27" s="37" customFormat="1" x14ac:dyDescent="0.15">
      <c r="A510" s="166"/>
      <c r="B510" s="82"/>
      <c r="C510" s="70"/>
      <c r="D510" s="70"/>
      <c r="E510" s="70"/>
      <c r="F510" s="70"/>
      <c r="G510" s="70"/>
      <c r="H510" s="85"/>
      <c r="I510" s="85"/>
      <c r="J510" s="131"/>
      <c r="K510" s="60"/>
      <c r="L510" s="33"/>
      <c r="P510" s="3"/>
      <c r="Q510" s="3"/>
      <c r="R510" s="3"/>
      <c r="S510" s="3"/>
      <c r="T510" s="3"/>
      <c r="U510" s="3"/>
      <c r="V510" s="3"/>
      <c r="W510" s="3"/>
      <c r="X510" s="3"/>
      <c r="Y510" s="4"/>
      <c r="Z510"/>
      <c r="AA510"/>
    </row>
    <row r="511" spans="1:27" s="3" customFormat="1" x14ac:dyDescent="0.15">
      <c r="A511" s="166"/>
      <c r="B511" s="93"/>
      <c r="C511" s="70"/>
      <c r="D511" s="70"/>
      <c r="E511" s="70"/>
      <c r="F511" s="70"/>
      <c r="G511" s="70"/>
      <c r="H511" s="85"/>
      <c r="I511" s="85"/>
      <c r="J511" s="131"/>
      <c r="K511" s="60"/>
      <c r="L511" s="33"/>
      <c r="M511" s="37"/>
      <c r="N511" s="37"/>
      <c r="O511" s="37"/>
      <c r="Y511" s="4"/>
      <c r="Z511"/>
      <c r="AA511"/>
    </row>
    <row r="512" spans="1:27" s="3" customFormat="1" ht="16" x14ac:dyDescent="0.2">
      <c r="A512" s="166"/>
      <c r="B512" s="82"/>
      <c r="C512" s="70"/>
      <c r="D512" s="70"/>
      <c r="E512" s="70"/>
      <c r="F512" s="70"/>
      <c r="G512" s="70"/>
      <c r="H512" s="85"/>
      <c r="I512" s="85"/>
      <c r="J512" s="131"/>
      <c r="K512" s="60"/>
      <c r="L512" s="47"/>
      <c r="M512" s="37"/>
      <c r="N512" s="37"/>
      <c r="O512" s="37"/>
      <c r="Y512" s="4"/>
      <c r="Z512"/>
      <c r="AA512"/>
    </row>
    <row r="513" spans="1:27" s="3" customFormat="1" ht="16" x14ac:dyDescent="0.2">
      <c r="A513" s="166"/>
      <c r="B513" s="82"/>
      <c r="C513" s="70"/>
      <c r="D513" s="70"/>
      <c r="E513" s="70"/>
      <c r="F513" s="70"/>
      <c r="G513" s="70"/>
      <c r="H513" s="85"/>
      <c r="I513" s="85"/>
      <c r="J513" s="131"/>
      <c r="K513" s="60"/>
      <c r="L513" s="47"/>
      <c r="M513" s="37"/>
      <c r="N513" s="37"/>
      <c r="O513" s="37"/>
      <c r="Y513" s="4"/>
      <c r="Z513"/>
      <c r="AA513"/>
    </row>
    <row r="514" spans="1:27" s="3" customFormat="1" x14ac:dyDescent="0.15">
      <c r="A514" s="166"/>
      <c r="B514" s="93"/>
      <c r="C514" s="70"/>
      <c r="D514" s="70"/>
      <c r="E514" s="70"/>
      <c r="F514" s="70"/>
      <c r="G514" s="70"/>
      <c r="H514" s="85"/>
      <c r="I514" s="85"/>
      <c r="J514" s="131"/>
      <c r="K514" s="60"/>
      <c r="L514" s="49"/>
      <c r="M514" s="37"/>
      <c r="N514" s="37"/>
      <c r="O514" s="37"/>
      <c r="Y514" s="4"/>
      <c r="Z514"/>
      <c r="AA514"/>
    </row>
    <row r="515" spans="1:27" s="3" customFormat="1" x14ac:dyDescent="0.15">
      <c r="A515" s="166"/>
      <c r="B515" s="93"/>
      <c r="C515" s="70"/>
      <c r="D515" s="70"/>
      <c r="E515" s="70"/>
      <c r="F515" s="70"/>
      <c r="G515" s="70"/>
      <c r="H515" s="85"/>
      <c r="I515" s="85"/>
      <c r="J515" s="141"/>
      <c r="K515" s="60"/>
      <c r="L515" s="37"/>
      <c r="M515" s="37"/>
      <c r="N515" s="37"/>
      <c r="O515" s="37"/>
      <c r="Y515" s="4"/>
      <c r="Z515"/>
      <c r="AA515"/>
    </row>
    <row r="516" spans="1:27" s="3" customFormat="1" x14ac:dyDescent="0.15">
      <c r="A516" s="166"/>
      <c r="B516" s="93"/>
      <c r="C516" s="70"/>
      <c r="D516" s="70"/>
      <c r="E516" s="70"/>
      <c r="F516" s="70"/>
      <c r="G516" s="70"/>
      <c r="H516" s="85"/>
      <c r="I516" s="85"/>
      <c r="J516" s="141"/>
      <c r="K516" s="60"/>
      <c r="L516" s="37"/>
      <c r="M516" s="37"/>
      <c r="N516" s="37"/>
      <c r="O516" s="37"/>
      <c r="Y516" s="4"/>
      <c r="Z516"/>
      <c r="AA516"/>
    </row>
    <row r="517" spans="1:27" s="3" customFormat="1" x14ac:dyDescent="0.15">
      <c r="A517" s="166"/>
      <c r="B517" s="93"/>
      <c r="C517" s="70"/>
      <c r="D517" s="70"/>
      <c r="E517" s="70"/>
      <c r="F517" s="70"/>
      <c r="G517" s="70"/>
      <c r="H517" s="85"/>
      <c r="I517" s="85"/>
      <c r="J517" s="141"/>
      <c r="K517" s="60"/>
      <c r="L517" s="37"/>
      <c r="M517" s="37"/>
      <c r="N517" s="37"/>
      <c r="O517" s="37"/>
      <c r="Y517" s="4"/>
      <c r="Z517"/>
      <c r="AA517"/>
    </row>
    <row r="518" spans="1:27" s="3" customFormat="1" x14ac:dyDescent="0.15">
      <c r="A518" s="166"/>
      <c r="B518" s="93"/>
      <c r="C518" s="70"/>
      <c r="D518" s="70"/>
      <c r="E518" s="70"/>
      <c r="F518" s="70"/>
      <c r="G518" s="70"/>
      <c r="H518" s="85"/>
      <c r="I518" s="85"/>
      <c r="J518" s="131"/>
      <c r="K518" s="60"/>
      <c r="L518" s="33"/>
      <c r="M518" s="37"/>
      <c r="N518" s="37"/>
      <c r="O518" s="37"/>
      <c r="Y518" s="4"/>
      <c r="Z518"/>
      <c r="AA518"/>
    </row>
    <row r="519" spans="1:27" s="3" customFormat="1" x14ac:dyDescent="0.15">
      <c r="A519" s="70"/>
      <c r="B519" s="93"/>
      <c r="C519" s="70"/>
      <c r="D519" s="70"/>
      <c r="E519" s="70"/>
      <c r="F519" s="70"/>
      <c r="G519" s="70"/>
      <c r="H519" s="85"/>
      <c r="I519" s="85"/>
      <c r="J519" s="131"/>
      <c r="K519" s="60"/>
      <c r="L519" s="33"/>
      <c r="M519" s="37"/>
      <c r="N519" s="37"/>
      <c r="O519" s="37"/>
      <c r="Y519" s="4"/>
      <c r="Z519"/>
      <c r="AA519"/>
    </row>
    <row r="520" spans="1:27" s="3" customFormat="1" ht="16" x14ac:dyDescent="0.2">
      <c r="A520" s="70"/>
      <c r="B520" s="93"/>
      <c r="C520" s="70"/>
      <c r="D520" s="70"/>
      <c r="E520" s="70"/>
      <c r="F520" s="70"/>
      <c r="G520" s="70"/>
      <c r="H520" s="85"/>
      <c r="I520" s="85"/>
      <c r="J520" s="131"/>
      <c r="K520" s="60"/>
      <c r="L520" s="33"/>
      <c r="M520" s="48"/>
      <c r="N520" s="37"/>
      <c r="O520" s="37"/>
      <c r="Y520" s="4"/>
      <c r="Z520"/>
      <c r="AA520"/>
    </row>
    <row r="521" spans="1:27" s="3" customFormat="1" x14ac:dyDescent="0.15">
      <c r="A521" s="70"/>
      <c r="B521" s="93"/>
      <c r="C521" s="70"/>
      <c r="D521" s="70"/>
      <c r="E521" s="70"/>
      <c r="F521" s="70"/>
      <c r="G521" s="70"/>
      <c r="H521" s="85"/>
      <c r="I521" s="85"/>
      <c r="J521" s="131"/>
      <c r="K521" s="60"/>
      <c r="L521" s="33"/>
      <c r="M521" s="37"/>
      <c r="N521" s="37"/>
      <c r="O521" s="37"/>
      <c r="Y521" s="4"/>
      <c r="Z521"/>
      <c r="AA521"/>
    </row>
    <row r="522" spans="1:27" s="3" customFormat="1" ht="16" x14ac:dyDescent="0.2">
      <c r="A522" s="70"/>
      <c r="B522" s="93"/>
      <c r="C522" s="70"/>
      <c r="D522" s="70"/>
      <c r="E522" s="70"/>
      <c r="F522" s="70"/>
      <c r="G522" s="70"/>
      <c r="H522" s="85"/>
      <c r="I522" s="85"/>
      <c r="J522" s="131"/>
      <c r="K522" s="60"/>
      <c r="L522" s="47"/>
      <c r="M522" s="37"/>
      <c r="N522" s="37"/>
      <c r="O522" s="37"/>
      <c r="Y522" s="4"/>
      <c r="Z522"/>
      <c r="AA522"/>
    </row>
    <row r="523" spans="1:27" s="3" customFormat="1" x14ac:dyDescent="0.15">
      <c r="A523" s="70"/>
      <c r="B523" s="93"/>
      <c r="C523" s="70"/>
      <c r="D523" s="70"/>
      <c r="E523" s="70"/>
      <c r="F523" s="70"/>
      <c r="G523" s="70"/>
      <c r="H523" s="85"/>
      <c r="I523" s="85"/>
      <c r="J523" s="131"/>
      <c r="K523" s="60"/>
      <c r="L523" s="33"/>
      <c r="M523" s="37"/>
      <c r="N523" s="37"/>
      <c r="O523" s="33"/>
      <c r="Y523" s="4"/>
      <c r="Z523"/>
      <c r="AA523"/>
    </row>
    <row r="524" spans="1:27" s="3" customFormat="1" x14ac:dyDescent="0.15">
      <c r="A524" s="70"/>
      <c r="B524" s="93"/>
      <c r="C524" s="70"/>
      <c r="D524" s="70"/>
      <c r="E524" s="70"/>
      <c r="F524" s="70"/>
      <c r="G524" s="70"/>
      <c r="H524" s="85"/>
      <c r="I524" s="85"/>
      <c r="J524" s="131"/>
      <c r="K524" s="60"/>
      <c r="L524" s="33"/>
      <c r="M524" s="37"/>
      <c r="N524" s="37"/>
      <c r="O524" s="37"/>
      <c r="Y524" s="4"/>
      <c r="Z524"/>
      <c r="AA524"/>
    </row>
    <row r="525" spans="1:27" s="3" customFormat="1" x14ac:dyDescent="0.15">
      <c r="A525" s="70"/>
      <c r="B525" s="93"/>
      <c r="C525" s="70"/>
      <c r="D525" s="70"/>
      <c r="E525" s="73"/>
      <c r="F525" s="70"/>
      <c r="G525" s="70"/>
      <c r="H525" s="85"/>
      <c r="I525" s="85"/>
      <c r="J525" s="131"/>
      <c r="K525" s="60"/>
      <c r="L525" s="33"/>
      <c r="M525" s="37"/>
      <c r="N525" s="37"/>
      <c r="O525" s="37"/>
      <c r="Y525" s="4"/>
      <c r="Z525"/>
      <c r="AA525"/>
    </row>
    <row r="526" spans="1:27" s="3" customFormat="1" x14ac:dyDescent="0.15">
      <c r="A526" s="70"/>
      <c r="B526" s="93"/>
      <c r="C526" s="70"/>
      <c r="D526" s="70"/>
      <c r="E526" s="70"/>
      <c r="F526" s="70"/>
      <c r="G526" s="70"/>
      <c r="H526" s="85"/>
      <c r="I526" s="85"/>
      <c r="J526" s="131"/>
      <c r="K526" s="60"/>
      <c r="L526" s="33"/>
      <c r="M526" s="37"/>
      <c r="N526" s="37"/>
      <c r="O526" s="37"/>
      <c r="Y526" s="4"/>
      <c r="Z526"/>
      <c r="AA526"/>
    </row>
    <row r="527" spans="1:27" s="37" customFormat="1" x14ac:dyDescent="0.15">
      <c r="A527" s="70"/>
      <c r="B527" s="93"/>
      <c r="C527" s="70"/>
      <c r="D527" s="70"/>
      <c r="E527" s="70"/>
      <c r="F527" s="70"/>
      <c r="G527" s="70"/>
      <c r="H527" s="85"/>
      <c r="I527" s="85"/>
      <c r="J527" s="131"/>
      <c r="K527" s="60"/>
      <c r="L527" s="49"/>
      <c r="P527" s="3"/>
      <c r="Q527" s="3"/>
      <c r="R527" s="3"/>
      <c r="S527" s="3"/>
      <c r="T527" s="3"/>
      <c r="U527" s="3"/>
      <c r="V527" s="3"/>
      <c r="W527" s="3"/>
      <c r="X527" s="3"/>
      <c r="Y527" s="4"/>
      <c r="Z527"/>
      <c r="AA527"/>
    </row>
    <row r="528" spans="1:27" s="37" customFormat="1" x14ac:dyDescent="0.15">
      <c r="A528" s="70"/>
      <c r="B528" s="93"/>
      <c r="C528" s="70"/>
      <c r="D528" s="70"/>
      <c r="E528" s="70"/>
      <c r="F528" s="70"/>
      <c r="G528" s="70"/>
      <c r="H528" s="85"/>
      <c r="I528" s="85"/>
      <c r="J528" s="141"/>
      <c r="K528" s="60"/>
      <c r="L528" s="35"/>
      <c r="P528" s="3"/>
      <c r="Q528" s="3"/>
      <c r="R528" s="3"/>
      <c r="S528" s="3"/>
      <c r="T528" s="3"/>
      <c r="U528" s="3"/>
      <c r="V528" s="3"/>
      <c r="W528" s="3"/>
      <c r="X528" s="3"/>
      <c r="Y528" s="4"/>
      <c r="Z528"/>
      <c r="AA528"/>
    </row>
    <row r="529" spans="1:27" s="37" customFormat="1" x14ac:dyDescent="0.15">
      <c r="A529" s="70"/>
      <c r="B529" s="82"/>
      <c r="C529" s="70"/>
      <c r="D529" s="70"/>
      <c r="E529" s="70"/>
      <c r="F529" s="70"/>
      <c r="G529" s="70"/>
      <c r="H529" s="85"/>
      <c r="I529" s="85"/>
      <c r="J529" s="142"/>
      <c r="K529" s="60"/>
      <c r="P529" s="3"/>
      <c r="Q529" s="3"/>
      <c r="R529" s="3"/>
      <c r="S529" s="3"/>
      <c r="T529" s="3"/>
      <c r="U529" s="3"/>
      <c r="V529" s="3"/>
      <c r="W529" s="3"/>
      <c r="X529" s="3"/>
      <c r="Y529" s="4"/>
      <c r="Z529"/>
      <c r="AA529"/>
    </row>
    <row r="530" spans="1:27" s="37" customFormat="1" ht="16" x14ac:dyDescent="0.2">
      <c r="A530" s="70"/>
      <c r="B530" s="93"/>
      <c r="C530" s="70"/>
      <c r="D530" s="70"/>
      <c r="E530" s="70"/>
      <c r="F530" s="70"/>
      <c r="G530" s="70"/>
      <c r="H530" s="85"/>
      <c r="I530" s="85"/>
      <c r="J530" s="131"/>
      <c r="K530" s="60"/>
      <c r="L530" s="47"/>
      <c r="P530" s="3"/>
      <c r="Q530" s="3"/>
      <c r="R530" s="3"/>
      <c r="S530" s="3"/>
      <c r="T530" s="3"/>
      <c r="U530" s="3"/>
      <c r="V530" s="3"/>
      <c r="W530" s="3"/>
      <c r="X530" s="3"/>
      <c r="Y530" s="4"/>
      <c r="Z530"/>
      <c r="AA530"/>
    </row>
    <row r="531" spans="1:27" s="37" customFormat="1" x14ac:dyDescent="0.15">
      <c r="A531" s="70"/>
      <c r="B531" s="93"/>
      <c r="C531" s="70"/>
      <c r="D531" s="70"/>
      <c r="E531" s="70"/>
      <c r="F531" s="70"/>
      <c r="G531" s="70"/>
      <c r="H531" s="85"/>
      <c r="I531" s="85"/>
      <c r="J531" s="131"/>
      <c r="K531" s="60"/>
      <c r="L531" s="33"/>
      <c r="P531" s="3"/>
      <c r="Q531" s="3"/>
      <c r="R531" s="3"/>
      <c r="S531" s="3"/>
      <c r="T531" s="3"/>
      <c r="U531" s="3"/>
      <c r="V531" s="3"/>
      <c r="W531" s="3"/>
      <c r="X531" s="3"/>
      <c r="Y531" s="4"/>
      <c r="Z531"/>
      <c r="AA531"/>
    </row>
    <row r="532" spans="1:27" s="37" customFormat="1" x14ac:dyDescent="0.15">
      <c r="A532" s="70"/>
      <c r="B532" s="82"/>
      <c r="C532" s="70"/>
      <c r="D532" s="70"/>
      <c r="E532" s="70"/>
      <c r="F532" s="70"/>
      <c r="G532" s="70"/>
      <c r="H532" s="85"/>
      <c r="I532" s="85"/>
      <c r="J532" s="131"/>
      <c r="K532" s="60"/>
      <c r="L532" s="33"/>
      <c r="P532" s="3"/>
      <c r="Q532" s="3"/>
      <c r="R532" s="3"/>
      <c r="S532" s="3"/>
      <c r="T532" s="3"/>
      <c r="U532" s="3"/>
      <c r="V532" s="3"/>
      <c r="W532" s="3"/>
      <c r="X532" s="3"/>
      <c r="Y532" s="4"/>
      <c r="Z532"/>
      <c r="AA532"/>
    </row>
    <row r="533" spans="1:27" s="37" customFormat="1" x14ac:dyDescent="0.15">
      <c r="A533" s="83"/>
      <c r="B533" s="82"/>
      <c r="C533" s="83"/>
      <c r="D533" s="83"/>
      <c r="E533" s="83"/>
      <c r="F533" s="83"/>
      <c r="G533" s="83"/>
      <c r="H533" s="85"/>
      <c r="I533" s="84"/>
      <c r="J533" s="131"/>
      <c r="K533" s="69"/>
      <c r="L533" s="31"/>
      <c r="P533" s="3"/>
      <c r="Q533" s="3"/>
      <c r="R533" s="3"/>
      <c r="S533" s="3"/>
      <c r="T533" s="3"/>
      <c r="U533" s="3"/>
      <c r="V533" s="3"/>
      <c r="W533" s="3"/>
      <c r="X533" s="3"/>
      <c r="Y533" s="4"/>
      <c r="Z533"/>
      <c r="AA533"/>
    </row>
    <row r="534" spans="1:27" s="37" customFormat="1" x14ac:dyDescent="0.15">
      <c r="A534" s="70"/>
      <c r="B534" s="93"/>
      <c r="C534" s="70"/>
      <c r="D534" s="70"/>
      <c r="E534" s="70"/>
      <c r="F534" s="70"/>
      <c r="G534" s="70"/>
      <c r="H534" s="85"/>
      <c r="I534" s="85"/>
      <c r="J534" s="131"/>
      <c r="K534" s="70"/>
      <c r="L534" s="33"/>
      <c r="P534" s="3"/>
      <c r="Q534" s="3"/>
      <c r="R534" s="3"/>
      <c r="S534" s="3"/>
      <c r="T534" s="3"/>
      <c r="U534" s="3"/>
      <c r="V534" s="3"/>
      <c r="W534" s="3"/>
      <c r="X534" s="3"/>
      <c r="Y534" s="4"/>
      <c r="Z534"/>
      <c r="AA534"/>
    </row>
    <row r="535" spans="1:27" s="37" customFormat="1" x14ac:dyDescent="0.15">
      <c r="A535" s="70"/>
      <c r="B535" s="82"/>
      <c r="C535" s="70"/>
      <c r="D535" s="70"/>
      <c r="E535" s="70"/>
      <c r="F535" s="70"/>
      <c r="G535" s="70"/>
      <c r="H535" s="85"/>
      <c r="I535" s="85"/>
      <c r="J535" s="131"/>
      <c r="K535" s="60"/>
      <c r="L535" s="33"/>
      <c r="P535" s="3"/>
      <c r="Q535" s="3"/>
      <c r="R535" s="3"/>
      <c r="S535" s="3"/>
      <c r="T535" s="3"/>
      <c r="U535" s="3"/>
      <c r="V535" s="3"/>
      <c r="W535" s="3"/>
      <c r="X535" s="3"/>
      <c r="Y535" s="4"/>
      <c r="Z535"/>
      <c r="AA535"/>
    </row>
    <row r="536" spans="1:27" s="37" customFormat="1" x14ac:dyDescent="0.15">
      <c r="A536" s="70"/>
      <c r="B536" s="93"/>
      <c r="C536" s="70"/>
      <c r="D536" s="70"/>
      <c r="E536" s="70"/>
      <c r="F536" s="70"/>
      <c r="G536" s="70"/>
      <c r="H536" s="85"/>
      <c r="I536" s="85"/>
      <c r="J536" s="131"/>
      <c r="K536" s="60"/>
      <c r="L536" s="33"/>
      <c r="P536" s="3"/>
      <c r="Q536" s="3"/>
      <c r="R536" s="3"/>
      <c r="S536" s="3"/>
      <c r="T536" s="3"/>
      <c r="U536" s="3"/>
      <c r="V536" s="3"/>
      <c r="W536" s="3"/>
      <c r="X536" s="3"/>
      <c r="Y536" s="4"/>
      <c r="Z536"/>
      <c r="AA536"/>
    </row>
    <row r="537" spans="1:27" s="37" customFormat="1" x14ac:dyDescent="0.15">
      <c r="A537" s="70"/>
      <c r="B537" s="82"/>
      <c r="C537" s="70"/>
      <c r="D537" s="70"/>
      <c r="E537" s="70"/>
      <c r="F537" s="70"/>
      <c r="G537" s="70"/>
      <c r="H537" s="85"/>
      <c r="I537" s="85"/>
      <c r="J537" s="131"/>
      <c r="K537" s="60"/>
      <c r="L537" s="33"/>
      <c r="P537" s="3"/>
      <c r="Q537" s="3"/>
      <c r="R537" s="3"/>
      <c r="S537" s="3"/>
      <c r="T537" s="3"/>
      <c r="U537" s="3"/>
      <c r="V537" s="3"/>
      <c r="W537" s="3"/>
      <c r="X537" s="3"/>
      <c r="Y537" s="4"/>
      <c r="Z537"/>
      <c r="AA537"/>
    </row>
    <row r="538" spans="1:27" s="37" customFormat="1" x14ac:dyDescent="0.15">
      <c r="A538" s="166"/>
      <c r="B538" s="93"/>
      <c r="C538" s="70"/>
      <c r="D538" s="70"/>
      <c r="E538" s="70"/>
      <c r="F538" s="70"/>
      <c r="G538" s="70"/>
      <c r="H538" s="85"/>
      <c r="I538" s="85"/>
      <c r="J538" s="131"/>
      <c r="K538" s="60"/>
      <c r="L538" s="33"/>
      <c r="P538" s="3"/>
      <c r="Q538" s="3"/>
      <c r="R538" s="3"/>
      <c r="S538" s="3"/>
      <c r="T538" s="3"/>
      <c r="U538" s="3"/>
      <c r="V538" s="3"/>
      <c r="W538" s="3"/>
      <c r="X538" s="3"/>
      <c r="Y538" s="4"/>
      <c r="Z538"/>
      <c r="AA538"/>
    </row>
    <row r="539" spans="1:27" s="37" customFormat="1" ht="16" x14ac:dyDescent="0.2">
      <c r="A539" s="166"/>
      <c r="B539" s="93"/>
      <c r="C539" s="73"/>
      <c r="D539" s="73"/>
      <c r="E539" s="70"/>
      <c r="F539" s="73"/>
      <c r="G539" s="73"/>
      <c r="H539" s="85"/>
      <c r="I539" s="85"/>
      <c r="J539" s="131"/>
      <c r="K539" s="70"/>
      <c r="L539" s="47"/>
      <c r="P539" s="3"/>
      <c r="Q539" s="3"/>
      <c r="R539" s="3"/>
      <c r="S539" s="3"/>
      <c r="T539" s="3"/>
      <c r="U539" s="3"/>
      <c r="V539" s="3"/>
      <c r="W539" s="3"/>
      <c r="X539" s="3"/>
      <c r="Y539" s="4"/>
      <c r="Z539"/>
      <c r="AA539"/>
    </row>
    <row r="540" spans="1:27" s="37" customFormat="1" x14ac:dyDescent="0.15">
      <c r="A540" s="166"/>
      <c r="B540" s="82"/>
      <c r="C540" s="70"/>
      <c r="D540" s="70"/>
      <c r="E540" s="70"/>
      <c r="F540" s="70"/>
      <c r="G540" s="70"/>
      <c r="H540" s="85"/>
      <c r="I540" s="85"/>
      <c r="J540" s="131"/>
      <c r="K540" s="60"/>
      <c r="L540" s="33"/>
      <c r="P540" s="3"/>
      <c r="Q540" s="3"/>
      <c r="R540" s="3"/>
      <c r="S540" s="3"/>
      <c r="T540" s="3"/>
      <c r="U540" s="3"/>
      <c r="V540" s="3"/>
      <c r="W540" s="3"/>
      <c r="X540" s="3"/>
      <c r="Y540" s="4"/>
      <c r="Z540"/>
      <c r="AA540"/>
    </row>
    <row r="541" spans="1:27" s="37" customFormat="1" x14ac:dyDescent="0.15">
      <c r="A541" s="166"/>
      <c r="B541" s="82"/>
      <c r="C541" s="70"/>
      <c r="D541" s="70"/>
      <c r="E541" s="73"/>
      <c r="F541" s="70"/>
      <c r="G541" s="70"/>
      <c r="H541" s="85"/>
      <c r="I541" s="85"/>
      <c r="J541" s="131"/>
      <c r="K541" s="60"/>
      <c r="L541" s="33"/>
      <c r="P541" s="3"/>
      <c r="Q541" s="3"/>
      <c r="R541" s="3"/>
      <c r="S541" s="3"/>
      <c r="T541" s="3"/>
      <c r="U541" s="3"/>
      <c r="V541" s="3"/>
      <c r="W541" s="3"/>
      <c r="X541" s="3"/>
      <c r="Y541" s="4"/>
      <c r="Z541"/>
      <c r="AA541"/>
    </row>
    <row r="542" spans="1:27" s="37" customFormat="1" x14ac:dyDescent="0.15">
      <c r="A542" s="166"/>
      <c r="B542" s="82"/>
      <c r="C542" s="70"/>
      <c r="D542" s="70"/>
      <c r="E542" s="70"/>
      <c r="F542" s="70"/>
      <c r="G542" s="70"/>
      <c r="H542" s="85"/>
      <c r="I542" s="85"/>
      <c r="J542" s="131"/>
      <c r="K542" s="60"/>
      <c r="L542" s="33"/>
      <c r="P542" s="3"/>
      <c r="Q542" s="3"/>
      <c r="R542" s="3"/>
      <c r="S542" s="3"/>
      <c r="T542" s="3"/>
      <c r="U542" s="3"/>
      <c r="V542" s="3"/>
      <c r="W542" s="3"/>
      <c r="X542" s="3"/>
      <c r="Y542" s="4"/>
      <c r="Z542"/>
      <c r="AA542"/>
    </row>
    <row r="543" spans="1:27" s="37" customFormat="1" x14ac:dyDescent="0.15">
      <c r="A543" s="166"/>
      <c r="B543" s="93"/>
      <c r="C543" s="70"/>
      <c r="D543" s="70"/>
      <c r="E543" s="70"/>
      <c r="F543" s="70"/>
      <c r="G543" s="70"/>
      <c r="H543" s="85"/>
      <c r="I543" s="85"/>
      <c r="J543" s="131"/>
      <c r="K543" s="70"/>
      <c r="L543" s="33"/>
      <c r="P543" s="3"/>
      <c r="Q543" s="3"/>
      <c r="R543" s="3"/>
      <c r="S543" s="3"/>
      <c r="T543" s="3"/>
      <c r="U543" s="3"/>
      <c r="V543" s="3"/>
      <c r="W543" s="3"/>
      <c r="X543" s="3"/>
      <c r="Y543" s="4"/>
      <c r="Z543"/>
      <c r="AA543"/>
    </row>
    <row r="544" spans="1:27" s="37" customFormat="1" x14ac:dyDescent="0.15">
      <c r="A544" s="166"/>
      <c r="B544" s="82"/>
      <c r="C544" s="70"/>
      <c r="D544" s="70"/>
      <c r="E544" s="70"/>
      <c r="F544" s="70"/>
      <c r="G544" s="70"/>
      <c r="H544" s="85"/>
      <c r="I544" s="85"/>
      <c r="J544" s="131"/>
      <c r="K544" s="60"/>
      <c r="L544" s="32"/>
      <c r="M544" s="32"/>
      <c r="P544" s="3"/>
      <c r="Q544" s="3"/>
      <c r="R544" s="3"/>
      <c r="S544" s="3"/>
      <c r="T544" s="3"/>
      <c r="U544" s="3"/>
      <c r="V544" s="3"/>
      <c r="W544" s="3"/>
      <c r="X544" s="3"/>
      <c r="Y544" s="4"/>
      <c r="Z544"/>
      <c r="AA544"/>
    </row>
    <row r="545" spans="1:27" s="37" customFormat="1" x14ac:dyDescent="0.15">
      <c r="A545" s="166"/>
      <c r="B545" s="93"/>
      <c r="C545" s="70"/>
      <c r="D545" s="70"/>
      <c r="E545" s="70"/>
      <c r="F545" s="70"/>
      <c r="G545" s="70"/>
      <c r="H545" s="85"/>
      <c r="I545" s="85"/>
      <c r="J545" s="131"/>
      <c r="K545" s="60"/>
      <c r="L545" s="33"/>
      <c r="P545" s="3"/>
      <c r="Q545" s="3"/>
      <c r="R545" s="3"/>
      <c r="S545" s="3"/>
      <c r="T545" s="3"/>
      <c r="U545" s="3"/>
      <c r="V545" s="3"/>
      <c r="W545" s="3"/>
      <c r="X545" s="3"/>
      <c r="Y545" s="4"/>
      <c r="Z545"/>
      <c r="AA545"/>
    </row>
    <row r="546" spans="1:27" s="37" customFormat="1" x14ac:dyDescent="0.15">
      <c r="A546" s="166"/>
      <c r="B546" s="93"/>
      <c r="C546" s="70"/>
      <c r="D546" s="70"/>
      <c r="E546" s="70"/>
      <c r="F546" s="70"/>
      <c r="G546" s="70"/>
      <c r="H546" s="85"/>
      <c r="I546" s="85"/>
      <c r="J546" s="131"/>
      <c r="K546" s="60"/>
      <c r="L546" s="33"/>
      <c r="P546" s="3"/>
      <c r="Q546" s="3"/>
      <c r="R546" s="3"/>
      <c r="S546" s="3"/>
      <c r="T546" s="3"/>
      <c r="U546" s="3"/>
      <c r="V546" s="3"/>
      <c r="W546" s="3"/>
      <c r="X546" s="3"/>
      <c r="Y546" s="4"/>
      <c r="Z546"/>
      <c r="AA546"/>
    </row>
    <row r="547" spans="1:27" s="37" customFormat="1" x14ac:dyDescent="0.15">
      <c r="A547" s="166"/>
      <c r="B547" s="93"/>
      <c r="C547" s="70"/>
      <c r="D547" s="70"/>
      <c r="E547" s="70"/>
      <c r="F547" s="70"/>
      <c r="G547" s="70"/>
      <c r="H547" s="85"/>
      <c r="I547" s="85"/>
      <c r="J547" s="131"/>
      <c r="K547" s="60"/>
      <c r="L547" s="33"/>
      <c r="P547" s="3"/>
      <c r="Q547" s="3"/>
      <c r="R547" s="3"/>
      <c r="S547" s="3"/>
      <c r="T547" s="3"/>
      <c r="U547" s="3"/>
      <c r="V547" s="3"/>
      <c r="W547" s="3"/>
      <c r="X547" s="3"/>
      <c r="Y547" s="4"/>
      <c r="Z547"/>
      <c r="AA547"/>
    </row>
    <row r="548" spans="1:27" s="37" customFormat="1" x14ac:dyDescent="0.15">
      <c r="A548" s="166"/>
      <c r="B548" s="93"/>
      <c r="C548" s="70"/>
      <c r="D548" s="70"/>
      <c r="E548" s="70"/>
      <c r="F548" s="70"/>
      <c r="G548" s="70"/>
      <c r="H548" s="85"/>
      <c r="I548" s="85"/>
      <c r="J548" s="131"/>
      <c r="K548" s="60"/>
      <c r="L548" s="33"/>
      <c r="P548" s="3"/>
      <c r="Q548" s="3"/>
      <c r="R548" s="3"/>
      <c r="S548" s="3"/>
      <c r="T548" s="3"/>
      <c r="U548" s="3"/>
      <c r="V548" s="3"/>
      <c r="W548" s="3"/>
      <c r="X548" s="3"/>
      <c r="Y548" s="4"/>
      <c r="Z548"/>
      <c r="AA548"/>
    </row>
    <row r="549" spans="1:27" s="37" customFormat="1" x14ac:dyDescent="0.15">
      <c r="A549" s="166"/>
      <c r="B549" s="96"/>
      <c r="C549" s="70"/>
      <c r="D549" s="70"/>
      <c r="E549" s="70"/>
      <c r="F549" s="70"/>
      <c r="G549" s="70"/>
      <c r="H549" s="85"/>
      <c r="I549" s="85"/>
      <c r="J549" s="131"/>
      <c r="K549" s="60"/>
      <c r="L549" s="33"/>
      <c r="P549" s="3"/>
      <c r="Q549" s="3"/>
      <c r="R549" s="3"/>
      <c r="S549" s="3"/>
      <c r="T549" s="3"/>
      <c r="U549" s="3"/>
      <c r="V549" s="3"/>
      <c r="W549" s="3"/>
      <c r="X549" s="3"/>
      <c r="Y549" s="4"/>
      <c r="Z549"/>
      <c r="AA549"/>
    </row>
    <row r="550" spans="1:27" s="37" customFormat="1" x14ac:dyDescent="0.15">
      <c r="A550" s="166"/>
      <c r="B550" s="82"/>
      <c r="C550" s="70"/>
      <c r="D550" s="70"/>
      <c r="E550" s="70"/>
      <c r="F550" s="70"/>
      <c r="G550" s="70"/>
      <c r="H550" s="85"/>
      <c r="I550" s="85"/>
      <c r="J550" s="131"/>
      <c r="K550" s="60"/>
      <c r="L550" s="33"/>
      <c r="P550" s="3"/>
      <c r="Q550" s="3"/>
      <c r="R550" s="3"/>
      <c r="S550" s="3"/>
      <c r="T550" s="3"/>
      <c r="U550" s="3"/>
      <c r="V550" s="3"/>
      <c r="W550" s="3"/>
      <c r="X550" s="3"/>
      <c r="Y550" s="4"/>
      <c r="Z550"/>
      <c r="AA550"/>
    </row>
    <row r="551" spans="1:27" s="37" customFormat="1" x14ac:dyDescent="0.15">
      <c r="A551" s="166"/>
      <c r="B551" s="93"/>
      <c r="C551" s="70"/>
      <c r="D551" s="70"/>
      <c r="E551" s="70"/>
      <c r="F551" s="70"/>
      <c r="G551" s="70"/>
      <c r="H551" s="85"/>
      <c r="I551" s="85"/>
      <c r="J551" s="131"/>
      <c r="K551" s="60"/>
      <c r="L551" s="33"/>
      <c r="P551" s="3"/>
      <c r="Q551" s="3"/>
      <c r="R551" s="3"/>
      <c r="S551" s="3"/>
      <c r="T551" s="3"/>
      <c r="U551" s="3"/>
      <c r="V551" s="3"/>
      <c r="W551" s="3"/>
      <c r="X551" s="3"/>
      <c r="Y551" s="4"/>
      <c r="Z551"/>
      <c r="AA551"/>
    </row>
    <row r="552" spans="1:27" s="37" customFormat="1" x14ac:dyDescent="0.15">
      <c r="A552" s="166"/>
      <c r="B552" s="82"/>
      <c r="C552" s="70"/>
      <c r="D552" s="70"/>
      <c r="E552" s="70"/>
      <c r="F552" s="70"/>
      <c r="G552" s="70"/>
      <c r="H552" s="85"/>
      <c r="I552" s="85"/>
      <c r="J552" s="134"/>
      <c r="K552" s="63"/>
      <c r="L552" s="33"/>
      <c r="P552" s="3"/>
      <c r="Q552" s="3"/>
      <c r="R552" s="3"/>
      <c r="S552" s="3"/>
      <c r="T552" s="3"/>
      <c r="U552" s="3"/>
      <c r="V552" s="3"/>
      <c r="W552" s="3"/>
      <c r="X552" s="3"/>
      <c r="Y552" s="4"/>
      <c r="Z552"/>
      <c r="AA552"/>
    </row>
    <row r="553" spans="1:27" s="37" customFormat="1" ht="16" x14ac:dyDescent="0.2">
      <c r="A553" s="166"/>
      <c r="B553" s="82"/>
      <c r="C553" s="70"/>
      <c r="D553" s="70"/>
      <c r="E553" s="70"/>
      <c r="F553" s="70"/>
      <c r="G553" s="70"/>
      <c r="H553" s="85"/>
      <c r="I553" s="85"/>
      <c r="J553" s="131"/>
      <c r="K553" s="60"/>
      <c r="L553" s="47"/>
      <c r="P553" s="3"/>
      <c r="Q553" s="3"/>
      <c r="R553" s="3"/>
      <c r="S553" s="3"/>
      <c r="T553" s="3"/>
      <c r="U553" s="3"/>
      <c r="V553" s="3"/>
      <c r="W553" s="3"/>
      <c r="X553" s="3"/>
      <c r="Y553" s="4"/>
      <c r="Z553"/>
      <c r="AA553"/>
    </row>
    <row r="554" spans="1:27" s="37" customFormat="1" x14ac:dyDescent="0.15">
      <c r="A554" s="166"/>
      <c r="B554" s="82"/>
      <c r="C554" s="70"/>
      <c r="D554" s="70"/>
      <c r="E554" s="70"/>
      <c r="F554" s="70"/>
      <c r="G554" s="70"/>
      <c r="H554" s="85"/>
      <c r="I554" s="85"/>
      <c r="J554" s="131"/>
      <c r="K554" s="60"/>
      <c r="L554" s="33"/>
      <c r="P554" s="3"/>
      <c r="Q554" s="3"/>
      <c r="R554" s="3"/>
      <c r="S554" s="3"/>
      <c r="T554" s="3"/>
      <c r="U554" s="3"/>
      <c r="V554" s="3"/>
      <c r="W554" s="3"/>
      <c r="X554" s="3"/>
      <c r="Y554" s="4"/>
      <c r="Z554"/>
      <c r="AA554"/>
    </row>
    <row r="555" spans="1:27" s="37" customFormat="1" ht="16" x14ac:dyDescent="0.2">
      <c r="A555" s="166"/>
      <c r="B555" s="82"/>
      <c r="C555" s="73"/>
      <c r="D555" s="73"/>
      <c r="E555" s="73"/>
      <c r="F555" s="70"/>
      <c r="G555" s="70"/>
      <c r="H555" s="85"/>
      <c r="I555" s="85"/>
      <c r="J555" s="131"/>
      <c r="K555" s="60"/>
      <c r="L555" s="47"/>
      <c r="M555" s="48"/>
      <c r="P555" s="3"/>
      <c r="Q555" s="3"/>
      <c r="R555" s="3"/>
      <c r="S555" s="3"/>
      <c r="T555" s="3"/>
      <c r="U555" s="3"/>
      <c r="V555" s="3"/>
      <c r="W555" s="3"/>
      <c r="X555" s="3"/>
      <c r="Y555" s="4"/>
      <c r="Z555"/>
      <c r="AA555"/>
    </row>
    <row r="556" spans="1:27" s="37" customFormat="1" x14ac:dyDescent="0.15">
      <c r="A556" s="166"/>
      <c r="B556" s="93"/>
      <c r="C556" s="70"/>
      <c r="D556" s="70"/>
      <c r="E556" s="70"/>
      <c r="F556" s="70"/>
      <c r="G556" s="70"/>
      <c r="H556" s="85"/>
      <c r="I556" s="85"/>
      <c r="J556" s="135"/>
      <c r="K556" s="60"/>
      <c r="P556" s="3"/>
      <c r="Q556" s="3"/>
      <c r="R556" s="3"/>
      <c r="S556" s="3"/>
      <c r="T556" s="3"/>
      <c r="U556" s="3"/>
      <c r="V556" s="3"/>
      <c r="W556" s="3"/>
      <c r="X556" s="3"/>
      <c r="Y556" s="4"/>
      <c r="Z556"/>
      <c r="AA556"/>
    </row>
    <row r="557" spans="1:27" s="37" customFormat="1" ht="16" x14ac:dyDescent="0.2">
      <c r="A557" s="166"/>
      <c r="B557" s="93"/>
      <c r="C557" s="70"/>
      <c r="D557" s="70"/>
      <c r="E557" s="70"/>
      <c r="F557" s="70"/>
      <c r="G557" s="70"/>
      <c r="H557" s="85"/>
      <c r="I557" s="85"/>
      <c r="J557" s="131"/>
      <c r="K557" s="60"/>
      <c r="L557" s="47"/>
      <c r="P557" s="3"/>
      <c r="Q557" s="3"/>
      <c r="R557" s="3"/>
      <c r="S557" s="3"/>
      <c r="T557" s="3"/>
      <c r="U557" s="3"/>
      <c r="V557" s="3"/>
      <c r="W557" s="3"/>
      <c r="X557" s="3"/>
      <c r="Y557" s="4"/>
      <c r="Z557"/>
      <c r="AA557"/>
    </row>
    <row r="558" spans="1:27" s="37" customFormat="1" x14ac:dyDescent="0.15">
      <c r="A558" s="166"/>
      <c r="B558" s="93"/>
      <c r="C558" s="70"/>
      <c r="D558" s="70"/>
      <c r="E558" s="70"/>
      <c r="F558" s="70"/>
      <c r="G558" s="70"/>
      <c r="H558" s="85"/>
      <c r="I558" s="85"/>
      <c r="J558" s="135"/>
      <c r="K558" s="60"/>
      <c r="P558" s="3"/>
      <c r="Q558" s="3"/>
      <c r="R558" s="3"/>
      <c r="S558" s="3"/>
      <c r="T558" s="3"/>
      <c r="U558" s="3"/>
      <c r="V558" s="3"/>
      <c r="W558" s="3"/>
      <c r="X558" s="3"/>
      <c r="Y558" s="4"/>
      <c r="Z558"/>
      <c r="AA558"/>
    </row>
    <row r="559" spans="1:27" s="37" customFormat="1" x14ac:dyDescent="0.15">
      <c r="A559" s="166"/>
      <c r="B559" s="93"/>
      <c r="C559" s="70"/>
      <c r="D559" s="70"/>
      <c r="E559" s="70"/>
      <c r="F559" s="70"/>
      <c r="G559" s="70"/>
      <c r="H559" s="85"/>
      <c r="I559" s="85"/>
      <c r="J559" s="131"/>
      <c r="K559" s="60"/>
      <c r="P559" s="3"/>
      <c r="Q559" s="3"/>
      <c r="R559" s="3"/>
      <c r="S559" s="3"/>
      <c r="T559" s="3"/>
      <c r="U559" s="3"/>
      <c r="V559" s="3"/>
      <c r="W559" s="3"/>
      <c r="X559" s="3"/>
      <c r="Y559" s="4"/>
      <c r="Z559"/>
      <c r="AA559"/>
    </row>
    <row r="560" spans="1:27" s="37" customFormat="1" x14ac:dyDescent="0.15">
      <c r="A560" s="166"/>
      <c r="B560" s="93"/>
      <c r="C560" s="70"/>
      <c r="D560" s="70"/>
      <c r="E560" s="70"/>
      <c r="F560" s="70"/>
      <c r="G560" s="70"/>
      <c r="H560" s="85"/>
      <c r="I560" s="85"/>
      <c r="J560" s="131"/>
      <c r="K560" s="60"/>
      <c r="L560" s="49"/>
      <c r="P560" s="3"/>
      <c r="Q560" s="3"/>
      <c r="R560" s="3"/>
      <c r="S560" s="3"/>
      <c r="T560" s="3"/>
      <c r="U560" s="3"/>
      <c r="V560" s="3"/>
      <c r="W560" s="3"/>
      <c r="X560" s="3"/>
      <c r="Y560" s="4"/>
      <c r="Z560"/>
      <c r="AA560"/>
    </row>
    <row r="561" spans="1:27" s="37" customFormat="1" x14ac:dyDescent="0.15">
      <c r="A561" s="166"/>
      <c r="B561" s="93"/>
      <c r="C561" s="70"/>
      <c r="D561" s="70"/>
      <c r="E561" s="70"/>
      <c r="F561" s="70"/>
      <c r="G561" s="70"/>
      <c r="H561" s="85"/>
      <c r="I561" s="85"/>
      <c r="J561" s="131"/>
      <c r="K561" s="70"/>
      <c r="L561" s="33"/>
      <c r="P561" s="3"/>
      <c r="Q561" s="3"/>
      <c r="R561" s="3"/>
      <c r="S561" s="3"/>
      <c r="T561" s="3"/>
      <c r="U561" s="3"/>
      <c r="V561" s="3"/>
      <c r="W561" s="3"/>
      <c r="X561" s="3"/>
      <c r="Y561" s="4"/>
      <c r="Z561"/>
      <c r="AA561"/>
    </row>
    <row r="562" spans="1:27" s="37" customFormat="1" x14ac:dyDescent="0.15">
      <c r="A562" s="166"/>
      <c r="B562" s="93"/>
      <c r="C562" s="70"/>
      <c r="D562" s="70"/>
      <c r="E562" s="70"/>
      <c r="F562" s="70"/>
      <c r="G562" s="70"/>
      <c r="H562" s="85"/>
      <c r="I562" s="85"/>
      <c r="J562" s="131"/>
      <c r="K562" s="70"/>
      <c r="L562" s="49"/>
      <c r="P562" s="3"/>
      <c r="Q562" s="3"/>
      <c r="R562" s="3"/>
      <c r="S562" s="3"/>
      <c r="T562" s="3"/>
      <c r="U562" s="3"/>
      <c r="V562" s="3"/>
      <c r="W562" s="3"/>
      <c r="X562" s="3"/>
      <c r="Y562" s="4"/>
      <c r="Z562"/>
      <c r="AA562"/>
    </row>
    <row r="563" spans="1:27" s="37" customFormat="1" x14ac:dyDescent="0.15">
      <c r="A563" s="70"/>
      <c r="B563" s="82"/>
      <c r="C563" s="70"/>
      <c r="D563" s="70"/>
      <c r="E563" s="70"/>
      <c r="F563" s="70"/>
      <c r="G563" s="70"/>
      <c r="H563" s="85"/>
      <c r="I563" s="85"/>
      <c r="J563" s="131"/>
      <c r="K563" s="60"/>
      <c r="L563" s="33"/>
      <c r="P563" s="3"/>
      <c r="Q563" s="3"/>
      <c r="R563" s="3"/>
      <c r="S563" s="3"/>
      <c r="T563" s="3"/>
      <c r="U563" s="3"/>
      <c r="V563" s="3"/>
      <c r="W563" s="3"/>
      <c r="X563" s="3"/>
      <c r="Y563" s="4"/>
      <c r="Z563"/>
      <c r="AA563"/>
    </row>
    <row r="564" spans="1:27" s="37" customFormat="1" x14ac:dyDescent="0.15">
      <c r="A564" s="166"/>
      <c r="B564" s="82"/>
      <c r="C564" s="70"/>
      <c r="D564" s="70"/>
      <c r="E564" s="70"/>
      <c r="F564" s="70"/>
      <c r="G564" s="70"/>
      <c r="H564" s="85"/>
      <c r="I564" s="85"/>
      <c r="J564" s="131"/>
      <c r="K564" s="60"/>
      <c r="L564" s="33"/>
      <c r="P564" s="3"/>
      <c r="Q564" s="3"/>
      <c r="R564" s="3"/>
      <c r="S564" s="3"/>
      <c r="T564" s="3"/>
      <c r="U564" s="3"/>
      <c r="V564" s="3"/>
      <c r="W564" s="3"/>
      <c r="X564" s="3"/>
      <c r="Y564" s="4"/>
      <c r="Z564"/>
      <c r="AA564"/>
    </row>
    <row r="565" spans="1:27" s="37" customFormat="1" x14ac:dyDescent="0.15">
      <c r="A565" s="166"/>
      <c r="B565" s="93"/>
      <c r="C565" s="70"/>
      <c r="D565" s="70"/>
      <c r="E565" s="70"/>
      <c r="F565" s="70"/>
      <c r="G565" s="70"/>
      <c r="H565" s="85"/>
      <c r="I565" s="85"/>
      <c r="J565" s="131"/>
      <c r="K565" s="60"/>
      <c r="L565" s="33"/>
      <c r="P565" s="3"/>
      <c r="Q565" s="3"/>
      <c r="R565" s="3"/>
      <c r="S565" s="3"/>
      <c r="T565" s="3"/>
      <c r="U565" s="3"/>
      <c r="V565" s="3"/>
      <c r="W565" s="3"/>
      <c r="X565" s="3"/>
      <c r="Y565" s="4"/>
      <c r="Z565"/>
      <c r="AA565"/>
    </row>
    <row r="566" spans="1:27" s="37" customFormat="1" x14ac:dyDescent="0.15">
      <c r="A566" s="166"/>
      <c r="B566" s="82"/>
      <c r="C566" s="70"/>
      <c r="D566" s="70"/>
      <c r="E566" s="70"/>
      <c r="F566" s="70"/>
      <c r="G566" s="70"/>
      <c r="H566" s="85"/>
      <c r="I566" s="85"/>
      <c r="J566" s="131"/>
      <c r="K566" s="60"/>
      <c r="L566" s="33"/>
      <c r="P566" s="3"/>
      <c r="Q566" s="3"/>
      <c r="R566" s="3"/>
      <c r="S566" s="3"/>
      <c r="T566" s="3"/>
      <c r="U566" s="3"/>
      <c r="V566" s="3"/>
      <c r="W566" s="3"/>
      <c r="X566" s="3"/>
      <c r="Y566" s="4"/>
      <c r="Z566"/>
      <c r="AA566"/>
    </row>
    <row r="567" spans="1:27" s="37" customFormat="1" x14ac:dyDescent="0.15">
      <c r="A567" s="166"/>
      <c r="B567" s="82"/>
      <c r="C567" s="70"/>
      <c r="D567" s="70"/>
      <c r="E567" s="70"/>
      <c r="F567" s="70"/>
      <c r="G567" s="70"/>
      <c r="H567" s="85"/>
      <c r="I567" s="85"/>
      <c r="J567" s="131"/>
      <c r="K567" s="60"/>
      <c r="L567" s="33"/>
      <c r="P567" s="3"/>
      <c r="Q567" s="3"/>
      <c r="R567" s="3"/>
      <c r="S567" s="3"/>
      <c r="T567" s="3"/>
      <c r="U567" s="3"/>
      <c r="V567" s="3"/>
      <c r="W567" s="3"/>
      <c r="X567" s="3"/>
      <c r="Y567" s="4"/>
      <c r="Z567"/>
      <c r="AA567"/>
    </row>
    <row r="568" spans="1:27" s="37" customFormat="1" x14ac:dyDescent="0.15">
      <c r="A568" s="166"/>
      <c r="B568" s="82"/>
      <c r="C568" s="70"/>
      <c r="D568" s="70"/>
      <c r="E568" s="70"/>
      <c r="F568" s="70"/>
      <c r="G568" s="70"/>
      <c r="H568" s="85"/>
      <c r="I568" s="85"/>
      <c r="J568" s="131"/>
      <c r="K568" s="60"/>
      <c r="L568" s="33"/>
      <c r="P568" s="3"/>
      <c r="Q568" s="3"/>
      <c r="R568" s="3"/>
      <c r="S568" s="3"/>
      <c r="T568" s="3"/>
      <c r="U568" s="3"/>
      <c r="V568" s="3"/>
      <c r="W568" s="3"/>
      <c r="X568" s="3"/>
      <c r="Y568" s="4"/>
      <c r="Z568"/>
      <c r="AA568"/>
    </row>
    <row r="569" spans="1:27" s="37" customFormat="1" x14ac:dyDescent="0.15">
      <c r="A569" s="166"/>
      <c r="B569" s="93"/>
      <c r="C569" s="70"/>
      <c r="D569" s="70"/>
      <c r="E569" s="70"/>
      <c r="F569" s="70"/>
      <c r="G569" s="70"/>
      <c r="H569" s="85"/>
      <c r="I569" s="85"/>
      <c r="J569" s="131"/>
      <c r="K569" s="60"/>
      <c r="L569" s="33"/>
      <c r="P569" s="3"/>
      <c r="Q569" s="3"/>
      <c r="R569" s="3"/>
      <c r="S569" s="3"/>
      <c r="T569" s="3"/>
      <c r="U569" s="3"/>
      <c r="V569" s="3"/>
      <c r="W569" s="3"/>
      <c r="X569" s="3"/>
      <c r="Y569" s="4"/>
      <c r="Z569"/>
      <c r="AA569"/>
    </row>
    <row r="570" spans="1:27" s="37" customFormat="1" x14ac:dyDescent="0.15">
      <c r="A570" s="166"/>
      <c r="B570" s="93"/>
      <c r="C570" s="70"/>
      <c r="D570" s="70"/>
      <c r="E570" s="70"/>
      <c r="F570" s="70"/>
      <c r="G570" s="70"/>
      <c r="H570" s="85"/>
      <c r="I570" s="85"/>
      <c r="J570" s="131"/>
      <c r="K570" s="60"/>
      <c r="L570" s="33"/>
      <c r="P570" s="3"/>
      <c r="Q570" s="3"/>
      <c r="R570" s="3"/>
      <c r="S570" s="3"/>
      <c r="T570" s="3"/>
      <c r="U570" s="3"/>
      <c r="V570" s="3"/>
      <c r="W570" s="3"/>
      <c r="X570" s="3"/>
      <c r="Y570" s="4"/>
      <c r="Z570"/>
      <c r="AA570"/>
    </row>
    <row r="571" spans="1:27" s="37" customFormat="1" x14ac:dyDescent="0.15">
      <c r="A571" s="70"/>
      <c r="B571" s="82"/>
      <c r="C571" s="70"/>
      <c r="D571" s="70"/>
      <c r="E571" s="70"/>
      <c r="F571" s="70"/>
      <c r="G571" s="70"/>
      <c r="H571" s="85"/>
      <c r="I571" s="85"/>
      <c r="J571" s="131"/>
      <c r="K571" s="60"/>
      <c r="L571" s="33"/>
      <c r="P571" s="3"/>
      <c r="Q571" s="3"/>
      <c r="R571" s="3"/>
      <c r="S571" s="3"/>
      <c r="T571" s="3"/>
      <c r="U571" s="3"/>
      <c r="V571" s="3"/>
      <c r="W571" s="3"/>
      <c r="X571" s="3"/>
      <c r="Y571" s="4"/>
      <c r="Z571"/>
      <c r="AA571"/>
    </row>
    <row r="572" spans="1:27" s="37" customFormat="1" x14ac:dyDescent="0.15">
      <c r="A572" s="166"/>
      <c r="B572" s="82"/>
      <c r="C572" s="70"/>
      <c r="D572" s="70"/>
      <c r="E572" s="70"/>
      <c r="F572" s="70"/>
      <c r="G572" s="70"/>
      <c r="H572" s="85"/>
      <c r="I572" s="85"/>
      <c r="J572" s="131"/>
      <c r="K572" s="60"/>
      <c r="L572" s="33"/>
      <c r="N572" s="35"/>
      <c r="P572" s="3"/>
      <c r="Q572" s="3"/>
      <c r="R572" s="3"/>
      <c r="S572" s="3"/>
      <c r="T572" s="3"/>
      <c r="U572" s="3"/>
      <c r="V572" s="3"/>
      <c r="W572" s="3"/>
      <c r="X572" s="3"/>
      <c r="Y572" s="4"/>
      <c r="Z572"/>
      <c r="AA572"/>
    </row>
    <row r="573" spans="1:27" s="37" customFormat="1" x14ac:dyDescent="0.15">
      <c r="A573" s="166"/>
      <c r="B573" s="93"/>
      <c r="C573" s="70"/>
      <c r="D573" s="70"/>
      <c r="E573" s="70"/>
      <c r="F573" s="70"/>
      <c r="G573" s="70"/>
      <c r="H573" s="85"/>
      <c r="I573" s="85"/>
      <c r="J573" s="131"/>
      <c r="K573" s="60"/>
      <c r="L573" s="33"/>
      <c r="P573" s="3"/>
      <c r="Q573" s="3"/>
      <c r="R573" s="3"/>
      <c r="S573" s="3"/>
      <c r="T573" s="3"/>
      <c r="U573" s="3"/>
      <c r="V573" s="3"/>
      <c r="W573" s="3"/>
      <c r="X573" s="3"/>
      <c r="Y573" s="4"/>
      <c r="Z573"/>
      <c r="AA573"/>
    </row>
    <row r="574" spans="1:27" s="37" customFormat="1" x14ac:dyDescent="0.15">
      <c r="A574" s="166"/>
      <c r="B574" s="93"/>
      <c r="C574" s="70"/>
      <c r="D574" s="70"/>
      <c r="E574" s="70"/>
      <c r="F574" s="70"/>
      <c r="G574" s="70"/>
      <c r="H574" s="85"/>
      <c r="I574" s="85"/>
      <c r="J574" s="131"/>
      <c r="K574" s="60"/>
      <c r="L574" s="33"/>
      <c r="P574" s="3"/>
      <c r="Q574" s="3"/>
      <c r="R574" s="3"/>
      <c r="S574" s="3"/>
      <c r="T574" s="3"/>
      <c r="U574" s="3"/>
      <c r="V574" s="3"/>
      <c r="W574" s="3"/>
      <c r="X574" s="3"/>
      <c r="Y574" s="4"/>
      <c r="Z574"/>
      <c r="AA574"/>
    </row>
    <row r="575" spans="1:27" s="37" customFormat="1" x14ac:dyDescent="0.15">
      <c r="A575" s="166"/>
      <c r="B575" s="93"/>
      <c r="C575" s="70"/>
      <c r="D575" s="70"/>
      <c r="E575" s="70"/>
      <c r="F575" s="70"/>
      <c r="G575" s="70"/>
      <c r="H575" s="85"/>
      <c r="I575" s="85"/>
      <c r="J575" s="131"/>
      <c r="K575" s="60"/>
      <c r="L575" s="33"/>
      <c r="P575" s="3"/>
      <c r="Q575" s="3"/>
      <c r="R575" s="3"/>
      <c r="S575" s="3"/>
      <c r="T575" s="3"/>
      <c r="U575" s="3"/>
      <c r="V575" s="3"/>
      <c r="W575" s="3"/>
      <c r="X575" s="3"/>
      <c r="Y575" s="4"/>
      <c r="Z575"/>
      <c r="AA575"/>
    </row>
    <row r="576" spans="1:27" s="37" customFormat="1" x14ac:dyDescent="0.15">
      <c r="A576" s="166"/>
      <c r="B576" s="93"/>
      <c r="C576" s="73"/>
      <c r="D576" s="73"/>
      <c r="E576" s="70"/>
      <c r="F576" s="73"/>
      <c r="G576" s="73"/>
      <c r="H576" s="85"/>
      <c r="I576" s="85"/>
      <c r="J576" s="131"/>
      <c r="K576" s="60"/>
      <c r="L576" s="33"/>
      <c r="P576" s="3"/>
      <c r="Q576" s="3"/>
      <c r="R576" s="3"/>
      <c r="S576" s="3"/>
      <c r="T576" s="3"/>
      <c r="U576" s="3"/>
      <c r="V576" s="3"/>
      <c r="W576" s="3"/>
      <c r="X576" s="3"/>
      <c r="Y576" s="4"/>
      <c r="Z576"/>
      <c r="AA576"/>
    </row>
    <row r="577" spans="1:27" s="37" customFormat="1" x14ac:dyDescent="0.15">
      <c r="A577" s="166"/>
      <c r="B577" s="82"/>
      <c r="C577" s="73"/>
      <c r="D577" s="73"/>
      <c r="E577" s="73"/>
      <c r="F577" s="73"/>
      <c r="G577" s="73"/>
      <c r="H577" s="85"/>
      <c r="I577" s="95"/>
      <c r="J577" s="131"/>
      <c r="K577" s="60"/>
      <c r="L577" s="49"/>
      <c r="P577" s="3"/>
      <c r="Q577" s="3"/>
      <c r="R577" s="3"/>
      <c r="S577" s="3"/>
      <c r="T577" s="3"/>
      <c r="U577" s="3"/>
      <c r="V577" s="3"/>
      <c r="W577" s="3"/>
      <c r="X577" s="3"/>
      <c r="Y577" s="4"/>
      <c r="Z577"/>
      <c r="AA577"/>
    </row>
    <row r="578" spans="1:27" s="37" customFormat="1" x14ac:dyDescent="0.15">
      <c r="A578" s="166"/>
      <c r="B578" s="82"/>
      <c r="C578" s="70"/>
      <c r="D578" s="70"/>
      <c r="E578" s="70"/>
      <c r="F578" s="70"/>
      <c r="G578" s="70"/>
      <c r="H578" s="85"/>
      <c r="I578" s="85"/>
      <c r="J578" s="131"/>
      <c r="K578" s="60"/>
      <c r="L578" s="49"/>
      <c r="P578" s="3"/>
      <c r="Q578" s="3"/>
      <c r="R578" s="3"/>
      <c r="S578" s="3"/>
      <c r="T578" s="3"/>
      <c r="U578" s="3"/>
      <c r="V578" s="3"/>
      <c r="W578" s="3"/>
      <c r="X578" s="3"/>
      <c r="Y578" s="4"/>
      <c r="Z578"/>
      <c r="AA578"/>
    </row>
    <row r="579" spans="1:27" s="37" customFormat="1" x14ac:dyDescent="0.15">
      <c r="A579" s="166"/>
      <c r="B579" s="82"/>
      <c r="C579" s="70"/>
      <c r="D579" s="70"/>
      <c r="E579" s="70"/>
      <c r="F579" s="70"/>
      <c r="G579" s="70"/>
      <c r="H579" s="85"/>
      <c r="I579" s="85"/>
      <c r="J579" s="131"/>
      <c r="K579" s="60"/>
      <c r="L579" s="49"/>
      <c r="P579" s="3"/>
      <c r="Q579" s="3"/>
      <c r="R579" s="3"/>
      <c r="S579" s="3"/>
      <c r="T579" s="3"/>
      <c r="U579" s="3"/>
      <c r="V579" s="3"/>
      <c r="W579" s="3"/>
      <c r="X579" s="3"/>
      <c r="Y579" s="4"/>
      <c r="Z579"/>
      <c r="AA579"/>
    </row>
    <row r="580" spans="1:27" s="37" customFormat="1" x14ac:dyDescent="0.15">
      <c r="A580" s="166"/>
      <c r="B580" s="82"/>
      <c r="C580" s="70"/>
      <c r="D580" s="70"/>
      <c r="E580" s="70"/>
      <c r="F580" s="70"/>
      <c r="G580" s="70"/>
      <c r="H580" s="85"/>
      <c r="I580" s="85"/>
      <c r="J580" s="140"/>
      <c r="K580" s="63"/>
      <c r="L580" s="49"/>
      <c r="P580" s="3"/>
      <c r="Q580" s="3"/>
      <c r="R580" s="3"/>
      <c r="S580" s="3"/>
      <c r="T580" s="3"/>
      <c r="U580" s="3"/>
      <c r="V580" s="3"/>
      <c r="W580" s="3"/>
      <c r="X580" s="3"/>
      <c r="Y580" s="4"/>
      <c r="Z580"/>
      <c r="AA580"/>
    </row>
    <row r="581" spans="1:27" s="37" customFormat="1" x14ac:dyDescent="0.15">
      <c r="A581" s="166"/>
      <c r="B581" s="82"/>
      <c r="C581" s="70"/>
      <c r="D581" s="70"/>
      <c r="E581" s="70"/>
      <c r="F581" s="70"/>
      <c r="G581" s="70"/>
      <c r="H581" s="85"/>
      <c r="I581" s="85"/>
      <c r="J581" s="131"/>
      <c r="K581" s="60"/>
      <c r="L581" s="49"/>
      <c r="P581" s="3"/>
      <c r="Q581" s="3"/>
      <c r="R581" s="3"/>
      <c r="S581" s="3"/>
      <c r="T581" s="3"/>
      <c r="U581" s="3"/>
      <c r="V581" s="3"/>
      <c r="W581" s="3"/>
      <c r="X581" s="3"/>
      <c r="Y581" s="4"/>
      <c r="Z581"/>
      <c r="AA581"/>
    </row>
    <row r="582" spans="1:27" s="37" customFormat="1" x14ac:dyDescent="0.15">
      <c r="A582" s="166"/>
      <c r="B582" s="82"/>
      <c r="C582" s="70"/>
      <c r="D582" s="70"/>
      <c r="E582" s="70"/>
      <c r="F582" s="70"/>
      <c r="G582" s="70"/>
      <c r="H582" s="85"/>
      <c r="I582" s="85"/>
      <c r="J582" s="131"/>
      <c r="K582" s="60"/>
      <c r="L582" s="49"/>
      <c r="P582" s="3"/>
      <c r="Q582" s="3"/>
      <c r="R582" s="3"/>
      <c r="S582" s="3"/>
      <c r="T582" s="3"/>
      <c r="U582" s="3"/>
      <c r="V582" s="3"/>
      <c r="W582" s="3"/>
      <c r="X582" s="3"/>
      <c r="Y582" s="4"/>
      <c r="Z582"/>
      <c r="AA582"/>
    </row>
    <row r="583" spans="1:27" s="37" customFormat="1" x14ac:dyDescent="0.15">
      <c r="A583" s="166"/>
      <c r="B583" s="82"/>
      <c r="C583" s="70"/>
      <c r="D583" s="70"/>
      <c r="E583" s="70"/>
      <c r="F583" s="70"/>
      <c r="G583" s="70"/>
      <c r="H583" s="85"/>
      <c r="I583" s="85"/>
      <c r="J583" s="131"/>
      <c r="K583" s="60"/>
      <c r="L583" s="49"/>
      <c r="P583" s="3"/>
      <c r="Q583" s="3"/>
      <c r="R583" s="3"/>
      <c r="S583" s="3"/>
      <c r="T583" s="3"/>
      <c r="U583" s="3"/>
      <c r="V583" s="3"/>
      <c r="W583" s="3"/>
      <c r="X583" s="3"/>
      <c r="Y583" s="4"/>
      <c r="Z583"/>
      <c r="AA583"/>
    </row>
    <row r="584" spans="1:27" s="37" customFormat="1" x14ac:dyDescent="0.15">
      <c r="A584" s="166"/>
      <c r="B584" s="82"/>
      <c r="C584" s="70"/>
      <c r="D584" s="70"/>
      <c r="E584" s="70"/>
      <c r="F584" s="70"/>
      <c r="G584" s="70"/>
      <c r="H584" s="85"/>
      <c r="I584" s="85"/>
      <c r="J584" s="131"/>
      <c r="K584" s="60"/>
      <c r="L584" s="49"/>
      <c r="P584" s="3"/>
      <c r="Q584" s="3"/>
      <c r="R584" s="3"/>
      <c r="S584" s="3"/>
      <c r="T584" s="3"/>
      <c r="U584" s="3"/>
      <c r="V584" s="3"/>
      <c r="W584" s="3"/>
      <c r="X584" s="3"/>
      <c r="Y584" s="4"/>
      <c r="Z584"/>
      <c r="AA584"/>
    </row>
    <row r="585" spans="1:27" s="37" customFormat="1" x14ac:dyDescent="0.15">
      <c r="A585" s="166"/>
      <c r="B585" s="82"/>
      <c r="C585" s="70"/>
      <c r="D585" s="70"/>
      <c r="E585" s="70"/>
      <c r="F585" s="70"/>
      <c r="G585" s="70"/>
      <c r="H585" s="85"/>
      <c r="I585" s="85"/>
      <c r="J585" s="131"/>
      <c r="K585" s="69"/>
      <c r="L585" s="49"/>
      <c r="P585" s="3"/>
      <c r="Q585" s="3"/>
      <c r="R585" s="3"/>
      <c r="S585" s="3"/>
      <c r="T585" s="3"/>
      <c r="U585" s="3"/>
      <c r="V585" s="3"/>
      <c r="W585" s="3"/>
      <c r="X585" s="3"/>
      <c r="Y585" s="4"/>
      <c r="Z585"/>
      <c r="AA585"/>
    </row>
    <row r="586" spans="1:27" s="37" customFormat="1" x14ac:dyDescent="0.15">
      <c r="A586" s="166"/>
      <c r="B586" s="82"/>
      <c r="C586" s="70"/>
      <c r="D586" s="70"/>
      <c r="E586" s="70"/>
      <c r="F586" s="70"/>
      <c r="G586" s="70"/>
      <c r="H586" s="85"/>
      <c r="I586" s="85"/>
      <c r="J586" s="131"/>
      <c r="K586" s="69"/>
      <c r="L586" s="49"/>
      <c r="P586" s="3"/>
      <c r="Q586" s="3"/>
      <c r="R586" s="3"/>
      <c r="S586" s="3"/>
      <c r="T586" s="3"/>
      <c r="U586" s="3"/>
      <c r="V586" s="3"/>
      <c r="W586" s="3"/>
      <c r="X586" s="3"/>
      <c r="Y586" s="4"/>
      <c r="Z586"/>
      <c r="AA586"/>
    </row>
    <row r="587" spans="1:27" s="37" customFormat="1" x14ac:dyDescent="0.15">
      <c r="A587" s="166"/>
      <c r="B587" s="82"/>
      <c r="C587" s="70"/>
      <c r="D587" s="70"/>
      <c r="E587" s="70"/>
      <c r="F587" s="70"/>
      <c r="G587" s="70"/>
      <c r="H587" s="85"/>
      <c r="I587" s="85"/>
      <c r="J587" s="131"/>
      <c r="K587" s="60"/>
      <c r="L587" s="49"/>
      <c r="P587" s="3"/>
      <c r="Q587" s="3"/>
      <c r="R587" s="3"/>
      <c r="S587" s="3"/>
      <c r="T587" s="3"/>
      <c r="U587" s="3"/>
      <c r="V587" s="3"/>
      <c r="W587" s="3"/>
      <c r="X587" s="3"/>
      <c r="Y587" s="4"/>
      <c r="Z587"/>
      <c r="AA587"/>
    </row>
    <row r="588" spans="1:27" s="37" customFormat="1" x14ac:dyDescent="0.15">
      <c r="A588" s="166"/>
      <c r="B588" s="82"/>
      <c r="C588" s="70"/>
      <c r="D588" s="70"/>
      <c r="E588" s="70"/>
      <c r="F588" s="70"/>
      <c r="G588" s="70"/>
      <c r="H588" s="85"/>
      <c r="I588" s="85"/>
      <c r="J588" s="131"/>
      <c r="K588" s="60"/>
      <c r="L588" s="49"/>
      <c r="P588" s="3"/>
      <c r="Q588" s="3"/>
      <c r="R588" s="3"/>
      <c r="S588" s="3"/>
      <c r="T588" s="3"/>
      <c r="U588" s="3"/>
      <c r="V588" s="3"/>
      <c r="W588" s="3"/>
      <c r="X588" s="3"/>
      <c r="Y588" s="4"/>
      <c r="Z588"/>
      <c r="AA588"/>
    </row>
    <row r="589" spans="1:27" s="37" customFormat="1" x14ac:dyDescent="0.15">
      <c r="A589" s="166"/>
      <c r="B589" s="82"/>
      <c r="C589" s="70"/>
      <c r="D589" s="70"/>
      <c r="E589" s="70"/>
      <c r="F589" s="70"/>
      <c r="G589" s="70"/>
      <c r="H589" s="85"/>
      <c r="I589" s="85"/>
      <c r="J589" s="131"/>
      <c r="K589" s="60"/>
      <c r="L589" s="49"/>
      <c r="P589" s="3"/>
      <c r="Q589" s="3"/>
      <c r="R589" s="3"/>
      <c r="S589" s="3"/>
      <c r="T589" s="3"/>
      <c r="U589" s="3"/>
      <c r="V589" s="3"/>
      <c r="W589" s="3"/>
      <c r="X589" s="3"/>
      <c r="Y589" s="4"/>
      <c r="Z589"/>
      <c r="AA589"/>
    </row>
    <row r="590" spans="1:27" s="37" customFormat="1" x14ac:dyDescent="0.15">
      <c r="A590" s="166"/>
      <c r="B590" s="82"/>
      <c r="C590" s="70"/>
      <c r="D590" s="70"/>
      <c r="E590" s="70"/>
      <c r="F590" s="70"/>
      <c r="G590" s="70"/>
      <c r="H590" s="85"/>
      <c r="I590" s="85"/>
      <c r="J590" s="131"/>
      <c r="K590" s="60"/>
      <c r="L590" s="49"/>
      <c r="P590" s="3"/>
      <c r="Q590" s="3"/>
      <c r="R590" s="3"/>
      <c r="S590" s="3"/>
      <c r="T590" s="3"/>
      <c r="U590" s="3"/>
      <c r="V590" s="3"/>
      <c r="W590" s="3"/>
      <c r="X590" s="3"/>
      <c r="Y590" s="4"/>
      <c r="Z590"/>
      <c r="AA590"/>
    </row>
    <row r="591" spans="1:27" s="37" customFormat="1" x14ac:dyDescent="0.15">
      <c r="A591" s="166"/>
      <c r="B591" s="82"/>
      <c r="C591" s="70"/>
      <c r="D591" s="70"/>
      <c r="E591" s="70"/>
      <c r="F591" s="70"/>
      <c r="G591" s="70"/>
      <c r="H591" s="85"/>
      <c r="I591" s="85"/>
      <c r="J591" s="131"/>
      <c r="K591" s="60"/>
      <c r="L591" s="49"/>
      <c r="P591" s="3"/>
      <c r="Q591" s="3"/>
      <c r="R591" s="3"/>
      <c r="S591" s="3"/>
      <c r="T591" s="3"/>
      <c r="U591" s="3"/>
      <c r="V591" s="3"/>
      <c r="W591" s="3"/>
      <c r="X591" s="3"/>
      <c r="Y591" s="4"/>
      <c r="Z591"/>
      <c r="AA591"/>
    </row>
    <row r="592" spans="1:27" s="37" customFormat="1" x14ac:dyDescent="0.15">
      <c r="A592" s="166"/>
      <c r="B592" s="82"/>
      <c r="C592" s="70"/>
      <c r="D592" s="70"/>
      <c r="E592" s="70"/>
      <c r="F592" s="70"/>
      <c r="G592" s="70"/>
      <c r="H592" s="85"/>
      <c r="I592" s="85"/>
      <c r="J592" s="131"/>
      <c r="K592" s="60"/>
      <c r="L592" s="49"/>
      <c r="P592" s="3"/>
      <c r="Q592" s="3"/>
      <c r="R592" s="3"/>
      <c r="S592" s="3"/>
      <c r="T592" s="3"/>
      <c r="U592" s="3"/>
      <c r="V592" s="3"/>
      <c r="W592" s="3"/>
      <c r="X592" s="3"/>
      <c r="Y592" s="4"/>
      <c r="Z592"/>
      <c r="AA592"/>
    </row>
    <row r="593" spans="1:27" s="37" customFormat="1" x14ac:dyDescent="0.15">
      <c r="A593" s="166"/>
      <c r="B593" s="82"/>
      <c r="C593" s="70"/>
      <c r="D593" s="70"/>
      <c r="E593" s="70"/>
      <c r="F593" s="70"/>
      <c r="G593" s="70"/>
      <c r="H593" s="85"/>
      <c r="I593" s="85"/>
      <c r="J593" s="131"/>
      <c r="K593" s="60"/>
      <c r="L593" s="49"/>
      <c r="P593" s="3"/>
      <c r="Q593" s="3"/>
      <c r="R593" s="3"/>
      <c r="S593" s="3"/>
      <c r="T593" s="3"/>
      <c r="U593" s="3"/>
      <c r="V593" s="3"/>
      <c r="W593" s="3"/>
      <c r="X593" s="3"/>
      <c r="Y593" s="4"/>
      <c r="Z593"/>
      <c r="AA593"/>
    </row>
    <row r="594" spans="1:27" s="37" customFormat="1" x14ac:dyDescent="0.15">
      <c r="A594" s="70"/>
      <c r="B594" s="82"/>
      <c r="C594" s="70"/>
      <c r="D594" s="70"/>
      <c r="E594" s="70"/>
      <c r="F594" s="70"/>
      <c r="G594" s="70"/>
      <c r="H594" s="85"/>
      <c r="I594" s="85"/>
      <c r="J594" s="131"/>
      <c r="K594" s="60"/>
      <c r="L594" s="49"/>
      <c r="P594" s="3"/>
      <c r="Q594" s="3"/>
      <c r="R594" s="3"/>
      <c r="S594" s="3"/>
      <c r="T594" s="3"/>
      <c r="U594" s="3"/>
      <c r="V594" s="3"/>
      <c r="W594" s="3"/>
      <c r="X594" s="3"/>
      <c r="Y594" s="4"/>
      <c r="Z594"/>
      <c r="AA594"/>
    </row>
    <row r="595" spans="1:27" s="37" customFormat="1" x14ac:dyDescent="0.15">
      <c r="A595" s="70"/>
      <c r="B595" s="82"/>
      <c r="C595" s="70"/>
      <c r="D595" s="70"/>
      <c r="E595" s="70"/>
      <c r="F595" s="70"/>
      <c r="G595" s="70"/>
      <c r="H595" s="85"/>
      <c r="I595" s="85"/>
      <c r="J595" s="131"/>
      <c r="K595" s="69"/>
      <c r="L595" s="49"/>
      <c r="P595" s="3"/>
      <c r="Q595" s="3"/>
      <c r="R595" s="3"/>
      <c r="S595" s="3"/>
      <c r="T595" s="3"/>
      <c r="U595" s="3"/>
      <c r="V595" s="3"/>
      <c r="W595" s="3"/>
      <c r="X595" s="3"/>
      <c r="Y595" s="4"/>
      <c r="Z595"/>
      <c r="AA595"/>
    </row>
    <row r="596" spans="1:27" s="37" customFormat="1" x14ac:dyDescent="0.15">
      <c r="A596" s="70"/>
      <c r="B596" s="82"/>
      <c r="C596" s="70"/>
      <c r="D596" s="70"/>
      <c r="E596" s="70"/>
      <c r="F596" s="70"/>
      <c r="G596" s="70"/>
      <c r="H596" s="85"/>
      <c r="I596" s="85"/>
      <c r="J596" s="131"/>
      <c r="K596" s="60"/>
      <c r="L596" s="49"/>
      <c r="P596" s="3"/>
      <c r="Q596" s="3"/>
      <c r="R596" s="3"/>
      <c r="S596" s="3"/>
      <c r="T596" s="3"/>
      <c r="U596" s="3"/>
      <c r="V596" s="3"/>
      <c r="W596" s="3"/>
      <c r="X596" s="3"/>
      <c r="Y596" s="4"/>
      <c r="Z596"/>
      <c r="AA596"/>
    </row>
    <row r="597" spans="1:27" s="37" customFormat="1" x14ac:dyDescent="0.15">
      <c r="A597" s="70"/>
      <c r="B597" s="82"/>
      <c r="C597" s="70"/>
      <c r="D597" s="70"/>
      <c r="E597" s="70"/>
      <c r="F597" s="70"/>
      <c r="G597" s="70"/>
      <c r="H597" s="85"/>
      <c r="I597" s="85"/>
      <c r="J597" s="131"/>
      <c r="K597" s="60"/>
      <c r="L597" s="49"/>
      <c r="P597" s="3"/>
      <c r="Q597" s="3"/>
      <c r="R597" s="3"/>
      <c r="S597" s="3"/>
      <c r="T597" s="3"/>
      <c r="U597" s="3"/>
      <c r="V597" s="3"/>
      <c r="W597" s="3"/>
      <c r="X597" s="3"/>
      <c r="Y597" s="4"/>
      <c r="Z597"/>
      <c r="AA597"/>
    </row>
    <row r="598" spans="1:27" s="37" customFormat="1" ht="16" x14ac:dyDescent="0.2">
      <c r="A598" s="70"/>
      <c r="B598" s="82"/>
      <c r="C598" s="70"/>
      <c r="D598" s="70"/>
      <c r="E598" s="70"/>
      <c r="F598" s="70"/>
      <c r="G598" s="70"/>
      <c r="H598" s="85"/>
      <c r="I598" s="85"/>
      <c r="J598" s="131"/>
      <c r="K598" s="60"/>
      <c r="L598" s="47"/>
      <c r="P598" s="3"/>
      <c r="Q598" s="3"/>
      <c r="R598" s="3"/>
      <c r="S598" s="3"/>
      <c r="T598" s="3"/>
      <c r="U598" s="3"/>
      <c r="V598" s="3"/>
      <c r="W598" s="3"/>
      <c r="X598" s="3"/>
      <c r="Y598" s="4"/>
      <c r="Z598"/>
      <c r="AA598"/>
    </row>
    <row r="599" spans="1:27" s="37" customFormat="1" x14ac:dyDescent="0.15">
      <c r="A599" s="70"/>
      <c r="B599" s="82"/>
      <c r="C599" s="70"/>
      <c r="D599" s="70"/>
      <c r="E599" s="70"/>
      <c r="F599" s="70"/>
      <c r="G599" s="70"/>
      <c r="H599" s="85"/>
      <c r="I599" s="85"/>
      <c r="J599" s="131"/>
      <c r="K599" s="60"/>
      <c r="L599" s="49"/>
      <c r="P599" s="3"/>
      <c r="Q599" s="3"/>
      <c r="R599" s="3"/>
      <c r="S599" s="3"/>
      <c r="T599" s="3"/>
      <c r="U599" s="3"/>
      <c r="V599" s="3"/>
      <c r="W599" s="3"/>
      <c r="X599" s="3"/>
      <c r="Y599" s="4"/>
      <c r="Z599"/>
      <c r="AA599"/>
    </row>
    <row r="600" spans="1:27" s="37" customFormat="1" x14ac:dyDescent="0.15">
      <c r="A600" s="70"/>
      <c r="B600" s="82"/>
      <c r="C600" s="70"/>
      <c r="D600" s="70"/>
      <c r="E600" s="70"/>
      <c r="F600" s="70"/>
      <c r="G600" s="70"/>
      <c r="H600" s="85"/>
      <c r="I600" s="85"/>
      <c r="J600" s="131"/>
      <c r="K600" s="60"/>
      <c r="L600" s="49"/>
      <c r="P600" s="3"/>
      <c r="Q600" s="3"/>
      <c r="R600" s="3"/>
      <c r="S600" s="3"/>
      <c r="T600" s="3"/>
      <c r="U600" s="3"/>
      <c r="V600" s="3"/>
      <c r="W600" s="3"/>
      <c r="X600" s="3"/>
      <c r="Y600" s="4"/>
      <c r="Z600"/>
      <c r="AA600"/>
    </row>
    <row r="601" spans="1:27" s="37" customFormat="1" x14ac:dyDescent="0.15">
      <c r="A601" s="70"/>
      <c r="B601" s="82"/>
      <c r="C601" s="70"/>
      <c r="D601" s="70"/>
      <c r="E601" s="70"/>
      <c r="F601" s="70"/>
      <c r="G601" s="70"/>
      <c r="H601" s="85"/>
      <c r="I601" s="85"/>
      <c r="J601" s="131"/>
      <c r="K601" s="60"/>
      <c r="L601" s="49"/>
      <c r="P601" s="3"/>
      <c r="Q601" s="3"/>
      <c r="R601" s="3"/>
      <c r="S601" s="3"/>
      <c r="T601" s="3"/>
      <c r="U601" s="3"/>
      <c r="V601" s="3"/>
      <c r="W601" s="3"/>
      <c r="X601" s="3"/>
      <c r="Y601" s="4"/>
      <c r="Z601"/>
      <c r="AA601"/>
    </row>
    <row r="602" spans="1:27" s="37" customFormat="1" x14ac:dyDescent="0.15">
      <c r="A602" s="70"/>
      <c r="B602" s="82"/>
      <c r="C602" s="70"/>
      <c r="D602" s="70"/>
      <c r="E602" s="70"/>
      <c r="F602" s="70"/>
      <c r="G602" s="70"/>
      <c r="H602" s="85"/>
      <c r="I602" s="85"/>
      <c r="J602" s="131"/>
      <c r="K602" s="60"/>
      <c r="L602" s="49"/>
      <c r="P602" s="3"/>
      <c r="Q602" s="3"/>
      <c r="R602" s="3"/>
      <c r="S602" s="3"/>
      <c r="T602" s="3"/>
      <c r="U602" s="3"/>
      <c r="V602" s="3"/>
      <c r="W602" s="3"/>
      <c r="X602" s="3"/>
      <c r="Y602" s="4"/>
      <c r="Z602"/>
      <c r="AA602"/>
    </row>
    <row r="603" spans="1:27" s="37" customFormat="1" x14ac:dyDescent="0.15">
      <c r="A603" s="70"/>
      <c r="B603" s="82"/>
      <c r="C603" s="70"/>
      <c r="D603" s="70"/>
      <c r="E603" s="70"/>
      <c r="F603" s="70"/>
      <c r="G603" s="70"/>
      <c r="H603" s="85"/>
      <c r="I603" s="85"/>
      <c r="J603" s="131"/>
      <c r="K603" s="60"/>
      <c r="L603" s="49"/>
      <c r="P603" s="3"/>
      <c r="Q603" s="3"/>
      <c r="R603" s="3"/>
      <c r="S603" s="3"/>
      <c r="T603" s="3"/>
      <c r="U603" s="3"/>
      <c r="V603" s="3"/>
      <c r="W603" s="3"/>
      <c r="X603" s="3"/>
      <c r="Y603" s="4"/>
      <c r="Z603"/>
      <c r="AA603"/>
    </row>
    <row r="604" spans="1:27" s="37" customFormat="1" ht="16" x14ac:dyDescent="0.2">
      <c r="A604" s="70"/>
      <c r="B604" s="82"/>
      <c r="C604" s="70"/>
      <c r="D604" s="70"/>
      <c r="E604" s="70"/>
      <c r="F604" s="70"/>
      <c r="G604" s="70"/>
      <c r="H604" s="85"/>
      <c r="I604" s="85"/>
      <c r="J604" s="131"/>
      <c r="K604" s="60"/>
      <c r="L604" s="47"/>
      <c r="P604" s="3"/>
      <c r="Q604" s="3"/>
      <c r="R604" s="3"/>
      <c r="S604" s="3"/>
      <c r="T604" s="3"/>
      <c r="U604" s="3"/>
      <c r="V604" s="3"/>
      <c r="W604" s="3"/>
      <c r="X604" s="3"/>
      <c r="Y604" s="4"/>
      <c r="Z604"/>
      <c r="AA604"/>
    </row>
    <row r="605" spans="1:27" s="37" customFormat="1" x14ac:dyDescent="0.15">
      <c r="A605" s="70"/>
      <c r="B605" s="82"/>
      <c r="C605" s="70"/>
      <c r="D605" s="70"/>
      <c r="E605" s="70"/>
      <c r="F605" s="70"/>
      <c r="G605" s="70"/>
      <c r="H605" s="85"/>
      <c r="I605" s="85"/>
      <c r="J605" s="131"/>
      <c r="K605" s="60"/>
      <c r="L605" s="49"/>
      <c r="P605" s="3"/>
      <c r="Q605" s="3"/>
      <c r="R605" s="3"/>
      <c r="S605" s="3"/>
      <c r="T605" s="3"/>
      <c r="U605" s="3"/>
      <c r="V605" s="3"/>
      <c r="W605" s="3"/>
      <c r="X605" s="3"/>
      <c r="Y605" s="4"/>
      <c r="Z605"/>
      <c r="AA605"/>
    </row>
    <row r="606" spans="1:27" s="37" customFormat="1" ht="16" x14ac:dyDescent="0.2">
      <c r="A606" s="70"/>
      <c r="B606" s="82"/>
      <c r="C606" s="70"/>
      <c r="D606" s="70"/>
      <c r="E606" s="70"/>
      <c r="F606" s="70"/>
      <c r="G606" s="70"/>
      <c r="H606" s="85"/>
      <c r="I606" s="85"/>
      <c r="J606" s="131"/>
      <c r="K606" s="60"/>
      <c r="L606" s="47"/>
      <c r="P606" s="3"/>
      <c r="Q606" s="3"/>
      <c r="R606" s="3"/>
      <c r="S606" s="3"/>
      <c r="T606" s="3"/>
      <c r="U606" s="3"/>
      <c r="V606" s="3"/>
      <c r="W606" s="3"/>
      <c r="X606" s="3"/>
      <c r="Y606" s="4"/>
      <c r="Z606"/>
      <c r="AA606"/>
    </row>
    <row r="607" spans="1:27" s="37" customFormat="1" x14ac:dyDescent="0.15">
      <c r="A607" s="70"/>
      <c r="B607" s="82"/>
      <c r="C607" s="70"/>
      <c r="D607" s="70"/>
      <c r="E607" s="70"/>
      <c r="F607" s="70"/>
      <c r="G607" s="70"/>
      <c r="H607" s="85"/>
      <c r="I607" s="85"/>
      <c r="J607" s="131"/>
      <c r="K607" s="60"/>
      <c r="L607" s="49"/>
      <c r="P607" s="3"/>
      <c r="Q607" s="3"/>
      <c r="R607" s="3"/>
      <c r="S607" s="3"/>
      <c r="T607" s="3"/>
      <c r="U607" s="3"/>
      <c r="V607" s="3"/>
      <c r="W607" s="3"/>
      <c r="X607" s="3"/>
      <c r="Y607" s="4"/>
      <c r="Z607"/>
      <c r="AA607"/>
    </row>
    <row r="608" spans="1:27" s="37" customFormat="1" x14ac:dyDescent="0.15">
      <c r="A608" s="70"/>
      <c r="B608" s="82"/>
      <c r="C608" s="70"/>
      <c r="D608" s="70"/>
      <c r="E608" s="70"/>
      <c r="F608" s="70"/>
      <c r="G608" s="70"/>
      <c r="H608" s="85"/>
      <c r="I608" s="85"/>
      <c r="J608" s="131"/>
      <c r="K608" s="60"/>
      <c r="L608" s="49"/>
      <c r="P608" s="3"/>
      <c r="Q608" s="3"/>
      <c r="R608" s="3"/>
      <c r="S608" s="3"/>
      <c r="T608" s="3"/>
      <c r="U608" s="3"/>
      <c r="V608" s="3"/>
      <c r="W608" s="3"/>
      <c r="X608" s="3"/>
      <c r="Y608" s="4"/>
      <c r="Z608"/>
      <c r="AA608"/>
    </row>
    <row r="609" spans="1:27" s="37" customFormat="1" x14ac:dyDescent="0.15">
      <c r="A609" s="70"/>
      <c r="B609" s="82"/>
      <c r="C609" s="70"/>
      <c r="D609" s="70"/>
      <c r="E609" s="70"/>
      <c r="F609" s="70"/>
      <c r="G609" s="70"/>
      <c r="H609" s="85"/>
      <c r="I609" s="85"/>
      <c r="J609" s="131"/>
      <c r="K609" s="60"/>
      <c r="L609" s="49"/>
      <c r="P609" s="3"/>
      <c r="Q609" s="3"/>
      <c r="R609" s="3"/>
      <c r="S609" s="3"/>
      <c r="T609" s="3"/>
      <c r="U609" s="3"/>
      <c r="V609" s="3"/>
      <c r="W609" s="3"/>
      <c r="X609" s="3"/>
      <c r="Y609" s="4"/>
      <c r="Z609"/>
      <c r="AA609"/>
    </row>
    <row r="610" spans="1:27" s="37" customFormat="1" ht="16" x14ac:dyDescent="0.2">
      <c r="A610" s="70"/>
      <c r="B610" s="82"/>
      <c r="C610" s="70"/>
      <c r="D610" s="70"/>
      <c r="E610" s="70"/>
      <c r="F610" s="70"/>
      <c r="G610" s="70"/>
      <c r="H610" s="85"/>
      <c r="I610" s="85"/>
      <c r="J610" s="131"/>
      <c r="K610" s="60"/>
      <c r="L610" s="47"/>
      <c r="P610" s="3"/>
      <c r="Q610" s="3"/>
      <c r="R610" s="3"/>
      <c r="S610" s="3"/>
      <c r="T610" s="3"/>
      <c r="U610" s="3"/>
      <c r="V610" s="3"/>
      <c r="W610" s="3"/>
      <c r="X610" s="3"/>
      <c r="Y610" s="4"/>
      <c r="Z610"/>
      <c r="AA610"/>
    </row>
    <row r="611" spans="1:27" s="37" customFormat="1" x14ac:dyDescent="0.15">
      <c r="A611" s="166"/>
      <c r="B611" s="82"/>
      <c r="C611" s="70"/>
      <c r="D611" s="70"/>
      <c r="E611" s="70"/>
      <c r="F611" s="70"/>
      <c r="G611" s="70"/>
      <c r="H611" s="85"/>
      <c r="I611" s="85"/>
      <c r="J611" s="131"/>
      <c r="K611" s="60"/>
      <c r="L611" s="49"/>
      <c r="P611" s="3"/>
      <c r="Q611" s="3"/>
      <c r="R611" s="3"/>
      <c r="S611" s="3"/>
      <c r="T611" s="3"/>
      <c r="U611" s="3"/>
      <c r="V611" s="3"/>
      <c r="W611" s="3"/>
      <c r="X611" s="3"/>
      <c r="Y611" s="4"/>
      <c r="Z611"/>
      <c r="AA611"/>
    </row>
    <row r="612" spans="1:27" s="37" customFormat="1" x14ac:dyDescent="0.15">
      <c r="A612" s="166"/>
      <c r="B612" s="82"/>
      <c r="C612" s="70"/>
      <c r="D612" s="70"/>
      <c r="E612" s="70"/>
      <c r="F612" s="70"/>
      <c r="G612" s="70"/>
      <c r="H612" s="85"/>
      <c r="I612" s="85"/>
      <c r="J612" s="131"/>
      <c r="K612" s="60"/>
      <c r="L612" s="49"/>
      <c r="P612" s="3"/>
      <c r="Q612" s="3"/>
      <c r="R612" s="3"/>
      <c r="S612" s="3"/>
      <c r="T612" s="3"/>
      <c r="U612" s="3"/>
      <c r="V612" s="3"/>
      <c r="W612" s="3"/>
      <c r="X612" s="3"/>
      <c r="Y612" s="4"/>
      <c r="Z612"/>
      <c r="AA612"/>
    </row>
    <row r="613" spans="1:27" s="37" customFormat="1" x14ac:dyDescent="0.15">
      <c r="A613" s="166"/>
      <c r="B613" s="82"/>
      <c r="C613" s="70"/>
      <c r="D613" s="70"/>
      <c r="E613" s="70"/>
      <c r="F613" s="70"/>
      <c r="G613" s="70"/>
      <c r="H613" s="85"/>
      <c r="I613" s="85"/>
      <c r="J613" s="131"/>
      <c r="K613" s="60"/>
      <c r="L613" s="49"/>
      <c r="P613" s="3"/>
      <c r="Q613" s="3"/>
      <c r="R613" s="3"/>
      <c r="S613" s="3"/>
      <c r="T613" s="3"/>
      <c r="U613" s="3"/>
      <c r="V613" s="3"/>
      <c r="W613" s="3"/>
      <c r="X613" s="3"/>
      <c r="Y613" s="4"/>
      <c r="Z613"/>
      <c r="AA613"/>
    </row>
    <row r="614" spans="1:27" s="37" customFormat="1" x14ac:dyDescent="0.15">
      <c r="A614" s="166"/>
      <c r="B614" s="82"/>
      <c r="C614" s="70"/>
      <c r="D614" s="70"/>
      <c r="E614" s="70"/>
      <c r="F614" s="70"/>
      <c r="G614" s="70"/>
      <c r="H614" s="85"/>
      <c r="I614" s="85"/>
      <c r="J614" s="131"/>
      <c r="K614" s="60"/>
      <c r="L614" s="49"/>
      <c r="P614" s="3"/>
      <c r="Q614" s="3"/>
      <c r="R614" s="3"/>
      <c r="S614" s="3"/>
      <c r="T614" s="3"/>
      <c r="U614" s="3"/>
      <c r="V614" s="3"/>
      <c r="W614" s="3"/>
      <c r="X614" s="3"/>
      <c r="Y614" s="4"/>
      <c r="Z614"/>
      <c r="AA614"/>
    </row>
    <row r="615" spans="1:27" s="37" customFormat="1" ht="16" x14ac:dyDescent="0.2">
      <c r="A615" s="166"/>
      <c r="B615" s="82"/>
      <c r="C615" s="70"/>
      <c r="D615" s="70"/>
      <c r="E615" s="70"/>
      <c r="F615" s="70"/>
      <c r="G615" s="70"/>
      <c r="H615" s="85"/>
      <c r="I615" s="85"/>
      <c r="J615" s="131"/>
      <c r="K615" s="60"/>
      <c r="L615" s="47"/>
      <c r="P615" s="3"/>
      <c r="Q615" s="3"/>
      <c r="R615" s="3"/>
      <c r="S615" s="3"/>
      <c r="T615" s="3"/>
      <c r="U615" s="3"/>
      <c r="V615" s="3"/>
      <c r="W615" s="3"/>
      <c r="X615" s="3"/>
      <c r="Y615" s="4"/>
      <c r="Z615"/>
      <c r="AA615"/>
    </row>
    <row r="616" spans="1:27" s="37" customFormat="1" ht="16" x14ac:dyDescent="0.2">
      <c r="A616" s="166"/>
      <c r="B616" s="82"/>
      <c r="C616" s="70"/>
      <c r="D616" s="70"/>
      <c r="E616" s="70"/>
      <c r="F616" s="70"/>
      <c r="G616" s="70"/>
      <c r="H616" s="85"/>
      <c r="I616" s="85"/>
      <c r="J616" s="131"/>
      <c r="K616" s="60"/>
      <c r="L616" s="47"/>
      <c r="P616" s="3"/>
      <c r="Q616" s="3"/>
      <c r="R616" s="3"/>
      <c r="S616" s="3"/>
      <c r="T616" s="3"/>
      <c r="U616" s="3"/>
      <c r="V616" s="3"/>
      <c r="W616" s="3"/>
      <c r="X616" s="3"/>
      <c r="Y616" s="4"/>
      <c r="Z616"/>
      <c r="AA616"/>
    </row>
    <row r="617" spans="1:27" s="37" customFormat="1" ht="16" x14ac:dyDescent="0.2">
      <c r="A617" s="166"/>
      <c r="B617" s="82"/>
      <c r="C617" s="70"/>
      <c r="D617" s="70"/>
      <c r="E617" s="70"/>
      <c r="F617" s="70"/>
      <c r="G617" s="70"/>
      <c r="H617" s="85"/>
      <c r="I617" s="85"/>
      <c r="J617" s="131"/>
      <c r="K617" s="60"/>
      <c r="L617" s="47"/>
      <c r="P617" s="3"/>
      <c r="Q617" s="3"/>
      <c r="R617" s="3"/>
      <c r="S617" s="3"/>
      <c r="T617" s="3"/>
      <c r="U617" s="3"/>
      <c r="V617" s="3"/>
      <c r="W617" s="3"/>
      <c r="X617" s="3"/>
      <c r="Y617" s="4"/>
      <c r="Z617"/>
      <c r="AA617"/>
    </row>
    <row r="618" spans="1:27" s="37" customFormat="1" x14ac:dyDescent="0.15">
      <c r="A618" s="166"/>
      <c r="B618" s="82"/>
      <c r="C618" s="70"/>
      <c r="D618" s="70"/>
      <c r="E618" s="70"/>
      <c r="F618" s="70"/>
      <c r="G618" s="70"/>
      <c r="H618" s="85"/>
      <c r="I618" s="85"/>
      <c r="J618" s="131"/>
      <c r="K618" s="60"/>
      <c r="L618" s="49"/>
      <c r="P618" s="3"/>
      <c r="Q618" s="3"/>
      <c r="R618" s="3"/>
      <c r="S618" s="3"/>
      <c r="T618" s="3"/>
      <c r="U618" s="3"/>
      <c r="V618" s="3"/>
      <c r="W618" s="3"/>
      <c r="X618" s="3"/>
      <c r="Y618" s="4"/>
      <c r="Z618"/>
      <c r="AA618"/>
    </row>
    <row r="619" spans="1:27" s="37" customFormat="1" ht="16" x14ac:dyDescent="0.2">
      <c r="A619" s="166"/>
      <c r="B619" s="82"/>
      <c r="C619" s="70"/>
      <c r="D619" s="70"/>
      <c r="E619" s="70"/>
      <c r="F619" s="70"/>
      <c r="G619" s="70"/>
      <c r="H619" s="85"/>
      <c r="I619" s="85"/>
      <c r="J619" s="131"/>
      <c r="K619" s="60"/>
      <c r="L619" s="47"/>
      <c r="P619" s="3"/>
      <c r="Q619" s="3"/>
      <c r="R619" s="3"/>
      <c r="S619" s="3"/>
      <c r="T619" s="3"/>
      <c r="U619" s="3"/>
      <c r="V619" s="3"/>
      <c r="W619" s="3"/>
      <c r="X619" s="3"/>
      <c r="Y619" s="4"/>
      <c r="Z619"/>
      <c r="AA619"/>
    </row>
    <row r="620" spans="1:27" s="37" customFormat="1" x14ac:dyDescent="0.15">
      <c r="A620" s="166"/>
      <c r="B620" s="82"/>
      <c r="C620" s="70"/>
      <c r="D620" s="70"/>
      <c r="E620" s="70"/>
      <c r="F620" s="70"/>
      <c r="G620" s="70"/>
      <c r="H620" s="85"/>
      <c r="I620" s="85"/>
      <c r="J620" s="131"/>
      <c r="K620" s="60"/>
      <c r="L620" s="49"/>
      <c r="P620" s="3"/>
      <c r="Q620" s="3"/>
      <c r="R620" s="3"/>
      <c r="S620" s="3"/>
      <c r="T620" s="3"/>
      <c r="U620" s="3"/>
      <c r="V620" s="3"/>
      <c r="W620" s="3"/>
      <c r="X620" s="3"/>
      <c r="Y620" s="4"/>
      <c r="Z620"/>
      <c r="AA620"/>
    </row>
    <row r="621" spans="1:27" s="37" customFormat="1" x14ac:dyDescent="0.15">
      <c r="A621" s="166"/>
      <c r="B621" s="82"/>
      <c r="C621" s="70"/>
      <c r="D621" s="70"/>
      <c r="E621" s="70"/>
      <c r="F621" s="70"/>
      <c r="G621" s="70"/>
      <c r="H621" s="85"/>
      <c r="I621" s="85"/>
      <c r="J621" s="131"/>
      <c r="K621" s="60"/>
      <c r="L621" s="49"/>
      <c r="P621" s="3"/>
      <c r="Q621" s="3"/>
      <c r="R621" s="3"/>
      <c r="S621" s="3"/>
      <c r="T621" s="3"/>
      <c r="U621" s="3"/>
      <c r="V621" s="3"/>
      <c r="W621" s="3"/>
      <c r="X621" s="3"/>
      <c r="Y621" s="4"/>
      <c r="Z621"/>
      <c r="AA621"/>
    </row>
    <row r="622" spans="1:27" s="37" customFormat="1" x14ac:dyDescent="0.15">
      <c r="A622" s="166"/>
      <c r="B622" s="82"/>
      <c r="C622" s="70"/>
      <c r="D622" s="70"/>
      <c r="E622" s="70"/>
      <c r="F622" s="70"/>
      <c r="G622" s="70"/>
      <c r="H622" s="85"/>
      <c r="I622" s="85"/>
      <c r="J622" s="131"/>
      <c r="K622" s="60"/>
      <c r="L622" s="49"/>
      <c r="P622" s="3"/>
      <c r="Q622" s="3"/>
      <c r="R622" s="3"/>
      <c r="S622" s="3"/>
      <c r="T622" s="3"/>
      <c r="U622" s="3"/>
      <c r="V622" s="3"/>
      <c r="W622" s="3"/>
      <c r="X622" s="3"/>
      <c r="Y622" s="4"/>
      <c r="Z622"/>
      <c r="AA622"/>
    </row>
    <row r="623" spans="1:27" s="37" customFormat="1" x14ac:dyDescent="0.15">
      <c r="A623" s="166"/>
      <c r="B623" s="93"/>
      <c r="C623" s="70"/>
      <c r="D623" s="70"/>
      <c r="E623" s="73"/>
      <c r="F623" s="70"/>
      <c r="G623" s="70"/>
      <c r="H623" s="85"/>
      <c r="I623" s="85"/>
      <c r="J623" s="131"/>
      <c r="K623" s="60"/>
      <c r="L623" s="49"/>
      <c r="P623" s="3"/>
      <c r="Q623" s="3"/>
      <c r="R623" s="3"/>
      <c r="S623" s="3"/>
      <c r="T623" s="3"/>
      <c r="U623" s="3"/>
      <c r="V623" s="3"/>
      <c r="W623" s="3"/>
      <c r="X623" s="3"/>
      <c r="Y623" s="4"/>
      <c r="Z623"/>
      <c r="AA623"/>
    </row>
    <row r="624" spans="1:27" s="37" customFormat="1" x14ac:dyDescent="0.15">
      <c r="A624" s="166"/>
      <c r="B624" s="82"/>
      <c r="C624" s="70"/>
      <c r="D624" s="70"/>
      <c r="E624" s="70"/>
      <c r="F624" s="70"/>
      <c r="G624" s="70"/>
      <c r="H624" s="85"/>
      <c r="I624" s="85"/>
      <c r="J624" s="131"/>
      <c r="K624" s="60"/>
      <c r="L624" s="49"/>
      <c r="P624" s="3"/>
      <c r="Q624" s="3"/>
      <c r="R624" s="3"/>
      <c r="S624" s="3"/>
      <c r="T624" s="3"/>
      <c r="U624" s="3"/>
      <c r="V624" s="3"/>
      <c r="W624" s="3"/>
      <c r="X624" s="3"/>
      <c r="Y624" s="4"/>
      <c r="Z624"/>
      <c r="AA624"/>
    </row>
    <row r="625" spans="1:27" s="37" customFormat="1" ht="16" x14ac:dyDescent="0.2">
      <c r="A625" s="166"/>
      <c r="B625" s="82"/>
      <c r="C625" s="70"/>
      <c r="D625" s="70"/>
      <c r="E625" s="70"/>
      <c r="F625" s="70"/>
      <c r="G625" s="70"/>
      <c r="H625" s="85"/>
      <c r="I625" s="85"/>
      <c r="J625" s="131"/>
      <c r="K625" s="60"/>
      <c r="L625" s="47"/>
      <c r="P625" s="3"/>
      <c r="Q625" s="3"/>
      <c r="R625" s="3"/>
      <c r="S625" s="3"/>
      <c r="T625" s="3"/>
      <c r="U625" s="3"/>
      <c r="V625" s="3"/>
      <c r="W625" s="3"/>
      <c r="X625" s="3"/>
      <c r="Y625" s="4"/>
      <c r="Z625"/>
      <c r="AA625"/>
    </row>
    <row r="626" spans="1:27" s="37" customFormat="1" x14ac:dyDescent="0.15">
      <c r="A626" s="166"/>
      <c r="B626" s="82"/>
      <c r="C626" s="70"/>
      <c r="D626" s="70"/>
      <c r="E626" s="70"/>
      <c r="F626" s="70"/>
      <c r="G626" s="70"/>
      <c r="H626" s="85"/>
      <c r="I626" s="85"/>
      <c r="J626" s="131"/>
      <c r="K626" s="60"/>
      <c r="L626" s="49"/>
      <c r="P626" s="3"/>
      <c r="Q626" s="3"/>
      <c r="R626" s="3"/>
      <c r="S626" s="3"/>
      <c r="T626" s="3"/>
      <c r="U626" s="3"/>
      <c r="V626" s="3"/>
      <c r="W626" s="3"/>
      <c r="X626" s="3"/>
      <c r="Y626" s="4"/>
      <c r="Z626"/>
      <c r="AA626"/>
    </row>
    <row r="627" spans="1:27" s="37" customFormat="1" x14ac:dyDescent="0.15">
      <c r="A627" s="166"/>
      <c r="B627" s="82"/>
      <c r="C627" s="70"/>
      <c r="D627" s="70"/>
      <c r="E627" s="70"/>
      <c r="F627" s="70"/>
      <c r="G627" s="70"/>
      <c r="H627" s="85"/>
      <c r="I627" s="85"/>
      <c r="J627" s="131"/>
      <c r="K627" s="60"/>
      <c r="L627" s="49"/>
      <c r="P627" s="3"/>
      <c r="Q627" s="3"/>
      <c r="R627" s="3"/>
      <c r="S627" s="3"/>
      <c r="T627" s="3"/>
      <c r="U627" s="3"/>
      <c r="V627" s="3"/>
      <c r="W627" s="3"/>
      <c r="X627" s="3"/>
      <c r="Y627" s="4"/>
      <c r="Z627"/>
      <c r="AA627"/>
    </row>
    <row r="628" spans="1:27" s="37" customFormat="1" x14ac:dyDescent="0.15">
      <c r="A628" s="165"/>
      <c r="B628" s="97"/>
      <c r="C628" s="62"/>
      <c r="D628" s="62"/>
      <c r="E628" s="62"/>
      <c r="F628" s="62"/>
      <c r="G628" s="62"/>
      <c r="H628" s="85"/>
      <c r="I628" s="98"/>
      <c r="J628" s="135"/>
      <c r="K628" s="67"/>
      <c r="L628" s="56"/>
      <c r="P628" s="3"/>
      <c r="Q628" s="3"/>
      <c r="R628" s="3"/>
      <c r="S628" s="3"/>
      <c r="T628" s="3"/>
      <c r="U628" s="3"/>
      <c r="V628" s="3"/>
      <c r="W628" s="3"/>
      <c r="X628" s="3"/>
      <c r="Y628" s="4"/>
      <c r="Z628"/>
      <c r="AA628"/>
    </row>
    <row r="629" spans="1:27" s="37" customFormat="1" x14ac:dyDescent="0.15">
      <c r="A629" s="166"/>
      <c r="B629" s="82"/>
      <c r="C629" s="70"/>
      <c r="D629" s="70"/>
      <c r="E629" s="70"/>
      <c r="F629" s="70"/>
      <c r="G629" s="70"/>
      <c r="H629" s="85"/>
      <c r="I629" s="85"/>
      <c r="J629" s="131"/>
      <c r="K629" s="60"/>
      <c r="L629" s="49"/>
      <c r="P629" s="3"/>
      <c r="Q629" s="3"/>
      <c r="R629" s="3"/>
      <c r="S629" s="3"/>
      <c r="T629" s="3"/>
      <c r="U629" s="3"/>
      <c r="V629" s="3"/>
      <c r="W629" s="3"/>
      <c r="X629" s="3"/>
      <c r="Y629" s="4"/>
      <c r="Z629"/>
      <c r="AA629"/>
    </row>
    <row r="630" spans="1:27" s="37" customFormat="1" ht="16" x14ac:dyDescent="0.2">
      <c r="A630" s="166"/>
      <c r="B630" s="82"/>
      <c r="C630" s="70"/>
      <c r="D630" s="70"/>
      <c r="E630" s="70"/>
      <c r="F630" s="70"/>
      <c r="G630" s="70"/>
      <c r="H630" s="85"/>
      <c r="I630" s="85"/>
      <c r="J630" s="131"/>
      <c r="K630" s="60"/>
      <c r="L630" s="47"/>
      <c r="P630" s="3"/>
      <c r="Q630" s="3"/>
      <c r="R630" s="3"/>
      <c r="S630" s="3"/>
      <c r="T630" s="3"/>
      <c r="U630" s="3"/>
      <c r="V630" s="3"/>
      <c r="W630" s="3"/>
      <c r="X630" s="3"/>
      <c r="Y630" s="4"/>
      <c r="Z630"/>
      <c r="AA630"/>
    </row>
    <row r="631" spans="1:27" s="37" customFormat="1" x14ac:dyDescent="0.15">
      <c r="A631" s="166"/>
      <c r="B631" s="82"/>
      <c r="C631" s="70"/>
      <c r="D631" s="70"/>
      <c r="E631" s="70"/>
      <c r="F631" s="70"/>
      <c r="G631" s="70"/>
      <c r="H631" s="85"/>
      <c r="I631" s="85"/>
      <c r="J631" s="131"/>
      <c r="K631" s="60"/>
      <c r="L631" s="49"/>
      <c r="P631" s="3"/>
      <c r="Q631" s="3"/>
      <c r="R631" s="3"/>
      <c r="S631" s="3"/>
      <c r="T631" s="3"/>
      <c r="U631" s="3"/>
      <c r="V631" s="3"/>
      <c r="W631" s="3"/>
      <c r="X631" s="3"/>
      <c r="Y631" s="4"/>
      <c r="Z631"/>
      <c r="AA631"/>
    </row>
    <row r="632" spans="1:27" s="37" customFormat="1" x14ac:dyDescent="0.15">
      <c r="A632" s="166"/>
      <c r="B632" s="82"/>
      <c r="C632" s="73"/>
      <c r="D632" s="73"/>
      <c r="E632" s="73"/>
      <c r="F632" s="73"/>
      <c r="G632" s="73"/>
      <c r="H632" s="85"/>
      <c r="I632" s="85"/>
      <c r="J632" s="131"/>
      <c r="K632" s="60"/>
      <c r="L632" s="49"/>
      <c r="P632" s="3"/>
      <c r="Q632" s="3"/>
      <c r="R632" s="3"/>
      <c r="S632" s="3"/>
      <c r="T632" s="3"/>
      <c r="U632" s="3"/>
      <c r="V632" s="3"/>
      <c r="W632" s="3"/>
      <c r="X632" s="3"/>
      <c r="Y632" s="4"/>
      <c r="Z632"/>
      <c r="AA632"/>
    </row>
    <row r="633" spans="1:27" s="37" customFormat="1" x14ac:dyDescent="0.15">
      <c r="A633" s="166"/>
      <c r="B633" s="82"/>
      <c r="C633" s="70"/>
      <c r="D633" s="70"/>
      <c r="E633" s="70"/>
      <c r="F633" s="70"/>
      <c r="G633" s="70"/>
      <c r="H633" s="85"/>
      <c r="I633" s="85"/>
      <c r="J633" s="131"/>
      <c r="K633" s="60"/>
      <c r="L633" s="49"/>
      <c r="P633" s="3"/>
      <c r="Q633" s="3"/>
      <c r="R633" s="3"/>
      <c r="S633" s="3"/>
      <c r="T633" s="3"/>
      <c r="U633" s="3"/>
      <c r="V633" s="3"/>
      <c r="W633" s="3"/>
      <c r="X633" s="3"/>
      <c r="Y633" s="4"/>
      <c r="Z633"/>
      <c r="AA633"/>
    </row>
    <row r="634" spans="1:27" s="37" customFormat="1" ht="16" x14ac:dyDescent="0.2">
      <c r="A634" s="166"/>
      <c r="B634" s="82"/>
      <c r="C634" s="70"/>
      <c r="D634" s="70"/>
      <c r="E634" s="70"/>
      <c r="F634" s="70"/>
      <c r="G634" s="70"/>
      <c r="H634" s="85"/>
      <c r="I634" s="85"/>
      <c r="J634" s="131"/>
      <c r="K634" s="69"/>
      <c r="L634" s="47"/>
      <c r="P634" s="3"/>
      <c r="Q634" s="3"/>
      <c r="R634" s="3"/>
      <c r="S634" s="3"/>
      <c r="T634" s="3"/>
      <c r="U634" s="3"/>
      <c r="V634" s="3"/>
      <c r="W634" s="3"/>
      <c r="X634" s="3"/>
      <c r="Y634" s="4"/>
      <c r="Z634"/>
      <c r="AA634"/>
    </row>
    <row r="635" spans="1:27" s="37" customFormat="1" x14ac:dyDescent="0.15">
      <c r="A635" s="166"/>
      <c r="B635" s="82"/>
      <c r="C635" s="70"/>
      <c r="D635" s="70"/>
      <c r="E635" s="70"/>
      <c r="F635" s="70"/>
      <c r="G635" s="70"/>
      <c r="H635" s="85"/>
      <c r="I635" s="85"/>
      <c r="J635" s="131"/>
      <c r="K635" s="60"/>
      <c r="L635" s="49"/>
      <c r="P635" s="3"/>
      <c r="Q635" s="3"/>
      <c r="R635" s="3"/>
      <c r="S635" s="3"/>
      <c r="T635" s="3"/>
      <c r="U635" s="3"/>
      <c r="V635" s="3"/>
      <c r="W635" s="3"/>
      <c r="X635" s="3"/>
      <c r="Y635" s="4"/>
      <c r="Z635"/>
      <c r="AA635"/>
    </row>
    <row r="636" spans="1:27" s="37" customFormat="1" x14ac:dyDescent="0.15">
      <c r="A636" s="166"/>
      <c r="B636" s="82"/>
      <c r="C636" s="70"/>
      <c r="D636" s="70"/>
      <c r="E636" s="70"/>
      <c r="F636" s="70"/>
      <c r="G636" s="70"/>
      <c r="H636" s="85"/>
      <c r="I636" s="85"/>
      <c r="J636" s="131"/>
      <c r="K636" s="60"/>
      <c r="L636" s="49"/>
      <c r="P636" s="3"/>
      <c r="Q636" s="3"/>
      <c r="R636" s="3"/>
      <c r="S636" s="3"/>
      <c r="T636" s="3"/>
      <c r="U636" s="3"/>
      <c r="V636" s="3"/>
      <c r="W636" s="3"/>
      <c r="X636" s="3"/>
      <c r="Y636" s="4"/>
      <c r="Z636"/>
      <c r="AA636"/>
    </row>
    <row r="637" spans="1:27" s="37" customFormat="1" x14ac:dyDescent="0.15">
      <c r="A637" s="166"/>
      <c r="B637" s="82"/>
      <c r="C637" s="70"/>
      <c r="D637" s="70"/>
      <c r="E637" s="70"/>
      <c r="F637" s="70"/>
      <c r="G637" s="70"/>
      <c r="H637" s="85"/>
      <c r="I637" s="85"/>
      <c r="J637" s="131"/>
      <c r="K637" s="60"/>
      <c r="L637" s="49"/>
      <c r="P637" s="3"/>
      <c r="Q637" s="3"/>
      <c r="R637" s="3"/>
      <c r="S637" s="3"/>
      <c r="T637" s="3"/>
      <c r="U637" s="3"/>
      <c r="V637" s="3"/>
      <c r="W637" s="3"/>
      <c r="X637" s="3"/>
      <c r="Y637" s="4"/>
      <c r="Z637"/>
      <c r="AA637"/>
    </row>
    <row r="638" spans="1:27" s="37" customFormat="1" x14ac:dyDescent="0.15">
      <c r="A638" s="166"/>
      <c r="B638" s="82"/>
      <c r="C638" s="70"/>
      <c r="D638" s="70"/>
      <c r="E638" s="70"/>
      <c r="F638" s="70"/>
      <c r="G638" s="70"/>
      <c r="H638" s="85"/>
      <c r="I638" s="85"/>
      <c r="J638" s="131"/>
      <c r="K638" s="60"/>
      <c r="L638" s="49"/>
      <c r="P638" s="3"/>
      <c r="Q638" s="3"/>
      <c r="R638" s="3"/>
      <c r="S638" s="3"/>
      <c r="T638" s="3"/>
      <c r="U638" s="3"/>
      <c r="V638" s="3"/>
      <c r="W638" s="3"/>
      <c r="X638" s="3"/>
      <c r="Y638" s="4"/>
      <c r="Z638"/>
      <c r="AA638"/>
    </row>
    <row r="639" spans="1:27" s="37" customFormat="1" x14ac:dyDescent="0.15">
      <c r="A639" s="166"/>
      <c r="B639" s="82"/>
      <c r="C639" s="70"/>
      <c r="D639" s="70"/>
      <c r="E639" s="70"/>
      <c r="F639" s="70"/>
      <c r="G639" s="70"/>
      <c r="H639" s="85"/>
      <c r="I639" s="85"/>
      <c r="J639" s="131"/>
      <c r="K639" s="60"/>
      <c r="L639" s="49"/>
      <c r="P639" s="3"/>
      <c r="Q639" s="3"/>
      <c r="R639" s="3"/>
      <c r="S639" s="3"/>
      <c r="T639" s="3"/>
      <c r="U639" s="3"/>
      <c r="V639" s="3"/>
      <c r="W639" s="3"/>
      <c r="X639" s="3"/>
      <c r="Y639" s="4"/>
      <c r="Z639"/>
      <c r="AA639"/>
    </row>
    <row r="640" spans="1:27" s="37" customFormat="1" x14ac:dyDescent="0.15">
      <c r="A640" s="166"/>
      <c r="B640" s="82"/>
      <c r="C640" s="70"/>
      <c r="D640" s="70"/>
      <c r="E640" s="70"/>
      <c r="F640" s="70"/>
      <c r="G640" s="70"/>
      <c r="H640" s="85"/>
      <c r="I640" s="85"/>
      <c r="J640" s="131"/>
      <c r="K640" s="60"/>
      <c r="L640" s="50"/>
      <c r="P640" s="3"/>
      <c r="Q640" s="3"/>
      <c r="R640" s="3"/>
      <c r="S640" s="3"/>
      <c r="T640" s="3"/>
      <c r="U640" s="3"/>
      <c r="V640" s="3"/>
      <c r="W640" s="3"/>
      <c r="X640" s="3"/>
      <c r="Y640" s="4"/>
      <c r="Z640"/>
      <c r="AA640"/>
    </row>
    <row r="641" spans="1:27" s="37" customFormat="1" x14ac:dyDescent="0.15">
      <c r="A641" s="166"/>
      <c r="B641" s="82"/>
      <c r="C641" s="70"/>
      <c r="D641" s="70"/>
      <c r="E641" s="70"/>
      <c r="F641" s="70"/>
      <c r="G641" s="70"/>
      <c r="H641" s="85"/>
      <c r="I641" s="85"/>
      <c r="J641" s="131"/>
      <c r="K641" s="63"/>
      <c r="L641" s="50"/>
      <c r="P641" s="3"/>
      <c r="Q641" s="3"/>
      <c r="R641" s="3"/>
      <c r="S641" s="3"/>
      <c r="T641" s="3"/>
      <c r="U641" s="3"/>
      <c r="V641" s="3"/>
      <c r="W641" s="3"/>
      <c r="X641" s="3"/>
      <c r="Y641" s="4"/>
      <c r="Z641"/>
      <c r="AA641"/>
    </row>
    <row r="642" spans="1:27" s="37" customFormat="1" x14ac:dyDescent="0.15">
      <c r="A642" s="166"/>
      <c r="B642" s="82"/>
      <c r="C642" s="70"/>
      <c r="D642" s="70"/>
      <c r="E642" s="70"/>
      <c r="F642" s="70"/>
      <c r="G642" s="70"/>
      <c r="H642" s="85"/>
      <c r="I642" s="85"/>
      <c r="J642" s="131"/>
      <c r="K642" s="69"/>
      <c r="L642" s="49"/>
      <c r="P642" s="3"/>
      <c r="Q642" s="3"/>
      <c r="R642" s="3"/>
      <c r="S642" s="3"/>
      <c r="T642" s="3"/>
      <c r="U642" s="3"/>
      <c r="V642" s="3"/>
      <c r="W642" s="3"/>
      <c r="X642" s="3"/>
      <c r="Y642" s="4"/>
      <c r="Z642"/>
      <c r="AA642"/>
    </row>
    <row r="643" spans="1:27" s="37" customFormat="1" x14ac:dyDescent="0.15">
      <c r="A643" s="166"/>
      <c r="B643" s="82"/>
      <c r="C643" s="70"/>
      <c r="D643" s="70"/>
      <c r="E643" s="70"/>
      <c r="F643" s="70"/>
      <c r="G643" s="70"/>
      <c r="H643" s="85"/>
      <c r="I643" s="85"/>
      <c r="J643" s="131"/>
      <c r="K643" s="69"/>
      <c r="L643" s="49"/>
      <c r="P643" s="3"/>
      <c r="Q643" s="3"/>
      <c r="R643" s="3"/>
      <c r="S643" s="3"/>
      <c r="T643" s="3"/>
      <c r="U643" s="3"/>
      <c r="V643" s="3"/>
      <c r="W643" s="3"/>
      <c r="X643" s="3"/>
      <c r="Y643" s="4"/>
      <c r="Z643"/>
      <c r="AA643"/>
    </row>
    <row r="644" spans="1:27" s="37" customFormat="1" x14ac:dyDescent="0.15">
      <c r="A644" s="166"/>
      <c r="B644" s="82"/>
      <c r="C644" s="70"/>
      <c r="D644" s="70"/>
      <c r="E644" s="70"/>
      <c r="F644" s="70"/>
      <c r="G644" s="70"/>
      <c r="H644" s="85"/>
      <c r="I644" s="85"/>
      <c r="J644" s="131"/>
      <c r="K644" s="69"/>
      <c r="L644" s="49"/>
      <c r="P644" s="3"/>
      <c r="Q644" s="3"/>
      <c r="R644" s="3"/>
      <c r="S644" s="3"/>
      <c r="T644" s="3"/>
      <c r="U644" s="3"/>
      <c r="V644" s="3"/>
      <c r="W644" s="3"/>
      <c r="X644" s="3"/>
      <c r="Y644" s="4"/>
      <c r="Z644"/>
      <c r="AA644"/>
    </row>
    <row r="645" spans="1:27" s="37" customFormat="1" x14ac:dyDescent="0.15">
      <c r="A645" s="166"/>
      <c r="B645" s="82"/>
      <c r="C645" s="70"/>
      <c r="D645" s="70"/>
      <c r="E645" s="70"/>
      <c r="F645" s="70"/>
      <c r="G645" s="70"/>
      <c r="H645" s="85"/>
      <c r="I645" s="85"/>
      <c r="J645" s="131"/>
      <c r="K645" s="60"/>
      <c r="L645" s="49"/>
      <c r="P645" s="3"/>
      <c r="Q645" s="3"/>
      <c r="R645" s="3"/>
      <c r="S645" s="3"/>
      <c r="T645" s="3"/>
      <c r="U645" s="3"/>
      <c r="V645" s="3"/>
      <c r="W645" s="3"/>
      <c r="X645" s="3"/>
      <c r="Y645" s="4"/>
      <c r="Z645"/>
      <c r="AA645"/>
    </row>
    <row r="646" spans="1:27" s="37" customFormat="1" x14ac:dyDescent="0.15">
      <c r="A646" s="166"/>
      <c r="B646" s="82"/>
      <c r="C646" s="70"/>
      <c r="D646" s="70"/>
      <c r="E646" s="70"/>
      <c r="F646" s="70"/>
      <c r="G646" s="70"/>
      <c r="H646" s="85"/>
      <c r="I646" s="85"/>
      <c r="J646" s="131"/>
      <c r="K646" s="60"/>
      <c r="L646" s="49"/>
      <c r="P646" s="3"/>
      <c r="Q646" s="3"/>
      <c r="R646" s="3"/>
      <c r="S646" s="3"/>
      <c r="T646" s="3"/>
      <c r="U646" s="3"/>
      <c r="V646" s="3"/>
      <c r="W646" s="3"/>
      <c r="X646" s="3"/>
      <c r="Y646" s="4"/>
      <c r="Z646"/>
      <c r="AA646"/>
    </row>
    <row r="647" spans="1:27" s="37" customFormat="1" x14ac:dyDescent="0.15">
      <c r="A647" s="166"/>
      <c r="B647" s="82"/>
      <c r="C647" s="70"/>
      <c r="D647" s="70"/>
      <c r="E647" s="70"/>
      <c r="F647" s="70"/>
      <c r="G647" s="70"/>
      <c r="H647" s="85"/>
      <c r="I647" s="85"/>
      <c r="J647" s="131"/>
      <c r="K647" s="69"/>
      <c r="L647" s="49"/>
      <c r="P647" s="3"/>
      <c r="Q647" s="3"/>
      <c r="R647" s="3"/>
      <c r="S647" s="3"/>
      <c r="T647" s="3"/>
      <c r="U647" s="3"/>
      <c r="V647" s="3"/>
      <c r="W647" s="3"/>
      <c r="X647" s="3"/>
      <c r="Y647" s="4"/>
      <c r="Z647"/>
      <c r="AA647"/>
    </row>
    <row r="648" spans="1:27" s="37" customFormat="1" x14ac:dyDescent="0.15">
      <c r="A648" s="166"/>
      <c r="B648" s="82"/>
      <c r="C648" s="70"/>
      <c r="D648" s="70"/>
      <c r="E648" s="73"/>
      <c r="F648" s="70"/>
      <c r="G648" s="70"/>
      <c r="H648" s="85"/>
      <c r="I648" s="85"/>
      <c r="J648" s="131"/>
      <c r="K648" s="60"/>
      <c r="L648" s="49"/>
      <c r="P648" s="3"/>
      <c r="Q648" s="3"/>
      <c r="R648" s="3"/>
      <c r="S648" s="3"/>
      <c r="T648" s="3"/>
      <c r="U648" s="3"/>
      <c r="V648" s="3"/>
      <c r="W648" s="3"/>
      <c r="X648" s="3"/>
      <c r="Y648" s="4"/>
      <c r="Z648"/>
      <c r="AA648"/>
    </row>
    <row r="649" spans="1:27" s="37" customFormat="1" x14ac:dyDescent="0.15">
      <c r="A649" s="166"/>
      <c r="B649" s="82"/>
      <c r="C649" s="70"/>
      <c r="D649" s="70"/>
      <c r="E649" s="70"/>
      <c r="F649" s="70"/>
      <c r="G649" s="70"/>
      <c r="H649" s="85"/>
      <c r="I649" s="85"/>
      <c r="J649" s="131"/>
      <c r="K649" s="69"/>
      <c r="L649" s="49"/>
      <c r="P649" s="3"/>
      <c r="Q649" s="3"/>
      <c r="R649" s="3"/>
      <c r="S649" s="3"/>
      <c r="T649" s="3"/>
      <c r="U649" s="3"/>
      <c r="V649" s="3"/>
      <c r="W649" s="3"/>
      <c r="X649" s="3"/>
      <c r="Y649" s="4"/>
      <c r="Z649"/>
      <c r="AA649"/>
    </row>
    <row r="650" spans="1:27" s="37" customFormat="1" x14ac:dyDescent="0.15">
      <c r="A650" s="166"/>
      <c r="B650" s="82"/>
      <c r="C650" s="70"/>
      <c r="D650" s="70"/>
      <c r="E650" s="70"/>
      <c r="F650" s="70"/>
      <c r="G650" s="70"/>
      <c r="H650" s="85"/>
      <c r="I650" s="85"/>
      <c r="J650" s="131"/>
      <c r="K650" s="69"/>
      <c r="L650" s="49"/>
      <c r="P650" s="3"/>
      <c r="Q650" s="3"/>
      <c r="R650" s="3"/>
      <c r="S650" s="3"/>
      <c r="T650" s="3"/>
      <c r="U650" s="3"/>
      <c r="V650" s="3"/>
      <c r="W650" s="3"/>
      <c r="X650" s="3"/>
      <c r="Y650" s="4"/>
      <c r="Z650"/>
      <c r="AA650"/>
    </row>
    <row r="651" spans="1:27" s="37" customFormat="1" x14ac:dyDescent="0.15">
      <c r="A651" s="166"/>
      <c r="B651" s="82"/>
      <c r="C651" s="70"/>
      <c r="D651" s="70"/>
      <c r="E651" s="70"/>
      <c r="F651" s="70"/>
      <c r="G651" s="70"/>
      <c r="H651" s="85"/>
      <c r="I651" s="85"/>
      <c r="J651" s="131"/>
      <c r="K651" s="60"/>
      <c r="L651" s="49"/>
      <c r="P651" s="3"/>
      <c r="Q651" s="3"/>
      <c r="R651" s="3"/>
      <c r="S651" s="3"/>
      <c r="T651" s="3"/>
      <c r="U651" s="3"/>
      <c r="V651" s="3"/>
      <c r="W651" s="3"/>
      <c r="X651" s="3"/>
      <c r="Y651" s="4"/>
      <c r="Z651"/>
      <c r="AA651"/>
    </row>
    <row r="652" spans="1:27" s="37" customFormat="1" x14ac:dyDescent="0.15">
      <c r="A652" s="166"/>
      <c r="B652" s="82"/>
      <c r="C652" s="70"/>
      <c r="D652" s="70"/>
      <c r="E652" s="70"/>
      <c r="F652" s="70"/>
      <c r="G652" s="70"/>
      <c r="H652" s="85"/>
      <c r="I652" s="85"/>
      <c r="J652" s="131"/>
      <c r="K652" s="60"/>
      <c r="L652" s="49"/>
      <c r="P652" s="3"/>
      <c r="Q652" s="3"/>
      <c r="R652" s="3"/>
      <c r="S652" s="3"/>
      <c r="T652" s="3"/>
      <c r="U652" s="3"/>
      <c r="V652" s="3"/>
      <c r="W652" s="3"/>
      <c r="X652" s="3"/>
      <c r="Y652" s="4"/>
      <c r="Z652"/>
      <c r="AA652"/>
    </row>
    <row r="653" spans="1:27" s="37" customFormat="1" x14ac:dyDescent="0.15">
      <c r="A653" s="166"/>
      <c r="B653" s="82"/>
      <c r="C653" s="73"/>
      <c r="D653" s="73"/>
      <c r="E653" s="73"/>
      <c r="F653" s="73"/>
      <c r="G653" s="73"/>
      <c r="H653" s="85"/>
      <c r="I653" s="95"/>
      <c r="J653" s="131"/>
      <c r="K653" s="69"/>
      <c r="L653" s="49"/>
      <c r="P653" s="3"/>
      <c r="Q653" s="3"/>
      <c r="R653" s="3"/>
      <c r="S653" s="3"/>
      <c r="T653" s="3"/>
      <c r="U653" s="3"/>
      <c r="V653" s="3"/>
      <c r="W653" s="3"/>
      <c r="X653" s="3"/>
      <c r="Y653" s="4"/>
      <c r="Z653"/>
      <c r="AA653"/>
    </row>
    <row r="654" spans="1:27" s="37" customFormat="1" x14ac:dyDescent="0.15">
      <c r="A654" s="166"/>
      <c r="B654" s="82"/>
      <c r="C654" s="70"/>
      <c r="D654" s="70"/>
      <c r="E654" s="70"/>
      <c r="F654" s="70"/>
      <c r="G654" s="70"/>
      <c r="H654" s="85"/>
      <c r="I654" s="85"/>
      <c r="J654" s="131"/>
      <c r="K654" s="69"/>
      <c r="L654" s="49"/>
      <c r="P654" s="3"/>
      <c r="Q654" s="3"/>
      <c r="R654" s="3"/>
      <c r="S654" s="3"/>
      <c r="T654" s="3"/>
      <c r="U654" s="3"/>
      <c r="V654" s="3"/>
      <c r="W654" s="3"/>
      <c r="X654" s="3"/>
      <c r="Y654" s="4"/>
      <c r="Z654"/>
      <c r="AA654"/>
    </row>
    <row r="655" spans="1:27" s="37" customFormat="1" x14ac:dyDescent="0.15">
      <c r="A655" s="166"/>
      <c r="B655" s="82"/>
      <c r="C655" s="70"/>
      <c r="D655" s="70"/>
      <c r="E655" s="70"/>
      <c r="F655" s="70"/>
      <c r="G655" s="70"/>
      <c r="H655" s="85"/>
      <c r="I655" s="85"/>
      <c r="J655" s="131"/>
      <c r="K655" s="69"/>
      <c r="L655" s="49"/>
      <c r="P655" s="3"/>
      <c r="Q655" s="3"/>
      <c r="R655" s="3"/>
      <c r="S655" s="3"/>
      <c r="T655" s="3"/>
      <c r="U655" s="3"/>
      <c r="V655" s="3"/>
      <c r="W655" s="3"/>
      <c r="X655" s="3"/>
      <c r="Y655" s="4"/>
      <c r="Z655"/>
      <c r="AA655"/>
    </row>
    <row r="656" spans="1:27" s="37" customFormat="1" x14ac:dyDescent="0.15">
      <c r="A656" s="166"/>
      <c r="B656" s="82"/>
      <c r="C656" s="70"/>
      <c r="D656" s="70"/>
      <c r="E656" s="70"/>
      <c r="F656" s="70"/>
      <c r="G656" s="70"/>
      <c r="H656" s="85"/>
      <c r="I656" s="85"/>
      <c r="J656" s="131"/>
      <c r="K656" s="60"/>
      <c r="L656" s="49"/>
      <c r="P656" s="3"/>
      <c r="Q656" s="3"/>
      <c r="R656" s="3"/>
      <c r="S656" s="3"/>
      <c r="T656" s="3"/>
      <c r="U656" s="3"/>
      <c r="V656" s="3"/>
      <c r="W656" s="3"/>
      <c r="X656" s="3"/>
      <c r="Y656" s="4"/>
      <c r="Z656"/>
      <c r="AA656"/>
    </row>
    <row r="657" spans="1:27" s="37" customFormat="1" x14ac:dyDescent="0.15">
      <c r="A657" s="166"/>
      <c r="B657" s="82"/>
      <c r="C657" s="70"/>
      <c r="D657" s="70"/>
      <c r="E657" s="70"/>
      <c r="F657" s="70"/>
      <c r="G657" s="70"/>
      <c r="H657" s="85"/>
      <c r="I657" s="85"/>
      <c r="J657" s="131"/>
      <c r="K657" s="69"/>
      <c r="L657" s="49"/>
      <c r="P657" s="3"/>
      <c r="Q657" s="3"/>
      <c r="R657" s="3"/>
      <c r="S657" s="3"/>
      <c r="T657" s="3"/>
      <c r="U657" s="3"/>
      <c r="V657" s="3"/>
      <c r="W657" s="3"/>
      <c r="X657" s="3"/>
      <c r="Y657" s="4"/>
      <c r="Z657"/>
      <c r="AA657"/>
    </row>
    <row r="658" spans="1:27" s="37" customFormat="1" x14ac:dyDescent="0.15">
      <c r="A658" s="166"/>
      <c r="B658" s="82"/>
      <c r="C658" s="70"/>
      <c r="D658" s="70"/>
      <c r="E658" s="70"/>
      <c r="F658" s="70"/>
      <c r="G658" s="70"/>
      <c r="H658" s="85"/>
      <c r="I658" s="85"/>
      <c r="J658" s="131"/>
      <c r="K658" s="63"/>
      <c r="L658" s="49"/>
      <c r="P658" s="3"/>
      <c r="Q658" s="3"/>
      <c r="R658" s="3"/>
      <c r="S658" s="3"/>
      <c r="T658" s="3"/>
      <c r="U658" s="3"/>
      <c r="V658" s="3"/>
      <c r="W658" s="3"/>
      <c r="X658" s="3"/>
      <c r="Y658" s="4"/>
      <c r="Z658"/>
      <c r="AA658"/>
    </row>
    <row r="659" spans="1:27" s="37" customFormat="1" x14ac:dyDescent="0.15">
      <c r="A659" s="166"/>
      <c r="B659" s="82"/>
      <c r="C659" s="70"/>
      <c r="D659" s="70"/>
      <c r="E659" s="70"/>
      <c r="F659" s="70"/>
      <c r="G659" s="70"/>
      <c r="H659" s="85"/>
      <c r="I659" s="85"/>
      <c r="J659" s="131"/>
      <c r="K659" s="69"/>
      <c r="L659" s="50"/>
      <c r="P659" s="3"/>
      <c r="Q659" s="3"/>
      <c r="R659" s="3"/>
      <c r="S659" s="3"/>
      <c r="T659" s="3"/>
      <c r="U659" s="3"/>
      <c r="V659" s="3"/>
      <c r="W659" s="3"/>
      <c r="X659" s="3"/>
      <c r="Y659" s="4"/>
      <c r="Z659"/>
      <c r="AA659"/>
    </row>
    <row r="660" spans="1:27" s="37" customFormat="1" x14ac:dyDescent="0.15">
      <c r="A660" s="166"/>
      <c r="B660" s="82"/>
      <c r="C660" s="70"/>
      <c r="D660" s="70"/>
      <c r="E660" s="70"/>
      <c r="F660" s="70"/>
      <c r="G660" s="70"/>
      <c r="H660" s="85"/>
      <c r="I660" s="85"/>
      <c r="J660" s="131"/>
      <c r="K660" s="69"/>
      <c r="L660" s="50"/>
      <c r="P660" s="3"/>
      <c r="Q660" s="3"/>
      <c r="R660" s="3"/>
      <c r="S660" s="3"/>
      <c r="T660" s="3"/>
      <c r="U660" s="3"/>
      <c r="V660" s="3"/>
      <c r="W660" s="3"/>
      <c r="X660" s="3"/>
      <c r="Y660" s="4"/>
      <c r="Z660"/>
      <c r="AA660"/>
    </row>
    <row r="661" spans="1:27" s="37" customFormat="1" x14ac:dyDescent="0.15">
      <c r="A661" s="166"/>
      <c r="B661" s="82"/>
      <c r="C661" s="70"/>
      <c r="D661" s="70"/>
      <c r="E661" s="70"/>
      <c r="F661" s="70"/>
      <c r="G661" s="70"/>
      <c r="H661" s="85"/>
      <c r="I661" s="85"/>
      <c r="J661" s="131"/>
      <c r="K661" s="60"/>
      <c r="L661" s="50"/>
      <c r="P661" s="3"/>
      <c r="Q661" s="3"/>
      <c r="R661" s="3"/>
      <c r="S661" s="3"/>
      <c r="T661" s="3"/>
      <c r="U661" s="3"/>
      <c r="V661" s="3"/>
      <c r="W661" s="3"/>
      <c r="X661" s="3"/>
      <c r="Y661" s="4"/>
      <c r="Z661"/>
      <c r="AA661"/>
    </row>
    <row r="662" spans="1:27" s="37" customFormat="1" x14ac:dyDescent="0.15">
      <c r="A662" s="166"/>
      <c r="B662" s="82"/>
      <c r="C662" s="70"/>
      <c r="D662" s="70"/>
      <c r="E662" s="70"/>
      <c r="F662" s="70"/>
      <c r="G662" s="70"/>
      <c r="H662" s="85"/>
      <c r="I662" s="85"/>
      <c r="J662" s="131"/>
      <c r="K662" s="60"/>
      <c r="L662" s="50"/>
      <c r="P662" s="3"/>
      <c r="Q662" s="3"/>
      <c r="R662" s="3"/>
      <c r="S662" s="3"/>
      <c r="T662" s="3"/>
      <c r="U662" s="3"/>
      <c r="V662" s="3"/>
      <c r="W662" s="3"/>
      <c r="X662" s="3"/>
      <c r="Y662" s="4"/>
      <c r="Z662"/>
      <c r="AA662"/>
    </row>
    <row r="663" spans="1:27" s="37" customFormat="1" x14ac:dyDescent="0.15">
      <c r="A663" s="166"/>
      <c r="B663" s="82"/>
      <c r="C663" s="70"/>
      <c r="D663" s="70"/>
      <c r="E663" s="70"/>
      <c r="F663" s="70"/>
      <c r="G663" s="70"/>
      <c r="H663" s="85"/>
      <c r="I663" s="85"/>
      <c r="J663" s="131"/>
      <c r="K663" s="60"/>
      <c r="L663" s="50"/>
      <c r="P663" s="3"/>
      <c r="Q663" s="3"/>
      <c r="R663" s="3"/>
      <c r="S663" s="3"/>
      <c r="T663" s="3"/>
      <c r="U663" s="3"/>
      <c r="V663" s="3"/>
      <c r="W663" s="3"/>
      <c r="X663" s="3"/>
      <c r="Y663" s="4"/>
      <c r="Z663"/>
      <c r="AA663"/>
    </row>
    <row r="664" spans="1:27" s="37" customFormat="1" x14ac:dyDescent="0.15">
      <c r="A664" s="166"/>
      <c r="B664" s="82"/>
      <c r="C664" s="70"/>
      <c r="D664" s="70"/>
      <c r="E664" s="70"/>
      <c r="F664" s="70"/>
      <c r="G664" s="70"/>
      <c r="H664" s="85"/>
      <c r="I664" s="85"/>
      <c r="J664" s="131"/>
      <c r="K664" s="69"/>
      <c r="L664" s="50"/>
      <c r="P664" s="3"/>
      <c r="Q664" s="3"/>
      <c r="R664" s="3"/>
      <c r="S664" s="3"/>
      <c r="T664" s="3"/>
      <c r="U664" s="3"/>
      <c r="V664" s="3"/>
      <c r="W664" s="3"/>
      <c r="X664" s="3"/>
      <c r="Y664" s="4"/>
      <c r="Z664"/>
      <c r="AA664"/>
    </row>
    <row r="665" spans="1:27" s="37" customFormat="1" x14ac:dyDescent="0.15">
      <c r="A665" s="166"/>
      <c r="B665" s="82"/>
      <c r="C665" s="70"/>
      <c r="D665" s="70"/>
      <c r="E665" s="70"/>
      <c r="F665" s="70"/>
      <c r="G665" s="70"/>
      <c r="H665" s="85"/>
      <c r="I665" s="85"/>
      <c r="J665" s="131"/>
      <c r="K665" s="60"/>
      <c r="L665" s="49"/>
      <c r="P665" s="3"/>
      <c r="Q665" s="3"/>
      <c r="R665" s="3"/>
      <c r="S665" s="3"/>
      <c r="T665" s="3"/>
      <c r="U665" s="3"/>
      <c r="V665" s="3"/>
      <c r="W665" s="3"/>
      <c r="X665" s="3"/>
      <c r="Y665" s="4"/>
      <c r="Z665"/>
      <c r="AA665"/>
    </row>
    <row r="666" spans="1:27" s="37" customFormat="1" x14ac:dyDescent="0.15">
      <c r="A666" s="166"/>
      <c r="B666" s="82"/>
      <c r="C666" s="70"/>
      <c r="D666" s="70"/>
      <c r="E666" s="70"/>
      <c r="F666" s="70"/>
      <c r="G666" s="70"/>
      <c r="H666" s="85"/>
      <c r="I666" s="85"/>
      <c r="J666" s="131"/>
      <c r="K666" s="60"/>
      <c r="L666" s="49"/>
      <c r="P666" s="3"/>
      <c r="Q666" s="3"/>
      <c r="R666" s="3"/>
      <c r="S666" s="3"/>
      <c r="T666" s="3"/>
      <c r="U666" s="3"/>
      <c r="V666" s="3"/>
      <c r="W666" s="3"/>
      <c r="X666" s="3"/>
      <c r="Y666" s="4"/>
      <c r="Z666"/>
      <c r="AA666"/>
    </row>
    <row r="667" spans="1:27" s="37" customFormat="1" x14ac:dyDescent="0.15">
      <c r="A667" s="166"/>
      <c r="B667" s="82"/>
      <c r="C667" s="70"/>
      <c r="D667" s="70"/>
      <c r="E667" s="70"/>
      <c r="F667" s="70"/>
      <c r="G667" s="70"/>
      <c r="H667" s="85"/>
      <c r="I667" s="85"/>
      <c r="J667" s="131"/>
      <c r="K667" s="63"/>
      <c r="L667" s="49"/>
      <c r="P667" s="3"/>
      <c r="Q667" s="3"/>
      <c r="R667" s="3"/>
      <c r="S667" s="3"/>
      <c r="T667" s="3"/>
      <c r="U667" s="3"/>
      <c r="V667" s="3"/>
      <c r="W667" s="3"/>
      <c r="X667" s="3"/>
      <c r="Y667" s="4"/>
      <c r="Z667"/>
      <c r="AA667"/>
    </row>
    <row r="668" spans="1:27" s="37" customFormat="1" x14ac:dyDescent="0.15">
      <c r="A668" s="166"/>
      <c r="B668" s="82"/>
      <c r="C668" s="70"/>
      <c r="D668" s="70"/>
      <c r="E668" s="70"/>
      <c r="F668" s="70"/>
      <c r="G668" s="70"/>
      <c r="H668" s="85"/>
      <c r="I668" s="85"/>
      <c r="J668" s="131"/>
      <c r="K668" s="69"/>
      <c r="L668" s="49"/>
      <c r="P668" s="3"/>
      <c r="Q668" s="3"/>
      <c r="R668" s="3"/>
      <c r="S668" s="3"/>
      <c r="T668" s="3"/>
      <c r="U668" s="3"/>
      <c r="V668" s="3"/>
      <c r="W668" s="3"/>
      <c r="X668" s="3"/>
      <c r="Y668" s="4"/>
      <c r="Z668"/>
      <c r="AA668"/>
    </row>
    <row r="669" spans="1:27" s="37" customFormat="1" x14ac:dyDescent="0.15">
      <c r="A669" s="166"/>
      <c r="B669" s="82"/>
      <c r="C669" s="70"/>
      <c r="D669" s="70"/>
      <c r="E669" s="70"/>
      <c r="F669" s="70"/>
      <c r="G669" s="70"/>
      <c r="H669" s="85"/>
      <c r="I669" s="85"/>
      <c r="J669" s="131"/>
      <c r="K669" s="60"/>
      <c r="L669" s="49"/>
      <c r="P669" s="3"/>
      <c r="Q669" s="3"/>
      <c r="R669" s="3"/>
      <c r="S669" s="3"/>
      <c r="T669" s="3"/>
      <c r="U669" s="3"/>
      <c r="V669" s="3"/>
      <c r="W669" s="3"/>
      <c r="X669" s="3"/>
      <c r="Y669" s="4"/>
      <c r="Z669"/>
      <c r="AA669"/>
    </row>
    <row r="670" spans="1:27" s="37" customFormat="1" x14ac:dyDescent="0.15">
      <c r="A670" s="166"/>
      <c r="B670" s="82"/>
      <c r="C670" s="70"/>
      <c r="D670" s="70"/>
      <c r="E670" s="70"/>
      <c r="F670" s="70"/>
      <c r="G670" s="70"/>
      <c r="H670" s="85"/>
      <c r="I670" s="85"/>
      <c r="J670" s="131"/>
      <c r="K670" s="69"/>
      <c r="L670" s="49"/>
      <c r="P670" s="3"/>
      <c r="Q670" s="3"/>
      <c r="R670" s="3"/>
      <c r="S670" s="3"/>
      <c r="T670" s="3"/>
      <c r="U670" s="3"/>
      <c r="V670" s="3"/>
      <c r="W670" s="3"/>
      <c r="X670" s="3"/>
      <c r="Y670" s="4"/>
      <c r="Z670"/>
      <c r="AA670"/>
    </row>
    <row r="671" spans="1:27" s="37" customFormat="1" x14ac:dyDescent="0.15">
      <c r="A671" s="166"/>
      <c r="B671" s="82"/>
      <c r="C671" s="73"/>
      <c r="D671" s="73"/>
      <c r="E671" s="70"/>
      <c r="F671" s="73"/>
      <c r="G671" s="73"/>
      <c r="H671" s="85"/>
      <c r="I671" s="85"/>
      <c r="J671" s="131"/>
      <c r="K671" s="69"/>
      <c r="L671" s="49"/>
      <c r="P671" s="3"/>
      <c r="Q671" s="3"/>
      <c r="R671" s="3"/>
      <c r="S671" s="3"/>
      <c r="T671" s="3"/>
      <c r="U671" s="3"/>
      <c r="V671" s="3"/>
      <c r="W671" s="3"/>
      <c r="X671" s="3"/>
      <c r="Y671" s="4"/>
      <c r="Z671"/>
      <c r="AA671"/>
    </row>
    <row r="672" spans="1:27" s="37" customFormat="1" x14ac:dyDescent="0.15">
      <c r="A672" s="166"/>
      <c r="B672" s="82"/>
      <c r="C672" s="70"/>
      <c r="D672" s="70"/>
      <c r="E672" s="73"/>
      <c r="F672" s="70"/>
      <c r="G672" s="70"/>
      <c r="H672" s="85"/>
      <c r="I672" s="85"/>
      <c r="J672" s="131"/>
      <c r="K672" s="69"/>
      <c r="L672" s="49"/>
      <c r="P672" s="3"/>
      <c r="Q672" s="3"/>
      <c r="R672" s="3"/>
      <c r="S672" s="3"/>
      <c r="T672" s="3"/>
      <c r="U672" s="3"/>
      <c r="V672" s="3"/>
      <c r="W672" s="3"/>
      <c r="X672" s="3"/>
      <c r="Y672" s="4"/>
      <c r="Z672"/>
      <c r="AA672"/>
    </row>
    <row r="673" spans="1:27" s="37" customFormat="1" x14ac:dyDescent="0.15">
      <c r="A673" s="166"/>
      <c r="B673" s="82"/>
      <c r="C673" s="70"/>
      <c r="D673" s="70"/>
      <c r="E673" s="70"/>
      <c r="F673" s="70"/>
      <c r="G673" s="70"/>
      <c r="H673" s="85"/>
      <c r="I673" s="85"/>
      <c r="J673" s="131"/>
      <c r="K673" s="60"/>
      <c r="L673" s="49"/>
      <c r="P673" s="3"/>
      <c r="Q673" s="3"/>
      <c r="R673" s="3"/>
      <c r="S673" s="3"/>
      <c r="T673" s="3"/>
      <c r="U673" s="3"/>
      <c r="V673" s="3"/>
      <c r="W673" s="3"/>
      <c r="X673" s="3"/>
      <c r="Y673" s="4"/>
      <c r="Z673"/>
      <c r="AA673"/>
    </row>
    <row r="674" spans="1:27" s="37" customFormat="1" x14ac:dyDescent="0.15">
      <c r="A674" s="166"/>
      <c r="B674" s="82"/>
      <c r="C674" s="70"/>
      <c r="D674" s="70"/>
      <c r="E674" s="70"/>
      <c r="F674" s="70"/>
      <c r="G674" s="70"/>
      <c r="H674" s="85"/>
      <c r="I674" s="85"/>
      <c r="J674" s="131"/>
      <c r="K674" s="63"/>
      <c r="L674" s="49"/>
      <c r="N674" s="51"/>
      <c r="P674" s="3"/>
      <c r="Q674" s="3"/>
      <c r="R674" s="3"/>
      <c r="S674" s="3"/>
      <c r="T674" s="3"/>
      <c r="U674" s="3"/>
      <c r="V674" s="3"/>
      <c r="W674" s="3"/>
      <c r="X674" s="3"/>
      <c r="Y674" s="4"/>
      <c r="Z674"/>
      <c r="AA674"/>
    </row>
    <row r="675" spans="1:27" s="37" customFormat="1" x14ac:dyDescent="0.15">
      <c r="A675" s="166"/>
      <c r="B675" s="82"/>
      <c r="C675" s="70"/>
      <c r="D675" s="70"/>
      <c r="E675" s="70"/>
      <c r="F675" s="70"/>
      <c r="G675" s="70"/>
      <c r="H675" s="85"/>
      <c r="I675" s="85"/>
      <c r="J675" s="131"/>
      <c r="K675" s="63"/>
      <c r="L675" s="33"/>
      <c r="P675" s="3"/>
      <c r="Q675" s="3"/>
      <c r="R675" s="3"/>
      <c r="S675" s="3"/>
      <c r="T675" s="3"/>
      <c r="U675" s="3"/>
      <c r="V675" s="3"/>
      <c r="W675" s="3"/>
      <c r="X675" s="3"/>
      <c r="Y675" s="4"/>
      <c r="Z675"/>
      <c r="AA675"/>
    </row>
    <row r="676" spans="1:27" s="37" customFormat="1" x14ac:dyDescent="0.15">
      <c r="A676" s="166"/>
      <c r="B676" s="82"/>
      <c r="C676" s="70"/>
      <c r="D676" s="70"/>
      <c r="E676" s="70"/>
      <c r="F676" s="70"/>
      <c r="G676" s="70"/>
      <c r="H676" s="85"/>
      <c r="I676" s="85"/>
      <c r="J676" s="131"/>
      <c r="K676" s="60"/>
      <c r="L676" s="49"/>
      <c r="P676" s="3"/>
      <c r="Q676" s="3"/>
      <c r="R676" s="3"/>
      <c r="S676" s="3"/>
      <c r="T676" s="3"/>
      <c r="U676" s="3"/>
      <c r="V676" s="3"/>
      <c r="W676" s="3"/>
      <c r="X676" s="3"/>
      <c r="Y676" s="4"/>
      <c r="Z676"/>
      <c r="AA676"/>
    </row>
    <row r="677" spans="1:27" s="37" customFormat="1" x14ac:dyDescent="0.15">
      <c r="A677" s="166"/>
      <c r="B677" s="82"/>
      <c r="C677" s="70"/>
      <c r="D677" s="70"/>
      <c r="E677" s="70"/>
      <c r="F677" s="70"/>
      <c r="G677" s="70"/>
      <c r="H677" s="85"/>
      <c r="I677" s="85"/>
      <c r="J677" s="131"/>
      <c r="K677" s="60"/>
      <c r="L677" s="49"/>
      <c r="P677" s="3"/>
      <c r="Q677" s="3"/>
      <c r="R677" s="3"/>
      <c r="S677" s="3"/>
      <c r="T677" s="3"/>
      <c r="U677" s="3"/>
      <c r="V677" s="3"/>
      <c r="W677" s="3"/>
      <c r="X677" s="3"/>
      <c r="Y677" s="4"/>
      <c r="Z677"/>
      <c r="AA677"/>
    </row>
    <row r="678" spans="1:27" s="37" customFormat="1" x14ac:dyDescent="0.15">
      <c r="A678" s="166"/>
      <c r="B678" s="82"/>
      <c r="C678" s="70"/>
      <c r="D678" s="70"/>
      <c r="E678" s="70"/>
      <c r="F678" s="70"/>
      <c r="G678" s="70"/>
      <c r="H678" s="85"/>
      <c r="I678" s="85"/>
      <c r="J678" s="131"/>
      <c r="K678" s="60"/>
      <c r="L678" s="49"/>
      <c r="P678" s="3"/>
      <c r="Q678" s="3"/>
      <c r="R678" s="3"/>
      <c r="S678" s="3"/>
      <c r="T678" s="3"/>
      <c r="U678" s="3"/>
      <c r="V678" s="3"/>
      <c r="W678" s="3"/>
      <c r="X678" s="3"/>
      <c r="Y678" s="4"/>
      <c r="Z678"/>
      <c r="AA678"/>
    </row>
    <row r="679" spans="1:27" s="37" customFormat="1" x14ac:dyDescent="0.15">
      <c r="A679" s="166"/>
      <c r="B679" s="82"/>
      <c r="C679" s="70"/>
      <c r="D679" s="70"/>
      <c r="E679" s="70"/>
      <c r="F679" s="70"/>
      <c r="G679" s="70"/>
      <c r="H679" s="85"/>
      <c r="I679" s="85"/>
      <c r="J679" s="131"/>
      <c r="K679" s="60"/>
      <c r="L679" s="49"/>
      <c r="P679" s="3"/>
      <c r="Q679" s="3"/>
      <c r="R679" s="3"/>
      <c r="S679" s="3"/>
      <c r="T679" s="3"/>
      <c r="U679" s="3"/>
      <c r="V679" s="3"/>
      <c r="W679" s="3"/>
      <c r="X679" s="3"/>
      <c r="Y679" s="4"/>
      <c r="Z679"/>
      <c r="AA679"/>
    </row>
    <row r="680" spans="1:27" s="37" customFormat="1" x14ac:dyDescent="0.15">
      <c r="A680" s="166"/>
      <c r="B680" s="82"/>
      <c r="C680" s="73"/>
      <c r="D680" s="73"/>
      <c r="E680" s="70"/>
      <c r="F680" s="73"/>
      <c r="G680" s="73"/>
      <c r="H680" s="85"/>
      <c r="I680" s="95"/>
      <c r="J680" s="131"/>
      <c r="K680" s="60"/>
      <c r="L680" s="50"/>
      <c r="P680" s="3"/>
      <c r="Q680" s="3"/>
      <c r="R680" s="3"/>
      <c r="S680" s="3"/>
      <c r="T680" s="3"/>
      <c r="U680" s="3"/>
      <c r="V680" s="3"/>
      <c r="W680" s="3"/>
      <c r="X680" s="3"/>
      <c r="Y680" s="4"/>
      <c r="Z680"/>
      <c r="AA680"/>
    </row>
    <row r="681" spans="1:27" s="37" customFormat="1" x14ac:dyDescent="0.15">
      <c r="A681" s="166"/>
      <c r="B681" s="82"/>
      <c r="C681" s="70"/>
      <c r="D681" s="70"/>
      <c r="E681" s="70"/>
      <c r="F681" s="70"/>
      <c r="G681" s="70"/>
      <c r="H681" s="85"/>
      <c r="I681" s="85"/>
      <c r="J681" s="131"/>
      <c r="K681" s="60"/>
      <c r="L681" s="49"/>
      <c r="P681" s="3"/>
      <c r="Q681" s="3"/>
      <c r="R681" s="3"/>
      <c r="S681" s="3"/>
      <c r="T681" s="3"/>
      <c r="U681" s="3"/>
      <c r="V681" s="3"/>
      <c r="W681" s="3"/>
      <c r="X681" s="3"/>
      <c r="Y681" s="4"/>
      <c r="Z681"/>
      <c r="AA681"/>
    </row>
    <row r="682" spans="1:27" s="37" customFormat="1" x14ac:dyDescent="0.15">
      <c r="A682" s="70"/>
      <c r="B682" s="82"/>
      <c r="C682" s="70"/>
      <c r="D682" s="70"/>
      <c r="E682" s="70"/>
      <c r="F682" s="70"/>
      <c r="G682" s="70"/>
      <c r="H682" s="85"/>
      <c r="I682" s="85"/>
      <c r="J682" s="131"/>
      <c r="K682" s="60"/>
      <c r="L682" s="49"/>
      <c r="P682" s="3"/>
      <c r="Q682" s="3"/>
      <c r="R682" s="3"/>
      <c r="S682" s="3"/>
      <c r="T682" s="3"/>
      <c r="U682" s="3"/>
      <c r="V682" s="3"/>
      <c r="W682" s="3"/>
      <c r="X682" s="3"/>
      <c r="Y682" s="4"/>
      <c r="Z682"/>
      <c r="AA682"/>
    </row>
    <row r="683" spans="1:27" s="37" customFormat="1" x14ac:dyDescent="0.15">
      <c r="A683" s="70"/>
      <c r="B683" s="82"/>
      <c r="C683" s="70"/>
      <c r="D683" s="70"/>
      <c r="E683" s="70"/>
      <c r="F683" s="70"/>
      <c r="G683" s="70"/>
      <c r="H683" s="85"/>
      <c r="I683" s="85"/>
      <c r="J683" s="131"/>
      <c r="K683" s="69"/>
      <c r="L683" s="49"/>
      <c r="P683" s="3"/>
      <c r="Q683" s="3"/>
      <c r="R683" s="3"/>
      <c r="S683" s="3"/>
      <c r="T683" s="3"/>
      <c r="U683" s="3"/>
      <c r="V683" s="3"/>
      <c r="W683" s="3"/>
      <c r="X683" s="3"/>
      <c r="Y683" s="4"/>
      <c r="Z683"/>
      <c r="AA683"/>
    </row>
    <row r="684" spans="1:27" s="37" customFormat="1" x14ac:dyDescent="0.15">
      <c r="A684" s="70"/>
      <c r="B684" s="82"/>
      <c r="C684" s="70"/>
      <c r="D684" s="70"/>
      <c r="E684" s="70"/>
      <c r="F684" s="70"/>
      <c r="G684" s="70"/>
      <c r="H684" s="85"/>
      <c r="I684" s="85"/>
      <c r="J684" s="131"/>
      <c r="K684" s="60"/>
      <c r="L684" s="49"/>
      <c r="P684" s="3"/>
      <c r="Q684" s="3"/>
      <c r="R684" s="3"/>
      <c r="S684" s="3"/>
      <c r="T684" s="3"/>
      <c r="U684" s="3"/>
      <c r="V684" s="3"/>
      <c r="W684" s="3"/>
      <c r="X684" s="3"/>
      <c r="Y684" s="4"/>
      <c r="Z684"/>
      <c r="AA684"/>
    </row>
    <row r="685" spans="1:27" s="37" customFormat="1" x14ac:dyDescent="0.15">
      <c r="A685" s="70"/>
      <c r="B685" s="82"/>
      <c r="C685" s="70"/>
      <c r="D685" s="70"/>
      <c r="E685" s="70"/>
      <c r="F685" s="70"/>
      <c r="G685" s="70"/>
      <c r="H685" s="85"/>
      <c r="I685" s="85"/>
      <c r="J685" s="131"/>
      <c r="K685" s="60"/>
      <c r="L685" s="49"/>
      <c r="N685" s="51"/>
      <c r="P685" s="3"/>
      <c r="Q685" s="3"/>
      <c r="R685" s="3"/>
      <c r="S685" s="3"/>
      <c r="T685" s="3"/>
      <c r="U685" s="3"/>
      <c r="V685" s="3"/>
      <c r="W685" s="3"/>
      <c r="X685" s="3"/>
      <c r="Y685" s="4"/>
      <c r="Z685"/>
      <c r="AA685"/>
    </row>
    <row r="686" spans="1:27" s="37" customFormat="1" x14ac:dyDescent="0.15">
      <c r="A686" s="70"/>
      <c r="B686" s="82"/>
      <c r="C686" s="70"/>
      <c r="D686" s="70"/>
      <c r="E686" s="70"/>
      <c r="F686" s="70"/>
      <c r="G686" s="70"/>
      <c r="H686" s="85"/>
      <c r="I686" s="85"/>
      <c r="J686" s="131"/>
      <c r="K686" s="60"/>
      <c r="L686" s="49"/>
      <c r="P686" s="3"/>
      <c r="Q686" s="3"/>
      <c r="R686" s="3"/>
      <c r="S686" s="3"/>
      <c r="T686" s="3"/>
      <c r="U686" s="3"/>
      <c r="V686" s="3"/>
      <c r="W686" s="3"/>
      <c r="X686" s="3"/>
      <c r="Y686" s="4"/>
      <c r="Z686"/>
      <c r="AA686"/>
    </row>
    <row r="687" spans="1:27" s="37" customFormat="1" ht="16" x14ac:dyDescent="0.2">
      <c r="A687" s="73"/>
      <c r="B687" s="82"/>
      <c r="C687" s="70"/>
      <c r="D687" s="70"/>
      <c r="E687" s="70"/>
      <c r="F687" s="70"/>
      <c r="G687" s="70"/>
      <c r="H687" s="85"/>
      <c r="I687" s="85"/>
      <c r="J687" s="131"/>
      <c r="K687" s="60"/>
      <c r="L687" s="47"/>
      <c r="P687" s="3"/>
      <c r="Q687" s="3"/>
      <c r="R687" s="3"/>
      <c r="S687" s="3"/>
      <c r="T687" s="3"/>
      <c r="U687" s="3"/>
      <c r="V687" s="3"/>
      <c r="W687" s="3"/>
      <c r="X687" s="3"/>
      <c r="Y687" s="4"/>
      <c r="Z687"/>
      <c r="AA687"/>
    </row>
    <row r="688" spans="1:27" s="37" customFormat="1" ht="16" x14ac:dyDescent="0.2">
      <c r="A688" s="70"/>
      <c r="B688" s="82"/>
      <c r="C688" s="70"/>
      <c r="D688" s="70"/>
      <c r="E688" s="70"/>
      <c r="F688" s="70"/>
      <c r="G688" s="70"/>
      <c r="H688" s="85"/>
      <c r="I688" s="85"/>
      <c r="J688" s="131"/>
      <c r="K688" s="60"/>
      <c r="L688" s="47"/>
      <c r="P688" s="3"/>
      <c r="Q688" s="3"/>
      <c r="R688" s="3"/>
      <c r="S688" s="3"/>
      <c r="T688" s="3"/>
      <c r="U688" s="3"/>
      <c r="V688" s="3"/>
      <c r="W688" s="3"/>
      <c r="X688" s="3"/>
      <c r="Y688" s="4"/>
      <c r="Z688"/>
      <c r="AA688"/>
    </row>
    <row r="689" spans="1:27" s="37" customFormat="1" ht="16" x14ac:dyDescent="0.2">
      <c r="A689" s="70"/>
      <c r="B689" s="82"/>
      <c r="C689" s="70"/>
      <c r="D689" s="70"/>
      <c r="E689" s="70"/>
      <c r="F689" s="70"/>
      <c r="G689" s="70"/>
      <c r="H689" s="85"/>
      <c r="I689" s="85"/>
      <c r="J689" s="131"/>
      <c r="K689" s="63"/>
      <c r="L689" s="47"/>
      <c r="P689" s="3"/>
      <c r="Q689" s="3"/>
      <c r="R689" s="3"/>
      <c r="S689" s="3"/>
      <c r="T689" s="3"/>
      <c r="U689" s="3"/>
      <c r="V689" s="3"/>
      <c r="W689" s="3"/>
      <c r="X689" s="3"/>
      <c r="Y689" s="4"/>
      <c r="Z689"/>
      <c r="AA689"/>
    </row>
    <row r="690" spans="1:27" s="37" customFormat="1" ht="16" x14ac:dyDescent="0.2">
      <c r="A690" s="70"/>
      <c r="B690" s="82"/>
      <c r="C690" s="70"/>
      <c r="D690" s="70"/>
      <c r="E690" s="70"/>
      <c r="F690" s="70"/>
      <c r="G690" s="70"/>
      <c r="H690" s="85"/>
      <c r="I690" s="85"/>
      <c r="J690" s="131"/>
      <c r="K690" s="63"/>
      <c r="L690" s="47"/>
      <c r="P690" s="3"/>
      <c r="Q690" s="3"/>
      <c r="R690" s="3"/>
      <c r="S690" s="3"/>
      <c r="T690" s="3"/>
      <c r="U690" s="3"/>
      <c r="V690" s="3"/>
      <c r="W690" s="3"/>
      <c r="X690" s="3"/>
      <c r="Y690" s="4"/>
      <c r="Z690"/>
      <c r="AA690"/>
    </row>
    <row r="691" spans="1:27" s="37" customFormat="1" ht="16" x14ac:dyDescent="0.2">
      <c r="A691" s="70"/>
      <c r="B691" s="82"/>
      <c r="C691" s="70"/>
      <c r="D691" s="70"/>
      <c r="E691" s="70"/>
      <c r="F691" s="70"/>
      <c r="G691" s="70"/>
      <c r="H691" s="85"/>
      <c r="I691" s="85"/>
      <c r="J691" s="131"/>
      <c r="K691" s="60"/>
      <c r="L691" s="47"/>
      <c r="P691" s="3"/>
      <c r="Q691" s="3"/>
      <c r="R691" s="3"/>
      <c r="S691" s="3"/>
      <c r="T691" s="3"/>
      <c r="U691" s="3"/>
      <c r="V691" s="3"/>
      <c r="W691" s="3"/>
      <c r="X691" s="3"/>
      <c r="Y691" s="4"/>
      <c r="Z691"/>
      <c r="AA691"/>
    </row>
    <row r="692" spans="1:27" s="37" customFormat="1" ht="16" x14ac:dyDescent="0.2">
      <c r="A692" s="70"/>
      <c r="B692" s="82"/>
      <c r="C692" s="70"/>
      <c r="D692" s="70"/>
      <c r="E692" s="70"/>
      <c r="F692" s="70"/>
      <c r="G692" s="70"/>
      <c r="H692" s="85"/>
      <c r="I692" s="85"/>
      <c r="J692" s="131"/>
      <c r="K692" s="60"/>
      <c r="L692" s="47"/>
      <c r="P692" s="3"/>
      <c r="Q692" s="3"/>
      <c r="R692" s="3"/>
      <c r="S692" s="3"/>
      <c r="T692" s="3"/>
      <c r="U692" s="3"/>
      <c r="V692" s="3"/>
      <c r="W692" s="3"/>
      <c r="X692" s="3"/>
      <c r="Y692" s="4"/>
      <c r="Z692"/>
      <c r="AA692"/>
    </row>
    <row r="693" spans="1:27" s="37" customFormat="1" ht="16" x14ac:dyDescent="0.2">
      <c r="A693" s="73"/>
      <c r="B693" s="82"/>
      <c r="C693" s="70"/>
      <c r="D693" s="70"/>
      <c r="E693" s="70"/>
      <c r="F693" s="70"/>
      <c r="G693" s="70"/>
      <c r="H693" s="85"/>
      <c r="I693" s="85"/>
      <c r="J693" s="131"/>
      <c r="K693" s="60"/>
      <c r="L693" s="47"/>
      <c r="P693" s="3"/>
      <c r="Q693" s="3"/>
      <c r="R693" s="3"/>
      <c r="S693" s="3"/>
      <c r="T693" s="3"/>
      <c r="U693" s="3"/>
      <c r="V693" s="3"/>
      <c r="W693" s="3"/>
      <c r="X693" s="3"/>
      <c r="Y693" s="4"/>
      <c r="Z693"/>
      <c r="AA693"/>
    </row>
    <row r="694" spans="1:27" s="37" customFormat="1" ht="16" x14ac:dyDescent="0.2">
      <c r="A694" s="70"/>
      <c r="B694" s="82"/>
      <c r="C694" s="70"/>
      <c r="D694" s="70"/>
      <c r="E694" s="70"/>
      <c r="F694" s="70"/>
      <c r="G694" s="70"/>
      <c r="H694" s="85"/>
      <c r="I694" s="85"/>
      <c r="J694" s="131"/>
      <c r="K694" s="63"/>
      <c r="L694" s="47"/>
      <c r="P694" s="3"/>
      <c r="Q694" s="3"/>
      <c r="R694" s="3"/>
      <c r="S694" s="3"/>
      <c r="T694" s="3"/>
      <c r="U694" s="3"/>
      <c r="V694" s="3"/>
      <c r="W694" s="3"/>
      <c r="X694" s="3"/>
      <c r="Y694" s="4"/>
      <c r="Z694"/>
      <c r="AA694"/>
    </row>
    <row r="695" spans="1:27" s="37" customFormat="1" ht="16" x14ac:dyDescent="0.2">
      <c r="A695" s="70"/>
      <c r="B695" s="82"/>
      <c r="C695" s="70"/>
      <c r="D695" s="70"/>
      <c r="E695" s="70"/>
      <c r="F695" s="70"/>
      <c r="G695" s="70"/>
      <c r="H695" s="85"/>
      <c r="I695" s="85"/>
      <c r="J695" s="131"/>
      <c r="K695" s="60"/>
      <c r="L695" s="47"/>
      <c r="P695" s="3"/>
      <c r="Q695" s="3"/>
      <c r="R695" s="3"/>
      <c r="S695" s="3"/>
      <c r="T695" s="3"/>
      <c r="U695" s="3"/>
      <c r="V695" s="3"/>
      <c r="W695" s="3"/>
      <c r="X695" s="3"/>
      <c r="Y695" s="4"/>
      <c r="Z695"/>
      <c r="AA695"/>
    </row>
    <row r="696" spans="1:27" s="37" customFormat="1" ht="16" x14ac:dyDescent="0.2">
      <c r="A696" s="70"/>
      <c r="B696" s="82"/>
      <c r="C696" s="70"/>
      <c r="D696" s="70"/>
      <c r="E696" s="70"/>
      <c r="F696" s="70"/>
      <c r="G696" s="70"/>
      <c r="H696" s="85"/>
      <c r="I696" s="95"/>
      <c r="J696" s="131"/>
      <c r="K696" s="60"/>
      <c r="L696" s="47"/>
      <c r="P696" s="3"/>
      <c r="Q696" s="3"/>
      <c r="R696" s="3"/>
      <c r="S696" s="3"/>
      <c r="T696" s="3"/>
      <c r="U696" s="3"/>
      <c r="V696" s="3"/>
      <c r="W696" s="3"/>
      <c r="X696" s="3"/>
      <c r="Y696" s="4"/>
      <c r="Z696"/>
      <c r="AA696"/>
    </row>
    <row r="697" spans="1:27" s="37" customFormat="1" ht="16" x14ac:dyDescent="0.2">
      <c r="A697" s="70"/>
      <c r="B697" s="82"/>
      <c r="C697" s="70"/>
      <c r="D697" s="70"/>
      <c r="E697" s="70"/>
      <c r="F697" s="70"/>
      <c r="G697" s="70"/>
      <c r="H697" s="85"/>
      <c r="I697" s="85"/>
      <c r="J697" s="131"/>
      <c r="K697" s="60"/>
      <c r="L697" s="47"/>
      <c r="M697" s="48"/>
      <c r="P697" s="3"/>
      <c r="Q697" s="3"/>
      <c r="R697" s="3"/>
      <c r="S697" s="3"/>
      <c r="T697" s="3"/>
      <c r="U697" s="3"/>
      <c r="V697" s="3"/>
      <c r="W697" s="3"/>
      <c r="X697" s="3"/>
      <c r="Y697" s="4"/>
      <c r="Z697"/>
      <c r="AA697"/>
    </row>
    <row r="698" spans="1:27" s="37" customFormat="1" ht="16" x14ac:dyDescent="0.2">
      <c r="A698" s="70"/>
      <c r="B698" s="82"/>
      <c r="C698" s="70"/>
      <c r="D698" s="70"/>
      <c r="E698" s="70"/>
      <c r="F698" s="70"/>
      <c r="G698" s="70"/>
      <c r="H698" s="85"/>
      <c r="I698" s="85"/>
      <c r="J698" s="131"/>
      <c r="K698" s="60"/>
      <c r="L698" s="47"/>
      <c r="P698" s="3"/>
      <c r="Q698" s="3"/>
      <c r="R698" s="3"/>
      <c r="S698" s="3"/>
      <c r="T698" s="3"/>
      <c r="U698" s="3"/>
      <c r="V698" s="3"/>
      <c r="W698" s="3"/>
      <c r="X698" s="3"/>
      <c r="Y698" s="4"/>
      <c r="Z698"/>
      <c r="AA698"/>
    </row>
    <row r="699" spans="1:27" s="37" customFormat="1" ht="16" x14ac:dyDescent="0.2">
      <c r="A699" s="70"/>
      <c r="B699" s="82"/>
      <c r="C699" s="70"/>
      <c r="D699" s="70"/>
      <c r="E699" s="70"/>
      <c r="F699" s="70"/>
      <c r="G699" s="70"/>
      <c r="H699" s="85"/>
      <c r="I699" s="85"/>
      <c r="J699" s="131"/>
      <c r="K699" s="60"/>
      <c r="L699" s="47"/>
      <c r="P699" s="3"/>
      <c r="Q699" s="3"/>
      <c r="R699" s="3"/>
      <c r="S699" s="3"/>
      <c r="T699" s="3"/>
      <c r="U699" s="3"/>
      <c r="V699" s="3"/>
      <c r="W699" s="3"/>
      <c r="X699" s="3"/>
      <c r="Y699" s="4"/>
      <c r="Z699"/>
      <c r="AA699"/>
    </row>
    <row r="700" spans="1:27" s="37" customFormat="1" ht="16" x14ac:dyDescent="0.2">
      <c r="A700" s="70"/>
      <c r="B700" s="82"/>
      <c r="C700" s="70"/>
      <c r="D700" s="70"/>
      <c r="E700" s="70"/>
      <c r="F700" s="70"/>
      <c r="G700" s="70"/>
      <c r="H700" s="85"/>
      <c r="I700" s="85"/>
      <c r="J700" s="131"/>
      <c r="K700" s="60"/>
      <c r="L700" s="47"/>
      <c r="P700" s="3"/>
      <c r="Q700" s="3"/>
      <c r="R700" s="3"/>
      <c r="S700" s="3"/>
      <c r="T700" s="3"/>
      <c r="U700" s="3"/>
      <c r="V700" s="3"/>
      <c r="W700" s="3"/>
      <c r="X700" s="3"/>
      <c r="Y700" s="4"/>
      <c r="Z700"/>
      <c r="AA700"/>
    </row>
    <row r="701" spans="1:27" s="37" customFormat="1" ht="16" x14ac:dyDescent="0.2">
      <c r="A701" s="70"/>
      <c r="B701" s="82"/>
      <c r="C701" s="70"/>
      <c r="D701" s="70"/>
      <c r="E701" s="70"/>
      <c r="F701" s="70"/>
      <c r="G701" s="70"/>
      <c r="H701" s="85"/>
      <c r="I701" s="85"/>
      <c r="J701" s="131"/>
      <c r="K701" s="60"/>
      <c r="L701" s="47"/>
      <c r="P701" s="3"/>
      <c r="Q701" s="3"/>
      <c r="R701" s="3"/>
      <c r="S701" s="3"/>
      <c r="T701" s="3"/>
      <c r="U701" s="3"/>
      <c r="V701" s="3"/>
      <c r="W701" s="3"/>
      <c r="X701" s="3"/>
      <c r="Y701" s="4"/>
      <c r="Z701"/>
      <c r="AA701"/>
    </row>
    <row r="702" spans="1:27" s="37" customFormat="1" ht="16" x14ac:dyDescent="0.2">
      <c r="A702" s="70"/>
      <c r="B702" s="82"/>
      <c r="C702" s="70"/>
      <c r="D702" s="70"/>
      <c r="E702" s="70"/>
      <c r="F702" s="70"/>
      <c r="G702" s="70"/>
      <c r="H702" s="85"/>
      <c r="I702" s="85"/>
      <c r="J702" s="131"/>
      <c r="K702" s="60"/>
      <c r="L702" s="47"/>
      <c r="P702" s="3"/>
      <c r="Q702" s="3"/>
      <c r="R702" s="3"/>
      <c r="S702" s="3"/>
      <c r="T702" s="3"/>
      <c r="U702" s="3"/>
      <c r="V702" s="3"/>
      <c r="W702" s="3"/>
      <c r="X702" s="3"/>
      <c r="Y702" s="4"/>
      <c r="Z702"/>
      <c r="AA702"/>
    </row>
    <row r="703" spans="1:27" s="37" customFormat="1" ht="16" x14ac:dyDescent="0.2">
      <c r="A703" s="73"/>
      <c r="B703" s="82"/>
      <c r="C703" s="70"/>
      <c r="D703" s="70"/>
      <c r="E703" s="70"/>
      <c r="F703" s="70"/>
      <c r="G703" s="70"/>
      <c r="H703" s="85"/>
      <c r="I703" s="85"/>
      <c r="J703" s="131"/>
      <c r="K703" s="60"/>
      <c r="L703" s="47"/>
      <c r="P703" s="3"/>
      <c r="Q703" s="3"/>
      <c r="R703" s="3"/>
      <c r="S703" s="3"/>
      <c r="T703" s="3"/>
      <c r="U703" s="3"/>
      <c r="V703" s="3"/>
      <c r="W703" s="3"/>
      <c r="X703" s="3"/>
      <c r="Y703" s="4"/>
      <c r="Z703"/>
      <c r="AA703"/>
    </row>
    <row r="704" spans="1:27" s="37" customFormat="1" ht="16" x14ac:dyDescent="0.2">
      <c r="A704" s="70"/>
      <c r="B704" s="82"/>
      <c r="C704" s="70"/>
      <c r="D704" s="70"/>
      <c r="E704" s="70"/>
      <c r="F704" s="70"/>
      <c r="G704" s="70"/>
      <c r="H704" s="85"/>
      <c r="I704" s="85"/>
      <c r="J704" s="131"/>
      <c r="K704" s="60"/>
      <c r="L704" s="47"/>
      <c r="P704" s="3"/>
      <c r="Q704" s="3"/>
      <c r="R704" s="3"/>
      <c r="S704" s="3"/>
      <c r="T704" s="3"/>
      <c r="U704" s="3"/>
      <c r="V704" s="3"/>
      <c r="W704" s="3"/>
      <c r="X704" s="3"/>
      <c r="Y704" s="4"/>
      <c r="Z704"/>
      <c r="AA704"/>
    </row>
    <row r="705" spans="1:27" s="37" customFormat="1" ht="16" x14ac:dyDescent="0.2">
      <c r="A705" s="70"/>
      <c r="B705" s="82"/>
      <c r="C705" s="70"/>
      <c r="D705" s="70"/>
      <c r="E705" s="70"/>
      <c r="F705" s="70"/>
      <c r="G705" s="70"/>
      <c r="H705" s="85"/>
      <c r="I705" s="85"/>
      <c r="J705" s="131"/>
      <c r="K705" s="60"/>
      <c r="L705" s="47"/>
      <c r="P705" s="3"/>
      <c r="Q705" s="3"/>
      <c r="R705" s="3"/>
      <c r="S705" s="3"/>
      <c r="T705" s="3"/>
      <c r="U705" s="3"/>
      <c r="V705" s="3"/>
      <c r="W705" s="3"/>
      <c r="X705" s="3"/>
      <c r="Y705" s="4"/>
      <c r="Z705"/>
      <c r="AA705"/>
    </row>
    <row r="706" spans="1:27" s="37" customFormat="1" ht="16" x14ac:dyDescent="0.2">
      <c r="A706" s="166"/>
      <c r="B706" s="82"/>
      <c r="C706" s="70"/>
      <c r="D706" s="70"/>
      <c r="E706" s="70"/>
      <c r="F706" s="70"/>
      <c r="G706" s="70"/>
      <c r="H706" s="85"/>
      <c r="I706" s="85"/>
      <c r="J706" s="131"/>
      <c r="K706" s="60"/>
      <c r="L706" s="47"/>
      <c r="P706" s="3"/>
      <c r="Q706" s="3"/>
      <c r="R706" s="3"/>
      <c r="S706" s="3"/>
      <c r="T706" s="3"/>
      <c r="U706" s="3"/>
      <c r="V706" s="3"/>
      <c r="W706" s="3"/>
      <c r="X706" s="3"/>
      <c r="Y706" s="4"/>
      <c r="Z706"/>
      <c r="AA706"/>
    </row>
    <row r="707" spans="1:27" s="37" customFormat="1" ht="16" x14ac:dyDescent="0.2">
      <c r="A707" s="166"/>
      <c r="B707" s="82"/>
      <c r="C707" s="70"/>
      <c r="D707" s="70"/>
      <c r="E707" s="70"/>
      <c r="F707" s="70"/>
      <c r="G707" s="70"/>
      <c r="H707" s="85"/>
      <c r="I707" s="85"/>
      <c r="J707" s="131"/>
      <c r="K707" s="60"/>
      <c r="L707" s="47"/>
      <c r="M707" s="48"/>
      <c r="P707" s="3"/>
      <c r="Q707" s="3"/>
      <c r="R707" s="3"/>
      <c r="S707" s="3"/>
      <c r="T707" s="3"/>
      <c r="U707" s="3"/>
      <c r="V707" s="3"/>
      <c r="W707" s="3"/>
      <c r="X707" s="3"/>
      <c r="Y707" s="4"/>
      <c r="Z707"/>
      <c r="AA707"/>
    </row>
    <row r="708" spans="1:27" s="37" customFormat="1" ht="16" x14ac:dyDescent="0.2">
      <c r="A708" s="166"/>
      <c r="B708" s="82"/>
      <c r="C708" s="70"/>
      <c r="D708" s="70"/>
      <c r="E708" s="70"/>
      <c r="F708" s="70"/>
      <c r="G708" s="70"/>
      <c r="H708" s="85"/>
      <c r="I708" s="85"/>
      <c r="J708" s="131"/>
      <c r="K708" s="60"/>
      <c r="L708" s="47"/>
      <c r="P708" s="3"/>
      <c r="Q708" s="3"/>
      <c r="R708" s="3"/>
      <c r="S708" s="3"/>
      <c r="T708" s="3"/>
      <c r="U708" s="3"/>
      <c r="V708" s="3"/>
      <c r="W708" s="3"/>
      <c r="X708" s="3"/>
      <c r="Y708" s="4"/>
      <c r="Z708"/>
      <c r="AA708"/>
    </row>
    <row r="709" spans="1:27" s="37" customFormat="1" ht="16" x14ac:dyDescent="0.2">
      <c r="A709" s="166"/>
      <c r="B709" s="82"/>
      <c r="C709" s="70"/>
      <c r="D709" s="70"/>
      <c r="E709" s="70"/>
      <c r="F709" s="70"/>
      <c r="G709" s="70"/>
      <c r="H709" s="85"/>
      <c r="I709" s="85"/>
      <c r="J709" s="131"/>
      <c r="K709" s="60"/>
      <c r="L709" s="47"/>
      <c r="P709" s="3"/>
      <c r="Q709" s="3"/>
      <c r="R709" s="3"/>
      <c r="S709" s="3"/>
      <c r="T709" s="3"/>
      <c r="U709" s="3"/>
      <c r="V709" s="3"/>
      <c r="W709" s="3"/>
      <c r="X709" s="3"/>
      <c r="Y709" s="4"/>
      <c r="Z709"/>
      <c r="AA709"/>
    </row>
    <row r="710" spans="1:27" s="37" customFormat="1" ht="16" x14ac:dyDescent="0.2">
      <c r="A710" s="166"/>
      <c r="B710" s="82"/>
      <c r="C710" s="70"/>
      <c r="D710" s="70"/>
      <c r="E710" s="70"/>
      <c r="F710" s="70"/>
      <c r="G710" s="70"/>
      <c r="H710" s="85"/>
      <c r="I710" s="85"/>
      <c r="J710" s="131"/>
      <c r="K710" s="60"/>
      <c r="L710" s="47"/>
      <c r="M710" s="50"/>
      <c r="P710" s="3"/>
      <c r="Q710" s="3"/>
      <c r="R710" s="3"/>
      <c r="S710" s="3"/>
      <c r="T710" s="3"/>
      <c r="U710" s="3"/>
      <c r="V710" s="3"/>
      <c r="W710" s="3"/>
      <c r="X710" s="3"/>
      <c r="Y710" s="4"/>
      <c r="Z710"/>
      <c r="AA710"/>
    </row>
    <row r="711" spans="1:27" s="37" customFormat="1" ht="16" x14ac:dyDescent="0.2">
      <c r="A711" s="166"/>
      <c r="B711" s="82"/>
      <c r="C711" s="70"/>
      <c r="D711" s="70"/>
      <c r="E711" s="70"/>
      <c r="F711" s="70"/>
      <c r="G711" s="70"/>
      <c r="H711" s="85"/>
      <c r="I711" s="85"/>
      <c r="J711" s="131"/>
      <c r="K711" s="60"/>
      <c r="L711" s="47"/>
      <c r="P711" s="3"/>
      <c r="Q711" s="3"/>
      <c r="R711" s="3"/>
      <c r="S711" s="3"/>
      <c r="T711" s="3"/>
      <c r="U711" s="3"/>
      <c r="V711" s="3"/>
      <c r="W711" s="3"/>
      <c r="X711" s="3"/>
      <c r="Y711" s="4"/>
      <c r="Z711"/>
      <c r="AA711"/>
    </row>
    <row r="712" spans="1:27" s="37" customFormat="1" ht="16" x14ac:dyDescent="0.2">
      <c r="A712" s="70"/>
      <c r="B712" s="82"/>
      <c r="C712" s="70"/>
      <c r="D712" s="70"/>
      <c r="E712" s="70"/>
      <c r="F712" s="70"/>
      <c r="G712" s="70"/>
      <c r="H712" s="85"/>
      <c r="I712" s="85"/>
      <c r="J712" s="131"/>
      <c r="K712" s="60"/>
      <c r="L712" s="47"/>
      <c r="P712" s="3"/>
      <c r="Q712" s="3"/>
      <c r="R712" s="3"/>
      <c r="S712" s="3"/>
      <c r="T712" s="3"/>
      <c r="U712" s="3"/>
      <c r="V712" s="3"/>
      <c r="W712" s="3"/>
      <c r="X712" s="3"/>
      <c r="Y712" s="4"/>
      <c r="Z712"/>
      <c r="AA712"/>
    </row>
    <row r="713" spans="1:27" s="37" customFormat="1" ht="16" x14ac:dyDescent="0.2">
      <c r="A713" s="70"/>
      <c r="B713" s="82"/>
      <c r="C713" s="70"/>
      <c r="D713" s="70"/>
      <c r="E713" s="70"/>
      <c r="F713" s="70"/>
      <c r="G713" s="70"/>
      <c r="H713" s="85"/>
      <c r="I713" s="85"/>
      <c r="J713" s="131"/>
      <c r="K713" s="60"/>
      <c r="L713" s="47"/>
      <c r="P713" s="3"/>
      <c r="Q713" s="3"/>
      <c r="R713" s="3"/>
      <c r="S713" s="3"/>
      <c r="T713" s="3"/>
      <c r="U713" s="3"/>
      <c r="V713" s="3"/>
      <c r="W713" s="3"/>
      <c r="X713" s="3"/>
      <c r="Y713" s="4"/>
      <c r="Z713"/>
      <c r="AA713"/>
    </row>
    <row r="714" spans="1:27" s="37" customFormat="1" ht="16" x14ac:dyDescent="0.2">
      <c r="A714" s="70"/>
      <c r="B714" s="97"/>
      <c r="C714" s="70"/>
      <c r="D714" s="70"/>
      <c r="E714" s="70"/>
      <c r="F714" s="70"/>
      <c r="G714" s="70"/>
      <c r="H714" s="85"/>
      <c r="I714" s="85"/>
      <c r="J714" s="131"/>
      <c r="K714" s="60"/>
      <c r="L714" s="47"/>
      <c r="P714" s="3"/>
      <c r="Q714" s="3"/>
      <c r="R714" s="3"/>
      <c r="S714" s="3"/>
      <c r="T714" s="3"/>
      <c r="U714" s="3"/>
      <c r="V714" s="3"/>
      <c r="W714" s="3"/>
      <c r="X714" s="3"/>
      <c r="Y714" s="4"/>
      <c r="Z714"/>
      <c r="AA714"/>
    </row>
    <row r="715" spans="1:27" s="37" customFormat="1" ht="16" x14ac:dyDescent="0.2">
      <c r="A715" s="70"/>
      <c r="B715" s="82"/>
      <c r="C715" s="70"/>
      <c r="D715" s="70"/>
      <c r="E715" s="70"/>
      <c r="F715" s="70"/>
      <c r="G715" s="70"/>
      <c r="H715" s="85"/>
      <c r="I715" s="85"/>
      <c r="J715" s="131"/>
      <c r="K715" s="60"/>
      <c r="L715" s="47"/>
      <c r="P715" s="3"/>
      <c r="Q715" s="3"/>
      <c r="R715" s="3"/>
      <c r="S715" s="3"/>
      <c r="T715" s="3"/>
      <c r="U715" s="3"/>
      <c r="V715" s="3"/>
      <c r="W715" s="3"/>
      <c r="X715" s="3"/>
      <c r="Y715" s="4"/>
      <c r="Z715"/>
      <c r="AA715"/>
    </row>
    <row r="716" spans="1:27" s="37" customFormat="1" ht="16" x14ac:dyDescent="0.2">
      <c r="A716" s="70"/>
      <c r="B716" s="82"/>
      <c r="C716" s="70"/>
      <c r="D716" s="70"/>
      <c r="E716" s="70"/>
      <c r="F716" s="70"/>
      <c r="G716" s="70"/>
      <c r="H716" s="85"/>
      <c r="I716" s="85"/>
      <c r="J716" s="131"/>
      <c r="K716" s="60"/>
      <c r="L716" s="47"/>
      <c r="P716" s="3"/>
      <c r="Q716" s="3"/>
      <c r="R716" s="3"/>
      <c r="S716" s="3"/>
      <c r="T716" s="3"/>
      <c r="U716" s="3"/>
      <c r="V716" s="3"/>
      <c r="W716" s="3"/>
      <c r="X716" s="3"/>
      <c r="Y716" s="4"/>
      <c r="Z716"/>
      <c r="AA716"/>
    </row>
    <row r="717" spans="1:27" s="37" customFormat="1" ht="16" x14ac:dyDescent="0.2">
      <c r="A717" s="73"/>
      <c r="B717" s="82"/>
      <c r="C717" s="70"/>
      <c r="D717" s="70"/>
      <c r="E717" s="70"/>
      <c r="F717" s="70"/>
      <c r="G717" s="70"/>
      <c r="H717" s="85"/>
      <c r="I717" s="85"/>
      <c r="J717" s="131"/>
      <c r="K717" s="60"/>
      <c r="L717" s="47"/>
      <c r="P717" s="3"/>
      <c r="Q717" s="3"/>
      <c r="R717" s="3"/>
      <c r="S717" s="3"/>
      <c r="T717" s="3"/>
      <c r="U717" s="3"/>
      <c r="V717" s="3"/>
      <c r="W717" s="3"/>
      <c r="X717" s="3"/>
      <c r="Y717" s="4"/>
      <c r="Z717"/>
      <c r="AA717"/>
    </row>
    <row r="718" spans="1:27" s="37" customFormat="1" ht="16" x14ac:dyDescent="0.2">
      <c r="A718" s="70"/>
      <c r="B718" s="82"/>
      <c r="C718" s="70"/>
      <c r="D718" s="70"/>
      <c r="E718" s="70"/>
      <c r="F718" s="70"/>
      <c r="G718" s="70"/>
      <c r="H718" s="85"/>
      <c r="I718" s="85"/>
      <c r="J718" s="131"/>
      <c r="K718" s="60"/>
      <c r="L718" s="47"/>
      <c r="P718" s="3"/>
      <c r="Q718" s="3"/>
      <c r="R718" s="3"/>
      <c r="S718" s="3"/>
      <c r="T718" s="3"/>
      <c r="U718" s="3"/>
      <c r="V718" s="3"/>
      <c r="W718" s="3"/>
      <c r="X718" s="3"/>
      <c r="Y718" s="4"/>
      <c r="Z718"/>
      <c r="AA718"/>
    </row>
    <row r="719" spans="1:27" s="37" customFormat="1" ht="16" x14ac:dyDescent="0.2">
      <c r="A719" s="73"/>
      <c r="B719" s="82"/>
      <c r="C719" s="70"/>
      <c r="D719" s="70"/>
      <c r="E719" s="70"/>
      <c r="F719" s="70"/>
      <c r="G719" s="70"/>
      <c r="H719" s="85"/>
      <c r="I719" s="85"/>
      <c r="J719" s="131"/>
      <c r="K719" s="60"/>
      <c r="L719" s="47"/>
      <c r="P719" s="3"/>
      <c r="Q719" s="3"/>
      <c r="R719" s="3"/>
      <c r="S719" s="3"/>
      <c r="T719" s="3"/>
      <c r="U719" s="3"/>
      <c r="V719" s="3"/>
      <c r="W719" s="3"/>
      <c r="X719" s="3"/>
      <c r="Y719" s="4"/>
      <c r="Z719"/>
      <c r="AA719"/>
    </row>
    <row r="720" spans="1:27" s="37" customFormat="1" ht="16" x14ac:dyDescent="0.2">
      <c r="A720" s="70"/>
      <c r="B720" s="82"/>
      <c r="C720" s="70"/>
      <c r="D720" s="70"/>
      <c r="E720" s="70"/>
      <c r="F720" s="70"/>
      <c r="G720" s="70"/>
      <c r="H720" s="85"/>
      <c r="I720" s="85"/>
      <c r="J720" s="131"/>
      <c r="K720" s="60"/>
      <c r="L720" s="47"/>
      <c r="P720" s="3"/>
      <c r="Q720" s="3"/>
      <c r="R720" s="3"/>
      <c r="S720" s="3"/>
      <c r="T720" s="3"/>
      <c r="U720" s="3"/>
      <c r="V720" s="3"/>
      <c r="W720" s="3"/>
      <c r="X720" s="3"/>
      <c r="Y720" s="4"/>
      <c r="Z720"/>
      <c r="AA720"/>
    </row>
    <row r="721" spans="1:27" s="37" customFormat="1" ht="16" x14ac:dyDescent="0.2">
      <c r="A721" s="70"/>
      <c r="B721" s="82"/>
      <c r="C721" s="70"/>
      <c r="D721" s="70"/>
      <c r="E721" s="70"/>
      <c r="F721" s="70"/>
      <c r="G721" s="70"/>
      <c r="H721" s="85"/>
      <c r="I721" s="85"/>
      <c r="J721" s="131"/>
      <c r="K721" s="60"/>
      <c r="L721" s="47"/>
      <c r="P721" s="3"/>
      <c r="Q721" s="3"/>
      <c r="R721" s="3"/>
      <c r="S721" s="3"/>
      <c r="T721" s="3"/>
      <c r="U721" s="3"/>
      <c r="V721" s="3"/>
      <c r="W721" s="3"/>
      <c r="X721" s="3"/>
      <c r="Y721" s="4"/>
      <c r="Z721"/>
      <c r="AA721"/>
    </row>
    <row r="722" spans="1:27" s="37" customFormat="1" ht="16" x14ac:dyDescent="0.2">
      <c r="A722" s="70"/>
      <c r="B722" s="82"/>
      <c r="C722" s="70"/>
      <c r="D722" s="70"/>
      <c r="E722" s="70"/>
      <c r="F722" s="70"/>
      <c r="G722" s="70"/>
      <c r="H722" s="85"/>
      <c r="I722" s="85"/>
      <c r="J722" s="131"/>
      <c r="K722" s="60"/>
      <c r="L722" s="47"/>
      <c r="P722" s="3"/>
      <c r="Q722" s="3"/>
      <c r="R722" s="3"/>
      <c r="S722" s="3"/>
      <c r="T722" s="3"/>
      <c r="U722" s="3"/>
      <c r="V722" s="3"/>
      <c r="W722" s="3"/>
      <c r="X722" s="3"/>
      <c r="Y722" s="4"/>
      <c r="Z722"/>
      <c r="AA722"/>
    </row>
    <row r="723" spans="1:27" s="37" customFormat="1" ht="16" x14ac:dyDescent="0.2">
      <c r="A723" s="70"/>
      <c r="B723" s="82"/>
      <c r="C723" s="70"/>
      <c r="D723" s="70"/>
      <c r="E723" s="70"/>
      <c r="F723" s="70"/>
      <c r="G723" s="70"/>
      <c r="H723" s="85"/>
      <c r="I723" s="85"/>
      <c r="J723" s="131"/>
      <c r="K723" s="60"/>
      <c r="L723" s="47"/>
      <c r="P723" s="3"/>
      <c r="Q723" s="3"/>
      <c r="R723" s="3"/>
      <c r="S723" s="3"/>
      <c r="T723" s="3"/>
      <c r="U723" s="3"/>
      <c r="V723" s="3"/>
      <c r="W723" s="3"/>
      <c r="X723" s="3"/>
      <c r="Y723" s="4"/>
      <c r="Z723"/>
      <c r="AA723"/>
    </row>
    <row r="724" spans="1:27" s="37" customFormat="1" ht="16" x14ac:dyDescent="0.2">
      <c r="A724" s="166"/>
      <c r="B724" s="82"/>
      <c r="C724" s="70"/>
      <c r="D724" s="70"/>
      <c r="E724" s="70"/>
      <c r="F724" s="70"/>
      <c r="G724" s="70"/>
      <c r="H724" s="85"/>
      <c r="I724" s="85"/>
      <c r="J724" s="131"/>
      <c r="K724" s="60"/>
      <c r="L724" s="47"/>
      <c r="M724" s="50"/>
      <c r="P724" s="3"/>
      <c r="Q724" s="3"/>
      <c r="R724" s="3"/>
      <c r="S724" s="3"/>
      <c r="T724" s="3"/>
      <c r="U724" s="3"/>
      <c r="V724" s="3"/>
      <c r="W724" s="3"/>
      <c r="X724" s="3"/>
      <c r="Y724" s="4"/>
      <c r="Z724"/>
      <c r="AA724"/>
    </row>
    <row r="725" spans="1:27" s="37" customFormat="1" ht="16" x14ac:dyDescent="0.2">
      <c r="A725" s="166"/>
      <c r="B725" s="82"/>
      <c r="C725" s="70"/>
      <c r="D725" s="70"/>
      <c r="E725" s="70"/>
      <c r="F725" s="70"/>
      <c r="G725" s="70"/>
      <c r="H725" s="85"/>
      <c r="I725" s="85"/>
      <c r="J725" s="131"/>
      <c r="K725" s="60"/>
      <c r="L725" s="47"/>
      <c r="P725" s="3"/>
      <c r="Q725" s="3"/>
      <c r="R725" s="3"/>
      <c r="S725" s="3"/>
      <c r="T725" s="3"/>
      <c r="U725" s="3"/>
      <c r="V725" s="3"/>
      <c r="W725" s="3"/>
      <c r="X725" s="3"/>
      <c r="Y725" s="4"/>
      <c r="Z725"/>
      <c r="AA725"/>
    </row>
    <row r="726" spans="1:27" s="37" customFormat="1" ht="16" x14ac:dyDescent="0.2">
      <c r="A726" s="166"/>
      <c r="B726" s="82"/>
      <c r="C726" s="70"/>
      <c r="D726" s="70"/>
      <c r="E726" s="70"/>
      <c r="F726" s="70"/>
      <c r="G726" s="70"/>
      <c r="H726" s="85"/>
      <c r="I726" s="85"/>
      <c r="J726" s="131"/>
      <c r="K726" s="60"/>
      <c r="L726" s="47"/>
      <c r="M726" s="50"/>
      <c r="P726" s="3"/>
      <c r="Q726" s="3"/>
      <c r="R726" s="3"/>
      <c r="S726" s="3"/>
      <c r="T726" s="3"/>
      <c r="U726" s="3"/>
      <c r="V726" s="3"/>
      <c r="W726" s="3"/>
      <c r="X726" s="3"/>
      <c r="Y726" s="4"/>
      <c r="Z726"/>
      <c r="AA726"/>
    </row>
    <row r="727" spans="1:27" s="37" customFormat="1" x14ac:dyDescent="0.15">
      <c r="A727" s="166"/>
      <c r="B727" s="82"/>
      <c r="C727" s="70"/>
      <c r="D727" s="70"/>
      <c r="E727" s="70"/>
      <c r="F727" s="70"/>
      <c r="G727" s="70"/>
      <c r="H727" s="85"/>
      <c r="I727" s="85"/>
      <c r="J727" s="131"/>
      <c r="K727" s="60"/>
      <c r="L727" s="49"/>
      <c r="P727" s="3"/>
      <c r="Q727" s="3"/>
      <c r="R727" s="3"/>
      <c r="S727" s="3"/>
      <c r="T727" s="3"/>
      <c r="U727" s="3"/>
      <c r="V727" s="3"/>
      <c r="W727" s="3"/>
      <c r="X727" s="3"/>
      <c r="Y727" s="4"/>
      <c r="Z727"/>
      <c r="AA727"/>
    </row>
    <row r="728" spans="1:27" s="37" customFormat="1" ht="16" x14ac:dyDescent="0.2">
      <c r="A728" s="166"/>
      <c r="B728" s="82"/>
      <c r="C728" s="70"/>
      <c r="D728" s="70"/>
      <c r="E728" s="70"/>
      <c r="F728" s="70"/>
      <c r="G728" s="70"/>
      <c r="H728" s="85"/>
      <c r="I728" s="85"/>
      <c r="J728" s="131"/>
      <c r="K728" s="60"/>
      <c r="L728" s="47"/>
      <c r="P728" s="3"/>
      <c r="Q728" s="3"/>
      <c r="R728" s="3"/>
      <c r="S728" s="3"/>
      <c r="T728" s="3"/>
      <c r="U728" s="3"/>
      <c r="V728" s="3"/>
      <c r="W728" s="3"/>
      <c r="X728" s="3"/>
      <c r="Y728" s="4"/>
      <c r="Z728"/>
      <c r="AA728"/>
    </row>
    <row r="729" spans="1:27" s="37" customFormat="1" ht="16" x14ac:dyDescent="0.2">
      <c r="A729" s="166"/>
      <c r="B729" s="82"/>
      <c r="C729" s="70"/>
      <c r="D729" s="70"/>
      <c r="E729" s="70"/>
      <c r="F729" s="70"/>
      <c r="G729" s="70"/>
      <c r="H729" s="85"/>
      <c r="I729" s="85"/>
      <c r="J729" s="131"/>
      <c r="K729" s="60"/>
      <c r="L729" s="47"/>
      <c r="P729" s="3"/>
      <c r="Q729" s="3"/>
      <c r="R729" s="3"/>
      <c r="S729" s="3"/>
      <c r="T729" s="3"/>
      <c r="U729" s="3"/>
      <c r="V729" s="3"/>
      <c r="W729" s="3"/>
      <c r="X729" s="3"/>
      <c r="Y729" s="4"/>
      <c r="Z729"/>
      <c r="AA729"/>
    </row>
    <row r="730" spans="1:27" s="37" customFormat="1" ht="16" x14ac:dyDescent="0.2">
      <c r="A730" s="166"/>
      <c r="B730" s="82"/>
      <c r="C730" s="70"/>
      <c r="D730" s="70"/>
      <c r="E730" s="70"/>
      <c r="F730" s="70"/>
      <c r="G730" s="70"/>
      <c r="H730" s="85"/>
      <c r="I730" s="85"/>
      <c r="J730" s="131"/>
      <c r="K730" s="60"/>
      <c r="L730" s="47"/>
      <c r="P730" s="3"/>
      <c r="Q730" s="3"/>
      <c r="R730" s="3"/>
      <c r="S730" s="3"/>
      <c r="T730" s="3"/>
      <c r="U730" s="3"/>
      <c r="V730" s="3"/>
      <c r="W730" s="3"/>
      <c r="X730" s="3"/>
      <c r="Y730" s="4"/>
      <c r="Z730"/>
      <c r="AA730"/>
    </row>
    <row r="731" spans="1:27" s="37" customFormat="1" ht="16" x14ac:dyDescent="0.2">
      <c r="A731" s="166"/>
      <c r="B731" s="82"/>
      <c r="C731" s="70"/>
      <c r="D731" s="70"/>
      <c r="E731" s="70"/>
      <c r="F731" s="70"/>
      <c r="G731" s="70"/>
      <c r="H731" s="85"/>
      <c r="I731" s="85"/>
      <c r="J731" s="131"/>
      <c r="K731" s="60"/>
      <c r="L731" s="47"/>
      <c r="P731" s="3"/>
      <c r="Q731" s="3"/>
      <c r="R731" s="3"/>
      <c r="S731" s="3"/>
      <c r="T731" s="3"/>
      <c r="U731" s="3"/>
      <c r="V731" s="3"/>
      <c r="W731" s="3"/>
      <c r="X731" s="3"/>
      <c r="Y731" s="4"/>
      <c r="Z731"/>
      <c r="AA731"/>
    </row>
    <row r="732" spans="1:27" s="37" customFormat="1" ht="16" x14ac:dyDescent="0.2">
      <c r="A732" s="166"/>
      <c r="B732" s="82"/>
      <c r="C732" s="70"/>
      <c r="D732" s="70"/>
      <c r="E732" s="70"/>
      <c r="F732" s="70"/>
      <c r="G732" s="70"/>
      <c r="H732" s="85"/>
      <c r="I732" s="85"/>
      <c r="J732" s="131"/>
      <c r="K732" s="60"/>
      <c r="L732" s="47"/>
      <c r="P732" s="3"/>
      <c r="Q732" s="3"/>
      <c r="R732" s="3"/>
      <c r="S732" s="3"/>
      <c r="T732" s="3"/>
      <c r="U732" s="3"/>
      <c r="V732" s="3"/>
      <c r="W732" s="3"/>
      <c r="X732" s="3"/>
      <c r="Y732" s="4"/>
      <c r="Z732"/>
      <c r="AA732"/>
    </row>
    <row r="733" spans="1:27" s="37" customFormat="1" ht="16" x14ac:dyDescent="0.2">
      <c r="A733" s="166"/>
      <c r="B733" s="82"/>
      <c r="C733" s="70"/>
      <c r="D733" s="70"/>
      <c r="E733" s="70"/>
      <c r="F733" s="70"/>
      <c r="G733" s="70"/>
      <c r="H733" s="85"/>
      <c r="I733" s="85"/>
      <c r="J733" s="131"/>
      <c r="K733" s="60"/>
      <c r="L733" s="47"/>
      <c r="P733" s="3"/>
      <c r="Q733" s="3"/>
      <c r="R733" s="3"/>
      <c r="S733" s="3"/>
      <c r="T733" s="3"/>
      <c r="U733" s="3"/>
      <c r="V733" s="3"/>
      <c r="W733" s="3"/>
      <c r="X733" s="3"/>
      <c r="Y733" s="4"/>
      <c r="Z733"/>
      <c r="AA733"/>
    </row>
    <row r="734" spans="1:27" s="37" customFormat="1" ht="16" x14ac:dyDescent="0.2">
      <c r="A734" s="166"/>
      <c r="B734" s="82"/>
      <c r="C734" s="70"/>
      <c r="D734" s="70"/>
      <c r="E734" s="70"/>
      <c r="F734" s="70"/>
      <c r="G734" s="70"/>
      <c r="H734" s="85"/>
      <c r="I734" s="85"/>
      <c r="J734" s="131"/>
      <c r="K734" s="60"/>
      <c r="L734" s="47"/>
      <c r="M734" s="48"/>
      <c r="P734" s="3"/>
      <c r="Q734" s="3"/>
      <c r="R734" s="3"/>
      <c r="S734" s="3"/>
      <c r="T734" s="3"/>
      <c r="U734" s="3"/>
      <c r="V734" s="3"/>
      <c r="W734" s="3"/>
      <c r="X734" s="3"/>
      <c r="Y734" s="4"/>
      <c r="Z734"/>
      <c r="AA734"/>
    </row>
    <row r="735" spans="1:27" s="3" customFormat="1" ht="16" x14ac:dyDescent="0.2">
      <c r="A735" s="166"/>
      <c r="B735" s="82"/>
      <c r="C735" s="70"/>
      <c r="D735" s="70"/>
      <c r="E735" s="70"/>
      <c r="F735" s="70"/>
      <c r="G735" s="70"/>
      <c r="H735" s="85"/>
      <c r="I735" s="85"/>
      <c r="J735" s="131"/>
      <c r="K735" s="60"/>
      <c r="L735" s="47"/>
      <c r="M735" s="37"/>
      <c r="N735" s="37"/>
      <c r="O735" s="37"/>
      <c r="P735"/>
      <c r="Q735"/>
      <c r="Y735" s="4"/>
      <c r="Z735"/>
      <c r="AA735"/>
    </row>
    <row r="736" spans="1:27" s="3" customFormat="1" ht="16" x14ac:dyDescent="0.2">
      <c r="A736" s="166"/>
      <c r="B736" s="82"/>
      <c r="C736" s="70"/>
      <c r="D736" s="70"/>
      <c r="E736" s="70"/>
      <c r="F736" s="70"/>
      <c r="G736" s="70"/>
      <c r="H736" s="85"/>
      <c r="I736" s="85"/>
      <c r="J736" s="131"/>
      <c r="K736" s="60"/>
      <c r="L736" s="47"/>
      <c r="M736" s="37"/>
      <c r="N736" s="37"/>
      <c r="O736" s="37"/>
      <c r="Y736" s="4"/>
      <c r="Z736"/>
      <c r="AA736"/>
    </row>
    <row r="737" spans="1:27" s="3" customFormat="1" ht="16" x14ac:dyDescent="0.2">
      <c r="A737" s="166"/>
      <c r="B737" s="82"/>
      <c r="C737" s="70"/>
      <c r="D737" s="70"/>
      <c r="E737" s="70"/>
      <c r="F737" s="70"/>
      <c r="G737" s="70"/>
      <c r="H737" s="85"/>
      <c r="I737" s="85"/>
      <c r="J737" s="131"/>
      <c r="K737" s="60"/>
      <c r="L737" s="47"/>
      <c r="M737" s="37"/>
      <c r="N737" s="37"/>
      <c r="O737" s="37"/>
      <c r="Y737" s="4"/>
      <c r="Z737"/>
      <c r="AA737"/>
    </row>
    <row r="738" spans="1:27" s="3" customFormat="1" ht="16" x14ac:dyDescent="0.2">
      <c r="A738" s="166"/>
      <c r="B738" s="82"/>
      <c r="C738" s="70"/>
      <c r="D738" s="70"/>
      <c r="E738" s="70"/>
      <c r="F738" s="70"/>
      <c r="G738" s="70"/>
      <c r="H738" s="85"/>
      <c r="I738" s="85"/>
      <c r="J738" s="131"/>
      <c r="K738" s="60"/>
      <c r="L738" s="47"/>
      <c r="M738" s="37"/>
      <c r="N738" s="37"/>
      <c r="O738" s="37"/>
      <c r="Y738" s="4"/>
      <c r="Z738"/>
      <c r="AA738"/>
    </row>
    <row r="739" spans="1:27" s="3" customFormat="1" ht="16" x14ac:dyDescent="0.2">
      <c r="A739" s="166"/>
      <c r="B739" s="82"/>
      <c r="C739" s="70"/>
      <c r="D739" s="70"/>
      <c r="E739" s="70"/>
      <c r="F739" s="70"/>
      <c r="G739" s="70"/>
      <c r="H739" s="85"/>
      <c r="I739" s="85"/>
      <c r="J739" s="131"/>
      <c r="K739" s="60"/>
      <c r="L739" s="47"/>
      <c r="M739" s="37"/>
      <c r="N739" s="37"/>
      <c r="O739" s="37"/>
      <c r="Y739" s="4"/>
      <c r="Z739"/>
      <c r="AA739"/>
    </row>
    <row r="740" spans="1:27" s="3" customFormat="1" ht="16" x14ac:dyDescent="0.2">
      <c r="A740" s="70"/>
      <c r="B740" s="82"/>
      <c r="C740" s="70"/>
      <c r="D740" s="70"/>
      <c r="E740" s="70"/>
      <c r="F740" s="70"/>
      <c r="G740" s="70"/>
      <c r="H740" s="85"/>
      <c r="I740" s="85"/>
      <c r="J740" s="131"/>
      <c r="K740" s="60"/>
      <c r="L740" s="47"/>
      <c r="M740" s="37"/>
      <c r="N740" s="37"/>
      <c r="O740" s="37"/>
      <c r="Y740" s="4"/>
      <c r="Z740"/>
      <c r="AA740"/>
    </row>
    <row r="741" spans="1:27" s="3" customFormat="1" ht="16" x14ac:dyDescent="0.2">
      <c r="A741" s="166"/>
      <c r="B741" s="82"/>
      <c r="C741" s="70"/>
      <c r="D741" s="70"/>
      <c r="E741" s="70"/>
      <c r="F741" s="70"/>
      <c r="G741" s="70"/>
      <c r="H741" s="85"/>
      <c r="I741" s="85"/>
      <c r="J741" s="131"/>
      <c r="K741" s="60"/>
      <c r="L741" s="47"/>
      <c r="M741" s="37"/>
      <c r="N741" s="37"/>
      <c r="O741" s="37"/>
      <c r="Y741" s="4"/>
      <c r="Z741"/>
      <c r="AA741"/>
    </row>
    <row r="742" spans="1:27" s="3" customFormat="1" ht="16" x14ac:dyDescent="0.2">
      <c r="A742" s="166"/>
      <c r="B742" s="82"/>
      <c r="C742" s="70"/>
      <c r="D742" s="70"/>
      <c r="E742" s="70"/>
      <c r="F742" s="70"/>
      <c r="G742" s="70"/>
      <c r="H742" s="85"/>
      <c r="I742" s="85"/>
      <c r="J742" s="131"/>
      <c r="K742" s="60"/>
      <c r="L742" s="47"/>
      <c r="M742" s="37"/>
      <c r="N742" s="37"/>
      <c r="O742" s="37"/>
      <c r="Y742" s="4"/>
      <c r="Z742"/>
      <c r="AA742"/>
    </row>
    <row r="743" spans="1:27" s="3" customFormat="1" ht="16" x14ac:dyDescent="0.2">
      <c r="A743" s="166"/>
      <c r="B743" s="82"/>
      <c r="C743" s="70"/>
      <c r="D743" s="70"/>
      <c r="E743" s="70"/>
      <c r="F743" s="70"/>
      <c r="G743" s="70"/>
      <c r="H743" s="85"/>
      <c r="I743" s="85"/>
      <c r="J743" s="131"/>
      <c r="K743" s="60"/>
      <c r="L743" s="47"/>
      <c r="M743" s="37"/>
      <c r="N743" s="37"/>
      <c r="O743" s="37"/>
      <c r="Y743" s="4"/>
      <c r="Z743"/>
      <c r="AA743"/>
    </row>
    <row r="744" spans="1:27" s="3" customFormat="1" ht="16" x14ac:dyDescent="0.2">
      <c r="A744" s="166"/>
      <c r="B744" s="82"/>
      <c r="C744" s="70"/>
      <c r="D744" s="70"/>
      <c r="E744" s="70"/>
      <c r="F744" s="70"/>
      <c r="G744" s="70"/>
      <c r="H744" s="85"/>
      <c r="I744" s="85"/>
      <c r="J744" s="131"/>
      <c r="K744" s="60"/>
      <c r="L744" s="47"/>
      <c r="M744" s="37"/>
      <c r="N744" s="37"/>
      <c r="O744" s="37"/>
      <c r="Y744" s="4"/>
      <c r="Z744"/>
      <c r="AA744"/>
    </row>
    <row r="745" spans="1:27" s="3" customFormat="1" ht="16" x14ac:dyDescent="0.2">
      <c r="A745" s="166"/>
      <c r="B745" s="82"/>
      <c r="C745" s="70"/>
      <c r="D745" s="70"/>
      <c r="E745" s="70"/>
      <c r="F745" s="70"/>
      <c r="G745" s="70"/>
      <c r="H745" s="85"/>
      <c r="I745" s="85"/>
      <c r="J745" s="131"/>
      <c r="K745" s="60"/>
      <c r="L745" s="47"/>
      <c r="M745" s="37"/>
      <c r="N745" s="37"/>
      <c r="O745" s="37"/>
      <c r="Y745" s="4"/>
      <c r="Z745"/>
      <c r="AA745"/>
    </row>
    <row r="746" spans="1:27" s="3" customFormat="1" ht="16" x14ac:dyDescent="0.2">
      <c r="A746" s="166"/>
      <c r="B746" s="82"/>
      <c r="C746" s="70"/>
      <c r="D746" s="70"/>
      <c r="E746" s="70"/>
      <c r="F746" s="70"/>
      <c r="G746" s="70"/>
      <c r="H746" s="85"/>
      <c r="I746" s="85"/>
      <c r="J746" s="131"/>
      <c r="K746" s="60"/>
      <c r="L746" s="47"/>
      <c r="M746" s="37"/>
      <c r="N746" s="37"/>
      <c r="O746" s="37"/>
      <c r="Y746" s="4"/>
      <c r="Z746"/>
      <c r="AA746"/>
    </row>
    <row r="747" spans="1:27" s="3" customFormat="1" ht="16" x14ac:dyDescent="0.2">
      <c r="A747" s="166"/>
      <c r="B747" s="82"/>
      <c r="C747" s="70"/>
      <c r="D747" s="70"/>
      <c r="E747" s="70"/>
      <c r="F747" s="70"/>
      <c r="G747" s="70"/>
      <c r="H747" s="85"/>
      <c r="I747" s="85"/>
      <c r="J747" s="131"/>
      <c r="K747" s="60"/>
      <c r="L747" s="47"/>
      <c r="M747" s="37"/>
      <c r="N747" s="51"/>
      <c r="O747" s="37"/>
      <c r="Y747" s="4"/>
      <c r="Z747"/>
      <c r="AA747"/>
    </row>
    <row r="748" spans="1:27" s="3" customFormat="1" ht="16" x14ac:dyDescent="0.2">
      <c r="A748" s="166"/>
      <c r="B748" s="82"/>
      <c r="C748" s="70"/>
      <c r="D748" s="70"/>
      <c r="E748" s="70"/>
      <c r="F748" s="70"/>
      <c r="G748" s="70"/>
      <c r="H748" s="85"/>
      <c r="I748" s="85"/>
      <c r="J748" s="131"/>
      <c r="K748" s="60"/>
      <c r="L748" s="47"/>
      <c r="M748" s="37"/>
      <c r="N748" s="37"/>
      <c r="O748" s="37"/>
      <c r="Y748" s="4"/>
      <c r="Z748"/>
      <c r="AA748"/>
    </row>
    <row r="749" spans="1:27" s="3" customFormat="1" ht="16" x14ac:dyDescent="0.2">
      <c r="A749" s="166"/>
      <c r="B749" s="82"/>
      <c r="C749" s="70"/>
      <c r="D749" s="70"/>
      <c r="E749" s="70"/>
      <c r="F749" s="70"/>
      <c r="G749" s="70"/>
      <c r="H749" s="85"/>
      <c r="I749" s="85"/>
      <c r="J749" s="131"/>
      <c r="K749" s="60"/>
      <c r="L749" s="47"/>
      <c r="M749" s="37"/>
      <c r="N749" s="37"/>
      <c r="O749" s="37"/>
      <c r="Y749" s="4"/>
      <c r="Z749"/>
      <c r="AA749"/>
    </row>
    <row r="750" spans="1:27" s="3" customFormat="1" ht="16" x14ac:dyDescent="0.2">
      <c r="A750" s="166"/>
      <c r="B750" s="82"/>
      <c r="C750" s="70"/>
      <c r="D750" s="70"/>
      <c r="E750" s="70"/>
      <c r="F750" s="70"/>
      <c r="G750" s="70"/>
      <c r="H750" s="85"/>
      <c r="I750" s="85"/>
      <c r="J750" s="131"/>
      <c r="K750" s="60"/>
      <c r="L750" s="47"/>
      <c r="M750" s="37"/>
      <c r="N750" s="37"/>
      <c r="O750" s="37"/>
      <c r="Y750" s="4"/>
      <c r="Z750"/>
      <c r="AA750"/>
    </row>
    <row r="751" spans="1:27" s="37" customFormat="1" ht="16" x14ac:dyDescent="0.2">
      <c r="A751" s="166"/>
      <c r="B751" s="82"/>
      <c r="C751" s="70"/>
      <c r="D751" s="70"/>
      <c r="E751" s="70"/>
      <c r="F751" s="70"/>
      <c r="G751" s="70"/>
      <c r="H751" s="85"/>
      <c r="I751" s="85"/>
      <c r="J751" s="131"/>
      <c r="K751" s="60"/>
      <c r="L751" s="47"/>
      <c r="P751" s="3"/>
      <c r="Q751" s="3"/>
      <c r="R751" s="3"/>
      <c r="S751" s="3"/>
      <c r="T751" s="3"/>
      <c r="U751" s="3"/>
      <c r="V751" s="3"/>
      <c r="W751" s="3"/>
      <c r="X751" s="3"/>
      <c r="Y751" s="4"/>
      <c r="Z751"/>
      <c r="AA751"/>
    </row>
    <row r="752" spans="1:27" s="37" customFormat="1" ht="16" x14ac:dyDescent="0.2">
      <c r="A752" s="166"/>
      <c r="B752" s="82"/>
      <c r="C752" s="70"/>
      <c r="D752" s="70"/>
      <c r="E752" s="70"/>
      <c r="F752" s="70"/>
      <c r="G752" s="70"/>
      <c r="H752" s="85"/>
      <c r="I752" s="85"/>
      <c r="J752" s="131"/>
      <c r="K752" s="60"/>
      <c r="L752" s="47"/>
      <c r="P752" s="3"/>
      <c r="Q752" s="3"/>
      <c r="R752" s="3"/>
      <c r="S752" s="3"/>
      <c r="T752" s="3"/>
      <c r="U752" s="3"/>
      <c r="V752" s="3"/>
      <c r="W752" s="3"/>
      <c r="X752" s="3"/>
      <c r="Y752" s="4"/>
      <c r="Z752"/>
      <c r="AA752"/>
    </row>
    <row r="753" spans="1:27" s="37" customFormat="1" ht="16" x14ac:dyDescent="0.2">
      <c r="A753" s="166"/>
      <c r="B753" s="82"/>
      <c r="C753" s="70"/>
      <c r="D753" s="70"/>
      <c r="E753" s="70"/>
      <c r="F753" s="70"/>
      <c r="G753" s="70"/>
      <c r="H753" s="85"/>
      <c r="I753" s="85"/>
      <c r="J753" s="131"/>
      <c r="K753" s="60"/>
      <c r="L753" s="47"/>
      <c r="P753" s="3"/>
      <c r="Q753" s="3"/>
      <c r="R753" s="3"/>
      <c r="S753" s="3"/>
      <c r="T753" s="3"/>
      <c r="U753" s="3"/>
      <c r="V753" s="3"/>
      <c r="W753" s="3"/>
      <c r="X753" s="3"/>
      <c r="Y753" s="4"/>
      <c r="Z753"/>
      <c r="AA753"/>
    </row>
    <row r="754" spans="1:27" s="37" customFormat="1" ht="16" x14ac:dyDescent="0.2">
      <c r="A754" s="166"/>
      <c r="B754" s="82"/>
      <c r="C754" s="70"/>
      <c r="D754" s="70"/>
      <c r="E754" s="70"/>
      <c r="F754" s="70"/>
      <c r="G754" s="70"/>
      <c r="H754" s="85"/>
      <c r="I754" s="85"/>
      <c r="J754" s="131"/>
      <c r="K754" s="60"/>
      <c r="L754" s="47"/>
      <c r="P754" s="3"/>
      <c r="Q754" s="3"/>
      <c r="R754" s="3"/>
      <c r="S754" s="3"/>
      <c r="T754" s="3"/>
      <c r="U754" s="3"/>
      <c r="V754" s="3"/>
      <c r="W754" s="3"/>
      <c r="X754" s="3"/>
      <c r="Y754" s="4"/>
      <c r="Z754"/>
      <c r="AA754"/>
    </row>
    <row r="755" spans="1:27" s="37" customFormat="1" ht="16" x14ac:dyDescent="0.2">
      <c r="A755" s="166"/>
      <c r="B755" s="82"/>
      <c r="C755" s="70"/>
      <c r="D755" s="70"/>
      <c r="E755" s="70"/>
      <c r="F755" s="70"/>
      <c r="G755" s="70"/>
      <c r="H755" s="85"/>
      <c r="I755" s="85"/>
      <c r="J755" s="131"/>
      <c r="K755" s="60"/>
      <c r="L755" s="47"/>
      <c r="P755" s="3"/>
      <c r="Q755" s="3"/>
      <c r="R755" s="3"/>
      <c r="S755" s="3"/>
      <c r="T755" s="3"/>
      <c r="U755" s="3"/>
      <c r="V755" s="3"/>
      <c r="W755" s="3"/>
      <c r="X755" s="3"/>
      <c r="Y755" s="4"/>
      <c r="Z755"/>
      <c r="AA755"/>
    </row>
    <row r="756" spans="1:27" s="37" customFormat="1" ht="16" x14ac:dyDescent="0.2">
      <c r="A756" s="166"/>
      <c r="B756" s="82"/>
      <c r="C756" s="70"/>
      <c r="D756" s="70"/>
      <c r="E756" s="70"/>
      <c r="F756" s="70"/>
      <c r="G756" s="70"/>
      <c r="H756" s="85"/>
      <c r="I756" s="85"/>
      <c r="J756" s="131"/>
      <c r="K756" s="60"/>
      <c r="L756" s="47"/>
      <c r="P756" s="3"/>
      <c r="Q756" s="3"/>
      <c r="R756" s="3"/>
      <c r="S756" s="3"/>
      <c r="T756" s="3"/>
      <c r="U756" s="3"/>
      <c r="V756" s="3"/>
      <c r="W756" s="3"/>
      <c r="X756" s="3"/>
      <c r="Y756" s="4"/>
      <c r="Z756"/>
      <c r="AA756"/>
    </row>
    <row r="757" spans="1:27" s="37" customFormat="1" ht="16" x14ac:dyDescent="0.2">
      <c r="A757" s="166"/>
      <c r="B757" s="82"/>
      <c r="C757" s="70"/>
      <c r="D757" s="70"/>
      <c r="E757" s="70"/>
      <c r="F757" s="70"/>
      <c r="G757" s="70"/>
      <c r="H757" s="85"/>
      <c r="I757" s="85"/>
      <c r="J757" s="131"/>
      <c r="K757" s="60"/>
      <c r="L757" s="47"/>
      <c r="P757" s="3"/>
      <c r="Q757" s="3"/>
      <c r="R757" s="3"/>
      <c r="S757" s="3"/>
      <c r="T757" s="3"/>
      <c r="U757" s="3"/>
      <c r="V757" s="3"/>
      <c r="W757" s="3"/>
      <c r="X757" s="3"/>
      <c r="Y757" s="4"/>
      <c r="Z757"/>
      <c r="AA757"/>
    </row>
    <row r="758" spans="1:27" s="37" customFormat="1" ht="16" x14ac:dyDescent="0.2">
      <c r="A758" s="166"/>
      <c r="B758" s="82"/>
      <c r="C758" s="70"/>
      <c r="D758" s="70"/>
      <c r="E758" s="70"/>
      <c r="F758" s="70"/>
      <c r="G758" s="70"/>
      <c r="H758" s="85"/>
      <c r="I758" s="85"/>
      <c r="J758" s="131"/>
      <c r="K758" s="60"/>
      <c r="L758" s="47"/>
      <c r="P758" s="3"/>
      <c r="Q758" s="3"/>
      <c r="R758" s="3"/>
      <c r="S758" s="3"/>
      <c r="T758" s="3"/>
      <c r="U758" s="3"/>
      <c r="V758" s="3"/>
      <c r="W758" s="3"/>
      <c r="X758" s="3"/>
      <c r="Y758" s="4"/>
      <c r="Z758"/>
      <c r="AA758"/>
    </row>
    <row r="759" spans="1:27" s="37" customFormat="1" ht="16" x14ac:dyDescent="0.2">
      <c r="A759" s="166"/>
      <c r="B759" s="82"/>
      <c r="C759" s="70"/>
      <c r="D759" s="70"/>
      <c r="E759" s="70"/>
      <c r="F759" s="70"/>
      <c r="G759" s="70"/>
      <c r="H759" s="85"/>
      <c r="I759" s="85"/>
      <c r="J759" s="131"/>
      <c r="K759" s="60"/>
      <c r="L759" s="47"/>
      <c r="M759" s="50"/>
      <c r="P759" s="3"/>
      <c r="Q759" s="3"/>
      <c r="R759" s="3"/>
      <c r="S759" s="3"/>
      <c r="T759" s="3"/>
      <c r="U759" s="3"/>
      <c r="V759" s="3"/>
      <c r="W759" s="3"/>
      <c r="X759" s="3"/>
      <c r="Y759" s="4"/>
      <c r="Z759"/>
      <c r="AA759"/>
    </row>
    <row r="760" spans="1:27" s="37" customFormat="1" ht="16" x14ac:dyDescent="0.2">
      <c r="A760" s="166"/>
      <c r="B760" s="82"/>
      <c r="C760" s="70"/>
      <c r="D760" s="70"/>
      <c r="E760" s="70"/>
      <c r="F760" s="70"/>
      <c r="G760" s="70"/>
      <c r="H760" s="85"/>
      <c r="I760" s="94"/>
      <c r="J760" s="138"/>
      <c r="K760" s="71"/>
      <c r="L760" s="47"/>
      <c r="P760" s="3"/>
      <c r="Q760" s="3"/>
      <c r="R760" s="3"/>
      <c r="S760" s="3"/>
      <c r="T760" s="3"/>
      <c r="U760" s="3"/>
      <c r="V760" s="3"/>
      <c r="W760" s="3"/>
      <c r="X760" s="3"/>
      <c r="Y760" s="4"/>
      <c r="Z760"/>
      <c r="AA760"/>
    </row>
    <row r="761" spans="1:27" s="37" customFormat="1" ht="16" x14ac:dyDescent="0.2">
      <c r="A761" s="166"/>
      <c r="B761" s="82"/>
      <c r="C761" s="70"/>
      <c r="D761" s="70"/>
      <c r="E761" s="70"/>
      <c r="F761" s="70"/>
      <c r="G761" s="70"/>
      <c r="H761" s="85"/>
      <c r="I761" s="85"/>
      <c r="J761" s="131"/>
      <c r="K761" s="60"/>
      <c r="L761" s="47"/>
      <c r="P761" s="3"/>
      <c r="Q761" s="3"/>
      <c r="R761" s="3"/>
      <c r="S761" s="3"/>
      <c r="T761" s="3"/>
      <c r="U761" s="3"/>
      <c r="V761" s="3"/>
      <c r="W761" s="3"/>
      <c r="X761" s="3"/>
      <c r="Y761" s="4"/>
      <c r="Z761"/>
      <c r="AA761"/>
    </row>
    <row r="762" spans="1:27" s="37" customFormat="1" ht="16" x14ac:dyDescent="0.2">
      <c r="A762" s="166"/>
      <c r="B762" s="82"/>
      <c r="C762" s="70"/>
      <c r="D762" s="70"/>
      <c r="E762" s="70"/>
      <c r="F762" s="70"/>
      <c r="G762" s="70"/>
      <c r="H762" s="85"/>
      <c r="I762" s="85"/>
      <c r="J762" s="131"/>
      <c r="K762" s="60"/>
      <c r="L762" s="47"/>
      <c r="M762" s="49"/>
      <c r="P762" s="3"/>
      <c r="Q762" s="3"/>
      <c r="R762" s="3"/>
      <c r="S762" s="3"/>
      <c r="T762" s="3"/>
      <c r="U762" s="3"/>
      <c r="V762" s="3"/>
      <c r="W762" s="3"/>
      <c r="X762" s="3"/>
      <c r="Y762" s="4"/>
      <c r="Z762"/>
      <c r="AA762"/>
    </row>
    <row r="763" spans="1:27" s="37" customFormat="1" x14ac:dyDescent="0.15">
      <c r="A763" s="166"/>
      <c r="B763" s="82"/>
      <c r="C763" s="70"/>
      <c r="D763" s="70"/>
      <c r="E763" s="70"/>
      <c r="F763" s="70"/>
      <c r="G763" s="70"/>
      <c r="H763" s="85"/>
      <c r="I763" s="85"/>
      <c r="J763" s="131"/>
      <c r="K763" s="60"/>
      <c r="L763" s="33"/>
      <c r="P763" s="3"/>
      <c r="Q763" s="3"/>
      <c r="R763" s="3"/>
      <c r="S763" s="3"/>
      <c r="T763" s="3"/>
      <c r="U763" s="3"/>
      <c r="V763" s="3"/>
      <c r="W763" s="3"/>
      <c r="X763" s="3"/>
      <c r="Y763" s="4"/>
      <c r="Z763"/>
      <c r="AA763"/>
    </row>
    <row r="764" spans="1:27" s="37" customFormat="1" ht="16" x14ac:dyDescent="0.2">
      <c r="A764" s="166"/>
      <c r="B764" s="82"/>
      <c r="C764" s="70"/>
      <c r="D764" s="70"/>
      <c r="E764" s="70"/>
      <c r="F764" s="70"/>
      <c r="G764" s="70"/>
      <c r="H764" s="85"/>
      <c r="I764" s="85"/>
      <c r="J764" s="131"/>
      <c r="K764" s="60"/>
      <c r="L764" s="47"/>
      <c r="P764" s="3"/>
      <c r="Q764" s="3"/>
      <c r="R764" s="3"/>
      <c r="S764" s="3"/>
      <c r="T764" s="3"/>
      <c r="U764" s="3"/>
      <c r="V764" s="3"/>
      <c r="W764" s="3"/>
      <c r="X764" s="3"/>
      <c r="Y764" s="4"/>
      <c r="Z764"/>
      <c r="AA764"/>
    </row>
    <row r="765" spans="1:27" s="37" customFormat="1" x14ac:dyDescent="0.15">
      <c r="A765" s="165"/>
      <c r="B765" s="93"/>
      <c r="C765" s="102"/>
      <c r="D765" s="62"/>
      <c r="E765" s="102"/>
      <c r="F765" s="102"/>
      <c r="G765" s="102"/>
      <c r="H765" s="85"/>
      <c r="I765" s="104"/>
      <c r="J765" s="144"/>
      <c r="K765" s="61"/>
      <c r="L765" s="49"/>
      <c r="P765" s="3"/>
      <c r="Q765" s="3"/>
      <c r="R765" s="3"/>
      <c r="S765" s="3"/>
      <c r="T765" s="3"/>
      <c r="U765" s="3"/>
      <c r="V765" s="3"/>
      <c r="W765" s="3"/>
      <c r="X765" s="3"/>
      <c r="Y765" s="4"/>
      <c r="Z765"/>
      <c r="AA765"/>
    </row>
    <row r="766" spans="1:27" s="37" customFormat="1" x14ac:dyDescent="0.15">
      <c r="A766" s="165"/>
      <c r="B766" s="93"/>
      <c r="C766" s="102"/>
      <c r="D766" s="62"/>
      <c r="E766" s="102"/>
      <c r="F766" s="102"/>
      <c r="G766" s="102"/>
      <c r="H766" s="98"/>
      <c r="I766" s="98"/>
      <c r="J766" s="135"/>
      <c r="K766" s="62"/>
      <c r="L766" s="49"/>
      <c r="P766" s="3"/>
      <c r="Q766" s="3"/>
      <c r="R766" s="3"/>
      <c r="S766" s="3"/>
      <c r="T766" s="3"/>
      <c r="U766" s="3"/>
      <c r="V766" s="3"/>
      <c r="W766" s="3"/>
      <c r="X766" s="3"/>
      <c r="Y766" s="4"/>
      <c r="Z766"/>
      <c r="AA766"/>
    </row>
    <row r="767" spans="1:27" x14ac:dyDescent="0.15">
      <c r="A767" s="165"/>
      <c r="B767" s="93"/>
      <c r="C767" s="102"/>
      <c r="D767" s="62"/>
      <c r="E767" s="102"/>
      <c r="F767" s="102"/>
      <c r="G767" s="102"/>
      <c r="H767" s="98"/>
      <c r="I767" s="98"/>
      <c r="J767" s="135"/>
      <c r="K767" s="62"/>
    </row>
    <row r="768" spans="1:27" x14ac:dyDescent="0.15">
      <c r="A768" s="165"/>
      <c r="B768" s="93"/>
      <c r="C768" s="102"/>
      <c r="D768" s="62"/>
      <c r="E768" s="102"/>
      <c r="F768" s="102"/>
      <c r="G768" s="102"/>
      <c r="H768" s="98"/>
      <c r="I768" s="98"/>
      <c r="J768" s="135"/>
      <c r="K768" s="62"/>
    </row>
    <row r="769" spans="1:27" x14ac:dyDescent="0.15">
      <c r="A769" s="227"/>
      <c r="B769" s="197"/>
      <c r="C769" s="198"/>
      <c r="D769" s="172"/>
      <c r="E769" s="198"/>
      <c r="F769" s="198"/>
      <c r="G769" s="198"/>
      <c r="H769" s="200"/>
      <c r="I769" s="200"/>
      <c r="J769" s="201"/>
      <c r="K769" s="172"/>
      <c r="L769" s="202"/>
      <c r="M769" s="202"/>
      <c r="N769" s="202"/>
      <c r="O769" s="202"/>
      <c r="P769" s="203"/>
      <c r="Q769" s="203"/>
      <c r="R769" s="12"/>
      <c r="S769" s="12"/>
      <c r="T769" s="12"/>
      <c r="U769" s="12"/>
      <c r="V769" s="12"/>
      <c r="W769" s="12"/>
      <c r="X769" s="12"/>
      <c r="Y769" s="16"/>
      <c r="Z769" s="13"/>
      <c r="AA769" s="13"/>
    </row>
    <row r="770" spans="1:27" x14ac:dyDescent="0.15">
      <c r="A770" s="165"/>
      <c r="B770" s="93"/>
      <c r="C770" s="102"/>
      <c r="D770" s="62"/>
      <c r="E770" s="102"/>
      <c r="F770" s="102"/>
      <c r="G770" s="102"/>
      <c r="H770" s="98"/>
      <c r="I770" s="98"/>
      <c r="J770" s="135"/>
      <c r="K770" s="62"/>
    </row>
    <row r="771" spans="1:27" x14ac:dyDescent="0.15">
      <c r="A771" s="165"/>
      <c r="B771" s="93"/>
      <c r="C771" s="102"/>
      <c r="D771" s="62"/>
      <c r="E771" s="102"/>
      <c r="F771" s="102"/>
      <c r="G771" s="102"/>
      <c r="H771" s="98"/>
      <c r="I771" s="98"/>
      <c r="J771" s="135"/>
      <c r="K771" s="62"/>
      <c r="R771" s="12"/>
      <c r="S771" s="12"/>
      <c r="T771" s="12"/>
      <c r="U771" s="12"/>
      <c r="V771" s="12"/>
      <c r="W771" s="12"/>
      <c r="X771" s="12"/>
      <c r="Y771" s="16"/>
      <c r="Z771" s="13"/>
      <c r="AA771" s="13"/>
    </row>
    <row r="772" spans="1:27" x14ac:dyDescent="0.15">
      <c r="A772" s="165"/>
      <c r="B772" s="93"/>
      <c r="C772" s="102"/>
      <c r="D772" s="62"/>
      <c r="E772" s="102"/>
      <c r="F772" s="102"/>
      <c r="G772" s="102"/>
      <c r="H772" s="85"/>
      <c r="I772" s="104"/>
      <c r="J772" s="144"/>
      <c r="K772" s="62"/>
    </row>
    <row r="773" spans="1:27" x14ac:dyDescent="0.15">
      <c r="A773" s="165"/>
      <c r="B773" s="93"/>
      <c r="C773" s="102"/>
      <c r="D773" s="62"/>
      <c r="E773" s="102"/>
      <c r="F773" s="102"/>
      <c r="G773" s="102"/>
      <c r="H773" s="85"/>
      <c r="I773" s="104"/>
      <c r="J773" s="144"/>
      <c r="K773" s="61"/>
    </row>
    <row r="774" spans="1:27" x14ac:dyDescent="0.15">
      <c r="A774" s="165"/>
      <c r="B774" s="93"/>
      <c r="C774" s="100"/>
      <c r="D774" s="61"/>
      <c r="E774" s="100"/>
      <c r="F774" s="100"/>
      <c r="G774" s="100"/>
      <c r="H774" s="85"/>
      <c r="I774" s="101"/>
      <c r="J774" s="143"/>
      <c r="K774" s="61"/>
      <c r="L774" s="50"/>
      <c r="M774" s="35"/>
    </row>
    <row r="775" spans="1:27" x14ac:dyDescent="0.15">
      <c r="A775" s="165"/>
      <c r="B775" s="93"/>
      <c r="C775" s="102"/>
      <c r="D775" s="62"/>
      <c r="E775" s="102"/>
      <c r="F775" s="102"/>
      <c r="G775" s="102"/>
      <c r="H775" s="85"/>
      <c r="I775" s="104"/>
      <c r="J775" s="143"/>
      <c r="K775" s="61"/>
      <c r="L775" s="36"/>
      <c r="N775" s="51"/>
    </row>
    <row r="776" spans="1:27" x14ac:dyDescent="0.15">
      <c r="A776" s="165"/>
      <c r="B776" s="93"/>
      <c r="C776" s="102"/>
      <c r="D776" s="62"/>
      <c r="E776" s="102"/>
      <c r="F776" s="102"/>
      <c r="G776" s="102"/>
      <c r="H776" s="103"/>
      <c r="I776" s="98"/>
      <c r="J776" s="141"/>
      <c r="K776" s="61"/>
      <c r="L776" s="50"/>
      <c r="M776" s="51"/>
      <c r="N776" s="35"/>
    </row>
    <row r="777" spans="1:27" x14ac:dyDescent="0.15">
      <c r="A777" s="165"/>
      <c r="B777" s="93"/>
      <c r="C777" s="102"/>
      <c r="D777" s="62"/>
      <c r="E777" s="102"/>
      <c r="F777" s="102"/>
      <c r="G777" s="102"/>
      <c r="H777" s="85"/>
      <c r="I777" s="104"/>
      <c r="J777" s="143"/>
      <c r="K777" s="61"/>
      <c r="L777" s="50"/>
      <c r="M777" s="51"/>
    </row>
    <row r="778" spans="1:27" x14ac:dyDescent="0.15">
      <c r="A778" s="165"/>
      <c r="B778" s="93"/>
      <c r="C778" s="102"/>
      <c r="D778" s="62"/>
      <c r="E778" s="102"/>
      <c r="F778" s="102"/>
      <c r="G778" s="102"/>
      <c r="H778" s="85"/>
      <c r="I778" s="104"/>
      <c r="J778" s="143"/>
      <c r="K778" s="61"/>
      <c r="L778" s="35"/>
    </row>
    <row r="779" spans="1:27" x14ac:dyDescent="0.15">
      <c r="A779" s="165"/>
      <c r="B779" s="93"/>
      <c r="C779" s="102"/>
      <c r="D779" s="62"/>
      <c r="E779" s="100"/>
      <c r="F779" s="102"/>
      <c r="G779" s="102"/>
      <c r="H779" s="85"/>
      <c r="I779" s="104"/>
      <c r="J779" s="143"/>
      <c r="K779" s="61"/>
      <c r="L779" s="35"/>
      <c r="N779" s="51"/>
    </row>
    <row r="780" spans="1:27" x14ac:dyDescent="0.15">
      <c r="A780" s="165"/>
      <c r="B780" s="93"/>
      <c r="C780" s="102"/>
      <c r="D780" s="62"/>
      <c r="E780" s="102"/>
      <c r="F780" s="102"/>
      <c r="G780" s="102"/>
      <c r="H780" s="85"/>
      <c r="I780" s="104"/>
      <c r="J780" s="143"/>
      <c r="K780" s="61"/>
      <c r="L780" s="50"/>
      <c r="M780" s="51"/>
      <c r="N780" s="51"/>
    </row>
    <row r="781" spans="1:27" x14ac:dyDescent="0.15">
      <c r="A781" s="165"/>
      <c r="B781" s="93"/>
      <c r="C781" s="102"/>
      <c r="D781" s="62"/>
      <c r="E781" s="102"/>
      <c r="F781" s="102"/>
      <c r="G781" s="102"/>
      <c r="H781" s="85"/>
      <c r="I781" s="104"/>
      <c r="J781" s="143"/>
      <c r="K781" s="61"/>
      <c r="L781" s="50"/>
      <c r="M781" s="51"/>
    </row>
    <row r="782" spans="1:27" x14ac:dyDescent="0.15">
      <c r="A782" s="165"/>
      <c r="B782" s="93"/>
      <c r="C782" s="102"/>
      <c r="D782" s="62"/>
      <c r="E782" s="102"/>
      <c r="F782" s="102"/>
      <c r="G782" s="102"/>
      <c r="H782" s="85"/>
      <c r="I782" s="104"/>
      <c r="J782" s="143"/>
      <c r="K782" s="61"/>
      <c r="L782" s="50"/>
      <c r="M782" s="51"/>
      <c r="N782" s="51"/>
    </row>
    <row r="783" spans="1:27" s="37" customFormat="1" x14ac:dyDescent="0.15">
      <c r="A783" s="165"/>
      <c r="B783" s="93"/>
      <c r="C783" s="100"/>
      <c r="D783" s="61"/>
      <c r="E783" s="100"/>
      <c r="F783" s="100"/>
      <c r="G783" s="100"/>
      <c r="H783" s="103"/>
      <c r="I783" s="103"/>
      <c r="J783" s="141"/>
      <c r="K783" s="61"/>
      <c r="L783" s="49"/>
      <c r="P783" s="3"/>
      <c r="Q783" s="3"/>
      <c r="R783" s="3"/>
      <c r="S783" s="3"/>
      <c r="T783" s="3"/>
      <c r="U783" s="3"/>
      <c r="V783" s="3"/>
      <c r="W783" s="3"/>
      <c r="X783" s="3"/>
      <c r="Y783" s="4"/>
      <c r="Z783"/>
      <c r="AA783"/>
    </row>
    <row r="784" spans="1:27" s="37" customFormat="1" x14ac:dyDescent="0.15">
      <c r="A784" s="165"/>
      <c r="B784" s="93"/>
      <c r="C784" s="100"/>
      <c r="D784" s="61"/>
      <c r="E784" s="100"/>
      <c r="F784" s="100"/>
      <c r="G784" s="100"/>
      <c r="H784" s="103"/>
      <c r="I784" s="103"/>
      <c r="J784" s="141"/>
      <c r="K784" s="61"/>
      <c r="L784" s="49"/>
      <c r="P784" s="3"/>
      <c r="Q784" s="3"/>
      <c r="R784" s="3"/>
      <c r="S784" s="3"/>
      <c r="T784" s="3"/>
      <c r="U784" s="3"/>
      <c r="V784" s="3"/>
      <c r="W784" s="3"/>
      <c r="X784" s="3"/>
      <c r="Y784" s="4"/>
      <c r="Z784"/>
      <c r="AA784"/>
    </row>
    <row r="785" spans="1:27" s="37" customFormat="1" x14ac:dyDescent="0.15">
      <c r="A785" s="165"/>
      <c r="B785" s="93"/>
      <c r="C785" s="100"/>
      <c r="D785" s="61"/>
      <c r="E785" s="100"/>
      <c r="F785" s="100"/>
      <c r="G785" s="100"/>
      <c r="H785" s="103"/>
      <c r="I785" s="103"/>
      <c r="J785" s="141"/>
      <c r="K785" s="61"/>
      <c r="L785" s="49"/>
      <c r="P785" s="3"/>
      <c r="Q785" s="3"/>
      <c r="R785" s="3"/>
      <c r="S785" s="3"/>
      <c r="T785" s="3"/>
      <c r="U785" s="3"/>
      <c r="V785" s="3"/>
      <c r="W785" s="3"/>
      <c r="X785" s="3"/>
      <c r="Y785" s="4"/>
      <c r="Z785"/>
      <c r="AA785"/>
    </row>
    <row r="786" spans="1:27" s="37" customFormat="1" x14ac:dyDescent="0.15">
      <c r="A786" s="165"/>
      <c r="B786" s="93"/>
      <c r="C786" s="102"/>
      <c r="D786" s="62"/>
      <c r="E786" s="102"/>
      <c r="F786" s="102"/>
      <c r="G786" s="102"/>
      <c r="H786" s="98"/>
      <c r="I786" s="106"/>
      <c r="J786" s="135"/>
      <c r="K786" s="62"/>
      <c r="L786" s="33"/>
      <c r="P786" s="3"/>
      <c r="Q786" s="3"/>
      <c r="R786" s="3"/>
      <c r="S786" s="3"/>
      <c r="T786" s="3"/>
      <c r="U786" s="3"/>
      <c r="V786" s="3"/>
      <c r="W786" s="3"/>
      <c r="X786" s="3"/>
      <c r="Y786" s="4"/>
      <c r="Z786"/>
      <c r="AA786"/>
    </row>
    <row r="787" spans="1:27" s="37" customFormat="1" x14ac:dyDescent="0.15">
      <c r="A787" s="165"/>
      <c r="B787" s="93"/>
      <c r="C787" s="100"/>
      <c r="D787" s="61"/>
      <c r="E787" s="100"/>
      <c r="F787" s="100"/>
      <c r="G787" s="100"/>
      <c r="H787" s="85"/>
      <c r="I787" s="101"/>
      <c r="J787" s="143"/>
      <c r="K787" s="61"/>
      <c r="L787" s="50"/>
      <c r="M787" s="51"/>
      <c r="P787" s="3"/>
      <c r="Q787" s="3"/>
      <c r="R787" s="3"/>
      <c r="S787" s="3"/>
      <c r="T787" s="3"/>
      <c r="U787" s="3"/>
      <c r="V787" s="3"/>
      <c r="W787" s="3"/>
      <c r="X787" s="3"/>
      <c r="Y787" s="4"/>
      <c r="Z787"/>
      <c r="AA787"/>
    </row>
    <row r="788" spans="1:27" s="37" customFormat="1" x14ac:dyDescent="0.15">
      <c r="A788" s="165"/>
      <c r="B788" s="93"/>
      <c r="C788" s="102"/>
      <c r="D788" s="62"/>
      <c r="E788" s="100"/>
      <c r="F788" s="102"/>
      <c r="G788" s="102"/>
      <c r="H788" s="85"/>
      <c r="I788" s="104"/>
      <c r="J788" s="143"/>
      <c r="K788" s="61"/>
      <c r="L788" s="49"/>
      <c r="P788" s="3"/>
      <c r="Q788" s="3"/>
      <c r="R788" s="3"/>
      <c r="S788" s="3"/>
      <c r="T788" s="3"/>
      <c r="U788" s="3"/>
      <c r="V788" s="3"/>
      <c r="W788" s="3"/>
      <c r="X788" s="3"/>
      <c r="Y788" s="4"/>
      <c r="Z788"/>
      <c r="AA788"/>
    </row>
    <row r="789" spans="1:27" s="37" customFormat="1" x14ac:dyDescent="0.15">
      <c r="A789" s="165"/>
      <c r="B789" s="93"/>
      <c r="C789" s="102"/>
      <c r="D789" s="62"/>
      <c r="E789" s="100"/>
      <c r="F789" s="102"/>
      <c r="G789" s="102"/>
      <c r="H789" s="85"/>
      <c r="I789" s="104"/>
      <c r="J789" s="143"/>
      <c r="K789" s="61"/>
      <c r="L789" s="49"/>
      <c r="P789" s="3"/>
      <c r="Q789" s="3"/>
      <c r="R789" s="3"/>
      <c r="S789" s="3"/>
      <c r="T789" s="3"/>
      <c r="U789" s="3"/>
      <c r="V789" s="3"/>
      <c r="W789" s="3"/>
      <c r="X789" s="3"/>
      <c r="Y789" s="4"/>
      <c r="Z789"/>
      <c r="AA789"/>
    </row>
    <row r="790" spans="1:27" s="37" customFormat="1" x14ac:dyDescent="0.15">
      <c r="A790" s="165"/>
      <c r="B790" s="93"/>
      <c r="C790" s="100"/>
      <c r="D790" s="61"/>
      <c r="E790" s="100"/>
      <c r="F790" s="100"/>
      <c r="G790" s="100"/>
      <c r="H790" s="103"/>
      <c r="I790" s="103"/>
      <c r="J790" s="141"/>
      <c r="K790" s="61"/>
      <c r="L790" s="49"/>
      <c r="P790" s="3"/>
      <c r="Q790" s="3"/>
      <c r="R790" s="3"/>
      <c r="S790" s="3"/>
      <c r="T790" s="3"/>
      <c r="U790" s="3"/>
      <c r="V790" s="3"/>
      <c r="W790" s="3"/>
      <c r="X790" s="3"/>
      <c r="Y790" s="4"/>
      <c r="Z790"/>
      <c r="AA790"/>
    </row>
    <row r="791" spans="1:27" s="37" customFormat="1" x14ac:dyDescent="0.15">
      <c r="A791" s="165"/>
      <c r="B791" s="93"/>
      <c r="C791" s="102"/>
      <c r="D791" s="62"/>
      <c r="E791" s="100"/>
      <c r="F791" s="102"/>
      <c r="G791" s="102"/>
      <c r="H791" s="85"/>
      <c r="I791" s="104"/>
      <c r="J791" s="143"/>
      <c r="K791" s="61"/>
      <c r="L791" s="49"/>
      <c r="P791" s="3"/>
      <c r="Q791" s="3"/>
      <c r="R791" s="3"/>
      <c r="S791" s="3"/>
      <c r="T791" s="3"/>
      <c r="U791" s="3"/>
      <c r="V791" s="3"/>
      <c r="W791" s="3"/>
      <c r="X791" s="3"/>
      <c r="Y791" s="4"/>
      <c r="Z791"/>
      <c r="AA791"/>
    </row>
    <row r="792" spans="1:27" s="37" customFormat="1" x14ac:dyDescent="0.15">
      <c r="A792" s="165"/>
      <c r="B792" s="93"/>
      <c r="C792" s="102"/>
      <c r="D792" s="62"/>
      <c r="E792" s="100"/>
      <c r="F792" s="102"/>
      <c r="G792" s="102"/>
      <c r="H792" s="85"/>
      <c r="I792" s="104"/>
      <c r="J792" s="143"/>
      <c r="K792" s="61"/>
      <c r="L792" s="49"/>
      <c r="P792" s="3"/>
      <c r="Q792" s="3"/>
      <c r="R792" s="3"/>
      <c r="S792" s="3"/>
      <c r="T792" s="3"/>
      <c r="U792" s="3"/>
      <c r="V792" s="3"/>
      <c r="W792" s="3"/>
      <c r="X792" s="3"/>
      <c r="Y792" s="4"/>
      <c r="Z792"/>
      <c r="AA792"/>
    </row>
    <row r="793" spans="1:27" s="37" customFormat="1" x14ac:dyDescent="0.15">
      <c r="A793" s="165"/>
      <c r="B793" s="93"/>
      <c r="C793" s="102"/>
      <c r="D793" s="62"/>
      <c r="E793" s="100"/>
      <c r="F793" s="102"/>
      <c r="G793" s="102"/>
      <c r="H793" s="85"/>
      <c r="I793" s="104"/>
      <c r="J793" s="143"/>
      <c r="K793" s="61"/>
      <c r="L793" s="49"/>
      <c r="P793" s="3"/>
      <c r="Q793" s="3"/>
      <c r="R793" s="3"/>
      <c r="S793" s="3"/>
      <c r="T793" s="3"/>
      <c r="U793" s="3"/>
      <c r="V793" s="3"/>
      <c r="W793" s="3"/>
      <c r="X793" s="3"/>
      <c r="Y793" s="4"/>
      <c r="Z793"/>
      <c r="AA793"/>
    </row>
    <row r="794" spans="1:27" s="37" customFormat="1" x14ac:dyDescent="0.15">
      <c r="A794" s="165"/>
      <c r="B794" s="93"/>
      <c r="C794" s="100"/>
      <c r="D794" s="61"/>
      <c r="E794" s="100"/>
      <c r="F794" s="100"/>
      <c r="G794" s="100"/>
      <c r="H794" s="103"/>
      <c r="I794" s="103"/>
      <c r="J794" s="141"/>
      <c r="K794" s="61"/>
      <c r="L794" s="49"/>
      <c r="P794" s="3"/>
      <c r="Q794" s="3"/>
      <c r="R794" s="3"/>
      <c r="S794" s="3"/>
      <c r="T794" s="3"/>
      <c r="U794" s="3"/>
      <c r="V794" s="3"/>
      <c r="W794" s="3"/>
      <c r="X794" s="3"/>
      <c r="Y794" s="4"/>
      <c r="Z794"/>
      <c r="AA794"/>
    </row>
    <row r="795" spans="1:27" s="37" customFormat="1" x14ac:dyDescent="0.15">
      <c r="A795" s="165"/>
      <c r="B795" s="93"/>
      <c r="C795" s="100"/>
      <c r="D795" s="61"/>
      <c r="E795" s="100"/>
      <c r="F795" s="100"/>
      <c r="G795" s="100"/>
      <c r="H795" s="103"/>
      <c r="I795" s="103"/>
      <c r="J795" s="141"/>
      <c r="K795" s="61"/>
      <c r="L795" s="49"/>
      <c r="P795" s="3"/>
      <c r="Q795" s="3"/>
      <c r="R795" s="3"/>
      <c r="S795" s="3"/>
      <c r="T795" s="3"/>
      <c r="U795" s="3"/>
      <c r="V795" s="3"/>
      <c r="W795" s="3"/>
      <c r="X795" s="3"/>
      <c r="Y795" s="4"/>
      <c r="Z795"/>
      <c r="AA795"/>
    </row>
    <row r="796" spans="1:27" s="37" customFormat="1" x14ac:dyDescent="0.15">
      <c r="A796" s="165"/>
      <c r="B796" s="93"/>
      <c r="C796" s="100"/>
      <c r="D796" s="61"/>
      <c r="E796" s="100"/>
      <c r="F796" s="100"/>
      <c r="G796" s="100"/>
      <c r="H796" s="103"/>
      <c r="I796" s="103"/>
      <c r="J796" s="141"/>
      <c r="K796" s="61"/>
      <c r="L796" s="49"/>
      <c r="P796" s="3"/>
      <c r="Q796" s="3"/>
      <c r="R796" s="3"/>
      <c r="S796" s="3"/>
      <c r="T796" s="3"/>
      <c r="U796" s="3"/>
      <c r="V796" s="3"/>
      <c r="W796" s="3"/>
      <c r="X796" s="3"/>
      <c r="Y796" s="4"/>
      <c r="Z796"/>
      <c r="AA796"/>
    </row>
    <row r="797" spans="1:27" s="37" customFormat="1" x14ac:dyDescent="0.15">
      <c r="A797" s="165"/>
      <c r="B797" s="93"/>
      <c r="C797" s="100"/>
      <c r="D797" s="61"/>
      <c r="E797" s="100"/>
      <c r="F797" s="100"/>
      <c r="G797" s="100"/>
      <c r="H797" s="103"/>
      <c r="I797" s="103"/>
      <c r="J797" s="141"/>
      <c r="K797" s="61"/>
      <c r="L797" s="49"/>
      <c r="P797" s="3"/>
      <c r="Q797" s="3"/>
      <c r="R797" s="3"/>
      <c r="S797" s="3"/>
      <c r="T797" s="3"/>
      <c r="U797" s="3"/>
      <c r="V797" s="3"/>
      <c r="W797" s="3"/>
      <c r="X797" s="3"/>
      <c r="Y797" s="4"/>
      <c r="Z797"/>
      <c r="AA797"/>
    </row>
    <row r="798" spans="1:27" s="37" customFormat="1" x14ac:dyDescent="0.15">
      <c r="A798" s="165"/>
      <c r="B798" s="93"/>
      <c r="C798" s="100"/>
      <c r="D798" s="61"/>
      <c r="E798" s="100"/>
      <c r="F798" s="100"/>
      <c r="G798" s="100"/>
      <c r="H798" s="103"/>
      <c r="I798" s="103"/>
      <c r="J798" s="141"/>
      <c r="K798" s="61"/>
      <c r="L798" s="49"/>
      <c r="P798" s="3"/>
      <c r="Q798" s="3"/>
      <c r="R798" s="3"/>
      <c r="S798" s="3"/>
      <c r="T798" s="3"/>
      <c r="U798" s="3"/>
      <c r="V798" s="3"/>
      <c r="W798" s="3"/>
      <c r="X798" s="3"/>
      <c r="Y798" s="4"/>
      <c r="Z798"/>
      <c r="AA798"/>
    </row>
    <row r="799" spans="1:27" s="37" customFormat="1" x14ac:dyDescent="0.15">
      <c r="A799" s="165"/>
      <c r="B799" s="93"/>
      <c r="C799" s="100"/>
      <c r="D799" s="61"/>
      <c r="E799" s="100"/>
      <c r="F799" s="100"/>
      <c r="G799" s="100"/>
      <c r="H799" s="103"/>
      <c r="I799" s="103"/>
      <c r="J799" s="141"/>
      <c r="K799" s="61"/>
      <c r="L799" s="49"/>
      <c r="P799" s="3"/>
      <c r="Q799" s="3"/>
      <c r="R799" s="3"/>
      <c r="S799" s="3"/>
      <c r="T799" s="3"/>
      <c r="U799" s="3"/>
      <c r="V799" s="3"/>
      <c r="W799" s="3"/>
      <c r="X799" s="3"/>
      <c r="Y799" s="4"/>
      <c r="Z799"/>
      <c r="AA799"/>
    </row>
    <row r="800" spans="1:27" s="37" customFormat="1" x14ac:dyDescent="0.15">
      <c r="A800" s="165"/>
      <c r="B800" s="93"/>
      <c r="C800" s="102"/>
      <c r="D800" s="62"/>
      <c r="E800" s="100"/>
      <c r="F800" s="102"/>
      <c r="G800" s="102"/>
      <c r="H800" s="85"/>
      <c r="I800" s="104"/>
      <c r="J800" s="143"/>
      <c r="K800" s="61"/>
      <c r="L800" s="49"/>
      <c r="P800" s="3"/>
      <c r="Q800" s="3"/>
      <c r="R800" s="3"/>
      <c r="S800" s="3"/>
      <c r="T800" s="3"/>
      <c r="U800" s="3"/>
      <c r="V800" s="3"/>
      <c r="W800" s="3"/>
      <c r="X800" s="3"/>
      <c r="Y800" s="4"/>
      <c r="Z800"/>
      <c r="AA800"/>
    </row>
    <row r="801" spans="1:27" s="37" customFormat="1" x14ac:dyDescent="0.15">
      <c r="A801" s="165"/>
      <c r="B801" s="93"/>
      <c r="C801" s="102"/>
      <c r="D801" s="62"/>
      <c r="E801" s="100"/>
      <c r="F801" s="102"/>
      <c r="G801" s="102"/>
      <c r="H801" s="85"/>
      <c r="I801" s="104"/>
      <c r="J801" s="143"/>
      <c r="K801" s="61"/>
      <c r="L801" s="49"/>
      <c r="P801" s="3"/>
      <c r="Q801" s="3"/>
      <c r="R801" s="3"/>
      <c r="S801" s="3"/>
      <c r="T801" s="3"/>
      <c r="U801" s="3"/>
      <c r="V801" s="3"/>
      <c r="W801" s="3"/>
      <c r="X801" s="3"/>
      <c r="Y801" s="4"/>
      <c r="Z801"/>
      <c r="AA801"/>
    </row>
    <row r="802" spans="1:27" s="37" customFormat="1" x14ac:dyDescent="0.15">
      <c r="A802" s="165"/>
      <c r="B802" s="93"/>
      <c r="C802" s="102"/>
      <c r="D802" s="62"/>
      <c r="E802" s="100"/>
      <c r="F802" s="102"/>
      <c r="G802" s="102"/>
      <c r="H802" s="85"/>
      <c r="I802" s="104"/>
      <c r="J802" s="143"/>
      <c r="K802" s="61"/>
      <c r="L802" s="49"/>
      <c r="P802" s="3"/>
      <c r="Q802" s="3"/>
      <c r="R802" s="3"/>
      <c r="S802" s="3"/>
      <c r="T802" s="3"/>
      <c r="U802" s="3"/>
      <c r="V802" s="3"/>
      <c r="W802" s="3"/>
      <c r="X802" s="3"/>
      <c r="Y802" s="4"/>
      <c r="Z802"/>
      <c r="AA802"/>
    </row>
    <row r="803" spans="1:27" s="37" customFormat="1" x14ac:dyDescent="0.15">
      <c r="A803" s="165"/>
      <c r="B803" s="93"/>
      <c r="C803" s="102"/>
      <c r="D803" s="62"/>
      <c r="E803" s="102"/>
      <c r="F803" s="102"/>
      <c r="G803" s="102"/>
      <c r="H803" s="85"/>
      <c r="I803" s="104"/>
      <c r="J803" s="143"/>
      <c r="K803" s="61"/>
      <c r="L803" s="49"/>
      <c r="P803" s="3"/>
      <c r="Q803" s="3"/>
      <c r="R803" s="3"/>
      <c r="S803" s="3"/>
      <c r="T803" s="3"/>
      <c r="U803" s="3"/>
      <c r="V803" s="3"/>
      <c r="W803" s="3"/>
      <c r="X803" s="3"/>
      <c r="Y803" s="4"/>
      <c r="Z803"/>
      <c r="AA803"/>
    </row>
    <row r="804" spans="1:27" s="37" customFormat="1" x14ac:dyDescent="0.15">
      <c r="A804" s="165"/>
      <c r="B804" s="93"/>
      <c r="C804" s="102"/>
      <c r="D804" s="62"/>
      <c r="E804" s="102"/>
      <c r="F804" s="102"/>
      <c r="G804" s="102"/>
      <c r="H804" s="85"/>
      <c r="I804" s="104"/>
      <c r="J804" s="143"/>
      <c r="K804" s="61"/>
      <c r="L804" s="49"/>
      <c r="P804" s="3"/>
      <c r="Q804" s="3"/>
      <c r="R804" s="3"/>
      <c r="S804" s="3"/>
      <c r="T804" s="3"/>
      <c r="U804" s="3"/>
      <c r="V804" s="3"/>
      <c r="W804" s="3"/>
      <c r="X804" s="3"/>
      <c r="Y804" s="4"/>
      <c r="Z804"/>
      <c r="AA804"/>
    </row>
    <row r="805" spans="1:27" s="37" customFormat="1" x14ac:dyDescent="0.15">
      <c r="A805" s="165"/>
      <c r="B805" s="82"/>
      <c r="C805" s="107"/>
      <c r="D805" s="62"/>
      <c r="E805" s="107"/>
      <c r="F805" s="107"/>
      <c r="G805" s="107"/>
      <c r="H805" s="85"/>
      <c r="I805" s="104"/>
      <c r="J805" s="143"/>
      <c r="K805" s="61"/>
      <c r="L805" s="49"/>
      <c r="P805" s="3"/>
      <c r="Q805" s="3"/>
      <c r="R805" s="3"/>
      <c r="S805" s="3"/>
      <c r="T805" s="3"/>
      <c r="U805" s="3"/>
      <c r="V805" s="3"/>
      <c r="W805" s="3"/>
      <c r="X805" s="3"/>
      <c r="Y805" s="4"/>
      <c r="Z805"/>
      <c r="AA805"/>
    </row>
    <row r="806" spans="1:27" s="37" customFormat="1" x14ac:dyDescent="0.15">
      <c r="A806" s="165"/>
      <c r="B806" s="93"/>
      <c r="C806" s="100"/>
      <c r="D806" s="61"/>
      <c r="E806" s="100"/>
      <c r="F806" s="100"/>
      <c r="G806" s="100"/>
      <c r="H806" s="103"/>
      <c r="I806" s="103"/>
      <c r="J806" s="141"/>
      <c r="K806" s="61"/>
      <c r="L806" s="49"/>
      <c r="P806" s="3"/>
      <c r="Q806" s="3"/>
      <c r="R806" s="3"/>
      <c r="S806" s="3"/>
      <c r="T806" s="3"/>
      <c r="U806" s="3"/>
      <c r="V806" s="3"/>
      <c r="W806" s="3"/>
      <c r="X806" s="3"/>
      <c r="Y806" s="4"/>
      <c r="Z806"/>
      <c r="AA806"/>
    </row>
    <row r="807" spans="1:27" s="37" customFormat="1" x14ac:dyDescent="0.15">
      <c r="A807" s="165"/>
      <c r="B807" s="93"/>
      <c r="C807" s="100"/>
      <c r="D807" s="61"/>
      <c r="E807" s="100"/>
      <c r="F807" s="100"/>
      <c r="G807" s="100"/>
      <c r="H807" s="103"/>
      <c r="I807" s="103"/>
      <c r="J807" s="141"/>
      <c r="K807" s="61"/>
      <c r="L807" s="49"/>
      <c r="P807" s="3"/>
      <c r="Q807" s="3"/>
      <c r="R807" s="3"/>
      <c r="S807" s="3"/>
      <c r="T807" s="3"/>
      <c r="U807" s="3"/>
      <c r="V807" s="3"/>
      <c r="W807" s="3"/>
      <c r="X807" s="3"/>
      <c r="Y807" s="4"/>
      <c r="Z807"/>
      <c r="AA807"/>
    </row>
    <row r="808" spans="1:27" s="37" customFormat="1" x14ac:dyDescent="0.15">
      <c r="A808" s="165"/>
      <c r="B808" s="93"/>
      <c r="C808" s="100"/>
      <c r="D808" s="61"/>
      <c r="E808" s="100"/>
      <c r="F808" s="100"/>
      <c r="G808" s="100"/>
      <c r="H808" s="85"/>
      <c r="I808" s="101"/>
      <c r="J808" s="143"/>
      <c r="K808" s="61"/>
      <c r="L808" s="49"/>
      <c r="P808" s="3"/>
      <c r="Q808" s="3"/>
      <c r="R808" s="3"/>
      <c r="S808" s="3"/>
      <c r="T808" s="3"/>
      <c r="U808" s="3"/>
      <c r="V808" s="3"/>
      <c r="W808" s="3"/>
      <c r="X808" s="3"/>
      <c r="Y808" s="4"/>
      <c r="Z808"/>
      <c r="AA808"/>
    </row>
    <row r="809" spans="1:27" s="37" customFormat="1" x14ac:dyDescent="0.15">
      <c r="A809" s="165"/>
      <c r="B809" s="93"/>
      <c r="C809" s="100"/>
      <c r="D809" s="61"/>
      <c r="E809" s="100"/>
      <c r="F809" s="100"/>
      <c r="G809" s="100"/>
      <c r="H809" s="103"/>
      <c r="I809" s="103"/>
      <c r="J809" s="141"/>
      <c r="K809" s="61"/>
      <c r="L809" s="49"/>
      <c r="P809" s="3"/>
      <c r="Q809" s="3"/>
      <c r="R809" s="3"/>
      <c r="S809" s="3"/>
      <c r="T809" s="3"/>
      <c r="U809" s="3"/>
      <c r="V809" s="3"/>
      <c r="W809" s="3"/>
      <c r="X809" s="3"/>
      <c r="Y809" s="4"/>
      <c r="Z809"/>
      <c r="AA809"/>
    </row>
    <row r="810" spans="1:27" s="37" customFormat="1" x14ac:dyDescent="0.15">
      <c r="A810" s="165"/>
      <c r="B810" s="93"/>
      <c r="C810" s="100"/>
      <c r="D810" s="61"/>
      <c r="E810" s="100"/>
      <c r="F810" s="100"/>
      <c r="G810" s="100"/>
      <c r="H810" s="85"/>
      <c r="I810" s="101"/>
      <c r="J810" s="143"/>
      <c r="K810" s="61"/>
      <c r="L810" s="49"/>
      <c r="P810" s="3"/>
      <c r="Q810" s="3"/>
      <c r="R810" s="3"/>
      <c r="S810" s="3"/>
      <c r="T810" s="3"/>
      <c r="U810" s="3"/>
      <c r="V810" s="3"/>
      <c r="W810" s="3"/>
      <c r="X810" s="3"/>
      <c r="Y810" s="4"/>
      <c r="Z810"/>
      <c r="AA810"/>
    </row>
    <row r="811" spans="1:27" s="37" customFormat="1" x14ac:dyDescent="0.15">
      <c r="A811" s="165"/>
      <c r="B811" s="93"/>
      <c r="C811" s="102"/>
      <c r="D811" s="62"/>
      <c r="E811" s="102"/>
      <c r="F811" s="102"/>
      <c r="G811" s="102"/>
      <c r="H811" s="85"/>
      <c r="I811" s="104"/>
      <c r="J811" s="143"/>
      <c r="K811" s="61"/>
      <c r="L811" s="49"/>
      <c r="P811" s="3"/>
      <c r="Q811" s="3"/>
      <c r="R811" s="3"/>
      <c r="S811" s="3"/>
      <c r="T811" s="3"/>
      <c r="U811" s="3"/>
      <c r="V811" s="3"/>
      <c r="W811" s="3"/>
      <c r="X811" s="3"/>
      <c r="Y811" s="4"/>
      <c r="Z811"/>
      <c r="AA811"/>
    </row>
    <row r="812" spans="1:27" s="37" customFormat="1" x14ac:dyDescent="0.15">
      <c r="A812" s="165"/>
      <c r="B812" s="93"/>
      <c r="C812" s="102"/>
      <c r="D812" s="62"/>
      <c r="E812" s="102"/>
      <c r="F812" s="102"/>
      <c r="G812" s="102"/>
      <c r="H812" s="103"/>
      <c r="I812" s="98"/>
      <c r="J812" s="141"/>
      <c r="K812" s="61"/>
      <c r="L812" s="49"/>
      <c r="P812" s="3"/>
      <c r="Q812" s="3"/>
      <c r="R812" s="3"/>
      <c r="S812" s="3"/>
      <c r="T812" s="3"/>
      <c r="U812" s="3"/>
      <c r="V812" s="3"/>
      <c r="W812" s="3"/>
      <c r="X812" s="3"/>
      <c r="Y812" s="4"/>
      <c r="Z812"/>
      <c r="AA812"/>
    </row>
    <row r="813" spans="1:27" s="37" customFormat="1" x14ac:dyDescent="0.15">
      <c r="A813" s="165"/>
      <c r="B813" s="93"/>
      <c r="C813" s="102"/>
      <c r="D813" s="62"/>
      <c r="E813" s="102"/>
      <c r="F813" s="102"/>
      <c r="G813" s="102"/>
      <c r="H813" s="103"/>
      <c r="I813" s="98"/>
      <c r="J813" s="141"/>
      <c r="K813" s="61"/>
      <c r="L813" s="49"/>
      <c r="N813" s="51"/>
      <c r="P813" s="3"/>
      <c r="Q813" s="3"/>
      <c r="R813" s="3"/>
      <c r="S813" s="3"/>
      <c r="T813" s="3"/>
      <c r="U813" s="3"/>
      <c r="V813" s="3"/>
      <c r="W813" s="3"/>
      <c r="X813" s="3"/>
      <c r="Y813" s="4"/>
      <c r="Z813"/>
      <c r="AA813"/>
    </row>
    <row r="814" spans="1:27" s="37" customFormat="1" x14ac:dyDescent="0.15">
      <c r="A814" s="165"/>
      <c r="B814" s="82"/>
      <c r="C814" s="107"/>
      <c r="D814" s="62"/>
      <c r="E814" s="107"/>
      <c r="F814" s="107"/>
      <c r="G814" s="107"/>
      <c r="H814" s="85"/>
      <c r="I814" s="104"/>
      <c r="J814" s="143"/>
      <c r="K814" s="61"/>
      <c r="L814" s="49"/>
      <c r="P814" s="3"/>
      <c r="Q814" s="3"/>
      <c r="R814" s="3"/>
      <c r="S814" s="3"/>
      <c r="T814" s="3"/>
      <c r="U814" s="3"/>
      <c r="V814" s="3"/>
      <c r="W814" s="3"/>
      <c r="X814" s="3"/>
      <c r="Y814" s="4"/>
      <c r="Z814"/>
      <c r="AA814"/>
    </row>
    <row r="815" spans="1:27" s="37" customFormat="1" x14ac:dyDescent="0.15">
      <c r="A815" s="165"/>
      <c r="B815" s="93"/>
      <c r="C815" s="102"/>
      <c r="D815" s="62"/>
      <c r="E815" s="102"/>
      <c r="F815" s="102"/>
      <c r="G815" s="102"/>
      <c r="H815" s="85"/>
      <c r="I815" s="104"/>
      <c r="J815" s="143"/>
      <c r="K815" s="61"/>
      <c r="L815" s="49"/>
      <c r="P815" s="3"/>
      <c r="Q815" s="3"/>
      <c r="R815" s="3"/>
      <c r="S815" s="3"/>
      <c r="T815" s="3"/>
      <c r="U815" s="3"/>
      <c r="V815" s="3"/>
      <c r="W815" s="3"/>
      <c r="X815" s="3"/>
      <c r="Y815" s="4"/>
      <c r="Z815"/>
      <c r="AA815"/>
    </row>
    <row r="816" spans="1:27" s="37" customFormat="1" x14ac:dyDescent="0.15">
      <c r="A816" s="165"/>
      <c r="B816" s="93"/>
      <c r="C816" s="100"/>
      <c r="D816" s="61"/>
      <c r="E816" s="100"/>
      <c r="F816" s="100"/>
      <c r="G816" s="100"/>
      <c r="H816" s="103"/>
      <c r="I816" s="103"/>
      <c r="J816" s="141"/>
      <c r="K816" s="61"/>
      <c r="L816" s="49"/>
      <c r="P816" s="3"/>
      <c r="Q816" s="3"/>
      <c r="R816" s="3"/>
      <c r="S816" s="3"/>
      <c r="T816" s="3"/>
      <c r="U816" s="3"/>
      <c r="V816" s="3"/>
      <c r="W816" s="3"/>
      <c r="X816" s="3"/>
      <c r="Y816" s="4"/>
      <c r="Z816"/>
      <c r="AA816"/>
    </row>
    <row r="817" spans="1:27" s="37" customFormat="1" x14ac:dyDescent="0.15">
      <c r="A817" s="165"/>
      <c r="B817" s="93"/>
      <c r="C817" s="100"/>
      <c r="D817" s="61"/>
      <c r="E817" s="100"/>
      <c r="F817" s="100"/>
      <c r="G817" s="100"/>
      <c r="H817" s="85"/>
      <c r="I817" s="101"/>
      <c r="J817" s="143"/>
      <c r="K817" s="61"/>
      <c r="L817" s="49"/>
      <c r="P817" s="3"/>
      <c r="Q817" s="3"/>
      <c r="R817" s="3"/>
      <c r="S817" s="3"/>
      <c r="T817" s="3"/>
      <c r="U817" s="3"/>
      <c r="V817" s="3"/>
      <c r="W817" s="3"/>
      <c r="X817" s="3"/>
      <c r="Y817" s="4"/>
      <c r="Z817"/>
      <c r="AA817"/>
    </row>
    <row r="818" spans="1:27" s="37" customFormat="1" x14ac:dyDescent="0.15">
      <c r="A818" s="165"/>
      <c r="B818" s="93"/>
      <c r="C818" s="100"/>
      <c r="D818" s="61"/>
      <c r="E818" s="100"/>
      <c r="F818" s="100"/>
      <c r="G818" s="100"/>
      <c r="H818" s="85"/>
      <c r="I818" s="101"/>
      <c r="J818" s="143"/>
      <c r="K818" s="61"/>
      <c r="L818" s="49"/>
      <c r="P818" s="3"/>
      <c r="Q818" s="3"/>
      <c r="R818" s="3"/>
      <c r="S818" s="3"/>
      <c r="T818" s="3"/>
      <c r="U818" s="3"/>
      <c r="V818" s="3"/>
      <c r="W818" s="3"/>
      <c r="X818" s="3"/>
      <c r="Y818" s="4"/>
      <c r="Z818"/>
      <c r="AA818"/>
    </row>
    <row r="819" spans="1:27" s="37" customFormat="1" x14ac:dyDescent="0.15">
      <c r="A819" s="165"/>
      <c r="B819" s="93"/>
      <c r="C819" s="100"/>
      <c r="D819" s="61"/>
      <c r="E819" s="100"/>
      <c r="F819" s="100"/>
      <c r="G819" s="100"/>
      <c r="H819" s="85"/>
      <c r="I819" s="101"/>
      <c r="J819" s="143"/>
      <c r="K819" s="61"/>
      <c r="L819" s="49"/>
      <c r="P819" s="3"/>
      <c r="Q819" s="3"/>
      <c r="R819" s="3"/>
      <c r="S819" s="3"/>
      <c r="T819" s="3"/>
      <c r="U819" s="3"/>
      <c r="V819" s="3"/>
      <c r="W819" s="3"/>
      <c r="X819" s="3"/>
      <c r="Y819" s="4"/>
      <c r="Z819"/>
      <c r="AA819"/>
    </row>
    <row r="820" spans="1:27" s="37" customFormat="1" x14ac:dyDescent="0.15">
      <c r="A820" s="165"/>
      <c r="B820" s="93"/>
      <c r="C820" s="100"/>
      <c r="D820" s="61"/>
      <c r="E820" s="100"/>
      <c r="F820" s="100"/>
      <c r="G820" s="100"/>
      <c r="H820" s="85"/>
      <c r="I820" s="101"/>
      <c r="J820" s="143"/>
      <c r="K820" s="61"/>
      <c r="L820" s="49"/>
      <c r="P820" s="3"/>
      <c r="Q820" s="3"/>
      <c r="R820" s="3"/>
      <c r="S820" s="3"/>
      <c r="T820" s="3"/>
      <c r="U820" s="3"/>
      <c r="V820" s="3"/>
      <c r="W820" s="3"/>
      <c r="X820" s="3"/>
      <c r="Y820" s="4"/>
      <c r="Z820"/>
      <c r="AA820"/>
    </row>
    <row r="821" spans="1:27" s="37" customFormat="1" x14ac:dyDescent="0.15">
      <c r="A821" s="165"/>
      <c r="B821" s="82"/>
      <c r="C821" s="105"/>
      <c r="D821" s="61"/>
      <c r="E821" s="105"/>
      <c r="F821" s="105"/>
      <c r="G821" s="105"/>
      <c r="H821" s="85"/>
      <c r="I821" s="101"/>
      <c r="J821" s="143"/>
      <c r="K821" s="61"/>
      <c r="L821" s="49"/>
      <c r="P821" s="3"/>
      <c r="Q821" s="3"/>
      <c r="R821" s="3"/>
      <c r="S821" s="3"/>
      <c r="T821" s="3"/>
      <c r="U821" s="3"/>
      <c r="V821" s="3"/>
      <c r="W821" s="3"/>
      <c r="X821" s="3"/>
      <c r="Y821" s="4"/>
      <c r="Z821"/>
      <c r="AA821"/>
    </row>
    <row r="822" spans="1:27" s="37" customFormat="1" x14ac:dyDescent="0.15">
      <c r="A822" s="165"/>
      <c r="B822" s="93"/>
      <c r="C822" s="102"/>
      <c r="D822" s="62"/>
      <c r="E822" s="102"/>
      <c r="F822" s="102"/>
      <c r="G822" s="102"/>
      <c r="H822" s="98"/>
      <c r="I822" s="106"/>
      <c r="J822" s="135"/>
      <c r="K822" s="61"/>
      <c r="L822" s="33"/>
      <c r="P822" s="3"/>
      <c r="Q822" s="3"/>
      <c r="R822" s="3"/>
      <c r="S822" s="3"/>
      <c r="T822" s="3"/>
      <c r="U822" s="3"/>
      <c r="V822" s="3"/>
      <c r="W822" s="3"/>
      <c r="X822" s="3"/>
      <c r="Y822" s="4"/>
      <c r="Z822"/>
      <c r="AA822"/>
    </row>
    <row r="823" spans="1:27" s="37" customFormat="1" x14ac:dyDescent="0.15">
      <c r="A823" s="165"/>
      <c r="B823" s="93"/>
      <c r="C823" s="100"/>
      <c r="D823" s="61"/>
      <c r="E823" s="100"/>
      <c r="F823" s="100"/>
      <c r="G823" s="100"/>
      <c r="H823" s="85"/>
      <c r="I823" s="101"/>
      <c r="J823" s="143"/>
      <c r="K823" s="61"/>
      <c r="L823" s="49"/>
      <c r="P823" s="3"/>
      <c r="Q823" s="3"/>
      <c r="R823" s="3"/>
      <c r="S823" s="3"/>
      <c r="T823" s="3"/>
      <c r="U823" s="3"/>
      <c r="V823" s="3"/>
      <c r="W823" s="3"/>
      <c r="X823" s="3"/>
      <c r="Y823" s="4"/>
      <c r="Z823"/>
      <c r="AA823"/>
    </row>
    <row r="824" spans="1:27" s="37" customFormat="1" x14ac:dyDescent="0.15">
      <c r="A824" s="165"/>
      <c r="B824" s="93"/>
      <c r="C824" s="100"/>
      <c r="D824" s="61"/>
      <c r="E824" s="100"/>
      <c r="F824" s="100"/>
      <c r="G824" s="100"/>
      <c r="H824" s="85"/>
      <c r="I824" s="101"/>
      <c r="J824" s="143"/>
      <c r="K824" s="61"/>
      <c r="L824" s="49"/>
      <c r="P824" s="3"/>
      <c r="Q824" s="3"/>
      <c r="R824" s="3"/>
      <c r="S824" s="3"/>
      <c r="T824" s="3"/>
      <c r="U824" s="3"/>
      <c r="V824" s="3"/>
      <c r="W824" s="3"/>
      <c r="X824" s="3"/>
      <c r="Y824" s="4"/>
      <c r="Z824"/>
      <c r="AA824"/>
    </row>
    <row r="825" spans="1:27" s="37" customFormat="1" x14ac:dyDescent="0.15">
      <c r="A825" s="165"/>
      <c r="B825" s="93"/>
      <c r="C825" s="102"/>
      <c r="D825" s="62"/>
      <c r="E825" s="102"/>
      <c r="F825" s="102"/>
      <c r="G825" s="102"/>
      <c r="H825" s="85"/>
      <c r="I825" s="104"/>
      <c r="J825" s="143"/>
      <c r="K825" s="61"/>
      <c r="L825" s="49"/>
      <c r="P825" s="3"/>
      <c r="Q825" s="3"/>
      <c r="R825" s="3"/>
      <c r="S825" s="3"/>
      <c r="T825" s="3"/>
      <c r="U825" s="3"/>
      <c r="V825" s="3"/>
      <c r="W825" s="3"/>
      <c r="X825" s="3"/>
      <c r="Y825" s="4"/>
      <c r="Z825"/>
      <c r="AA825"/>
    </row>
    <row r="826" spans="1:27" s="37" customFormat="1" x14ac:dyDescent="0.15">
      <c r="A826" s="165"/>
      <c r="B826" s="93"/>
      <c r="C826" s="102"/>
      <c r="D826" s="62"/>
      <c r="E826" s="102"/>
      <c r="F826" s="102"/>
      <c r="G826" s="102"/>
      <c r="H826" s="85"/>
      <c r="I826" s="104"/>
      <c r="J826" s="143"/>
      <c r="K826" s="61"/>
      <c r="L826" s="49"/>
      <c r="P826" s="3"/>
      <c r="Q826" s="3"/>
      <c r="R826" s="3"/>
      <c r="S826" s="3"/>
      <c r="T826" s="3"/>
      <c r="U826" s="3"/>
      <c r="V826" s="3"/>
      <c r="W826" s="3"/>
      <c r="X826" s="3"/>
      <c r="Y826" s="4"/>
      <c r="Z826"/>
      <c r="AA826"/>
    </row>
    <row r="827" spans="1:27" s="37" customFormat="1" x14ac:dyDescent="0.15">
      <c r="A827" s="165"/>
      <c r="B827" s="93"/>
      <c r="C827" s="102"/>
      <c r="D827" s="62"/>
      <c r="E827" s="102"/>
      <c r="F827" s="102"/>
      <c r="G827" s="102"/>
      <c r="H827" s="85"/>
      <c r="I827" s="104"/>
      <c r="J827" s="144"/>
      <c r="K827" s="61"/>
      <c r="L827" s="49"/>
      <c r="P827" s="3"/>
      <c r="Q827" s="3"/>
      <c r="R827" s="3"/>
      <c r="S827" s="3"/>
      <c r="T827" s="3"/>
      <c r="U827" s="3"/>
      <c r="V827" s="3"/>
      <c r="W827" s="3"/>
      <c r="X827" s="3"/>
      <c r="Y827" s="4"/>
      <c r="Z827"/>
      <c r="AA827"/>
    </row>
    <row r="828" spans="1:27" s="37" customFormat="1" x14ac:dyDescent="0.15">
      <c r="A828" s="165"/>
      <c r="B828" s="93"/>
      <c r="C828" s="102"/>
      <c r="D828" s="62"/>
      <c r="E828" s="100"/>
      <c r="F828" s="102"/>
      <c r="G828" s="102"/>
      <c r="H828" s="98"/>
      <c r="I828" s="98"/>
      <c r="J828" s="135"/>
      <c r="K828" s="61"/>
      <c r="L828" s="49"/>
      <c r="P828" s="3"/>
      <c r="Q828" s="3"/>
      <c r="R828" s="3"/>
      <c r="S828" s="3"/>
      <c r="T828" s="3"/>
      <c r="U828" s="3"/>
      <c r="V828" s="3"/>
      <c r="W828" s="3"/>
      <c r="X828" s="3"/>
      <c r="Y828" s="4"/>
      <c r="Z828"/>
      <c r="AA828"/>
    </row>
    <row r="829" spans="1:27" s="37" customFormat="1" x14ac:dyDescent="0.15">
      <c r="A829" s="165"/>
      <c r="B829" s="93"/>
      <c r="C829" s="102"/>
      <c r="D829" s="62"/>
      <c r="E829" s="100"/>
      <c r="F829" s="102"/>
      <c r="G829" s="102"/>
      <c r="H829" s="98"/>
      <c r="I829" s="98"/>
      <c r="J829" s="135"/>
      <c r="K829" s="61"/>
      <c r="L829" s="49"/>
      <c r="P829" s="3"/>
      <c r="Q829" s="3"/>
      <c r="R829" s="3"/>
      <c r="S829" s="3"/>
      <c r="T829" s="3"/>
      <c r="U829" s="3"/>
      <c r="V829" s="3"/>
      <c r="W829" s="3"/>
      <c r="X829" s="3"/>
      <c r="Y829" s="4"/>
      <c r="Z829"/>
      <c r="AA829"/>
    </row>
    <row r="830" spans="1:27" s="37" customFormat="1" x14ac:dyDescent="0.15">
      <c r="A830" s="165"/>
      <c r="B830" s="93"/>
      <c r="C830" s="102"/>
      <c r="D830" s="62"/>
      <c r="E830" s="102"/>
      <c r="F830" s="102"/>
      <c r="G830" s="102"/>
      <c r="H830" s="85"/>
      <c r="I830" s="104"/>
      <c r="J830" s="144"/>
      <c r="K830" s="61"/>
      <c r="L830" s="49"/>
      <c r="P830" s="3"/>
      <c r="Q830" s="3"/>
      <c r="R830" s="3"/>
      <c r="S830" s="3"/>
      <c r="T830" s="3"/>
      <c r="U830" s="3"/>
      <c r="V830" s="3"/>
      <c r="W830" s="3"/>
      <c r="X830" s="3"/>
      <c r="Y830" s="4"/>
      <c r="Z830"/>
      <c r="AA830"/>
    </row>
    <row r="831" spans="1:27" s="49" customFormat="1" x14ac:dyDescent="0.15">
      <c r="A831" s="165"/>
      <c r="B831" s="93"/>
      <c r="C831" s="102"/>
      <c r="D831" s="62"/>
      <c r="E831" s="102"/>
      <c r="F831" s="102"/>
      <c r="G831" s="102"/>
      <c r="H831" s="85"/>
      <c r="I831" s="104"/>
      <c r="J831" s="144"/>
      <c r="K831" s="61"/>
      <c r="M831" s="37"/>
      <c r="N831" s="37"/>
      <c r="O831" s="37"/>
      <c r="P831" s="3"/>
      <c r="Q831" s="3"/>
      <c r="R831" s="3"/>
      <c r="S831" s="3"/>
      <c r="T831" s="3"/>
      <c r="U831" s="3"/>
      <c r="V831" s="3"/>
      <c r="W831" s="3"/>
      <c r="X831" s="3"/>
      <c r="Y831" s="4"/>
      <c r="Z831"/>
      <c r="AA831"/>
    </row>
    <row r="832" spans="1:27" s="49" customFormat="1" x14ac:dyDescent="0.15">
      <c r="A832" s="165"/>
      <c r="B832" s="93"/>
      <c r="C832" s="102"/>
      <c r="D832" s="62"/>
      <c r="E832" s="102"/>
      <c r="F832" s="102"/>
      <c r="G832" s="102"/>
      <c r="H832" s="85"/>
      <c r="I832" s="104"/>
      <c r="J832" s="144"/>
      <c r="K832" s="61"/>
      <c r="M832" s="37"/>
      <c r="N832" s="37"/>
      <c r="O832" s="37"/>
      <c r="P832" s="3"/>
      <c r="Q832" s="3"/>
      <c r="R832" s="3"/>
      <c r="S832" s="3"/>
      <c r="T832" s="3"/>
      <c r="U832" s="3"/>
      <c r="V832" s="3"/>
      <c r="W832" s="3"/>
      <c r="X832" s="3"/>
      <c r="Y832" s="4"/>
      <c r="Z832"/>
      <c r="AA832"/>
    </row>
    <row r="833" spans="1:27" s="49" customFormat="1" x14ac:dyDescent="0.15">
      <c r="A833" s="165"/>
      <c r="B833" s="93"/>
      <c r="C833" s="102"/>
      <c r="D833" s="62"/>
      <c r="E833" s="102"/>
      <c r="F833" s="102"/>
      <c r="G833" s="102"/>
      <c r="H833" s="85"/>
      <c r="I833" s="104"/>
      <c r="J833" s="144"/>
      <c r="K833" s="61"/>
      <c r="M833" s="37"/>
      <c r="N833" s="37"/>
      <c r="O833" s="37"/>
      <c r="P833" s="3"/>
      <c r="Q833" s="3"/>
      <c r="R833" s="3"/>
      <c r="S833" s="3"/>
      <c r="T833" s="3"/>
      <c r="U833" s="3"/>
      <c r="V833" s="3"/>
      <c r="W833" s="3"/>
      <c r="X833" s="3"/>
      <c r="Y833" s="4"/>
      <c r="Z833"/>
      <c r="AA833"/>
    </row>
    <row r="834" spans="1:27" s="49" customFormat="1" x14ac:dyDescent="0.15">
      <c r="A834" s="165"/>
      <c r="B834" s="93"/>
      <c r="C834" s="102"/>
      <c r="D834" s="62"/>
      <c r="E834" s="100"/>
      <c r="F834" s="102"/>
      <c r="G834" s="102"/>
      <c r="H834" s="85"/>
      <c r="I834" s="104"/>
      <c r="J834" s="144"/>
      <c r="K834" s="61"/>
      <c r="M834" s="37"/>
      <c r="N834" s="37"/>
      <c r="O834" s="37"/>
      <c r="P834" s="3"/>
      <c r="Q834" s="3"/>
      <c r="R834" s="3"/>
      <c r="S834" s="3"/>
      <c r="T834" s="3"/>
      <c r="U834" s="3"/>
      <c r="V834" s="3"/>
      <c r="W834" s="3"/>
      <c r="X834" s="3"/>
      <c r="Y834" s="4"/>
      <c r="Z834"/>
      <c r="AA834"/>
    </row>
    <row r="835" spans="1:27" s="49" customFormat="1" x14ac:dyDescent="0.15">
      <c r="A835" s="165"/>
      <c r="B835" s="93"/>
      <c r="C835" s="102"/>
      <c r="D835" s="62"/>
      <c r="E835" s="102"/>
      <c r="F835" s="102"/>
      <c r="G835" s="102"/>
      <c r="H835" s="85"/>
      <c r="I835" s="104"/>
      <c r="J835" s="144"/>
      <c r="K835" s="61"/>
      <c r="M835" s="37"/>
      <c r="N835" s="37"/>
      <c r="O835" s="37"/>
      <c r="P835" s="3"/>
      <c r="Q835" s="3"/>
      <c r="R835" s="3"/>
      <c r="S835" s="3"/>
      <c r="T835" s="3"/>
      <c r="U835" s="3"/>
      <c r="V835" s="3"/>
      <c r="W835" s="3"/>
      <c r="X835" s="3"/>
      <c r="Y835" s="4"/>
      <c r="Z835"/>
      <c r="AA835"/>
    </row>
    <row r="836" spans="1:27" s="49" customFormat="1" x14ac:dyDescent="0.15">
      <c r="A836" s="165"/>
      <c r="B836" s="93"/>
      <c r="C836" s="102"/>
      <c r="D836" s="62"/>
      <c r="E836" s="102"/>
      <c r="F836" s="102"/>
      <c r="G836" s="102"/>
      <c r="H836" s="85"/>
      <c r="I836" s="104"/>
      <c r="J836" s="144"/>
      <c r="K836" s="61"/>
      <c r="M836" s="37"/>
      <c r="N836" s="37"/>
      <c r="O836" s="37"/>
      <c r="P836" s="3"/>
      <c r="Q836" s="3"/>
      <c r="R836" s="3"/>
      <c r="S836" s="3"/>
      <c r="T836" s="3"/>
      <c r="U836" s="3"/>
      <c r="V836" s="3"/>
      <c r="W836" s="3"/>
      <c r="X836" s="3"/>
      <c r="Y836" s="4"/>
      <c r="Z836"/>
      <c r="AA836"/>
    </row>
    <row r="837" spans="1:27" s="49" customFormat="1" x14ac:dyDescent="0.15">
      <c r="A837" s="165"/>
      <c r="B837" s="93"/>
      <c r="C837" s="102"/>
      <c r="D837" s="62"/>
      <c r="E837" s="102"/>
      <c r="F837" s="102"/>
      <c r="G837" s="102"/>
      <c r="H837" s="85"/>
      <c r="I837" s="104"/>
      <c r="J837" s="144"/>
      <c r="K837" s="61"/>
      <c r="M837" s="37"/>
      <c r="N837" s="37"/>
      <c r="O837" s="37"/>
      <c r="P837" s="3"/>
      <c r="Q837" s="3"/>
      <c r="R837" s="3"/>
      <c r="S837" s="3"/>
      <c r="T837" s="3"/>
      <c r="U837" s="3"/>
      <c r="V837" s="3"/>
      <c r="W837" s="3"/>
      <c r="X837" s="3"/>
      <c r="Y837" s="4"/>
      <c r="Z837"/>
      <c r="AA837"/>
    </row>
    <row r="838" spans="1:27" s="49" customFormat="1" x14ac:dyDescent="0.15">
      <c r="A838" s="165"/>
      <c r="B838" s="93"/>
      <c r="C838" s="102"/>
      <c r="D838" s="62"/>
      <c r="E838" s="100"/>
      <c r="F838" s="102"/>
      <c r="G838" s="102"/>
      <c r="H838" s="85"/>
      <c r="I838" s="104"/>
      <c r="J838" s="144"/>
      <c r="K838" s="61"/>
      <c r="M838" s="37"/>
      <c r="N838" s="37"/>
      <c r="O838" s="37"/>
      <c r="P838" s="3"/>
      <c r="Q838" s="3"/>
      <c r="R838" s="3"/>
      <c r="S838" s="3"/>
      <c r="T838" s="3"/>
      <c r="U838" s="3"/>
      <c r="V838" s="3"/>
      <c r="W838" s="3"/>
      <c r="X838" s="3"/>
      <c r="Y838" s="4"/>
      <c r="Z838"/>
      <c r="AA838"/>
    </row>
    <row r="839" spans="1:27" s="49" customFormat="1" x14ac:dyDescent="0.15">
      <c r="A839" s="165"/>
      <c r="B839" s="93"/>
      <c r="C839" s="102"/>
      <c r="D839" s="62"/>
      <c r="E839" s="100"/>
      <c r="F839" s="102"/>
      <c r="G839" s="102"/>
      <c r="H839" s="98"/>
      <c r="I839" s="98"/>
      <c r="J839" s="135"/>
      <c r="K839" s="61"/>
      <c r="M839" s="37"/>
      <c r="N839" s="37"/>
      <c r="O839" s="37"/>
      <c r="P839" s="3"/>
      <c r="Q839" s="3"/>
      <c r="R839" s="3"/>
      <c r="S839" s="3"/>
      <c r="T839" s="3"/>
      <c r="U839" s="3"/>
      <c r="V839" s="3"/>
      <c r="W839" s="3"/>
      <c r="X839" s="3"/>
      <c r="Y839" s="4"/>
      <c r="Z839"/>
      <c r="AA839"/>
    </row>
    <row r="840" spans="1:27" s="49" customFormat="1" x14ac:dyDescent="0.15">
      <c r="A840" s="165"/>
      <c r="B840" s="93"/>
      <c r="C840" s="102"/>
      <c r="D840" s="62"/>
      <c r="E840" s="102"/>
      <c r="F840" s="102"/>
      <c r="G840" s="102"/>
      <c r="H840" s="85"/>
      <c r="I840" s="104"/>
      <c r="J840" s="144"/>
      <c r="K840" s="61"/>
      <c r="M840" s="37"/>
      <c r="N840" s="37"/>
      <c r="O840" s="37"/>
      <c r="P840" s="3"/>
      <c r="Q840" s="3"/>
      <c r="R840" s="3"/>
      <c r="S840" s="3"/>
      <c r="T840" s="3"/>
      <c r="U840" s="3"/>
      <c r="V840" s="3"/>
      <c r="W840" s="3"/>
      <c r="X840" s="3"/>
      <c r="Y840" s="4"/>
      <c r="Z840"/>
      <c r="AA840"/>
    </row>
    <row r="841" spans="1:27" s="49" customFormat="1" x14ac:dyDescent="0.15">
      <c r="A841" s="165"/>
      <c r="B841" s="93"/>
      <c r="C841" s="102"/>
      <c r="D841" s="62"/>
      <c r="E841" s="102"/>
      <c r="F841" s="102"/>
      <c r="G841" s="102"/>
      <c r="H841" s="85"/>
      <c r="I841" s="104"/>
      <c r="J841" s="144"/>
      <c r="K841" s="61"/>
      <c r="M841" s="37"/>
      <c r="N841" s="37"/>
      <c r="O841" s="37"/>
      <c r="P841" s="3"/>
      <c r="Q841" s="3"/>
      <c r="R841" s="3"/>
      <c r="S841" s="3"/>
      <c r="T841" s="3"/>
      <c r="U841" s="3"/>
      <c r="V841" s="3"/>
      <c r="W841" s="3"/>
      <c r="X841" s="3"/>
      <c r="Y841" s="4"/>
      <c r="Z841"/>
      <c r="AA841"/>
    </row>
    <row r="842" spans="1:27" s="49" customFormat="1" x14ac:dyDescent="0.15">
      <c r="A842" s="165"/>
      <c r="B842" s="93"/>
      <c r="C842" s="102"/>
      <c r="D842" s="62"/>
      <c r="E842" s="102"/>
      <c r="F842" s="102"/>
      <c r="G842" s="102"/>
      <c r="H842" s="85"/>
      <c r="I842" s="104"/>
      <c r="J842" s="144"/>
      <c r="K842" s="61"/>
      <c r="M842" s="37"/>
      <c r="N842" s="37"/>
      <c r="O842" s="37"/>
      <c r="P842" s="3"/>
      <c r="Q842" s="3"/>
      <c r="R842" s="3"/>
      <c r="S842" s="3"/>
      <c r="T842" s="3"/>
      <c r="U842" s="3"/>
      <c r="V842" s="3"/>
      <c r="W842" s="3"/>
      <c r="X842" s="3"/>
      <c r="Y842" s="4"/>
      <c r="Z842"/>
      <c r="AA842"/>
    </row>
    <row r="843" spans="1:27" s="49" customFormat="1" x14ac:dyDescent="0.15">
      <c r="A843" s="165"/>
      <c r="B843" s="93"/>
      <c r="C843" s="102"/>
      <c r="D843" s="62"/>
      <c r="E843" s="100"/>
      <c r="F843" s="102"/>
      <c r="G843" s="102"/>
      <c r="H843" s="85"/>
      <c r="I843" s="104"/>
      <c r="J843" s="144"/>
      <c r="K843" s="61"/>
      <c r="M843" s="37"/>
      <c r="N843" s="37"/>
      <c r="O843" s="37"/>
      <c r="P843" s="3"/>
      <c r="Q843" s="3"/>
      <c r="R843" s="3"/>
      <c r="S843" s="3"/>
      <c r="T843" s="3"/>
      <c r="U843" s="3"/>
      <c r="V843" s="3"/>
      <c r="W843" s="3"/>
      <c r="X843" s="3"/>
      <c r="Y843" s="4"/>
      <c r="Z843"/>
      <c r="AA843"/>
    </row>
    <row r="844" spans="1:27" s="49" customFormat="1" x14ac:dyDescent="0.15">
      <c r="A844" s="165"/>
      <c r="B844" s="93"/>
      <c r="C844" s="102"/>
      <c r="D844" s="62"/>
      <c r="E844" s="100"/>
      <c r="F844" s="102"/>
      <c r="G844" s="102"/>
      <c r="H844" s="98"/>
      <c r="I844" s="98"/>
      <c r="J844" s="135"/>
      <c r="K844" s="61"/>
      <c r="M844" s="37"/>
      <c r="N844" s="37"/>
      <c r="O844" s="37"/>
      <c r="P844" s="3"/>
      <c r="Q844" s="3"/>
      <c r="R844" s="3"/>
      <c r="S844" s="3"/>
      <c r="T844" s="3"/>
      <c r="U844" s="3"/>
      <c r="V844" s="3"/>
      <c r="W844" s="3"/>
      <c r="X844" s="3"/>
      <c r="Y844" s="4"/>
      <c r="Z844"/>
      <c r="AA844"/>
    </row>
    <row r="845" spans="1:27" s="49" customFormat="1" x14ac:dyDescent="0.15">
      <c r="A845" s="165"/>
      <c r="B845" s="93"/>
      <c r="C845" s="102"/>
      <c r="D845" s="62"/>
      <c r="E845" s="102"/>
      <c r="F845" s="102"/>
      <c r="G845" s="102"/>
      <c r="H845" s="85"/>
      <c r="I845" s="104"/>
      <c r="J845" s="144"/>
      <c r="K845" s="61"/>
      <c r="M845" s="37"/>
      <c r="N845" s="37"/>
      <c r="O845" s="37"/>
      <c r="P845" s="3"/>
      <c r="Q845" s="3"/>
      <c r="R845" s="3"/>
      <c r="S845" s="3"/>
      <c r="T845" s="3"/>
      <c r="U845" s="3"/>
      <c r="V845" s="3"/>
      <c r="W845" s="3"/>
      <c r="X845" s="3"/>
      <c r="Y845" s="4"/>
      <c r="Z845"/>
      <c r="AA845"/>
    </row>
    <row r="846" spans="1:27" s="49" customFormat="1" x14ac:dyDescent="0.15">
      <c r="A846" s="165"/>
      <c r="B846" s="93"/>
      <c r="C846" s="102"/>
      <c r="D846" s="62"/>
      <c r="E846" s="102"/>
      <c r="F846" s="102"/>
      <c r="G846" s="102"/>
      <c r="H846" s="85"/>
      <c r="I846" s="104"/>
      <c r="J846" s="144"/>
      <c r="K846" s="61"/>
      <c r="M846" s="37"/>
      <c r="N846" s="37"/>
      <c r="O846" s="37"/>
      <c r="P846" s="3"/>
      <c r="Q846" s="3"/>
      <c r="R846" s="3"/>
      <c r="S846" s="3"/>
      <c r="T846" s="3"/>
      <c r="U846" s="3"/>
      <c r="V846" s="3"/>
      <c r="W846" s="3"/>
      <c r="X846" s="3"/>
      <c r="Y846" s="4"/>
      <c r="Z846"/>
      <c r="AA846"/>
    </row>
    <row r="847" spans="1:27" s="49" customFormat="1" x14ac:dyDescent="0.15">
      <c r="A847" s="165"/>
      <c r="B847" s="93"/>
      <c r="C847" s="102"/>
      <c r="D847" s="62"/>
      <c r="E847" s="102"/>
      <c r="F847" s="102"/>
      <c r="G847" s="102"/>
      <c r="H847" s="85"/>
      <c r="I847" s="104"/>
      <c r="J847" s="144"/>
      <c r="K847" s="61"/>
      <c r="M847" s="37"/>
      <c r="N847" s="37"/>
      <c r="O847" s="37"/>
      <c r="P847" s="3"/>
      <c r="Q847" s="3"/>
      <c r="R847" s="3"/>
      <c r="S847" s="3"/>
      <c r="T847" s="3"/>
      <c r="U847" s="3"/>
      <c r="V847" s="3"/>
      <c r="W847" s="3"/>
      <c r="X847" s="3"/>
      <c r="Y847" s="4"/>
      <c r="Z847"/>
      <c r="AA847"/>
    </row>
    <row r="848" spans="1:27" s="49" customFormat="1" x14ac:dyDescent="0.15">
      <c r="A848" s="165"/>
      <c r="B848" s="93"/>
      <c r="C848" s="102"/>
      <c r="D848" s="62"/>
      <c r="E848" s="100"/>
      <c r="F848" s="102"/>
      <c r="G848" s="102"/>
      <c r="H848" s="85"/>
      <c r="I848" s="104"/>
      <c r="J848" s="144"/>
      <c r="K848" s="61"/>
      <c r="M848" s="37"/>
      <c r="N848" s="37"/>
      <c r="O848" s="37"/>
      <c r="P848" s="3"/>
      <c r="Q848" s="3"/>
      <c r="R848" s="3"/>
      <c r="S848" s="3"/>
      <c r="T848" s="3"/>
      <c r="U848" s="3"/>
      <c r="V848" s="3"/>
      <c r="W848" s="3"/>
      <c r="X848" s="3"/>
      <c r="Y848" s="4"/>
      <c r="Z848"/>
      <c r="AA848"/>
    </row>
    <row r="849" spans="1:27" s="49" customFormat="1" x14ac:dyDescent="0.15">
      <c r="A849" s="165"/>
      <c r="B849" s="93"/>
      <c r="C849" s="102"/>
      <c r="D849" s="62"/>
      <c r="E849" s="102"/>
      <c r="F849" s="102"/>
      <c r="G849" s="102"/>
      <c r="H849" s="85"/>
      <c r="I849" s="104"/>
      <c r="J849" s="144"/>
      <c r="K849" s="61"/>
      <c r="M849" s="37"/>
      <c r="N849" s="37"/>
      <c r="O849" s="37"/>
      <c r="P849" s="3"/>
      <c r="Q849" s="3"/>
      <c r="R849" s="3"/>
      <c r="S849" s="3"/>
      <c r="T849" s="3"/>
      <c r="U849" s="3"/>
      <c r="V849" s="3"/>
      <c r="W849" s="3"/>
      <c r="X849" s="3"/>
      <c r="Y849" s="4"/>
      <c r="Z849"/>
      <c r="AA849"/>
    </row>
    <row r="850" spans="1:27" s="49" customFormat="1" x14ac:dyDescent="0.15">
      <c r="A850" s="165"/>
      <c r="B850" s="93"/>
      <c r="C850" s="102"/>
      <c r="D850" s="62"/>
      <c r="E850" s="102"/>
      <c r="F850" s="102"/>
      <c r="G850" s="102"/>
      <c r="H850" s="98"/>
      <c r="I850" s="98"/>
      <c r="J850" s="135"/>
      <c r="K850" s="61"/>
      <c r="M850" s="37"/>
      <c r="N850" s="37"/>
      <c r="O850" s="37"/>
      <c r="P850" s="3"/>
      <c r="Q850" s="3"/>
      <c r="R850" s="3"/>
      <c r="S850" s="3"/>
      <c r="T850" s="3"/>
      <c r="U850" s="3"/>
      <c r="V850" s="3"/>
      <c r="W850" s="3"/>
      <c r="X850" s="3"/>
      <c r="Y850" s="4"/>
      <c r="Z850"/>
      <c r="AA850"/>
    </row>
    <row r="851" spans="1:27" s="49" customFormat="1" x14ac:dyDescent="0.15">
      <c r="A851" s="165"/>
      <c r="B851" s="93"/>
      <c r="C851" s="102"/>
      <c r="D851" s="62"/>
      <c r="E851" s="102"/>
      <c r="F851" s="102"/>
      <c r="G851" s="102"/>
      <c r="H851" s="85"/>
      <c r="I851" s="104"/>
      <c r="J851" s="144"/>
      <c r="K851" s="61"/>
      <c r="M851" s="37"/>
      <c r="N851" s="37"/>
      <c r="O851" s="37"/>
      <c r="P851" s="3"/>
      <c r="Q851" s="3"/>
      <c r="R851" s="3"/>
      <c r="S851" s="3"/>
      <c r="T851" s="3"/>
      <c r="U851" s="3"/>
      <c r="V851" s="3"/>
      <c r="W851" s="3"/>
      <c r="X851" s="3"/>
      <c r="Y851" s="4"/>
      <c r="Z851"/>
      <c r="AA851"/>
    </row>
    <row r="852" spans="1:27" s="49" customFormat="1" x14ac:dyDescent="0.15">
      <c r="A852" s="165"/>
      <c r="B852" s="93"/>
      <c r="C852" s="102"/>
      <c r="D852" s="62"/>
      <c r="E852" s="102"/>
      <c r="F852" s="102"/>
      <c r="G852" s="102"/>
      <c r="H852" s="85"/>
      <c r="I852" s="104"/>
      <c r="J852" s="144"/>
      <c r="K852" s="61"/>
      <c r="M852" s="37"/>
      <c r="N852" s="37"/>
      <c r="O852" s="37"/>
      <c r="P852" s="3"/>
      <c r="Q852" s="3"/>
      <c r="R852" s="3"/>
      <c r="S852" s="3"/>
      <c r="T852" s="3"/>
      <c r="U852" s="3"/>
      <c r="V852" s="3"/>
      <c r="W852" s="3"/>
      <c r="X852" s="3"/>
      <c r="Y852" s="4"/>
      <c r="Z852"/>
      <c r="AA852"/>
    </row>
    <row r="853" spans="1:27" s="49" customFormat="1" x14ac:dyDescent="0.15">
      <c r="A853" s="165"/>
      <c r="B853" s="93"/>
      <c r="C853" s="102"/>
      <c r="D853" s="62"/>
      <c r="E853" s="102"/>
      <c r="F853" s="102"/>
      <c r="G853" s="102"/>
      <c r="H853" s="98"/>
      <c r="I853" s="98"/>
      <c r="J853" s="135"/>
      <c r="K853" s="61"/>
      <c r="M853" s="37"/>
      <c r="N853" s="37"/>
      <c r="O853" s="37"/>
      <c r="P853" s="3"/>
      <c r="Q853" s="3"/>
      <c r="R853" s="3"/>
      <c r="S853" s="3"/>
      <c r="T853" s="3"/>
      <c r="U853" s="3"/>
      <c r="V853" s="3"/>
      <c r="W853" s="3"/>
      <c r="X853" s="3"/>
      <c r="Y853" s="4"/>
      <c r="Z853"/>
      <c r="AA853"/>
    </row>
    <row r="854" spans="1:27" s="49" customFormat="1" x14ac:dyDescent="0.15">
      <c r="A854" s="165"/>
      <c r="B854" s="93"/>
      <c r="C854" s="102"/>
      <c r="D854" s="62"/>
      <c r="E854" s="102"/>
      <c r="F854" s="102"/>
      <c r="G854" s="102"/>
      <c r="H854" s="103"/>
      <c r="I854" s="103"/>
      <c r="J854" s="135"/>
      <c r="K854" s="61"/>
      <c r="M854" s="37"/>
      <c r="N854" s="37"/>
      <c r="O854" s="37"/>
      <c r="P854" s="3"/>
      <c r="Q854" s="3"/>
      <c r="R854" s="3"/>
      <c r="S854" s="3"/>
      <c r="T854" s="3"/>
      <c r="U854" s="3"/>
      <c r="V854" s="3"/>
      <c r="W854" s="3"/>
      <c r="X854" s="3"/>
      <c r="Y854" s="4"/>
      <c r="Z854"/>
      <c r="AA854"/>
    </row>
    <row r="855" spans="1:27" s="49" customFormat="1" x14ac:dyDescent="0.15">
      <c r="A855" s="165"/>
      <c r="B855" s="93"/>
      <c r="C855" s="102"/>
      <c r="D855" s="62"/>
      <c r="E855" s="102"/>
      <c r="F855" s="102"/>
      <c r="G855" s="102"/>
      <c r="H855" s="98"/>
      <c r="I855" s="98"/>
      <c r="J855" s="135"/>
      <c r="K855" s="61"/>
      <c r="M855" s="37"/>
      <c r="N855" s="37"/>
      <c r="O855" s="37"/>
      <c r="P855" s="3"/>
      <c r="Q855" s="3"/>
      <c r="R855" s="3"/>
      <c r="S855" s="3"/>
      <c r="T855" s="3"/>
      <c r="U855" s="3"/>
      <c r="V855" s="3"/>
      <c r="W855" s="3"/>
      <c r="X855" s="3"/>
      <c r="Y855" s="4"/>
      <c r="Z855"/>
      <c r="AA855"/>
    </row>
    <row r="856" spans="1:27" s="49" customFormat="1" x14ac:dyDescent="0.15">
      <c r="A856" s="165"/>
      <c r="B856" s="93"/>
      <c r="C856" s="102"/>
      <c r="D856" s="62"/>
      <c r="E856" s="102"/>
      <c r="F856" s="102"/>
      <c r="G856" s="102"/>
      <c r="H856" s="98"/>
      <c r="I856" s="98"/>
      <c r="J856" s="135"/>
      <c r="K856" s="61"/>
      <c r="M856" s="37"/>
      <c r="N856" s="37"/>
      <c r="O856" s="37"/>
      <c r="P856" s="3"/>
      <c r="Q856" s="3"/>
      <c r="R856" s="3"/>
      <c r="S856" s="3"/>
      <c r="T856" s="3"/>
      <c r="U856" s="3"/>
      <c r="V856" s="3"/>
      <c r="W856" s="3"/>
      <c r="X856" s="3"/>
      <c r="Y856" s="4"/>
      <c r="Z856"/>
      <c r="AA856"/>
    </row>
    <row r="857" spans="1:27" s="49" customFormat="1" x14ac:dyDescent="0.15">
      <c r="A857" s="165"/>
      <c r="B857" s="93"/>
      <c r="C857" s="102"/>
      <c r="D857" s="62"/>
      <c r="E857" s="102"/>
      <c r="F857" s="102"/>
      <c r="G857" s="102"/>
      <c r="H857" s="98"/>
      <c r="I857" s="98"/>
      <c r="J857" s="135"/>
      <c r="K857" s="61"/>
      <c r="M857" s="37"/>
      <c r="N857" s="37"/>
      <c r="O857" s="37"/>
      <c r="P857" s="3"/>
      <c r="Q857" s="3"/>
      <c r="R857" s="3"/>
      <c r="S857" s="3"/>
      <c r="T857" s="3"/>
      <c r="U857" s="3"/>
      <c r="V857" s="3"/>
      <c r="W857" s="3"/>
      <c r="X857" s="3"/>
      <c r="Y857" s="4"/>
      <c r="Z857"/>
      <c r="AA857"/>
    </row>
    <row r="858" spans="1:27" s="49" customFormat="1" x14ac:dyDescent="0.15">
      <c r="A858" s="165"/>
      <c r="B858" s="93"/>
      <c r="C858" s="102"/>
      <c r="D858" s="62"/>
      <c r="E858" s="102"/>
      <c r="F858" s="102"/>
      <c r="G858" s="102"/>
      <c r="H858" s="98"/>
      <c r="I858" s="98"/>
      <c r="J858" s="135"/>
      <c r="K858" s="61"/>
      <c r="M858" s="37"/>
      <c r="N858" s="37"/>
      <c r="O858" s="37"/>
      <c r="P858" s="3"/>
      <c r="Q858" s="3"/>
      <c r="R858" s="3"/>
      <c r="S858" s="3"/>
      <c r="T858" s="3"/>
      <c r="U858" s="3"/>
      <c r="V858" s="3"/>
      <c r="W858" s="3"/>
      <c r="X858" s="3"/>
      <c r="Y858" s="4"/>
      <c r="Z858"/>
      <c r="AA858"/>
    </row>
    <row r="859" spans="1:27" s="49" customFormat="1" x14ac:dyDescent="0.15">
      <c r="A859" s="165"/>
      <c r="B859" s="93"/>
      <c r="C859" s="102"/>
      <c r="D859" s="62"/>
      <c r="E859" s="102"/>
      <c r="F859" s="102"/>
      <c r="G859" s="102"/>
      <c r="H859" s="98"/>
      <c r="I859" s="98"/>
      <c r="J859" s="135"/>
      <c r="K859" s="61"/>
      <c r="M859" s="37"/>
      <c r="N859" s="37"/>
      <c r="O859" s="37"/>
      <c r="P859" s="3"/>
      <c r="Q859" s="3"/>
      <c r="R859" s="3"/>
      <c r="S859" s="3"/>
      <c r="T859" s="3"/>
      <c r="U859" s="3"/>
      <c r="V859" s="3"/>
      <c r="W859" s="3"/>
      <c r="X859" s="3"/>
      <c r="Y859" s="4"/>
      <c r="Z859"/>
      <c r="AA859"/>
    </row>
    <row r="860" spans="1:27" s="49" customFormat="1" x14ac:dyDescent="0.15">
      <c r="A860" s="165"/>
      <c r="B860" s="93"/>
      <c r="C860" s="102"/>
      <c r="D860" s="62"/>
      <c r="E860" s="102"/>
      <c r="F860" s="102"/>
      <c r="G860" s="102"/>
      <c r="H860" s="85"/>
      <c r="I860" s="104"/>
      <c r="J860" s="144"/>
      <c r="K860" s="61"/>
      <c r="M860" s="37"/>
      <c r="N860" s="37"/>
      <c r="O860" s="37"/>
      <c r="P860" s="3"/>
      <c r="Q860" s="3"/>
      <c r="R860" s="3"/>
      <c r="S860" s="3"/>
      <c r="T860" s="3"/>
      <c r="U860" s="3"/>
      <c r="V860" s="3"/>
      <c r="W860" s="3"/>
      <c r="X860" s="3"/>
      <c r="Y860" s="4"/>
      <c r="Z860"/>
      <c r="AA860"/>
    </row>
    <row r="861" spans="1:27" s="49" customFormat="1" x14ac:dyDescent="0.15">
      <c r="A861" s="165"/>
      <c r="B861" s="93"/>
      <c r="C861" s="102"/>
      <c r="D861" s="62"/>
      <c r="E861" s="102"/>
      <c r="F861" s="102"/>
      <c r="G861" s="102"/>
      <c r="H861" s="85"/>
      <c r="I861" s="104"/>
      <c r="J861" s="144"/>
      <c r="K861" s="61"/>
      <c r="M861" s="37"/>
      <c r="N861" s="37"/>
      <c r="O861" s="37"/>
      <c r="P861" s="3"/>
      <c r="Q861" s="3"/>
      <c r="R861" s="3"/>
      <c r="S861" s="3"/>
      <c r="T861" s="3"/>
      <c r="U861" s="3"/>
      <c r="V861" s="3"/>
      <c r="W861" s="3"/>
      <c r="X861" s="3"/>
      <c r="Y861" s="4"/>
      <c r="Z861"/>
      <c r="AA861"/>
    </row>
    <row r="862" spans="1:27" s="49" customFormat="1" x14ac:dyDescent="0.15">
      <c r="A862" s="165"/>
      <c r="B862" s="93"/>
      <c r="C862" s="102"/>
      <c r="D862" s="62"/>
      <c r="E862" s="102"/>
      <c r="F862" s="102"/>
      <c r="G862" s="102"/>
      <c r="H862" s="85"/>
      <c r="I862" s="104"/>
      <c r="J862" s="144"/>
      <c r="K862" s="61"/>
      <c r="M862" s="37"/>
      <c r="N862" s="37"/>
      <c r="O862" s="37"/>
      <c r="P862" s="3"/>
      <c r="Q862" s="3"/>
      <c r="R862" s="3"/>
      <c r="S862" s="3"/>
      <c r="T862" s="3"/>
      <c r="U862" s="3"/>
      <c r="V862" s="3"/>
      <c r="W862" s="3"/>
      <c r="X862" s="3"/>
      <c r="Y862" s="4"/>
      <c r="Z862"/>
      <c r="AA862"/>
    </row>
    <row r="863" spans="1:27" s="3" customFormat="1" x14ac:dyDescent="0.15">
      <c r="A863" s="165"/>
      <c r="B863" s="93"/>
      <c r="C863" s="102"/>
      <c r="D863" s="62"/>
      <c r="E863" s="102"/>
      <c r="F863" s="102"/>
      <c r="G863" s="102"/>
      <c r="H863" s="85"/>
      <c r="I863" s="104"/>
      <c r="J863" s="144"/>
      <c r="K863" s="61"/>
      <c r="L863" s="49"/>
      <c r="M863" s="37"/>
      <c r="N863" s="37"/>
      <c r="O863" s="37"/>
      <c r="Y863" s="4"/>
      <c r="Z863"/>
      <c r="AA863"/>
    </row>
    <row r="864" spans="1:27" s="3" customFormat="1" x14ac:dyDescent="0.15">
      <c r="A864" s="165"/>
      <c r="B864" s="93"/>
      <c r="C864" s="102"/>
      <c r="D864" s="62"/>
      <c r="E864" s="102"/>
      <c r="F864" s="102"/>
      <c r="G864" s="102"/>
      <c r="H864" s="85"/>
      <c r="I864" s="104"/>
      <c r="J864" s="144"/>
      <c r="K864" s="61"/>
      <c r="L864" s="49"/>
      <c r="M864" s="37"/>
      <c r="N864" s="37"/>
      <c r="O864" s="37"/>
      <c r="Y864" s="4"/>
      <c r="Z864"/>
      <c r="AA864"/>
    </row>
    <row r="865" spans="1:27" s="3" customFormat="1" x14ac:dyDescent="0.15">
      <c r="A865" s="165"/>
      <c r="B865" s="93"/>
      <c r="C865" s="102"/>
      <c r="D865" s="62"/>
      <c r="E865" s="102"/>
      <c r="F865" s="102"/>
      <c r="G865" s="102"/>
      <c r="H865" s="85"/>
      <c r="I865" s="104"/>
      <c r="J865" s="144"/>
      <c r="K865" s="61"/>
      <c r="L865" s="49"/>
      <c r="M865" s="37"/>
      <c r="N865" s="37"/>
      <c r="O865" s="37"/>
      <c r="Y865" s="4"/>
      <c r="Z865"/>
      <c r="AA865"/>
    </row>
    <row r="866" spans="1:27" s="3" customFormat="1" x14ac:dyDescent="0.15">
      <c r="A866" s="165"/>
      <c r="B866" s="93"/>
      <c r="C866" s="102"/>
      <c r="D866" s="62"/>
      <c r="E866" s="102"/>
      <c r="F866" s="102"/>
      <c r="G866" s="102"/>
      <c r="H866" s="98"/>
      <c r="I866" s="98"/>
      <c r="J866" s="135"/>
      <c r="K866" s="61"/>
      <c r="L866" s="49"/>
      <c r="M866" s="37"/>
      <c r="N866" s="37"/>
      <c r="O866" s="37"/>
      <c r="P866" s="14"/>
      <c r="Q866" s="14"/>
      <c r="Y866" s="4"/>
      <c r="Z866"/>
      <c r="AA866"/>
    </row>
    <row r="867" spans="1:27" s="3" customFormat="1" x14ac:dyDescent="0.15">
      <c r="A867" s="165"/>
      <c r="B867" s="93"/>
      <c r="C867" s="102"/>
      <c r="D867" s="62"/>
      <c r="E867" s="102"/>
      <c r="F867" s="102"/>
      <c r="G867" s="102"/>
      <c r="H867" s="98"/>
      <c r="I867" s="98"/>
      <c r="J867" s="135"/>
      <c r="K867" s="61"/>
      <c r="L867" s="49"/>
      <c r="M867" s="37"/>
      <c r="N867" s="37"/>
      <c r="O867" s="37"/>
      <c r="Y867" s="4"/>
      <c r="Z867"/>
      <c r="AA867"/>
    </row>
    <row r="868" spans="1:27" s="3" customFormat="1" x14ac:dyDescent="0.15">
      <c r="A868" s="165"/>
      <c r="B868" s="93"/>
      <c r="C868" s="102"/>
      <c r="D868" s="62"/>
      <c r="E868" s="102"/>
      <c r="F868" s="102"/>
      <c r="G868" s="102"/>
      <c r="H868" s="98"/>
      <c r="I868" s="98"/>
      <c r="J868" s="135"/>
      <c r="K868" s="61"/>
      <c r="L868" s="49"/>
      <c r="M868" s="37"/>
      <c r="N868" s="37"/>
      <c r="O868" s="37"/>
      <c r="Y868" s="4"/>
      <c r="Z868"/>
      <c r="AA868"/>
    </row>
    <row r="869" spans="1:27" s="3" customFormat="1" x14ac:dyDescent="0.15">
      <c r="A869" s="165"/>
      <c r="B869" s="93"/>
      <c r="C869" s="102"/>
      <c r="D869" s="62"/>
      <c r="E869" s="102"/>
      <c r="F869" s="102"/>
      <c r="G869" s="102"/>
      <c r="H869" s="98"/>
      <c r="I869" s="98"/>
      <c r="J869" s="135"/>
      <c r="K869" s="61"/>
      <c r="L869" s="49"/>
      <c r="M869" s="37"/>
      <c r="N869" s="37"/>
      <c r="O869" s="37"/>
      <c r="Y869" s="4"/>
      <c r="Z869"/>
      <c r="AA869"/>
    </row>
    <row r="870" spans="1:27" s="3" customFormat="1" x14ac:dyDescent="0.15">
      <c r="A870" s="165"/>
      <c r="B870" s="93"/>
      <c r="C870" s="102"/>
      <c r="D870" s="62"/>
      <c r="E870" s="102"/>
      <c r="F870" s="102"/>
      <c r="G870" s="102"/>
      <c r="H870" s="85"/>
      <c r="I870" s="104"/>
      <c r="J870" s="144"/>
      <c r="K870" s="61"/>
      <c r="L870" s="49"/>
      <c r="M870" s="37"/>
      <c r="N870" s="37"/>
      <c r="O870" s="37"/>
      <c r="Y870" s="4"/>
      <c r="Z870"/>
      <c r="AA870"/>
    </row>
    <row r="871" spans="1:27" s="3" customFormat="1" x14ac:dyDescent="0.15">
      <c r="A871" s="165"/>
      <c r="B871" s="93"/>
      <c r="C871" s="102"/>
      <c r="D871" s="62"/>
      <c r="E871" s="102"/>
      <c r="F871" s="102"/>
      <c r="G871" s="102"/>
      <c r="H871" s="85"/>
      <c r="I871" s="104"/>
      <c r="J871" s="144"/>
      <c r="K871" s="61"/>
      <c r="L871" s="49"/>
      <c r="M871" s="37"/>
      <c r="N871" s="37"/>
      <c r="O871" s="37"/>
      <c r="Y871" s="4"/>
      <c r="Z871"/>
      <c r="AA871"/>
    </row>
    <row r="872" spans="1:27" s="3" customFormat="1" x14ac:dyDescent="0.15">
      <c r="A872" s="165"/>
      <c r="B872" s="93"/>
      <c r="C872" s="102"/>
      <c r="D872" s="62"/>
      <c r="E872" s="102"/>
      <c r="F872" s="102"/>
      <c r="G872" s="102"/>
      <c r="H872" s="85"/>
      <c r="I872" s="104"/>
      <c r="J872" s="144"/>
      <c r="K872" s="61"/>
      <c r="L872" s="49"/>
      <c r="M872" s="37"/>
      <c r="N872" s="37"/>
      <c r="O872" s="37"/>
      <c r="P872" s="14"/>
      <c r="Q872" s="14"/>
      <c r="Y872" s="4"/>
      <c r="Z872"/>
      <c r="AA872"/>
    </row>
    <row r="873" spans="1:27" s="3" customFormat="1" x14ac:dyDescent="0.15">
      <c r="A873" s="165"/>
      <c r="B873" s="93"/>
      <c r="C873" s="102"/>
      <c r="D873" s="62"/>
      <c r="E873" s="102"/>
      <c r="F873" s="102"/>
      <c r="G873" s="102"/>
      <c r="H873" s="85"/>
      <c r="I873" s="104"/>
      <c r="J873" s="144"/>
      <c r="K873" s="61"/>
      <c r="L873" s="49"/>
      <c r="M873" s="37"/>
      <c r="N873" s="37"/>
      <c r="O873" s="37"/>
      <c r="Y873" s="4"/>
      <c r="Z873"/>
      <c r="AA873"/>
    </row>
    <row r="874" spans="1:27" s="3" customFormat="1" x14ac:dyDescent="0.15">
      <c r="A874" s="165"/>
      <c r="B874" s="93"/>
      <c r="C874" s="102"/>
      <c r="D874" s="62"/>
      <c r="E874" s="102"/>
      <c r="F874" s="102"/>
      <c r="G874" s="102"/>
      <c r="H874" s="85"/>
      <c r="I874" s="104"/>
      <c r="J874" s="144"/>
      <c r="K874" s="61"/>
      <c r="L874" s="49"/>
      <c r="M874" s="37"/>
      <c r="N874" s="37"/>
      <c r="O874" s="37"/>
      <c r="Y874" s="4"/>
      <c r="Z874"/>
      <c r="AA874"/>
    </row>
    <row r="875" spans="1:27" s="3" customFormat="1" x14ac:dyDescent="0.15">
      <c r="A875" s="165"/>
      <c r="B875" s="93"/>
      <c r="C875" s="102"/>
      <c r="D875" s="62"/>
      <c r="E875" s="102"/>
      <c r="F875" s="102"/>
      <c r="G875" s="102"/>
      <c r="H875" s="85"/>
      <c r="I875" s="104"/>
      <c r="J875" s="144"/>
      <c r="K875" s="61"/>
      <c r="L875" s="49"/>
      <c r="M875" s="37"/>
      <c r="N875" s="37"/>
      <c r="O875" s="37"/>
      <c r="Y875" s="4"/>
      <c r="Z875"/>
      <c r="AA875"/>
    </row>
    <row r="876" spans="1:27" s="3" customFormat="1" x14ac:dyDescent="0.15">
      <c r="A876" s="165"/>
      <c r="B876" s="93"/>
      <c r="C876" s="102"/>
      <c r="D876" s="62"/>
      <c r="E876" s="102"/>
      <c r="F876" s="102"/>
      <c r="G876" s="102"/>
      <c r="H876" s="85"/>
      <c r="I876" s="104"/>
      <c r="J876" s="144"/>
      <c r="K876" s="61"/>
      <c r="L876" s="49"/>
      <c r="M876" s="37"/>
      <c r="N876" s="37"/>
      <c r="O876" s="37"/>
      <c r="Y876" s="4"/>
      <c r="Z876"/>
      <c r="AA876"/>
    </row>
    <row r="877" spans="1:27" s="3" customFormat="1" x14ac:dyDescent="0.15">
      <c r="A877" s="165"/>
      <c r="B877" s="93"/>
      <c r="C877" s="102"/>
      <c r="D877" s="62"/>
      <c r="E877" s="102"/>
      <c r="F877" s="102"/>
      <c r="G877" s="102"/>
      <c r="H877" s="85"/>
      <c r="I877" s="104"/>
      <c r="J877" s="144"/>
      <c r="K877" s="61"/>
      <c r="L877" s="49"/>
      <c r="M877" s="37"/>
      <c r="N877" s="37"/>
      <c r="O877" s="37"/>
      <c r="Y877" s="4"/>
      <c r="Z877"/>
      <c r="AA877"/>
    </row>
    <row r="878" spans="1:27" s="3" customFormat="1" x14ac:dyDescent="0.15">
      <c r="A878" s="165"/>
      <c r="B878" s="93"/>
      <c r="C878" s="102"/>
      <c r="D878" s="62"/>
      <c r="E878" s="102"/>
      <c r="F878" s="102"/>
      <c r="G878" s="102"/>
      <c r="H878" s="85"/>
      <c r="I878" s="104"/>
      <c r="J878" s="144"/>
      <c r="K878" s="61"/>
      <c r="L878" s="49"/>
      <c r="M878" s="37"/>
      <c r="N878" s="37"/>
      <c r="O878" s="37"/>
      <c r="Y878" s="4"/>
      <c r="Z878"/>
      <c r="AA878"/>
    </row>
    <row r="879" spans="1:27" s="49" customFormat="1" x14ac:dyDescent="0.15">
      <c r="A879" s="165"/>
      <c r="B879" s="93"/>
      <c r="C879" s="102"/>
      <c r="D879" s="62"/>
      <c r="E879" s="102"/>
      <c r="F879" s="102"/>
      <c r="G879" s="102"/>
      <c r="H879" s="85"/>
      <c r="I879" s="104"/>
      <c r="J879" s="144"/>
      <c r="K879" s="61"/>
      <c r="M879" s="37"/>
      <c r="N879" s="37"/>
      <c r="O879" s="37"/>
      <c r="P879" s="3"/>
      <c r="Q879" s="3"/>
      <c r="R879" s="3"/>
      <c r="S879" s="3"/>
      <c r="T879" s="3"/>
      <c r="U879" s="3"/>
      <c r="V879" s="3"/>
      <c r="W879" s="3"/>
      <c r="X879" s="3"/>
      <c r="Y879" s="4"/>
      <c r="Z879"/>
      <c r="AA879"/>
    </row>
    <row r="880" spans="1:27" s="49" customFormat="1" x14ac:dyDescent="0.15">
      <c r="A880" s="165"/>
      <c r="B880" s="93"/>
      <c r="C880" s="102"/>
      <c r="D880" s="62"/>
      <c r="E880" s="102"/>
      <c r="F880" s="102"/>
      <c r="G880" s="102"/>
      <c r="H880" s="85"/>
      <c r="I880" s="104"/>
      <c r="J880" s="144"/>
      <c r="K880" s="61"/>
      <c r="M880" s="37"/>
      <c r="N880" s="37"/>
      <c r="O880" s="37"/>
      <c r="P880" s="3"/>
      <c r="Q880" s="3"/>
      <c r="R880" s="3"/>
      <c r="S880" s="3"/>
      <c r="T880" s="3"/>
      <c r="U880" s="3"/>
      <c r="V880" s="3"/>
      <c r="W880" s="3"/>
      <c r="X880" s="3"/>
      <c r="Y880" s="4"/>
      <c r="Z880"/>
      <c r="AA880"/>
    </row>
    <row r="881" spans="1:27" s="49" customFormat="1" x14ac:dyDescent="0.15">
      <c r="A881" s="165"/>
      <c r="B881" s="93"/>
      <c r="C881" s="102"/>
      <c r="D881" s="62"/>
      <c r="E881" s="102"/>
      <c r="F881" s="102"/>
      <c r="G881" s="102"/>
      <c r="H881" s="85"/>
      <c r="I881" s="104"/>
      <c r="J881" s="144"/>
      <c r="K881" s="61"/>
      <c r="M881" s="37"/>
      <c r="N881" s="37"/>
      <c r="O881" s="37"/>
      <c r="P881" s="3"/>
      <c r="Q881" s="3"/>
      <c r="R881" s="3"/>
      <c r="S881" s="3"/>
      <c r="T881" s="3"/>
      <c r="U881" s="3"/>
      <c r="V881" s="3"/>
      <c r="W881" s="3"/>
      <c r="X881" s="3"/>
      <c r="Y881" s="4"/>
      <c r="Z881"/>
      <c r="AA881"/>
    </row>
    <row r="882" spans="1:27" s="49" customFormat="1" x14ac:dyDescent="0.15">
      <c r="A882" s="165"/>
      <c r="B882" s="93"/>
      <c r="C882" s="102"/>
      <c r="D882" s="62"/>
      <c r="E882" s="102"/>
      <c r="F882" s="102"/>
      <c r="G882" s="102"/>
      <c r="H882" s="85"/>
      <c r="I882" s="104"/>
      <c r="J882" s="144"/>
      <c r="K882" s="61"/>
      <c r="M882" s="37"/>
      <c r="N882" s="37"/>
      <c r="O882" s="37"/>
      <c r="P882" s="3"/>
      <c r="Q882" s="3"/>
      <c r="R882" s="3"/>
      <c r="S882" s="3"/>
      <c r="T882" s="3"/>
      <c r="U882" s="3"/>
      <c r="V882" s="3"/>
      <c r="W882" s="3"/>
      <c r="X882" s="3"/>
      <c r="Y882" s="4"/>
      <c r="Z882"/>
      <c r="AA882"/>
    </row>
    <row r="883" spans="1:27" s="49" customFormat="1" x14ac:dyDescent="0.15">
      <c r="A883" s="165"/>
      <c r="B883" s="93"/>
      <c r="C883" s="102"/>
      <c r="D883" s="62"/>
      <c r="E883" s="102"/>
      <c r="F883" s="102"/>
      <c r="G883" s="102"/>
      <c r="H883" s="85"/>
      <c r="I883" s="104"/>
      <c r="J883" s="144"/>
      <c r="K883" s="61"/>
      <c r="M883" s="37"/>
      <c r="N883" s="37"/>
      <c r="O883" s="37"/>
      <c r="P883" s="3"/>
      <c r="Q883" s="3"/>
      <c r="R883" s="3"/>
      <c r="S883" s="3"/>
      <c r="T883" s="3"/>
      <c r="U883" s="3"/>
      <c r="V883" s="3"/>
      <c r="W883" s="3"/>
      <c r="X883" s="3"/>
      <c r="Y883" s="4"/>
      <c r="Z883"/>
      <c r="AA883"/>
    </row>
    <row r="884" spans="1:27" s="49" customFormat="1" x14ac:dyDescent="0.15">
      <c r="A884" s="165"/>
      <c r="B884" s="93"/>
      <c r="C884" s="102"/>
      <c r="D884" s="62"/>
      <c r="E884" s="102"/>
      <c r="F884" s="102"/>
      <c r="G884" s="102"/>
      <c r="H884" s="85"/>
      <c r="I884" s="104"/>
      <c r="J884" s="144"/>
      <c r="K884" s="61"/>
      <c r="M884" s="37"/>
      <c r="N884" s="37"/>
      <c r="O884" s="37"/>
      <c r="P884" s="3"/>
      <c r="Q884" s="3"/>
      <c r="R884" s="3"/>
      <c r="S884" s="3"/>
      <c r="T884" s="3"/>
      <c r="U884" s="3"/>
      <c r="V884" s="3"/>
      <c r="W884" s="3"/>
      <c r="X884" s="3"/>
      <c r="Y884" s="4"/>
      <c r="Z884"/>
      <c r="AA884"/>
    </row>
    <row r="885" spans="1:27" s="49" customFormat="1" x14ac:dyDescent="0.15">
      <c r="A885" s="165"/>
      <c r="B885" s="93"/>
      <c r="C885" s="102"/>
      <c r="D885" s="62"/>
      <c r="E885" s="102"/>
      <c r="F885" s="102"/>
      <c r="G885" s="102"/>
      <c r="H885" s="85"/>
      <c r="I885" s="104"/>
      <c r="J885" s="144"/>
      <c r="K885" s="61"/>
      <c r="M885" s="37"/>
      <c r="N885" s="37"/>
      <c r="O885" s="37"/>
      <c r="P885" s="3"/>
      <c r="Q885" s="3"/>
      <c r="R885" s="3"/>
      <c r="S885" s="3"/>
      <c r="T885" s="3"/>
      <c r="U885" s="3"/>
      <c r="V885" s="3"/>
      <c r="W885" s="3"/>
      <c r="X885" s="3"/>
      <c r="Y885" s="4"/>
      <c r="Z885"/>
      <c r="AA885"/>
    </row>
    <row r="886" spans="1:27" s="49" customFormat="1" x14ac:dyDescent="0.15">
      <c r="A886" s="165"/>
      <c r="B886" s="93"/>
      <c r="C886" s="102"/>
      <c r="D886" s="62"/>
      <c r="E886" s="102"/>
      <c r="F886" s="102"/>
      <c r="G886" s="102"/>
      <c r="H886" s="85"/>
      <c r="I886" s="104"/>
      <c r="J886" s="144"/>
      <c r="K886" s="61"/>
      <c r="M886" s="37"/>
      <c r="N886" s="37"/>
      <c r="O886" s="37"/>
      <c r="P886" s="3"/>
      <c r="Q886" s="3"/>
      <c r="R886" s="3"/>
      <c r="S886" s="3"/>
      <c r="T886" s="3"/>
      <c r="U886" s="3"/>
      <c r="V886" s="3"/>
      <c r="W886" s="3"/>
      <c r="X886" s="3"/>
      <c r="Y886" s="4"/>
      <c r="Z886"/>
      <c r="AA886"/>
    </row>
    <row r="887" spans="1:27" s="49" customFormat="1" x14ac:dyDescent="0.15">
      <c r="A887" s="165"/>
      <c r="B887" s="93"/>
      <c r="C887" s="102"/>
      <c r="D887" s="62"/>
      <c r="E887" s="102"/>
      <c r="F887" s="102"/>
      <c r="G887" s="102"/>
      <c r="H887" s="85"/>
      <c r="I887" s="101"/>
      <c r="J887" s="144"/>
      <c r="K887" s="61"/>
      <c r="M887" s="37"/>
      <c r="N887" s="37"/>
      <c r="O887" s="37"/>
      <c r="P887" s="3"/>
      <c r="Q887" s="3"/>
      <c r="R887" s="3"/>
      <c r="S887" s="3"/>
      <c r="T887" s="3"/>
      <c r="U887" s="3"/>
      <c r="V887" s="3"/>
      <c r="W887" s="3"/>
      <c r="X887" s="3"/>
      <c r="Y887" s="4"/>
      <c r="Z887"/>
      <c r="AA887"/>
    </row>
    <row r="888" spans="1:27" s="49" customFormat="1" x14ac:dyDescent="0.15">
      <c r="A888" s="165"/>
      <c r="B888" s="93"/>
      <c r="C888" s="102"/>
      <c r="D888" s="62"/>
      <c r="E888" s="102"/>
      <c r="F888" s="102"/>
      <c r="G888" s="102"/>
      <c r="H888" s="85"/>
      <c r="I888" s="101"/>
      <c r="J888" s="144"/>
      <c r="K888" s="61"/>
      <c r="M888" s="37"/>
      <c r="N888" s="37"/>
      <c r="O888" s="37"/>
      <c r="P888" s="3"/>
      <c r="Q888" s="3"/>
      <c r="R888" s="3"/>
      <c r="S888" s="3"/>
      <c r="T888" s="3"/>
      <c r="U888" s="3"/>
      <c r="V888" s="3"/>
      <c r="W888" s="3"/>
      <c r="X888" s="3"/>
      <c r="Y888" s="4"/>
      <c r="Z888"/>
      <c r="AA888"/>
    </row>
    <row r="889" spans="1:27" s="49" customFormat="1" x14ac:dyDescent="0.15">
      <c r="A889" s="165"/>
      <c r="B889" s="93"/>
      <c r="C889" s="102"/>
      <c r="D889" s="62"/>
      <c r="E889" s="102"/>
      <c r="F889" s="102"/>
      <c r="G889" s="102"/>
      <c r="H889" s="85"/>
      <c r="I889" s="104"/>
      <c r="J889" s="144"/>
      <c r="K889" s="61"/>
      <c r="M889" s="37"/>
      <c r="N889" s="37"/>
      <c r="O889" s="37"/>
      <c r="P889" s="3"/>
      <c r="Q889" s="3"/>
      <c r="R889" s="3"/>
      <c r="S889" s="3"/>
      <c r="T889" s="3"/>
      <c r="U889" s="3"/>
      <c r="V889" s="3"/>
      <c r="W889" s="3"/>
      <c r="X889" s="3"/>
      <c r="Y889" s="4"/>
      <c r="Z889"/>
      <c r="AA889"/>
    </row>
    <row r="890" spans="1:27" s="49" customFormat="1" x14ac:dyDescent="0.15">
      <c r="A890" s="165"/>
      <c r="B890" s="93"/>
      <c r="C890" s="102"/>
      <c r="D890" s="62"/>
      <c r="E890" s="102"/>
      <c r="F890" s="102"/>
      <c r="G890" s="102"/>
      <c r="H890" s="98"/>
      <c r="I890" s="98"/>
      <c r="J890" s="135"/>
      <c r="K890" s="61"/>
      <c r="M890" s="37"/>
      <c r="N890" s="37"/>
      <c r="O890" s="37"/>
      <c r="P890" s="3"/>
      <c r="Q890" s="3"/>
      <c r="R890" s="3"/>
      <c r="S890" s="3"/>
      <c r="T890" s="3"/>
      <c r="U890" s="3"/>
      <c r="V890" s="3"/>
      <c r="W890" s="3"/>
      <c r="X890" s="3"/>
      <c r="Y890" s="4"/>
      <c r="Z890"/>
      <c r="AA890"/>
    </row>
    <row r="891" spans="1:27" s="49" customFormat="1" x14ac:dyDescent="0.15">
      <c r="A891" s="165"/>
      <c r="B891" s="93"/>
      <c r="C891" s="102"/>
      <c r="D891" s="62"/>
      <c r="E891" s="102"/>
      <c r="F891" s="102"/>
      <c r="G891" s="102"/>
      <c r="H891" s="98"/>
      <c r="I891" s="103"/>
      <c r="J891" s="135"/>
      <c r="K891" s="61"/>
      <c r="M891" s="37"/>
      <c r="N891" s="37"/>
      <c r="O891" s="37"/>
      <c r="P891" s="3"/>
      <c r="Q891" s="3"/>
      <c r="R891" s="3"/>
      <c r="S891" s="3"/>
      <c r="T891" s="3"/>
      <c r="U891" s="3"/>
      <c r="V891" s="3"/>
      <c r="W891" s="3"/>
      <c r="X891" s="3"/>
      <c r="Y891" s="4"/>
      <c r="Z891"/>
      <c r="AA891"/>
    </row>
    <row r="892" spans="1:27" s="49" customFormat="1" x14ac:dyDescent="0.15">
      <c r="A892" s="165"/>
      <c r="B892" s="93"/>
      <c r="C892" s="102"/>
      <c r="D892" s="62"/>
      <c r="E892" s="102"/>
      <c r="F892" s="102"/>
      <c r="G892" s="102"/>
      <c r="H892" s="98"/>
      <c r="I892" s="98"/>
      <c r="J892" s="135"/>
      <c r="K892" s="61"/>
      <c r="M892" s="37"/>
      <c r="N892" s="37"/>
      <c r="O892" s="37"/>
      <c r="P892" s="3"/>
      <c r="Q892" s="3"/>
      <c r="R892" s="3"/>
      <c r="S892" s="3"/>
      <c r="T892" s="3"/>
      <c r="U892" s="3"/>
      <c r="V892" s="3"/>
      <c r="W892" s="3"/>
      <c r="X892" s="3"/>
      <c r="Y892" s="4"/>
      <c r="Z892"/>
      <c r="AA892"/>
    </row>
    <row r="893" spans="1:27" s="49" customFormat="1" x14ac:dyDescent="0.15">
      <c r="A893" s="165"/>
      <c r="B893" s="93"/>
      <c r="C893" s="102"/>
      <c r="D893" s="62"/>
      <c r="E893" s="102"/>
      <c r="F893" s="102"/>
      <c r="G893" s="102"/>
      <c r="H893" s="85"/>
      <c r="I893" s="104"/>
      <c r="J893" s="144"/>
      <c r="K893" s="61"/>
      <c r="M893" s="37"/>
      <c r="N893" s="37"/>
      <c r="O893" s="37"/>
      <c r="P893" s="3"/>
      <c r="Q893" s="3"/>
      <c r="R893" s="3"/>
      <c r="S893" s="3"/>
      <c r="T893" s="3"/>
      <c r="U893" s="3"/>
      <c r="V893" s="3"/>
      <c r="W893" s="3"/>
      <c r="X893" s="3"/>
      <c r="Y893" s="4"/>
      <c r="Z893"/>
      <c r="AA893"/>
    </row>
    <row r="894" spans="1:27" s="49" customFormat="1" x14ac:dyDescent="0.15">
      <c r="A894" s="165"/>
      <c r="B894" s="93"/>
      <c r="C894" s="102"/>
      <c r="D894" s="62"/>
      <c r="E894" s="102"/>
      <c r="F894" s="102"/>
      <c r="G894" s="102"/>
      <c r="H894" s="85"/>
      <c r="I894" s="104"/>
      <c r="J894" s="144"/>
      <c r="K894" s="61"/>
      <c r="M894" s="37"/>
      <c r="N894" s="37"/>
      <c r="O894" s="37"/>
      <c r="P894" s="3"/>
      <c r="Q894" s="3"/>
      <c r="R894" s="3"/>
      <c r="S894" s="3"/>
      <c r="T894" s="3"/>
      <c r="U894" s="3"/>
      <c r="V894" s="3"/>
      <c r="W894" s="3"/>
      <c r="X894" s="3"/>
      <c r="Y894" s="4"/>
      <c r="Z894"/>
      <c r="AA894"/>
    </row>
    <row r="895" spans="1:27" s="49" customFormat="1" x14ac:dyDescent="0.15">
      <c r="A895" s="165"/>
      <c r="B895" s="93"/>
      <c r="C895" s="102"/>
      <c r="D895" s="62"/>
      <c r="E895" s="102"/>
      <c r="F895" s="102"/>
      <c r="G895" s="102"/>
      <c r="H895" s="85"/>
      <c r="I895" s="104"/>
      <c r="J895" s="144"/>
      <c r="K895" s="61"/>
      <c r="M895" s="37"/>
      <c r="N895" s="37"/>
      <c r="O895" s="37"/>
      <c r="P895" s="3"/>
      <c r="Q895" s="3"/>
      <c r="R895" s="3"/>
      <c r="S895" s="3"/>
      <c r="T895" s="3"/>
      <c r="U895" s="3"/>
      <c r="V895" s="3"/>
      <c r="W895" s="3"/>
      <c r="X895" s="3"/>
      <c r="Y895" s="4"/>
      <c r="Z895"/>
      <c r="AA895"/>
    </row>
    <row r="896" spans="1:27" s="49" customFormat="1" x14ac:dyDescent="0.15">
      <c r="A896" s="165"/>
      <c r="B896" s="93"/>
      <c r="C896" s="102"/>
      <c r="D896" s="62"/>
      <c r="E896" s="102"/>
      <c r="F896" s="102"/>
      <c r="G896" s="102"/>
      <c r="H896" s="85"/>
      <c r="I896" s="104"/>
      <c r="J896" s="144"/>
      <c r="K896" s="61"/>
      <c r="M896" s="37"/>
      <c r="N896" s="37"/>
      <c r="O896" s="37"/>
      <c r="P896" s="3"/>
      <c r="Q896" s="3"/>
      <c r="R896" s="3"/>
      <c r="S896" s="3"/>
      <c r="T896" s="3"/>
      <c r="U896" s="3"/>
      <c r="V896" s="3"/>
      <c r="W896" s="3"/>
      <c r="X896" s="3"/>
      <c r="Y896" s="4"/>
      <c r="Z896"/>
      <c r="AA896"/>
    </row>
    <row r="897" spans="1:27" s="49" customFormat="1" x14ac:dyDescent="0.15">
      <c r="A897" s="165"/>
      <c r="B897" s="93"/>
      <c r="C897" s="102"/>
      <c r="D897" s="62"/>
      <c r="E897" s="102"/>
      <c r="F897" s="102"/>
      <c r="G897" s="102"/>
      <c r="H897" s="85"/>
      <c r="I897" s="104"/>
      <c r="J897" s="144"/>
      <c r="K897" s="61"/>
      <c r="M897" s="37"/>
      <c r="N897" s="37"/>
      <c r="O897" s="37"/>
      <c r="P897" s="3"/>
      <c r="Q897" s="3"/>
      <c r="R897" s="3"/>
      <c r="S897" s="3"/>
      <c r="T897" s="3"/>
      <c r="U897" s="3"/>
      <c r="V897" s="3"/>
      <c r="W897" s="3"/>
      <c r="X897" s="3"/>
      <c r="Y897" s="4"/>
      <c r="Z897"/>
      <c r="AA897"/>
    </row>
    <row r="898" spans="1:27" s="49" customFormat="1" x14ac:dyDescent="0.15">
      <c r="A898" s="165"/>
      <c r="B898" s="93"/>
      <c r="C898" s="100"/>
      <c r="D898" s="61"/>
      <c r="E898" s="102"/>
      <c r="F898" s="100"/>
      <c r="G898" s="100"/>
      <c r="H898" s="85"/>
      <c r="I898" s="104"/>
      <c r="J898" s="144"/>
      <c r="K898" s="61"/>
      <c r="M898" s="37"/>
      <c r="N898" s="37"/>
      <c r="O898" s="37"/>
      <c r="P898" s="3"/>
      <c r="Q898" s="3"/>
      <c r="R898" s="3"/>
      <c r="S898" s="3"/>
      <c r="T898" s="3"/>
      <c r="U898" s="3"/>
      <c r="V898" s="3"/>
      <c r="W898" s="3"/>
      <c r="X898" s="3"/>
      <c r="Y898" s="4"/>
      <c r="Z898"/>
      <c r="AA898"/>
    </row>
    <row r="899" spans="1:27" s="49" customFormat="1" x14ac:dyDescent="0.15">
      <c r="A899" s="165"/>
      <c r="B899" s="93"/>
      <c r="C899" s="102"/>
      <c r="D899" s="62"/>
      <c r="E899" s="102"/>
      <c r="F899" s="102"/>
      <c r="G899" s="102"/>
      <c r="H899" s="98"/>
      <c r="I899" s="98"/>
      <c r="J899" s="135"/>
      <c r="K899" s="61"/>
      <c r="M899" s="37"/>
      <c r="N899" s="37"/>
      <c r="O899" s="37"/>
      <c r="P899" s="3"/>
      <c r="Q899" s="3"/>
      <c r="R899" s="3"/>
      <c r="S899" s="3"/>
      <c r="T899" s="3"/>
      <c r="U899" s="3"/>
      <c r="V899" s="3"/>
      <c r="W899" s="3"/>
      <c r="X899" s="3"/>
      <c r="Y899" s="4"/>
      <c r="Z899"/>
      <c r="AA899"/>
    </row>
    <row r="900" spans="1:27" s="49" customFormat="1" x14ac:dyDescent="0.15">
      <c r="A900" s="165"/>
      <c r="B900" s="93"/>
      <c r="C900" s="102"/>
      <c r="D900" s="62"/>
      <c r="E900" s="102"/>
      <c r="F900" s="102"/>
      <c r="G900" s="102"/>
      <c r="H900" s="98"/>
      <c r="I900" s="98"/>
      <c r="J900" s="135"/>
      <c r="K900" s="61"/>
      <c r="M900" s="37"/>
      <c r="N900" s="37"/>
      <c r="O900" s="37"/>
      <c r="P900" s="3"/>
      <c r="Q900" s="3"/>
      <c r="R900" s="3"/>
      <c r="S900" s="3"/>
      <c r="T900" s="3"/>
      <c r="U900" s="3"/>
      <c r="V900" s="3"/>
      <c r="W900" s="3"/>
      <c r="X900" s="3"/>
      <c r="Y900" s="4"/>
      <c r="Z900"/>
      <c r="AA900"/>
    </row>
    <row r="901" spans="1:27" s="49" customFormat="1" x14ac:dyDescent="0.15">
      <c r="A901" s="165"/>
      <c r="B901" s="93"/>
      <c r="C901" s="102"/>
      <c r="D901" s="62"/>
      <c r="E901" s="102"/>
      <c r="F901" s="102"/>
      <c r="G901" s="102"/>
      <c r="H901" s="98"/>
      <c r="I901" s="98"/>
      <c r="J901" s="135"/>
      <c r="K901" s="61"/>
      <c r="M901" s="37"/>
      <c r="N901" s="37"/>
      <c r="O901" s="37"/>
      <c r="P901" s="3"/>
      <c r="Q901" s="3"/>
      <c r="R901" s="3"/>
      <c r="S901" s="3"/>
      <c r="T901" s="3"/>
      <c r="U901" s="3"/>
      <c r="V901" s="3"/>
      <c r="W901" s="3"/>
      <c r="X901" s="3"/>
      <c r="Y901" s="4"/>
      <c r="Z901"/>
      <c r="AA901"/>
    </row>
    <row r="902" spans="1:27" s="49" customFormat="1" x14ac:dyDescent="0.15">
      <c r="A902" s="165"/>
      <c r="B902" s="93"/>
      <c r="C902" s="102"/>
      <c r="D902" s="62"/>
      <c r="E902" s="102"/>
      <c r="F902" s="102"/>
      <c r="G902" s="102"/>
      <c r="H902" s="98"/>
      <c r="I902" s="98"/>
      <c r="J902" s="135"/>
      <c r="K902" s="61"/>
      <c r="M902" s="37"/>
      <c r="N902" s="37"/>
      <c r="O902" s="37"/>
      <c r="P902" s="3"/>
      <c r="Q902" s="3"/>
      <c r="R902" s="3"/>
      <c r="S902" s="3"/>
      <c r="T902" s="3"/>
      <c r="U902" s="3"/>
      <c r="V902" s="3"/>
      <c r="W902" s="3"/>
      <c r="X902" s="3"/>
      <c r="Y902" s="4"/>
      <c r="Z902"/>
      <c r="AA902"/>
    </row>
    <row r="903" spans="1:27" s="49" customFormat="1" x14ac:dyDescent="0.15">
      <c r="A903" s="165"/>
      <c r="B903" s="93"/>
      <c r="C903" s="102"/>
      <c r="D903" s="62"/>
      <c r="E903" s="102"/>
      <c r="F903" s="102"/>
      <c r="G903" s="102"/>
      <c r="H903" s="98"/>
      <c r="I903" s="98"/>
      <c r="J903" s="135"/>
      <c r="K903" s="61"/>
      <c r="M903" s="37"/>
      <c r="N903" s="37"/>
      <c r="O903" s="37"/>
      <c r="P903" s="3"/>
      <c r="Q903" s="3"/>
      <c r="R903" s="3"/>
      <c r="S903" s="3"/>
      <c r="T903" s="3"/>
      <c r="U903" s="3"/>
      <c r="V903" s="3"/>
      <c r="W903" s="3"/>
      <c r="X903" s="3"/>
      <c r="Y903" s="4"/>
      <c r="Z903"/>
      <c r="AA903"/>
    </row>
    <row r="904" spans="1:27" s="49" customFormat="1" x14ac:dyDescent="0.15">
      <c r="A904" s="165"/>
      <c r="B904" s="93"/>
      <c r="C904" s="102"/>
      <c r="D904" s="62"/>
      <c r="E904" s="102"/>
      <c r="F904" s="102"/>
      <c r="G904" s="102"/>
      <c r="H904" s="85"/>
      <c r="I904" s="104"/>
      <c r="J904" s="144"/>
      <c r="K904" s="61"/>
      <c r="M904" s="37"/>
      <c r="N904" s="37"/>
      <c r="O904" s="37"/>
      <c r="P904" s="3"/>
      <c r="Q904" s="3"/>
      <c r="R904" s="3"/>
      <c r="S904" s="3"/>
      <c r="T904" s="3"/>
      <c r="U904" s="3"/>
      <c r="V904" s="3"/>
      <c r="W904" s="3"/>
      <c r="X904" s="3"/>
      <c r="Y904" s="4"/>
      <c r="Z904"/>
      <c r="AA904"/>
    </row>
    <row r="905" spans="1:27" s="49" customFormat="1" x14ac:dyDescent="0.15">
      <c r="A905" s="165"/>
      <c r="B905" s="93"/>
      <c r="C905" s="102"/>
      <c r="D905" s="62"/>
      <c r="E905" s="102"/>
      <c r="F905" s="102"/>
      <c r="G905" s="102"/>
      <c r="H905" s="85"/>
      <c r="I905" s="104"/>
      <c r="J905" s="144"/>
      <c r="K905" s="61"/>
      <c r="M905" s="37"/>
      <c r="N905" s="37"/>
      <c r="O905" s="37"/>
      <c r="P905" s="3"/>
      <c r="Q905" s="3"/>
      <c r="R905" s="3"/>
      <c r="S905" s="3"/>
      <c r="T905" s="3"/>
      <c r="U905" s="3"/>
      <c r="V905" s="3"/>
      <c r="W905" s="3"/>
      <c r="X905" s="3"/>
      <c r="Y905" s="4"/>
      <c r="Z905"/>
      <c r="AA905"/>
    </row>
    <row r="906" spans="1:27" s="49" customFormat="1" x14ac:dyDescent="0.15">
      <c r="A906" s="165"/>
      <c r="B906" s="93"/>
      <c r="C906" s="102"/>
      <c r="D906" s="62"/>
      <c r="E906" s="102"/>
      <c r="F906" s="102"/>
      <c r="G906" s="102"/>
      <c r="H906" s="85"/>
      <c r="I906" s="104"/>
      <c r="J906" s="144"/>
      <c r="K906" s="61"/>
      <c r="M906" s="37"/>
      <c r="N906" s="37"/>
      <c r="O906" s="37"/>
      <c r="P906" s="3"/>
      <c r="Q906" s="3"/>
      <c r="R906" s="3"/>
      <c r="S906" s="3"/>
      <c r="T906" s="3"/>
      <c r="U906" s="3"/>
      <c r="V906" s="3"/>
      <c r="W906" s="3"/>
      <c r="X906" s="3"/>
      <c r="Y906" s="4"/>
      <c r="Z906"/>
      <c r="AA906"/>
    </row>
    <row r="907" spans="1:27" s="49" customFormat="1" x14ac:dyDescent="0.15">
      <c r="A907" s="165"/>
      <c r="B907" s="93"/>
      <c r="C907" s="102"/>
      <c r="D907" s="62"/>
      <c r="E907" s="102"/>
      <c r="F907" s="102"/>
      <c r="G907" s="102"/>
      <c r="H907" s="85"/>
      <c r="I907" s="104"/>
      <c r="J907" s="144"/>
      <c r="K907" s="61"/>
      <c r="M907" s="37"/>
      <c r="N907" s="37"/>
      <c r="O907" s="37"/>
      <c r="P907" s="3"/>
      <c r="Q907" s="3"/>
      <c r="R907" s="3"/>
      <c r="S907" s="3"/>
      <c r="T907" s="3"/>
      <c r="U907" s="3"/>
      <c r="V907" s="3"/>
      <c r="W907" s="3"/>
      <c r="X907" s="3"/>
      <c r="Y907" s="4"/>
      <c r="Z907"/>
      <c r="AA907"/>
    </row>
    <row r="908" spans="1:27" s="49" customFormat="1" x14ac:dyDescent="0.15">
      <c r="A908" s="165"/>
      <c r="B908" s="93"/>
      <c r="C908" s="102"/>
      <c r="D908" s="62"/>
      <c r="E908" s="102"/>
      <c r="F908" s="102"/>
      <c r="G908" s="102"/>
      <c r="H908" s="85"/>
      <c r="I908" s="104"/>
      <c r="J908" s="144"/>
      <c r="K908" s="61"/>
      <c r="M908" s="37"/>
      <c r="N908" s="37"/>
      <c r="O908" s="37"/>
      <c r="P908" s="3"/>
      <c r="Q908" s="3"/>
      <c r="R908" s="3"/>
      <c r="S908" s="3"/>
      <c r="T908" s="3"/>
      <c r="U908" s="3"/>
      <c r="V908" s="3"/>
      <c r="W908" s="3"/>
      <c r="X908" s="3"/>
      <c r="Y908" s="4"/>
      <c r="Z908"/>
      <c r="AA908"/>
    </row>
    <row r="909" spans="1:27" s="49" customFormat="1" x14ac:dyDescent="0.15">
      <c r="A909" s="165"/>
      <c r="B909" s="93"/>
      <c r="C909" s="102"/>
      <c r="D909" s="62"/>
      <c r="E909" s="102"/>
      <c r="F909" s="102"/>
      <c r="G909" s="102"/>
      <c r="H909" s="85"/>
      <c r="I909" s="104"/>
      <c r="J909" s="144"/>
      <c r="K909" s="61"/>
      <c r="M909" s="37"/>
      <c r="N909" s="37"/>
      <c r="O909" s="37"/>
      <c r="P909" s="3"/>
      <c r="Q909" s="3"/>
      <c r="R909" s="3"/>
      <c r="S909" s="3"/>
      <c r="T909" s="3"/>
      <c r="U909" s="3"/>
      <c r="V909" s="3"/>
      <c r="W909" s="3"/>
      <c r="X909" s="3"/>
      <c r="Y909" s="4"/>
      <c r="Z909"/>
      <c r="AA909"/>
    </row>
    <row r="910" spans="1:27" s="49" customFormat="1" x14ac:dyDescent="0.15">
      <c r="A910" s="165"/>
      <c r="B910" s="93"/>
      <c r="C910" s="102"/>
      <c r="D910" s="62"/>
      <c r="E910" s="102"/>
      <c r="F910" s="102"/>
      <c r="G910" s="102"/>
      <c r="H910" s="85"/>
      <c r="I910" s="104"/>
      <c r="J910" s="144"/>
      <c r="K910" s="61"/>
      <c r="M910" s="37"/>
      <c r="N910" s="37"/>
      <c r="O910" s="37"/>
      <c r="P910" s="3"/>
      <c r="Q910" s="3"/>
      <c r="R910" s="3"/>
      <c r="S910" s="3"/>
      <c r="T910" s="3"/>
      <c r="U910" s="3"/>
      <c r="V910" s="3"/>
      <c r="W910" s="3"/>
      <c r="X910" s="3"/>
      <c r="Y910" s="4"/>
      <c r="Z910"/>
      <c r="AA910"/>
    </row>
    <row r="911" spans="1:27" s="49" customFormat="1" x14ac:dyDescent="0.15">
      <c r="A911" s="165"/>
      <c r="B911" s="93"/>
      <c r="C911" s="102"/>
      <c r="D911" s="62"/>
      <c r="E911" s="102"/>
      <c r="F911" s="102"/>
      <c r="G911" s="102"/>
      <c r="H911" s="98"/>
      <c r="I911" s="98"/>
      <c r="J911" s="135"/>
      <c r="K911" s="61"/>
      <c r="M911" s="37"/>
      <c r="N911" s="37"/>
      <c r="O911" s="37"/>
      <c r="P911" s="3"/>
      <c r="Q911" s="3"/>
      <c r="R911" s="3"/>
      <c r="S911" s="3"/>
      <c r="T911" s="3"/>
      <c r="U911" s="3"/>
      <c r="V911" s="3"/>
      <c r="W911" s="3"/>
      <c r="X911" s="3"/>
      <c r="Y911" s="4"/>
      <c r="Z911"/>
      <c r="AA911"/>
    </row>
    <row r="912" spans="1:27" s="49" customFormat="1" x14ac:dyDescent="0.15">
      <c r="A912" s="165"/>
      <c r="B912" s="93"/>
      <c r="C912" s="102"/>
      <c r="D912" s="62"/>
      <c r="E912" s="100"/>
      <c r="F912" s="102"/>
      <c r="G912" s="102"/>
      <c r="H912" s="98"/>
      <c r="I912" s="98"/>
      <c r="J912" s="135"/>
      <c r="K912" s="61"/>
      <c r="M912" s="37"/>
      <c r="N912" s="37"/>
      <c r="O912" s="37"/>
      <c r="P912" s="3"/>
      <c r="Q912" s="3"/>
      <c r="R912" s="3"/>
      <c r="S912" s="3"/>
      <c r="T912" s="3"/>
      <c r="U912" s="3"/>
      <c r="V912" s="3"/>
      <c r="W912" s="3"/>
      <c r="X912" s="3"/>
      <c r="Y912" s="4"/>
      <c r="Z912"/>
      <c r="AA912"/>
    </row>
    <row r="913" spans="1:27" s="49" customFormat="1" x14ac:dyDescent="0.15">
      <c r="A913" s="165"/>
      <c r="B913" s="93"/>
      <c r="C913" s="102"/>
      <c r="D913" s="62"/>
      <c r="E913" s="102"/>
      <c r="F913" s="102"/>
      <c r="G913" s="102"/>
      <c r="H913" s="98"/>
      <c r="I913" s="98"/>
      <c r="J913" s="135"/>
      <c r="K913" s="61"/>
      <c r="M913" s="37"/>
      <c r="N913" s="37"/>
      <c r="O913" s="37"/>
      <c r="P913" s="3"/>
      <c r="Q913" s="3"/>
      <c r="R913" s="3"/>
      <c r="S913" s="3"/>
      <c r="T913" s="3"/>
      <c r="U913" s="3"/>
      <c r="V913" s="3"/>
      <c r="W913" s="3"/>
      <c r="X913" s="3"/>
      <c r="Y913" s="4"/>
      <c r="Z913"/>
      <c r="AA913"/>
    </row>
    <row r="914" spans="1:27" s="49" customFormat="1" x14ac:dyDescent="0.15">
      <c r="A914" s="165"/>
      <c r="B914" s="93"/>
      <c r="C914" s="102"/>
      <c r="D914" s="62"/>
      <c r="E914" s="102"/>
      <c r="F914" s="102"/>
      <c r="G914" s="102"/>
      <c r="H914" s="98"/>
      <c r="I914" s="98"/>
      <c r="J914" s="135"/>
      <c r="K914" s="61"/>
      <c r="M914" s="37"/>
      <c r="N914" s="37"/>
      <c r="O914" s="37"/>
      <c r="P914" s="3"/>
      <c r="Q914" s="3"/>
      <c r="R914" s="3"/>
      <c r="S914" s="3"/>
      <c r="T914" s="3"/>
      <c r="U914" s="3"/>
      <c r="V914" s="3"/>
      <c r="W914" s="3"/>
      <c r="X914" s="3"/>
      <c r="Y914" s="4"/>
      <c r="Z914"/>
      <c r="AA914"/>
    </row>
    <row r="915" spans="1:27" s="49" customFormat="1" x14ac:dyDescent="0.15">
      <c r="A915" s="165"/>
      <c r="B915" s="93"/>
      <c r="C915" s="102"/>
      <c r="D915" s="62"/>
      <c r="E915" s="100"/>
      <c r="F915" s="102"/>
      <c r="G915" s="102"/>
      <c r="H915" s="85"/>
      <c r="I915" s="104"/>
      <c r="J915" s="144"/>
      <c r="K915" s="61"/>
      <c r="M915" s="37"/>
      <c r="N915" s="37"/>
      <c r="O915" s="37"/>
      <c r="P915" s="3"/>
      <c r="Q915" s="3"/>
      <c r="R915" s="3"/>
      <c r="S915" s="3"/>
      <c r="T915" s="3"/>
      <c r="U915" s="3"/>
      <c r="V915" s="3"/>
      <c r="W915" s="3"/>
      <c r="X915" s="3"/>
      <c r="Y915" s="4"/>
      <c r="Z915"/>
      <c r="AA915"/>
    </row>
    <row r="916" spans="1:27" s="49" customFormat="1" x14ac:dyDescent="0.15">
      <c r="A916" s="165"/>
      <c r="B916" s="93"/>
      <c r="C916" s="102"/>
      <c r="D916" s="62"/>
      <c r="E916" s="102"/>
      <c r="F916" s="102"/>
      <c r="G916" s="102"/>
      <c r="H916" s="85"/>
      <c r="I916" s="104"/>
      <c r="J916" s="144"/>
      <c r="K916" s="61"/>
      <c r="M916" s="37"/>
      <c r="N916" s="37"/>
      <c r="O916" s="37"/>
      <c r="P916" s="3"/>
      <c r="Q916" s="3"/>
      <c r="R916" s="3"/>
      <c r="S916" s="3"/>
      <c r="T916" s="3"/>
      <c r="U916" s="3"/>
      <c r="V916" s="3"/>
      <c r="W916" s="3"/>
      <c r="X916" s="3"/>
      <c r="Y916" s="4"/>
      <c r="Z916"/>
      <c r="AA916"/>
    </row>
    <row r="917" spans="1:27" s="49" customFormat="1" x14ac:dyDescent="0.15">
      <c r="A917" s="165"/>
      <c r="B917" s="93"/>
      <c r="C917" s="102"/>
      <c r="D917" s="62"/>
      <c r="E917" s="102"/>
      <c r="F917" s="102"/>
      <c r="G917" s="102"/>
      <c r="H917" s="85"/>
      <c r="I917" s="104"/>
      <c r="J917" s="144"/>
      <c r="K917" s="61"/>
      <c r="M917" s="37"/>
      <c r="N917" s="37"/>
      <c r="O917" s="37"/>
      <c r="P917" s="3"/>
      <c r="Q917" s="3"/>
      <c r="R917" s="3"/>
      <c r="S917" s="3"/>
      <c r="T917" s="3"/>
      <c r="U917" s="3"/>
      <c r="V917" s="3"/>
      <c r="W917" s="3"/>
      <c r="X917" s="3"/>
      <c r="Y917" s="4"/>
      <c r="Z917"/>
      <c r="AA917"/>
    </row>
    <row r="918" spans="1:27" s="49" customFormat="1" x14ac:dyDescent="0.15">
      <c r="A918" s="165"/>
      <c r="B918" s="93"/>
      <c r="C918" s="102"/>
      <c r="D918" s="62"/>
      <c r="E918" s="102"/>
      <c r="F918" s="102"/>
      <c r="G918" s="102"/>
      <c r="H918" s="98"/>
      <c r="I918" s="98"/>
      <c r="J918" s="135"/>
      <c r="K918" s="61"/>
      <c r="M918" s="37"/>
      <c r="N918" s="37"/>
      <c r="O918" s="37"/>
      <c r="P918" s="3"/>
      <c r="Q918" s="3"/>
      <c r="R918" s="3"/>
      <c r="S918" s="3"/>
      <c r="T918" s="3"/>
      <c r="U918" s="3"/>
      <c r="V918" s="3"/>
      <c r="W918" s="3"/>
      <c r="X918" s="3"/>
      <c r="Y918" s="4"/>
      <c r="Z918"/>
      <c r="AA918"/>
    </row>
    <row r="919" spans="1:27" s="49" customFormat="1" x14ac:dyDescent="0.15">
      <c r="A919" s="165"/>
      <c r="B919" s="93"/>
      <c r="C919" s="102"/>
      <c r="D919" s="62"/>
      <c r="E919" s="102"/>
      <c r="F919" s="102"/>
      <c r="G919" s="102"/>
      <c r="H919" s="98"/>
      <c r="I919" s="98"/>
      <c r="J919" s="135"/>
      <c r="K919" s="61"/>
      <c r="M919" s="37"/>
      <c r="N919" s="37"/>
      <c r="O919" s="37"/>
      <c r="P919" s="3"/>
      <c r="Q919" s="3"/>
      <c r="R919" s="3"/>
      <c r="S919" s="3"/>
      <c r="T919" s="3"/>
      <c r="U919" s="3"/>
      <c r="V919" s="3"/>
      <c r="W919" s="3"/>
      <c r="X919" s="3"/>
      <c r="Y919" s="4"/>
      <c r="Z919"/>
      <c r="AA919"/>
    </row>
    <row r="920" spans="1:27" s="49" customFormat="1" x14ac:dyDescent="0.15">
      <c r="A920" s="165"/>
      <c r="B920" s="93"/>
      <c r="C920" s="102"/>
      <c r="D920" s="62"/>
      <c r="E920" s="100"/>
      <c r="F920" s="102"/>
      <c r="G920" s="102"/>
      <c r="H920" s="85"/>
      <c r="I920" s="104"/>
      <c r="J920" s="144"/>
      <c r="K920" s="61"/>
      <c r="M920" s="37"/>
      <c r="N920" s="37"/>
      <c r="O920" s="37"/>
      <c r="P920" s="3"/>
      <c r="Q920" s="3"/>
      <c r="R920" s="3"/>
      <c r="S920" s="3"/>
      <c r="T920" s="3"/>
      <c r="U920" s="3"/>
      <c r="V920" s="3"/>
      <c r="W920" s="3"/>
      <c r="X920" s="3"/>
      <c r="Y920" s="4"/>
      <c r="Z920"/>
      <c r="AA920"/>
    </row>
    <row r="921" spans="1:27" s="49" customFormat="1" x14ac:dyDescent="0.15">
      <c r="A921" s="165"/>
      <c r="B921" s="93"/>
      <c r="C921" s="102"/>
      <c r="D921" s="62"/>
      <c r="E921" s="102"/>
      <c r="F921" s="102"/>
      <c r="G921" s="102"/>
      <c r="H921" s="85"/>
      <c r="I921" s="104"/>
      <c r="J921" s="144"/>
      <c r="K921" s="61"/>
      <c r="M921" s="37"/>
      <c r="N921" s="37"/>
      <c r="O921" s="37"/>
      <c r="P921" s="3"/>
      <c r="Q921" s="3"/>
      <c r="R921" s="3"/>
      <c r="S921" s="3"/>
      <c r="T921" s="3"/>
      <c r="U921" s="3"/>
      <c r="V921" s="3"/>
      <c r="W921" s="3"/>
      <c r="X921" s="3"/>
      <c r="Y921" s="4"/>
      <c r="Z921"/>
      <c r="AA921"/>
    </row>
    <row r="922" spans="1:27" s="49" customFormat="1" x14ac:dyDescent="0.15">
      <c r="A922" s="165"/>
      <c r="B922" s="93"/>
      <c r="C922" s="102"/>
      <c r="D922" s="62"/>
      <c r="E922" s="102"/>
      <c r="F922" s="102"/>
      <c r="G922" s="102"/>
      <c r="H922" s="85"/>
      <c r="I922" s="104"/>
      <c r="J922" s="144"/>
      <c r="K922" s="61"/>
      <c r="M922" s="37"/>
      <c r="N922" s="37"/>
      <c r="O922" s="37"/>
      <c r="P922" s="3"/>
      <c r="Q922" s="3"/>
      <c r="R922" s="3"/>
      <c r="S922" s="3"/>
      <c r="T922" s="3"/>
      <c r="U922" s="3"/>
      <c r="V922" s="3"/>
      <c r="W922" s="3"/>
      <c r="X922" s="3"/>
      <c r="Y922" s="4"/>
      <c r="Z922"/>
      <c r="AA922"/>
    </row>
    <row r="923" spans="1:27" s="49" customFormat="1" x14ac:dyDescent="0.15">
      <c r="A923" s="165"/>
      <c r="B923" s="93"/>
      <c r="C923" s="100"/>
      <c r="D923" s="61"/>
      <c r="E923" s="102"/>
      <c r="F923" s="100"/>
      <c r="G923" s="100"/>
      <c r="H923" s="85"/>
      <c r="I923" s="101"/>
      <c r="J923" s="144"/>
      <c r="K923" s="61"/>
      <c r="M923" s="37"/>
      <c r="N923" s="37"/>
      <c r="O923" s="37"/>
      <c r="P923" s="3"/>
      <c r="Q923" s="3"/>
      <c r="R923" s="3"/>
      <c r="S923" s="3"/>
      <c r="T923" s="3"/>
      <c r="U923" s="3"/>
      <c r="V923" s="3"/>
      <c r="W923" s="3"/>
      <c r="X923" s="3"/>
      <c r="Y923" s="4"/>
      <c r="Z923"/>
      <c r="AA923"/>
    </row>
    <row r="924" spans="1:27" s="49" customFormat="1" x14ac:dyDescent="0.15">
      <c r="A924" s="165"/>
      <c r="B924" s="93"/>
      <c r="C924" s="102"/>
      <c r="D924" s="62"/>
      <c r="E924" s="102"/>
      <c r="F924" s="102"/>
      <c r="G924" s="102"/>
      <c r="H924" s="85"/>
      <c r="I924" s="104"/>
      <c r="J924" s="144"/>
      <c r="K924" s="61"/>
      <c r="M924" s="37"/>
      <c r="N924" s="37"/>
      <c r="O924" s="37"/>
      <c r="P924" s="3"/>
      <c r="Q924" s="3"/>
      <c r="R924" s="3"/>
      <c r="S924" s="3"/>
      <c r="T924" s="3"/>
      <c r="U924" s="3"/>
      <c r="V924" s="3"/>
      <c r="W924" s="3"/>
      <c r="X924" s="3"/>
      <c r="Y924" s="4"/>
      <c r="Z924"/>
      <c r="AA924"/>
    </row>
    <row r="925" spans="1:27" s="49" customFormat="1" x14ac:dyDescent="0.15">
      <c r="A925" s="165"/>
      <c r="B925" s="93"/>
      <c r="C925" s="102"/>
      <c r="D925" s="62"/>
      <c r="E925" s="102"/>
      <c r="F925" s="102"/>
      <c r="G925" s="102"/>
      <c r="H925" s="85"/>
      <c r="I925" s="104"/>
      <c r="J925" s="144"/>
      <c r="K925" s="61"/>
      <c r="M925" s="37"/>
      <c r="N925" s="37"/>
      <c r="O925" s="37"/>
      <c r="P925" s="3"/>
      <c r="Q925" s="3"/>
      <c r="R925" s="3"/>
      <c r="S925" s="3"/>
      <c r="T925" s="3"/>
      <c r="U925" s="3"/>
      <c r="V925" s="3"/>
      <c r="W925" s="3"/>
      <c r="X925" s="3"/>
      <c r="Y925" s="4"/>
      <c r="Z925"/>
      <c r="AA925"/>
    </row>
    <row r="926" spans="1:27" s="49" customFormat="1" x14ac:dyDescent="0.15">
      <c r="A926" s="165"/>
      <c r="B926" s="93"/>
      <c r="C926" s="102"/>
      <c r="D926" s="62"/>
      <c r="E926" s="102"/>
      <c r="F926" s="102"/>
      <c r="G926" s="102"/>
      <c r="H926" s="85"/>
      <c r="I926" s="104"/>
      <c r="J926" s="144"/>
      <c r="K926" s="62"/>
      <c r="M926" s="37"/>
      <c r="N926" s="37"/>
      <c r="O926" s="37"/>
      <c r="P926" s="3"/>
      <c r="Q926" s="3"/>
      <c r="R926" s="3"/>
      <c r="S926" s="3"/>
      <c r="T926" s="3"/>
      <c r="U926" s="3"/>
      <c r="V926" s="3"/>
      <c r="W926" s="3"/>
      <c r="X926" s="3"/>
      <c r="Y926" s="4"/>
      <c r="Z926"/>
      <c r="AA926"/>
    </row>
    <row r="927" spans="1:27" s="3" customFormat="1" x14ac:dyDescent="0.15">
      <c r="A927" s="165"/>
      <c r="B927" s="93"/>
      <c r="C927" s="102"/>
      <c r="D927" s="62"/>
      <c r="E927" s="102"/>
      <c r="F927" s="102"/>
      <c r="G927" s="102"/>
      <c r="H927" s="98"/>
      <c r="I927" s="98"/>
      <c r="J927" s="135"/>
      <c r="K927" s="62"/>
      <c r="L927" s="49"/>
      <c r="M927" s="37"/>
      <c r="N927" s="37"/>
      <c r="O927" s="37"/>
      <c r="Y927" s="4"/>
      <c r="Z927"/>
      <c r="AA927"/>
    </row>
    <row r="928" spans="1:27" s="3" customFormat="1" x14ac:dyDescent="0.15">
      <c r="A928" s="165"/>
      <c r="B928" s="93"/>
      <c r="C928" s="102"/>
      <c r="D928" s="62"/>
      <c r="E928" s="102"/>
      <c r="F928" s="102"/>
      <c r="G928" s="102"/>
      <c r="H928" s="98"/>
      <c r="I928" s="98"/>
      <c r="J928" s="135"/>
      <c r="K928" s="62"/>
      <c r="L928" s="49"/>
      <c r="M928" s="37"/>
      <c r="N928" s="37"/>
      <c r="O928" s="37"/>
      <c r="Y928" s="4"/>
      <c r="Z928"/>
      <c r="AA928"/>
    </row>
    <row r="929" spans="1:27" s="3" customFormat="1" x14ac:dyDescent="0.15">
      <c r="A929" s="165"/>
      <c r="B929" s="93"/>
      <c r="C929" s="102"/>
      <c r="D929" s="62"/>
      <c r="E929" s="102"/>
      <c r="F929" s="102"/>
      <c r="G929" s="102"/>
      <c r="H929" s="98"/>
      <c r="I929" s="98"/>
      <c r="J929" s="135"/>
      <c r="K929" s="62"/>
      <c r="L929" s="49"/>
      <c r="M929" s="37"/>
      <c r="N929" s="37"/>
      <c r="O929" s="37"/>
      <c r="Y929" s="4"/>
      <c r="Z929"/>
      <c r="AA929"/>
    </row>
    <row r="930" spans="1:27" s="3" customFormat="1" x14ac:dyDescent="0.15">
      <c r="A930" s="165"/>
      <c r="B930" s="93"/>
      <c r="C930" s="102"/>
      <c r="D930" s="62"/>
      <c r="E930" s="102"/>
      <c r="F930" s="102"/>
      <c r="G930" s="102"/>
      <c r="H930" s="98"/>
      <c r="I930" s="98"/>
      <c r="J930" s="135"/>
      <c r="K930" s="62"/>
      <c r="L930" s="49"/>
      <c r="M930" s="37"/>
      <c r="N930" s="37"/>
      <c r="O930" s="37"/>
      <c r="Y930" s="4"/>
      <c r="Z930"/>
      <c r="AA930"/>
    </row>
    <row r="931" spans="1:27" s="3" customFormat="1" x14ac:dyDescent="0.15">
      <c r="A931" s="165"/>
      <c r="B931" s="93"/>
      <c r="C931" s="102"/>
      <c r="D931" s="62"/>
      <c r="E931" s="102"/>
      <c r="F931" s="102"/>
      <c r="G931" s="102"/>
      <c r="H931" s="85"/>
      <c r="I931" s="104"/>
      <c r="J931" s="144"/>
      <c r="K931" s="62"/>
      <c r="L931" s="49"/>
      <c r="M931" s="37"/>
      <c r="N931" s="37"/>
      <c r="O931" s="37"/>
      <c r="Y931" s="4"/>
      <c r="Z931"/>
      <c r="AA931"/>
    </row>
    <row r="932" spans="1:27" s="3" customFormat="1" x14ac:dyDescent="0.15">
      <c r="A932" s="165"/>
      <c r="B932" s="93"/>
      <c r="C932" s="102"/>
      <c r="D932" s="62"/>
      <c r="E932" s="102"/>
      <c r="F932" s="102"/>
      <c r="G932" s="102"/>
      <c r="H932" s="85"/>
      <c r="I932" s="104"/>
      <c r="J932" s="144"/>
      <c r="K932" s="62"/>
      <c r="L932" s="49"/>
      <c r="M932" s="37"/>
      <c r="N932" s="37"/>
      <c r="O932" s="37"/>
      <c r="Y932" s="4"/>
      <c r="Z932"/>
      <c r="AA932"/>
    </row>
    <row r="933" spans="1:27" s="3" customFormat="1" x14ac:dyDescent="0.15">
      <c r="A933" s="165"/>
      <c r="B933" s="93"/>
      <c r="C933" s="102"/>
      <c r="D933" s="62"/>
      <c r="E933" s="102"/>
      <c r="F933" s="102"/>
      <c r="G933" s="102"/>
      <c r="H933" s="85"/>
      <c r="I933" s="104"/>
      <c r="J933" s="144"/>
      <c r="K933" s="62"/>
      <c r="L933" s="49"/>
      <c r="M933" s="37"/>
      <c r="N933" s="37"/>
      <c r="O933" s="37"/>
      <c r="Y933" s="4"/>
      <c r="Z933"/>
      <c r="AA933"/>
    </row>
    <row r="934" spans="1:27" s="3" customFormat="1" x14ac:dyDescent="0.15">
      <c r="A934" s="165"/>
      <c r="B934" s="93"/>
      <c r="C934" s="102"/>
      <c r="D934" s="62"/>
      <c r="E934" s="102"/>
      <c r="F934" s="102"/>
      <c r="G934" s="102"/>
      <c r="H934" s="85"/>
      <c r="I934" s="104"/>
      <c r="J934" s="144"/>
      <c r="K934" s="62"/>
      <c r="L934" s="49"/>
      <c r="M934" s="37"/>
      <c r="N934" s="37"/>
      <c r="O934" s="37"/>
      <c r="Y934" s="4"/>
      <c r="Z934"/>
      <c r="AA934"/>
    </row>
    <row r="935" spans="1:27" s="3" customFormat="1" x14ac:dyDescent="0.15">
      <c r="A935" s="165"/>
      <c r="B935" s="93"/>
      <c r="C935" s="102"/>
      <c r="D935" s="62"/>
      <c r="E935" s="102"/>
      <c r="F935" s="102"/>
      <c r="G935" s="102"/>
      <c r="H935" s="85"/>
      <c r="I935" s="104"/>
      <c r="J935" s="144"/>
      <c r="K935" s="62"/>
      <c r="L935" s="49"/>
      <c r="M935" s="37"/>
      <c r="N935" s="37"/>
      <c r="O935" s="37"/>
      <c r="P935" s="14"/>
      <c r="Q935" s="14"/>
      <c r="Y935" s="4"/>
      <c r="Z935"/>
      <c r="AA935"/>
    </row>
    <row r="936" spans="1:27" s="3" customFormat="1" x14ac:dyDescent="0.15">
      <c r="A936" s="165"/>
      <c r="B936" s="93"/>
      <c r="C936" s="102"/>
      <c r="D936" s="62"/>
      <c r="E936" s="102"/>
      <c r="F936" s="102"/>
      <c r="G936" s="102"/>
      <c r="H936" s="85"/>
      <c r="I936" s="104"/>
      <c r="J936" s="144"/>
      <c r="K936" s="62"/>
      <c r="L936" s="49"/>
      <c r="M936" s="37"/>
      <c r="N936" s="37"/>
      <c r="O936" s="37"/>
      <c r="Y936" s="4"/>
      <c r="Z936"/>
      <c r="AA936"/>
    </row>
    <row r="937" spans="1:27" s="3" customFormat="1" x14ac:dyDescent="0.15">
      <c r="A937" s="165"/>
      <c r="B937" s="93"/>
      <c r="C937" s="102"/>
      <c r="D937" s="62"/>
      <c r="E937" s="102"/>
      <c r="F937" s="102"/>
      <c r="G937" s="102"/>
      <c r="H937" s="85"/>
      <c r="I937" s="104"/>
      <c r="J937" s="144"/>
      <c r="K937" s="62"/>
      <c r="L937" s="49"/>
      <c r="M937" s="37"/>
      <c r="N937" s="37"/>
      <c r="O937" s="37"/>
      <c r="Y937" s="4"/>
      <c r="Z937"/>
      <c r="AA937"/>
    </row>
    <row r="938" spans="1:27" s="3" customFormat="1" x14ac:dyDescent="0.15">
      <c r="A938" s="165"/>
      <c r="B938" s="93"/>
      <c r="C938" s="102"/>
      <c r="D938" s="62"/>
      <c r="E938" s="102"/>
      <c r="F938" s="102"/>
      <c r="G938" s="102"/>
      <c r="H938" s="85"/>
      <c r="I938" s="104"/>
      <c r="J938" s="144"/>
      <c r="K938" s="62"/>
      <c r="L938" s="49"/>
      <c r="M938" s="37"/>
      <c r="N938" s="37"/>
      <c r="O938" s="37"/>
      <c r="Y938" s="4"/>
      <c r="Z938"/>
      <c r="AA938"/>
    </row>
    <row r="939" spans="1:27" s="3" customFormat="1" x14ac:dyDescent="0.15">
      <c r="A939" s="165"/>
      <c r="B939" s="93"/>
      <c r="C939" s="100"/>
      <c r="D939" s="61"/>
      <c r="E939" s="100"/>
      <c r="F939" s="100"/>
      <c r="G939" s="100"/>
      <c r="H939" s="85"/>
      <c r="I939" s="101"/>
      <c r="J939" s="144"/>
      <c r="K939" s="62"/>
      <c r="L939" s="49"/>
      <c r="M939" s="37"/>
      <c r="N939" s="37"/>
      <c r="O939" s="37"/>
      <c r="Y939" s="4"/>
      <c r="Z939"/>
      <c r="AA939"/>
    </row>
    <row r="940" spans="1:27" s="3" customFormat="1" x14ac:dyDescent="0.15">
      <c r="A940" s="165"/>
      <c r="B940" s="93"/>
      <c r="C940" s="102"/>
      <c r="D940" s="62"/>
      <c r="E940" s="102"/>
      <c r="F940" s="102"/>
      <c r="G940" s="102"/>
      <c r="H940" s="98"/>
      <c r="I940" s="98"/>
      <c r="J940" s="135"/>
      <c r="K940" s="62"/>
      <c r="L940" s="49"/>
      <c r="M940" s="37"/>
      <c r="N940" s="37"/>
      <c r="O940" s="37"/>
      <c r="Y940" s="4"/>
      <c r="Z940"/>
      <c r="AA940"/>
    </row>
    <row r="941" spans="1:27" s="3" customFormat="1" x14ac:dyDescent="0.15">
      <c r="A941" s="165"/>
      <c r="B941" s="93"/>
      <c r="C941" s="102"/>
      <c r="D941" s="62"/>
      <c r="E941" s="102"/>
      <c r="F941" s="102"/>
      <c r="G941" s="102"/>
      <c r="H941" s="98"/>
      <c r="I941" s="98"/>
      <c r="J941" s="135"/>
      <c r="K941" s="62"/>
      <c r="L941" s="49"/>
      <c r="M941" s="37"/>
      <c r="N941" s="37"/>
      <c r="O941" s="37"/>
      <c r="Y941" s="4"/>
      <c r="Z941"/>
      <c r="AA941"/>
    </row>
    <row r="942" spans="1:27" s="3" customFormat="1" x14ac:dyDescent="0.15">
      <c r="A942" s="165"/>
      <c r="B942" s="93"/>
      <c r="C942" s="102"/>
      <c r="D942" s="62"/>
      <c r="E942" s="102"/>
      <c r="F942" s="102"/>
      <c r="G942" s="102"/>
      <c r="H942" s="98"/>
      <c r="I942" s="98"/>
      <c r="J942" s="135"/>
      <c r="K942" s="62"/>
      <c r="L942" s="49"/>
      <c r="M942" s="37"/>
      <c r="N942" s="37"/>
      <c r="O942" s="37"/>
      <c r="Y942" s="4"/>
      <c r="Z942"/>
      <c r="AA942"/>
    </row>
    <row r="943" spans="1:27" s="49" customFormat="1" x14ac:dyDescent="0.15">
      <c r="A943" s="165"/>
      <c r="B943" s="93"/>
      <c r="C943" s="102"/>
      <c r="D943" s="62"/>
      <c r="E943" s="102"/>
      <c r="F943" s="102"/>
      <c r="G943" s="102"/>
      <c r="H943" s="98"/>
      <c r="I943" s="98"/>
      <c r="J943" s="135"/>
      <c r="K943" s="62"/>
      <c r="M943" s="37"/>
      <c r="N943" s="37"/>
      <c r="O943" s="37"/>
      <c r="P943" s="3"/>
      <c r="Q943" s="3"/>
      <c r="R943" s="3"/>
      <c r="S943" s="3"/>
      <c r="T943" s="3"/>
      <c r="U943" s="3"/>
      <c r="V943" s="3"/>
      <c r="W943" s="3"/>
      <c r="X943" s="3"/>
      <c r="Y943" s="4"/>
      <c r="Z943"/>
      <c r="AA943"/>
    </row>
    <row r="944" spans="1:27" s="49" customFormat="1" x14ac:dyDescent="0.15">
      <c r="A944" s="168"/>
      <c r="B944" s="93"/>
      <c r="C944" s="102"/>
      <c r="D944" s="62"/>
      <c r="E944" s="102"/>
      <c r="F944" s="102"/>
      <c r="G944" s="102"/>
      <c r="H944" s="98"/>
      <c r="I944" s="98"/>
      <c r="J944" s="135"/>
      <c r="K944" s="62"/>
      <c r="M944" s="37"/>
      <c r="N944" s="37"/>
      <c r="O944" s="37"/>
      <c r="P944" s="3"/>
      <c r="Q944" s="3"/>
      <c r="R944" s="3"/>
      <c r="S944" s="3"/>
      <c r="T944" s="3"/>
      <c r="U944" s="3"/>
      <c r="V944" s="3"/>
      <c r="W944" s="3"/>
      <c r="X944" s="3"/>
      <c r="Y944" s="4"/>
      <c r="Z944"/>
      <c r="AA944"/>
    </row>
    <row r="945" spans="1:27" s="49" customFormat="1" x14ac:dyDescent="0.15">
      <c r="A945" s="165"/>
      <c r="B945" s="93"/>
      <c r="C945" s="102"/>
      <c r="D945" s="62"/>
      <c r="E945" s="102"/>
      <c r="F945" s="102"/>
      <c r="G945" s="102"/>
      <c r="H945" s="98"/>
      <c r="I945" s="98"/>
      <c r="J945" s="135"/>
      <c r="K945" s="62"/>
      <c r="M945" s="37"/>
      <c r="N945" s="37"/>
      <c r="O945" s="37"/>
      <c r="P945" s="3"/>
      <c r="Q945" s="3"/>
      <c r="R945" s="3"/>
      <c r="S945" s="3"/>
      <c r="T945" s="3"/>
      <c r="U945" s="3"/>
      <c r="V945" s="3"/>
      <c r="W945" s="3"/>
      <c r="X945" s="3"/>
      <c r="Y945" s="4"/>
      <c r="Z945"/>
      <c r="AA945"/>
    </row>
    <row r="946" spans="1:27" s="49" customFormat="1" x14ac:dyDescent="0.15">
      <c r="A946" s="168"/>
      <c r="B946" s="93"/>
      <c r="C946" s="102"/>
      <c r="D946" s="62"/>
      <c r="E946" s="102"/>
      <c r="F946" s="102"/>
      <c r="G946" s="102"/>
      <c r="H946" s="85"/>
      <c r="I946" s="104"/>
      <c r="J946" s="144"/>
      <c r="K946" s="62"/>
      <c r="M946" s="37"/>
      <c r="N946" s="37"/>
      <c r="O946" s="37"/>
      <c r="P946" s="3"/>
      <c r="Q946" s="3"/>
      <c r="R946" s="3"/>
      <c r="S946" s="3"/>
      <c r="T946" s="3"/>
      <c r="U946" s="3"/>
      <c r="V946" s="3"/>
      <c r="W946" s="3"/>
      <c r="X946" s="3"/>
      <c r="Y946" s="4"/>
      <c r="Z946"/>
      <c r="AA946"/>
    </row>
    <row r="947" spans="1:27" s="49" customFormat="1" x14ac:dyDescent="0.15">
      <c r="A947" s="168"/>
      <c r="B947" s="93"/>
      <c r="C947" s="102"/>
      <c r="D947" s="62"/>
      <c r="E947" s="102"/>
      <c r="F947" s="102"/>
      <c r="G947" s="102"/>
      <c r="H947" s="85"/>
      <c r="I947" s="104"/>
      <c r="J947" s="144"/>
      <c r="K947" s="62"/>
      <c r="M947" s="37"/>
      <c r="N947" s="37"/>
      <c r="O947" s="37"/>
      <c r="P947" s="3"/>
      <c r="Q947" s="3"/>
      <c r="R947" s="3"/>
      <c r="S947" s="3"/>
      <c r="T947" s="3"/>
      <c r="U947" s="3"/>
      <c r="V947" s="3"/>
      <c r="W947" s="3"/>
      <c r="X947" s="3"/>
      <c r="Y947" s="4"/>
      <c r="Z947"/>
      <c r="AA947"/>
    </row>
    <row r="948" spans="1:27" s="49" customFormat="1" x14ac:dyDescent="0.15">
      <c r="A948" s="165"/>
      <c r="B948" s="93"/>
      <c r="C948" s="102"/>
      <c r="D948" s="62"/>
      <c r="E948" s="102"/>
      <c r="F948" s="102"/>
      <c r="G948" s="102"/>
      <c r="H948" s="85"/>
      <c r="I948" s="104"/>
      <c r="J948" s="144"/>
      <c r="K948" s="62"/>
      <c r="M948" s="37"/>
      <c r="N948" s="37"/>
      <c r="O948" s="37"/>
      <c r="P948" s="3"/>
      <c r="Q948" s="3"/>
      <c r="R948" s="3"/>
      <c r="S948" s="3"/>
      <c r="T948" s="3"/>
      <c r="U948" s="3"/>
      <c r="V948" s="3"/>
      <c r="W948" s="3"/>
      <c r="X948" s="3"/>
      <c r="Y948" s="4"/>
      <c r="Z948"/>
      <c r="AA948"/>
    </row>
    <row r="949" spans="1:27" s="49" customFormat="1" x14ac:dyDescent="0.15">
      <c r="A949" s="165"/>
      <c r="B949" s="93"/>
      <c r="C949" s="102"/>
      <c r="D949" s="62"/>
      <c r="E949" s="102"/>
      <c r="F949" s="102"/>
      <c r="G949" s="102"/>
      <c r="H949" s="98"/>
      <c r="I949" s="98"/>
      <c r="J949" s="135"/>
      <c r="K949" s="62"/>
      <c r="M949" s="37"/>
      <c r="N949" s="37"/>
      <c r="O949" s="37"/>
      <c r="P949" s="3"/>
      <c r="Q949" s="3"/>
      <c r="R949" s="3"/>
      <c r="S949" s="3"/>
      <c r="T949" s="3"/>
      <c r="U949" s="3"/>
      <c r="V949" s="3"/>
      <c r="W949" s="3"/>
      <c r="X949" s="3"/>
      <c r="Y949" s="4"/>
      <c r="Z949"/>
      <c r="AA949"/>
    </row>
    <row r="950" spans="1:27" s="49" customFormat="1" x14ac:dyDescent="0.15">
      <c r="A950" s="168"/>
      <c r="B950" s="93"/>
      <c r="C950" s="102"/>
      <c r="D950" s="62"/>
      <c r="E950" s="102"/>
      <c r="F950" s="102"/>
      <c r="G950" s="102"/>
      <c r="H950" s="85"/>
      <c r="I950" s="104"/>
      <c r="J950" s="144"/>
      <c r="K950" s="62"/>
      <c r="M950" s="37"/>
      <c r="N950" s="37"/>
      <c r="O950" s="37"/>
      <c r="P950" s="3"/>
      <c r="Q950" s="3"/>
      <c r="R950" s="3"/>
      <c r="S950" s="3"/>
      <c r="T950" s="3"/>
      <c r="U950" s="3"/>
      <c r="V950" s="3"/>
      <c r="W950" s="3"/>
      <c r="X950" s="3"/>
      <c r="Y950" s="4"/>
      <c r="Z950"/>
      <c r="AA950"/>
    </row>
    <row r="951" spans="1:27" s="49" customFormat="1" x14ac:dyDescent="0.15">
      <c r="A951" s="165"/>
      <c r="B951" s="93"/>
      <c r="C951" s="102"/>
      <c r="D951" s="62"/>
      <c r="E951" s="102"/>
      <c r="F951" s="102"/>
      <c r="G951" s="102"/>
      <c r="H951" s="85"/>
      <c r="I951" s="104"/>
      <c r="J951" s="144"/>
      <c r="K951" s="62"/>
      <c r="M951" s="37"/>
      <c r="N951" s="37"/>
      <c r="O951" s="37"/>
      <c r="P951" s="3"/>
      <c r="Q951" s="3"/>
      <c r="R951" s="3"/>
      <c r="S951" s="3"/>
      <c r="T951" s="3"/>
      <c r="U951" s="3"/>
      <c r="V951" s="3"/>
      <c r="W951" s="3"/>
      <c r="X951" s="3"/>
      <c r="Y951" s="4"/>
      <c r="Z951"/>
      <c r="AA951"/>
    </row>
    <row r="952" spans="1:27" s="49" customFormat="1" x14ac:dyDescent="0.15">
      <c r="A952" s="165"/>
      <c r="B952" s="93"/>
      <c r="C952" s="102"/>
      <c r="D952" s="62"/>
      <c r="E952" s="102"/>
      <c r="F952" s="102"/>
      <c r="G952" s="102"/>
      <c r="H952" s="85"/>
      <c r="I952" s="104"/>
      <c r="J952" s="144"/>
      <c r="K952" s="62"/>
      <c r="M952" s="37"/>
      <c r="N952" s="37"/>
      <c r="O952" s="37"/>
      <c r="P952" s="3"/>
      <c r="Q952" s="3"/>
      <c r="R952" s="3"/>
      <c r="S952" s="3"/>
      <c r="T952" s="3"/>
      <c r="U952" s="3"/>
      <c r="V952" s="3"/>
      <c r="W952" s="3"/>
      <c r="X952" s="3"/>
      <c r="Y952" s="4"/>
      <c r="Z952"/>
      <c r="AA952"/>
    </row>
    <row r="953" spans="1:27" s="49" customFormat="1" x14ac:dyDescent="0.15">
      <c r="A953" s="165"/>
      <c r="B953" s="82"/>
      <c r="C953" s="107"/>
      <c r="D953" s="62"/>
      <c r="E953" s="107"/>
      <c r="F953" s="107"/>
      <c r="G953" s="107"/>
      <c r="H953" s="85"/>
      <c r="I953" s="104"/>
      <c r="J953" s="144"/>
      <c r="K953" s="62"/>
      <c r="M953" s="37"/>
      <c r="N953" s="37"/>
      <c r="O953" s="37"/>
      <c r="P953" s="3"/>
      <c r="Q953" s="3"/>
      <c r="R953" s="3"/>
      <c r="S953" s="3"/>
      <c r="T953" s="3"/>
      <c r="U953" s="3"/>
      <c r="V953" s="3"/>
      <c r="W953" s="3"/>
      <c r="X953" s="3"/>
      <c r="Y953" s="4"/>
      <c r="Z953"/>
      <c r="AA953"/>
    </row>
    <row r="954" spans="1:27" s="49" customFormat="1" x14ac:dyDescent="0.15">
      <c r="A954" s="165"/>
      <c r="B954" s="82"/>
      <c r="C954" s="107"/>
      <c r="D954" s="62"/>
      <c r="E954" s="107"/>
      <c r="F954" s="107"/>
      <c r="G954" s="107"/>
      <c r="H954" s="85"/>
      <c r="I954" s="104"/>
      <c r="J954" s="144"/>
      <c r="K954" s="62"/>
      <c r="M954" s="37"/>
      <c r="N954" s="37"/>
      <c r="O954" s="37"/>
      <c r="P954" s="3"/>
      <c r="Q954" s="3"/>
      <c r="R954" s="3"/>
      <c r="S954" s="3"/>
      <c r="T954" s="3"/>
      <c r="U954" s="3"/>
      <c r="V954" s="3"/>
      <c r="W954" s="3"/>
      <c r="X954" s="3"/>
      <c r="Y954" s="4"/>
      <c r="Z954"/>
      <c r="AA954"/>
    </row>
    <row r="955" spans="1:27" s="49" customFormat="1" x14ac:dyDescent="0.15">
      <c r="A955" s="165"/>
      <c r="B955" s="93"/>
      <c r="C955" s="102"/>
      <c r="D955" s="62"/>
      <c r="E955" s="102"/>
      <c r="F955" s="102"/>
      <c r="G955" s="102"/>
      <c r="H955" s="85"/>
      <c r="I955" s="104"/>
      <c r="J955" s="144"/>
      <c r="K955" s="62"/>
      <c r="M955" s="37"/>
      <c r="N955" s="37"/>
      <c r="O955" s="37"/>
      <c r="P955" s="3"/>
      <c r="Q955" s="3"/>
      <c r="R955" s="3"/>
      <c r="S955" s="3"/>
      <c r="T955" s="3"/>
      <c r="U955" s="3"/>
      <c r="V955" s="3"/>
      <c r="W955" s="3"/>
      <c r="X955" s="3"/>
      <c r="Y955" s="4"/>
      <c r="Z955"/>
      <c r="AA955"/>
    </row>
    <row r="956" spans="1:27" s="49" customFormat="1" x14ac:dyDescent="0.15">
      <c r="A956" s="165"/>
      <c r="B956" s="93"/>
      <c r="C956" s="102"/>
      <c r="D956" s="62"/>
      <c r="E956" s="102"/>
      <c r="F956" s="102"/>
      <c r="G956" s="102"/>
      <c r="H956" s="85"/>
      <c r="I956" s="104"/>
      <c r="J956" s="144"/>
      <c r="K956" s="62"/>
      <c r="M956" s="37"/>
      <c r="N956" s="37"/>
      <c r="O956" s="37"/>
      <c r="P956" s="3"/>
      <c r="Q956" s="3"/>
      <c r="R956" s="3"/>
      <c r="S956" s="3"/>
      <c r="T956" s="3"/>
      <c r="U956" s="3"/>
      <c r="V956" s="3"/>
      <c r="W956" s="3"/>
      <c r="X956" s="3"/>
      <c r="Y956" s="4"/>
      <c r="Z956"/>
      <c r="AA956"/>
    </row>
    <row r="957" spans="1:27" s="49" customFormat="1" x14ac:dyDescent="0.15">
      <c r="A957" s="165"/>
      <c r="B957" s="93"/>
      <c r="C957" s="102"/>
      <c r="D957" s="62"/>
      <c r="E957" s="102"/>
      <c r="F957" s="102"/>
      <c r="G957" s="102"/>
      <c r="H957" s="85"/>
      <c r="I957" s="104"/>
      <c r="J957" s="144"/>
      <c r="K957" s="62"/>
      <c r="M957" s="37"/>
      <c r="N957" s="37"/>
      <c r="O957" s="37"/>
      <c r="P957" s="3"/>
      <c r="Q957" s="3"/>
      <c r="R957" s="3"/>
      <c r="S957" s="3"/>
      <c r="T957" s="3"/>
      <c r="U957" s="3"/>
      <c r="V957" s="3"/>
      <c r="W957" s="3"/>
      <c r="X957" s="3"/>
      <c r="Y957" s="4"/>
      <c r="Z957"/>
      <c r="AA957"/>
    </row>
    <row r="958" spans="1:27" s="49" customFormat="1" x14ac:dyDescent="0.15">
      <c r="A958" s="165"/>
      <c r="B958" s="93"/>
      <c r="C958" s="102"/>
      <c r="D958" s="62"/>
      <c r="E958" s="102"/>
      <c r="F958" s="102"/>
      <c r="G958" s="102"/>
      <c r="H958" s="85"/>
      <c r="I958" s="104"/>
      <c r="J958" s="144"/>
      <c r="K958" s="62"/>
      <c r="M958" s="37"/>
      <c r="N958" s="37"/>
      <c r="O958" s="37"/>
      <c r="P958" s="3"/>
      <c r="Q958" s="3"/>
      <c r="R958" s="3"/>
      <c r="S958" s="3"/>
      <c r="T958" s="3"/>
      <c r="U958" s="3"/>
      <c r="V958" s="3"/>
      <c r="W958" s="3"/>
      <c r="X958" s="3"/>
      <c r="Y958" s="4"/>
      <c r="Z958"/>
      <c r="AA958"/>
    </row>
    <row r="959" spans="1:27" s="37" customFormat="1" x14ac:dyDescent="0.15">
      <c r="A959" s="165"/>
      <c r="B959" s="93"/>
      <c r="C959" s="102"/>
      <c r="D959" s="62"/>
      <c r="E959" s="102"/>
      <c r="F959" s="102"/>
      <c r="G959" s="102"/>
      <c r="H959" s="85"/>
      <c r="I959" s="104"/>
      <c r="J959" s="144"/>
      <c r="K959" s="62"/>
      <c r="L959" s="49"/>
      <c r="P959" s="3"/>
      <c r="Q959" s="3"/>
      <c r="R959" s="3"/>
      <c r="S959" s="3"/>
      <c r="T959" s="3"/>
      <c r="U959" s="3"/>
      <c r="V959" s="3"/>
      <c r="W959" s="3"/>
      <c r="X959" s="3"/>
      <c r="Y959" s="4"/>
      <c r="Z959"/>
      <c r="AA959"/>
    </row>
    <row r="960" spans="1:27" s="37" customFormat="1" x14ac:dyDescent="0.15">
      <c r="A960" s="165"/>
      <c r="B960" s="93"/>
      <c r="C960" s="102"/>
      <c r="D960" s="62"/>
      <c r="E960" s="102"/>
      <c r="F960" s="102"/>
      <c r="G960" s="102"/>
      <c r="H960" s="85"/>
      <c r="I960" s="104"/>
      <c r="J960" s="144"/>
      <c r="K960" s="62"/>
      <c r="L960" s="49"/>
      <c r="P960" s="3"/>
      <c r="Q960" s="3"/>
      <c r="R960" s="3"/>
      <c r="S960" s="3"/>
      <c r="T960" s="3"/>
      <c r="U960" s="3"/>
      <c r="V960" s="3"/>
      <c r="W960" s="3"/>
      <c r="X960" s="3"/>
      <c r="Y960" s="4"/>
      <c r="Z960"/>
      <c r="AA960"/>
    </row>
    <row r="961" spans="1:27" s="37" customFormat="1" x14ac:dyDescent="0.15">
      <c r="A961" s="165"/>
      <c r="B961" s="93"/>
      <c r="C961" s="102"/>
      <c r="D961" s="62"/>
      <c r="E961" s="102"/>
      <c r="F961" s="102"/>
      <c r="G961" s="102"/>
      <c r="H961" s="85"/>
      <c r="I961" s="104"/>
      <c r="J961" s="144"/>
      <c r="K961" s="62"/>
      <c r="L961" s="49"/>
      <c r="P961" s="3"/>
      <c r="Q961" s="3"/>
      <c r="R961" s="3"/>
      <c r="S961" s="3"/>
      <c r="T961" s="3"/>
      <c r="U961" s="3"/>
      <c r="V961" s="3"/>
      <c r="W961" s="3"/>
      <c r="X961" s="3"/>
      <c r="Y961" s="4"/>
      <c r="Z961"/>
      <c r="AA961"/>
    </row>
    <row r="962" spans="1:27" s="37" customFormat="1" x14ac:dyDescent="0.15">
      <c r="A962" s="165"/>
      <c r="B962" s="93"/>
      <c r="C962" s="100"/>
      <c r="D962" s="61"/>
      <c r="E962" s="100"/>
      <c r="F962" s="100"/>
      <c r="G962" s="100"/>
      <c r="H962" s="103"/>
      <c r="I962" s="61"/>
      <c r="J962" s="145"/>
      <c r="K962" s="61"/>
      <c r="L962" s="35"/>
      <c r="P962" s="3"/>
      <c r="Q962" s="3"/>
      <c r="R962" s="3"/>
      <c r="S962" s="3"/>
      <c r="T962" s="3"/>
      <c r="U962" s="3"/>
      <c r="V962" s="3"/>
      <c r="W962" s="3"/>
      <c r="X962" s="3"/>
      <c r="Y962" s="4"/>
      <c r="Z962"/>
      <c r="AA962"/>
    </row>
    <row r="963" spans="1:27" s="37" customFormat="1" x14ac:dyDescent="0.15">
      <c r="A963" s="165"/>
      <c r="B963" s="93"/>
      <c r="C963" s="102"/>
      <c r="D963" s="62"/>
      <c r="E963" s="102"/>
      <c r="F963" s="102"/>
      <c r="G963" s="102"/>
      <c r="H963" s="85"/>
      <c r="I963" s="104"/>
      <c r="J963" s="143"/>
      <c r="K963" s="61"/>
      <c r="L963" s="50"/>
      <c r="P963" s="3"/>
      <c r="Q963" s="3"/>
      <c r="R963" s="3"/>
      <c r="S963" s="3"/>
      <c r="T963" s="3"/>
      <c r="U963" s="3"/>
      <c r="V963" s="3"/>
      <c r="W963" s="3"/>
      <c r="X963" s="3"/>
      <c r="Y963" s="4"/>
      <c r="Z963"/>
      <c r="AA963"/>
    </row>
    <row r="964" spans="1:27" s="37" customFormat="1" x14ac:dyDescent="0.15">
      <c r="A964" s="165"/>
      <c r="B964" s="93"/>
      <c r="C964" s="102"/>
      <c r="D964" s="62"/>
      <c r="E964" s="102"/>
      <c r="F964" s="102"/>
      <c r="G964" s="102"/>
      <c r="H964" s="85"/>
      <c r="I964" s="104"/>
      <c r="J964" s="143"/>
      <c r="K964" s="61"/>
      <c r="L964" s="50"/>
      <c r="N964" s="51"/>
      <c r="P964" s="3"/>
      <c r="Q964" s="3"/>
      <c r="R964" s="3"/>
      <c r="S964" s="3"/>
      <c r="T964" s="3"/>
      <c r="U964" s="3"/>
      <c r="V964" s="3"/>
      <c r="W964" s="3"/>
      <c r="X964" s="3"/>
      <c r="Y964" s="4"/>
      <c r="Z964"/>
      <c r="AA964"/>
    </row>
    <row r="965" spans="1:27" s="37" customFormat="1" x14ac:dyDescent="0.15">
      <c r="A965" s="165"/>
      <c r="B965" s="93"/>
      <c r="C965" s="102"/>
      <c r="D965" s="62"/>
      <c r="E965" s="102"/>
      <c r="F965" s="102"/>
      <c r="G965" s="102"/>
      <c r="H965" s="85"/>
      <c r="I965" s="104"/>
      <c r="J965" s="143"/>
      <c r="K965" s="61"/>
      <c r="L965" s="35"/>
      <c r="P965" s="3"/>
      <c r="Q965" s="3"/>
      <c r="R965" s="3"/>
      <c r="S965" s="3"/>
      <c r="T965" s="3"/>
      <c r="U965" s="3"/>
      <c r="V965" s="3"/>
      <c r="W965" s="3"/>
      <c r="X965" s="3"/>
      <c r="Y965" s="4"/>
      <c r="Z965"/>
      <c r="AA965"/>
    </row>
    <row r="966" spans="1:27" s="37" customFormat="1" x14ac:dyDescent="0.15">
      <c r="A966" s="165"/>
      <c r="B966" s="93"/>
      <c r="C966" s="102"/>
      <c r="D966" s="62"/>
      <c r="E966" s="102"/>
      <c r="F966" s="102"/>
      <c r="G966" s="102"/>
      <c r="H966" s="85"/>
      <c r="I966" s="104"/>
      <c r="J966" s="143"/>
      <c r="K966" s="61"/>
      <c r="L966" s="35"/>
      <c r="P966" s="3"/>
      <c r="Q966" s="3"/>
      <c r="R966" s="3"/>
      <c r="S966" s="3"/>
      <c r="T966" s="3"/>
      <c r="U966" s="3"/>
      <c r="V966" s="3"/>
      <c r="W966" s="3"/>
      <c r="X966" s="3"/>
      <c r="Y966" s="4"/>
      <c r="Z966"/>
      <c r="AA966"/>
    </row>
    <row r="967" spans="1:27" s="37" customFormat="1" x14ac:dyDescent="0.15">
      <c r="A967" s="165"/>
      <c r="B967" s="93"/>
      <c r="C967" s="102"/>
      <c r="D967" s="62"/>
      <c r="E967" s="102"/>
      <c r="F967" s="102"/>
      <c r="G967" s="102"/>
      <c r="H967" s="85"/>
      <c r="I967" s="104"/>
      <c r="J967" s="143"/>
      <c r="K967" s="61"/>
      <c r="L967" s="35"/>
      <c r="P967" s="3"/>
      <c r="Q967" s="3"/>
      <c r="R967" s="3"/>
      <c r="S967" s="3"/>
      <c r="T967" s="3"/>
      <c r="U967" s="3"/>
      <c r="V967" s="3"/>
      <c r="W967" s="3"/>
      <c r="X967" s="3"/>
      <c r="Y967" s="4"/>
      <c r="Z967"/>
      <c r="AA967"/>
    </row>
    <row r="968" spans="1:27" s="37" customFormat="1" x14ac:dyDescent="0.15">
      <c r="A968" s="165"/>
      <c r="B968" s="93"/>
      <c r="C968" s="102"/>
      <c r="D968" s="62"/>
      <c r="E968" s="102"/>
      <c r="F968" s="102"/>
      <c r="G968" s="102"/>
      <c r="H968" s="85"/>
      <c r="I968" s="104"/>
      <c r="J968" s="143"/>
      <c r="K968" s="61"/>
      <c r="L968" s="49"/>
      <c r="P968" s="3"/>
      <c r="Q968" s="3"/>
      <c r="R968" s="3"/>
      <c r="S968" s="3"/>
      <c r="T968" s="3"/>
      <c r="U968" s="3"/>
      <c r="V968" s="3"/>
      <c r="W968" s="3"/>
      <c r="X968" s="3"/>
      <c r="Y968" s="4"/>
      <c r="Z968"/>
      <c r="AA968"/>
    </row>
    <row r="969" spans="1:27" s="37" customFormat="1" x14ac:dyDescent="0.15">
      <c r="A969" s="165"/>
      <c r="B969" s="93"/>
      <c r="C969" s="102"/>
      <c r="D969" s="62"/>
      <c r="E969" s="102"/>
      <c r="F969" s="102"/>
      <c r="G969" s="102"/>
      <c r="H969" s="85"/>
      <c r="I969" s="104"/>
      <c r="J969" s="143"/>
      <c r="K969" s="61"/>
      <c r="L969" s="50"/>
      <c r="M969" s="51"/>
      <c r="P969" s="3"/>
      <c r="Q969" s="3"/>
      <c r="R969" s="3"/>
      <c r="S969" s="3"/>
      <c r="T969" s="3"/>
      <c r="U969" s="3"/>
      <c r="V969" s="3"/>
      <c r="W969" s="3"/>
      <c r="X969" s="3"/>
      <c r="Y969" s="4"/>
      <c r="Z969"/>
      <c r="AA969"/>
    </row>
    <row r="970" spans="1:27" s="37" customFormat="1" x14ac:dyDescent="0.15">
      <c r="A970" s="165"/>
      <c r="B970" s="93"/>
      <c r="C970" s="102"/>
      <c r="D970" s="62"/>
      <c r="E970" s="100"/>
      <c r="F970" s="102"/>
      <c r="G970" s="102"/>
      <c r="H970" s="85"/>
      <c r="I970" s="104"/>
      <c r="J970" s="143"/>
      <c r="K970" s="61"/>
      <c r="L970" s="49"/>
      <c r="P970" s="3"/>
      <c r="Q970" s="3"/>
      <c r="R970" s="3"/>
      <c r="S970" s="3"/>
      <c r="T970" s="3"/>
      <c r="U970" s="3"/>
      <c r="V970" s="3"/>
      <c r="W970" s="3"/>
      <c r="X970" s="3"/>
      <c r="Y970" s="4"/>
      <c r="Z970"/>
      <c r="AA970"/>
    </row>
    <row r="971" spans="1:27" s="37" customFormat="1" x14ac:dyDescent="0.15">
      <c r="A971" s="165"/>
      <c r="B971" s="93"/>
      <c r="C971" s="100"/>
      <c r="D971" s="61"/>
      <c r="E971" s="100"/>
      <c r="F971" s="100"/>
      <c r="G971" s="100"/>
      <c r="H971" s="85"/>
      <c r="I971" s="101"/>
      <c r="J971" s="143"/>
      <c r="K971" s="61"/>
      <c r="L971" s="49"/>
      <c r="P971" s="3"/>
      <c r="Q971" s="3"/>
      <c r="R971" s="3"/>
      <c r="S971" s="3"/>
      <c r="T971" s="3"/>
      <c r="U971" s="3"/>
      <c r="V971" s="3"/>
      <c r="W971" s="3"/>
      <c r="X971" s="3"/>
      <c r="Y971" s="4"/>
      <c r="Z971"/>
      <c r="AA971"/>
    </row>
    <row r="972" spans="1:27" s="37" customFormat="1" x14ac:dyDescent="0.15">
      <c r="A972" s="165"/>
      <c r="B972" s="93"/>
      <c r="C972" s="100"/>
      <c r="D972" s="61"/>
      <c r="E972" s="100"/>
      <c r="F972" s="100"/>
      <c r="G972" s="100"/>
      <c r="H972" s="85"/>
      <c r="I972" s="101"/>
      <c r="J972" s="143"/>
      <c r="K972" s="61"/>
      <c r="L972" s="49"/>
      <c r="P972" s="3"/>
      <c r="Q972" s="3"/>
      <c r="R972" s="3"/>
      <c r="S972" s="3"/>
      <c r="T972" s="3"/>
      <c r="U972" s="3"/>
      <c r="V972" s="3"/>
      <c r="W972" s="3"/>
      <c r="X972" s="3"/>
      <c r="Y972" s="4"/>
      <c r="Z972"/>
      <c r="AA972"/>
    </row>
    <row r="973" spans="1:27" s="37" customFormat="1" x14ac:dyDescent="0.15">
      <c r="A973" s="165"/>
      <c r="B973" s="93"/>
      <c r="C973" s="102"/>
      <c r="D973" s="62"/>
      <c r="E973" s="100"/>
      <c r="F973" s="102"/>
      <c r="G973" s="102"/>
      <c r="H973" s="85"/>
      <c r="I973" s="104"/>
      <c r="J973" s="143"/>
      <c r="K973" s="61"/>
      <c r="L973" s="49"/>
      <c r="P973" s="3"/>
      <c r="Q973" s="3"/>
      <c r="R973" s="3"/>
      <c r="S973" s="3"/>
      <c r="T973" s="3"/>
      <c r="U973" s="3"/>
      <c r="V973" s="3"/>
      <c r="W973" s="3"/>
      <c r="X973" s="3"/>
      <c r="Y973" s="4"/>
      <c r="Z973"/>
      <c r="AA973"/>
    </row>
    <row r="974" spans="1:27" s="37" customFormat="1" x14ac:dyDescent="0.15">
      <c r="A974" s="165"/>
      <c r="B974" s="93"/>
      <c r="C974" s="102"/>
      <c r="D974" s="62"/>
      <c r="E974" s="102"/>
      <c r="F974" s="102"/>
      <c r="G974" s="102"/>
      <c r="H974" s="85"/>
      <c r="I974" s="104"/>
      <c r="J974" s="143"/>
      <c r="K974" s="61"/>
      <c r="L974" s="49"/>
      <c r="P974" s="3"/>
      <c r="Q974" s="3"/>
      <c r="R974" s="3"/>
      <c r="S974" s="3"/>
      <c r="T974" s="3"/>
      <c r="U974" s="3"/>
      <c r="V974" s="3"/>
      <c r="W974" s="3"/>
      <c r="X974" s="3"/>
      <c r="Y974" s="4"/>
      <c r="Z974"/>
      <c r="AA974"/>
    </row>
    <row r="975" spans="1:27" s="49" customFormat="1" x14ac:dyDescent="0.15">
      <c r="A975" s="165"/>
      <c r="B975" s="93"/>
      <c r="C975" s="102"/>
      <c r="D975" s="62"/>
      <c r="E975" s="102"/>
      <c r="F975" s="102"/>
      <c r="G975" s="102"/>
      <c r="H975" s="85"/>
      <c r="I975" s="104"/>
      <c r="J975" s="143"/>
      <c r="K975" s="61"/>
      <c r="M975" s="37"/>
      <c r="N975" s="37"/>
      <c r="O975" s="37"/>
      <c r="P975" s="3"/>
      <c r="Q975" s="3"/>
      <c r="R975" s="3"/>
      <c r="S975" s="3"/>
      <c r="T975" s="3"/>
      <c r="U975" s="3"/>
      <c r="V975" s="3"/>
      <c r="W975" s="3"/>
      <c r="X975" s="3"/>
      <c r="Y975" s="4"/>
      <c r="Z975"/>
      <c r="AA975"/>
    </row>
    <row r="976" spans="1:27" s="49" customFormat="1" x14ac:dyDescent="0.15">
      <c r="A976" s="165"/>
      <c r="B976" s="82"/>
      <c r="C976" s="107"/>
      <c r="D976" s="62"/>
      <c r="E976" s="105"/>
      <c r="F976" s="107"/>
      <c r="G976" s="107"/>
      <c r="H976" s="85"/>
      <c r="I976" s="104"/>
      <c r="J976" s="144"/>
      <c r="K976" s="61"/>
      <c r="M976" s="37"/>
      <c r="N976" s="37"/>
      <c r="O976" s="37"/>
      <c r="P976" s="3"/>
      <c r="Q976" s="3"/>
      <c r="R976" s="3"/>
      <c r="S976" s="3"/>
      <c r="T976" s="3"/>
      <c r="U976" s="3"/>
      <c r="V976" s="3"/>
      <c r="W976" s="3"/>
      <c r="X976" s="3"/>
      <c r="Y976" s="4"/>
      <c r="Z976"/>
      <c r="AA976"/>
    </row>
    <row r="977" spans="1:27" s="49" customFormat="1" x14ac:dyDescent="0.15">
      <c r="A977" s="165"/>
      <c r="B977" s="93"/>
      <c r="C977" s="102"/>
      <c r="D977" s="62"/>
      <c r="E977" s="102"/>
      <c r="F977" s="102"/>
      <c r="G977" s="102"/>
      <c r="H977" s="85"/>
      <c r="I977" s="104"/>
      <c r="J977" s="144"/>
      <c r="K977" s="61"/>
      <c r="M977" s="37"/>
      <c r="N977" s="37"/>
      <c r="O977" s="37"/>
      <c r="P977" s="3"/>
      <c r="Q977" s="3"/>
      <c r="R977" s="3"/>
      <c r="S977" s="3"/>
      <c r="T977" s="3"/>
      <c r="U977" s="3"/>
      <c r="V977" s="3"/>
      <c r="W977" s="3"/>
      <c r="X977" s="3"/>
      <c r="Y977" s="4"/>
      <c r="Z977"/>
      <c r="AA977"/>
    </row>
    <row r="978" spans="1:27" s="49" customFormat="1" x14ac:dyDescent="0.15">
      <c r="A978" s="165"/>
      <c r="B978" s="93"/>
      <c r="C978" s="102"/>
      <c r="D978" s="62"/>
      <c r="E978" s="102"/>
      <c r="F978" s="102"/>
      <c r="G978" s="102"/>
      <c r="H978" s="85"/>
      <c r="I978" s="104"/>
      <c r="J978" s="144"/>
      <c r="K978" s="61"/>
      <c r="M978" s="37"/>
      <c r="N978" s="37"/>
      <c r="O978" s="37"/>
      <c r="P978" s="3"/>
      <c r="Q978" s="3"/>
      <c r="R978" s="3"/>
      <c r="S978" s="3"/>
      <c r="T978" s="3"/>
      <c r="U978" s="3"/>
      <c r="V978" s="3"/>
      <c r="W978" s="3"/>
      <c r="X978" s="3"/>
      <c r="Y978" s="4"/>
      <c r="Z978"/>
      <c r="AA978"/>
    </row>
    <row r="979" spans="1:27" s="49" customFormat="1" x14ac:dyDescent="0.15">
      <c r="A979" s="165"/>
      <c r="B979" s="93"/>
      <c r="C979" s="102"/>
      <c r="D979" s="62"/>
      <c r="E979" s="102"/>
      <c r="F979" s="102"/>
      <c r="G979" s="102"/>
      <c r="H979" s="85"/>
      <c r="I979" s="104"/>
      <c r="J979" s="144"/>
      <c r="K979" s="61"/>
      <c r="M979" s="37"/>
      <c r="N979" s="37"/>
      <c r="O979" s="37"/>
      <c r="P979" s="3"/>
      <c r="Q979" s="3"/>
      <c r="R979" s="3"/>
      <c r="S979" s="3"/>
      <c r="T979" s="3"/>
      <c r="U979" s="3"/>
      <c r="V979" s="3"/>
      <c r="W979" s="3"/>
      <c r="X979" s="3"/>
      <c r="Y979" s="4"/>
      <c r="Z979"/>
      <c r="AA979"/>
    </row>
    <row r="980" spans="1:27" s="49" customFormat="1" x14ac:dyDescent="0.15">
      <c r="A980" s="165"/>
      <c r="B980" s="93"/>
      <c r="C980" s="102"/>
      <c r="D980" s="62"/>
      <c r="E980" s="102"/>
      <c r="F980" s="102"/>
      <c r="G980" s="102"/>
      <c r="H980" s="85"/>
      <c r="I980" s="104"/>
      <c r="J980" s="144"/>
      <c r="K980" s="61"/>
      <c r="M980" s="37"/>
      <c r="N980" s="37"/>
      <c r="O980" s="37"/>
      <c r="P980" s="3"/>
      <c r="Q980" s="3"/>
      <c r="R980" s="3"/>
      <c r="S980" s="3"/>
      <c r="T980" s="3"/>
      <c r="U980" s="3"/>
      <c r="V980" s="3"/>
      <c r="W980" s="3"/>
      <c r="X980" s="3"/>
      <c r="Y980" s="4"/>
      <c r="Z980"/>
      <c r="AA980"/>
    </row>
    <row r="981" spans="1:27" s="49" customFormat="1" x14ac:dyDescent="0.15">
      <c r="A981" s="165"/>
      <c r="B981" s="93"/>
      <c r="C981" s="102"/>
      <c r="D981" s="62"/>
      <c r="E981" s="102"/>
      <c r="F981" s="102"/>
      <c r="G981" s="102"/>
      <c r="H981" s="85"/>
      <c r="I981" s="104"/>
      <c r="J981" s="144"/>
      <c r="K981" s="61"/>
      <c r="M981" s="37"/>
      <c r="N981" s="37"/>
      <c r="O981" s="37"/>
      <c r="P981" s="3"/>
      <c r="Q981" s="3"/>
      <c r="R981" s="3"/>
      <c r="S981" s="3"/>
      <c r="T981" s="3"/>
      <c r="U981" s="3"/>
      <c r="V981" s="3"/>
      <c r="W981" s="3"/>
      <c r="X981" s="3"/>
      <c r="Y981" s="4"/>
      <c r="Z981"/>
      <c r="AA981"/>
    </row>
    <row r="982" spans="1:27" s="49" customFormat="1" x14ac:dyDescent="0.15">
      <c r="A982" s="165"/>
      <c r="B982" s="93"/>
      <c r="C982" s="102"/>
      <c r="D982" s="62"/>
      <c r="E982" s="102"/>
      <c r="F982" s="102"/>
      <c r="G982" s="102"/>
      <c r="H982" s="85"/>
      <c r="I982" s="104"/>
      <c r="J982" s="144"/>
      <c r="K982" s="61"/>
      <c r="M982" s="37"/>
      <c r="N982" s="37"/>
      <c r="O982" s="37"/>
      <c r="P982" s="3"/>
      <c r="Q982" s="3"/>
      <c r="R982" s="3"/>
      <c r="S982" s="3"/>
      <c r="T982" s="3"/>
      <c r="U982" s="3"/>
      <c r="V982" s="3"/>
      <c r="W982" s="3"/>
      <c r="X982" s="3"/>
      <c r="Y982" s="4"/>
      <c r="Z982"/>
      <c r="AA982"/>
    </row>
    <row r="983" spans="1:27" s="49" customFormat="1" x14ac:dyDescent="0.15">
      <c r="A983" s="165"/>
      <c r="B983" s="93"/>
      <c r="C983" s="102"/>
      <c r="D983" s="62"/>
      <c r="E983" s="102"/>
      <c r="F983" s="102"/>
      <c r="G983" s="102"/>
      <c r="H983" s="85"/>
      <c r="I983" s="104"/>
      <c r="J983" s="144"/>
      <c r="K983" s="61"/>
      <c r="M983" s="37"/>
      <c r="N983" s="37"/>
      <c r="O983" s="37"/>
      <c r="P983" s="3"/>
      <c r="Q983" s="3"/>
      <c r="R983" s="3"/>
      <c r="S983" s="3"/>
      <c r="T983" s="3"/>
      <c r="U983" s="3"/>
      <c r="V983" s="3"/>
      <c r="W983" s="3"/>
      <c r="X983" s="3"/>
      <c r="Y983" s="4"/>
      <c r="Z983"/>
      <c r="AA983"/>
    </row>
    <row r="984" spans="1:27" s="49" customFormat="1" x14ac:dyDescent="0.15">
      <c r="A984" s="165"/>
      <c r="B984" s="93"/>
      <c r="C984" s="102"/>
      <c r="D984" s="62"/>
      <c r="E984" s="102"/>
      <c r="F984" s="102"/>
      <c r="G984" s="102"/>
      <c r="H984" s="85"/>
      <c r="I984" s="104"/>
      <c r="J984" s="144"/>
      <c r="K984" s="61"/>
      <c r="M984" s="37"/>
      <c r="N984" s="37"/>
      <c r="O984" s="37"/>
      <c r="P984" s="3"/>
      <c r="Q984" s="3"/>
      <c r="R984" s="3"/>
      <c r="S984" s="3"/>
      <c r="T984" s="3"/>
      <c r="U984" s="3"/>
      <c r="V984" s="3"/>
      <c r="W984" s="3"/>
      <c r="X984" s="3"/>
      <c r="Y984" s="4"/>
      <c r="Z984"/>
      <c r="AA984"/>
    </row>
    <row r="985" spans="1:27" s="49" customFormat="1" x14ac:dyDescent="0.15">
      <c r="A985" s="165"/>
      <c r="B985" s="93"/>
      <c r="C985" s="102"/>
      <c r="D985" s="62"/>
      <c r="E985" s="102"/>
      <c r="F985" s="102"/>
      <c r="G985" s="102"/>
      <c r="H985" s="85"/>
      <c r="I985" s="104"/>
      <c r="J985" s="144"/>
      <c r="K985" s="61"/>
      <c r="M985" s="37"/>
      <c r="N985" s="37"/>
      <c r="O985" s="37"/>
      <c r="P985" s="3"/>
      <c r="Q985" s="3"/>
      <c r="R985" s="3"/>
      <c r="S985" s="3"/>
      <c r="T985" s="3"/>
      <c r="U985" s="3"/>
      <c r="V985" s="3"/>
      <c r="W985" s="3"/>
      <c r="X985" s="3"/>
      <c r="Y985" s="4"/>
      <c r="Z985"/>
      <c r="AA985"/>
    </row>
    <row r="986" spans="1:27" s="49" customFormat="1" x14ac:dyDescent="0.15">
      <c r="A986" s="165"/>
      <c r="B986" s="93"/>
      <c r="C986" s="102"/>
      <c r="D986" s="62"/>
      <c r="E986" s="102"/>
      <c r="F986" s="102"/>
      <c r="G986" s="102"/>
      <c r="H986" s="85"/>
      <c r="I986" s="104"/>
      <c r="J986" s="144"/>
      <c r="K986" s="61"/>
      <c r="M986" s="37"/>
      <c r="N986" s="37"/>
      <c r="O986" s="37"/>
      <c r="P986" s="3"/>
      <c r="Q986" s="3"/>
      <c r="R986" s="3"/>
      <c r="S986" s="3"/>
      <c r="T986" s="3"/>
      <c r="U986" s="3"/>
      <c r="V986" s="3"/>
      <c r="W986" s="3"/>
      <c r="X986" s="3"/>
      <c r="Y986" s="4"/>
      <c r="Z986"/>
      <c r="AA986"/>
    </row>
    <row r="987" spans="1:27" s="49" customFormat="1" x14ac:dyDescent="0.15">
      <c r="A987" s="165"/>
      <c r="B987" s="93"/>
      <c r="C987" s="102"/>
      <c r="D987" s="62"/>
      <c r="E987" s="102"/>
      <c r="F987" s="102"/>
      <c r="G987" s="102"/>
      <c r="H987" s="85"/>
      <c r="I987" s="104"/>
      <c r="J987" s="144"/>
      <c r="K987" s="61"/>
      <c r="M987" s="37"/>
      <c r="N987" s="37"/>
      <c r="O987" s="37"/>
      <c r="P987" s="3"/>
      <c r="Q987" s="3"/>
      <c r="R987" s="3"/>
      <c r="S987" s="3"/>
      <c r="T987" s="3"/>
      <c r="U987" s="3"/>
      <c r="V987" s="3"/>
      <c r="W987" s="3"/>
      <c r="X987" s="3"/>
      <c r="Y987" s="4"/>
      <c r="Z987"/>
      <c r="AA987"/>
    </row>
    <row r="988" spans="1:27" s="49" customFormat="1" x14ac:dyDescent="0.15">
      <c r="A988" s="165"/>
      <c r="B988" s="93"/>
      <c r="C988" s="102"/>
      <c r="D988" s="62"/>
      <c r="E988" s="102"/>
      <c r="F988" s="102"/>
      <c r="G988" s="102"/>
      <c r="H988" s="85"/>
      <c r="I988" s="104"/>
      <c r="J988" s="144"/>
      <c r="K988" s="61"/>
      <c r="M988" s="37"/>
      <c r="N988" s="37"/>
      <c r="O988" s="37"/>
      <c r="P988" s="3"/>
      <c r="Q988" s="3"/>
      <c r="R988" s="3"/>
      <c r="S988" s="3"/>
      <c r="T988" s="3"/>
      <c r="U988" s="3"/>
      <c r="V988" s="3"/>
      <c r="W988" s="3"/>
      <c r="X988" s="3"/>
      <c r="Y988" s="4"/>
      <c r="Z988"/>
      <c r="AA988"/>
    </row>
    <row r="989" spans="1:27" s="49" customFormat="1" x14ac:dyDescent="0.15">
      <c r="A989" s="165"/>
      <c r="B989" s="93"/>
      <c r="C989" s="102"/>
      <c r="D989" s="62"/>
      <c r="E989" s="102"/>
      <c r="F989" s="102"/>
      <c r="G989" s="102"/>
      <c r="H989" s="85"/>
      <c r="I989" s="104"/>
      <c r="J989" s="144"/>
      <c r="K989" s="61"/>
      <c r="M989" s="37"/>
      <c r="N989" s="37"/>
      <c r="O989" s="37"/>
      <c r="P989" s="3"/>
      <c r="Q989" s="3"/>
      <c r="R989" s="3"/>
      <c r="S989" s="3"/>
      <c r="T989" s="3"/>
      <c r="U989" s="3"/>
      <c r="V989" s="3"/>
      <c r="W989" s="3"/>
      <c r="X989" s="3"/>
      <c r="Y989" s="4"/>
      <c r="Z989"/>
      <c r="AA989"/>
    </row>
    <row r="990" spans="1:27" s="49" customFormat="1" x14ac:dyDescent="0.15">
      <c r="A990" s="165"/>
      <c r="B990" s="93"/>
      <c r="C990" s="102"/>
      <c r="D990" s="62"/>
      <c r="E990" s="102"/>
      <c r="F990" s="102"/>
      <c r="G990" s="102"/>
      <c r="H990" s="85"/>
      <c r="I990" s="104"/>
      <c r="J990" s="144"/>
      <c r="K990" s="61"/>
      <c r="M990" s="37"/>
      <c r="N990" s="37"/>
      <c r="O990" s="37"/>
      <c r="P990" s="3"/>
      <c r="Q990" s="3"/>
      <c r="R990" s="3"/>
      <c r="S990" s="3"/>
      <c r="T990" s="3"/>
      <c r="U990" s="3"/>
      <c r="V990" s="3"/>
      <c r="W990" s="3"/>
      <c r="X990" s="3"/>
      <c r="Y990" s="4"/>
      <c r="Z990"/>
      <c r="AA990"/>
    </row>
    <row r="991" spans="1:27" s="3" customFormat="1" x14ac:dyDescent="0.15">
      <c r="A991" s="165"/>
      <c r="B991" s="93"/>
      <c r="C991" s="102"/>
      <c r="D991" s="62"/>
      <c r="E991" s="102"/>
      <c r="F991" s="102"/>
      <c r="G991" s="102"/>
      <c r="H991" s="85"/>
      <c r="I991" s="104"/>
      <c r="J991" s="144"/>
      <c r="K991" s="61"/>
      <c r="L991" s="49"/>
      <c r="M991" s="37"/>
      <c r="N991" s="37"/>
      <c r="O991" s="37"/>
      <c r="Y991" s="4"/>
      <c r="Z991"/>
      <c r="AA991"/>
    </row>
    <row r="992" spans="1:27" s="3" customFormat="1" x14ac:dyDescent="0.15">
      <c r="A992" s="165"/>
      <c r="B992" s="93"/>
      <c r="C992" s="102"/>
      <c r="D992" s="62"/>
      <c r="E992" s="102"/>
      <c r="F992" s="102"/>
      <c r="G992" s="102"/>
      <c r="H992" s="85"/>
      <c r="I992" s="104"/>
      <c r="J992" s="144"/>
      <c r="K992" s="61"/>
      <c r="L992" s="49"/>
      <c r="M992" s="37"/>
      <c r="N992" s="37"/>
      <c r="O992" s="37"/>
      <c r="Y992" s="4"/>
      <c r="Z992"/>
      <c r="AA992"/>
    </row>
    <row r="993" spans="1:27" s="3" customFormat="1" x14ac:dyDescent="0.15">
      <c r="A993" s="165"/>
      <c r="B993" s="93"/>
      <c r="C993" s="102"/>
      <c r="D993" s="62"/>
      <c r="E993" s="102"/>
      <c r="F993" s="102"/>
      <c r="G993" s="102"/>
      <c r="H993" s="98"/>
      <c r="I993" s="98"/>
      <c r="J993" s="135"/>
      <c r="K993" s="61"/>
      <c r="L993" s="49"/>
      <c r="M993" s="37"/>
      <c r="N993" s="37"/>
      <c r="O993" s="37"/>
      <c r="Y993" s="4"/>
      <c r="Z993"/>
      <c r="AA993"/>
    </row>
    <row r="994" spans="1:27" s="3" customFormat="1" x14ac:dyDescent="0.15">
      <c r="A994" s="165"/>
      <c r="B994" s="93"/>
      <c r="C994" s="102"/>
      <c r="D994" s="62"/>
      <c r="E994" s="102"/>
      <c r="F994" s="102"/>
      <c r="G994" s="102"/>
      <c r="H994" s="85"/>
      <c r="I994" s="104"/>
      <c r="J994" s="144"/>
      <c r="K994" s="61"/>
      <c r="L994" s="49"/>
      <c r="M994" s="37"/>
      <c r="N994" s="37"/>
      <c r="O994" s="37"/>
      <c r="Y994" s="4"/>
      <c r="Z994"/>
      <c r="AA994"/>
    </row>
    <row r="995" spans="1:27" s="3" customFormat="1" x14ac:dyDescent="0.15">
      <c r="A995" s="165"/>
      <c r="B995" s="93"/>
      <c r="C995" s="102"/>
      <c r="D995" s="62"/>
      <c r="E995" s="102"/>
      <c r="F995" s="102"/>
      <c r="G995" s="102"/>
      <c r="H995" s="85"/>
      <c r="I995" s="104"/>
      <c r="J995" s="144"/>
      <c r="K995" s="61"/>
      <c r="L995" s="49"/>
      <c r="M995" s="37"/>
      <c r="N995" s="37"/>
      <c r="O995" s="37"/>
      <c r="Y995" s="4"/>
      <c r="Z995"/>
      <c r="AA995"/>
    </row>
    <row r="996" spans="1:27" s="3" customFormat="1" x14ac:dyDescent="0.15">
      <c r="A996" s="165"/>
      <c r="B996" s="93"/>
      <c r="C996" s="102"/>
      <c r="D996" s="62"/>
      <c r="E996" s="102"/>
      <c r="F996" s="102"/>
      <c r="G996" s="102"/>
      <c r="H996" s="85"/>
      <c r="I996" s="104"/>
      <c r="J996" s="144"/>
      <c r="K996" s="61"/>
      <c r="L996" s="49"/>
      <c r="M996" s="37"/>
      <c r="N996" s="37"/>
      <c r="O996" s="37"/>
      <c r="Y996" s="4"/>
      <c r="Z996"/>
      <c r="AA996"/>
    </row>
    <row r="997" spans="1:27" s="3" customFormat="1" x14ac:dyDescent="0.15">
      <c r="A997" s="165"/>
      <c r="B997" s="93"/>
      <c r="C997" s="102"/>
      <c r="D997" s="62"/>
      <c r="E997" s="102"/>
      <c r="F997" s="102"/>
      <c r="G997" s="102"/>
      <c r="H997" s="85"/>
      <c r="I997" s="104"/>
      <c r="J997" s="144"/>
      <c r="K997" s="61"/>
      <c r="L997" s="49"/>
      <c r="M997" s="37"/>
      <c r="N997" s="37"/>
      <c r="O997" s="37"/>
      <c r="Y997" s="4"/>
      <c r="Z997"/>
      <c r="AA997"/>
    </row>
    <row r="998" spans="1:27" s="3" customFormat="1" x14ac:dyDescent="0.15">
      <c r="A998" s="165"/>
      <c r="B998" s="93"/>
      <c r="C998" s="102"/>
      <c r="D998" s="62"/>
      <c r="E998" s="102"/>
      <c r="F998" s="102"/>
      <c r="G998" s="102"/>
      <c r="H998" s="98"/>
      <c r="I998" s="98"/>
      <c r="J998" s="135"/>
      <c r="K998" s="61"/>
      <c r="L998" s="49"/>
      <c r="M998" s="37"/>
      <c r="N998" s="37"/>
      <c r="O998" s="37"/>
      <c r="Y998" s="4"/>
      <c r="Z998"/>
      <c r="AA998"/>
    </row>
    <row r="999" spans="1:27" s="3" customFormat="1" x14ac:dyDescent="0.15">
      <c r="A999" s="165"/>
      <c r="B999" s="93"/>
      <c r="C999" s="102"/>
      <c r="D999" s="62"/>
      <c r="E999" s="102"/>
      <c r="F999" s="102"/>
      <c r="G999" s="102"/>
      <c r="H999" s="85"/>
      <c r="I999" s="104"/>
      <c r="J999" s="144"/>
      <c r="K999" s="61"/>
      <c r="L999" s="49"/>
      <c r="M999" s="37"/>
      <c r="N999" s="37"/>
      <c r="O999" s="37"/>
      <c r="Y999" s="4"/>
      <c r="Z999"/>
      <c r="AA999"/>
    </row>
    <row r="1000" spans="1:27" s="3" customFormat="1" x14ac:dyDescent="0.15">
      <c r="A1000" s="165"/>
      <c r="B1000" s="93"/>
      <c r="C1000" s="102"/>
      <c r="D1000" s="62"/>
      <c r="E1000" s="102"/>
      <c r="F1000" s="102"/>
      <c r="G1000" s="102"/>
      <c r="H1000" s="85"/>
      <c r="I1000" s="104"/>
      <c r="J1000" s="144"/>
      <c r="K1000" s="61"/>
      <c r="L1000" s="49"/>
      <c r="M1000" s="37"/>
      <c r="N1000" s="37"/>
      <c r="O1000" s="37"/>
      <c r="Y1000" s="4"/>
      <c r="Z1000"/>
      <c r="AA1000"/>
    </row>
    <row r="1001" spans="1:27" s="3" customFormat="1" x14ac:dyDescent="0.15">
      <c r="A1001" s="165"/>
      <c r="B1001" s="93"/>
      <c r="C1001" s="102"/>
      <c r="D1001" s="62"/>
      <c r="E1001" s="102"/>
      <c r="F1001" s="102"/>
      <c r="G1001" s="102"/>
      <c r="H1001" s="85"/>
      <c r="I1001" s="104"/>
      <c r="J1001" s="144"/>
      <c r="K1001" s="61"/>
      <c r="L1001" s="49"/>
      <c r="M1001" s="37"/>
      <c r="N1001" s="37"/>
      <c r="O1001" s="37"/>
      <c r="Y1001" s="4"/>
      <c r="Z1001"/>
      <c r="AA1001"/>
    </row>
    <row r="1002" spans="1:27" s="3" customFormat="1" x14ac:dyDescent="0.15">
      <c r="A1002" s="165"/>
      <c r="B1002" s="93"/>
      <c r="C1002" s="102"/>
      <c r="D1002" s="62"/>
      <c r="E1002" s="102"/>
      <c r="F1002" s="102"/>
      <c r="G1002" s="102"/>
      <c r="H1002" s="85"/>
      <c r="I1002" s="104"/>
      <c r="J1002" s="144"/>
      <c r="K1002" s="61"/>
      <c r="L1002" s="49"/>
      <c r="M1002" s="37"/>
      <c r="N1002" s="37"/>
      <c r="O1002" s="37"/>
      <c r="P1002"/>
      <c r="Q1002"/>
      <c r="Y1002" s="4"/>
      <c r="Z1002"/>
      <c r="AA1002"/>
    </row>
    <row r="1003" spans="1:27" s="3" customFormat="1" x14ac:dyDescent="0.15">
      <c r="A1003" s="165"/>
      <c r="B1003" s="93"/>
      <c r="C1003" s="102"/>
      <c r="D1003" s="62"/>
      <c r="E1003" s="102"/>
      <c r="F1003" s="102"/>
      <c r="G1003" s="102"/>
      <c r="H1003" s="85"/>
      <c r="I1003" s="104"/>
      <c r="J1003" s="144"/>
      <c r="K1003" s="61"/>
      <c r="L1003" s="49"/>
      <c r="M1003" s="37"/>
      <c r="N1003" s="37"/>
      <c r="O1003" s="37"/>
      <c r="Y1003" s="4"/>
      <c r="Z1003"/>
      <c r="AA1003"/>
    </row>
    <row r="1004" spans="1:27" s="3" customFormat="1" x14ac:dyDescent="0.15">
      <c r="A1004" s="165"/>
      <c r="B1004" s="93"/>
      <c r="C1004" s="102"/>
      <c r="D1004" s="62"/>
      <c r="E1004" s="102"/>
      <c r="F1004" s="102"/>
      <c r="G1004" s="102"/>
      <c r="H1004" s="85"/>
      <c r="I1004" s="104"/>
      <c r="J1004" s="144"/>
      <c r="K1004" s="61"/>
      <c r="L1004" s="49"/>
      <c r="M1004" s="37"/>
      <c r="N1004" s="37"/>
      <c r="O1004" s="37"/>
      <c r="Y1004" s="4"/>
      <c r="Z1004"/>
      <c r="AA1004"/>
    </row>
    <row r="1005" spans="1:27" s="3" customFormat="1" x14ac:dyDescent="0.15">
      <c r="A1005" s="165"/>
      <c r="B1005" s="93"/>
      <c r="C1005" s="102"/>
      <c r="D1005" s="62"/>
      <c r="E1005" s="102"/>
      <c r="F1005" s="102"/>
      <c r="G1005" s="102"/>
      <c r="H1005" s="85"/>
      <c r="I1005" s="104"/>
      <c r="J1005" s="144"/>
      <c r="K1005" s="61"/>
      <c r="L1005" s="49"/>
      <c r="M1005" s="37"/>
      <c r="N1005" s="37"/>
      <c r="O1005" s="37"/>
      <c r="Y1005" s="4"/>
      <c r="Z1005"/>
      <c r="AA1005"/>
    </row>
    <row r="1006" spans="1:27" s="3" customFormat="1" x14ac:dyDescent="0.15">
      <c r="A1006" s="165"/>
      <c r="B1006" s="93"/>
      <c r="C1006" s="102"/>
      <c r="D1006" s="62"/>
      <c r="E1006" s="100"/>
      <c r="F1006" s="102"/>
      <c r="G1006" s="102"/>
      <c r="H1006" s="85"/>
      <c r="I1006" s="104"/>
      <c r="J1006" s="144"/>
      <c r="K1006" s="61"/>
      <c r="L1006" s="49"/>
      <c r="M1006" s="37"/>
      <c r="N1006" s="37"/>
      <c r="O1006" s="37"/>
      <c r="Y1006" s="4"/>
      <c r="Z1006"/>
      <c r="AA1006"/>
    </row>
    <row r="1007" spans="1:27" s="37" customFormat="1" x14ac:dyDescent="0.15">
      <c r="A1007" s="165"/>
      <c r="B1007" s="93"/>
      <c r="C1007" s="102"/>
      <c r="D1007" s="62"/>
      <c r="E1007" s="102"/>
      <c r="F1007" s="102"/>
      <c r="G1007" s="102"/>
      <c r="H1007" s="85"/>
      <c r="I1007" s="104"/>
      <c r="J1007" s="144"/>
      <c r="K1007" s="62"/>
      <c r="L1007" s="49"/>
      <c r="P1007" s="3"/>
      <c r="Q1007" s="3"/>
      <c r="R1007" s="3"/>
      <c r="S1007" s="3"/>
      <c r="T1007" s="3"/>
      <c r="U1007" s="3"/>
      <c r="V1007" s="3"/>
      <c r="W1007" s="3"/>
      <c r="X1007" s="3"/>
      <c r="Y1007" s="4"/>
      <c r="Z1007"/>
      <c r="AA1007"/>
    </row>
    <row r="1008" spans="1:27" s="37" customFormat="1" x14ac:dyDescent="0.15">
      <c r="A1008" s="165"/>
      <c r="B1008" s="93"/>
      <c r="C1008" s="102"/>
      <c r="D1008" s="62"/>
      <c r="E1008" s="102"/>
      <c r="F1008" s="102"/>
      <c r="G1008" s="102"/>
      <c r="H1008" s="98"/>
      <c r="I1008" s="98"/>
      <c r="J1008" s="135"/>
      <c r="K1008" s="62"/>
      <c r="L1008" s="49"/>
      <c r="P1008" s="3"/>
      <c r="Q1008" s="3"/>
      <c r="R1008" s="3"/>
      <c r="S1008" s="3"/>
      <c r="T1008" s="3"/>
      <c r="U1008" s="3"/>
      <c r="V1008" s="3"/>
      <c r="W1008" s="3"/>
      <c r="X1008" s="3"/>
      <c r="Y1008" s="4"/>
      <c r="Z1008"/>
      <c r="AA1008"/>
    </row>
    <row r="1009" spans="1:27" s="37" customFormat="1" x14ac:dyDescent="0.15">
      <c r="A1009" s="165"/>
      <c r="B1009" s="93"/>
      <c r="C1009" s="102"/>
      <c r="D1009" s="62"/>
      <c r="E1009" s="102"/>
      <c r="F1009" s="102"/>
      <c r="G1009" s="102"/>
      <c r="H1009" s="85"/>
      <c r="I1009" s="104"/>
      <c r="J1009" s="144"/>
      <c r="K1009" s="62"/>
      <c r="L1009" s="49"/>
      <c r="P1009" s="3"/>
      <c r="Q1009" s="3"/>
      <c r="R1009" s="3"/>
      <c r="S1009" s="3"/>
      <c r="T1009" s="3"/>
      <c r="U1009" s="3"/>
      <c r="V1009" s="3"/>
      <c r="W1009" s="3"/>
      <c r="X1009" s="3"/>
      <c r="Y1009" s="4"/>
      <c r="Z1009"/>
      <c r="AA1009"/>
    </row>
    <row r="1010" spans="1:27" s="37" customFormat="1" x14ac:dyDescent="0.15">
      <c r="A1010" s="165"/>
      <c r="B1010" s="93"/>
      <c r="C1010" s="102"/>
      <c r="D1010" s="62"/>
      <c r="E1010" s="102"/>
      <c r="F1010" s="102"/>
      <c r="G1010" s="102"/>
      <c r="H1010" s="85"/>
      <c r="I1010" s="104"/>
      <c r="J1010" s="144"/>
      <c r="K1010" s="62"/>
      <c r="L1010" s="49"/>
      <c r="P1010" s="3"/>
      <c r="Q1010" s="3"/>
      <c r="R1010" s="3"/>
      <c r="S1010" s="3"/>
      <c r="T1010" s="3"/>
      <c r="U1010" s="3"/>
      <c r="V1010" s="3"/>
      <c r="W1010" s="3"/>
      <c r="X1010" s="3"/>
      <c r="Y1010" s="4"/>
      <c r="Z1010"/>
      <c r="AA1010"/>
    </row>
    <row r="1011" spans="1:27" s="37" customFormat="1" x14ac:dyDescent="0.15">
      <c r="A1011" s="165"/>
      <c r="B1011" s="93"/>
      <c r="C1011" s="102"/>
      <c r="D1011" s="62"/>
      <c r="E1011" s="102"/>
      <c r="F1011" s="102"/>
      <c r="G1011" s="102"/>
      <c r="H1011" s="85"/>
      <c r="I1011" s="104"/>
      <c r="J1011" s="144"/>
      <c r="K1011" s="62"/>
      <c r="L1011" s="49"/>
      <c r="P1011" s="3"/>
      <c r="Q1011" s="3"/>
      <c r="R1011" s="3"/>
      <c r="S1011" s="3"/>
      <c r="T1011" s="3"/>
      <c r="U1011" s="3"/>
      <c r="V1011" s="3"/>
      <c r="W1011" s="3"/>
      <c r="X1011" s="3"/>
      <c r="Y1011" s="4"/>
      <c r="Z1011"/>
      <c r="AA1011"/>
    </row>
    <row r="1012" spans="1:27" s="37" customFormat="1" x14ac:dyDescent="0.15">
      <c r="A1012" s="165"/>
      <c r="B1012" s="93"/>
      <c r="C1012" s="102"/>
      <c r="D1012" s="62"/>
      <c r="E1012" s="102"/>
      <c r="F1012" s="102"/>
      <c r="G1012" s="102"/>
      <c r="H1012" s="85"/>
      <c r="I1012" s="104"/>
      <c r="J1012" s="144"/>
      <c r="K1012" s="62"/>
      <c r="L1012" s="49"/>
      <c r="P1012" s="3"/>
      <c r="Q1012" s="3"/>
      <c r="R1012" s="3"/>
      <c r="S1012" s="3"/>
      <c r="T1012" s="3"/>
      <c r="U1012" s="3"/>
      <c r="V1012" s="3"/>
      <c r="W1012" s="3"/>
      <c r="X1012" s="3"/>
      <c r="Y1012" s="4"/>
      <c r="Z1012"/>
      <c r="AA1012"/>
    </row>
    <row r="1013" spans="1:27" s="37" customFormat="1" x14ac:dyDescent="0.15">
      <c r="A1013" s="165"/>
      <c r="B1013" s="93"/>
      <c r="C1013" s="102"/>
      <c r="D1013" s="62"/>
      <c r="E1013" s="102"/>
      <c r="F1013" s="102"/>
      <c r="G1013" s="102"/>
      <c r="H1013" s="85"/>
      <c r="I1013" s="104"/>
      <c r="J1013" s="144"/>
      <c r="K1013" s="62"/>
      <c r="L1013" s="49"/>
      <c r="P1013" s="3"/>
      <c r="Q1013" s="3"/>
      <c r="R1013" s="3"/>
      <c r="S1013" s="3"/>
      <c r="T1013" s="3"/>
      <c r="U1013" s="3"/>
      <c r="V1013" s="3"/>
      <c r="W1013" s="3"/>
      <c r="X1013" s="3"/>
      <c r="Y1013" s="4"/>
      <c r="Z1013"/>
      <c r="AA1013"/>
    </row>
    <row r="1014" spans="1:27" s="37" customFormat="1" x14ac:dyDescent="0.15">
      <c r="A1014" s="165"/>
      <c r="B1014" s="93"/>
      <c r="C1014" s="102"/>
      <c r="D1014" s="62"/>
      <c r="E1014" s="102"/>
      <c r="F1014" s="102"/>
      <c r="G1014" s="102"/>
      <c r="H1014" s="85"/>
      <c r="I1014" s="104"/>
      <c r="J1014" s="144"/>
      <c r="K1014" s="62"/>
      <c r="L1014" s="49"/>
      <c r="P1014" s="3"/>
      <c r="Q1014" s="3"/>
      <c r="R1014" s="3"/>
      <c r="S1014" s="3"/>
      <c r="T1014" s="3"/>
      <c r="U1014" s="3"/>
      <c r="V1014" s="3"/>
      <c r="W1014" s="3"/>
      <c r="X1014" s="3"/>
      <c r="Y1014" s="4"/>
      <c r="Z1014"/>
      <c r="AA1014"/>
    </row>
    <row r="1015" spans="1:27" s="37" customFormat="1" x14ac:dyDescent="0.15">
      <c r="A1015" s="165"/>
      <c r="B1015" s="93"/>
      <c r="C1015" s="102"/>
      <c r="D1015" s="62"/>
      <c r="E1015" s="102"/>
      <c r="F1015" s="102"/>
      <c r="G1015" s="102"/>
      <c r="H1015" s="85"/>
      <c r="I1015" s="104"/>
      <c r="J1015" s="144"/>
      <c r="K1015" s="62"/>
      <c r="L1015" s="49"/>
      <c r="P1015" s="3"/>
      <c r="Q1015" s="3"/>
      <c r="R1015" s="3"/>
      <c r="S1015" s="3"/>
      <c r="T1015" s="3"/>
      <c r="U1015" s="3"/>
      <c r="V1015" s="3"/>
      <c r="W1015" s="3"/>
      <c r="X1015" s="3"/>
      <c r="Y1015" s="4"/>
      <c r="Z1015"/>
      <c r="AA1015"/>
    </row>
    <row r="1016" spans="1:27" s="37" customFormat="1" x14ac:dyDescent="0.15">
      <c r="A1016" s="165"/>
      <c r="B1016" s="93"/>
      <c r="C1016" s="102"/>
      <c r="D1016" s="62"/>
      <c r="E1016" s="102"/>
      <c r="F1016" s="102"/>
      <c r="G1016" s="102"/>
      <c r="H1016" s="85"/>
      <c r="I1016" s="104"/>
      <c r="J1016" s="144"/>
      <c r="K1016" s="62"/>
      <c r="L1016" s="49"/>
      <c r="P1016" s="3"/>
      <c r="Q1016" s="3"/>
      <c r="R1016" s="3"/>
      <c r="S1016" s="3"/>
      <c r="T1016" s="3"/>
      <c r="U1016" s="3"/>
      <c r="V1016" s="3"/>
      <c r="W1016" s="3"/>
      <c r="X1016" s="3"/>
      <c r="Y1016" s="4"/>
      <c r="Z1016"/>
      <c r="AA1016"/>
    </row>
    <row r="1017" spans="1:27" s="37" customFormat="1" x14ac:dyDescent="0.15">
      <c r="A1017" s="165"/>
      <c r="B1017" s="93"/>
      <c r="C1017" s="102"/>
      <c r="D1017" s="62"/>
      <c r="E1017" s="102"/>
      <c r="F1017" s="102"/>
      <c r="G1017" s="102"/>
      <c r="H1017" s="85"/>
      <c r="I1017" s="104"/>
      <c r="J1017" s="144"/>
      <c r="K1017" s="62"/>
      <c r="L1017" s="49"/>
      <c r="P1017" s="3"/>
      <c r="Q1017" s="3"/>
      <c r="R1017" s="3"/>
      <c r="S1017" s="3"/>
      <c r="T1017" s="3"/>
      <c r="U1017" s="3"/>
      <c r="V1017" s="3"/>
      <c r="W1017" s="3"/>
      <c r="X1017" s="3"/>
      <c r="Y1017" s="4"/>
      <c r="Z1017"/>
      <c r="AA1017"/>
    </row>
    <row r="1018" spans="1:27" s="37" customFormat="1" x14ac:dyDescent="0.15">
      <c r="A1018" s="165"/>
      <c r="B1018" s="93"/>
      <c r="C1018" s="102"/>
      <c r="D1018" s="62"/>
      <c r="E1018" s="102"/>
      <c r="F1018" s="102"/>
      <c r="G1018" s="102"/>
      <c r="H1018" s="85"/>
      <c r="I1018" s="104"/>
      <c r="J1018" s="144"/>
      <c r="K1018" s="62"/>
      <c r="L1018" s="49"/>
      <c r="P1018" s="3"/>
      <c r="Q1018" s="3"/>
      <c r="R1018" s="3"/>
      <c r="S1018" s="3"/>
      <c r="T1018" s="3"/>
      <c r="U1018" s="3"/>
      <c r="V1018" s="3"/>
      <c r="W1018" s="3"/>
      <c r="X1018" s="3"/>
      <c r="Y1018" s="4"/>
      <c r="Z1018"/>
      <c r="AA1018"/>
    </row>
    <row r="1019" spans="1:27" s="37" customFormat="1" x14ac:dyDescent="0.15">
      <c r="A1019" s="165"/>
      <c r="B1019" s="93"/>
      <c r="C1019" s="102"/>
      <c r="D1019" s="62"/>
      <c r="E1019" s="102"/>
      <c r="F1019" s="102"/>
      <c r="G1019" s="102"/>
      <c r="H1019" s="85"/>
      <c r="I1019" s="104"/>
      <c r="J1019" s="144"/>
      <c r="K1019" s="62"/>
      <c r="L1019" s="49"/>
      <c r="P1019" s="3"/>
      <c r="Q1019" s="3"/>
      <c r="R1019" s="3"/>
      <c r="S1019" s="3"/>
      <c r="T1019" s="3"/>
      <c r="U1019" s="3"/>
      <c r="V1019" s="3"/>
      <c r="W1019" s="3"/>
      <c r="X1019" s="3"/>
      <c r="Y1019" s="4"/>
      <c r="Z1019"/>
      <c r="AA1019"/>
    </row>
    <row r="1020" spans="1:27" s="37" customFormat="1" x14ac:dyDescent="0.15">
      <c r="A1020" s="165"/>
      <c r="B1020" s="93"/>
      <c r="C1020" s="102"/>
      <c r="D1020" s="62"/>
      <c r="E1020" s="102"/>
      <c r="F1020" s="102"/>
      <c r="G1020" s="102"/>
      <c r="H1020" s="85"/>
      <c r="I1020" s="104"/>
      <c r="J1020" s="144"/>
      <c r="K1020" s="62"/>
      <c r="L1020" s="49"/>
      <c r="P1020" s="3"/>
      <c r="Q1020" s="3"/>
      <c r="R1020" s="3"/>
      <c r="S1020" s="3"/>
      <c r="T1020" s="3"/>
      <c r="U1020" s="3"/>
      <c r="V1020" s="3"/>
      <c r="W1020" s="3"/>
      <c r="X1020" s="3"/>
      <c r="Y1020" s="4"/>
      <c r="Z1020"/>
      <c r="AA1020"/>
    </row>
    <row r="1021" spans="1:27" s="37" customFormat="1" x14ac:dyDescent="0.15">
      <c r="A1021" s="165"/>
      <c r="B1021" s="93"/>
      <c r="C1021" s="102"/>
      <c r="D1021" s="62"/>
      <c r="E1021" s="102"/>
      <c r="F1021" s="102"/>
      <c r="G1021" s="102"/>
      <c r="H1021" s="85"/>
      <c r="I1021" s="104"/>
      <c r="J1021" s="144"/>
      <c r="K1021" s="62"/>
      <c r="L1021" s="49"/>
      <c r="P1021" s="3"/>
      <c r="Q1021" s="3"/>
      <c r="R1021" s="3"/>
      <c r="S1021" s="3"/>
      <c r="T1021" s="3"/>
      <c r="U1021" s="3"/>
      <c r="V1021" s="3"/>
      <c r="W1021" s="3"/>
      <c r="X1021" s="3"/>
      <c r="Y1021" s="4"/>
      <c r="Z1021"/>
      <c r="AA1021"/>
    </row>
    <row r="1022" spans="1:27" s="37" customFormat="1" x14ac:dyDescent="0.15">
      <c r="A1022" s="165"/>
      <c r="B1022" s="93"/>
      <c r="C1022" s="100"/>
      <c r="D1022" s="61"/>
      <c r="E1022" s="100"/>
      <c r="F1022" s="100"/>
      <c r="G1022" s="100"/>
      <c r="H1022" s="85"/>
      <c r="I1022" s="101"/>
      <c r="J1022" s="143"/>
      <c r="K1022" s="61"/>
      <c r="L1022" s="49"/>
      <c r="M1022" s="51"/>
      <c r="N1022" s="35"/>
      <c r="P1022" s="3"/>
      <c r="Q1022" s="3"/>
      <c r="R1022" s="3"/>
      <c r="S1022" s="3"/>
      <c r="T1022" s="3"/>
      <c r="U1022" s="3"/>
      <c r="V1022" s="3"/>
      <c r="W1022" s="3"/>
      <c r="X1022" s="3"/>
      <c r="Y1022" s="4"/>
      <c r="Z1022"/>
      <c r="AA1022"/>
    </row>
    <row r="1023" spans="1:27" s="3" customFormat="1" x14ac:dyDescent="0.15">
      <c r="A1023" s="165"/>
      <c r="B1023" s="93"/>
      <c r="C1023" s="100"/>
      <c r="D1023" s="61"/>
      <c r="E1023" s="100"/>
      <c r="F1023" s="100"/>
      <c r="G1023" s="100"/>
      <c r="H1023" s="85"/>
      <c r="I1023" s="101"/>
      <c r="J1023" s="143"/>
      <c r="K1023" s="61"/>
      <c r="L1023" s="50"/>
      <c r="M1023" s="35"/>
      <c r="N1023" s="37"/>
      <c r="O1023" s="37"/>
      <c r="Y1023" s="4"/>
      <c r="Z1023"/>
      <c r="AA1023"/>
    </row>
    <row r="1024" spans="1:27" s="3" customFormat="1" x14ac:dyDescent="0.15">
      <c r="A1024" s="165"/>
      <c r="B1024" s="93"/>
      <c r="C1024" s="100"/>
      <c r="D1024" s="61"/>
      <c r="E1024" s="100"/>
      <c r="F1024" s="100"/>
      <c r="G1024" s="100"/>
      <c r="H1024" s="85"/>
      <c r="I1024" s="101"/>
      <c r="J1024" s="143"/>
      <c r="K1024" s="61"/>
      <c r="L1024" s="50"/>
      <c r="M1024" s="35"/>
      <c r="N1024" s="35"/>
      <c r="O1024" s="37"/>
      <c r="Y1024" s="4"/>
      <c r="Z1024"/>
      <c r="AA1024"/>
    </row>
    <row r="1025" spans="1:27" s="3" customFormat="1" x14ac:dyDescent="0.15">
      <c r="A1025" s="165"/>
      <c r="B1025" s="93"/>
      <c r="C1025" s="102"/>
      <c r="D1025" s="62"/>
      <c r="E1025" s="102"/>
      <c r="F1025" s="102"/>
      <c r="G1025" s="102"/>
      <c r="H1025" s="85"/>
      <c r="I1025" s="104"/>
      <c r="J1025" s="143"/>
      <c r="K1025" s="61"/>
      <c r="L1025" s="50"/>
      <c r="M1025" s="37"/>
      <c r="N1025" s="51"/>
      <c r="O1025" s="37"/>
      <c r="Y1025" s="4"/>
      <c r="Z1025"/>
      <c r="AA1025"/>
    </row>
    <row r="1026" spans="1:27" s="3" customFormat="1" x14ac:dyDescent="0.15">
      <c r="A1026" s="165"/>
      <c r="B1026" s="93"/>
      <c r="C1026" s="102"/>
      <c r="D1026" s="62"/>
      <c r="E1026" s="102"/>
      <c r="F1026" s="102"/>
      <c r="G1026" s="102"/>
      <c r="H1026" s="85"/>
      <c r="I1026" s="104"/>
      <c r="J1026" s="143"/>
      <c r="K1026" s="61"/>
      <c r="L1026" s="35"/>
      <c r="M1026" s="37"/>
      <c r="N1026" s="37"/>
      <c r="O1026" s="37"/>
      <c r="Y1026" s="4"/>
      <c r="Z1026"/>
      <c r="AA1026"/>
    </row>
    <row r="1027" spans="1:27" s="3" customFormat="1" x14ac:dyDescent="0.15">
      <c r="A1027" s="165"/>
      <c r="B1027" s="93"/>
      <c r="C1027" s="102"/>
      <c r="D1027" s="62"/>
      <c r="E1027" s="102"/>
      <c r="F1027" s="102"/>
      <c r="G1027" s="102"/>
      <c r="H1027" s="85"/>
      <c r="I1027" s="104"/>
      <c r="J1027" s="143"/>
      <c r="K1027" s="61"/>
      <c r="L1027" s="35"/>
      <c r="M1027" s="37"/>
      <c r="N1027" s="37"/>
      <c r="O1027" s="37"/>
      <c r="Y1027" s="4"/>
      <c r="Z1027"/>
      <c r="AA1027"/>
    </row>
    <row r="1028" spans="1:27" s="3" customFormat="1" x14ac:dyDescent="0.15">
      <c r="A1028" s="165"/>
      <c r="B1028" s="93"/>
      <c r="C1028" s="102"/>
      <c r="D1028" s="62"/>
      <c r="E1028" s="102"/>
      <c r="F1028" s="102"/>
      <c r="G1028" s="102"/>
      <c r="H1028" s="85"/>
      <c r="I1028" s="104"/>
      <c r="J1028" s="143"/>
      <c r="K1028" s="61"/>
      <c r="L1028" s="49"/>
      <c r="M1028" s="37"/>
      <c r="N1028" s="51"/>
      <c r="O1028" s="33"/>
      <c r="Y1028" s="4"/>
      <c r="Z1028"/>
      <c r="AA1028"/>
    </row>
    <row r="1029" spans="1:27" s="3" customFormat="1" x14ac:dyDescent="0.15">
      <c r="A1029" s="165"/>
      <c r="B1029" s="93"/>
      <c r="C1029" s="102"/>
      <c r="D1029" s="62"/>
      <c r="E1029" s="102"/>
      <c r="F1029" s="102"/>
      <c r="G1029" s="102"/>
      <c r="H1029" s="85"/>
      <c r="I1029" s="104"/>
      <c r="J1029" s="143"/>
      <c r="K1029" s="61"/>
      <c r="L1029" s="50"/>
      <c r="M1029" s="51"/>
      <c r="N1029" s="51"/>
      <c r="O1029" s="37"/>
      <c r="Y1029" s="4"/>
      <c r="Z1029"/>
      <c r="AA1029"/>
    </row>
    <row r="1030" spans="1:27" s="3" customFormat="1" x14ac:dyDescent="0.15">
      <c r="A1030" s="165"/>
      <c r="B1030" s="93"/>
      <c r="C1030" s="102"/>
      <c r="D1030" s="62"/>
      <c r="E1030" s="102"/>
      <c r="F1030" s="102"/>
      <c r="G1030" s="102"/>
      <c r="H1030" s="85"/>
      <c r="I1030" s="104"/>
      <c r="J1030" s="143"/>
      <c r="K1030" s="61"/>
      <c r="L1030" s="50"/>
      <c r="M1030" s="51"/>
      <c r="N1030" s="37"/>
      <c r="O1030" s="37"/>
      <c r="Y1030" s="4"/>
      <c r="Z1030"/>
      <c r="AA1030"/>
    </row>
    <row r="1031" spans="1:27" s="3" customFormat="1" x14ac:dyDescent="0.15">
      <c r="A1031" s="165"/>
      <c r="B1031" s="93"/>
      <c r="C1031" s="102"/>
      <c r="D1031" s="62"/>
      <c r="E1031" s="102"/>
      <c r="F1031" s="102"/>
      <c r="G1031" s="102"/>
      <c r="H1031" s="85"/>
      <c r="I1031" s="104"/>
      <c r="J1031" s="143"/>
      <c r="K1031" s="61"/>
      <c r="L1031" s="50"/>
      <c r="M1031" s="51"/>
      <c r="N1031" s="51"/>
      <c r="O1031" s="37"/>
      <c r="Y1031" s="4"/>
      <c r="Z1031"/>
      <c r="AA1031"/>
    </row>
    <row r="1032" spans="1:27" s="3" customFormat="1" x14ac:dyDescent="0.15">
      <c r="A1032" s="165"/>
      <c r="B1032" s="93"/>
      <c r="C1032" s="102"/>
      <c r="D1032" s="62"/>
      <c r="E1032" s="102"/>
      <c r="F1032" s="102"/>
      <c r="G1032" s="102"/>
      <c r="H1032" s="85"/>
      <c r="I1032" s="104"/>
      <c r="J1032" s="143"/>
      <c r="K1032" s="61"/>
      <c r="L1032" s="50"/>
      <c r="M1032" s="51"/>
      <c r="N1032" s="37"/>
      <c r="O1032" s="37"/>
      <c r="Y1032" s="4"/>
      <c r="Z1032"/>
      <c r="AA1032"/>
    </row>
    <row r="1033" spans="1:27" s="3" customFormat="1" x14ac:dyDescent="0.15">
      <c r="A1033" s="165"/>
      <c r="B1033" s="93"/>
      <c r="C1033" s="100"/>
      <c r="D1033" s="61"/>
      <c r="E1033" s="100"/>
      <c r="F1033" s="100"/>
      <c r="G1033" s="100"/>
      <c r="H1033" s="85"/>
      <c r="I1033" s="101"/>
      <c r="J1033" s="143"/>
      <c r="K1033" s="61"/>
      <c r="L1033" s="50"/>
      <c r="M1033" s="51"/>
      <c r="N1033" s="37"/>
      <c r="O1033" s="37"/>
      <c r="Y1033" s="4"/>
      <c r="Z1033"/>
      <c r="AA1033"/>
    </row>
    <row r="1034" spans="1:27" s="3" customFormat="1" x14ac:dyDescent="0.15">
      <c r="A1034" s="165"/>
      <c r="B1034" s="93"/>
      <c r="C1034" s="102"/>
      <c r="D1034" s="62"/>
      <c r="E1034" s="100"/>
      <c r="F1034" s="102"/>
      <c r="G1034" s="102"/>
      <c r="H1034" s="85"/>
      <c r="I1034" s="104"/>
      <c r="J1034" s="143"/>
      <c r="K1034" s="61"/>
      <c r="L1034" s="49"/>
      <c r="M1034" s="37"/>
      <c r="N1034" s="37"/>
      <c r="O1034" s="37"/>
      <c r="Y1034" s="4"/>
      <c r="Z1034"/>
      <c r="AA1034"/>
    </row>
    <row r="1035" spans="1:27" s="3" customFormat="1" x14ac:dyDescent="0.15">
      <c r="A1035" s="165"/>
      <c r="B1035" s="93"/>
      <c r="C1035" s="102"/>
      <c r="D1035" s="62"/>
      <c r="E1035" s="102"/>
      <c r="F1035" s="102"/>
      <c r="G1035" s="102"/>
      <c r="H1035" s="85"/>
      <c r="I1035" s="104"/>
      <c r="J1035" s="143"/>
      <c r="K1035" s="61"/>
      <c r="L1035" s="49"/>
      <c r="M1035" s="37"/>
      <c r="N1035" s="37"/>
      <c r="O1035" s="37"/>
      <c r="Y1035" s="4"/>
      <c r="Z1035"/>
      <c r="AA1035"/>
    </row>
    <row r="1036" spans="1:27" s="3" customFormat="1" x14ac:dyDescent="0.15">
      <c r="A1036" s="165"/>
      <c r="B1036" s="93"/>
      <c r="C1036" s="100"/>
      <c r="D1036" s="61"/>
      <c r="E1036" s="100"/>
      <c r="F1036" s="100"/>
      <c r="G1036" s="100"/>
      <c r="H1036" s="103"/>
      <c r="I1036" s="103"/>
      <c r="J1036" s="141"/>
      <c r="K1036" s="61"/>
      <c r="L1036" s="49"/>
      <c r="M1036" s="37"/>
      <c r="N1036" s="51"/>
      <c r="O1036" s="33"/>
      <c r="Y1036" s="4"/>
      <c r="Z1036"/>
      <c r="AA1036"/>
    </row>
    <row r="1037" spans="1:27" s="3" customFormat="1" x14ac:dyDescent="0.15">
      <c r="A1037" s="165"/>
      <c r="B1037" s="93"/>
      <c r="C1037" s="102"/>
      <c r="D1037" s="62"/>
      <c r="E1037" s="102"/>
      <c r="F1037" s="102"/>
      <c r="G1037" s="102"/>
      <c r="H1037" s="85"/>
      <c r="I1037" s="104"/>
      <c r="J1037" s="143"/>
      <c r="K1037" s="61"/>
      <c r="L1037" s="49"/>
      <c r="M1037" s="37"/>
      <c r="N1037" s="37"/>
      <c r="O1037" s="33"/>
      <c r="Y1037" s="4"/>
      <c r="Z1037"/>
      <c r="AA1037"/>
    </row>
    <row r="1038" spans="1:27" s="3" customFormat="1" x14ac:dyDescent="0.15">
      <c r="A1038" s="165"/>
      <c r="B1038" s="93"/>
      <c r="C1038" s="102"/>
      <c r="D1038" s="62"/>
      <c r="E1038" s="102"/>
      <c r="F1038" s="102"/>
      <c r="G1038" s="102"/>
      <c r="H1038" s="85"/>
      <c r="I1038" s="104"/>
      <c r="J1038" s="143"/>
      <c r="K1038" s="61"/>
      <c r="L1038" s="49"/>
      <c r="M1038" s="37"/>
      <c r="N1038" s="37"/>
      <c r="O1038" s="37"/>
      <c r="Y1038" s="4"/>
      <c r="Z1038"/>
      <c r="AA1038"/>
    </row>
    <row r="1039" spans="1:27" s="49" customFormat="1" x14ac:dyDescent="0.15">
      <c r="A1039" s="165"/>
      <c r="B1039" s="93"/>
      <c r="C1039" s="100"/>
      <c r="D1039" s="61"/>
      <c r="E1039" s="100"/>
      <c r="F1039" s="100"/>
      <c r="G1039" s="100"/>
      <c r="H1039" s="85"/>
      <c r="I1039" s="101"/>
      <c r="J1039" s="143"/>
      <c r="K1039" s="61"/>
      <c r="M1039" s="37"/>
      <c r="N1039" s="37"/>
      <c r="O1039" s="37"/>
      <c r="P1039" s="3"/>
      <c r="Q1039" s="3"/>
      <c r="R1039" s="3"/>
      <c r="S1039" s="3"/>
      <c r="T1039" s="3"/>
      <c r="U1039" s="3"/>
      <c r="V1039" s="3"/>
      <c r="W1039" s="3"/>
      <c r="X1039" s="3"/>
      <c r="Y1039" s="4"/>
      <c r="Z1039"/>
      <c r="AA1039"/>
    </row>
    <row r="1040" spans="1:27" s="49" customFormat="1" x14ac:dyDescent="0.15">
      <c r="A1040" s="165"/>
      <c r="B1040" s="93"/>
      <c r="C1040" s="100"/>
      <c r="D1040" s="61"/>
      <c r="E1040" s="100"/>
      <c r="F1040" s="100"/>
      <c r="G1040" s="100"/>
      <c r="H1040" s="85"/>
      <c r="I1040" s="101"/>
      <c r="J1040" s="143"/>
      <c r="K1040" s="61"/>
      <c r="M1040" s="37"/>
      <c r="N1040" s="37"/>
      <c r="O1040" s="37"/>
      <c r="P1040" s="3"/>
      <c r="Q1040" s="3"/>
      <c r="R1040" s="3"/>
      <c r="S1040" s="3"/>
      <c r="T1040" s="3"/>
      <c r="U1040" s="3"/>
      <c r="V1040" s="3"/>
      <c r="W1040" s="3"/>
      <c r="X1040" s="3"/>
      <c r="Y1040" s="4"/>
      <c r="Z1040"/>
      <c r="AA1040"/>
    </row>
    <row r="1041" spans="1:27" s="49" customFormat="1" x14ac:dyDescent="0.15">
      <c r="A1041" s="165"/>
      <c r="B1041" s="93"/>
      <c r="C1041" s="102"/>
      <c r="D1041" s="62"/>
      <c r="E1041" s="100"/>
      <c r="F1041" s="102"/>
      <c r="G1041" s="102"/>
      <c r="H1041" s="85"/>
      <c r="I1041" s="104"/>
      <c r="J1041" s="143"/>
      <c r="K1041" s="61"/>
      <c r="M1041" s="37"/>
      <c r="N1041" s="37"/>
      <c r="O1041" s="37"/>
      <c r="P1041" s="3"/>
      <c r="Q1041" s="3"/>
      <c r="R1041" s="3"/>
      <c r="S1041" s="3"/>
      <c r="T1041" s="3"/>
      <c r="U1041" s="3"/>
      <c r="V1041" s="3"/>
      <c r="W1041" s="3"/>
      <c r="X1041" s="3"/>
      <c r="Y1041" s="4"/>
      <c r="Z1041"/>
      <c r="AA1041"/>
    </row>
    <row r="1042" spans="1:27" s="49" customFormat="1" x14ac:dyDescent="0.15">
      <c r="A1042" s="165"/>
      <c r="B1042" s="93"/>
      <c r="C1042" s="100"/>
      <c r="D1042" s="61"/>
      <c r="E1042" s="100"/>
      <c r="F1042" s="100"/>
      <c r="G1042" s="100"/>
      <c r="H1042" s="85"/>
      <c r="I1042" s="101"/>
      <c r="J1042" s="143"/>
      <c r="K1042" s="61"/>
      <c r="M1042" s="37"/>
      <c r="N1042" s="37"/>
      <c r="O1042" s="37"/>
      <c r="P1042" s="3"/>
      <c r="Q1042" s="3"/>
      <c r="R1042" s="3"/>
      <c r="S1042" s="3"/>
      <c r="T1042" s="3"/>
      <c r="U1042" s="3"/>
      <c r="V1042" s="3"/>
      <c r="W1042" s="3"/>
      <c r="X1042" s="3"/>
      <c r="Y1042" s="4"/>
      <c r="Z1042"/>
      <c r="AA1042"/>
    </row>
    <row r="1043" spans="1:27" s="49" customFormat="1" x14ac:dyDescent="0.15">
      <c r="A1043" s="165"/>
      <c r="B1043" s="93"/>
      <c r="C1043" s="102"/>
      <c r="D1043" s="62"/>
      <c r="E1043" s="100"/>
      <c r="F1043" s="102"/>
      <c r="G1043" s="102"/>
      <c r="H1043" s="85"/>
      <c r="I1043" s="104"/>
      <c r="J1043" s="143"/>
      <c r="K1043" s="61"/>
      <c r="M1043" s="37"/>
      <c r="N1043" s="37"/>
      <c r="O1043" s="37"/>
      <c r="P1043" s="3"/>
      <c r="Q1043" s="3"/>
      <c r="R1043" s="3"/>
      <c r="S1043" s="3"/>
      <c r="T1043" s="3"/>
      <c r="U1043" s="3"/>
      <c r="V1043" s="3"/>
      <c r="W1043" s="3"/>
      <c r="X1043" s="3"/>
      <c r="Y1043" s="4"/>
      <c r="Z1043"/>
      <c r="AA1043"/>
    </row>
    <row r="1044" spans="1:27" s="49" customFormat="1" x14ac:dyDescent="0.15">
      <c r="A1044" s="165"/>
      <c r="B1044" s="93"/>
      <c r="C1044" s="102"/>
      <c r="D1044" s="62"/>
      <c r="E1044" s="102"/>
      <c r="F1044" s="102"/>
      <c r="G1044" s="102"/>
      <c r="H1044" s="85"/>
      <c r="I1044" s="104"/>
      <c r="J1044" s="143"/>
      <c r="K1044" s="61"/>
      <c r="M1044" s="37"/>
      <c r="N1044" s="37"/>
      <c r="O1044" s="37"/>
      <c r="P1044" s="3"/>
      <c r="Q1044" s="3"/>
      <c r="R1044" s="3"/>
      <c r="S1044" s="3"/>
      <c r="T1044" s="3"/>
      <c r="U1044" s="3"/>
      <c r="V1044" s="3"/>
      <c r="W1044" s="3"/>
      <c r="X1044" s="3"/>
      <c r="Y1044" s="4"/>
      <c r="Z1044"/>
      <c r="AA1044"/>
    </row>
    <row r="1045" spans="1:27" s="49" customFormat="1" x14ac:dyDescent="0.15">
      <c r="A1045" s="165"/>
      <c r="B1045" s="93"/>
      <c r="C1045" s="102"/>
      <c r="D1045" s="62"/>
      <c r="E1045" s="102"/>
      <c r="F1045" s="102"/>
      <c r="G1045" s="102"/>
      <c r="H1045" s="85"/>
      <c r="I1045" s="104"/>
      <c r="J1045" s="143"/>
      <c r="K1045" s="61"/>
      <c r="M1045" s="37"/>
      <c r="N1045" s="37"/>
      <c r="O1045" s="37"/>
      <c r="P1045" s="3"/>
      <c r="Q1045" s="3"/>
      <c r="R1045" s="3"/>
      <c r="S1045" s="3"/>
      <c r="T1045" s="3"/>
      <c r="U1045" s="3"/>
      <c r="V1045" s="3"/>
      <c r="W1045" s="3"/>
      <c r="X1045" s="3"/>
      <c r="Y1045" s="4"/>
      <c r="Z1045"/>
      <c r="AA1045"/>
    </row>
    <row r="1046" spans="1:27" s="49" customFormat="1" x14ac:dyDescent="0.15">
      <c r="A1046" s="165"/>
      <c r="B1046" s="93"/>
      <c r="C1046" s="102"/>
      <c r="D1046" s="62"/>
      <c r="E1046" s="102"/>
      <c r="F1046" s="102"/>
      <c r="G1046" s="102"/>
      <c r="H1046" s="85"/>
      <c r="I1046" s="104"/>
      <c r="J1046" s="143"/>
      <c r="K1046" s="61"/>
      <c r="M1046" s="37"/>
      <c r="N1046" s="37"/>
      <c r="O1046" s="37"/>
      <c r="P1046" s="3"/>
      <c r="Q1046" s="3"/>
      <c r="R1046" s="3"/>
      <c r="S1046" s="3"/>
      <c r="T1046" s="3"/>
      <c r="U1046" s="3"/>
      <c r="V1046" s="3"/>
      <c r="W1046" s="3"/>
      <c r="X1046" s="3"/>
      <c r="Y1046" s="4"/>
      <c r="Z1046"/>
      <c r="AA1046"/>
    </row>
    <row r="1047" spans="1:27" s="49" customFormat="1" x14ac:dyDescent="0.15">
      <c r="A1047" s="165"/>
      <c r="B1047" s="82"/>
      <c r="C1047" s="107"/>
      <c r="D1047" s="62"/>
      <c r="E1047" s="107"/>
      <c r="F1047" s="107"/>
      <c r="G1047" s="107"/>
      <c r="H1047" s="85"/>
      <c r="I1047" s="104"/>
      <c r="J1047" s="144"/>
      <c r="K1047" s="61"/>
      <c r="M1047" s="37"/>
      <c r="N1047" s="37"/>
      <c r="O1047" s="37"/>
      <c r="P1047" s="3"/>
      <c r="Q1047" s="3"/>
      <c r="R1047" s="3"/>
      <c r="S1047" s="3"/>
      <c r="T1047" s="3"/>
      <c r="U1047" s="3"/>
      <c r="V1047" s="3"/>
      <c r="W1047" s="3"/>
      <c r="X1047" s="3"/>
      <c r="Y1047" s="4"/>
      <c r="Z1047"/>
      <c r="AA1047"/>
    </row>
    <row r="1048" spans="1:27" s="49" customFormat="1" x14ac:dyDescent="0.15">
      <c r="A1048" s="165"/>
      <c r="B1048" s="93"/>
      <c r="C1048" s="102"/>
      <c r="D1048" s="62"/>
      <c r="E1048" s="102"/>
      <c r="F1048" s="102"/>
      <c r="G1048" s="102"/>
      <c r="H1048" s="85"/>
      <c r="I1048" s="104"/>
      <c r="J1048" s="144"/>
      <c r="K1048" s="61"/>
      <c r="M1048" s="37"/>
      <c r="N1048" s="37"/>
      <c r="O1048" s="37"/>
      <c r="P1048" s="3"/>
      <c r="Q1048" s="3"/>
      <c r="R1048" s="3"/>
      <c r="S1048" s="3"/>
      <c r="T1048" s="3"/>
      <c r="U1048" s="3"/>
      <c r="V1048" s="3"/>
      <c r="W1048" s="3"/>
      <c r="X1048" s="3"/>
      <c r="Y1048" s="4"/>
      <c r="Z1048"/>
      <c r="AA1048"/>
    </row>
    <row r="1049" spans="1:27" s="49" customFormat="1" x14ac:dyDescent="0.15">
      <c r="A1049" s="165"/>
      <c r="B1049" s="93"/>
      <c r="C1049" s="102"/>
      <c r="D1049" s="62"/>
      <c r="E1049" s="100"/>
      <c r="F1049" s="102"/>
      <c r="G1049" s="102"/>
      <c r="H1049" s="98"/>
      <c r="I1049" s="98"/>
      <c r="J1049" s="135"/>
      <c r="K1049" s="61"/>
      <c r="M1049" s="37"/>
      <c r="N1049" s="37"/>
      <c r="O1049" s="37"/>
      <c r="P1049" s="3"/>
      <c r="Q1049" s="3"/>
      <c r="R1049" s="3"/>
      <c r="S1049" s="3"/>
      <c r="T1049" s="3"/>
      <c r="U1049" s="3"/>
      <c r="V1049" s="3"/>
      <c r="W1049" s="3"/>
      <c r="X1049" s="3"/>
      <c r="Y1049" s="4"/>
      <c r="Z1049"/>
      <c r="AA1049"/>
    </row>
    <row r="1050" spans="1:27" s="49" customFormat="1" x14ac:dyDescent="0.15">
      <c r="A1050" s="165"/>
      <c r="B1050" s="93"/>
      <c r="C1050" s="100"/>
      <c r="D1050" s="61"/>
      <c r="E1050" s="100"/>
      <c r="F1050" s="100"/>
      <c r="G1050" s="100"/>
      <c r="H1050" s="85"/>
      <c r="I1050" s="101"/>
      <c r="J1050" s="144"/>
      <c r="K1050" s="61"/>
      <c r="M1050" s="37"/>
      <c r="N1050" s="37"/>
      <c r="O1050" s="37"/>
      <c r="P1050" s="3"/>
      <c r="Q1050" s="3"/>
      <c r="R1050" s="3"/>
      <c r="S1050" s="3"/>
      <c r="T1050" s="3"/>
      <c r="U1050" s="3"/>
      <c r="V1050" s="3"/>
      <c r="W1050" s="3"/>
      <c r="X1050" s="3"/>
      <c r="Y1050" s="4"/>
      <c r="Z1050"/>
      <c r="AA1050"/>
    </row>
    <row r="1051" spans="1:27" s="49" customFormat="1" x14ac:dyDescent="0.15">
      <c r="A1051" s="165"/>
      <c r="B1051" s="93"/>
      <c r="C1051" s="102"/>
      <c r="D1051" s="62"/>
      <c r="E1051" s="100"/>
      <c r="F1051" s="102"/>
      <c r="G1051" s="102"/>
      <c r="H1051" s="85"/>
      <c r="I1051" s="104"/>
      <c r="J1051" s="144"/>
      <c r="K1051" s="61"/>
      <c r="M1051" s="37"/>
      <c r="N1051" s="37"/>
      <c r="O1051" s="37"/>
      <c r="P1051" s="3"/>
      <c r="Q1051" s="3"/>
      <c r="R1051" s="3"/>
      <c r="S1051" s="3"/>
      <c r="T1051" s="3"/>
      <c r="U1051" s="3"/>
      <c r="V1051" s="3"/>
      <c r="W1051" s="3"/>
      <c r="X1051" s="3"/>
      <c r="Y1051" s="4"/>
      <c r="Z1051"/>
      <c r="AA1051"/>
    </row>
    <row r="1052" spans="1:27" s="49" customFormat="1" x14ac:dyDescent="0.15">
      <c r="A1052" s="165"/>
      <c r="B1052" s="93"/>
      <c r="C1052" s="102"/>
      <c r="D1052" s="62"/>
      <c r="E1052" s="102"/>
      <c r="F1052" s="102"/>
      <c r="G1052" s="102"/>
      <c r="H1052" s="85"/>
      <c r="I1052" s="104"/>
      <c r="J1052" s="144"/>
      <c r="K1052" s="61"/>
      <c r="M1052" s="37"/>
      <c r="N1052" s="37"/>
      <c r="O1052" s="37"/>
      <c r="P1052" s="3"/>
      <c r="Q1052" s="3"/>
      <c r="R1052" s="3"/>
      <c r="S1052" s="3"/>
      <c r="T1052" s="3"/>
      <c r="U1052" s="3"/>
      <c r="V1052" s="3"/>
      <c r="W1052" s="3"/>
      <c r="X1052" s="3"/>
      <c r="Y1052" s="4"/>
      <c r="Z1052"/>
      <c r="AA1052"/>
    </row>
    <row r="1053" spans="1:27" s="49" customFormat="1" x14ac:dyDescent="0.15">
      <c r="A1053" s="165"/>
      <c r="B1053" s="93"/>
      <c r="C1053" s="102"/>
      <c r="D1053" s="62"/>
      <c r="E1053" s="102"/>
      <c r="F1053" s="102"/>
      <c r="G1053" s="102"/>
      <c r="H1053" s="85"/>
      <c r="I1053" s="104"/>
      <c r="J1053" s="144"/>
      <c r="K1053" s="61"/>
      <c r="M1053" s="37"/>
      <c r="N1053" s="37"/>
      <c r="O1053" s="37"/>
      <c r="P1053" s="3"/>
      <c r="Q1053" s="3"/>
      <c r="R1053" s="3"/>
      <c r="S1053" s="3"/>
      <c r="T1053" s="3"/>
      <c r="U1053" s="3"/>
      <c r="V1053" s="3"/>
      <c r="W1053" s="3"/>
      <c r="X1053" s="3"/>
      <c r="Y1053" s="4"/>
      <c r="Z1053"/>
      <c r="AA1053"/>
    </row>
    <row r="1054" spans="1:27" s="49" customFormat="1" x14ac:dyDescent="0.15">
      <c r="A1054" s="165"/>
      <c r="B1054" s="93"/>
      <c r="C1054" s="102"/>
      <c r="D1054" s="62"/>
      <c r="E1054" s="102"/>
      <c r="F1054" s="102"/>
      <c r="G1054" s="102"/>
      <c r="H1054" s="85"/>
      <c r="I1054" s="104"/>
      <c r="J1054" s="144"/>
      <c r="K1054" s="61"/>
      <c r="M1054" s="37"/>
      <c r="N1054" s="37"/>
      <c r="O1054" s="37"/>
      <c r="P1054" s="3"/>
      <c r="Q1054" s="3"/>
      <c r="R1054" s="3"/>
      <c r="S1054" s="3"/>
      <c r="T1054" s="3"/>
      <c r="U1054" s="3"/>
      <c r="V1054" s="3"/>
      <c r="W1054" s="3"/>
      <c r="X1054" s="3"/>
      <c r="Y1054" s="4"/>
      <c r="Z1054"/>
      <c r="AA1054"/>
    </row>
    <row r="1055" spans="1:27" s="3" customFormat="1" x14ac:dyDescent="0.15">
      <c r="A1055" s="165"/>
      <c r="B1055" s="93"/>
      <c r="C1055" s="102"/>
      <c r="D1055" s="62"/>
      <c r="E1055" s="102"/>
      <c r="F1055" s="102"/>
      <c r="G1055" s="102"/>
      <c r="H1055" s="85"/>
      <c r="I1055" s="104"/>
      <c r="J1055" s="144"/>
      <c r="K1055" s="61"/>
      <c r="L1055" s="49"/>
      <c r="M1055" s="37"/>
      <c r="N1055" s="37"/>
      <c r="O1055" s="37"/>
      <c r="Y1055" s="4"/>
      <c r="Z1055"/>
      <c r="AA1055"/>
    </row>
    <row r="1056" spans="1:27" s="3" customFormat="1" x14ac:dyDescent="0.15">
      <c r="A1056" s="165"/>
      <c r="B1056" s="93"/>
      <c r="C1056" s="102"/>
      <c r="D1056" s="62"/>
      <c r="E1056" s="102"/>
      <c r="F1056" s="102"/>
      <c r="G1056" s="102"/>
      <c r="H1056" s="85"/>
      <c r="I1056" s="104"/>
      <c r="J1056" s="144"/>
      <c r="K1056" s="61"/>
      <c r="L1056" s="49"/>
      <c r="M1056" s="37"/>
      <c r="N1056" s="37"/>
      <c r="O1056" s="33"/>
      <c r="Y1056" s="4"/>
      <c r="Z1056"/>
      <c r="AA1056"/>
    </row>
    <row r="1057" spans="1:27" s="3" customFormat="1" x14ac:dyDescent="0.15">
      <c r="A1057" s="165"/>
      <c r="B1057" s="93"/>
      <c r="C1057" s="102"/>
      <c r="D1057" s="62"/>
      <c r="E1057" s="102"/>
      <c r="F1057" s="102"/>
      <c r="G1057" s="102"/>
      <c r="H1057" s="85"/>
      <c r="I1057" s="104"/>
      <c r="J1057" s="144"/>
      <c r="K1057" s="62"/>
      <c r="L1057" s="49"/>
      <c r="M1057" s="37"/>
      <c r="N1057" s="37"/>
      <c r="O1057" s="33"/>
      <c r="Y1057" s="4"/>
      <c r="Z1057"/>
      <c r="AA1057"/>
    </row>
    <row r="1058" spans="1:27" s="3" customFormat="1" x14ac:dyDescent="0.15">
      <c r="A1058" s="165"/>
      <c r="B1058" s="93"/>
      <c r="C1058" s="102"/>
      <c r="D1058" s="62"/>
      <c r="E1058" s="102"/>
      <c r="F1058" s="102"/>
      <c r="G1058" s="102"/>
      <c r="H1058" s="85"/>
      <c r="I1058" s="104"/>
      <c r="J1058" s="144"/>
      <c r="K1058" s="61"/>
      <c r="L1058" s="49"/>
      <c r="M1058" s="37"/>
      <c r="N1058" s="37"/>
      <c r="O1058" s="37"/>
      <c r="Y1058" s="4"/>
      <c r="Z1058"/>
      <c r="AA1058"/>
    </row>
    <row r="1059" spans="1:27" s="3" customFormat="1" x14ac:dyDescent="0.15">
      <c r="A1059" s="165"/>
      <c r="B1059" s="93"/>
      <c r="C1059" s="102"/>
      <c r="D1059" s="62"/>
      <c r="E1059" s="102"/>
      <c r="F1059" s="102"/>
      <c r="G1059" s="102"/>
      <c r="H1059" s="85"/>
      <c r="I1059" s="104"/>
      <c r="J1059" s="144"/>
      <c r="K1059" s="61"/>
      <c r="L1059" s="49"/>
      <c r="M1059" s="37"/>
      <c r="N1059" s="37"/>
      <c r="O1059" s="37"/>
      <c r="Y1059" s="4"/>
      <c r="Z1059"/>
      <c r="AA1059"/>
    </row>
    <row r="1060" spans="1:27" s="3" customFormat="1" x14ac:dyDescent="0.15">
      <c r="A1060" s="165"/>
      <c r="B1060" s="93"/>
      <c r="C1060" s="102"/>
      <c r="D1060" s="62"/>
      <c r="E1060" s="102"/>
      <c r="F1060" s="102"/>
      <c r="G1060" s="102"/>
      <c r="H1060" s="85"/>
      <c r="I1060" s="104"/>
      <c r="J1060" s="144"/>
      <c r="K1060" s="61"/>
      <c r="L1060" s="49"/>
      <c r="M1060" s="37"/>
      <c r="N1060" s="37"/>
      <c r="O1060" s="37"/>
      <c r="Y1060" s="4"/>
      <c r="Z1060"/>
      <c r="AA1060"/>
    </row>
    <row r="1061" spans="1:27" s="3" customFormat="1" x14ac:dyDescent="0.15">
      <c r="A1061" s="165"/>
      <c r="B1061" s="93"/>
      <c r="C1061" s="102"/>
      <c r="D1061" s="62"/>
      <c r="E1061" s="102"/>
      <c r="F1061" s="102"/>
      <c r="G1061" s="102"/>
      <c r="H1061" s="85"/>
      <c r="I1061" s="104"/>
      <c r="J1061" s="144"/>
      <c r="K1061" s="61"/>
      <c r="L1061" s="49"/>
      <c r="M1061" s="37"/>
      <c r="N1061" s="37"/>
      <c r="O1061" s="37"/>
      <c r="Y1061" s="4"/>
      <c r="Z1061"/>
      <c r="AA1061"/>
    </row>
    <row r="1062" spans="1:27" s="3" customFormat="1" x14ac:dyDescent="0.15">
      <c r="A1062" s="165"/>
      <c r="B1062" s="93"/>
      <c r="C1062" s="102"/>
      <c r="D1062" s="62"/>
      <c r="E1062" s="102"/>
      <c r="F1062" s="102"/>
      <c r="G1062" s="102"/>
      <c r="H1062" s="85"/>
      <c r="I1062" s="104"/>
      <c r="J1062" s="144"/>
      <c r="K1062" s="61"/>
      <c r="L1062" s="49"/>
      <c r="M1062" s="37"/>
      <c r="N1062" s="37"/>
      <c r="O1062" s="37"/>
      <c r="Y1062" s="4"/>
      <c r="Z1062"/>
      <c r="AA1062"/>
    </row>
    <row r="1063" spans="1:27" s="3" customFormat="1" x14ac:dyDescent="0.15">
      <c r="A1063" s="165"/>
      <c r="B1063" s="93"/>
      <c r="C1063" s="102"/>
      <c r="D1063" s="62"/>
      <c r="E1063" s="102"/>
      <c r="F1063" s="102"/>
      <c r="G1063" s="102"/>
      <c r="H1063" s="85"/>
      <c r="I1063" s="104"/>
      <c r="J1063" s="144"/>
      <c r="K1063" s="61"/>
      <c r="L1063" s="49"/>
      <c r="M1063" s="37"/>
      <c r="N1063" s="37"/>
      <c r="O1063" s="37"/>
      <c r="Y1063" s="4"/>
      <c r="Z1063"/>
      <c r="AA1063"/>
    </row>
    <row r="1064" spans="1:27" s="3" customFormat="1" x14ac:dyDescent="0.15">
      <c r="A1064" s="165"/>
      <c r="B1064" s="93"/>
      <c r="C1064" s="102"/>
      <c r="D1064" s="62"/>
      <c r="E1064" s="102"/>
      <c r="F1064" s="102"/>
      <c r="G1064" s="102"/>
      <c r="H1064" s="85"/>
      <c r="I1064" s="104"/>
      <c r="J1064" s="144"/>
      <c r="K1064" s="61"/>
      <c r="L1064" s="49"/>
      <c r="M1064" s="37"/>
      <c r="N1064" s="37"/>
      <c r="O1064" s="37"/>
      <c r="Y1064" s="4"/>
      <c r="Z1064"/>
      <c r="AA1064"/>
    </row>
    <row r="1065" spans="1:27" s="3" customFormat="1" x14ac:dyDescent="0.15">
      <c r="A1065" s="165"/>
      <c r="B1065" s="93"/>
      <c r="C1065" s="102"/>
      <c r="D1065" s="62"/>
      <c r="E1065" s="102"/>
      <c r="F1065" s="102"/>
      <c r="G1065" s="102"/>
      <c r="H1065" s="98"/>
      <c r="I1065" s="98"/>
      <c r="J1065" s="135"/>
      <c r="K1065" s="61"/>
      <c r="L1065" s="49"/>
      <c r="M1065" s="37"/>
      <c r="N1065" s="37"/>
      <c r="O1065" s="37"/>
      <c r="Y1065" s="4"/>
      <c r="Z1065"/>
      <c r="AA1065"/>
    </row>
    <row r="1066" spans="1:27" s="3" customFormat="1" x14ac:dyDescent="0.15">
      <c r="A1066" s="165"/>
      <c r="B1066" s="93"/>
      <c r="C1066" s="102"/>
      <c r="D1066" s="62"/>
      <c r="E1066" s="102"/>
      <c r="F1066" s="102"/>
      <c r="G1066" s="102"/>
      <c r="H1066" s="98"/>
      <c r="I1066" s="98"/>
      <c r="J1066" s="135"/>
      <c r="K1066" s="61"/>
      <c r="L1066" s="49"/>
      <c r="M1066" s="37"/>
      <c r="N1066" s="37"/>
      <c r="O1066" s="37"/>
      <c r="Y1066" s="4"/>
      <c r="Z1066"/>
      <c r="AA1066"/>
    </row>
    <row r="1067" spans="1:27" s="3" customFormat="1" x14ac:dyDescent="0.15">
      <c r="A1067" s="165"/>
      <c r="B1067" s="93"/>
      <c r="C1067" s="102"/>
      <c r="D1067" s="62"/>
      <c r="E1067" s="102"/>
      <c r="F1067" s="102"/>
      <c r="G1067" s="102"/>
      <c r="H1067" s="98"/>
      <c r="I1067" s="98"/>
      <c r="J1067" s="135"/>
      <c r="K1067" s="61"/>
      <c r="L1067" s="49"/>
      <c r="M1067" s="37"/>
      <c r="N1067" s="37"/>
      <c r="O1067" s="37"/>
      <c r="Y1067" s="4"/>
      <c r="Z1067"/>
      <c r="AA1067"/>
    </row>
    <row r="1068" spans="1:27" s="3" customFormat="1" x14ac:dyDescent="0.15">
      <c r="A1068" s="165"/>
      <c r="B1068" s="93"/>
      <c r="C1068" s="102"/>
      <c r="D1068" s="62"/>
      <c r="E1068" s="102"/>
      <c r="F1068" s="102"/>
      <c r="G1068" s="102"/>
      <c r="H1068" s="85"/>
      <c r="I1068" s="104"/>
      <c r="J1068" s="144"/>
      <c r="K1068" s="61"/>
      <c r="L1068" s="49"/>
      <c r="M1068" s="37"/>
      <c r="N1068" s="37"/>
      <c r="O1068" s="37"/>
      <c r="Y1068" s="4"/>
      <c r="Z1068"/>
      <c r="AA1068"/>
    </row>
    <row r="1069" spans="1:27" s="3" customFormat="1" x14ac:dyDescent="0.15">
      <c r="A1069" s="165"/>
      <c r="B1069" s="93"/>
      <c r="C1069" s="102"/>
      <c r="D1069" s="62"/>
      <c r="E1069" s="102"/>
      <c r="F1069" s="102"/>
      <c r="G1069" s="102"/>
      <c r="H1069" s="85"/>
      <c r="I1069" s="104"/>
      <c r="J1069" s="144"/>
      <c r="K1069" s="61"/>
      <c r="L1069" s="49"/>
      <c r="M1069" s="37"/>
      <c r="N1069" s="37"/>
      <c r="O1069" s="37"/>
      <c r="Y1069" s="4"/>
      <c r="Z1069"/>
      <c r="AA1069"/>
    </row>
    <row r="1070" spans="1:27" s="3" customFormat="1" x14ac:dyDescent="0.15">
      <c r="A1070" s="165"/>
      <c r="B1070" s="93"/>
      <c r="C1070" s="102"/>
      <c r="D1070" s="62"/>
      <c r="E1070" s="102"/>
      <c r="F1070" s="102"/>
      <c r="G1070" s="102"/>
      <c r="H1070" s="85"/>
      <c r="I1070" s="104"/>
      <c r="J1070" s="144"/>
      <c r="K1070" s="61"/>
      <c r="L1070" s="49"/>
      <c r="M1070" s="37"/>
      <c r="N1070" s="37"/>
      <c r="O1070" s="37"/>
      <c r="Y1070" s="4"/>
      <c r="Z1070"/>
      <c r="AA1070"/>
    </row>
    <row r="1071" spans="1:27" s="3" customFormat="1" x14ac:dyDescent="0.15">
      <c r="A1071" s="165"/>
      <c r="B1071" s="82"/>
      <c r="C1071" s="107"/>
      <c r="D1071" s="62"/>
      <c r="E1071" s="107"/>
      <c r="F1071" s="107"/>
      <c r="G1071" s="107"/>
      <c r="H1071" s="85"/>
      <c r="I1071" s="104"/>
      <c r="J1071" s="144"/>
      <c r="K1071" s="61"/>
      <c r="L1071" s="49"/>
      <c r="M1071" s="37"/>
      <c r="N1071" s="37"/>
      <c r="O1071" s="37"/>
      <c r="Y1071" s="4"/>
      <c r="Z1071"/>
      <c r="AA1071"/>
    </row>
    <row r="1072" spans="1:27" s="3" customFormat="1" x14ac:dyDescent="0.15">
      <c r="A1072" s="165"/>
      <c r="B1072" s="93"/>
      <c r="C1072" s="102"/>
      <c r="D1072" s="62"/>
      <c r="E1072" s="102"/>
      <c r="F1072" s="102"/>
      <c r="G1072" s="102"/>
      <c r="H1072" s="98"/>
      <c r="I1072" s="98"/>
      <c r="J1072" s="135"/>
      <c r="K1072" s="61"/>
      <c r="L1072" s="49"/>
      <c r="M1072" s="37"/>
      <c r="N1072" s="37"/>
      <c r="O1072" s="37"/>
      <c r="Y1072" s="4"/>
      <c r="Z1072"/>
      <c r="AA1072"/>
    </row>
    <row r="1073" spans="1:27" s="3" customFormat="1" x14ac:dyDescent="0.15">
      <c r="A1073" s="165"/>
      <c r="B1073" s="93"/>
      <c r="C1073" s="102"/>
      <c r="D1073" s="62"/>
      <c r="E1073" s="102"/>
      <c r="F1073" s="102"/>
      <c r="G1073" s="102"/>
      <c r="H1073" s="85"/>
      <c r="I1073" s="104"/>
      <c r="J1073" s="144"/>
      <c r="K1073" s="61"/>
      <c r="L1073" s="49"/>
      <c r="M1073" s="37"/>
      <c r="N1073" s="37"/>
      <c r="O1073" s="49"/>
      <c r="Y1073" s="4"/>
      <c r="Z1073"/>
      <c r="AA1073"/>
    </row>
    <row r="1074" spans="1:27" s="3" customFormat="1" x14ac:dyDescent="0.15">
      <c r="A1074" s="165"/>
      <c r="B1074" s="93"/>
      <c r="C1074" s="102"/>
      <c r="D1074" s="62"/>
      <c r="E1074" s="102"/>
      <c r="F1074" s="102"/>
      <c r="G1074" s="102"/>
      <c r="H1074" s="85"/>
      <c r="I1074" s="104"/>
      <c r="J1074" s="144"/>
      <c r="K1074" s="61"/>
      <c r="L1074" s="49"/>
      <c r="M1074" s="37"/>
      <c r="N1074" s="37"/>
      <c r="O1074" s="37"/>
      <c r="Y1074" s="4"/>
      <c r="Z1074"/>
      <c r="AA1074"/>
    </row>
    <row r="1075" spans="1:27" s="3" customFormat="1" x14ac:dyDescent="0.15">
      <c r="A1075" s="62"/>
      <c r="B1075" s="93"/>
      <c r="C1075" s="102"/>
      <c r="D1075" s="62"/>
      <c r="E1075" s="102"/>
      <c r="F1075" s="102"/>
      <c r="G1075" s="102"/>
      <c r="H1075" s="85"/>
      <c r="I1075" s="104"/>
      <c r="J1075" s="144"/>
      <c r="K1075" s="61"/>
      <c r="L1075" s="49"/>
      <c r="M1075" s="37"/>
      <c r="N1075" s="37"/>
      <c r="O1075" s="37"/>
      <c r="Y1075" s="4"/>
      <c r="Z1075"/>
      <c r="AA1075"/>
    </row>
    <row r="1076" spans="1:27" s="3" customFormat="1" x14ac:dyDescent="0.15">
      <c r="A1076" s="62"/>
      <c r="B1076" s="93"/>
      <c r="C1076" s="102"/>
      <c r="D1076" s="62"/>
      <c r="E1076" s="102"/>
      <c r="F1076" s="102"/>
      <c r="G1076" s="102"/>
      <c r="H1076" s="85"/>
      <c r="I1076" s="104"/>
      <c r="J1076" s="144"/>
      <c r="K1076" s="61"/>
      <c r="L1076" s="49"/>
      <c r="M1076" s="37"/>
      <c r="N1076" s="37"/>
      <c r="O1076" s="37"/>
      <c r="Y1076" s="4"/>
      <c r="Z1076"/>
      <c r="AA1076"/>
    </row>
    <row r="1077" spans="1:27" s="3" customFormat="1" x14ac:dyDescent="0.15">
      <c r="A1077" s="62"/>
      <c r="B1077" s="93"/>
      <c r="C1077" s="102"/>
      <c r="D1077" s="62"/>
      <c r="E1077" s="102"/>
      <c r="F1077" s="102"/>
      <c r="G1077" s="102"/>
      <c r="H1077" s="85"/>
      <c r="I1077" s="104"/>
      <c r="J1077" s="144"/>
      <c r="K1077" s="61"/>
      <c r="L1077" s="49"/>
      <c r="M1077" s="37"/>
      <c r="N1077" s="37"/>
      <c r="O1077" s="37"/>
      <c r="Y1077" s="4"/>
      <c r="Z1077"/>
      <c r="AA1077"/>
    </row>
    <row r="1078" spans="1:27" s="3" customFormat="1" x14ac:dyDescent="0.15">
      <c r="A1078" s="62"/>
      <c r="B1078" s="93"/>
      <c r="C1078" s="102"/>
      <c r="D1078" s="62"/>
      <c r="E1078" s="102"/>
      <c r="F1078" s="102"/>
      <c r="G1078" s="102"/>
      <c r="H1078" s="85"/>
      <c r="I1078" s="101"/>
      <c r="J1078" s="144"/>
      <c r="K1078" s="61"/>
      <c r="L1078" s="49"/>
      <c r="M1078" s="37"/>
      <c r="N1078" s="37"/>
      <c r="O1078" s="37"/>
      <c r="Y1078" s="4"/>
      <c r="Z1078"/>
      <c r="AA1078"/>
    </row>
    <row r="1079" spans="1:27" s="3" customFormat="1" x14ac:dyDescent="0.15">
      <c r="A1079" s="62"/>
      <c r="B1079" s="93"/>
      <c r="C1079" s="102"/>
      <c r="D1079" s="62"/>
      <c r="E1079" s="102"/>
      <c r="F1079" s="102"/>
      <c r="G1079" s="102"/>
      <c r="H1079" s="85"/>
      <c r="I1079" s="104"/>
      <c r="J1079" s="144"/>
      <c r="K1079" s="61"/>
      <c r="L1079" s="49"/>
      <c r="M1079" s="37"/>
      <c r="N1079" s="37"/>
      <c r="O1079" s="37"/>
      <c r="Y1079" s="4"/>
      <c r="Z1079"/>
      <c r="AA1079"/>
    </row>
    <row r="1080" spans="1:27" s="3" customFormat="1" x14ac:dyDescent="0.15">
      <c r="A1080" s="61"/>
      <c r="B1080" s="93"/>
      <c r="C1080" s="102"/>
      <c r="D1080" s="62"/>
      <c r="E1080" s="102"/>
      <c r="F1080" s="102"/>
      <c r="G1080" s="102"/>
      <c r="H1080" s="85"/>
      <c r="I1080" s="104"/>
      <c r="J1080" s="144"/>
      <c r="K1080" s="61"/>
      <c r="L1080" s="49"/>
      <c r="M1080" s="37"/>
      <c r="N1080" s="37"/>
      <c r="O1080" s="37"/>
      <c r="Y1080" s="4"/>
      <c r="Z1080"/>
      <c r="AA1080"/>
    </row>
    <row r="1081" spans="1:27" s="3" customFormat="1" x14ac:dyDescent="0.15">
      <c r="A1081" s="62"/>
      <c r="B1081" s="93"/>
      <c r="C1081" s="102"/>
      <c r="D1081" s="62"/>
      <c r="E1081" s="102"/>
      <c r="F1081" s="102"/>
      <c r="G1081" s="102"/>
      <c r="H1081" s="85"/>
      <c r="I1081" s="104"/>
      <c r="J1081" s="144"/>
      <c r="K1081" s="61"/>
      <c r="L1081" s="49"/>
      <c r="M1081" s="37"/>
      <c r="N1081" s="37"/>
      <c r="O1081" s="37"/>
      <c r="Y1081" s="4"/>
      <c r="Z1081"/>
      <c r="AA1081"/>
    </row>
    <row r="1082" spans="1:27" s="3" customFormat="1" x14ac:dyDescent="0.15">
      <c r="A1082" s="61"/>
      <c r="B1082" s="93"/>
      <c r="C1082" s="102"/>
      <c r="D1082" s="62"/>
      <c r="E1082" s="102"/>
      <c r="F1082" s="102"/>
      <c r="G1082" s="102"/>
      <c r="H1082" s="85"/>
      <c r="I1082" s="104"/>
      <c r="J1082" s="144"/>
      <c r="K1082" s="61"/>
      <c r="L1082" s="49"/>
      <c r="M1082" s="37"/>
      <c r="N1082" s="37"/>
      <c r="O1082" s="37"/>
      <c r="Y1082" s="4"/>
      <c r="Z1082"/>
      <c r="AA1082"/>
    </row>
    <row r="1083" spans="1:27" s="3" customFormat="1" x14ac:dyDescent="0.15">
      <c r="A1083" s="62"/>
      <c r="B1083" s="93"/>
      <c r="C1083" s="102"/>
      <c r="D1083" s="62"/>
      <c r="E1083" s="102"/>
      <c r="F1083" s="102"/>
      <c r="G1083" s="102"/>
      <c r="H1083" s="85"/>
      <c r="I1083" s="104"/>
      <c r="J1083" s="144"/>
      <c r="K1083" s="61"/>
      <c r="L1083" s="49"/>
      <c r="M1083" s="37"/>
      <c r="N1083" s="37"/>
      <c r="O1083" s="37"/>
      <c r="Y1083" s="4"/>
      <c r="Z1083"/>
      <c r="AA1083"/>
    </row>
    <row r="1084" spans="1:27" s="3" customFormat="1" x14ac:dyDescent="0.15">
      <c r="A1084" s="62"/>
      <c r="B1084" s="93"/>
      <c r="C1084" s="102"/>
      <c r="D1084" s="62"/>
      <c r="E1084" s="102"/>
      <c r="F1084" s="102"/>
      <c r="G1084" s="102"/>
      <c r="H1084" s="85"/>
      <c r="I1084" s="104"/>
      <c r="J1084" s="144"/>
      <c r="K1084" s="61"/>
      <c r="L1084" s="49"/>
      <c r="M1084" s="37"/>
      <c r="N1084" s="37"/>
      <c r="O1084" s="37"/>
      <c r="Y1084" s="4"/>
      <c r="Z1084"/>
      <c r="AA1084"/>
    </row>
    <row r="1085" spans="1:27" s="3" customFormat="1" x14ac:dyDescent="0.15">
      <c r="A1085" s="62"/>
      <c r="B1085" s="93"/>
      <c r="C1085" s="102"/>
      <c r="D1085" s="62"/>
      <c r="E1085" s="102"/>
      <c r="F1085" s="102"/>
      <c r="G1085" s="102"/>
      <c r="H1085" s="85"/>
      <c r="I1085" s="104"/>
      <c r="J1085" s="144"/>
      <c r="K1085" s="61"/>
      <c r="L1085" s="49"/>
      <c r="M1085" s="37"/>
      <c r="N1085" s="37"/>
      <c r="O1085" s="37"/>
      <c r="Y1085" s="4"/>
      <c r="Z1085"/>
      <c r="AA1085"/>
    </row>
    <row r="1086" spans="1:27" s="3" customFormat="1" x14ac:dyDescent="0.15">
      <c r="A1086" s="62"/>
      <c r="B1086" s="93"/>
      <c r="C1086" s="102"/>
      <c r="D1086" s="62"/>
      <c r="E1086" s="102"/>
      <c r="F1086" s="102"/>
      <c r="G1086" s="102"/>
      <c r="H1086" s="85"/>
      <c r="I1086" s="104"/>
      <c r="J1086" s="144"/>
      <c r="K1086" s="61"/>
      <c r="L1086" s="49"/>
      <c r="M1086" s="37"/>
      <c r="N1086" s="37"/>
      <c r="O1086" s="37"/>
      <c r="Y1086" s="4"/>
      <c r="Z1086"/>
      <c r="AA1086"/>
    </row>
    <row r="1087" spans="1:27" x14ac:dyDescent="0.15">
      <c r="A1087" s="62"/>
      <c r="B1087" s="93"/>
      <c r="C1087" s="102"/>
      <c r="D1087" s="62"/>
      <c r="E1087" s="102"/>
      <c r="F1087" s="102"/>
      <c r="G1087" s="102"/>
      <c r="H1087" s="98"/>
      <c r="I1087" s="98"/>
      <c r="J1087" s="135"/>
      <c r="K1087" s="61"/>
    </row>
    <row r="1088" spans="1:27" x14ac:dyDescent="0.15">
      <c r="A1088" s="62"/>
      <c r="B1088" s="93"/>
      <c r="C1088" s="102"/>
      <c r="D1088" s="62"/>
      <c r="E1088" s="102"/>
      <c r="F1088" s="102"/>
      <c r="G1088" s="102"/>
      <c r="H1088" s="98"/>
      <c r="I1088" s="98"/>
      <c r="J1088" s="135"/>
      <c r="K1088" s="61"/>
    </row>
    <row r="1089" spans="1:27" x14ac:dyDescent="0.15">
      <c r="A1089" s="62"/>
      <c r="B1089" s="93"/>
      <c r="C1089" s="102"/>
      <c r="D1089" s="62"/>
      <c r="E1089" s="102"/>
      <c r="F1089" s="102"/>
      <c r="G1089" s="102"/>
      <c r="H1089" s="98"/>
      <c r="I1089" s="98"/>
      <c r="J1089" s="135"/>
      <c r="K1089" s="61"/>
    </row>
    <row r="1090" spans="1:27" x14ac:dyDescent="0.15">
      <c r="A1090" s="62"/>
      <c r="B1090" s="93"/>
      <c r="C1090" s="102"/>
      <c r="D1090" s="62"/>
      <c r="E1090" s="102"/>
      <c r="F1090" s="102"/>
      <c r="G1090" s="102"/>
      <c r="H1090" s="98"/>
      <c r="I1090" s="98"/>
      <c r="J1090" s="135"/>
      <c r="K1090" s="61"/>
      <c r="P1090" s="14"/>
      <c r="Q1090" s="14"/>
    </row>
    <row r="1091" spans="1:27" x14ac:dyDescent="0.15">
      <c r="A1091" s="62"/>
      <c r="B1091" s="93"/>
      <c r="C1091" s="102"/>
      <c r="D1091" s="62"/>
      <c r="E1091" s="102"/>
      <c r="F1091" s="102"/>
      <c r="G1091" s="102"/>
      <c r="H1091" s="98"/>
      <c r="I1091" s="98"/>
      <c r="J1091" s="135"/>
      <c r="K1091" s="61"/>
    </row>
    <row r="1092" spans="1:27" x14ac:dyDescent="0.15">
      <c r="A1092" s="62"/>
      <c r="B1092" s="93"/>
      <c r="C1092" s="102"/>
      <c r="D1092" s="62"/>
      <c r="E1092" s="102"/>
      <c r="F1092" s="102"/>
      <c r="G1092" s="102"/>
      <c r="H1092" s="98"/>
      <c r="I1092" s="98"/>
      <c r="J1092" s="135"/>
      <c r="K1092" s="61"/>
      <c r="P1092" s="14"/>
      <c r="Q1092" s="14"/>
      <c r="R1092" s="14"/>
      <c r="S1092" s="14"/>
      <c r="T1092" s="14"/>
      <c r="U1092" s="14"/>
      <c r="V1092" s="14"/>
      <c r="W1092" s="14"/>
      <c r="X1092" s="14"/>
      <c r="Y1092" s="17"/>
      <c r="Z1092" s="15"/>
      <c r="AA1092" s="15"/>
    </row>
    <row r="1093" spans="1:27" x14ac:dyDescent="0.15">
      <c r="A1093" s="62"/>
      <c r="B1093" s="93"/>
      <c r="C1093" s="102"/>
      <c r="D1093" s="62"/>
      <c r="E1093" s="102"/>
      <c r="F1093" s="102"/>
      <c r="G1093" s="102"/>
      <c r="H1093" s="98"/>
      <c r="I1093" s="98"/>
      <c r="J1093" s="135"/>
      <c r="K1093" s="61"/>
    </row>
    <row r="1094" spans="1:27" x14ac:dyDescent="0.15">
      <c r="A1094" s="62"/>
      <c r="B1094" s="93"/>
      <c r="C1094" s="102"/>
      <c r="D1094" s="62"/>
      <c r="E1094" s="102"/>
      <c r="F1094" s="102"/>
      <c r="G1094" s="102"/>
      <c r="H1094" s="85"/>
      <c r="I1094" s="104"/>
      <c r="J1094" s="144"/>
      <c r="K1094" s="61"/>
      <c r="M1094" s="49"/>
    </row>
    <row r="1095" spans="1:27" x14ac:dyDescent="0.15">
      <c r="A1095" s="62"/>
      <c r="B1095" s="93"/>
      <c r="C1095" s="102"/>
      <c r="D1095" s="62"/>
      <c r="E1095" s="102"/>
      <c r="F1095" s="102"/>
      <c r="G1095" s="102"/>
      <c r="H1095" s="85"/>
      <c r="I1095" s="104"/>
      <c r="J1095" s="144"/>
      <c r="K1095" s="61"/>
    </row>
    <row r="1096" spans="1:27" x14ac:dyDescent="0.15">
      <c r="A1096" s="62"/>
      <c r="B1096" s="93"/>
      <c r="C1096" s="102"/>
      <c r="D1096" s="62"/>
      <c r="E1096" s="102"/>
      <c r="F1096" s="102"/>
      <c r="G1096" s="102"/>
      <c r="H1096" s="85"/>
      <c r="I1096" s="104"/>
      <c r="J1096" s="144"/>
      <c r="K1096" s="61"/>
    </row>
    <row r="1097" spans="1:27" x14ac:dyDescent="0.15">
      <c r="A1097" s="62"/>
      <c r="B1097" s="93"/>
      <c r="C1097" s="102"/>
      <c r="D1097" s="62"/>
      <c r="E1097" s="102"/>
      <c r="F1097" s="102"/>
      <c r="G1097" s="102"/>
      <c r="H1097" s="85"/>
      <c r="I1097" s="104"/>
      <c r="J1097" s="144"/>
      <c r="K1097" s="61"/>
    </row>
    <row r="1098" spans="1:27" x14ac:dyDescent="0.15">
      <c r="A1098" s="62"/>
      <c r="B1098" s="93"/>
      <c r="C1098" s="102"/>
      <c r="D1098" s="62"/>
      <c r="E1098" s="102"/>
      <c r="F1098" s="102"/>
      <c r="G1098" s="102"/>
      <c r="H1098" s="85"/>
      <c r="I1098" s="104"/>
      <c r="J1098" s="144"/>
      <c r="K1098" s="61"/>
    </row>
    <row r="1099" spans="1:27" x14ac:dyDescent="0.15">
      <c r="A1099" s="62"/>
      <c r="B1099" s="93"/>
      <c r="C1099" s="102"/>
      <c r="D1099" s="62"/>
      <c r="E1099" s="102"/>
      <c r="F1099" s="102"/>
      <c r="G1099" s="102"/>
      <c r="H1099" s="85"/>
      <c r="I1099" s="104"/>
      <c r="J1099" s="144"/>
      <c r="K1099" s="61"/>
    </row>
    <row r="1100" spans="1:27" x14ac:dyDescent="0.15">
      <c r="A1100" s="62"/>
      <c r="B1100" s="93"/>
      <c r="C1100" s="102"/>
      <c r="D1100" s="62"/>
      <c r="E1100" s="102"/>
      <c r="F1100" s="102"/>
      <c r="G1100" s="102"/>
      <c r="H1100" s="85"/>
      <c r="I1100" s="104"/>
      <c r="J1100" s="144"/>
      <c r="K1100" s="61"/>
    </row>
    <row r="1101" spans="1:27" x14ac:dyDescent="0.15">
      <c r="A1101" s="62"/>
      <c r="B1101" s="93"/>
      <c r="C1101" s="102"/>
      <c r="D1101" s="62"/>
      <c r="E1101" s="102"/>
      <c r="F1101" s="102"/>
      <c r="G1101" s="102"/>
      <c r="H1101" s="85"/>
      <c r="I1101" s="104"/>
      <c r="J1101" s="144"/>
      <c r="K1101" s="61"/>
      <c r="R1101" s="14"/>
      <c r="S1101" s="14"/>
      <c r="T1101" s="14"/>
      <c r="U1101" s="14"/>
      <c r="V1101" s="14"/>
      <c r="W1101" s="14"/>
      <c r="X1101" s="14"/>
      <c r="Y1101" s="17"/>
      <c r="Z1101" s="15"/>
      <c r="AA1101" s="15"/>
    </row>
    <row r="1102" spans="1:27" x14ac:dyDescent="0.15">
      <c r="A1102" s="62"/>
      <c r="B1102" s="93"/>
      <c r="C1102" s="102"/>
      <c r="D1102" s="62"/>
      <c r="E1102" s="102"/>
      <c r="F1102" s="102"/>
      <c r="G1102" s="102"/>
      <c r="H1102" s="98"/>
      <c r="I1102" s="98"/>
      <c r="J1102" s="135"/>
      <c r="K1102" s="61"/>
    </row>
    <row r="1103" spans="1:27" s="3" customFormat="1" x14ac:dyDescent="0.15">
      <c r="A1103" s="62"/>
      <c r="B1103" s="93"/>
      <c r="C1103" s="102"/>
      <c r="D1103" s="62"/>
      <c r="E1103" s="102"/>
      <c r="F1103" s="102"/>
      <c r="G1103" s="102"/>
      <c r="H1103" s="85"/>
      <c r="I1103" s="104"/>
      <c r="J1103" s="144"/>
      <c r="K1103" s="61"/>
      <c r="L1103" s="49"/>
      <c r="M1103" s="37"/>
      <c r="N1103" s="37"/>
      <c r="O1103" s="37"/>
      <c r="Y1103" s="4"/>
      <c r="Z1103"/>
      <c r="AA1103"/>
    </row>
    <row r="1104" spans="1:27" s="3" customFormat="1" x14ac:dyDescent="0.15">
      <c r="A1104" s="62"/>
      <c r="B1104" s="93"/>
      <c r="C1104" s="102"/>
      <c r="D1104" s="62"/>
      <c r="E1104" s="102"/>
      <c r="F1104" s="102"/>
      <c r="G1104" s="102"/>
      <c r="H1104" s="85"/>
      <c r="I1104" s="104"/>
      <c r="J1104" s="144"/>
      <c r="K1104" s="61"/>
      <c r="L1104" s="49"/>
      <c r="M1104" s="49"/>
      <c r="N1104" s="37"/>
      <c r="O1104" s="37"/>
      <c r="Y1104" s="4"/>
      <c r="Z1104"/>
      <c r="AA1104"/>
    </row>
    <row r="1105" spans="1:27" s="3" customFormat="1" x14ac:dyDescent="0.15">
      <c r="A1105" s="62"/>
      <c r="B1105" s="93"/>
      <c r="C1105" s="102"/>
      <c r="D1105" s="62"/>
      <c r="E1105" s="102"/>
      <c r="F1105" s="102"/>
      <c r="G1105" s="102"/>
      <c r="H1105" s="85"/>
      <c r="I1105" s="104"/>
      <c r="J1105" s="144"/>
      <c r="K1105" s="61"/>
      <c r="L1105" s="49"/>
      <c r="M1105" s="37"/>
      <c r="N1105" s="37"/>
      <c r="O1105" s="37"/>
      <c r="Y1105" s="4"/>
      <c r="Z1105"/>
      <c r="AA1105"/>
    </row>
    <row r="1106" spans="1:27" s="3" customFormat="1" x14ac:dyDescent="0.15">
      <c r="A1106" s="62"/>
      <c r="B1106" s="93"/>
      <c r="C1106" s="102"/>
      <c r="D1106" s="62"/>
      <c r="E1106" s="102"/>
      <c r="F1106" s="102"/>
      <c r="G1106" s="102"/>
      <c r="H1106" s="85"/>
      <c r="I1106" s="104"/>
      <c r="J1106" s="144"/>
      <c r="K1106" s="61"/>
      <c r="L1106" s="49"/>
      <c r="M1106" s="37"/>
      <c r="N1106" s="37"/>
      <c r="O1106" s="37"/>
      <c r="Y1106" s="4"/>
      <c r="Z1106"/>
      <c r="AA1106"/>
    </row>
    <row r="1107" spans="1:27" s="3" customFormat="1" x14ac:dyDescent="0.15">
      <c r="A1107" s="62"/>
      <c r="B1107" s="93"/>
      <c r="C1107" s="102"/>
      <c r="D1107" s="62"/>
      <c r="E1107" s="102"/>
      <c r="F1107" s="102"/>
      <c r="G1107" s="102"/>
      <c r="H1107" s="85"/>
      <c r="I1107" s="104"/>
      <c r="J1107" s="144"/>
      <c r="K1107" s="61"/>
      <c r="L1107" s="49"/>
      <c r="M1107" s="37"/>
      <c r="N1107" s="37"/>
      <c r="O1107" s="37"/>
      <c r="Y1107" s="4"/>
      <c r="Z1107"/>
      <c r="AA1107"/>
    </row>
    <row r="1108" spans="1:27" s="3" customFormat="1" x14ac:dyDescent="0.15">
      <c r="A1108" s="62"/>
      <c r="B1108" s="93"/>
      <c r="C1108" s="102"/>
      <c r="D1108" s="62"/>
      <c r="E1108" s="102"/>
      <c r="F1108" s="102"/>
      <c r="G1108" s="102"/>
      <c r="H1108" s="85"/>
      <c r="I1108" s="104"/>
      <c r="J1108" s="144"/>
      <c r="K1108" s="61"/>
      <c r="L1108" s="49"/>
      <c r="M1108" s="37"/>
      <c r="N1108" s="37"/>
      <c r="O1108" s="37"/>
      <c r="Y1108" s="4"/>
      <c r="Z1108"/>
      <c r="AA1108"/>
    </row>
    <row r="1109" spans="1:27" s="3" customFormat="1" x14ac:dyDescent="0.15">
      <c r="A1109" s="62"/>
      <c r="B1109" s="93"/>
      <c r="C1109" s="102"/>
      <c r="D1109" s="62"/>
      <c r="E1109" s="102"/>
      <c r="F1109" s="102"/>
      <c r="G1109" s="102"/>
      <c r="H1109" s="85"/>
      <c r="I1109" s="104"/>
      <c r="J1109" s="144"/>
      <c r="K1109" s="61"/>
      <c r="L1109" s="49"/>
      <c r="M1109" s="37"/>
      <c r="N1109" s="37"/>
      <c r="O1109" s="37"/>
      <c r="Y1109" s="4"/>
      <c r="Z1109"/>
      <c r="AA1109"/>
    </row>
    <row r="1110" spans="1:27" s="3" customFormat="1" x14ac:dyDescent="0.15">
      <c r="A1110" s="62"/>
      <c r="B1110" s="93"/>
      <c r="C1110" s="102"/>
      <c r="D1110" s="62"/>
      <c r="E1110" s="102"/>
      <c r="F1110" s="102"/>
      <c r="G1110" s="102"/>
      <c r="H1110" s="85"/>
      <c r="I1110" s="104"/>
      <c r="J1110" s="144"/>
      <c r="K1110" s="61"/>
      <c r="L1110" s="49"/>
      <c r="M1110" s="37"/>
      <c r="N1110" s="37"/>
      <c r="O1110" s="37"/>
      <c r="P1110" s="12"/>
      <c r="Q1110" s="12"/>
      <c r="Y1110" s="4"/>
      <c r="Z1110"/>
      <c r="AA1110"/>
    </row>
    <row r="1111" spans="1:27" s="3" customFormat="1" x14ac:dyDescent="0.15">
      <c r="A1111" s="62"/>
      <c r="B1111" s="93"/>
      <c r="C1111" s="102"/>
      <c r="D1111" s="62"/>
      <c r="E1111" s="102"/>
      <c r="F1111" s="102"/>
      <c r="G1111" s="102"/>
      <c r="H1111" s="85"/>
      <c r="I1111" s="104"/>
      <c r="J1111" s="144"/>
      <c r="K1111" s="61"/>
      <c r="L1111" s="49"/>
      <c r="M1111" s="37"/>
      <c r="N1111" s="37"/>
      <c r="O1111" s="37"/>
      <c r="Y1111" s="4"/>
      <c r="Z1111"/>
      <c r="AA1111"/>
    </row>
    <row r="1112" spans="1:27" s="3" customFormat="1" x14ac:dyDescent="0.15">
      <c r="A1112" s="62"/>
      <c r="B1112" s="93"/>
      <c r="C1112" s="102"/>
      <c r="D1112" s="62"/>
      <c r="E1112" s="102"/>
      <c r="F1112" s="102"/>
      <c r="G1112" s="102"/>
      <c r="H1112" s="85"/>
      <c r="I1112" s="104"/>
      <c r="J1112" s="144"/>
      <c r="K1112" s="61"/>
      <c r="L1112" s="49"/>
      <c r="M1112" s="37"/>
      <c r="N1112" s="37"/>
      <c r="O1112" s="37"/>
      <c r="Y1112" s="4"/>
      <c r="Z1112"/>
      <c r="AA1112"/>
    </row>
    <row r="1113" spans="1:27" s="3" customFormat="1" x14ac:dyDescent="0.15">
      <c r="A1113" s="62"/>
      <c r="B1113" s="93"/>
      <c r="C1113" s="102"/>
      <c r="D1113" s="62"/>
      <c r="E1113" s="102"/>
      <c r="F1113" s="102"/>
      <c r="G1113" s="102"/>
      <c r="H1113" s="85"/>
      <c r="I1113" s="104"/>
      <c r="J1113" s="144"/>
      <c r="K1113" s="61"/>
      <c r="L1113" s="49"/>
      <c r="M1113" s="37"/>
      <c r="N1113" s="37"/>
      <c r="O1113" s="37"/>
      <c r="Y1113" s="4"/>
      <c r="Z1113"/>
      <c r="AA1113"/>
    </row>
    <row r="1114" spans="1:27" s="3" customFormat="1" x14ac:dyDescent="0.15">
      <c r="A1114" s="62"/>
      <c r="B1114" s="93"/>
      <c r="C1114" s="102"/>
      <c r="D1114" s="62"/>
      <c r="E1114" s="102"/>
      <c r="F1114" s="102"/>
      <c r="G1114" s="102"/>
      <c r="H1114" s="85"/>
      <c r="I1114" s="104"/>
      <c r="J1114" s="144"/>
      <c r="K1114" s="61"/>
      <c r="L1114" s="49"/>
      <c r="M1114" s="37"/>
      <c r="N1114" s="37"/>
      <c r="O1114" s="37"/>
      <c r="Y1114" s="4"/>
      <c r="Z1114"/>
      <c r="AA1114"/>
    </row>
    <row r="1115" spans="1:27" s="3" customFormat="1" x14ac:dyDescent="0.15">
      <c r="A1115" s="62"/>
      <c r="B1115" s="93"/>
      <c r="C1115" s="102"/>
      <c r="D1115" s="62"/>
      <c r="E1115" s="102"/>
      <c r="F1115" s="102"/>
      <c r="G1115" s="102"/>
      <c r="H1115" s="85"/>
      <c r="I1115" s="104"/>
      <c r="J1115" s="144"/>
      <c r="K1115" s="61"/>
      <c r="L1115" s="49"/>
      <c r="M1115" s="37"/>
      <c r="N1115" s="37"/>
      <c r="O1115" s="37"/>
      <c r="Y1115" s="4"/>
      <c r="Z1115"/>
      <c r="AA1115"/>
    </row>
    <row r="1116" spans="1:27" s="3" customFormat="1" x14ac:dyDescent="0.15">
      <c r="A1116" s="62"/>
      <c r="B1116" s="93"/>
      <c r="C1116" s="102"/>
      <c r="D1116" s="62"/>
      <c r="E1116" s="102"/>
      <c r="F1116" s="102"/>
      <c r="G1116" s="102"/>
      <c r="H1116" s="85"/>
      <c r="I1116" s="104"/>
      <c r="J1116" s="144"/>
      <c r="K1116" s="61"/>
      <c r="L1116" s="49"/>
      <c r="M1116" s="37"/>
      <c r="N1116" s="37"/>
      <c r="O1116" s="37"/>
      <c r="Y1116" s="4"/>
      <c r="Z1116"/>
      <c r="AA1116"/>
    </row>
    <row r="1117" spans="1:27" s="3" customFormat="1" x14ac:dyDescent="0.15">
      <c r="A1117" s="62"/>
      <c r="B1117" s="93"/>
      <c r="C1117" s="102"/>
      <c r="D1117" s="62"/>
      <c r="E1117" s="102"/>
      <c r="F1117" s="102"/>
      <c r="G1117" s="102"/>
      <c r="H1117" s="85"/>
      <c r="I1117" s="104"/>
      <c r="J1117" s="144"/>
      <c r="K1117" s="61"/>
      <c r="L1117" s="49"/>
      <c r="M1117" s="37"/>
      <c r="N1117" s="37"/>
      <c r="O1117" s="37"/>
      <c r="Y1117" s="4"/>
      <c r="Z1117"/>
      <c r="AA1117"/>
    </row>
    <row r="1118" spans="1:27" s="3" customFormat="1" x14ac:dyDescent="0.15">
      <c r="A1118" s="62"/>
      <c r="B1118" s="93"/>
      <c r="C1118" s="102"/>
      <c r="D1118" s="62"/>
      <c r="E1118" s="102"/>
      <c r="F1118" s="102"/>
      <c r="G1118" s="102"/>
      <c r="H1118" s="85"/>
      <c r="I1118" s="104"/>
      <c r="J1118" s="144"/>
      <c r="K1118" s="61"/>
      <c r="L1118" s="49"/>
      <c r="M1118" s="37"/>
      <c r="N1118" s="37"/>
      <c r="O1118" s="37"/>
      <c r="Y1118" s="4"/>
      <c r="Z1118"/>
      <c r="AA1118"/>
    </row>
    <row r="1119" spans="1:27" x14ac:dyDescent="0.15">
      <c r="A1119" s="62"/>
      <c r="B1119" s="93"/>
      <c r="C1119" s="102"/>
      <c r="D1119" s="62"/>
      <c r="E1119" s="102"/>
      <c r="F1119" s="102"/>
      <c r="G1119" s="102"/>
      <c r="H1119" s="85"/>
      <c r="I1119" s="104"/>
      <c r="J1119" s="144"/>
      <c r="K1119" s="61"/>
    </row>
    <row r="1120" spans="1:27" x14ac:dyDescent="0.15">
      <c r="A1120" s="62"/>
      <c r="B1120" s="93"/>
      <c r="C1120" s="102"/>
      <c r="D1120" s="62"/>
      <c r="E1120" s="102"/>
      <c r="F1120" s="102"/>
      <c r="G1120" s="102"/>
      <c r="H1120" s="85"/>
      <c r="I1120" s="104"/>
      <c r="J1120" s="144"/>
      <c r="K1120" s="61"/>
    </row>
    <row r="1121" spans="1:27" x14ac:dyDescent="0.15">
      <c r="A1121" s="62"/>
      <c r="B1121" s="93"/>
      <c r="C1121" s="102"/>
      <c r="D1121" s="62"/>
      <c r="E1121" s="102"/>
      <c r="F1121" s="102"/>
      <c r="G1121" s="102"/>
      <c r="H1121" s="85"/>
      <c r="I1121" s="104"/>
      <c r="J1121" s="144"/>
      <c r="K1121" s="61"/>
    </row>
    <row r="1122" spans="1:27" x14ac:dyDescent="0.15">
      <c r="A1122" s="62"/>
      <c r="B1122" s="93"/>
      <c r="C1122" s="102"/>
      <c r="D1122" s="62"/>
      <c r="E1122" s="102"/>
      <c r="F1122" s="102"/>
      <c r="G1122" s="102"/>
      <c r="H1122" s="85"/>
      <c r="I1122" s="104"/>
      <c r="J1122" s="144"/>
      <c r="K1122" s="61"/>
    </row>
    <row r="1123" spans="1:27" x14ac:dyDescent="0.15">
      <c r="A1123" s="62"/>
      <c r="B1123" s="93"/>
      <c r="C1123" s="102"/>
      <c r="D1123" s="62"/>
      <c r="E1123" s="102"/>
      <c r="F1123" s="102"/>
      <c r="G1123" s="102"/>
      <c r="H1123" s="85"/>
      <c r="I1123" s="104"/>
      <c r="J1123" s="144"/>
      <c r="K1123" s="61"/>
    </row>
    <row r="1124" spans="1:27" x14ac:dyDescent="0.15">
      <c r="A1124" s="62"/>
      <c r="B1124" s="93"/>
      <c r="C1124" s="102"/>
      <c r="D1124" s="62"/>
      <c r="E1124" s="102"/>
      <c r="F1124" s="102"/>
      <c r="G1124" s="102"/>
      <c r="H1124" s="85"/>
      <c r="I1124" s="104"/>
      <c r="J1124" s="144"/>
      <c r="K1124" s="61"/>
      <c r="M1124" s="49"/>
    </row>
    <row r="1125" spans="1:27" x14ac:dyDescent="0.15">
      <c r="A1125" s="62"/>
      <c r="B1125" s="93"/>
      <c r="C1125" s="102"/>
      <c r="D1125" s="62"/>
      <c r="E1125" s="102"/>
      <c r="F1125" s="102"/>
      <c r="G1125" s="102"/>
      <c r="H1125" s="85"/>
      <c r="I1125" s="104"/>
      <c r="J1125" s="144"/>
      <c r="K1125" s="61"/>
    </row>
    <row r="1126" spans="1:27" x14ac:dyDescent="0.15">
      <c r="A1126" s="62"/>
      <c r="B1126" s="93"/>
      <c r="C1126" s="102"/>
      <c r="D1126" s="62"/>
      <c r="E1126" s="102"/>
      <c r="F1126" s="102"/>
      <c r="G1126" s="102"/>
      <c r="H1126" s="85"/>
      <c r="I1126" s="104"/>
      <c r="J1126" s="144"/>
      <c r="K1126" s="61"/>
    </row>
    <row r="1127" spans="1:27" x14ac:dyDescent="0.15">
      <c r="A1127" s="62"/>
      <c r="B1127" s="93"/>
      <c r="C1127" s="102"/>
      <c r="D1127" s="62"/>
      <c r="E1127" s="102"/>
      <c r="F1127" s="102"/>
      <c r="G1127" s="102"/>
      <c r="H1127" s="98"/>
      <c r="I1127" s="98"/>
      <c r="J1127" s="135"/>
      <c r="K1127" s="61"/>
    </row>
    <row r="1128" spans="1:27" x14ac:dyDescent="0.15">
      <c r="A1128" s="62"/>
      <c r="B1128" s="93"/>
      <c r="C1128" s="102"/>
      <c r="D1128" s="62"/>
      <c r="E1128" s="102"/>
      <c r="F1128" s="102"/>
      <c r="G1128" s="102"/>
      <c r="H1128" s="98"/>
      <c r="I1128" s="98"/>
      <c r="J1128" s="135"/>
      <c r="K1128" s="61"/>
    </row>
    <row r="1129" spans="1:27" x14ac:dyDescent="0.15">
      <c r="A1129" s="62"/>
      <c r="B1129" s="93"/>
      <c r="C1129" s="102"/>
      <c r="D1129" s="62"/>
      <c r="E1129" s="102"/>
      <c r="F1129" s="102"/>
      <c r="G1129" s="102"/>
      <c r="H1129" s="98"/>
      <c r="I1129" s="98"/>
      <c r="J1129" s="135"/>
      <c r="K1129" s="61"/>
      <c r="R1129" s="14"/>
      <c r="S1129" s="14"/>
      <c r="T1129" s="14"/>
      <c r="U1129" s="14"/>
      <c r="V1129" s="14"/>
      <c r="W1129" s="14"/>
      <c r="X1129" s="14"/>
      <c r="Y1129" s="17"/>
      <c r="Z1129" s="15"/>
      <c r="AA1129" s="15"/>
    </row>
    <row r="1130" spans="1:27" x14ac:dyDescent="0.15">
      <c r="A1130" s="62"/>
      <c r="B1130" s="93"/>
      <c r="C1130" s="102"/>
      <c r="D1130" s="62"/>
      <c r="E1130" s="102"/>
      <c r="F1130" s="102"/>
      <c r="G1130" s="102"/>
      <c r="H1130" s="85"/>
      <c r="I1130" s="104"/>
      <c r="J1130" s="144"/>
      <c r="K1130" s="61"/>
    </row>
    <row r="1131" spans="1:27" x14ac:dyDescent="0.15">
      <c r="A1131" s="62"/>
      <c r="B1131" s="93"/>
      <c r="C1131" s="102"/>
      <c r="D1131" s="62"/>
      <c r="E1131" s="102"/>
      <c r="F1131" s="102"/>
      <c r="G1131" s="102"/>
      <c r="H1131" s="85"/>
      <c r="I1131" s="104"/>
      <c r="J1131" s="144"/>
      <c r="K1131" s="61"/>
    </row>
    <row r="1132" spans="1:27" x14ac:dyDescent="0.15">
      <c r="A1132" s="62"/>
      <c r="B1132" s="93"/>
      <c r="C1132" s="102"/>
      <c r="D1132" s="62"/>
      <c r="E1132" s="102"/>
      <c r="F1132" s="102"/>
      <c r="G1132" s="102"/>
      <c r="H1132" s="85"/>
      <c r="I1132" s="104"/>
      <c r="J1132" s="144"/>
      <c r="K1132" s="61"/>
    </row>
    <row r="1133" spans="1:27" x14ac:dyDescent="0.15">
      <c r="A1133" s="62"/>
      <c r="B1133" s="93"/>
      <c r="C1133" s="100"/>
      <c r="D1133" s="61"/>
      <c r="E1133" s="102"/>
      <c r="F1133" s="100"/>
      <c r="G1133" s="100"/>
      <c r="H1133" s="85"/>
      <c r="I1133" s="104"/>
      <c r="J1133" s="144"/>
      <c r="K1133" s="61"/>
    </row>
    <row r="1134" spans="1:27" x14ac:dyDescent="0.15">
      <c r="A1134" s="62"/>
      <c r="B1134" s="93"/>
      <c r="C1134" s="102"/>
      <c r="D1134" s="62"/>
      <c r="E1134" s="102"/>
      <c r="F1134" s="102"/>
      <c r="G1134" s="102"/>
      <c r="H1134" s="85"/>
      <c r="I1134" s="104"/>
      <c r="J1134" s="144"/>
      <c r="K1134" s="61"/>
    </row>
    <row r="1135" spans="1:27" x14ac:dyDescent="0.15">
      <c r="A1135" s="62"/>
      <c r="B1135" s="93"/>
      <c r="C1135" s="102"/>
      <c r="D1135" s="62"/>
      <c r="E1135" s="102"/>
      <c r="F1135" s="102"/>
      <c r="G1135" s="102"/>
      <c r="H1135" s="85"/>
      <c r="I1135" s="104"/>
      <c r="J1135" s="144"/>
      <c r="K1135" s="61"/>
    </row>
    <row r="1136" spans="1:27" x14ac:dyDescent="0.15">
      <c r="A1136" s="62"/>
      <c r="B1136" s="93"/>
      <c r="C1136" s="102"/>
      <c r="D1136" s="62"/>
      <c r="E1136" s="102"/>
      <c r="F1136" s="102"/>
      <c r="G1136" s="102"/>
      <c r="H1136" s="85"/>
      <c r="I1136" s="104"/>
      <c r="J1136" s="144"/>
      <c r="K1136" s="61"/>
    </row>
    <row r="1137" spans="1:27" x14ac:dyDescent="0.15">
      <c r="A1137" s="62"/>
      <c r="B1137" s="93"/>
      <c r="C1137" s="102"/>
      <c r="D1137" s="62"/>
      <c r="E1137" s="102"/>
      <c r="F1137" s="102"/>
      <c r="G1137" s="102"/>
      <c r="H1137" s="85"/>
      <c r="I1137" s="104"/>
      <c r="J1137" s="144"/>
      <c r="K1137" s="61"/>
    </row>
    <row r="1138" spans="1:27" x14ac:dyDescent="0.15">
      <c r="A1138" s="62"/>
      <c r="B1138" s="93"/>
      <c r="C1138" s="102"/>
      <c r="D1138" s="62"/>
      <c r="E1138" s="102"/>
      <c r="F1138" s="102"/>
      <c r="G1138" s="102"/>
      <c r="H1138" s="98"/>
      <c r="I1138" s="98"/>
      <c r="J1138" s="135"/>
      <c r="K1138" s="61"/>
    </row>
    <row r="1139" spans="1:27" x14ac:dyDescent="0.15">
      <c r="A1139" s="62"/>
      <c r="B1139" s="93"/>
      <c r="C1139" s="102"/>
      <c r="D1139" s="62"/>
      <c r="E1139" s="102"/>
      <c r="F1139" s="102"/>
      <c r="G1139" s="102"/>
      <c r="H1139" s="85"/>
      <c r="I1139" s="104"/>
      <c r="J1139" s="144"/>
      <c r="K1139" s="61"/>
    </row>
    <row r="1140" spans="1:27" x14ac:dyDescent="0.15">
      <c r="A1140" s="62"/>
      <c r="B1140" s="93"/>
      <c r="C1140" s="102"/>
      <c r="D1140" s="62"/>
      <c r="E1140" s="102"/>
      <c r="F1140" s="102"/>
      <c r="G1140" s="102"/>
      <c r="H1140" s="85"/>
      <c r="I1140" s="104"/>
      <c r="J1140" s="144"/>
      <c r="K1140" s="61"/>
    </row>
    <row r="1141" spans="1:27" x14ac:dyDescent="0.15">
      <c r="A1141" s="62"/>
      <c r="B1141" s="93"/>
      <c r="C1141" s="102"/>
      <c r="D1141" s="62"/>
      <c r="E1141" s="102"/>
      <c r="F1141" s="102"/>
      <c r="G1141" s="102"/>
      <c r="H1141" s="98"/>
      <c r="I1141" s="98"/>
      <c r="J1141" s="135"/>
      <c r="K1141" s="61"/>
    </row>
    <row r="1142" spans="1:27" x14ac:dyDescent="0.15">
      <c r="A1142" s="62"/>
      <c r="B1142" s="93"/>
      <c r="C1142" s="102"/>
      <c r="D1142" s="62"/>
      <c r="E1142" s="102"/>
      <c r="F1142" s="102"/>
      <c r="G1142" s="102"/>
      <c r="H1142" s="85"/>
      <c r="I1142" s="104"/>
      <c r="J1142" s="144"/>
      <c r="K1142" s="61"/>
    </row>
    <row r="1143" spans="1:27" x14ac:dyDescent="0.15">
      <c r="A1143" s="62"/>
      <c r="B1143" s="93"/>
      <c r="C1143" s="102"/>
      <c r="D1143" s="62"/>
      <c r="E1143" s="102"/>
      <c r="F1143" s="102"/>
      <c r="G1143" s="102"/>
      <c r="H1143" s="85"/>
      <c r="I1143" s="104"/>
      <c r="J1143" s="144"/>
      <c r="K1143" s="61"/>
    </row>
    <row r="1144" spans="1:27" x14ac:dyDescent="0.15">
      <c r="A1144" s="62"/>
      <c r="B1144" s="93"/>
      <c r="C1144" s="102"/>
      <c r="D1144" s="62"/>
      <c r="E1144" s="102"/>
      <c r="F1144" s="102"/>
      <c r="G1144" s="102"/>
      <c r="H1144" s="98"/>
      <c r="I1144" s="98"/>
      <c r="J1144" s="135"/>
      <c r="K1144" s="61"/>
    </row>
    <row r="1145" spans="1:27" x14ac:dyDescent="0.15">
      <c r="A1145" s="62"/>
      <c r="B1145" s="93"/>
      <c r="C1145" s="102"/>
      <c r="D1145" s="62"/>
      <c r="E1145" s="102"/>
      <c r="F1145" s="102"/>
      <c r="G1145" s="102"/>
      <c r="H1145" s="85"/>
      <c r="I1145" s="104"/>
      <c r="J1145" s="144"/>
      <c r="K1145" s="61"/>
    </row>
    <row r="1146" spans="1:27" x14ac:dyDescent="0.15">
      <c r="A1146" s="62"/>
      <c r="B1146" s="93"/>
      <c r="C1146" s="100"/>
      <c r="D1146" s="61"/>
      <c r="E1146" s="100"/>
      <c r="F1146" s="100"/>
      <c r="G1146" s="100"/>
      <c r="H1146" s="98"/>
      <c r="I1146" s="103"/>
      <c r="J1146" s="135"/>
      <c r="K1146" s="61"/>
    </row>
    <row r="1147" spans="1:27" x14ac:dyDescent="0.15">
      <c r="A1147" s="62"/>
      <c r="B1147" s="93"/>
      <c r="C1147" s="102"/>
      <c r="D1147" s="62"/>
      <c r="E1147" s="100"/>
      <c r="F1147" s="102"/>
      <c r="G1147" s="102"/>
      <c r="H1147" s="85"/>
      <c r="I1147" s="104"/>
      <c r="J1147" s="144"/>
      <c r="K1147" s="61"/>
    </row>
    <row r="1148" spans="1:27" x14ac:dyDescent="0.15">
      <c r="A1148" s="62"/>
      <c r="B1148" s="93"/>
      <c r="C1148" s="102"/>
      <c r="D1148" s="62"/>
      <c r="E1148" s="102"/>
      <c r="F1148" s="102"/>
      <c r="G1148" s="102"/>
      <c r="H1148" s="85"/>
      <c r="I1148" s="104"/>
      <c r="J1148" s="144"/>
      <c r="K1148" s="61"/>
    </row>
    <row r="1149" spans="1:27" x14ac:dyDescent="0.15">
      <c r="A1149" s="62"/>
      <c r="B1149" s="93"/>
      <c r="C1149" s="102"/>
      <c r="D1149" s="62"/>
      <c r="E1149" s="102"/>
      <c r="F1149" s="102"/>
      <c r="G1149" s="102"/>
      <c r="H1149" s="98"/>
      <c r="I1149" s="98"/>
      <c r="J1149" s="135"/>
      <c r="K1149" s="61"/>
    </row>
    <row r="1150" spans="1:27" x14ac:dyDescent="0.15">
      <c r="A1150" s="62"/>
      <c r="B1150" s="93"/>
      <c r="C1150" s="102"/>
      <c r="D1150" s="62"/>
      <c r="E1150" s="102"/>
      <c r="F1150" s="102"/>
      <c r="G1150" s="102"/>
      <c r="H1150" s="85"/>
      <c r="I1150" s="104"/>
      <c r="J1150" s="144"/>
      <c r="K1150" s="61"/>
      <c r="R1150" s="14"/>
      <c r="S1150" s="14"/>
      <c r="T1150" s="14"/>
      <c r="U1150" s="14"/>
      <c r="V1150" s="14"/>
      <c r="W1150" s="14"/>
      <c r="X1150" s="14"/>
      <c r="Y1150" s="17"/>
      <c r="Z1150" s="15"/>
      <c r="AA1150" s="15"/>
    </row>
    <row r="1151" spans="1:27" x14ac:dyDescent="0.15">
      <c r="A1151" s="62"/>
      <c r="B1151" s="93"/>
      <c r="C1151" s="102"/>
      <c r="D1151" s="62"/>
      <c r="E1151" s="102"/>
      <c r="F1151" s="102"/>
      <c r="G1151" s="102"/>
      <c r="H1151" s="85"/>
      <c r="I1151" s="104"/>
      <c r="J1151" s="144"/>
      <c r="K1151" s="61"/>
    </row>
    <row r="1152" spans="1:27" x14ac:dyDescent="0.15">
      <c r="A1152" s="62"/>
      <c r="B1152" s="93"/>
      <c r="C1152" s="102"/>
      <c r="D1152" s="62"/>
      <c r="E1152" s="102"/>
      <c r="F1152" s="102"/>
      <c r="G1152" s="102"/>
      <c r="H1152" s="85"/>
      <c r="I1152" s="104"/>
      <c r="J1152" s="144"/>
      <c r="K1152" s="61"/>
    </row>
    <row r="1153" spans="1:27" x14ac:dyDescent="0.15">
      <c r="A1153" s="62"/>
      <c r="B1153" s="93"/>
      <c r="C1153" s="102"/>
      <c r="D1153" s="62"/>
      <c r="E1153" s="102"/>
      <c r="F1153" s="102"/>
      <c r="G1153" s="102"/>
      <c r="H1153" s="85"/>
      <c r="I1153" s="104"/>
      <c r="J1153" s="144"/>
      <c r="K1153" s="61"/>
    </row>
    <row r="1154" spans="1:27" x14ac:dyDescent="0.15">
      <c r="A1154" s="62"/>
      <c r="B1154" s="93"/>
      <c r="C1154" s="102"/>
      <c r="D1154" s="62"/>
      <c r="E1154" s="102"/>
      <c r="F1154" s="102"/>
      <c r="G1154" s="102"/>
      <c r="H1154" s="85"/>
      <c r="I1154" s="104"/>
      <c r="J1154" s="144"/>
      <c r="K1154" s="61"/>
    </row>
    <row r="1155" spans="1:27" x14ac:dyDescent="0.15">
      <c r="A1155" s="62"/>
      <c r="B1155" s="93"/>
      <c r="C1155" s="102"/>
      <c r="D1155" s="62"/>
      <c r="E1155" s="102"/>
      <c r="F1155" s="102"/>
      <c r="G1155" s="102"/>
      <c r="H1155" s="85"/>
      <c r="I1155" s="104"/>
      <c r="J1155" s="144"/>
      <c r="K1155" s="61"/>
      <c r="R1155" s="14"/>
      <c r="S1155" s="14"/>
      <c r="T1155" s="14"/>
      <c r="U1155" s="14"/>
      <c r="V1155" s="14"/>
      <c r="W1155" s="14"/>
      <c r="X1155" s="14"/>
      <c r="Y1155" s="17"/>
      <c r="Z1155" s="15"/>
      <c r="AA1155" s="15"/>
    </row>
    <row r="1156" spans="1:27" x14ac:dyDescent="0.15">
      <c r="A1156" s="62"/>
      <c r="B1156" s="93"/>
      <c r="C1156" s="102"/>
      <c r="D1156" s="62"/>
      <c r="E1156" s="102"/>
      <c r="F1156" s="102"/>
      <c r="G1156" s="102"/>
      <c r="H1156" s="85"/>
      <c r="I1156" s="104"/>
      <c r="J1156" s="144"/>
      <c r="K1156" s="61"/>
    </row>
    <row r="1157" spans="1:27" x14ac:dyDescent="0.15">
      <c r="A1157" s="62"/>
      <c r="B1157" s="93"/>
      <c r="C1157" s="102"/>
      <c r="D1157" s="62"/>
      <c r="E1157" s="102"/>
      <c r="F1157" s="102"/>
      <c r="G1157" s="102"/>
      <c r="H1157" s="85"/>
      <c r="I1157" s="104"/>
      <c r="J1157" s="144"/>
      <c r="K1157" s="61"/>
    </row>
    <row r="1158" spans="1:27" x14ac:dyDescent="0.15">
      <c r="A1158" s="62"/>
      <c r="B1158" s="93"/>
      <c r="C1158" s="102"/>
      <c r="D1158" s="62"/>
      <c r="E1158" s="102"/>
      <c r="F1158" s="102"/>
      <c r="G1158" s="102"/>
      <c r="H1158" s="85"/>
      <c r="I1158" s="104"/>
      <c r="J1158" s="144"/>
      <c r="K1158" s="61"/>
    </row>
    <row r="1159" spans="1:27" x14ac:dyDescent="0.15">
      <c r="A1159" s="62"/>
      <c r="B1159" s="93"/>
      <c r="C1159" s="102"/>
      <c r="D1159" s="62"/>
      <c r="E1159" s="102"/>
      <c r="F1159" s="102"/>
      <c r="G1159" s="102"/>
      <c r="H1159" s="98"/>
      <c r="I1159" s="98"/>
      <c r="J1159" s="135"/>
      <c r="K1159" s="62"/>
    </row>
    <row r="1160" spans="1:27" x14ac:dyDescent="0.15">
      <c r="A1160" s="62"/>
      <c r="B1160" s="93"/>
      <c r="C1160" s="102"/>
      <c r="D1160" s="62"/>
      <c r="E1160" s="102"/>
      <c r="F1160" s="102"/>
      <c r="G1160" s="102"/>
      <c r="H1160" s="98"/>
      <c r="I1160" s="98"/>
      <c r="J1160" s="135"/>
      <c r="K1160" s="62"/>
    </row>
    <row r="1161" spans="1:27" x14ac:dyDescent="0.15">
      <c r="A1161" s="62"/>
      <c r="B1161" s="93"/>
      <c r="C1161" s="102"/>
      <c r="D1161" s="62"/>
      <c r="E1161" s="102"/>
      <c r="F1161" s="102"/>
      <c r="G1161" s="102"/>
      <c r="H1161" s="98"/>
      <c r="I1161" s="98"/>
      <c r="J1161" s="135"/>
      <c r="K1161" s="62"/>
    </row>
    <row r="1162" spans="1:27" x14ac:dyDescent="0.15">
      <c r="A1162" s="62"/>
      <c r="B1162" s="93"/>
      <c r="C1162" s="102"/>
      <c r="D1162" s="62"/>
      <c r="E1162" s="102"/>
      <c r="F1162" s="102"/>
      <c r="G1162" s="102"/>
      <c r="H1162" s="98"/>
      <c r="I1162" s="98"/>
      <c r="J1162" s="135"/>
      <c r="K1162" s="62"/>
    </row>
    <row r="1163" spans="1:27" x14ac:dyDescent="0.15">
      <c r="A1163" s="62"/>
      <c r="B1163" s="93"/>
      <c r="C1163" s="102"/>
      <c r="D1163" s="62"/>
      <c r="E1163" s="100"/>
      <c r="F1163" s="102"/>
      <c r="G1163" s="102"/>
      <c r="H1163" s="98"/>
      <c r="I1163" s="98"/>
      <c r="J1163" s="135"/>
      <c r="K1163" s="62"/>
    </row>
    <row r="1164" spans="1:27" x14ac:dyDescent="0.15">
      <c r="A1164" s="62"/>
      <c r="B1164" s="93"/>
      <c r="C1164" s="102"/>
      <c r="D1164" s="62"/>
      <c r="E1164" s="102"/>
      <c r="F1164" s="102"/>
      <c r="G1164" s="102"/>
      <c r="H1164" s="85"/>
      <c r="I1164" s="104"/>
      <c r="J1164" s="144"/>
      <c r="K1164" s="62"/>
      <c r="P1164" s="14"/>
      <c r="Q1164" s="14"/>
    </row>
    <row r="1165" spans="1:27" x14ac:dyDescent="0.15">
      <c r="A1165" s="62"/>
      <c r="B1165" s="93"/>
      <c r="C1165" s="102"/>
      <c r="D1165" s="62"/>
      <c r="E1165" s="102"/>
      <c r="F1165" s="102"/>
      <c r="G1165" s="102"/>
      <c r="H1165" s="85"/>
      <c r="I1165" s="104"/>
      <c r="J1165" s="144"/>
      <c r="K1165" s="62"/>
    </row>
    <row r="1166" spans="1:27" x14ac:dyDescent="0.15">
      <c r="A1166" s="62"/>
      <c r="B1166" s="93"/>
      <c r="C1166" s="102"/>
      <c r="D1166" s="62"/>
      <c r="E1166" s="102"/>
      <c r="F1166" s="102"/>
      <c r="G1166" s="102"/>
      <c r="H1166" s="85"/>
      <c r="I1166" s="104"/>
      <c r="J1166" s="144"/>
      <c r="K1166" s="62"/>
    </row>
    <row r="1167" spans="1:27" s="3" customFormat="1" x14ac:dyDescent="0.15">
      <c r="A1167" s="62"/>
      <c r="B1167" s="93"/>
      <c r="C1167" s="102"/>
      <c r="D1167" s="62"/>
      <c r="E1167" s="100"/>
      <c r="F1167" s="102"/>
      <c r="G1167" s="102"/>
      <c r="H1167" s="85"/>
      <c r="I1167" s="104"/>
      <c r="J1167" s="144"/>
      <c r="K1167" s="62"/>
      <c r="L1167" s="49"/>
      <c r="M1167" s="37"/>
      <c r="N1167" s="37"/>
      <c r="O1167" s="37"/>
      <c r="Y1167" s="4"/>
      <c r="Z1167"/>
      <c r="AA1167"/>
    </row>
    <row r="1168" spans="1:27" s="3" customFormat="1" x14ac:dyDescent="0.15">
      <c r="A1168" s="62"/>
      <c r="B1168" s="93"/>
      <c r="C1168" s="100"/>
      <c r="D1168" s="61"/>
      <c r="E1168" s="102"/>
      <c r="F1168" s="100"/>
      <c r="G1168" s="100"/>
      <c r="H1168" s="85"/>
      <c r="I1168" s="101"/>
      <c r="J1168" s="144"/>
      <c r="K1168" s="62"/>
      <c r="L1168" s="49"/>
      <c r="M1168" s="37"/>
      <c r="N1168" s="37"/>
      <c r="O1168" s="37"/>
      <c r="P1168" s="14"/>
      <c r="Q1168" s="14"/>
      <c r="Y1168" s="4"/>
      <c r="Z1168"/>
      <c r="AA1168"/>
    </row>
    <row r="1169" spans="1:27" s="3" customFormat="1" x14ac:dyDescent="0.15">
      <c r="A1169" s="62"/>
      <c r="B1169" s="93"/>
      <c r="C1169" s="102"/>
      <c r="D1169" s="62"/>
      <c r="E1169" s="102"/>
      <c r="F1169" s="102"/>
      <c r="G1169" s="102"/>
      <c r="H1169" s="85"/>
      <c r="I1169" s="104"/>
      <c r="J1169" s="144"/>
      <c r="K1169" s="62"/>
      <c r="L1169" s="49"/>
      <c r="M1169" s="37"/>
      <c r="N1169" s="37"/>
      <c r="O1169" s="37"/>
      <c r="Y1169" s="4"/>
      <c r="Z1169"/>
      <c r="AA1169"/>
    </row>
    <row r="1170" spans="1:27" s="3" customFormat="1" x14ac:dyDescent="0.15">
      <c r="A1170" s="62"/>
      <c r="B1170" s="93"/>
      <c r="C1170" s="102"/>
      <c r="D1170" s="62"/>
      <c r="E1170" s="102"/>
      <c r="F1170" s="102"/>
      <c r="G1170" s="102"/>
      <c r="H1170" s="98"/>
      <c r="I1170" s="98"/>
      <c r="J1170" s="135"/>
      <c r="K1170" s="62"/>
      <c r="L1170" s="49"/>
      <c r="M1170" s="37"/>
      <c r="N1170" s="37"/>
      <c r="O1170" s="37"/>
      <c r="Y1170" s="4"/>
      <c r="Z1170"/>
      <c r="AA1170"/>
    </row>
    <row r="1171" spans="1:27" s="3" customFormat="1" x14ac:dyDescent="0.15">
      <c r="A1171" s="62"/>
      <c r="B1171" s="93"/>
      <c r="C1171" s="102"/>
      <c r="D1171" s="62"/>
      <c r="E1171" s="102"/>
      <c r="F1171" s="102"/>
      <c r="G1171" s="102"/>
      <c r="H1171" s="98"/>
      <c r="I1171" s="98"/>
      <c r="J1171" s="135"/>
      <c r="K1171" s="62"/>
      <c r="L1171" s="49"/>
      <c r="M1171" s="37"/>
      <c r="N1171" s="37"/>
      <c r="O1171" s="37"/>
      <c r="Y1171" s="4"/>
      <c r="Z1171"/>
      <c r="AA1171"/>
    </row>
    <row r="1172" spans="1:27" s="3" customFormat="1" x14ac:dyDescent="0.15">
      <c r="A1172" s="62"/>
      <c r="B1172" s="93"/>
      <c r="C1172" s="102"/>
      <c r="D1172" s="62"/>
      <c r="E1172" s="102"/>
      <c r="F1172" s="102"/>
      <c r="G1172" s="102"/>
      <c r="H1172" s="98"/>
      <c r="I1172" s="98"/>
      <c r="J1172" s="135"/>
      <c r="K1172" s="62"/>
      <c r="L1172" s="49"/>
      <c r="M1172" s="37"/>
      <c r="N1172" s="37"/>
      <c r="O1172" s="37"/>
      <c r="Y1172" s="4"/>
      <c r="Z1172"/>
      <c r="AA1172"/>
    </row>
    <row r="1173" spans="1:27" s="3" customFormat="1" x14ac:dyDescent="0.15">
      <c r="A1173" s="62"/>
      <c r="B1173" s="93"/>
      <c r="C1173" s="102"/>
      <c r="D1173" s="62"/>
      <c r="E1173" s="102"/>
      <c r="F1173" s="102"/>
      <c r="G1173" s="102"/>
      <c r="H1173" s="98"/>
      <c r="I1173" s="98"/>
      <c r="J1173" s="141"/>
      <c r="K1173" s="62"/>
      <c r="L1173" s="49"/>
      <c r="M1173" s="37"/>
      <c r="N1173" s="37"/>
      <c r="O1173" s="37"/>
      <c r="Y1173" s="4"/>
      <c r="Z1173"/>
      <c r="AA1173"/>
    </row>
    <row r="1174" spans="1:27" s="3" customFormat="1" x14ac:dyDescent="0.15">
      <c r="A1174" s="62"/>
      <c r="B1174" s="93"/>
      <c r="C1174" s="102"/>
      <c r="D1174" s="62"/>
      <c r="E1174" s="102"/>
      <c r="F1174" s="102"/>
      <c r="G1174" s="102"/>
      <c r="H1174" s="98"/>
      <c r="I1174" s="98"/>
      <c r="J1174" s="135"/>
      <c r="K1174" s="62"/>
      <c r="L1174" s="49"/>
      <c r="M1174" s="37"/>
      <c r="N1174" s="37"/>
      <c r="O1174" s="37"/>
      <c r="Y1174" s="4"/>
      <c r="Z1174"/>
      <c r="AA1174"/>
    </row>
    <row r="1175" spans="1:27" s="3" customFormat="1" x14ac:dyDescent="0.15">
      <c r="A1175" s="62"/>
      <c r="B1175" s="93"/>
      <c r="C1175" s="102"/>
      <c r="D1175" s="62"/>
      <c r="E1175" s="102"/>
      <c r="F1175" s="102"/>
      <c r="G1175" s="102"/>
      <c r="H1175" s="98"/>
      <c r="I1175" s="98"/>
      <c r="J1175" s="135"/>
      <c r="K1175" s="62"/>
      <c r="L1175" s="49"/>
      <c r="M1175" s="37"/>
      <c r="N1175" s="37"/>
      <c r="O1175" s="37"/>
      <c r="Y1175" s="4"/>
      <c r="Z1175"/>
      <c r="AA1175"/>
    </row>
    <row r="1176" spans="1:27" s="3" customFormat="1" x14ac:dyDescent="0.15">
      <c r="A1176" s="62"/>
      <c r="B1176" s="93"/>
      <c r="C1176" s="102"/>
      <c r="D1176" s="62"/>
      <c r="E1176" s="100"/>
      <c r="F1176" s="102"/>
      <c r="G1176" s="102"/>
      <c r="H1176" s="98"/>
      <c r="I1176" s="98"/>
      <c r="J1176" s="135"/>
      <c r="K1176" s="62"/>
      <c r="L1176" s="49"/>
      <c r="M1176" s="37"/>
      <c r="N1176" s="37"/>
      <c r="O1176" s="37"/>
      <c r="Y1176" s="4"/>
      <c r="Z1176"/>
      <c r="AA1176"/>
    </row>
    <row r="1177" spans="1:27" s="3" customFormat="1" x14ac:dyDescent="0.15">
      <c r="A1177" s="62"/>
      <c r="B1177" s="93"/>
      <c r="C1177" s="100"/>
      <c r="D1177" s="61"/>
      <c r="E1177" s="102"/>
      <c r="F1177" s="100"/>
      <c r="G1177" s="100"/>
      <c r="H1177" s="98"/>
      <c r="I1177" s="98"/>
      <c r="J1177" s="135"/>
      <c r="K1177" s="62"/>
      <c r="L1177" s="49"/>
      <c r="M1177" s="37"/>
      <c r="N1177" s="37"/>
      <c r="O1177" s="37"/>
      <c r="Y1177" s="4"/>
      <c r="Z1177"/>
      <c r="AA1177"/>
    </row>
    <row r="1178" spans="1:27" s="3" customFormat="1" x14ac:dyDescent="0.15">
      <c r="A1178" s="62"/>
      <c r="B1178" s="93"/>
      <c r="C1178" s="102"/>
      <c r="D1178" s="62"/>
      <c r="E1178" s="102"/>
      <c r="F1178" s="102"/>
      <c r="G1178" s="102"/>
      <c r="H1178" s="85"/>
      <c r="I1178" s="104"/>
      <c r="J1178" s="144"/>
      <c r="K1178" s="62"/>
      <c r="L1178" s="49"/>
      <c r="M1178" s="37"/>
      <c r="N1178" s="37"/>
      <c r="O1178" s="37"/>
      <c r="Y1178" s="4"/>
      <c r="Z1178"/>
      <c r="AA1178"/>
    </row>
    <row r="1179" spans="1:27" s="3" customFormat="1" x14ac:dyDescent="0.15">
      <c r="A1179" s="62"/>
      <c r="B1179" s="93"/>
      <c r="C1179" s="102"/>
      <c r="D1179" s="62"/>
      <c r="E1179" s="102"/>
      <c r="F1179" s="102"/>
      <c r="G1179" s="102"/>
      <c r="H1179" s="85"/>
      <c r="I1179" s="104"/>
      <c r="J1179" s="144"/>
      <c r="K1179" s="62"/>
      <c r="L1179" s="49"/>
      <c r="M1179" s="37"/>
      <c r="N1179" s="37"/>
      <c r="O1179" s="37"/>
      <c r="Y1179" s="4"/>
      <c r="Z1179"/>
      <c r="AA1179"/>
    </row>
    <row r="1180" spans="1:27" s="3" customFormat="1" x14ac:dyDescent="0.15">
      <c r="A1180" s="62"/>
      <c r="B1180" s="93"/>
      <c r="C1180" s="102"/>
      <c r="D1180" s="62"/>
      <c r="E1180" s="102"/>
      <c r="F1180" s="102"/>
      <c r="G1180" s="102"/>
      <c r="H1180" s="85"/>
      <c r="I1180" s="104"/>
      <c r="J1180" s="144"/>
      <c r="K1180" s="62"/>
      <c r="L1180" s="49"/>
      <c r="M1180" s="37"/>
      <c r="N1180" s="37"/>
      <c r="O1180" s="37"/>
      <c r="Y1180" s="4"/>
      <c r="Z1180"/>
      <c r="AA1180"/>
    </row>
    <row r="1181" spans="1:27" s="3" customFormat="1" x14ac:dyDescent="0.15">
      <c r="A1181" s="62"/>
      <c r="B1181" s="93"/>
      <c r="C1181" s="102"/>
      <c r="D1181" s="62"/>
      <c r="E1181" s="102"/>
      <c r="F1181" s="102"/>
      <c r="G1181" s="102"/>
      <c r="H1181" s="85"/>
      <c r="I1181" s="104"/>
      <c r="J1181" s="144"/>
      <c r="K1181" s="62"/>
      <c r="L1181" s="49"/>
      <c r="M1181" s="37"/>
      <c r="N1181" s="37"/>
      <c r="O1181" s="37"/>
      <c r="Y1181" s="4"/>
      <c r="Z1181"/>
      <c r="AA1181"/>
    </row>
    <row r="1182" spans="1:27" s="3" customFormat="1" x14ac:dyDescent="0.15">
      <c r="A1182" s="62"/>
      <c r="B1182" s="93"/>
      <c r="C1182" s="102"/>
      <c r="D1182" s="62"/>
      <c r="E1182" s="102"/>
      <c r="F1182" s="102"/>
      <c r="G1182" s="102"/>
      <c r="H1182" s="85"/>
      <c r="I1182" s="104"/>
      <c r="J1182" s="144"/>
      <c r="K1182" s="62"/>
      <c r="L1182" s="49"/>
      <c r="M1182" s="37"/>
      <c r="N1182" s="37"/>
      <c r="O1182" s="37"/>
      <c r="Y1182" s="4"/>
      <c r="Z1182"/>
      <c r="AA1182"/>
    </row>
    <row r="1183" spans="1:27" s="49" customFormat="1" x14ac:dyDescent="0.15">
      <c r="A1183" s="62"/>
      <c r="B1183" s="93"/>
      <c r="C1183" s="102"/>
      <c r="D1183" s="62"/>
      <c r="E1183" s="102"/>
      <c r="F1183" s="102"/>
      <c r="G1183" s="102"/>
      <c r="H1183" s="85"/>
      <c r="I1183" s="104"/>
      <c r="J1183" s="144"/>
      <c r="K1183" s="62"/>
      <c r="M1183" s="37"/>
      <c r="N1183" s="37"/>
      <c r="O1183" s="37"/>
      <c r="P1183" s="3"/>
      <c r="Q1183" s="3"/>
      <c r="R1183" s="3"/>
      <c r="S1183" s="3"/>
      <c r="T1183" s="3"/>
      <c r="U1183" s="3"/>
      <c r="V1183" s="3"/>
      <c r="W1183" s="3"/>
      <c r="X1183" s="3"/>
      <c r="Y1183" s="4"/>
      <c r="Z1183"/>
      <c r="AA1183"/>
    </row>
    <row r="1184" spans="1:27" s="49" customFormat="1" x14ac:dyDescent="0.15">
      <c r="A1184" s="62"/>
      <c r="B1184" s="93"/>
      <c r="C1184" s="102"/>
      <c r="D1184" s="62"/>
      <c r="E1184" s="102"/>
      <c r="F1184" s="102"/>
      <c r="G1184" s="102"/>
      <c r="H1184" s="85"/>
      <c r="I1184" s="104"/>
      <c r="J1184" s="144"/>
      <c r="K1184" s="62"/>
      <c r="M1184" s="37"/>
      <c r="N1184" s="37"/>
      <c r="O1184" s="37"/>
      <c r="P1184" s="3"/>
      <c r="Q1184" s="3"/>
      <c r="R1184" s="3"/>
      <c r="S1184" s="3"/>
      <c r="T1184" s="3"/>
      <c r="U1184" s="3"/>
      <c r="V1184" s="3"/>
      <c r="W1184" s="3"/>
      <c r="X1184" s="3"/>
      <c r="Y1184" s="4"/>
      <c r="Z1184"/>
      <c r="AA1184"/>
    </row>
    <row r="1185" spans="1:27" s="49" customFormat="1" x14ac:dyDescent="0.15">
      <c r="A1185" s="62"/>
      <c r="B1185" s="93"/>
      <c r="C1185" s="102"/>
      <c r="D1185" s="62"/>
      <c r="E1185" s="102"/>
      <c r="F1185" s="102"/>
      <c r="G1185" s="102"/>
      <c r="H1185" s="85"/>
      <c r="I1185" s="104"/>
      <c r="J1185" s="144"/>
      <c r="K1185" s="62"/>
      <c r="M1185" s="37"/>
      <c r="N1185" s="37"/>
      <c r="O1185" s="37"/>
      <c r="P1185" s="3"/>
      <c r="Q1185" s="3"/>
      <c r="R1185" s="3"/>
      <c r="S1185" s="3"/>
      <c r="T1185" s="3"/>
      <c r="U1185" s="3"/>
      <c r="V1185" s="3"/>
      <c r="W1185" s="3"/>
      <c r="X1185" s="3"/>
      <c r="Y1185" s="4"/>
      <c r="Z1185"/>
      <c r="AA1185"/>
    </row>
    <row r="1186" spans="1:27" s="49" customFormat="1" x14ac:dyDescent="0.15">
      <c r="A1186" s="62"/>
      <c r="B1186" s="93"/>
      <c r="C1186" s="102"/>
      <c r="D1186" s="62"/>
      <c r="E1186" s="102"/>
      <c r="F1186" s="102"/>
      <c r="G1186" s="102"/>
      <c r="H1186" s="85"/>
      <c r="I1186" s="104"/>
      <c r="J1186" s="144"/>
      <c r="K1186" s="62"/>
      <c r="M1186" s="37"/>
      <c r="N1186" s="37"/>
      <c r="O1186" s="37"/>
      <c r="P1186" s="3"/>
      <c r="Q1186" s="3"/>
      <c r="R1186" s="3"/>
      <c r="S1186" s="3"/>
      <c r="T1186" s="3"/>
      <c r="U1186" s="3"/>
      <c r="V1186" s="3"/>
      <c r="W1186" s="3"/>
      <c r="X1186" s="3"/>
      <c r="Y1186" s="4"/>
      <c r="Z1186"/>
      <c r="AA1186"/>
    </row>
    <row r="1187" spans="1:27" s="49" customFormat="1" x14ac:dyDescent="0.15">
      <c r="A1187" s="62"/>
      <c r="B1187" s="93"/>
      <c r="C1187" s="102"/>
      <c r="D1187" s="62"/>
      <c r="E1187" s="102"/>
      <c r="F1187" s="102"/>
      <c r="G1187" s="102"/>
      <c r="H1187" s="85"/>
      <c r="I1187" s="104"/>
      <c r="J1187" s="144"/>
      <c r="K1187" s="62"/>
      <c r="M1187" s="37"/>
      <c r="N1187" s="37"/>
      <c r="O1187" s="37"/>
      <c r="P1187" s="3"/>
      <c r="Q1187" s="3"/>
      <c r="R1187" s="3"/>
      <c r="S1187" s="3"/>
      <c r="T1187" s="3"/>
      <c r="U1187" s="3"/>
      <c r="V1187" s="3"/>
      <c r="W1187" s="3"/>
      <c r="X1187" s="3"/>
      <c r="Y1187" s="4"/>
      <c r="Z1187"/>
      <c r="AA1187"/>
    </row>
    <row r="1188" spans="1:27" s="49" customFormat="1" x14ac:dyDescent="0.15">
      <c r="A1188" s="62"/>
      <c r="B1188" s="93"/>
      <c r="C1188" s="102"/>
      <c r="D1188" s="62"/>
      <c r="E1188" s="102"/>
      <c r="F1188" s="102"/>
      <c r="G1188" s="102"/>
      <c r="H1188" s="85"/>
      <c r="I1188" s="104"/>
      <c r="J1188" s="144"/>
      <c r="K1188" s="62"/>
      <c r="M1188" s="37"/>
      <c r="N1188" s="37"/>
      <c r="O1188" s="37"/>
      <c r="P1188" s="3"/>
      <c r="Q1188" s="3"/>
      <c r="R1188" s="3"/>
      <c r="S1188" s="3"/>
      <c r="T1188" s="3"/>
      <c r="U1188" s="3"/>
      <c r="V1188" s="3"/>
      <c r="W1188" s="3"/>
      <c r="X1188" s="3"/>
      <c r="Y1188" s="4"/>
      <c r="Z1188"/>
      <c r="AA1188"/>
    </row>
    <row r="1189" spans="1:27" s="49" customFormat="1" x14ac:dyDescent="0.15">
      <c r="A1189" s="62"/>
      <c r="B1189" s="93"/>
      <c r="C1189" s="102"/>
      <c r="D1189" s="62"/>
      <c r="E1189" s="102"/>
      <c r="F1189" s="102"/>
      <c r="G1189" s="102"/>
      <c r="H1189" s="85"/>
      <c r="I1189" s="104"/>
      <c r="J1189" s="143"/>
      <c r="K1189" s="61"/>
      <c r="M1189" s="37"/>
      <c r="N1189" s="37"/>
      <c r="O1189" s="37"/>
      <c r="P1189" s="3"/>
      <c r="Q1189" s="3"/>
      <c r="R1189" s="3"/>
      <c r="S1189" s="3"/>
      <c r="T1189" s="3"/>
      <c r="U1189" s="3"/>
      <c r="V1189" s="3"/>
      <c r="W1189" s="3"/>
      <c r="X1189" s="3"/>
      <c r="Y1189" s="4"/>
      <c r="Z1189"/>
      <c r="AA1189"/>
    </row>
    <row r="1190" spans="1:27" s="49" customFormat="1" x14ac:dyDescent="0.15">
      <c r="A1190" s="62"/>
      <c r="B1190" s="93"/>
      <c r="C1190" s="102"/>
      <c r="D1190" s="62"/>
      <c r="E1190" s="102"/>
      <c r="F1190" s="102"/>
      <c r="G1190" s="102"/>
      <c r="H1190" s="85"/>
      <c r="I1190" s="104"/>
      <c r="J1190" s="144"/>
      <c r="K1190" s="62"/>
      <c r="M1190" s="37"/>
      <c r="N1190" s="37"/>
      <c r="O1190" s="37"/>
      <c r="P1190" s="3"/>
      <c r="Q1190" s="3"/>
      <c r="R1190" s="3"/>
      <c r="S1190" s="3"/>
      <c r="T1190" s="3"/>
      <c r="U1190" s="3"/>
      <c r="V1190" s="3"/>
      <c r="W1190" s="3"/>
      <c r="X1190" s="3"/>
      <c r="Y1190" s="4"/>
      <c r="Z1190"/>
      <c r="AA1190"/>
    </row>
    <row r="1191" spans="1:27" s="49" customFormat="1" x14ac:dyDescent="0.15">
      <c r="A1191" s="62"/>
      <c r="B1191" s="93"/>
      <c r="C1191" s="102"/>
      <c r="D1191" s="62"/>
      <c r="E1191" s="102"/>
      <c r="F1191" s="102"/>
      <c r="G1191" s="102"/>
      <c r="H1191" s="85"/>
      <c r="I1191" s="104"/>
      <c r="J1191" s="144"/>
      <c r="K1191" s="62"/>
      <c r="M1191" s="37"/>
      <c r="N1191" s="37"/>
      <c r="O1191" s="37"/>
      <c r="P1191" s="3"/>
      <c r="Q1191" s="3"/>
      <c r="R1191" s="3"/>
      <c r="S1191" s="3"/>
      <c r="T1191" s="3"/>
      <c r="U1191" s="3"/>
      <c r="V1191" s="3"/>
      <c r="W1191" s="3"/>
      <c r="X1191" s="3"/>
      <c r="Y1191" s="4"/>
      <c r="Z1191"/>
      <c r="AA1191"/>
    </row>
    <row r="1192" spans="1:27" s="49" customFormat="1" x14ac:dyDescent="0.15">
      <c r="A1192" s="62"/>
      <c r="B1192" s="93"/>
      <c r="C1192" s="102"/>
      <c r="D1192" s="62"/>
      <c r="E1192" s="102"/>
      <c r="F1192" s="102"/>
      <c r="G1192" s="102"/>
      <c r="H1192" s="85"/>
      <c r="I1192" s="104"/>
      <c r="J1192" s="144"/>
      <c r="K1192" s="62"/>
      <c r="M1192" s="37"/>
      <c r="N1192" s="37"/>
      <c r="O1192" s="37"/>
      <c r="P1192" s="3"/>
      <c r="Q1192" s="3"/>
      <c r="R1192" s="3"/>
      <c r="S1192" s="3"/>
      <c r="T1192" s="3"/>
      <c r="U1192" s="3"/>
      <c r="V1192" s="3"/>
      <c r="W1192" s="3"/>
      <c r="X1192" s="3"/>
      <c r="Y1192" s="4"/>
      <c r="Z1192"/>
      <c r="AA1192"/>
    </row>
    <row r="1193" spans="1:27" s="49" customFormat="1" x14ac:dyDescent="0.15">
      <c r="A1193" s="62"/>
      <c r="B1193" s="93"/>
      <c r="C1193" s="102"/>
      <c r="D1193" s="62"/>
      <c r="E1193" s="102"/>
      <c r="F1193" s="102"/>
      <c r="G1193" s="102"/>
      <c r="H1193" s="85"/>
      <c r="I1193" s="104"/>
      <c r="J1193" s="144"/>
      <c r="K1193" s="62"/>
      <c r="M1193" s="37"/>
      <c r="N1193" s="37"/>
      <c r="O1193" s="37"/>
      <c r="P1193" s="3"/>
      <c r="Q1193" s="3"/>
      <c r="R1193" s="3"/>
      <c r="S1193" s="3"/>
      <c r="T1193" s="3"/>
      <c r="U1193" s="3"/>
      <c r="V1193" s="3"/>
      <c r="W1193" s="3"/>
      <c r="X1193" s="3"/>
      <c r="Y1193" s="4"/>
      <c r="Z1193"/>
      <c r="AA1193"/>
    </row>
    <row r="1194" spans="1:27" s="49" customFormat="1" x14ac:dyDescent="0.15">
      <c r="A1194" s="62"/>
      <c r="B1194" s="93"/>
      <c r="C1194" s="102"/>
      <c r="D1194" s="62"/>
      <c r="E1194" s="102"/>
      <c r="F1194" s="102"/>
      <c r="G1194" s="102"/>
      <c r="H1194" s="85"/>
      <c r="I1194" s="104"/>
      <c r="J1194" s="144"/>
      <c r="K1194" s="62"/>
      <c r="M1194" s="37"/>
      <c r="N1194" s="37"/>
      <c r="O1194" s="37"/>
      <c r="P1194" s="3"/>
      <c r="Q1194" s="3"/>
      <c r="R1194" s="3"/>
      <c r="S1194" s="3"/>
      <c r="T1194" s="3"/>
      <c r="U1194" s="3"/>
      <c r="V1194" s="3"/>
      <c r="W1194" s="3"/>
      <c r="X1194" s="3"/>
      <c r="Y1194" s="4"/>
      <c r="Z1194"/>
      <c r="AA1194"/>
    </row>
    <row r="1195" spans="1:27" s="49" customFormat="1" x14ac:dyDescent="0.15">
      <c r="A1195" s="62"/>
      <c r="B1195" s="93"/>
      <c r="C1195" s="102"/>
      <c r="D1195" s="62"/>
      <c r="E1195" s="102"/>
      <c r="F1195" s="102"/>
      <c r="G1195" s="102"/>
      <c r="H1195" s="85"/>
      <c r="I1195" s="104"/>
      <c r="J1195" s="144"/>
      <c r="K1195" s="62"/>
      <c r="M1195" s="37"/>
      <c r="N1195" s="37"/>
      <c r="O1195" s="37"/>
      <c r="P1195" s="3"/>
      <c r="Q1195" s="3"/>
      <c r="R1195" s="3"/>
      <c r="S1195" s="3"/>
      <c r="T1195" s="3"/>
      <c r="U1195" s="3"/>
      <c r="V1195" s="3"/>
      <c r="W1195" s="3"/>
      <c r="X1195" s="3"/>
      <c r="Y1195" s="4"/>
      <c r="Z1195"/>
      <c r="AA1195"/>
    </row>
    <row r="1196" spans="1:27" s="49" customFormat="1" x14ac:dyDescent="0.15">
      <c r="A1196" s="62"/>
      <c r="B1196" s="93"/>
      <c r="C1196" s="102"/>
      <c r="D1196" s="62"/>
      <c r="E1196" s="102"/>
      <c r="F1196" s="102"/>
      <c r="G1196" s="102"/>
      <c r="H1196" s="85"/>
      <c r="I1196" s="104"/>
      <c r="J1196" s="144"/>
      <c r="K1196" s="62"/>
      <c r="M1196" s="37"/>
      <c r="N1196" s="37"/>
      <c r="O1196" s="37"/>
      <c r="P1196" s="3"/>
      <c r="Q1196" s="3"/>
      <c r="R1196" s="3"/>
      <c r="S1196" s="3"/>
      <c r="T1196" s="3"/>
      <c r="U1196" s="3"/>
      <c r="V1196" s="3"/>
      <c r="W1196" s="3"/>
      <c r="X1196" s="3"/>
      <c r="Y1196" s="4"/>
      <c r="Z1196"/>
      <c r="AA1196"/>
    </row>
    <row r="1197" spans="1:27" s="49" customFormat="1" x14ac:dyDescent="0.15">
      <c r="A1197" s="62"/>
      <c r="B1197" s="93"/>
      <c r="C1197" s="102"/>
      <c r="D1197" s="62"/>
      <c r="E1197" s="102"/>
      <c r="F1197" s="102"/>
      <c r="G1197" s="102"/>
      <c r="H1197" s="85"/>
      <c r="I1197" s="104"/>
      <c r="J1197" s="144"/>
      <c r="K1197" s="62"/>
      <c r="M1197" s="37"/>
      <c r="N1197" s="37"/>
      <c r="O1197" s="37"/>
      <c r="P1197" s="3"/>
      <c r="Q1197" s="3"/>
      <c r="R1197" s="3"/>
      <c r="S1197" s="3"/>
      <c r="T1197" s="3"/>
      <c r="U1197" s="3"/>
      <c r="V1197" s="3"/>
      <c r="W1197" s="3"/>
      <c r="X1197" s="3"/>
      <c r="Y1197" s="4"/>
      <c r="Z1197"/>
      <c r="AA1197"/>
    </row>
    <row r="1198" spans="1:27" s="49" customFormat="1" x14ac:dyDescent="0.15">
      <c r="A1198" s="62"/>
      <c r="B1198" s="93"/>
      <c r="C1198" s="102"/>
      <c r="D1198" s="62"/>
      <c r="E1198" s="102"/>
      <c r="F1198" s="102"/>
      <c r="G1198" s="102"/>
      <c r="H1198" s="85"/>
      <c r="I1198" s="104"/>
      <c r="J1198" s="144"/>
      <c r="K1198" s="62"/>
      <c r="M1198" s="37"/>
      <c r="N1198" s="37"/>
      <c r="O1198" s="37"/>
      <c r="P1198" s="3"/>
      <c r="Q1198" s="3"/>
      <c r="R1198" s="3"/>
      <c r="S1198" s="3"/>
      <c r="T1198" s="3"/>
      <c r="U1198" s="3"/>
      <c r="V1198" s="3"/>
      <c r="W1198" s="3"/>
      <c r="X1198" s="3"/>
      <c r="Y1198" s="4"/>
      <c r="Z1198"/>
      <c r="AA1198"/>
    </row>
    <row r="1199" spans="1:27" x14ac:dyDescent="0.15">
      <c r="A1199" s="62"/>
      <c r="B1199" s="93"/>
      <c r="C1199" s="102"/>
      <c r="D1199" s="62"/>
      <c r="E1199" s="102"/>
      <c r="F1199" s="102"/>
      <c r="G1199" s="102"/>
      <c r="H1199" s="85"/>
      <c r="I1199" s="104"/>
      <c r="J1199" s="144"/>
      <c r="K1199" s="62"/>
    </row>
    <row r="1200" spans="1:27" x14ac:dyDescent="0.15">
      <c r="A1200" s="62"/>
      <c r="B1200" s="93"/>
      <c r="C1200" s="102"/>
      <c r="D1200" s="62"/>
      <c r="E1200" s="102"/>
      <c r="F1200" s="102"/>
      <c r="G1200" s="102"/>
      <c r="H1200" s="85"/>
      <c r="I1200" s="104"/>
      <c r="J1200" s="144"/>
      <c r="K1200" s="62"/>
    </row>
    <row r="1201" spans="1:27" x14ac:dyDescent="0.15">
      <c r="A1201" s="62"/>
      <c r="B1201" s="93"/>
      <c r="C1201" s="102"/>
      <c r="D1201" s="62"/>
      <c r="E1201" s="100"/>
      <c r="F1201" s="102"/>
      <c r="G1201" s="102"/>
      <c r="H1201" s="85"/>
      <c r="I1201" s="104"/>
      <c r="J1201" s="144"/>
      <c r="K1201" s="62"/>
    </row>
    <row r="1202" spans="1:27" x14ac:dyDescent="0.15">
      <c r="A1202" s="62"/>
      <c r="B1202" s="93"/>
      <c r="C1202" s="100"/>
      <c r="D1202" s="61"/>
      <c r="E1202" s="100"/>
      <c r="F1202" s="100"/>
      <c r="G1202" s="100"/>
      <c r="H1202" s="85"/>
      <c r="I1202" s="103"/>
      <c r="J1202" s="135"/>
      <c r="K1202" s="62"/>
    </row>
    <row r="1203" spans="1:27" x14ac:dyDescent="0.15">
      <c r="A1203" s="62"/>
      <c r="B1203" s="93"/>
      <c r="C1203" s="102"/>
      <c r="D1203" s="62"/>
      <c r="E1203" s="102"/>
      <c r="F1203" s="102"/>
      <c r="G1203" s="102"/>
      <c r="H1203" s="98"/>
      <c r="I1203" s="98"/>
      <c r="J1203" s="135"/>
      <c r="K1203" s="62"/>
    </row>
    <row r="1204" spans="1:27" x14ac:dyDescent="0.15">
      <c r="A1204" s="62"/>
      <c r="B1204" s="93"/>
      <c r="C1204" s="102"/>
      <c r="D1204" s="62"/>
      <c r="E1204" s="102"/>
      <c r="F1204" s="102"/>
      <c r="G1204" s="102"/>
      <c r="H1204" s="98"/>
      <c r="I1204" s="98"/>
      <c r="J1204" s="135"/>
      <c r="K1204" s="62"/>
    </row>
    <row r="1205" spans="1:27" x14ac:dyDescent="0.15">
      <c r="A1205" s="62"/>
      <c r="B1205" s="93"/>
      <c r="C1205" s="102"/>
      <c r="D1205" s="62"/>
      <c r="E1205" s="102"/>
      <c r="F1205" s="102"/>
      <c r="G1205" s="102"/>
      <c r="H1205" s="85"/>
      <c r="I1205" s="104"/>
      <c r="J1205" s="144"/>
      <c r="K1205" s="62"/>
    </row>
    <row r="1206" spans="1:27" x14ac:dyDescent="0.15">
      <c r="A1206" s="62"/>
      <c r="B1206" s="93"/>
      <c r="C1206" s="102"/>
      <c r="D1206" s="62"/>
      <c r="E1206" s="102"/>
      <c r="F1206" s="102"/>
      <c r="G1206" s="102"/>
      <c r="H1206" s="85"/>
      <c r="I1206" s="104"/>
      <c r="J1206" s="144"/>
      <c r="K1206" s="62"/>
    </row>
    <row r="1207" spans="1:27" x14ac:dyDescent="0.15">
      <c r="A1207" s="62"/>
      <c r="B1207" s="93"/>
      <c r="C1207" s="102"/>
      <c r="D1207" s="62"/>
      <c r="E1207" s="102"/>
      <c r="F1207" s="102"/>
      <c r="G1207" s="102"/>
      <c r="H1207" s="85"/>
      <c r="I1207" s="104"/>
      <c r="J1207" s="144"/>
      <c r="K1207" s="62"/>
    </row>
    <row r="1208" spans="1:27" x14ac:dyDescent="0.15">
      <c r="A1208" s="62"/>
      <c r="B1208" s="93"/>
      <c r="C1208" s="102"/>
      <c r="D1208" s="62"/>
      <c r="E1208" s="102"/>
      <c r="F1208" s="102"/>
      <c r="G1208" s="102"/>
      <c r="H1208" s="85"/>
      <c r="I1208" s="104"/>
      <c r="J1208" s="144"/>
      <c r="K1208" s="62"/>
    </row>
    <row r="1209" spans="1:27" x14ac:dyDescent="0.15">
      <c r="A1209" s="62"/>
      <c r="B1209" s="93"/>
      <c r="C1209" s="102"/>
      <c r="D1209" s="62"/>
      <c r="E1209" s="102"/>
      <c r="F1209" s="102"/>
      <c r="G1209" s="102"/>
      <c r="H1209" s="85"/>
      <c r="I1209" s="104"/>
      <c r="J1209" s="144"/>
      <c r="K1209" s="62"/>
    </row>
    <row r="1210" spans="1:27" x14ac:dyDescent="0.15">
      <c r="A1210" s="62"/>
      <c r="B1210" s="93"/>
      <c r="C1210" s="102"/>
      <c r="D1210" s="62"/>
      <c r="E1210" s="102"/>
      <c r="F1210" s="102"/>
      <c r="G1210" s="102"/>
      <c r="H1210" s="85"/>
      <c r="I1210" s="104"/>
      <c r="J1210" s="144"/>
      <c r="K1210" s="62"/>
    </row>
    <row r="1211" spans="1:27" x14ac:dyDescent="0.15">
      <c r="A1211" s="62"/>
      <c r="B1211" s="93"/>
      <c r="C1211" s="102"/>
      <c r="D1211" s="62"/>
      <c r="E1211" s="102"/>
      <c r="F1211" s="102"/>
      <c r="G1211" s="102"/>
      <c r="H1211" s="85"/>
      <c r="I1211" s="104"/>
      <c r="J1211" s="144"/>
      <c r="K1211" s="62"/>
    </row>
    <row r="1212" spans="1:27" x14ac:dyDescent="0.15">
      <c r="A1212" s="62"/>
      <c r="B1212" s="93"/>
      <c r="C1212" s="102"/>
      <c r="D1212" s="62"/>
      <c r="E1212" s="102"/>
      <c r="F1212" s="102"/>
      <c r="G1212" s="102"/>
      <c r="H1212" s="98"/>
      <c r="I1212" s="98"/>
      <c r="J1212" s="135"/>
      <c r="K1212" s="62"/>
    </row>
    <row r="1213" spans="1:27" x14ac:dyDescent="0.15">
      <c r="A1213" s="62"/>
      <c r="B1213" s="93"/>
      <c r="C1213" s="100"/>
      <c r="D1213" s="61"/>
      <c r="E1213" s="100"/>
      <c r="F1213" s="100"/>
      <c r="G1213" s="100"/>
      <c r="H1213" s="98"/>
      <c r="I1213" s="103"/>
      <c r="J1213" s="135"/>
      <c r="K1213" s="62"/>
      <c r="R1213" s="14"/>
      <c r="S1213" s="14"/>
      <c r="T1213" s="14"/>
      <c r="U1213" s="14"/>
      <c r="V1213" s="14"/>
      <c r="W1213" s="14"/>
      <c r="X1213" s="14"/>
      <c r="Y1213" s="17"/>
      <c r="Z1213" s="15"/>
      <c r="AA1213" s="15"/>
    </row>
    <row r="1214" spans="1:27" x14ac:dyDescent="0.15">
      <c r="A1214" s="62"/>
      <c r="B1214" s="93"/>
      <c r="C1214" s="102"/>
      <c r="D1214" s="62"/>
      <c r="E1214" s="102"/>
      <c r="F1214" s="102"/>
      <c r="G1214" s="102"/>
      <c r="H1214" s="98"/>
      <c r="I1214" s="98"/>
      <c r="J1214" s="135"/>
      <c r="K1214" s="62"/>
    </row>
    <row r="1215" spans="1:27" x14ac:dyDescent="0.15">
      <c r="A1215" s="229"/>
      <c r="B1215" s="93"/>
      <c r="C1215" s="102"/>
      <c r="D1215" s="62"/>
      <c r="E1215" s="102"/>
      <c r="F1215" s="102"/>
      <c r="G1215" s="102"/>
      <c r="H1215" s="98"/>
      <c r="I1215" s="98"/>
      <c r="J1215" s="135"/>
      <c r="K1215" s="62"/>
    </row>
    <row r="1216" spans="1:27" x14ac:dyDescent="0.15">
      <c r="A1216" s="229"/>
      <c r="B1216" s="93"/>
      <c r="C1216" s="102"/>
      <c r="D1216" s="62"/>
      <c r="E1216" s="102"/>
      <c r="F1216" s="102"/>
      <c r="G1216" s="102"/>
      <c r="H1216" s="98"/>
      <c r="I1216" s="98"/>
      <c r="J1216" s="135"/>
      <c r="K1216" s="62"/>
    </row>
    <row r="1217" spans="1:27" x14ac:dyDescent="0.15">
      <c r="A1217" s="62"/>
      <c r="B1217" s="93"/>
      <c r="C1217" s="102"/>
      <c r="D1217" s="62"/>
      <c r="E1217" s="102"/>
      <c r="F1217" s="102"/>
      <c r="G1217" s="102"/>
      <c r="H1217" s="98"/>
      <c r="I1217" s="98"/>
      <c r="J1217" s="135"/>
      <c r="K1217" s="62"/>
    </row>
    <row r="1218" spans="1:27" x14ac:dyDescent="0.15">
      <c r="A1218" s="62"/>
      <c r="B1218" s="93"/>
      <c r="C1218" s="102"/>
      <c r="D1218" s="62"/>
      <c r="E1218" s="102"/>
      <c r="F1218" s="102"/>
      <c r="G1218" s="102"/>
      <c r="H1218" s="98"/>
      <c r="I1218" s="98"/>
      <c r="J1218" s="135"/>
      <c r="K1218" s="62"/>
    </row>
    <row r="1219" spans="1:27" s="15" customFormat="1" x14ac:dyDescent="0.15">
      <c r="A1219" s="62"/>
      <c r="B1219" s="93"/>
      <c r="C1219" s="102"/>
      <c r="D1219" s="62"/>
      <c r="E1219" s="102"/>
      <c r="F1219" s="102"/>
      <c r="G1219" s="102"/>
      <c r="H1219" s="98"/>
      <c r="I1219" s="98"/>
      <c r="J1219" s="135"/>
      <c r="K1219" s="62"/>
      <c r="L1219" s="49"/>
      <c r="M1219" s="37"/>
      <c r="N1219" s="37"/>
      <c r="O1219" s="37"/>
      <c r="P1219" s="3"/>
      <c r="Q1219" s="3"/>
      <c r="R1219" s="3"/>
      <c r="S1219" s="3"/>
      <c r="T1219" s="3"/>
      <c r="U1219" s="3"/>
      <c r="V1219" s="3"/>
      <c r="W1219" s="3"/>
      <c r="X1219" s="3"/>
      <c r="Y1219" s="4"/>
      <c r="Z1219"/>
      <c r="AA1219"/>
    </row>
    <row r="1220" spans="1:27" x14ac:dyDescent="0.15">
      <c r="A1220" s="62"/>
      <c r="B1220" s="93"/>
      <c r="C1220" s="102"/>
      <c r="D1220" s="62"/>
      <c r="E1220" s="100"/>
      <c r="F1220" s="102"/>
      <c r="G1220" s="102"/>
      <c r="H1220" s="85"/>
      <c r="I1220" s="104"/>
      <c r="J1220" s="144"/>
      <c r="K1220" s="62"/>
    </row>
    <row r="1221" spans="1:27" x14ac:dyDescent="0.15">
      <c r="A1221" s="62"/>
      <c r="B1221" s="93"/>
      <c r="C1221" s="102"/>
      <c r="D1221" s="62"/>
      <c r="E1221" s="102"/>
      <c r="F1221" s="102"/>
      <c r="G1221" s="102"/>
      <c r="H1221" s="85"/>
      <c r="I1221" s="104"/>
      <c r="J1221" s="144"/>
      <c r="K1221" s="62"/>
    </row>
    <row r="1222" spans="1:27" x14ac:dyDescent="0.15">
      <c r="A1222" s="229"/>
      <c r="B1222" s="93"/>
      <c r="C1222" s="102"/>
      <c r="D1222" s="62"/>
      <c r="E1222" s="102"/>
      <c r="F1222" s="102"/>
      <c r="G1222" s="102"/>
      <c r="H1222" s="85"/>
      <c r="I1222" s="104"/>
      <c r="J1222" s="144"/>
      <c r="K1222" s="62"/>
    </row>
    <row r="1223" spans="1:27" x14ac:dyDescent="0.15">
      <c r="A1223" s="62"/>
      <c r="B1223" s="93"/>
      <c r="C1223" s="102"/>
      <c r="D1223" s="62"/>
      <c r="E1223" s="102"/>
      <c r="F1223" s="102"/>
      <c r="G1223" s="102"/>
      <c r="H1223" s="85"/>
      <c r="I1223" s="104"/>
      <c r="J1223" s="144"/>
      <c r="K1223" s="62"/>
    </row>
    <row r="1224" spans="1:27" x14ac:dyDescent="0.15">
      <c r="A1224" s="62"/>
      <c r="B1224" s="82"/>
      <c r="C1224" s="107"/>
      <c r="D1224" s="62"/>
      <c r="E1224" s="107"/>
      <c r="F1224" s="107"/>
      <c r="G1224" s="107"/>
      <c r="H1224" s="85"/>
      <c r="I1224" s="104"/>
      <c r="J1224" s="144"/>
      <c r="K1224" s="62"/>
    </row>
    <row r="1225" spans="1:27" x14ac:dyDescent="0.15">
      <c r="A1225" s="62"/>
      <c r="B1225" s="93"/>
      <c r="C1225" s="102"/>
      <c r="D1225" s="62"/>
      <c r="E1225" s="102"/>
      <c r="F1225" s="102"/>
      <c r="G1225" s="102"/>
      <c r="H1225" s="85"/>
      <c r="I1225" s="104"/>
      <c r="J1225" s="144"/>
      <c r="K1225" s="62"/>
    </row>
    <row r="1226" spans="1:27" x14ac:dyDescent="0.15">
      <c r="A1226" s="62"/>
      <c r="B1226" s="93"/>
      <c r="C1226" s="102"/>
      <c r="D1226" s="62"/>
      <c r="E1226" s="102"/>
      <c r="F1226" s="102"/>
      <c r="G1226" s="102"/>
      <c r="H1226" s="85"/>
      <c r="I1226" s="104"/>
      <c r="J1226" s="144"/>
      <c r="K1226" s="62"/>
    </row>
    <row r="1227" spans="1:27" x14ac:dyDescent="0.15">
      <c r="A1227" s="62"/>
      <c r="B1227" s="93"/>
      <c r="C1227" s="102"/>
      <c r="D1227" s="62"/>
      <c r="E1227" s="102"/>
      <c r="F1227" s="102"/>
      <c r="G1227" s="102"/>
      <c r="H1227" s="85"/>
      <c r="I1227" s="104"/>
      <c r="J1227" s="144"/>
      <c r="K1227" s="62"/>
    </row>
    <row r="1228" spans="1:27" x14ac:dyDescent="0.15">
      <c r="A1228" s="62"/>
      <c r="B1228" s="93"/>
      <c r="C1228" s="102"/>
      <c r="D1228" s="62"/>
      <c r="E1228" s="102"/>
      <c r="F1228" s="102"/>
      <c r="G1228" s="102"/>
      <c r="H1228" s="85"/>
      <c r="I1228" s="104"/>
      <c r="J1228" s="144"/>
      <c r="K1228" s="62"/>
    </row>
    <row r="1229" spans="1:27" x14ac:dyDescent="0.15">
      <c r="A1229" s="229"/>
      <c r="B1229" s="93"/>
      <c r="C1229" s="102"/>
      <c r="D1229" s="62"/>
      <c r="E1229" s="102"/>
      <c r="F1229" s="102"/>
      <c r="G1229" s="102"/>
      <c r="H1229" s="85"/>
      <c r="I1229" s="104"/>
      <c r="J1229" s="144"/>
      <c r="K1229" s="62"/>
    </row>
    <row r="1230" spans="1:27" x14ac:dyDescent="0.15">
      <c r="A1230" s="62"/>
      <c r="B1230" s="93"/>
      <c r="C1230" s="102"/>
      <c r="D1230" s="62"/>
      <c r="E1230" s="102"/>
      <c r="F1230" s="102"/>
      <c r="G1230" s="102"/>
      <c r="H1230" s="85"/>
      <c r="I1230" s="104"/>
      <c r="J1230" s="144"/>
      <c r="K1230" s="62"/>
    </row>
    <row r="1231" spans="1:27" s="49" customFormat="1" x14ac:dyDescent="0.15">
      <c r="A1231" s="62"/>
      <c r="B1231" s="93"/>
      <c r="C1231" s="102"/>
      <c r="D1231" s="62"/>
      <c r="E1231" s="102"/>
      <c r="F1231" s="102"/>
      <c r="G1231" s="102"/>
      <c r="H1231" s="85"/>
      <c r="I1231" s="104"/>
      <c r="J1231" s="144"/>
      <c r="K1231" s="62"/>
      <c r="M1231" s="37"/>
      <c r="N1231" s="37"/>
      <c r="O1231" s="37"/>
      <c r="P1231" s="3"/>
      <c r="Q1231" s="3"/>
      <c r="R1231" s="3"/>
      <c r="S1231" s="3"/>
      <c r="T1231" s="3"/>
      <c r="U1231" s="3"/>
      <c r="V1231" s="3"/>
      <c r="W1231" s="3"/>
      <c r="X1231" s="3"/>
      <c r="Y1231" s="4"/>
      <c r="Z1231"/>
      <c r="AA1231"/>
    </row>
    <row r="1232" spans="1:27" s="49" customFormat="1" x14ac:dyDescent="0.15">
      <c r="A1232" s="62"/>
      <c r="B1232" s="93"/>
      <c r="C1232" s="102"/>
      <c r="D1232" s="62"/>
      <c r="E1232" s="102"/>
      <c r="F1232" s="102"/>
      <c r="G1232" s="102"/>
      <c r="H1232" s="85"/>
      <c r="I1232" s="104"/>
      <c r="J1232" s="144"/>
      <c r="K1232" s="62"/>
      <c r="M1232" s="37"/>
      <c r="N1232" s="37"/>
      <c r="O1232" s="37"/>
      <c r="P1232" s="3"/>
      <c r="Q1232" s="3"/>
      <c r="R1232" s="3"/>
      <c r="S1232" s="3"/>
      <c r="T1232" s="3"/>
      <c r="U1232" s="3"/>
      <c r="V1232" s="3"/>
      <c r="W1232" s="3"/>
      <c r="X1232" s="3"/>
      <c r="Y1232" s="4"/>
      <c r="Z1232"/>
      <c r="AA1232"/>
    </row>
    <row r="1233" spans="1:27" s="49" customFormat="1" x14ac:dyDescent="0.15">
      <c r="A1233" s="62"/>
      <c r="B1233" s="93"/>
      <c r="C1233" s="102"/>
      <c r="D1233" s="62"/>
      <c r="E1233" s="102"/>
      <c r="F1233" s="102"/>
      <c r="G1233" s="102"/>
      <c r="H1233" s="85"/>
      <c r="I1233" s="104"/>
      <c r="J1233" s="144"/>
      <c r="K1233" s="62"/>
      <c r="M1233" s="37"/>
      <c r="N1233" s="37"/>
      <c r="O1233" s="37"/>
      <c r="P1233" s="3"/>
      <c r="Q1233" s="3"/>
      <c r="R1233" s="3"/>
      <c r="S1233" s="3"/>
      <c r="T1233" s="3"/>
      <c r="U1233" s="3"/>
      <c r="V1233" s="3"/>
      <c r="W1233" s="3"/>
      <c r="X1233" s="3"/>
      <c r="Y1233" s="4"/>
      <c r="Z1233"/>
      <c r="AA1233"/>
    </row>
    <row r="1234" spans="1:27" s="49" customFormat="1" x14ac:dyDescent="0.15">
      <c r="A1234" s="62"/>
      <c r="B1234" s="93"/>
      <c r="C1234" s="102"/>
      <c r="D1234" s="62"/>
      <c r="E1234" s="102"/>
      <c r="F1234" s="102"/>
      <c r="G1234" s="102"/>
      <c r="H1234" s="85"/>
      <c r="I1234" s="104"/>
      <c r="J1234" s="144"/>
      <c r="K1234" s="62"/>
      <c r="M1234" s="37"/>
      <c r="N1234" s="37"/>
      <c r="O1234" s="37"/>
      <c r="P1234" s="3"/>
      <c r="Q1234" s="3"/>
      <c r="R1234" s="3"/>
      <c r="S1234" s="3"/>
      <c r="T1234" s="3"/>
      <c r="U1234" s="3"/>
      <c r="V1234" s="3"/>
      <c r="W1234" s="3"/>
      <c r="X1234" s="3"/>
      <c r="Y1234" s="4"/>
      <c r="Z1234"/>
      <c r="AA1234"/>
    </row>
    <row r="1235" spans="1:27" s="49" customFormat="1" x14ac:dyDescent="0.15">
      <c r="A1235" s="62"/>
      <c r="B1235" s="93"/>
      <c r="C1235" s="102"/>
      <c r="D1235" s="62"/>
      <c r="E1235" s="102"/>
      <c r="F1235" s="102"/>
      <c r="G1235" s="102"/>
      <c r="H1235" s="85"/>
      <c r="I1235" s="104"/>
      <c r="J1235" s="144"/>
      <c r="K1235" s="62"/>
      <c r="M1235" s="37"/>
      <c r="N1235" s="37"/>
      <c r="O1235" s="37"/>
      <c r="P1235" s="3"/>
      <c r="Q1235" s="3"/>
      <c r="R1235" s="3"/>
      <c r="S1235" s="3"/>
      <c r="T1235" s="3"/>
      <c r="U1235" s="3"/>
      <c r="V1235" s="3"/>
      <c r="W1235" s="3"/>
      <c r="X1235" s="3"/>
      <c r="Y1235" s="4"/>
      <c r="Z1235"/>
      <c r="AA1235"/>
    </row>
    <row r="1236" spans="1:27" s="49" customFormat="1" x14ac:dyDescent="0.15">
      <c r="A1236" s="62"/>
      <c r="B1236" s="93"/>
      <c r="C1236" s="102"/>
      <c r="D1236" s="62"/>
      <c r="E1236" s="102"/>
      <c r="F1236" s="102"/>
      <c r="G1236" s="102"/>
      <c r="H1236" s="85"/>
      <c r="I1236" s="104"/>
      <c r="J1236" s="144"/>
      <c r="K1236" s="62"/>
      <c r="M1236" s="37"/>
      <c r="N1236" s="37"/>
      <c r="O1236" s="37"/>
      <c r="P1236" s="3"/>
      <c r="Q1236" s="3"/>
      <c r="R1236" s="3"/>
      <c r="S1236" s="3"/>
      <c r="T1236" s="3"/>
      <c r="U1236" s="3"/>
      <c r="V1236" s="3"/>
      <c r="W1236" s="3"/>
      <c r="X1236" s="3"/>
      <c r="Y1236" s="4"/>
      <c r="Z1236"/>
      <c r="AA1236"/>
    </row>
    <row r="1237" spans="1:27" s="49" customFormat="1" x14ac:dyDescent="0.15">
      <c r="A1237" s="62"/>
      <c r="B1237" s="93"/>
      <c r="C1237" s="102"/>
      <c r="D1237" s="62"/>
      <c r="E1237" s="102"/>
      <c r="F1237" s="102"/>
      <c r="G1237" s="102"/>
      <c r="H1237" s="85"/>
      <c r="I1237" s="104"/>
      <c r="J1237" s="144"/>
      <c r="K1237" s="62"/>
      <c r="M1237" s="37"/>
      <c r="N1237" s="37"/>
      <c r="O1237" s="37"/>
      <c r="P1237" s="3"/>
      <c r="Q1237" s="3"/>
      <c r="R1237" s="3"/>
      <c r="S1237" s="3"/>
      <c r="T1237" s="3"/>
      <c r="U1237" s="3"/>
      <c r="V1237" s="3"/>
      <c r="W1237" s="3"/>
      <c r="X1237" s="3"/>
      <c r="Y1237" s="4"/>
      <c r="Z1237"/>
      <c r="AA1237"/>
    </row>
    <row r="1238" spans="1:27" s="49" customFormat="1" x14ac:dyDescent="0.15">
      <c r="A1238" s="62"/>
      <c r="B1238" s="93"/>
      <c r="C1238" s="102"/>
      <c r="D1238" s="62"/>
      <c r="E1238" s="102"/>
      <c r="F1238" s="102"/>
      <c r="G1238" s="102"/>
      <c r="H1238" s="85"/>
      <c r="I1238" s="104"/>
      <c r="J1238" s="144"/>
      <c r="K1238" s="62"/>
      <c r="M1238" s="37"/>
      <c r="N1238" s="37"/>
      <c r="O1238" s="37"/>
      <c r="P1238" s="3"/>
      <c r="Q1238" s="3"/>
      <c r="R1238" s="3"/>
      <c r="S1238" s="3"/>
      <c r="T1238" s="3"/>
      <c r="U1238" s="3"/>
      <c r="V1238" s="3"/>
      <c r="W1238" s="3"/>
      <c r="X1238" s="3"/>
      <c r="Y1238" s="4"/>
      <c r="Z1238"/>
      <c r="AA1238"/>
    </row>
    <row r="1239" spans="1:27" s="49" customFormat="1" x14ac:dyDescent="0.15">
      <c r="A1239" s="62"/>
      <c r="B1239" s="93"/>
      <c r="C1239" s="102"/>
      <c r="D1239" s="62"/>
      <c r="E1239" s="102"/>
      <c r="F1239" s="102"/>
      <c r="G1239" s="102"/>
      <c r="H1239" s="98"/>
      <c r="I1239" s="98"/>
      <c r="J1239" s="135"/>
      <c r="K1239" s="62"/>
      <c r="M1239" s="37"/>
      <c r="N1239" s="37"/>
      <c r="O1239" s="37"/>
      <c r="P1239" s="3"/>
      <c r="Q1239" s="3"/>
      <c r="R1239" s="3"/>
      <c r="S1239" s="3"/>
      <c r="T1239" s="3"/>
      <c r="U1239" s="3"/>
      <c r="V1239" s="3"/>
      <c r="W1239" s="3"/>
      <c r="X1239" s="3"/>
      <c r="Y1239" s="4"/>
      <c r="Z1239"/>
      <c r="AA1239"/>
    </row>
    <row r="1240" spans="1:27" s="49" customFormat="1" x14ac:dyDescent="0.15">
      <c r="A1240" s="62"/>
      <c r="B1240" s="93"/>
      <c r="C1240" s="102"/>
      <c r="D1240" s="62"/>
      <c r="E1240" s="102"/>
      <c r="F1240" s="102"/>
      <c r="G1240" s="102"/>
      <c r="H1240" s="98"/>
      <c r="I1240" s="98"/>
      <c r="J1240" s="135"/>
      <c r="K1240" s="62"/>
      <c r="M1240" s="37"/>
      <c r="N1240" s="37"/>
      <c r="O1240" s="37"/>
      <c r="P1240" s="3"/>
      <c r="Q1240" s="3"/>
      <c r="R1240" s="3"/>
      <c r="S1240" s="3"/>
      <c r="T1240" s="3"/>
      <c r="U1240" s="3"/>
      <c r="V1240" s="3"/>
      <c r="W1240" s="3"/>
      <c r="X1240" s="3"/>
      <c r="Y1240" s="4"/>
      <c r="Z1240"/>
      <c r="AA1240"/>
    </row>
    <row r="1241" spans="1:27" s="49" customFormat="1" x14ac:dyDescent="0.15">
      <c r="A1241" s="62"/>
      <c r="B1241" s="93"/>
      <c r="C1241" s="102"/>
      <c r="D1241" s="62"/>
      <c r="E1241" s="102"/>
      <c r="F1241" s="102"/>
      <c r="G1241" s="102"/>
      <c r="H1241" s="85"/>
      <c r="I1241" s="104"/>
      <c r="J1241" s="144"/>
      <c r="K1241" s="62"/>
      <c r="M1241" s="37"/>
      <c r="N1241" s="37"/>
      <c r="O1241" s="37"/>
      <c r="P1241" s="3"/>
      <c r="Q1241" s="3"/>
      <c r="R1241" s="3"/>
      <c r="S1241" s="3"/>
      <c r="T1241" s="3"/>
      <c r="U1241" s="3"/>
      <c r="V1241" s="3"/>
      <c r="W1241" s="3"/>
      <c r="X1241" s="3"/>
      <c r="Y1241" s="4"/>
      <c r="Z1241"/>
      <c r="AA1241"/>
    </row>
    <row r="1242" spans="1:27" s="49" customFormat="1" x14ac:dyDescent="0.15">
      <c r="A1242" s="62"/>
      <c r="B1242" s="93"/>
      <c r="C1242" s="102"/>
      <c r="D1242" s="62"/>
      <c r="E1242" s="102"/>
      <c r="F1242" s="102"/>
      <c r="G1242" s="102"/>
      <c r="H1242" s="85"/>
      <c r="I1242" s="104"/>
      <c r="J1242" s="144"/>
      <c r="K1242" s="62"/>
      <c r="M1242" s="37"/>
      <c r="N1242" s="37"/>
      <c r="O1242" s="37"/>
      <c r="P1242" s="3"/>
      <c r="Q1242" s="3"/>
      <c r="R1242" s="3"/>
      <c r="S1242" s="3"/>
      <c r="T1242" s="3"/>
      <c r="U1242" s="3"/>
      <c r="V1242" s="3"/>
      <c r="W1242" s="3"/>
      <c r="X1242" s="3"/>
      <c r="Y1242" s="4"/>
      <c r="Z1242"/>
      <c r="AA1242"/>
    </row>
    <row r="1243" spans="1:27" s="49" customFormat="1" x14ac:dyDescent="0.15">
      <c r="A1243" s="62"/>
      <c r="B1243" s="93"/>
      <c r="C1243" s="102"/>
      <c r="D1243" s="62"/>
      <c r="E1243" s="102"/>
      <c r="F1243" s="102"/>
      <c r="G1243" s="102"/>
      <c r="H1243" s="85"/>
      <c r="I1243" s="104"/>
      <c r="J1243" s="144"/>
      <c r="K1243" s="62"/>
      <c r="M1243" s="37"/>
      <c r="N1243" s="37"/>
      <c r="O1243" s="37"/>
      <c r="P1243" s="3"/>
      <c r="Q1243" s="3"/>
      <c r="R1243" s="3"/>
      <c r="S1243" s="3"/>
      <c r="T1243" s="3"/>
      <c r="U1243" s="3"/>
      <c r="V1243" s="3"/>
      <c r="W1243" s="3"/>
      <c r="X1243" s="3"/>
      <c r="Y1243" s="4"/>
      <c r="Z1243"/>
      <c r="AA1243"/>
    </row>
    <row r="1244" spans="1:27" s="49" customFormat="1" x14ac:dyDescent="0.15">
      <c r="A1244" s="62"/>
      <c r="B1244" s="93"/>
      <c r="C1244" s="102"/>
      <c r="D1244" s="62"/>
      <c r="E1244" s="102"/>
      <c r="F1244" s="102"/>
      <c r="G1244" s="102"/>
      <c r="H1244" s="85"/>
      <c r="I1244" s="104"/>
      <c r="J1244" s="144"/>
      <c r="K1244" s="62"/>
      <c r="M1244" s="37"/>
      <c r="N1244" s="37"/>
      <c r="O1244" s="37"/>
      <c r="P1244" s="3"/>
      <c r="Q1244" s="3"/>
      <c r="R1244" s="3"/>
      <c r="S1244" s="3"/>
      <c r="T1244" s="3"/>
      <c r="U1244" s="3"/>
      <c r="V1244" s="3"/>
      <c r="W1244" s="3"/>
      <c r="X1244" s="3"/>
      <c r="Y1244" s="4"/>
      <c r="Z1244"/>
      <c r="AA1244"/>
    </row>
    <row r="1245" spans="1:27" s="49" customFormat="1" x14ac:dyDescent="0.15">
      <c r="A1245" s="62"/>
      <c r="B1245" s="93"/>
      <c r="C1245" s="102"/>
      <c r="D1245" s="62"/>
      <c r="E1245" s="102"/>
      <c r="F1245" s="102"/>
      <c r="G1245" s="102"/>
      <c r="H1245" s="85"/>
      <c r="I1245" s="104"/>
      <c r="J1245" s="144"/>
      <c r="K1245" s="62"/>
      <c r="M1245" s="37"/>
      <c r="N1245" s="37"/>
      <c r="O1245" s="37"/>
      <c r="P1245" s="3"/>
      <c r="Q1245" s="3"/>
      <c r="R1245" s="3"/>
      <c r="S1245" s="3"/>
      <c r="T1245" s="3"/>
      <c r="U1245" s="3"/>
      <c r="V1245" s="3"/>
      <c r="W1245" s="3"/>
      <c r="X1245" s="3"/>
      <c r="Y1245" s="4"/>
      <c r="Z1245"/>
      <c r="AA1245"/>
    </row>
    <row r="1246" spans="1:27" s="49" customFormat="1" x14ac:dyDescent="0.15">
      <c r="A1246" s="62"/>
      <c r="B1246" s="93"/>
      <c r="C1246" s="102"/>
      <c r="D1246" s="62"/>
      <c r="E1246" s="102"/>
      <c r="F1246" s="102"/>
      <c r="G1246" s="102"/>
      <c r="H1246" s="85"/>
      <c r="I1246" s="104"/>
      <c r="J1246" s="144"/>
      <c r="K1246" s="62"/>
      <c r="M1246" s="37"/>
      <c r="N1246" s="37"/>
      <c r="O1246" s="37"/>
      <c r="P1246" s="3"/>
      <c r="Q1246" s="3"/>
      <c r="R1246" s="3"/>
      <c r="S1246" s="3"/>
      <c r="T1246" s="3"/>
      <c r="U1246" s="3"/>
      <c r="V1246" s="3"/>
      <c r="W1246" s="3"/>
      <c r="X1246" s="3"/>
      <c r="Y1246" s="4"/>
      <c r="Z1246"/>
      <c r="AA1246"/>
    </row>
    <row r="1247" spans="1:27" s="37" customFormat="1" x14ac:dyDescent="0.15">
      <c r="A1247" s="62"/>
      <c r="B1247" s="93"/>
      <c r="C1247" s="102"/>
      <c r="D1247" s="62"/>
      <c r="E1247" s="102"/>
      <c r="F1247" s="102"/>
      <c r="G1247" s="102"/>
      <c r="H1247" s="85"/>
      <c r="I1247" s="104"/>
      <c r="J1247" s="144"/>
      <c r="K1247" s="62"/>
      <c r="L1247" s="49"/>
      <c r="P1247" s="3"/>
      <c r="Q1247" s="3"/>
      <c r="R1247" s="3"/>
      <c r="S1247" s="3"/>
      <c r="T1247" s="3"/>
      <c r="U1247" s="3"/>
      <c r="V1247" s="3"/>
      <c r="W1247" s="3"/>
      <c r="X1247" s="3"/>
      <c r="Y1247" s="4"/>
      <c r="Z1247"/>
      <c r="AA1247"/>
    </row>
    <row r="1248" spans="1:27" s="37" customFormat="1" x14ac:dyDescent="0.15">
      <c r="A1248" s="62"/>
      <c r="B1248" s="93"/>
      <c r="C1248" s="102"/>
      <c r="D1248" s="62"/>
      <c r="E1248" s="102"/>
      <c r="F1248" s="102"/>
      <c r="G1248" s="102"/>
      <c r="H1248" s="85"/>
      <c r="I1248" s="104"/>
      <c r="J1248" s="144"/>
      <c r="K1248" s="62"/>
      <c r="L1248" s="49"/>
      <c r="P1248" s="3"/>
      <c r="Q1248" s="3"/>
      <c r="R1248" s="3"/>
      <c r="S1248" s="3"/>
      <c r="T1248" s="3"/>
      <c r="U1248" s="3"/>
      <c r="V1248" s="3"/>
      <c r="W1248" s="3"/>
      <c r="X1248" s="3"/>
      <c r="Y1248" s="4"/>
      <c r="Z1248"/>
      <c r="AA1248"/>
    </row>
    <row r="1249" spans="1:27" s="37" customFormat="1" x14ac:dyDescent="0.15">
      <c r="A1249" s="62"/>
      <c r="B1249" s="93"/>
      <c r="C1249" s="100"/>
      <c r="D1249" s="61"/>
      <c r="E1249" s="100"/>
      <c r="F1249" s="100"/>
      <c r="G1249" s="100"/>
      <c r="H1249" s="85"/>
      <c r="I1249" s="101"/>
      <c r="J1249" s="143"/>
      <c r="K1249" s="61"/>
      <c r="L1249" s="50"/>
      <c r="M1249" s="35"/>
      <c r="P1249" s="3"/>
      <c r="Q1249" s="3"/>
      <c r="R1249" s="3"/>
      <c r="S1249" s="3"/>
      <c r="T1249" s="3"/>
      <c r="U1249" s="3"/>
      <c r="V1249" s="3"/>
      <c r="W1249" s="3"/>
      <c r="X1249" s="3"/>
      <c r="Y1249" s="4"/>
      <c r="Z1249"/>
      <c r="AA1249"/>
    </row>
    <row r="1250" spans="1:27" s="37" customFormat="1" x14ac:dyDescent="0.15">
      <c r="A1250" s="62"/>
      <c r="B1250" s="93"/>
      <c r="C1250" s="100"/>
      <c r="D1250" s="61"/>
      <c r="E1250" s="100"/>
      <c r="F1250" s="100"/>
      <c r="G1250" s="100"/>
      <c r="H1250" s="103"/>
      <c r="I1250" s="103"/>
      <c r="J1250" s="141"/>
      <c r="K1250" s="61"/>
      <c r="L1250" s="50"/>
      <c r="M1250" s="35"/>
      <c r="N1250" s="35"/>
      <c r="P1250" s="3"/>
      <c r="Q1250" s="3"/>
      <c r="R1250" s="3"/>
      <c r="S1250" s="3"/>
      <c r="T1250" s="3"/>
      <c r="U1250" s="3"/>
      <c r="V1250" s="3"/>
      <c r="W1250" s="3"/>
      <c r="X1250" s="3"/>
      <c r="Y1250" s="4"/>
      <c r="Z1250"/>
      <c r="AA1250"/>
    </row>
    <row r="1251" spans="1:27" s="37" customFormat="1" x14ac:dyDescent="0.15">
      <c r="A1251" s="62"/>
      <c r="B1251" s="93"/>
      <c r="C1251" s="100"/>
      <c r="D1251" s="61"/>
      <c r="E1251" s="100"/>
      <c r="F1251" s="100"/>
      <c r="G1251" s="100"/>
      <c r="H1251" s="85"/>
      <c r="I1251" s="101"/>
      <c r="J1251" s="143"/>
      <c r="K1251" s="61"/>
      <c r="L1251" s="50"/>
      <c r="M1251" s="35"/>
      <c r="P1251" s="3"/>
      <c r="Q1251" s="3"/>
      <c r="R1251" s="3"/>
      <c r="S1251" s="3"/>
      <c r="T1251" s="3"/>
      <c r="U1251" s="3"/>
      <c r="V1251" s="3"/>
      <c r="W1251" s="3"/>
      <c r="X1251" s="3"/>
      <c r="Y1251" s="4"/>
      <c r="Z1251"/>
      <c r="AA1251"/>
    </row>
    <row r="1252" spans="1:27" s="37" customFormat="1" x14ac:dyDescent="0.15">
      <c r="A1252" s="62"/>
      <c r="B1252" s="93"/>
      <c r="C1252" s="100"/>
      <c r="D1252" s="61"/>
      <c r="E1252" s="100"/>
      <c r="F1252" s="100"/>
      <c r="G1252" s="100"/>
      <c r="H1252" s="85"/>
      <c r="I1252" s="101"/>
      <c r="J1252" s="143"/>
      <c r="K1252" s="61"/>
      <c r="L1252" s="50"/>
      <c r="M1252" s="35"/>
      <c r="N1252" s="35"/>
      <c r="P1252" s="3"/>
      <c r="Q1252" s="3"/>
      <c r="R1252" s="3"/>
      <c r="S1252" s="3"/>
      <c r="T1252" s="3"/>
      <c r="U1252" s="3"/>
      <c r="V1252" s="3"/>
      <c r="W1252" s="3"/>
      <c r="X1252" s="3"/>
      <c r="Y1252" s="4"/>
      <c r="Z1252"/>
      <c r="AA1252"/>
    </row>
    <row r="1253" spans="1:27" s="37" customFormat="1" x14ac:dyDescent="0.15">
      <c r="A1253" s="62"/>
      <c r="B1253" s="93"/>
      <c r="C1253" s="100"/>
      <c r="D1253" s="61"/>
      <c r="E1253" s="100"/>
      <c r="F1253" s="100"/>
      <c r="G1253" s="100"/>
      <c r="H1253" s="85"/>
      <c r="I1253" s="101"/>
      <c r="J1253" s="143"/>
      <c r="K1253" s="61"/>
      <c r="L1253" s="50"/>
      <c r="M1253" s="35"/>
      <c r="N1253" s="35"/>
      <c r="P1253" s="3"/>
      <c r="Q1253" s="3"/>
      <c r="R1253" s="3"/>
      <c r="S1253" s="3"/>
      <c r="T1253" s="3"/>
      <c r="U1253" s="3"/>
      <c r="V1253" s="3"/>
      <c r="W1253" s="3"/>
      <c r="X1253" s="3"/>
      <c r="Y1253" s="4"/>
      <c r="Z1253"/>
      <c r="AA1253"/>
    </row>
    <row r="1254" spans="1:27" s="37" customFormat="1" x14ac:dyDescent="0.15">
      <c r="A1254" s="62"/>
      <c r="B1254" s="93"/>
      <c r="C1254" s="100"/>
      <c r="D1254" s="61"/>
      <c r="E1254" s="100"/>
      <c r="F1254" s="100"/>
      <c r="G1254" s="100"/>
      <c r="H1254" s="85"/>
      <c r="I1254" s="101"/>
      <c r="J1254" s="143"/>
      <c r="K1254" s="61"/>
      <c r="L1254" s="50"/>
      <c r="M1254" s="35"/>
      <c r="P1254" s="3"/>
      <c r="Q1254" s="3"/>
      <c r="R1254" s="3"/>
      <c r="S1254" s="3"/>
      <c r="T1254" s="3"/>
      <c r="U1254" s="3"/>
      <c r="V1254" s="3"/>
      <c r="W1254" s="3"/>
      <c r="X1254" s="3"/>
      <c r="Y1254" s="4"/>
      <c r="Z1254"/>
      <c r="AA1254"/>
    </row>
    <row r="1255" spans="1:27" s="37" customFormat="1" x14ac:dyDescent="0.15">
      <c r="A1255" s="62"/>
      <c r="B1255" s="93"/>
      <c r="C1255" s="100"/>
      <c r="D1255" s="61"/>
      <c r="E1255" s="100"/>
      <c r="F1255" s="100"/>
      <c r="G1255" s="100"/>
      <c r="H1255" s="85"/>
      <c r="I1255" s="101"/>
      <c r="J1255" s="143"/>
      <c r="K1255" s="61"/>
      <c r="L1255" s="50"/>
      <c r="M1255" s="35"/>
      <c r="P1255" s="3"/>
      <c r="Q1255" s="3"/>
      <c r="R1255" s="3"/>
      <c r="S1255" s="3"/>
      <c r="T1255" s="3"/>
      <c r="U1255" s="3"/>
      <c r="V1255" s="3"/>
      <c r="W1255" s="3"/>
      <c r="X1255" s="3"/>
      <c r="Y1255" s="4"/>
      <c r="Z1255"/>
      <c r="AA1255"/>
    </row>
    <row r="1256" spans="1:27" s="37" customFormat="1" x14ac:dyDescent="0.15">
      <c r="A1256" s="62"/>
      <c r="B1256" s="93"/>
      <c r="C1256" s="100"/>
      <c r="D1256" s="61"/>
      <c r="E1256" s="100"/>
      <c r="F1256" s="100"/>
      <c r="G1256" s="100"/>
      <c r="H1256" s="103"/>
      <c r="I1256" s="103"/>
      <c r="J1256" s="141"/>
      <c r="K1256" s="61"/>
      <c r="L1256" s="50"/>
      <c r="M1256" s="35"/>
      <c r="P1256" s="3"/>
      <c r="Q1256" s="3"/>
      <c r="R1256" s="3"/>
      <c r="S1256" s="3"/>
      <c r="T1256" s="3"/>
      <c r="U1256" s="3"/>
      <c r="V1256" s="3"/>
      <c r="W1256" s="3"/>
      <c r="X1256" s="3"/>
      <c r="Y1256" s="4"/>
      <c r="Z1256"/>
      <c r="AA1256"/>
    </row>
    <row r="1257" spans="1:27" s="37" customFormat="1" x14ac:dyDescent="0.15">
      <c r="A1257" s="62"/>
      <c r="B1257" s="93"/>
      <c r="C1257" s="100"/>
      <c r="D1257" s="61"/>
      <c r="E1257" s="100"/>
      <c r="F1257" s="100"/>
      <c r="G1257" s="100"/>
      <c r="H1257" s="103"/>
      <c r="I1257" s="103"/>
      <c r="J1257" s="141"/>
      <c r="K1257" s="61"/>
      <c r="L1257" s="50"/>
      <c r="P1257" s="3"/>
      <c r="Q1257" s="3"/>
      <c r="R1257" s="3"/>
      <c r="S1257" s="3"/>
      <c r="T1257" s="3"/>
      <c r="U1257" s="3"/>
      <c r="V1257" s="3"/>
      <c r="W1257" s="3"/>
      <c r="X1257" s="3"/>
      <c r="Y1257" s="4"/>
      <c r="Z1257"/>
      <c r="AA1257"/>
    </row>
    <row r="1258" spans="1:27" s="37" customFormat="1" x14ac:dyDescent="0.15">
      <c r="A1258" s="62"/>
      <c r="B1258" s="93"/>
      <c r="C1258" s="100"/>
      <c r="D1258" s="61"/>
      <c r="E1258" s="100"/>
      <c r="F1258" s="100"/>
      <c r="G1258" s="100"/>
      <c r="H1258" s="85"/>
      <c r="I1258" s="101"/>
      <c r="J1258" s="143"/>
      <c r="K1258" s="61"/>
      <c r="L1258" s="50"/>
      <c r="N1258" s="35"/>
      <c r="P1258" s="3"/>
      <c r="Q1258" s="3"/>
      <c r="R1258" s="3"/>
      <c r="S1258" s="3"/>
      <c r="T1258" s="3"/>
      <c r="U1258" s="3"/>
      <c r="V1258" s="3"/>
      <c r="W1258" s="3"/>
      <c r="X1258" s="3"/>
      <c r="Y1258" s="4"/>
      <c r="Z1258"/>
      <c r="AA1258"/>
    </row>
    <row r="1259" spans="1:27" s="37" customFormat="1" x14ac:dyDescent="0.15">
      <c r="A1259" s="62"/>
      <c r="B1259" s="93"/>
      <c r="C1259" s="100"/>
      <c r="D1259" s="61"/>
      <c r="E1259" s="100"/>
      <c r="F1259" s="100"/>
      <c r="G1259" s="100"/>
      <c r="H1259" s="85"/>
      <c r="I1259" s="101"/>
      <c r="J1259" s="143"/>
      <c r="K1259" s="61"/>
      <c r="L1259" s="50"/>
      <c r="N1259" s="35"/>
      <c r="P1259" s="3"/>
      <c r="Q1259" s="3"/>
      <c r="R1259" s="3"/>
      <c r="S1259" s="3"/>
      <c r="T1259" s="3"/>
      <c r="U1259" s="3"/>
      <c r="V1259" s="3"/>
      <c r="W1259" s="3"/>
      <c r="X1259" s="3"/>
      <c r="Y1259" s="4"/>
      <c r="Z1259"/>
      <c r="AA1259"/>
    </row>
    <row r="1260" spans="1:27" s="37" customFormat="1" x14ac:dyDescent="0.15">
      <c r="A1260" s="62"/>
      <c r="B1260" s="93"/>
      <c r="C1260" s="100"/>
      <c r="D1260" s="61"/>
      <c r="E1260" s="100"/>
      <c r="F1260" s="100"/>
      <c r="G1260" s="100"/>
      <c r="H1260" s="85"/>
      <c r="I1260" s="101"/>
      <c r="J1260" s="143"/>
      <c r="K1260" s="61"/>
      <c r="L1260" s="50"/>
      <c r="P1260" s="3"/>
      <c r="Q1260" s="3"/>
      <c r="R1260" s="3"/>
      <c r="S1260" s="3"/>
      <c r="T1260" s="3"/>
      <c r="U1260" s="3"/>
      <c r="V1260" s="3"/>
      <c r="W1260" s="3"/>
      <c r="X1260" s="3"/>
      <c r="Y1260" s="4"/>
      <c r="Z1260"/>
      <c r="AA1260"/>
    </row>
    <row r="1261" spans="1:27" s="37" customFormat="1" x14ac:dyDescent="0.15">
      <c r="A1261" s="165"/>
      <c r="B1261" s="93"/>
      <c r="C1261" s="100"/>
      <c r="D1261" s="61"/>
      <c r="E1261" s="100"/>
      <c r="F1261" s="100"/>
      <c r="G1261" s="100"/>
      <c r="H1261" s="103"/>
      <c r="I1261" s="103"/>
      <c r="J1261" s="141"/>
      <c r="K1261" s="61"/>
      <c r="L1261" s="35"/>
      <c r="P1261" s="3"/>
      <c r="Q1261" s="3"/>
      <c r="R1261" s="3"/>
      <c r="S1261" s="3"/>
      <c r="T1261" s="3"/>
      <c r="U1261" s="3"/>
      <c r="V1261" s="3"/>
      <c r="W1261" s="3"/>
      <c r="X1261" s="3"/>
      <c r="Y1261" s="4"/>
      <c r="Z1261"/>
      <c r="AA1261"/>
    </row>
    <row r="1262" spans="1:27" s="37" customFormat="1" x14ac:dyDescent="0.15">
      <c r="A1262" s="165"/>
      <c r="B1262" s="93"/>
      <c r="C1262" s="100"/>
      <c r="D1262" s="61"/>
      <c r="E1262" s="100"/>
      <c r="F1262" s="100"/>
      <c r="G1262" s="100"/>
      <c r="H1262" s="103"/>
      <c r="I1262" s="61"/>
      <c r="J1262" s="145"/>
      <c r="K1262" s="61"/>
      <c r="L1262" s="35"/>
      <c r="P1262" s="3"/>
      <c r="Q1262" s="3"/>
      <c r="R1262" s="3"/>
      <c r="S1262" s="3"/>
      <c r="T1262" s="3"/>
      <c r="U1262" s="3"/>
      <c r="V1262" s="3"/>
      <c r="W1262" s="3"/>
      <c r="X1262" s="3"/>
      <c r="Y1262" s="4"/>
      <c r="Z1262"/>
      <c r="AA1262"/>
    </row>
    <row r="1263" spans="1:27" x14ac:dyDescent="0.15">
      <c r="A1263" s="165"/>
      <c r="B1263" s="93"/>
      <c r="C1263" s="102"/>
      <c r="D1263" s="62"/>
      <c r="E1263" s="102"/>
      <c r="F1263" s="102"/>
      <c r="G1263" s="102"/>
      <c r="H1263" s="85"/>
      <c r="I1263" s="61"/>
      <c r="J1263" s="143"/>
      <c r="K1263" s="61"/>
      <c r="L1263" s="50"/>
    </row>
    <row r="1264" spans="1:27" x14ac:dyDescent="0.15">
      <c r="A1264" s="165"/>
      <c r="B1264" s="93"/>
      <c r="C1264" s="102"/>
      <c r="D1264" s="62"/>
      <c r="E1264" s="102"/>
      <c r="F1264" s="102"/>
      <c r="G1264" s="102"/>
      <c r="H1264" s="85"/>
      <c r="I1264" s="61"/>
      <c r="J1264" s="143"/>
      <c r="K1264" s="61"/>
      <c r="L1264" s="50"/>
      <c r="N1264" s="51"/>
    </row>
    <row r="1265" spans="1:27" x14ac:dyDescent="0.15">
      <c r="A1265" s="165"/>
      <c r="B1265" s="93"/>
      <c r="C1265" s="102"/>
      <c r="D1265" s="62"/>
      <c r="E1265" s="102"/>
      <c r="F1265" s="102"/>
      <c r="G1265" s="102"/>
      <c r="H1265" s="85"/>
      <c r="I1265" s="104"/>
      <c r="J1265" s="144"/>
      <c r="K1265" s="61"/>
      <c r="L1265" s="35"/>
      <c r="N1265" s="35"/>
    </row>
    <row r="1266" spans="1:27" x14ac:dyDescent="0.15">
      <c r="A1266" s="165"/>
      <c r="B1266" s="93"/>
      <c r="C1266" s="102"/>
      <c r="D1266" s="62"/>
      <c r="E1266" s="102"/>
      <c r="F1266" s="102"/>
      <c r="G1266" s="102"/>
      <c r="H1266" s="85"/>
      <c r="I1266" s="104"/>
      <c r="J1266" s="143"/>
      <c r="K1266" s="61"/>
      <c r="L1266" s="35"/>
      <c r="N1266" s="35"/>
    </row>
    <row r="1267" spans="1:27" x14ac:dyDescent="0.15">
      <c r="A1267" s="62"/>
      <c r="B1267" s="93"/>
      <c r="C1267" s="102"/>
      <c r="D1267" s="62"/>
      <c r="E1267" s="102"/>
      <c r="F1267" s="102"/>
      <c r="G1267" s="102"/>
      <c r="H1267" s="85"/>
      <c r="I1267" s="104"/>
      <c r="J1267" s="143"/>
      <c r="K1267" s="61"/>
      <c r="L1267" s="35"/>
    </row>
    <row r="1268" spans="1:27" x14ac:dyDescent="0.15">
      <c r="A1268" s="62"/>
      <c r="B1268" s="93"/>
      <c r="C1268" s="102"/>
      <c r="D1268" s="62"/>
      <c r="E1268" s="102"/>
      <c r="F1268" s="102"/>
      <c r="G1268" s="102"/>
      <c r="H1268" s="85"/>
      <c r="I1268" s="104"/>
      <c r="J1268" s="141"/>
      <c r="K1268" s="61"/>
      <c r="L1268" s="35"/>
    </row>
    <row r="1269" spans="1:27" x14ac:dyDescent="0.15">
      <c r="A1269" s="62"/>
      <c r="B1269" s="93"/>
      <c r="C1269" s="102"/>
      <c r="D1269" s="62"/>
      <c r="E1269" s="102"/>
      <c r="F1269" s="102"/>
      <c r="G1269" s="102"/>
      <c r="H1269" s="85"/>
      <c r="I1269" s="104"/>
      <c r="J1269" s="143"/>
      <c r="K1269" s="61"/>
      <c r="N1269" s="51"/>
    </row>
    <row r="1270" spans="1:27" x14ac:dyDescent="0.15">
      <c r="A1270" s="62"/>
      <c r="B1270" s="93"/>
      <c r="C1270" s="102"/>
      <c r="D1270" s="62"/>
      <c r="E1270" s="102"/>
      <c r="F1270" s="102"/>
      <c r="G1270" s="102"/>
      <c r="H1270" s="85"/>
      <c r="I1270" s="104"/>
      <c r="J1270" s="143"/>
      <c r="K1270" s="61"/>
      <c r="L1270" s="35"/>
    </row>
    <row r="1271" spans="1:27" x14ac:dyDescent="0.15">
      <c r="A1271" s="62"/>
      <c r="B1271" s="93"/>
      <c r="C1271" s="102"/>
      <c r="D1271" s="62"/>
      <c r="E1271" s="102"/>
      <c r="F1271" s="102"/>
      <c r="G1271" s="102"/>
      <c r="H1271" s="85"/>
      <c r="I1271" s="104"/>
      <c r="J1271" s="143"/>
      <c r="K1271" s="61"/>
    </row>
    <row r="1272" spans="1:27" x14ac:dyDescent="0.15">
      <c r="A1272" s="62"/>
      <c r="B1272" s="93"/>
      <c r="C1272" s="102"/>
      <c r="D1272" s="62"/>
      <c r="E1272" s="102"/>
      <c r="F1272" s="102"/>
      <c r="G1272" s="102"/>
      <c r="H1272" s="85"/>
      <c r="I1272" s="104"/>
      <c r="J1272" s="143"/>
      <c r="K1272" s="61"/>
      <c r="L1272" s="50"/>
      <c r="M1272" s="51"/>
      <c r="N1272" s="51"/>
    </row>
    <row r="1273" spans="1:27" x14ac:dyDescent="0.15">
      <c r="A1273" s="62"/>
      <c r="B1273" s="93"/>
      <c r="C1273" s="102"/>
      <c r="D1273" s="62"/>
      <c r="E1273" s="102"/>
      <c r="F1273" s="102"/>
      <c r="G1273" s="102"/>
      <c r="H1273" s="85"/>
      <c r="I1273" s="104"/>
      <c r="J1273" s="143"/>
      <c r="K1273" s="61"/>
      <c r="L1273" s="50"/>
      <c r="M1273" s="51"/>
    </row>
    <row r="1274" spans="1:27" x14ac:dyDescent="0.15">
      <c r="A1274" s="62"/>
      <c r="B1274" s="93"/>
      <c r="C1274" s="100"/>
      <c r="D1274" s="61"/>
      <c r="E1274" s="100"/>
      <c r="F1274" s="100"/>
      <c r="G1274" s="100"/>
      <c r="H1274" s="85"/>
      <c r="I1274" s="101"/>
      <c r="J1274" s="143"/>
      <c r="K1274" s="61"/>
      <c r="L1274" s="50"/>
      <c r="M1274" s="51"/>
      <c r="N1274" s="51"/>
    </row>
    <row r="1275" spans="1:27" x14ac:dyDescent="0.15">
      <c r="A1275" s="62"/>
      <c r="B1275" s="93"/>
      <c r="C1275" s="102"/>
      <c r="D1275" s="62"/>
      <c r="E1275" s="102"/>
      <c r="F1275" s="102"/>
      <c r="G1275" s="102"/>
      <c r="H1275" s="85"/>
      <c r="I1275" s="104"/>
      <c r="J1275" s="143"/>
      <c r="K1275" s="61"/>
      <c r="L1275" s="50"/>
      <c r="M1275" s="51"/>
      <c r="N1275" s="51"/>
    </row>
    <row r="1276" spans="1:27" s="13" customFormat="1" x14ac:dyDescent="0.15">
      <c r="A1276" s="62"/>
      <c r="B1276" s="93"/>
      <c r="C1276" s="102"/>
      <c r="D1276" s="62"/>
      <c r="E1276" s="102"/>
      <c r="F1276" s="102"/>
      <c r="G1276" s="102"/>
      <c r="H1276" s="85"/>
      <c r="I1276" s="104"/>
      <c r="J1276" s="143"/>
      <c r="K1276" s="61"/>
      <c r="L1276" s="50"/>
      <c r="M1276" s="51"/>
      <c r="N1276" s="51"/>
      <c r="O1276" s="37"/>
      <c r="P1276" s="3"/>
      <c r="Q1276" s="3"/>
      <c r="R1276" s="3"/>
      <c r="S1276" s="3"/>
      <c r="T1276" s="3"/>
      <c r="U1276" s="3"/>
      <c r="V1276" s="3"/>
      <c r="W1276" s="3"/>
      <c r="X1276" s="3"/>
      <c r="Y1276" s="4"/>
      <c r="Z1276"/>
      <c r="AA1276"/>
    </row>
    <row r="1277" spans="1:27" x14ac:dyDescent="0.15">
      <c r="A1277" s="62"/>
      <c r="B1277" s="93"/>
      <c r="C1277" s="102"/>
      <c r="D1277" s="62"/>
      <c r="E1277" s="102"/>
      <c r="F1277" s="102"/>
      <c r="G1277" s="102"/>
      <c r="H1277" s="85"/>
      <c r="I1277" s="104"/>
      <c r="J1277" s="143"/>
      <c r="K1277" s="61"/>
      <c r="L1277" s="50"/>
      <c r="M1277" s="51"/>
      <c r="N1277" s="51"/>
    </row>
    <row r="1278" spans="1:27" x14ac:dyDescent="0.15">
      <c r="A1278" s="62"/>
      <c r="B1278" s="93"/>
      <c r="C1278" s="102"/>
      <c r="D1278" s="62"/>
      <c r="E1278" s="102"/>
      <c r="F1278" s="102"/>
      <c r="G1278" s="102"/>
      <c r="H1278" s="85"/>
      <c r="I1278" s="104"/>
      <c r="J1278" s="143"/>
      <c r="K1278" s="61"/>
      <c r="L1278" s="50"/>
      <c r="M1278" s="51"/>
    </row>
    <row r="1279" spans="1:27" s="37" customFormat="1" x14ac:dyDescent="0.15">
      <c r="A1279" s="62"/>
      <c r="B1279" s="93"/>
      <c r="C1279" s="100"/>
      <c r="D1279" s="61"/>
      <c r="E1279" s="100"/>
      <c r="F1279" s="100"/>
      <c r="G1279" s="100"/>
      <c r="H1279" s="103"/>
      <c r="I1279" s="103"/>
      <c r="J1279" s="141"/>
      <c r="K1279" s="61"/>
      <c r="L1279" s="49"/>
      <c r="P1279" s="3"/>
      <c r="Q1279" s="3"/>
      <c r="R1279" s="3"/>
      <c r="S1279" s="3"/>
      <c r="T1279" s="3"/>
      <c r="U1279" s="3"/>
      <c r="V1279" s="3"/>
      <c r="W1279" s="3"/>
      <c r="X1279" s="3"/>
      <c r="Y1279" s="4"/>
      <c r="Z1279"/>
      <c r="AA1279"/>
    </row>
    <row r="1280" spans="1:27" s="37" customFormat="1" x14ac:dyDescent="0.15">
      <c r="A1280" s="165"/>
      <c r="B1280" s="93"/>
      <c r="C1280" s="100"/>
      <c r="D1280" s="61"/>
      <c r="E1280" s="100"/>
      <c r="F1280" s="100"/>
      <c r="G1280" s="100"/>
      <c r="H1280" s="85"/>
      <c r="I1280" s="101"/>
      <c r="J1280" s="143"/>
      <c r="K1280" s="61"/>
      <c r="L1280" s="50"/>
      <c r="M1280" s="51"/>
      <c r="P1280" s="3"/>
      <c r="Q1280" s="3"/>
      <c r="R1280" s="3"/>
      <c r="S1280" s="3"/>
      <c r="T1280" s="3"/>
      <c r="U1280" s="3"/>
      <c r="V1280" s="3"/>
      <c r="W1280" s="3"/>
      <c r="X1280" s="3"/>
      <c r="Y1280" s="4"/>
      <c r="Z1280"/>
      <c r="AA1280"/>
    </row>
    <row r="1281" spans="1:27" s="37" customFormat="1" x14ac:dyDescent="0.15">
      <c r="A1281" s="62"/>
      <c r="B1281" s="93"/>
      <c r="C1281" s="102"/>
      <c r="D1281" s="62"/>
      <c r="E1281" s="100"/>
      <c r="F1281" s="102"/>
      <c r="G1281" s="102"/>
      <c r="H1281" s="85"/>
      <c r="I1281" s="61"/>
      <c r="J1281" s="143"/>
      <c r="K1281" s="61"/>
      <c r="L1281" s="49"/>
      <c r="P1281" s="3"/>
      <c r="Q1281" s="3"/>
      <c r="R1281" s="3"/>
      <c r="S1281" s="3"/>
      <c r="T1281" s="3"/>
      <c r="U1281" s="3"/>
      <c r="V1281" s="3"/>
      <c r="W1281" s="3"/>
      <c r="X1281" s="3"/>
      <c r="Y1281" s="4"/>
      <c r="Z1281"/>
      <c r="AA1281"/>
    </row>
    <row r="1282" spans="1:27" s="37" customFormat="1" x14ac:dyDescent="0.15">
      <c r="A1282" s="62"/>
      <c r="B1282" s="93"/>
      <c r="C1282" s="102"/>
      <c r="D1282" s="62"/>
      <c r="E1282" s="100"/>
      <c r="F1282" s="102"/>
      <c r="G1282" s="102"/>
      <c r="H1282" s="85"/>
      <c r="I1282" s="104"/>
      <c r="J1282" s="143"/>
      <c r="K1282" s="61"/>
      <c r="L1282" s="49"/>
      <c r="P1282" s="3"/>
      <c r="Q1282" s="3"/>
      <c r="R1282" s="3"/>
      <c r="S1282" s="3"/>
      <c r="T1282" s="3"/>
      <c r="U1282" s="3"/>
      <c r="V1282" s="3"/>
      <c r="W1282" s="3"/>
      <c r="X1282" s="3"/>
      <c r="Y1282" s="4"/>
      <c r="Z1282"/>
      <c r="AA1282"/>
    </row>
    <row r="1283" spans="1:27" s="37" customFormat="1" x14ac:dyDescent="0.15">
      <c r="A1283" s="62"/>
      <c r="B1283" s="93"/>
      <c r="C1283" s="102"/>
      <c r="D1283" s="62"/>
      <c r="E1283" s="102"/>
      <c r="F1283" s="102"/>
      <c r="G1283" s="102"/>
      <c r="H1283" s="85"/>
      <c r="I1283" s="104"/>
      <c r="J1283" s="143"/>
      <c r="K1283" s="61"/>
      <c r="L1283" s="49"/>
      <c r="P1283" s="3"/>
      <c r="Q1283" s="3"/>
      <c r="R1283" s="3"/>
      <c r="S1283" s="3"/>
      <c r="T1283" s="3"/>
      <c r="U1283" s="3"/>
      <c r="V1283" s="3"/>
      <c r="W1283" s="3"/>
      <c r="X1283" s="3"/>
      <c r="Y1283" s="4"/>
      <c r="Z1283"/>
      <c r="AA1283"/>
    </row>
    <row r="1284" spans="1:27" s="37" customFormat="1" x14ac:dyDescent="0.15">
      <c r="A1284" s="62"/>
      <c r="B1284" s="93"/>
      <c r="C1284" s="102"/>
      <c r="D1284" s="62"/>
      <c r="E1284" s="102"/>
      <c r="F1284" s="102"/>
      <c r="G1284" s="102"/>
      <c r="H1284" s="85"/>
      <c r="I1284" s="104"/>
      <c r="J1284" s="143"/>
      <c r="K1284" s="61"/>
      <c r="L1284" s="49"/>
      <c r="P1284" s="3"/>
      <c r="Q1284" s="3"/>
      <c r="R1284" s="3"/>
      <c r="S1284" s="3"/>
      <c r="T1284" s="3"/>
      <c r="U1284" s="3"/>
      <c r="V1284" s="3"/>
      <c r="W1284" s="3"/>
      <c r="X1284" s="3"/>
      <c r="Y1284" s="4"/>
      <c r="Z1284"/>
      <c r="AA1284"/>
    </row>
    <row r="1285" spans="1:27" s="37" customFormat="1" x14ac:dyDescent="0.15">
      <c r="A1285" s="62"/>
      <c r="B1285" s="93"/>
      <c r="C1285" s="102"/>
      <c r="D1285" s="62"/>
      <c r="E1285" s="100"/>
      <c r="F1285" s="102"/>
      <c r="G1285" s="102"/>
      <c r="H1285" s="85"/>
      <c r="I1285" s="104"/>
      <c r="J1285" s="143"/>
      <c r="K1285" s="61"/>
      <c r="L1285" s="49"/>
      <c r="P1285" s="3"/>
      <c r="Q1285" s="3"/>
      <c r="R1285" s="3"/>
      <c r="S1285" s="3"/>
      <c r="T1285" s="3"/>
      <c r="U1285" s="3"/>
      <c r="V1285" s="3"/>
      <c r="W1285" s="3"/>
      <c r="X1285" s="3"/>
      <c r="Y1285" s="4"/>
      <c r="Z1285"/>
      <c r="AA1285"/>
    </row>
    <row r="1286" spans="1:27" s="37" customFormat="1" x14ac:dyDescent="0.15">
      <c r="A1286" s="62"/>
      <c r="B1286" s="93"/>
      <c r="C1286" s="100"/>
      <c r="D1286" s="61"/>
      <c r="E1286" s="100"/>
      <c r="F1286" s="100"/>
      <c r="G1286" s="100"/>
      <c r="H1286" s="85"/>
      <c r="I1286" s="101"/>
      <c r="J1286" s="143"/>
      <c r="K1286" s="61"/>
      <c r="L1286" s="49"/>
      <c r="P1286" s="3"/>
      <c r="Q1286" s="3"/>
      <c r="R1286" s="3"/>
      <c r="S1286" s="3"/>
      <c r="T1286" s="3"/>
      <c r="U1286" s="3"/>
      <c r="V1286" s="3"/>
      <c r="W1286" s="3"/>
      <c r="X1286" s="3"/>
      <c r="Y1286" s="4"/>
      <c r="Z1286"/>
      <c r="AA1286"/>
    </row>
    <row r="1287" spans="1:27" s="37" customFormat="1" x14ac:dyDescent="0.15">
      <c r="A1287" s="62"/>
      <c r="B1287" s="93"/>
      <c r="C1287" s="102"/>
      <c r="D1287" s="62"/>
      <c r="E1287" s="100"/>
      <c r="F1287" s="102"/>
      <c r="G1287" s="102"/>
      <c r="H1287" s="85"/>
      <c r="I1287" s="104"/>
      <c r="J1287" s="143"/>
      <c r="K1287" s="61"/>
      <c r="L1287" s="49"/>
      <c r="P1287" s="3"/>
      <c r="Q1287" s="3"/>
      <c r="R1287" s="3"/>
      <c r="S1287" s="3"/>
      <c r="T1287" s="3"/>
      <c r="U1287" s="3"/>
      <c r="V1287" s="3"/>
      <c r="W1287" s="3"/>
      <c r="X1287" s="3"/>
      <c r="Y1287" s="4"/>
      <c r="Z1287"/>
      <c r="AA1287"/>
    </row>
    <row r="1288" spans="1:27" s="37" customFormat="1" x14ac:dyDescent="0.15">
      <c r="A1288" s="62"/>
      <c r="B1288" s="93"/>
      <c r="C1288" s="102"/>
      <c r="D1288" s="62"/>
      <c r="E1288" s="100"/>
      <c r="F1288" s="102"/>
      <c r="G1288" s="102"/>
      <c r="H1288" s="85"/>
      <c r="I1288" s="104"/>
      <c r="J1288" s="143"/>
      <c r="K1288" s="61"/>
      <c r="L1288" s="49"/>
      <c r="P1288" s="3"/>
      <c r="Q1288" s="3"/>
      <c r="R1288" s="3"/>
      <c r="S1288" s="3"/>
      <c r="T1288" s="3"/>
      <c r="U1288" s="3"/>
      <c r="V1288" s="3"/>
      <c r="W1288" s="3"/>
      <c r="X1288" s="3"/>
      <c r="Y1288" s="4"/>
      <c r="Z1288"/>
      <c r="AA1288"/>
    </row>
    <row r="1289" spans="1:27" s="37" customFormat="1" x14ac:dyDescent="0.15">
      <c r="A1289" s="62"/>
      <c r="B1289" s="93"/>
      <c r="C1289" s="102"/>
      <c r="D1289" s="62"/>
      <c r="E1289" s="102"/>
      <c r="F1289" s="102"/>
      <c r="G1289" s="102"/>
      <c r="H1289" s="85"/>
      <c r="I1289" s="104"/>
      <c r="J1289" s="143"/>
      <c r="K1289" s="61"/>
      <c r="L1289" s="49"/>
      <c r="P1289" s="3"/>
      <c r="Q1289" s="3"/>
      <c r="R1289" s="3"/>
      <c r="S1289" s="3"/>
      <c r="T1289" s="3"/>
      <c r="U1289" s="3"/>
      <c r="V1289" s="3"/>
      <c r="W1289" s="3"/>
      <c r="X1289" s="3"/>
      <c r="Y1289" s="4"/>
      <c r="Z1289"/>
      <c r="AA1289"/>
    </row>
    <row r="1290" spans="1:27" s="37" customFormat="1" x14ac:dyDescent="0.15">
      <c r="A1290" s="62"/>
      <c r="B1290" s="93"/>
      <c r="C1290" s="100"/>
      <c r="D1290" s="61"/>
      <c r="E1290" s="100"/>
      <c r="F1290" s="100"/>
      <c r="G1290" s="100"/>
      <c r="H1290" s="103"/>
      <c r="I1290" s="103"/>
      <c r="J1290" s="141"/>
      <c r="K1290" s="61"/>
      <c r="L1290" s="49"/>
      <c r="P1290" s="3"/>
      <c r="Q1290" s="3"/>
      <c r="R1290" s="3"/>
      <c r="S1290" s="3"/>
      <c r="T1290" s="3"/>
      <c r="U1290" s="3"/>
      <c r="V1290" s="3"/>
      <c r="W1290" s="3"/>
      <c r="X1290" s="3"/>
      <c r="Y1290" s="4"/>
      <c r="Z1290"/>
      <c r="AA1290"/>
    </row>
    <row r="1291" spans="1:27" s="37" customFormat="1" x14ac:dyDescent="0.15">
      <c r="A1291" s="62"/>
      <c r="B1291" s="93"/>
      <c r="C1291" s="100"/>
      <c r="D1291" s="61"/>
      <c r="E1291" s="100"/>
      <c r="F1291" s="100"/>
      <c r="G1291" s="100"/>
      <c r="H1291" s="103"/>
      <c r="I1291" s="103"/>
      <c r="J1291" s="141"/>
      <c r="K1291" s="61"/>
      <c r="L1291" s="49"/>
      <c r="P1291" s="3"/>
      <c r="Q1291" s="3"/>
      <c r="R1291" s="3"/>
      <c r="S1291" s="3"/>
      <c r="T1291" s="3"/>
      <c r="U1291" s="3"/>
      <c r="V1291" s="3"/>
      <c r="W1291" s="3"/>
      <c r="X1291" s="3"/>
      <c r="Y1291" s="4"/>
      <c r="Z1291"/>
      <c r="AA1291"/>
    </row>
    <row r="1292" spans="1:27" s="37" customFormat="1" x14ac:dyDescent="0.15">
      <c r="A1292" s="62"/>
      <c r="B1292" s="93"/>
      <c r="C1292" s="102"/>
      <c r="D1292" s="62"/>
      <c r="E1292" s="100"/>
      <c r="F1292" s="102"/>
      <c r="G1292" s="102"/>
      <c r="H1292" s="85"/>
      <c r="I1292" s="104"/>
      <c r="J1292" s="143"/>
      <c r="K1292" s="61"/>
      <c r="L1292" s="49"/>
      <c r="P1292" s="3"/>
      <c r="Q1292" s="3"/>
      <c r="R1292" s="3"/>
      <c r="S1292" s="3"/>
      <c r="T1292" s="3"/>
      <c r="U1292" s="3"/>
      <c r="V1292" s="3"/>
      <c r="W1292" s="3"/>
      <c r="X1292" s="3"/>
      <c r="Y1292" s="4"/>
      <c r="Z1292"/>
      <c r="AA1292"/>
    </row>
    <row r="1293" spans="1:27" s="37" customFormat="1" x14ac:dyDescent="0.15">
      <c r="A1293" s="62"/>
      <c r="B1293" s="93"/>
      <c r="C1293" s="102"/>
      <c r="D1293" s="62"/>
      <c r="E1293" s="100"/>
      <c r="F1293" s="102"/>
      <c r="G1293" s="102"/>
      <c r="H1293" s="85"/>
      <c r="I1293" s="104"/>
      <c r="J1293" s="143"/>
      <c r="K1293" s="61"/>
      <c r="L1293" s="49"/>
      <c r="P1293" s="3"/>
      <c r="Q1293" s="3"/>
      <c r="R1293" s="3"/>
      <c r="S1293" s="3"/>
      <c r="T1293" s="3"/>
      <c r="U1293" s="3"/>
      <c r="V1293" s="3"/>
      <c r="W1293" s="3"/>
      <c r="X1293" s="3"/>
      <c r="Y1293" s="4"/>
      <c r="Z1293"/>
      <c r="AA1293"/>
    </row>
    <row r="1294" spans="1:27" s="37" customFormat="1" x14ac:dyDescent="0.15">
      <c r="A1294" s="62"/>
      <c r="B1294" s="93"/>
      <c r="C1294" s="102"/>
      <c r="D1294" s="62"/>
      <c r="E1294" s="102"/>
      <c r="F1294" s="102"/>
      <c r="G1294" s="102"/>
      <c r="H1294" s="85"/>
      <c r="I1294" s="104"/>
      <c r="J1294" s="143"/>
      <c r="K1294" s="61"/>
      <c r="L1294" s="49"/>
      <c r="P1294" s="3"/>
      <c r="Q1294" s="3"/>
      <c r="R1294" s="3"/>
      <c r="S1294" s="3"/>
      <c r="T1294" s="3"/>
      <c r="U1294" s="3"/>
      <c r="V1294" s="3"/>
      <c r="W1294" s="3"/>
      <c r="X1294" s="3"/>
      <c r="Y1294" s="4"/>
      <c r="Z1294"/>
      <c r="AA1294"/>
    </row>
    <row r="1295" spans="1:27" s="37" customFormat="1" x14ac:dyDescent="0.15">
      <c r="A1295" s="62"/>
      <c r="B1295" s="93"/>
      <c r="C1295" s="102"/>
      <c r="D1295" s="62"/>
      <c r="E1295" s="102"/>
      <c r="F1295" s="102"/>
      <c r="G1295" s="102"/>
      <c r="H1295" s="85"/>
      <c r="I1295" s="104"/>
      <c r="J1295" s="143"/>
      <c r="K1295" s="61"/>
      <c r="L1295" s="49"/>
      <c r="P1295" s="3"/>
      <c r="Q1295" s="3"/>
      <c r="R1295" s="3"/>
      <c r="S1295" s="3"/>
      <c r="T1295" s="3"/>
      <c r="U1295" s="3"/>
      <c r="V1295" s="3"/>
      <c r="W1295" s="3"/>
      <c r="X1295" s="3"/>
      <c r="Y1295" s="4"/>
      <c r="Z1295"/>
      <c r="AA1295"/>
    </row>
    <row r="1296" spans="1:27" s="37" customFormat="1" x14ac:dyDescent="0.15">
      <c r="A1296" s="62"/>
      <c r="B1296" s="93"/>
      <c r="C1296" s="102"/>
      <c r="D1296" s="62"/>
      <c r="E1296" s="102"/>
      <c r="F1296" s="102"/>
      <c r="G1296" s="102"/>
      <c r="H1296" s="85"/>
      <c r="I1296" s="104"/>
      <c r="J1296" s="143"/>
      <c r="K1296" s="61"/>
      <c r="L1296" s="49"/>
      <c r="P1296" s="3"/>
      <c r="Q1296" s="3"/>
      <c r="R1296" s="3"/>
      <c r="S1296" s="3"/>
      <c r="T1296" s="3"/>
      <c r="U1296" s="3"/>
      <c r="V1296" s="3"/>
      <c r="W1296" s="3"/>
      <c r="X1296" s="3"/>
      <c r="Y1296" s="4"/>
      <c r="Z1296"/>
      <c r="AA1296"/>
    </row>
    <row r="1297" spans="1:27" s="37" customFormat="1" x14ac:dyDescent="0.15">
      <c r="A1297" s="62"/>
      <c r="B1297" s="93"/>
      <c r="C1297" s="100"/>
      <c r="D1297" s="61"/>
      <c r="E1297" s="100"/>
      <c r="F1297" s="100"/>
      <c r="G1297" s="100"/>
      <c r="H1297" s="103"/>
      <c r="I1297" s="103"/>
      <c r="J1297" s="141"/>
      <c r="K1297" s="61"/>
      <c r="L1297" s="49"/>
      <c r="P1297" s="3"/>
      <c r="Q1297" s="3"/>
      <c r="R1297" s="3"/>
      <c r="S1297" s="3"/>
      <c r="T1297" s="3"/>
      <c r="U1297" s="3"/>
      <c r="V1297" s="3"/>
      <c r="W1297" s="3"/>
      <c r="X1297" s="3"/>
      <c r="Y1297" s="4"/>
      <c r="Z1297"/>
      <c r="AA1297"/>
    </row>
    <row r="1298" spans="1:27" s="37" customFormat="1" x14ac:dyDescent="0.15">
      <c r="A1298" s="62"/>
      <c r="B1298" s="93"/>
      <c r="C1298" s="100"/>
      <c r="D1298" s="61"/>
      <c r="E1298" s="100"/>
      <c r="F1298" s="100"/>
      <c r="G1298" s="100"/>
      <c r="H1298" s="103"/>
      <c r="I1298" s="103"/>
      <c r="J1298" s="141"/>
      <c r="K1298" s="61"/>
      <c r="L1298" s="49"/>
      <c r="P1298" s="3"/>
      <c r="Q1298" s="3"/>
      <c r="R1298" s="3"/>
      <c r="S1298" s="3"/>
      <c r="T1298" s="3"/>
      <c r="U1298" s="3"/>
      <c r="V1298" s="3"/>
      <c r="W1298" s="3"/>
      <c r="X1298" s="3"/>
      <c r="Y1298" s="4"/>
      <c r="Z1298"/>
      <c r="AA1298"/>
    </row>
    <row r="1299" spans="1:27" s="37" customFormat="1" x14ac:dyDescent="0.15">
      <c r="A1299" s="165"/>
      <c r="B1299" s="93"/>
      <c r="C1299" s="100"/>
      <c r="D1299" s="61"/>
      <c r="E1299" s="100"/>
      <c r="F1299" s="100"/>
      <c r="G1299" s="100"/>
      <c r="H1299" s="103"/>
      <c r="I1299" s="103"/>
      <c r="J1299" s="141"/>
      <c r="K1299" s="61"/>
      <c r="L1299" s="49"/>
      <c r="P1299" s="3"/>
      <c r="Q1299" s="3"/>
      <c r="R1299" s="3"/>
      <c r="S1299" s="3"/>
      <c r="T1299" s="3"/>
      <c r="U1299" s="3"/>
      <c r="V1299" s="3"/>
      <c r="W1299" s="3"/>
      <c r="X1299" s="3"/>
      <c r="Y1299" s="4"/>
      <c r="Z1299"/>
      <c r="AA1299"/>
    </row>
    <row r="1300" spans="1:27" s="37" customFormat="1" x14ac:dyDescent="0.15">
      <c r="A1300" s="165"/>
      <c r="B1300" s="93"/>
      <c r="C1300" s="100"/>
      <c r="D1300" s="61"/>
      <c r="E1300" s="100"/>
      <c r="F1300" s="100"/>
      <c r="G1300" s="100"/>
      <c r="H1300" s="85"/>
      <c r="I1300" s="101"/>
      <c r="J1300" s="143"/>
      <c r="K1300" s="61"/>
      <c r="L1300" s="49"/>
      <c r="P1300" s="3"/>
      <c r="Q1300" s="3"/>
      <c r="R1300" s="3"/>
      <c r="S1300" s="3"/>
      <c r="T1300" s="3"/>
      <c r="U1300" s="3"/>
      <c r="V1300" s="3"/>
      <c r="W1300" s="3"/>
      <c r="X1300" s="3"/>
      <c r="Y1300" s="4"/>
      <c r="Z1300"/>
      <c r="AA1300"/>
    </row>
    <row r="1301" spans="1:27" s="37" customFormat="1" x14ac:dyDescent="0.15">
      <c r="A1301" s="165"/>
      <c r="B1301" s="93"/>
      <c r="C1301" s="100"/>
      <c r="D1301" s="61"/>
      <c r="E1301" s="100"/>
      <c r="F1301" s="100"/>
      <c r="G1301" s="100"/>
      <c r="H1301" s="85"/>
      <c r="I1301" s="101"/>
      <c r="J1301" s="143"/>
      <c r="K1301" s="61"/>
      <c r="L1301" s="49"/>
      <c r="N1301" s="51"/>
      <c r="P1301" s="3"/>
      <c r="Q1301" s="3"/>
      <c r="R1301" s="3"/>
      <c r="S1301" s="3"/>
      <c r="T1301" s="3"/>
      <c r="U1301" s="3"/>
      <c r="V1301" s="3"/>
      <c r="W1301" s="3"/>
      <c r="X1301" s="3"/>
      <c r="Y1301" s="4"/>
      <c r="Z1301"/>
      <c r="AA1301"/>
    </row>
    <row r="1302" spans="1:27" s="37" customFormat="1" x14ac:dyDescent="0.15">
      <c r="A1302" s="165"/>
      <c r="B1302" s="93"/>
      <c r="C1302" s="100"/>
      <c r="D1302" s="61"/>
      <c r="E1302" s="100"/>
      <c r="F1302" s="100"/>
      <c r="G1302" s="100"/>
      <c r="H1302" s="85"/>
      <c r="I1302" s="101"/>
      <c r="J1302" s="143"/>
      <c r="K1302" s="61"/>
      <c r="L1302" s="49"/>
      <c r="P1302" s="3"/>
      <c r="Q1302" s="3"/>
      <c r="R1302" s="3"/>
      <c r="S1302" s="3"/>
      <c r="T1302" s="3"/>
      <c r="U1302" s="3"/>
      <c r="V1302" s="3"/>
      <c r="W1302" s="3"/>
      <c r="X1302" s="3"/>
      <c r="Y1302" s="4"/>
      <c r="Z1302"/>
      <c r="AA1302"/>
    </row>
    <row r="1303" spans="1:27" s="37" customFormat="1" x14ac:dyDescent="0.15">
      <c r="A1303" s="165"/>
      <c r="B1303" s="93"/>
      <c r="C1303" s="100"/>
      <c r="D1303" s="61"/>
      <c r="E1303" s="100"/>
      <c r="F1303" s="100"/>
      <c r="G1303" s="100"/>
      <c r="H1303" s="85"/>
      <c r="I1303" s="101"/>
      <c r="J1303" s="143"/>
      <c r="K1303" s="61"/>
      <c r="L1303" s="49"/>
      <c r="P1303" s="3"/>
      <c r="Q1303" s="3"/>
      <c r="R1303" s="3"/>
      <c r="S1303" s="3"/>
      <c r="T1303" s="3"/>
      <c r="U1303" s="3"/>
      <c r="V1303" s="3"/>
      <c r="W1303" s="3"/>
      <c r="X1303" s="3"/>
      <c r="Y1303" s="4"/>
      <c r="Z1303"/>
      <c r="AA1303"/>
    </row>
    <row r="1304" spans="1:27" s="37" customFormat="1" x14ac:dyDescent="0.15">
      <c r="A1304" s="165"/>
      <c r="B1304" s="93"/>
      <c r="C1304" s="100"/>
      <c r="D1304" s="61"/>
      <c r="E1304" s="100"/>
      <c r="F1304" s="100"/>
      <c r="G1304" s="100"/>
      <c r="H1304" s="85"/>
      <c r="I1304" s="101"/>
      <c r="J1304" s="143"/>
      <c r="K1304" s="61"/>
      <c r="L1304" s="49"/>
      <c r="P1304" s="3"/>
      <c r="Q1304" s="3"/>
      <c r="R1304" s="3"/>
      <c r="S1304" s="3"/>
      <c r="T1304" s="3"/>
      <c r="U1304" s="3"/>
      <c r="V1304" s="3"/>
      <c r="W1304" s="3"/>
      <c r="X1304" s="3"/>
      <c r="Y1304" s="4"/>
      <c r="Z1304"/>
      <c r="AA1304"/>
    </row>
    <row r="1305" spans="1:27" s="37" customFormat="1" x14ac:dyDescent="0.15">
      <c r="A1305" s="165"/>
      <c r="B1305" s="93"/>
      <c r="C1305" s="102"/>
      <c r="D1305" s="62"/>
      <c r="E1305" s="100"/>
      <c r="F1305" s="102"/>
      <c r="G1305" s="102"/>
      <c r="H1305" s="85"/>
      <c r="I1305" s="104"/>
      <c r="J1305" s="143"/>
      <c r="K1305" s="61"/>
      <c r="L1305" s="49"/>
      <c r="P1305" s="3"/>
      <c r="Q1305" s="3"/>
      <c r="R1305" s="3"/>
      <c r="S1305" s="3"/>
      <c r="T1305" s="3"/>
      <c r="U1305" s="3"/>
      <c r="V1305" s="3"/>
      <c r="W1305" s="3"/>
      <c r="X1305" s="3"/>
      <c r="Y1305" s="4"/>
      <c r="Z1305"/>
      <c r="AA1305"/>
    </row>
    <row r="1306" spans="1:27" s="37" customFormat="1" x14ac:dyDescent="0.15">
      <c r="A1306" s="165"/>
      <c r="B1306" s="93"/>
      <c r="C1306" s="100"/>
      <c r="D1306" s="61"/>
      <c r="E1306" s="100"/>
      <c r="F1306" s="100"/>
      <c r="G1306" s="100"/>
      <c r="H1306" s="103"/>
      <c r="I1306" s="103"/>
      <c r="J1306" s="141"/>
      <c r="K1306" s="61"/>
      <c r="L1306" s="49"/>
      <c r="P1306" s="3"/>
      <c r="Q1306" s="3"/>
      <c r="R1306" s="3"/>
      <c r="S1306" s="3"/>
      <c r="T1306" s="3"/>
      <c r="U1306" s="3"/>
      <c r="V1306" s="3"/>
      <c r="W1306" s="3"/>
      <c r="X1306" s="3"/>
      <c r="Y1306" s="4"/>
      <c r="Z1306"/>
      <c r="AA1306"/>
    </row>
    <row r="1307" spans="1:27" s="37" customFormat="1" x14ac:dyDescent="0.15">
      <c r="A1307" s="165"/>
      <c r="B1307" s="93"/>
      <c r="C1307" s="100"/>
      <c r="D1307" s="61"/>
      <c r="E1307" s="100"/>
      <c r="F1307" s="100"/>
      <c r="G1307" s="100"/>
      <c r="H1307" s="103"/>
      <c r="I1307" s="103"/>
      <c r="J1307" s="141"/>
      <c r="K1307" s="61"/>
      <c r="L1307" s="49"/>
      <c r="P1307" s="3"/>
      <c r="Q1307" s="3"/>
      <c r="R1307" s="3"/>
      <c r="S1307" s="3"/>
      <c r="T1307" s="3"/>
      <c r="U1307" s="3"/>
      <c r="V1307" s="3"/>
      <c r="W1307" s="3"/>
      <c r="X1307" s="3"/>
      <c r="Y1307" s="4"/>
      <c r="Z1307"/>
      <c r="AA1307"/>
    </row>
    <row r="1308" spans="1:27" s="37" customFormat="1" x14ac:dyDescent="0.15">
      <c r="A1308" s="165"/>
      <c r="B1308" s="93"/>
      <c r="C1308" s="100"/>
      <c r="D1308" s="61"/>
      <c r="E1308" s="100"/>
      <c r="F1308" s="100"/>
      <c r="G1308" s="100"/>
      <c r="H1308" s="103"/>
      <c r="I1308" s="61"/>
      <c r="J1308" s="141"/>
      <c r="K1308" s="61"/>
      <c r="L1308" s="49"/>
      <c r="P1308" s="3"/>
      <c r="Q1308" s="3"/>
      <c r="R1308" s="3"/>
      <c r="S1308" s="3"/>
      <c r="T1308" s="3"/>
      <c r="U1308" s="3"/>
      <c r="V1308" s="3"/>
      <c r="W1308" s="3"/>
      <c r="X1308" s="3"/>
      <c r="Y1308" s="4"/>
      <c r="Z1308"/>
      <c r="AA1308"/>
    </row>
    <row r="1309" spans="1:27" s="37" customFormat="1" x14ac:dyDescent="0.15">
      <c r="A1309" s="165"/>
      <c r="B1309" s="93"/>
      <c r="C1309" s="102"/>
      <c r="D1309" s="62"/>
      <c r="E1309" s="102"/>
      <c r="F1309" s="102"/>
      <c r="G1309" s="102"/>
      <c r="H1309" s="85"/>
      <c r="I1309" s="104"/>
      <c r="J1309" s="143"/>
      <c r="K1309" s="61"/>
      <c r="L1309" s="49"/>
      <c r="P1309" s="3"/>
      <c r="Q1309" s="3"/>
      <c r="R1309" s="3"/>
      <c r="S1309" s="3"/>
      <c r="T1309" s="3"/>
      <c r="U1309" s="3"/>
      <c r="V1309" s="3"/>
      <c r="W1309" s="3"/>
      <c r="X1309" s="3"/>
      <c r="Y1309" s="4"/>
      <c r="Z1309"/>
      <c r="AA1309"/>
    </row>
    <row r="1310" spans="1:27" s="37" customFormat="1" x14ac:dyDescent="0.15">
      <c r="A1310" s="165"/>
      <c r="B1310" s="93"/>
      <c r="C1310" s="102"/>
      <c r="D1310" s="62"/>
      <c r="E1310" s="102"/>
      <c r="F1310" s="102"/>
      <c r="G1310" s="102"/>
      <c r="H1310" s="85"/>
      <c r="I1310" s="104"/>
      <c r="J1310" s="143"/>
      <c r="K1310" s="61"/>
      <c r="L1310" s="49"/>
      <c r="P1310" s="3"/>
      <c r="Q1310" s="3"/>
      <c r="R1310" s="3"/>
      <c r="S1310" s="3"/>
      <c r="T1310" s="3"/>
      <c r="U1310" s="3"/>
      <c r="V1310" s="3"/>
      <c r="W1310" s="3"/>
      <c r="X1310" s="3"/>
      <c r="Y1310" s="4"/>
      <c r="Z1310"/>
      <c r="AA1310"/>
    </row>
    <row r="1311" spans="1:27" s="49" customFormat="1" x14ac:dyDescent="0.15">
      <c r="A1311" s="165"/>
      <c r="B1311" s="93"/>
      <c r="C1311" s="102"/>
      <c r="D1311" s="62"/>
      <c r="E1311" s="102"/>
      <c r="F1311" s="102"/>
      <c r="G1311" s="102"/>
      <c r="H1311" s="85"/>
      <c r="I1311" s="104"/>
      <c r="J1311" s="143"/>
      <c r="K1311" s="61"/>
      <c r="M1311" s="37"/>
      <c r="N1311" s="37"/>
      <c r="O1311" s="37"/>
      <c r="P1311" s="3"/>
      <c r="Q1311" s="3"/>
      <c r="R1311" s="3"/>
      <c r="S1311" s="3"/>
      <c r="T1311" s="3"/>
      <c r="U1311" s="3"/>
      <c r="V1311" s="3"/>
      <c r="W1311" s="3"/>
      <c r="X1311" s="3"/>
      <c r="Y1311" s="4"/>
      <c r="Z1311"/>
      <c r="AA1311"/>
    </row>
    <row r="1312" spans="1:27" s="49" customFormat="1" x14ac:dyDescent="0.15">
      <c r="A1312" s="165"/>
      <c r="B1312" s="93"/>
      <c r="C1312" s="102"/>
      <c r="D1312" s="62"/>
      <c r="E1312" s="102"/>
      <c r="F1312" s="102"/>
      <c r="G1312" s="102"/>
      <c r="H1312" s="85"/>
      <c r="I1312" s="104"/>
      <c r="J1312" s="143"/>
      <c r="K1312" s="61"/>
      <c r="M1312" s="37"/>
      <c r="N1312" s="37"/>
      <c r="O1312" s="37"/>
      <c r="P1312" s="3"/>
      <c r="Q1312" s="3"/>
      <c r="R1312" s="3"/>
      <c r="S1312" s="3"/>
      <c r="T1312" s="3"/>
      <c r="U1312" s="3"/>
      <c r="V1312" s="3"/>
      <c r="W1312" s="3"/>
      <c r="X1312" s="3"/>
      <c r="Y1312" s="4"/>
      <c r="Z1312"/>
      <c r="AA1312"/>
    </row>
    <row r="1313" spans="1:27" s="49" customFormat="1" x14ac:dyDescent="0.15">
      <c r="A1313" s="165"/>
      <c r="B1313" s="93"/>
      <c r="C1313" s="102"/>
      <c r="D1313" s="62"/>
      <c r="E1313" s="102"/>
      <c r="F1313" s="102"/>
      <c r="G1313" s="102"/>
      <c r="H1313" s="85"/>
      <c r="I1313" s="104"/>
      <c r="J1313" s="143"/>
      <c r="K1313" s="61"/>
      <c r="M1313" s="37"/>
      <c r="N1313" s="37"/>
      <c r="O1313" s="37"/>
      <c r="P1313" s="3"/>
      <c r="Q1313" s="3"/>
      <c r="R1313" s="3"/>
      <c r="S1313" s="3"/>
      <c r="T1313" s="3"/>
      <c r="U1313" s="3"/>
      <c r="V1313" s="3"/>
      <c r="W1313" s="3"/>
      <c r="X1313" s="3"/>
      <c r="Y1313" s="4"/>
      <c r="Z1313"/>
      <c r="AA1313"/>
    </row>
    <row r="1314" spans="1:27" s="49" customFormat="1" x14ac:dyDescent="0.15">
      <c r="A1314" s="165"/>
      <c r="B1314" s="93"/>
      <c r="C1314" s="102"/>
      <c r="D1314" s="62"/>
      <c r="E1314" s="102"/>
      <c r="F1314" s="102"/>
      <c r="G1314" s="102"/>
      <c r="H1314" s="85"/>
      <c r="I1314" s="104"/>
      <c r="J1314" s="143"/>
      <c r="K1314" s="61"/>
      <c r="M1314" s="37"/>
      <c r="N1314" s="37"/>
      <c r="O1314" s="37"/>
      <c r="P1314" s="3"/>
      <c r="Q1314" s="3"/>
      <c r="R1314" s="3"/>
      <c r="S1314" s="3"/>
      <c r="T1314" s="3"/>
      <c r="U1314" s="3"/>
      <c r="V1314" s="3"/>
      <c r="W1314" s="3"/>
      <c r="X1314" s="3"/>
      <c r="Y1314" s="4"/>
      <c r="Z1314"/>
      <c r="AA1314"/>
    </row>
    <row r="1315" spans="1:27" s="49" customFormat="1" x14ac:dyDescent="0.15">
      <c r="A1315" s="165"/>
      <c r="B1315" s="93"/>
      <c r="C1315" s="102"/>
      <c r="D1315" s="62"/>
      <c r="E1315" s="102"/>
      <c r="F1315" s="102"/>
      <c r="G1315" s="102"/>
      <c r="H1315" s="85"/>
      <c r="I1315" s="104"/>
      <c r="J1315" s="143"/>
      <c r="K1315" s="61"/>
      <c r="M1315" s="37"/>
      <c r="N1315" s="37"/>
      <c r="O1315" s="37"/>
      <c r="P1315" s="3"/>
      <c r="Q1315" s="3"/>
      <c r="R1315" s="3"/>
      <c r="S1315" s="3"/>
      <c r="T1315" s="3"/>
      <c r="U1315" s="3"/>
      <c r="V1315" s="3"/>
      <c r="W1315" s="3"/>
      <c r="X1315" s="3"/>
      <c r="Y1315" s="4"/>
      <c r="Z1315"/>
      <c r="AA1315"/>
    </row>
    <row r="1316" spans="1:27" s="49" customFormat="1" x14ac:dyDescent="0.15">
      <c r="A1316" s="165"/>
      <c r="B1316" s="93"/>
      <c r="C1316" s="100"/>
      <c r="D1316" s="61"/>
      <c r="E1316" s="100"/>
      <c r="F1316" s="100"/>
      <c r="G1316" s="100"/>
      <c r="H1316" s="85"/>
      <c r="I1316" s="101"/>
      <c r="J1316" s="143"/>
      <c r="K1316" s="61"/>
      <c r="M1316" s="37"/>
      <c r="N1316" s="37"/>
      <c r="O1316" s="37"/>
      <c r="P1316" s="3"/>
      <c r="Q1316" s="3"/>
      <c r="R1316" s="3"/>
      <c r="S1316" s="3"/>
      <c r="T1316" s="3"/>
      <c r="U1316" s="3"/>
      <c r="V1316" s="3"/>
      <c r="W1316" s="3"/>
      <c r="X1316" s="3"/>
      <c r="Y1316" s="4"/>
      <c r="Z1316"/>
      <c r="AA1316"/>
    </row>
    <row r="1317" spans="1:27" s="49" customFormat="1" x14ac:dyDescent="0.15">
      <c r="A1317" s="165"/>
      <c r="B1317" s="93"/>
      <c r="C1317" s="102"/>
      <c r="D1317" s="62"/>
      <c r="E1317" s="100"/>
      <c r="F1317" s="102"/>
      <c r="G1317" s="102"/>
      <c r="H1317" s="85"/>
      <c r="I1317" s="104"/>
      <c r="J1317" s="143"/>
      <c r="K1317" s="61"/>
      <c r="M1317" s="37"/>
      <c r="N1317" s="37"/>
      <c r="O1317" s="37"/>
      <c r="P1317" s="3"/>
      <c r="Q1317" s="3"/>
      <c r="R1317" s="3"/>
      <c r="S1317" s="3"/>
      <c r="T1317" s="3"/>
      <c r="U1317" s="3"/>
      <c r="V1317" s="3"/>
      <c r="W1317" s="3"/>
      <c r="X1317" s="3"/>
      <c r="Y1317" s="4"/>
      <c r="Z1317"/>
      <c r="AA1317"/>
    </row>
    <row r="1318" spans="1:27" s="49" customFormat="1" x14ac:dyDescent="0.15">
      <c r="A1318" s="165"/>
      <c r="B1318" s="108"/>
      <c r="C1318" s="100"/>
      <c r="D1318" s="61"/>
      <c r="E1318" s="100"/>
      <c r="F1318" s="100"/>
      <c r="G1318" s="100"/>
      <c r="H1318" s="85"/>
      <c r="I1318" s="101"/>
      <c r="J1318" s="143"/>
      <c r="K1318" s="61"/>
      <c r="M1318" s="37"/>
      <c r="N1318" s="37"/>
      <c r="O1318" s="37"/>
      <c r="P1318" s="3"/>
      <c r="Q1318" s="3"/>
      <c r="R1318" s="3"/>
      <c r="S1318" s="3"/>
      <c r="T1318" s="3"/>
      <c r="U1318" s="3"/>
      <c r="V1318" s="3"/>
      <c r="W1318" s="3"/>
      <c r="X1318" s="3"/>
      <c r="Y1318" s="4"/>
      <c r="Z1318"/>
      <c r="AA1318"/>
    </row>
    <row r="1319" spans="1:27" s="49" customFormat="1" x14ac:dyDescent="0.15">
      <c r="A1319" s="165"/>
      <c r="B1319" s="93"/>
      <c r="C1319" s="100"/>
      <c r="D1319" s="61"/>
      <c r="E1319" s="100"/>
      <c r="F1319" s="100"/>
      <c r="G1319" s="100"/>
      <c r="H1319" s="85"/>
      <c r="I1319" s="103"/>
      <c r="J1319" s="141"/>
      <c r="K1319" s="61"/>
      <c r="M1319" s="37"/>
      <c r="N1319" s="37"/>
      <c r="O1319" s="37"/>
      <c r="P1319" s="3"/>
      <c r="Q1319" s="3"/>
      <c r="R1319" s="3"/>
      <c r="S1319" s="3"/>
      <c r="T1319" s="3"/>
      <c r="U1319" s="3"/>
      <c r="V1319" s="3"/>
      <c r="W1319" s="3"/>
      <c r="X1319" s="3"/>
      <c r="Y1319" s="4"/>
      <c r="Z1319"/>
      <c r="AA1319"/>
    </row>
    <row r="1320" spans="1:27" s="49" customFormat="1" x14ac:dyDescent="0.15">
      <c r="A1320" s="165"/>
      <c r="B1320" s="93"/>
      <c r="C1320" s="100"/>
      <c r="D1320" s="61"/>
      <c r="E1320" s="100"/>
      <c r="F1320" s="100"/>
      <c r="G1320" s="100"/>
      <c r="H1320" s="85"/>
      <c r="I1320" s="101"/>
      <c r="J1320" s="143"/>
      <c r="K1320" s="61"/>
      <c r="M1320" s="37"/>
      <c r="N1320" s="37"/>
      <c r="O1320" s="37"/>
      <c r="P1320" s="3"/>
      <c r="Q1320" s="3"/>
      <c r="R1320" s="3"/>
      <c r="S1320" s="3"/>
      <c r="T1320" s="3"/>
      <c r="U1320" s="3"/>
      <c r="V1320" s="3"/>
      <c r="W1320" s="3"/>
      <c r="X1320" s="3"/>
      <c r="Y1320" s="4"/>
      <c r="Z1320"/>
      <c r="AA1320"/>
    </row>
    <row r="1321" spans="1:27" s="49" customFormat="1" x14ac:dyDescent="0.15">
      <c r="A1321" s="165"/>
      <c r="B1321" s="93"/>
      <c r="C1321" s="102"/>
      <c r="D1321" s="62"/>
      <c r="E1321" s="100"/>
      <c r="F1321" s="102"/>
      <c r="G1321" s="102"/>
      <c r="H1321" s="85"/>
      <c r="I1321" s="104"/>
      <c r="J1321" s="143"/>
      <c r="K1321" s="61"/>
      <c r="M1321" s="37"/>
      <c r="N1321" s="37"/>
      <c r="O1321" s="37"/>
      <c r="P1321" s="3"/>
      <c r="Q1321" s="3"/>
      <c r="R1321" s="3"/>
      <c r="S1321" s="3"/>
      <c r="T1321" s="3"/>
      <c r="U1321" s="3"/>
      <c r="V1321" s="3"/>
      <c r="W1321" s="3"/>
      <c r="X1321" s="3"/>
      <c r="Y1321" s="4"/>
      <c r="Z1321"/>
      <c r="AA1321"/>
    </row>
    <row r="1322" spans="1:27" s="49" customFormat="1" x14ac:dyDescent="0.15">
      <c r="A1322" s="165"/>
      <c r="B1322" s="93"/>
      <c r="C1322" s="100"/>
      <c r="D1322" s="61"/>
      <c r="E1322" s="100"/>
      <c r="F1322" s="100"/>
      <c r="G1322" s="100"/>
      <c r="H1322" s="85"/>
      <c r="I1322" s="101"/>
      <c r="J1322" s="143"/>
      <c r="K1322" s="61"/>
      <c r="M1322" s="37"/>
      <c r="N1322" s="37"/>
      <c r="O1322" s="37"/>
      <c r="P1322" s="3"/>
      <c r="Q1322" s="3"/>
      <c r="R1322" s="3"/>
      <c r="S1322" s="3"/>
      <c r="T1322" s="3"/>
      <c r="U1322" s="3"/>
      <c r="V1322" s="3"/>
      <c r="W1322" s="3"/>
      <c r="X1322" s="3"/>
      <c r="Y1322" s="4"/>
      <c r="Z1322"/>
      <c r="AA1322"/>
    </row>
    <row r="1323" spans="1:27" s="49" customFormat="1" x14ac:dyDescent="0.15">
      <c r="A1323" s="165"/>
      <c r="B1323" s="93"/>
      <c r="C1323" s="100"/>
      <c r="D1323" s="61"/>
      <c r="E1323" s="100"/>
      <c r="F1323" s="100"/>
      <c r="G1323" s="100"/>
      <c r="H1323" s="103"/>
      <c r="I1323" s="103"/>
      <c r="J1323" s="141"/>
      <c r="K1323" s="61"/>
      <c r="M1323" s="37"/>
      <c r="N1323" s="37"/>
      <c r="O1323" s="37"/>
      <c r="P1323" s="3"/>
      <c r="Q1323" s="3"/>
      <c r="R1323" s="3"/>
      <c r="S1323" s="3"/>
      <c r="T1323" s="3"/>
      <c r="U1323" s="3"/>
      <c r="V1323" s="3"/>
      <c r="W1323" s="3"/>
      <c r="X1323" s="3"/>
      <c r="Y1323" s="4"/>
      <c r="Z1323"/>
      <c r="AA1323"/>
    </row>
    <row r="1324" spans="1:27" s="49" customFormat="1" x14ac:dyDescent="0.15">
      <c r="A1324" s="165"/>
      <c r="B1324" s="93"/>
      <c r="C1324" s="100"/>
      <c r="D1324" s="61"/>
      <c r="E1324" s="100"/>
      <c r="F1324" s="100"/>
      <c r="G1324" s="100"/>
      <c r="H1324" s="103"/>
      <c r="I1324" s="103"/>
      <c r="J1324" s="141"/>
      <c r="K1324" s="61"/>
      <c r="M1324" s="37"/>
      <c r="N1324" s="37"/>
      <c r="O1324" s="37"/>
      <c r="P1324" s="3"/>
      <c r="Q1324" s="3"/>
      <c r="R1324" s="3"/>
      <c r="S1324" s="3"/>
      <c r="T1324" s="3"/>
      <c r="U1324" s="3"/>
      <c r="V1324" s="3"/>
      <c r="W1324" s="3"/>
      <c r="X1324" s="3"/>
      <c r="Y1324" s="4"/>
      <c r="Z1324"/>
      <c r="AA1324"/>
    </row>
    <row r="1325" spans="1:27" s="49" customFormat="1" x14ac:dyDescent="0.15">
      <c r="A1325" s="165"/>
      <c r="B1325" s="93"/>
      <c r="C1325" s="100"/>
      <c r="D1325" s="61"/>
      <c r="E1325" s="100"/>
      <c r="F1325" s="100"/>
      <c r="G1325" s="100"/>
      <c r="H1325" s="103"/>
      <c r="I1325" s="103"/>
      <c r="J1325" s="141"/>
      <c r="K1325" s="61"/>
      <c r="M1325" s="37"/>
      <c r="N1325" s="37"/>
      <c r="O1325" s="37"/>
      <c r="P1325" s="3"/>
      <c r="Q1325" s="3"/>
      <c r="R1325" s="3"/>
      <c r="S1325" s="3"/>
      <c r="T1325" s="3"/>
      <c r="U1325" s="3"/>
      <c r="V1325" s="3"/>
      <c r="W1325" s="3"/>
      <c r="X1325" s="3"/>
      <c r="Y1325" s="4"/>
      <c r="Z1325"/>
      <c r="AA1325"/>
    </row>
    <row r="1326" spans="1:27" s="49" customFormat="1" x14ac:dyDescent="0.15">
      <c r="A1326" s="165"/>
      <c r="B1326" s="93"/>
      <c r="C1326" s="100"/>
      <c r="D1326" s="61"/>
      <c r="E1326" s="100"/>
      <c r="F1326" s="100"/>
      <c r="G1326" s="100"/>
      <c r="H1326" s="85"/>
      <c r="I1326" s="101"/>
      <c r="J1326" s="143"/>
      <c r="K1326" s="61"/>
      <c r="M1326" s="37"/>
      <c r="N1326" s="37"/>
      <c r="O1326" s="37"/>
      <c r="P1326" s="3"/>
      <c r="Q1326" s="3"/>
      <c r="R1326" s="3"/>
      <c r="S1326" s="3"/>
      <c r="T1326" s="3"/>
      <c r="U1326" s="3"/>
      <c r="V1326" s="3"/>
      <c r="W1326" s="3"/>
      <c r="X1326" s="3"/>
      <c r="Y1326" s="4"/>
      <c r="Z1326"/>
      <c r="AA1326"/>
    </row>
    <row r="1327" spans="1:27" s="49" customFormat="1" x14ac:dyDescent="0.15">
      <c r="A1327" s="165"/>
      <c r="B1327" s="93"/>
      <c r="C1327" s="100"/>
      <c r="D1327" s="61"/>
      <c r="E1327" s="100"/>
      <c r="F1327" s="100"/>
      <c r="G1327" s="100"/>
      <c r="H1327" s="85"/>
      <c r="I1327" s="101"/>
      <c r="J1327" s="143"/>
      <c r="K1327" s="61"/>
      <c r="M1327" s="37"/>
      <c r="N1327" s="37"/>
      <c r="O1327" s="37"/>
      <c r="P1327" s="3"/>
      <c r="Q1327" s="3"/>
      <c r="R1327" s="3"/>
      <c r="S1327" s="3"/>
      <c r="T1327" s="3"/>
      <c r="U1327" s="3"/>
      <c r="V1327" s="3"/>
      <c r="W1327" s="3"/>
      <c r="X1327" s="3"/>
      <c r="Y1327" s="4"/>
      <c r="Z1327"/>
      <c r="AA1327"/>
    </row>
    <row r="1328" spans="1:27" s="49" customFormat="1" x14ac:dyDescent="0.15">
      <c r="A1328" s="165"/>
      <c r="B1328" s="93"/>
      <c r="C1328" s="100"/>
      <c r="D1328" s="61"/>
      <c r="E1328" s="100"/>
      <c r="F1328" s="100"/>
      <c r="G1328" s="100"/>
      <c r="H1328" s="85"/>
      <c r="I1328" s="101"/>
      <c r="J1328" s="143"/>
      <c r="K1328" s="61"/>
      <c r="M1328" s="37"/>
      <c r="N1328" s="37"/>
      <c r="O1328" s="37"/>
      <c r="P1328" s="3"/>
      <c r="Q1328" s="3"/>
      <c r="R1328" s="3"/>
      <c r="S1328" s="3"/>
      <c r="T1328" s="3"/>
      <c r="U1328" s="3"/>
      <c r="V1328" s="3"/>
      <c r="W1328" s="3"/>
      <c r="X1328" s="3"/>
      <c r="Y1328" s="4"/>
      <c r="Z1328"/>
      <c r="AA1328"/>
    </row>
    <row r="1329" spans="1:27" s="49" customFormat="1" x14ac:dyDescent="0.15">
      <c r="A1329" s="165"/>
      <c r="B1329" s="93"/>
      <c r="C1329" s="102"/>
      <c r="D1329" s="62"/>
      <c r="E1329" s="102"/>
      <c r="F1329" s="102"/>
      <c r="G1329" s="102"/>
      <c r="H1329" s="85"/>
      <c r="I1329" s="104"/>
      <c r="J1329" s="143"/>
      <c r="K1329" s="61"/>
      <c r="M1329" s="37"/>
      <c r="N1329" s="37"/>
      <c r="O1329" s="37"/>
      <c r="P1329" s="3"/>
      <c r="Q1329" s="3"/>
      <c r="R1329" s="3"/>
      <c r="S1329" s="3"/>
      <c r="T1329" s="3"/>
      <c r="U1329" s="3"/>
      <c r="V1329" s="3"/>
      <c r="W1329" s="3"/>
      <c r="X1329" s="3"/>
      <c r="Y1329" s="4"/>
      <c r="Z1329"/>
      <c r="AA1329"/>
    </row>
    <row r="1330" spans="1:27" s="49" customFormat="1" x14ac:dyDescent="0.15">
      <c r="A1330" s="165"/>
      <c r="B1330" s="93"/>
      <c r="C1330" s="100"/>
      <c r="D1330" s="61"/>
      <c r="E1330" s="100"/>
      <c r="F1330" s="100"/>
      <c r="G1330" s="100"/>
      <c r="H1330" s="85"/>
      <c r="I1330" s="101"/>
      <c r="J1330" s="143"/>
      <c r="K1330" s="61"/>
      <c r="M1330" s="37"/>
      <c r="N1330" s="37"/>
      <c r="O1330" s="37"/>
      <c r="P1330" s="3"/>
      <c r="Q1330" s="3"/>
      <c r="R1330" s="3"/>
      <c r="S1330" s="3"/>
      <c r="T1330" s="3"/>
      <c r="U1330" s="3"/>
      <c r="V1330" s="3"/>
      <c r="W1330" s="3"/>
      <c r="X1330" s="3"/>
      <c r="Y1330" s="4"/>
      <c r="Z1330"/>
      <c r="AA1330"/>
    </row>
    <row r="1331" spans="1:27" s="49" customFormat="1" x14ac:dyDescent="0.15">
      <c r="A1331" s="165"/>
      <c r="B1331" s="93"/>
      <c r="C1331" s="100"/>
      <c r="D1331" s="61"/>
      <c r="E1331" s="100"/>
      <c r="F1331" s="100"/>
      <c r="G1331" s="100"/>
      <c r="H1331" s="85"/>
      <c r="I1331" s="101"/>
      <c r="J1331" s="143"/>
      <c r="K1331" s="61"/>
      <c r="M1331" s="37"/>
      <c r="N1331" s="37"/>
      <c r="O1331" s="37"/>
      <c r="P1331" s="3"/>
      <c r="Q1331" s="3"/>
      <c r="R1331" s="3"/>
      <c r="S1331" s="3"/>
      <c r="T1331" s="3"/>
      <c r="U1331" s="3"/>
      <c r="V1331" s="3"/>
      <c r="W1331" s="3"/>
      <c r="X1331" s="3"/>
      <c r="Y1331" s="4"/>
      <c r="Z1331"/>
      <c r="AA1331"/>
    </row>
    <row r="1332" spans="1:27" s="49" customFormat="1" x14ac:dyDescent="0.15">
      <c r="A1332" s="62"/>
      <c r="B1332" s="93"/>
      <c r="C1332" s="100"/>
      <c r="D1332" s="61"/>
      <c r="E1332" s="100"/>
      <c r="F1332" s="100"/>
      <c r="G1332" s="100"/>
      <c r="H1332" s="85"/>
      <c r="I1332" s="101"/>
      <c r="J1332" s="143"/>
      <c r="K1332" s="61"/>
      <c r="M1332" s="37"/>
      <c r="N1332" s="37"/>
      <c r="O1332" s="37"/>
      <c r="P1332" s="3"/>
      <c r="Q1332" s="3"/>
      <c r="R1332" s="3"/>
      <c r="S1332" s="3"/>
      <c r="T1332" s="3"/>
      <c r="U1332" s="3"/>
      <c r="V1332" s="3"/>
      <c r="W1332" s="3"/>
      <c r="X1332" s="3"/>
      <c r="Y1332" s="4"/>
      <c r="Z1332"/>
      <c r="AA1332"/>
    </row>
    <row r="1333" spans="1:27" s="49" customFormat="1" x14ac:dyDescent="0.15">
      <c r="A1333" s="62"/>
      <c r="B1333" s="93"/>
      <c r="C1333" s="100"/>
      <c r="D1333" s="61"/>
      <c r="E1333" s="100"/>
      <c r="F1333" s="100"/>
      <c r="G1333" s="100"/>
      <c r="H1333" s="85"/>
      <c r="I1333" s="101"/>
      <c r="J1333" s="143"/>
      <c r="K1333" s="61"/>
      <c r="M1333" s="37"/>
      <c r="N1333" s="37"/>
      <c r="O1333" s="37"/>
      <c r="P1333" s="3"/>
      <c r="Q1333" s="3"/>
      <c r="R1333" s="3"/>
      <c r="S1333" s="3"/>
      <c r="T1333" s="3"/>
      <c r="U1333" s="3"/>
      <c r="V1333" s="3"/>
      <c r="W1333" s="3"/>
      <c r="X1333" s="3"/>
      <c r="Y1333" s="4"/>
      <c r="Z1333"/>
      <c r="AA1333"/>
    </row>
    <row r="1334" spans="1:27" s="49" customFormat="1" x14ac:dyDescent="0.15">
      <c r="A1334" s="165"/>
      <c r="B1334" s="93"/>
      <c r="C1334" s="100"/>
      <c r="D1334" s="61"/>
      <c r="E1334" s="100"/>
      <c r="F1334" s="100"/>
      <c r="G1334" s="100"/>
      <c r="H1334" s="85"/>
      <c r="I1334" s="101"/>
      <c r="J1334" s="143"/>
      <c r="K1334" s="61"/>
      <c r="M1334" s="37"/>
      <c r="N1334" s="37"/>
      <c r="O1334" s="37"/>
      <c r="P1334" s="3"/>
      <c r="Q1334" s="3"/>
      <c r="R1334" s="3"/>
      <c r="S1334" s="3"/>
      <c r="T1334" s="3"/>
      <c r="U1334" s="3"/>
      <c r="V1334" s="3"/>
      <c r="W1334" s="3"/>
      <c r="X1334" s="3"/>
      <c r="Y1334" s="4"/>
      <c r="Z1334"/>
      <c r="AA1334"/>
    </row>
    <row r="1335" spans="1:27" s="49" customFormat="1" x14ac:dyDescent="0.15">
      <c r="A1335" s="165"/>
      <c r="B1335" s="93"/>
      <c r="C1335" s="102"/>
      <c r="D1335" s="62"/>
      <c r="E1335" s="100"/>
      <c r="F1335" s="102"/>
      <c r="G1335" s="102"/>
      <c r="H1335" s="85"/>
      <c r="I1335" s="104"/>
      <c r="J1335" s="143"/>
      <c r="K1335" s="61"/>
      <c r="M1335" s="37"/>
      <c r="N1335" s="37"/>
      <c r="O1335" s="37"/>
      <c r="P1335" s="3"/>
      <c r="Q1335" s="3"/>
      <c r="R1335" s="3"/>
      <c r="S1335" s="3"/>
      <c r="T1335" s="3"/>
      <c r="U1335" s="3"/>
      <c r="V1335" s="3"/>
      <c r="W1335" s="3"/>
      <c r="X1335" s="3"/>
      <c r="Y1335" s="4"/>
      <c r="Z1335"/>
      <c r="AA1335"/>
    </row>
    <row r="1336" spans="1:27" s="49" customFormat="1" x14ac:dyDescent="0.15">
      <c r="A1336" s="165"/>
      <c r="B1336" s="93"/>
      <c r="C1336" s="102"/>
      <c r="D1336" s="62"/>
      <c r="E1336" s="102"/>
      <c r="F1336" s="102"/>
      <c r="G1336" s="102"/>
      <c r="H1336" s="85"/>
      <c r="I1336" s="104"/>
      <c r="J1336" s="143"/>
      <c r="K1336" s="61"/>
      <c r="M1336" s="37"/>
      <c r="N1336" s="37"/>
      <c r="O1336" s="37"/>
      <c r="P1336" s="3"/>
      <c r="Q1336" s="3"/>
      <c r="R1336" s="3"/>
      <c r="S1336" s="3"/>
      <c r="T1336" s="3"/>
      <c r="U1336" s="3"/>
      <c r="V1336" s="3"/>
      <c r="W1336" s="3"/>
      <c r="X1336" s="3"/>
      <c r="Y1336" s="4"/>
      <c r="Z1336"/>
      <c r="AA1336"/>
    </row>
    <row r="1337" spans="1:27" s="49" customFormat="1" x14ac:dyDescent="0.15">
      <c r="A1337" s="165"/>
      <c r="B1337" s="93"/>
      <c r="C1337" s="100"/>
      <c r="D1337" s="61"/>
      <c r="E1337" s="100"/>
      <c r="F1337" s="100"/>
      <c r="G1337" s="100"/>
      <c r="H1337" s="85"/>
      <c r="I1337" s="101"/>
      <c r="J1337" s="143"/>
      <c r="K1337" s="61"/>
      <c r="M1337" s="37"/>
      <c r="N1337" s="37"/>
      <c r="O1337" s="37"/>
      <c r="P1337" s="3"/>
      <c r="Q1337" s="3"/>
      <c r="R1337" s="3"/>
      <c r="S1337" s="3"/>
      <c r="T1337" s="3"/>
      <c r="U1337" s="3"/>
      <c r="V1337" s="3"/>
      <c r="W1337" s="3"/>
      <c r="X1337" s="3"/>
      <c r="Y1337" s="4"/>
      <c r="Z1337"/>
      <c r="AA1337"/>
    </row>
    <row r="1338" spans="1:27" s="49" customFormat="1" x14ac:dyDescent="0.15">
      <c r="A1338" s="165"/>
      <c r="B1338" s="93"/>
      <c r="C1338" s="100"/>
      <c r="D1338" s="61"/>
      <c r="E1338" s="100"/>
      <c r="F1338" s="100"/>
      <c r="G1338" s="100"/>
      <c r="H1338" s="85"/>
      <c r="I1338" s="101"/>
      <c r="J1338" s="143"/>
      <c r="K1338" s="61"/>
      <c r="M1338" s="37"/>
      <c r="N1338" s="37"/>
      <c r="O1338" s="37"/>
      <c r="P1338" s="3"/>
      <c r="Q1338" s="3"/>
      <c r="R1338" s="3"/>
      <c r="S1338" s="3"/>
      <c r="T1338" s="3"/>
      <c r="U1338" s="3"/>
      <c r="V1338" s="3"/>
      <c r="W1338" s="3"/>
      <c r="X1338" s="3"/>
      <c r="Y1338" s="4"/>
      <c r="Z1338"/>
      <c r="AA1338"/>
    </row>
    <row r="1339" spans="1:27" s="49" customFormat="1" x14ac:dyDescent="0.15">
      <c r="A1339" s="165"/>
      <c r="B1339" s="93"/>
      <c r="C1339" s="100"/>
      <c r="D1339" s="61"/>
      <c r="E1339" s="100"/>
      <c r="F1339" s="100"/>
      <c r="G1339" s="100"/>
      <c r="H1339" s="85"/>
      <c r="I1339" s="101"/>
      <c r="J1339" s="143"/>
      <c r="K1339" s="61"/>
      <c r="M1339" s="37"/>
      <c r="N1339" s="37"/>
      <c r="O1339" s="37"/>
      <c r="P1339" s="3"/>
      <c r="Q1339" s="3"/>
      <c r="R1339" s="3"/>
      <c r="S1339" s="3"/>
      <c r="T1339" s="3"/>
      <c r="U1339" s="3"/>
      <c r="V1339" s="3"/>
      <c r="W1339" s="3"/>
      <c r="X1339" s="3"/>
      <c r="Y1339" s="4"/>
      <c r="Z1339"/>
      <c r="AA1339"/>
    </row>
    <row r="1340" spans="1:27" s="49" customFormat="1" x14ac:dyDescent="0.15">
      <c r="A1340" s="165"/>
      <c r="B1340" s="93"/>
      <c r="C1340" s="100"/>
      <c r="D1340" s="61"/>
      <c r="E1340" s="100"/>
      <c r="F1340" s="100"/>
      <c r="G1340" s="100"/>
      <c r="H1340" s="85"/>
      <c r="I1340" s="103"/>
      <c r="J1340" s="141"/>
      <c r="K1340" s="61"/>
      <c r="M1340" s="37"/>
      <c r="N1340" s="37"/>
      <c r="O1340" s="37"/>
      <c r="P1340" s="3"/>
      <c r="Q1340" s="3"/>
      <c r="R1340" s="3"/>
      <c r="S1340" s="3"/>
      <c r="T1340" s="3"/>
      <c r="U1340" s="3"/>
      <c r="V1340" s="3"/>
      <c r="W1340" s="3"/>
      <c r="X1340" s="3"/>
      <c r="Y1340" s="4"/>
      <c r="Z1340"/>
      <c r="AA1340"/>
    </row>
    <row r="1341" spans="1:27" s="49" customFormat="1" x14ac:dyDescent="0.15">
      <c r="A1341" s="165"/>
      <c r="B1341" s="93"/>
      <c r="C1341" s="100"/>
      <c r="D1341" s="61"/>
      <c r="E1341" s="100"/>
      <c r="F1341" s="100"/>
      <c r="G1341" s="100"/>
      <c r="H1341" s="85"/>
      <c r="I1341" s="101"/>
      <c r="J1341" s="143"/>
      <c r="K1341" s="61"/>
      <c r="M1341" s="37"/>
      <c r="N1341" s="37"/>
      <c r="O1341" s="37"/>
      <c r="P1341" s="3"/>
      <c r="Q1341" s="3"/>
      <c r="R1341" s="3"/>
      <c r="S1341" s="3"/>
      <c r="T1341" s="3"/>
      <c r="U1341" s="3"/>
      <c r="V1341" s="3"/>
      <c r="W1341" s="3"/>
      <c r="X1341" s="3"/>
      <c r="Y1341" s="4"/>
      <c r="Z1341"/>
      <c r="AA1341"/>
    </row>
    <row r="1342" spans="1:27" s="49" customFormat="1" x14ac:dyDescent="0.15">
      <c r="A1342" s="165"/>
      <c r="B1342" s="93"/>
      <c r="C1342" s="102"/>
      <c r="D1342" s="62"/>
      <c r="E1342" s="102"/>
      <c r="F1342" s="102"/>
      <c r="G1342" s="102"/>
      <c r="H1342" s="85"/>
      <c r="I1342" s="104"/>
      <c r="J1342" s="143"/>
      <c r="K1342" s="61"/>
      <c r="M1342" s="37"/>
      <c r="N1342" s="37"/>
      <c r="O1342" s="37"/>
      <c r="P1342" s="3"/>
      <c r="Q1342" s="3"/>
      <c r="R1342" s="3"/>
      <c r="S1342" s="3"/>
      <c r="T1342" s="3"/>
      <c r="U1342" s="3"/>
      <c r="V1342" s="3"/>
      <c r="W1342" s="3"/>
      <c r="X1342" s="3"/>
      <c r="Y1342" s="4"/>
      <c r="Z1342"/>
      <c r="AA1342"/>
    </row>
    <row r="1343" spans="1:27" s="3" customFormat="1" x14ac:dyDescent="0.15">
      <c r="A1343" s="62"/>
      <c r="B1343" s="93"/>
      <c r="C1343" s="102"/>
      <c r="D1343" s="62"/>
      <c r="E1343" s="102"/>
      <c r="F1343" s="102"/>
      <c r="G1343" s="102"/>
      <c r="H1343" s="85"/>
      <c r="I1343" s="104"/>
      <c r="J1343" s="143"/>
      <c r="K1343" s="61"/>
      <c r="L1343" s="49"/>
      <c r="M1343" s="37"/>
      <c r="N1343" s="37"/>
      <c r="O1343" s="37"/>
      <c r="Y1343" s="4"/>
      <c r="Z1343"/>
      <c r="AA1343"/>
    </row>
    <row r="1344" spans="1:27" s="3" customFormat="1" x14ac:dyDescent="0.15">
      <c r="A1344" s="165"/>
      <c r="B1344" s="93"/>
      <c r="C1344" s="102"/>
      <c r="D1344" s="62"/>
      <c r="E1344" s="102"/>
      <c r="F1344" s="102"/>
      <c r="G1344" s="102"/>
      <c r="H1344" s="85"/>
      <c r="I1344" s="104"/>
      <c r="J1344" s="143"/>
      <c r="K1344" s="61"/>
      <c r="L1344" s="49"/>
      <c r="M1344" s="37"/>
      <c r="N1344" s="37"/>
      <c r="O1344" s="37"/>
      <c r="Y1344" s="4"/>
      <c r="Z1344"/>
      <c r="AA1344"/>
    </row>
    <row r="1345" spans="1:27" s="3" customFormat="1" x14ac:dyDescent="0.15">
      <c r="A1345" s="165"/>
      <c r="B1345" s="93"/>
      <c r="C1345" s="102"/>
      <c r="D1345" s="62"/>
      <c r="E1345" s="102"/>
      <c r="F1345" s="102"/>
      <c r="G1345" s="102"/>
      <c r="H1345" s="85"/>
      <c r="I1345" s="104"/>
      <c r="J1345" s="143"/>
      <c r="K1345" s="61"/>
      <c r="L1345" s="49"/>
      <c r="M1345" s="37"/>
      <c r="N1345" s="37"/>
      <c r="O1345" s="37"/>
      <c r="Y1345" s="4"/>
      <c r="Z1345"/>
      <c r="AA1345"/>
    </row>
    <row r="1346" spans="1:27" s="3" customFormat="1" x14ac:dyDescent="0.15">
      <c r="A1346" s="165"/>
      <c r="B1346" s="93"/>
      <c r="C1346" s="102"/>
      <c r="D1346" s="62"/>
      <c r="E1346" s="100"/>
      <c r="F1346" s="102"/>
      <c r="G1346" s="102"/>
      <c r="H1346" s="85"/>
      <c r="I1346" s="104"/>
      <c r="J1346" s="143"/>
      <c r="K1346" s="61"/>
      <c r="L1346" s="49"/>
      <c r="M1346" s="37"/>
      <c r="N1346" s="37"/>
      <c r="O1346" s="37"/>
      <c r="Y1346" s="4"/>
      <c r="Z1346"/>
      <c r="AA1346"/>
    </row>
    <row r="1347" spans="1:27" s="3" customFormat="1" x14ac:dyDescent="0.15">
      <c r="A1347" s="165"/>
      <c r="B1347" s="93"/>
      <c r="C1347" s="102"/>
      <c r="D1347" s="62"/>
      <c r="E1347" s="100"/>
      <c r="F1347" s="102"/>
      <c r="G1347" s="102"/>
      <c r="H1347" s="85"/>
      <c r="I1347" s="104"/>
      <c r="J1347" s="143"/>
      <c r="K1347" s="61"/>
      <c r="L1347" s="49"/>
      <c r="M1347" s="37"/>
      <c r="N1347" s="37"/>
      <c r="O1347" s="37"/>
      <c r="Y1347" s="4"/>
      <c r="Z1347"/>
      <c r="AA1347"/>
    </row>
    <row r="1348" spans="1:27" s="3" customFormat="1" x14ac:dyDescent="0.15">
      <c r="A1348" s="165"/>
      <c r="B1348" s="93"/>
      <c r="C1348" s="100"/>
      <c r="D1348" s="61"/>
      <c r="E1348" s="100"/>
      <c r="F1348" s="100"/>
      <c r="G1348" s="100"/>
      <c r="H1348" s="85"/>
      <c r="I1348" s="101"/>
      <c r="J1348" s="143"/>
      <c r="K1348" s="61"/>
      <c r="L1348" s="49"/>
      <c r="M1348" s="37"/>
      <c r="N1348" s="37"/>
      <c r="O1348" s="37"/>
      <c r="Y1348" s="4"/>
      <c r="Z1348"/>
      <c r="AA1348"/>
    </row>
    <row r="1349" spans="1:27" s="3" customFormat="1" x14ac:dyDescent="0.15">
      <c r="A1349" s="165"/>
      <c r="B1349" s="93"/>
      <c r="C1349" s="102"/>
      <c r="D1349" s="62"/>
      <c r="E1349" s="102"/>
      <c r="F1349" s="102"/>
      <c r="G1349" s="102"/>
      <c r="H1349" s="85"/>
      <c r="I1349" s="104"/>
      <c r="J1349" s="143"/>
      <c r="K1349" s="61"/>
      <c r="L1349" s="49"/>
      <c r="M1349" s="37"/>
      <c r="N1349" s="37"/>
      <c r="O1349" s="37"/>
      <c r="Y1349" s="4"/>
      <c r="Z1349"/>
      <c r="AA1349"/>
    </row>
    <row r="1350" spans="1:27" s="3" customFormat="1" x14ac:dyDescent="0.15">
      <c r="A1350" s="62"/>
      <c r="B1350" s="93"/>
      <c r="C1350" s="102"/>
      <c r="D1350" s="62"/>
      <c r="E1350" s="102"/>
      <c r="F1350" s="102"/>
      <c r="G1350" s="102"/>
      <c r="H1350" s="85"/>
      <c r="I1350" s="104"/>
      <c r="J1350" s="143"/>
      <c r="K1350" s="61"/>
      <c r="L1350" s="49"/>
      <c r="M1350" s="37"/>
      <c r="N1350" s="37"/>
      <c r="O1350" s="37"/>
      <c r="Y1350" s="4"/>
      <c r="Z1350"/>
      <c r="AA1350"/>
    </row>
    <row r="1351" spans="1:27" s="3" customFormat="1" x14ac:dyDescent="0.15">
      <c r="A1351" s="165"/>
      <c r="B1351" s="93"/>
      <c r="C1351" s="100"/>
      <c r="D1351" s="61"/>
      <c r="E1351" s="100"/>
      <c r="F1351" s="100"/>
      <c r="G1351" s="100"/>
      <c r="H1351" s="85"/>
      <c r="I1351" s="101"/>
      <c r="J1351" s="143"/>
      <c r="K1351" s="61"/>
      <c r="L1351" s="49"/>
      <c r="M1351" s="37"/>
      <c r="N1351" s="37"/>
      <c r="O1351" s="37"/>
      <c r="Y1351" s="4"/>
      <c r="Z1351"/>
      <c r="AA1351"/>
    </row>
    <row r="1352" spans="1:27" s="3" customFormat="1" x14ac:dyDescent="0.15">
      <c r="A1352" s="62"/>
      <c r="B1352" s="93"/>
      <c r="C1352" s="102"/>
      <c r="D1352" s="62"/>
      <c r="E1352" s="102"/>
      <c r="F1352" s="102"/>
      <c r="G1352" s="102"/>
      <c r="H1352" s="85"/>
      <c r="I1352" s="104"/>
      <c r="J1352" s="143"/>
      <c r="K1352" s="61"/>
      <c r="L1352" s="49"/>
      <c r="M1352" s="37"/>
      <c r="N1352" s="37"/>
      <c r="O1352" s="37"/>
      <c r="Y1352" s="4"/>
      <c r="Z1352"/>
      <c r="AA1352"/>
    </row>
    <row r="1353" spans="1:27" s="3" customFormat="1" x14ac:dyDescent="0.15">
      <c r="A1353" s="62"/>
      <c r="B1353" s="93"/>
      <c r="C1353" s="102"/>
      <c r="D1353" s="62"/>
      <c r="E1353" s="102"/>
      <c r="F1353" s="102"/>
      <c r="G1353" s="102"/>
      <c r="H1353" s="85"/>
      <c r="I1353" s="104"/>
      <c r="J1353" s="143"/>
      <c r="K1353" s="61"/>
      <c r="L1353" s="49"/>
      <c r="M1353" s="37"/>
      <c r="N1353" s="37"/>
      <c r="O1353" s="37"/>
      <c r="Y1353" s="4"/>
      <c r="Z1353"/>
      <c r="AA1353"/>
    </row>
    <row r="1354" spans="1:27" s="3" customFormat="1" x14ac:dyDescent="0.15">
      <c r="A1354" s="62"/>
      <c r="B1354" s="93"/>
      <c r="C1354" s="102"/>
      <c r="D1354" s="62"/>
      <c r="E1354" s="100"/>
      <c r="F1354" s="102"/>
      <c r="G1354" s="102"/>
      <c r="H1354" s="85"/>
      <c r="I1354" s="104"/>
      <c r="J1354" s="143"/>
      <c r="K1354" s="61"/>
      <c r="L1354" s="49"/>
      <c r="M1354" s="37"/>
      <c r="N1354" s="37"/>
      <c r="O1354" s="37"/>
      <c r="Y1354" s="4"/>
      <c r="Z1354"/>
      <c r="AA1354"/>
    </row>
    <row r="1355" spans="1:27" s="3" customFormat="1" x14ac:dyDescent="0.15">
      <c r="A1355" s="165"/>
      <c r="B1355" s="93"/>
      <c r="C1355" s="100"/>
      <c r="D1355" s="61"/>
      <c r="E1355" s="100"/>
      <c r="F1355" s="100"/>
      <c r="G1355" s="100"/>
      <c r="H1355" s="85"/>
      <c r="I1355" s="101"/>
      <c r="J1355" s="143"/>
      <c r="K1355" s="61"/>
      <c r="L1355" s="49"/>
      <c r="M1355" s="37"/>
      <c r="N1355" s="37"/>
      <c r="O1355" s="37"/>
      <c r="Y1355" s="4"/>
      <c r="Z1355"/>
      <c r="AA1355"/>
    </row>
    <row r="1356" spans="1:27" s="3" customFormat="1" x14ac:dyDescent="0.15">
      <c r="A1356" s="62"/>
      <c r="B1356" s="93"/>
      <c r="C1356" s="100"/>
      <c r="D1356" s="61"/>
      <c r="E1356" s="100"/>
      <c r="F1356" s="100"/>
      <c r="G1356" s="100"/>
      <c r="H1356" s="85"/>
      <c r="I1356" s="101"/>
      <c r="J1356" s="143"/>
      <c r="K1356" s="61"/>
      <c r="L1356" s="49"/>
      <c r="M1356" s="37"/>
      <c r="N1356" s="37"/>
      <c r="O1356" s="37"/>
      <c r="Y1356" s="4"/>
      <c r="Z1356"/>
      <c r="AA1356"/>
    </row>
    <row r="1357" spans="1:27" s="3" customFormat="1" x14ac:dyDescent="0.15">
      <c r="A1357" s="165"/>
      <c r="B1357" s="82"/>
      <c r="C1357" s="107"/>
      <c r="D1357" s="62"/>
      <c r="E1357" s="107"/>
      <c r="F1357" s="107"/>
      <c r="G1357" s="107"/>
      <c r="H1357" s="85"/>
      <c r="I1357" s="104"/>
      <c r="J1357" s="144"/>
      <c r="K1357" s="61"/>
      <c r="L1357" s="49"/>
      <c r="M1357" s="37"/>
      <c r="N1357" s="37"/>
      <c r="O1357" s="37"/>
      <c r="Y1357" s="4"/>
      <c r="Z1357"/>
      <c r="AA1357"/>
    </row>
    <row r="1358" spans="1:27" s="3" customFormat="1" x14ac:dyDescent="0.15">
      <c r="A1358" s="165"/>
      <c r="B1358" s="93"/>
      <c r="C1358" s="102"/>
      <c r="D1358" s="62"/>
      <c r="E1358" s="100"/>
      <c r="F1358" s="102"/>
      <c r="G1358" s="102"/>
      <c r="H1358" s="85"/>
      <c r="I1358" s="104"/>
      <c r="J1358" s="143"/>
      <c r="K1358" s="61"/>
      <c r="L1358" s="49"/>
      <c r="M1358" s="37"/>
      <c r="N1358" s="37"/>
      <c r="O1358" s="37"/>
      <c r="P1358"/>
      <c r="Q1358"/>
      <c r="Y1358" s="4"/>
      <c r="Z1358"/>
      <c r="AA1358"/>
    </row>
    <row r="1359" spans="1:27" s="49" customFormat="1" x14ac:dyDescent="0.15">
      <c r="A1359" s="62"/>
      <c r="B1359" s="93"/>
      <c r="C1359" s="100"/>
      <c r="D1359" s="61"/>
      <c r="E1359" s="100"/>
      <c r="F1359" s="100"/>
      <c r="G1359" s="100"/>
      <c r="H1359" s="85"/>
      <c r="I1359" s="101"/>
      <c r="J1359" s="143"/>
      <c r="K1359" s="61"/>
      <c r="M1359" s="37"/>
      <c r="N1359" s="37"/>
      <c r="O1359" s="37"/>
      <c r="P1359" s="3"/>
      <c r="Q1359" s="3"/>
      <c r="R1359" s="3"/>
      <c r="S1359" s="3"/>
      <c r="T1359" s="3"/>
      <c r="U1359" s="3"/>
      <c r="V1359" s="3"/>
      <c r="W1359" s="3"/>
      <c r="X1359" s="3"/>
      <c r="Y1359" s="4"/>
      <c r="Z1359"/>
      <c r="AA1359"/>
    </row>
    <row r="1360" spans="1:27" s="49" customFormat="1" x14ac:dyDescent="0.15">
      <c r="A1360" s="165"/>
      <c r="B1360" s="93"/>
      <c r="C1360" s="100"/>
      <c r="D1360" s="61"/>
      <c r="E1360" s="100"/>
      <c r="F1360" s="100"/>
      <c r="G1360" s="100"/>
      <c r="H1360" s="85"/>
      <c r="I1360" s="101"/>
      <c r="J1360" s="143"/>
      <c r="K1360" s="61"/>
      <c r="M1360" s="37"/>
      <c r="N1360" s="37"/>
      <c r="O1360" s="37"/>
      <c r="P1360" s="3"/>
      <c r="Q1360" s="3"/>
      <c r="R1360" s="3"/>
      <c r="S1360" s="3"/>
      <c r="T1360" s="3"/>
      <c r="U1360" s="3"/>
      <c r="V1360" s="3"/>
      <c r="W1360" s="3"/>
      <c r="X1360" s="3"/>
      <c r="Y1360" s="4"/>
      <c r="Z1360"/>
      <c r="AA1360"/>
    </row>
    <row r="1361" spans="1:27" s="49" customFormat="1" x14ac:dyDescent="0.15">
      <c r="A1361" s="165"/>
      <c r="B1361" s="93"/>
      <c r="C1361" s="100"/>
      <c r="D1361" s="61"/>
      <c r="E1361" s="100"/>
      <c r="F1361" s="100"/>
      <c r="G1361" s="100"/>
      <c r="H1361" s="85"/>
      <c r="I1361" s="101"/>
      <c r="J1361" s="143"/>
      <c r="K1361" s="61"/>
      <c r="M1361" s="37"/>
      <c r="N1361" s="37"/>
      <c r="O1361" s="37"/>
      <c r="P1361" s="3"/>
      <c r="Q1361" s="3"/>
      <c r="R1361" s="3"/>
      <c r="S1361" s="3"/>
      <c r="T1361" s="3"/>
      <c r="U1361" s="3"/>
      <c r="V1361" s="3"/>
      <c r="W1361" s="3"/>
      <c r="X1361" s="3"/>
      <c r="Y1361" s="4"/>
      <c r="Z1361"/>
      <c r="AA1361"/>
    </row>
    <row r="1362" spans="1:27" s="49" customFormat="1" x14ac:dyDescent="0.15">
      <c r="A1362" s="165"/>
      <c r="B1362" s="93"/>
      <c r="C1362" s="100"/>
      <c r="D1362" s="61"/>
      <c r="E1362" s="100"/>
      <c r="F1362" s="100"/>
      <c r="G1362" s="100"/>
      <c r="H1362" s="85"/>
      <c r="I1362" s="101"/>
      <c r="J1362" s="143"/>
      <c r="K1362" s="61"/>
      <c r="M1362" s="37"/>
      <c r="N1362" s="37"/>
      <c r="O1362" s="37"/>
      <c r="P1362" s="3"/>
      <c r="Q1362" s="3"/>
      <c r="R1362" s="3"/>
      <c r="S1362" s="3"/>
      <c r="T1362" s="3"/>
      <c r="U1362" s="3"/>
      <c r="V1362" s="3"/>
      <c r="W1362" s="3"/>
      <c r="X1362" s="3"/>
      <c r="Y1362" s="4"/>
      <c r="Z1362"/>
      <c r="AA1362"/>
    </row>
    <row r="1363" spans="1:27" s="49" customFormat="1" x14ac:dyDescent="0.15">
      <c r="A1363" s="165"/>
      <c r="B1363" s="93"/>
      <c r="C1363" s="100"/>
      <c r="D1363" s="61"/>
      <c r="E1363" s="100"/>
      <c r="F1363" s="100"/>
      <c r="G1363" s="100"/>
      <c r="H1363" s="85"/>
      <c r="I1363" s="101"/>
      <c r="J1363" s="143"/>
      <c r="K1363" s="61"/>
      <c r="M1363" s="37"/>
      <c r="N1363" s="37"/>
      <c r="O1363" s="37"/>
      <c r="P1363" s="3"/>
      <c r="Q1363" s="3"/>
      <c r="R1363" s="3"/>
      <c r="S1363" s="3"/>
      <c r="T1363" s="3"/>
      <c r="U1363" s="3"/>
      <c r="V1363" s="3"/>
      <c r="W1363" s="3"/>
      <c r="X1363" s="3"/>
      <c r="Y1363" s="4"/>
      <c r="Z1363"/>
      <c r="AA1363"/>
    </row>
    <row r="1364" spans="1:27" s="49" customFormat="1" x14ac:dyDescent="0.15">
      <c r="A1364" s="62"/>
      <c r="B1364" s="93"/>
      <c r="C1364" s="100"/>
      <c r="D1364" s="61"/>
      <c r="E1364" s="100"/>
      <c r="F1364" s="100"/>
      <c r="G1364" s="100"/>
      <c r="H1364" s="85"/>
      <c r="I1364" s="101"/>
      <c r="J1364" s="143"/>
      <c r="K1364" s="61"/>
      <c r="M1364" s="37"/>
      <c r="N1364" s="37"/>
      <c r="O1364" s="37"/>
      <c r="P1364" s="3"/>
      <c r="Q1364" s="3"/>
      <c r="R1364" s="3"/>
      <c r="S1364" s="3"/>
      <c r="T1364" s="3"/>
      <c r="U1364" s="3"/>
      <c r="V1364" s="3"/>
      <c r="W1364" s="3"/>
      <c r="X1364" s="3"/>
      <c r="Y1364" s="4"/>
      <c r="Z1364"/>
      <c r="AA1364"/>
    </row>
    <row r="1365" spans="1:27" s="49" customFormat="1" x14ac:dyDescent="0.15">
      <c r="A1365" s="165"/>
      <c r="B1365" s="93"/>
      <c r="C1365" s="100"/>
      <c r="D1365" s="61"/>
      <c r="E1365" s="100"/>
      <c r="F1365" s="100"/>
      <c r="G1365" s="100"/>
      <c r="H1365" s="85"/>
      <c r="I1365" s="101"/>
      <c r="J1365" s="143"/>
      <c r="K1365" s="61"/>
      <c r="M1365" s="37"/>
      <c r="N1365" s="37"/>
      <c r="O1365" s="37"/>
      <c r="P1365" s="3"/>
      <c r="Q1365" s="3"/>
      <c r="R1365" s="3"/>
      <c r="S1365" s="3"/>
      <c r="T1365" s="3"/>
      <c r="U1365" s="3"/>
      <c r="V1365" s="3"/>
      <c r="W1365" s="3"/>
      <c r="X1365" s="3"/>
      <c r="Y1365" s="4"/>
      <c r="Z1365"/>
      <c r="AA1365"/>
    </row>
    <row r="1366" spans="1:27" s="49" customFormat="1" x14ac:dyDescent="0.15">
      <c r="A1366" s="165"/>
      <c r="B1366" s="93"/>
      <c r="C1366" s="100"/>
      <c r="D1366" s="61"/>
      <c r="E1366" s="100"/>
      <c r="F1366" s="100"/>
      <c r="G1366" s="100"/>
      <c r="H1366" s="85"/>
      <c r="I1366" s="101"/>
      <c r="J1366" s="143"/>
      <c r="K1366" s="61"/>
      <c r="M1366" s="37"/>
      <c r="N1366" s="37"/>
      <c r="O1366" s="37"/>
      <c r="P1366" s="3"/>
      <c r="Q1366" s="3"/>
      <c r="R1366" s="3"/>
      <c r="S1366" s="3"/>
      <c r="T1366" s="3"/>
      <c r="U1366" s="3"/>
      <c r="V1366" s="3"/>
      <c r="W1366" s="3"/>
      <c r="X1366" s="3"/>
      <c r="Y1366" s="4"/>
      <c r="Z1366"/>
      <c r="AA1366"/>
    </row>
    <row r="1367" spans="1:27" s="49" customFormat="1" x14ac:dyDescent="0.15">
      <c r="A1367" s="62"/>
      <c r="B1367" s="93"/>
      <c r="C1367" s="100"/>
      <c r="D1367" s="61"/>
      <c r="E1367" s="100"/>
      <c r="F1367" s="100"/>
      <c r="G1367" s="100"/>
      <c r="H1367" s="85"/>
      <c r="I1367" s="101"/>
      <c r="J1367" s="143"/>
      <c r="K1367" s="61"/>
      <c r="M1367" s="37"/>
      <c r="N1367" s="37"/>
      <c r="O1367" s="37"/>
      <c r="P1367" s="3"/>
      <c r="Q1367" s="3"/>
      <c r="R1367" s="3"/>
      <c r="S1367" s="3"/>
      <c r="T1367" s="3"/>
      <c r="U1367" s="3"/>
      <c r="V1367" s="3"/>
      <c r="W1367" s="3"/>
      <c r="X1367" s="3"/>
      <c r="Y1367" s="4"/>
      <c r="Z1367"/>
      <c r="AA1367"/>
    </row>
    <row r="1368" spans="1:27" s="49" customFormat="1" x14ac:dyDescent="0.15">
      <c r="A1368" s="62"/>
      <c r="B1368" s="93"/>
      <c r="C1368" s="100"/>
      <c r="D1368" s="61"/>
      <c r="E1368" s="100"/>
      <c r="F1368" s="100"/>
      <c r="G1368" s="100"/>
      <c r="H1368" s="85"/>
      <c r="I1368" s="101"/>
      <c r="J1368" s="143"/>
      <c r="K1368" s="61"/>
      <c r="M1368" s="37"/>
      <c r="N1368" s="37"/>
      <c r="O1368" s="37"/>
      <c r="P1368" s="3"/>
      <c r="Q1368" s="3"/>
      <c r="R1368" s="3"/>
      <c r="S1368" s="3"/>
      <c r="T1368" s="3"/>
      <c r="U1368" s="3"/>
      <c r="V1368" s="3"/>
      <c r="W1368" s="3"/>
      <c r="X1368" s="3"/>
      <c r="Y1368" s="4"/>
      <c r="Z1368"/>
      <c r="AA1368"/>
    </row>
    <row r="1369" spans="1:27" s="49" customFormat="1" x14ac:dyDescent="0.15">
      <c r="A1369" s="62"/>
      <c r="B1369" s="93"/>
      <c r="C1369" s="102"/>
      <c r="D1369" s="62"/>
      <c r="E1369" s="100"/>
      <c r="F1369" s="102"/>
      <c r="G1369" s="102"/>
      <c r="H1369" s="85"/>
      <c r="I1369" s="104"/>
      <c r="J1369" s="143"/>
      <c r="K1369" s="61"/>
      <c r="M1369" s="37"/>
      <c r="N1369" s="37"/>
      <c r="O1369" s="37"/>
      <c r="P1369" s="3"/>
      <c r="Q1369" s="3"/>
      <c r="R1369" s="3"/>
      <c r="S1369" s="3"/>
      <c r="T1369" s="3"/>
      <c r="U1369" s="3"/>
      <c r="V1369" s="3"/>
      <c r="W1369" s="3"/>
      <c r="X1369" s="3"/>
      <c r="Y1369" s="4"/>
      <c r="Z1369"/>
      <c r="AA1369"/>
    </row>
    <row r="1370" spans="1:27" s="49" customFormat="1" x14ac:dyDescent="0.15">
      <c r="A1370" s="62"/>
      <c r="B1370" s="93"/>
      <c r="C1370" s="100"/>
      <c r="D1370" s="61"/>
      <c r="E1370" s="100"/>
      <c r="F1370" s="100"/>
      <c r="G1370" s="100"/>
      <c r="H1370" s="103"/>
      <c r="I1370" s="103"/>
      <c r="J1370" s="141"/>
      <c r="K1370" s="61"/>
      <c r="M1370" s="37"/>
      <c r="N1370" s="37"/>
      <c r="O1370" s="37"/>
      <c r="P1370" s="3"/>
      <c r="Q1370" s="3"/>
      <c r="R1370" s="3"/>
      <c r="S1370" s="3"/>
      <c r="T1370" s="3"/>
      <c r="U1370" s="3"/>
      <c r="V1370" s="3"/>
      <c r="W1370" s="3"/>
      <c r="X1370" s="3"/>
      <c r="Y1370" s="4"/>
      <c r="Z1370"/>
      <c r="AA1370"/>
    </row>
    <row r="1371" spans="1:27" s="49" customFormat="1" x14ac:dyDescent="0.15">
      <c r="A1371" s="62"/>
      <c r="B1371" s="93"/>
      <c r="C1371" s="100"/>
      <c r="D1371" s="61"/>
      <c r="E1371" s="100"/>
      <c r="F1371" s="100"/>
      <c r="G1371" s="100"/>
      <c r="H1371" s="103"/>
      <c r="I1371" s="103"/>
      <c r="J1371" s="141"/>
      <c r="K1371" s="61"/>
      <c r="M1371" s="37"/>
      <c r="N1371" s="37"/>
      <c r="O1371" s="37"/>
      <c r="P1371" s="3"/>
      <c r="Q1371" s="3"/>
      <c r="R1371" s="3"/>
      <c r="S1371" s="3"/>
      <c r="T1371" s="3"/>
      <c r="U1371" s="3"/>
      <c r="V1371" s="3"/>
      <c r="W1371" s="3"/>
      <c r="X1371" s="3"/>
      <c r="Y1371" s="4"/>
      <c r="Z1371"/>
      <c r="AA1371"/>
    </row>
    <row r="1372" spans="1:27" s="49" customFormat="1" x14ac:dyDescent="0.15">
      <c r="A1372" s="62"/>
      <c r="B1372" s="93"/>
      <c r="C1372" s="100"/>
      <c r="D1372" s="61"/>
      <c r="E1372" s="100"/>
      <c r="F1372" s="100"/>
      <c r="G1372" s="100"/>
      <c r="H1372" s="103"/>
      <c r="I1372" s="103"/>
      <c r="J1372" s="141"/>
      <c r="K1372" s="61"/>
      <c r="M1372" s="37"/>
      <c r="N1372" s="37"/>
      <c r="O1372" s="37"/>
      <c r="P1372" s="3"/>
      <c r="Q1372" s="3"/>
      <c r="R1372" s="3"/>
      <c r="S1372" s="3"/>
      <c r="T1372" s="3"/>
      <c r="U1372" s="3"/>
      <c r="V1372" s="3"/>
      <c r="W1372" s="3"/>
      <c r="X1372" s="3"/>
      <c r="Y1372" s="4"/>
      <c r="Z1372"/>
      <c r="AA1372"/>
    </row>
    <row r="1373" spans="1:27" s="49" customFormat="1" x14ac:dyDescent="0.15">
      <c r="A1373" s="62"/>
      <c r="B1373" s="93"/>
      <c r="C1373" s="102"/>
      <c r="D1373" s="62"/>
      <c r="E1373" s="102"/>
      <c r="F1373" s="102"/>
      <c r="G1373" s="102"/>
      <c r="H1373" s="85"/>
      <c r="I1373" s="104"/>
      <c r="J1373" s="143"/>
      <c r="K1373" s="61"/>
      <c r="M1373" s="37"/>
      <c r="N1373" s="37"/>
      <c r="O1373" s="37"/>
      <c r="P1373" s="3"/>
      <c r="Q1373" s="3"/>
      <c r="R1373" s="3"/>
      <c r="S1373" s="3"/>
      <c r="T1373" s="3"/>
      <c r="U1373" s="3"/>
      <c r="V1373" s="3"/>
      <c r="W1373" s="3"/>
      <c r="X1373" s="3"/>
      <c r="Y1373" s="4"/>
      <c r="Z1373"/>
      <c r="AA1373"/>
    </row>
    <row r="1374" spans="1:27" s="49" customFormat="1" x14ac:dyDescent="0.15">
      <c r="A1374" s="62"/>
      <c r="B1374" s="93"/>
      <c r="C1374" s="102"/>
      <c r="D1374" s="62"/>
      <c r="E1374" s="102"/>
      <c r="F1374" s="102"/>
      <c r="G1374" s="102"/>
      <c r="H1374" s="85"/>
      <c r="I1374" s="104"/>
      <c r="J1374" s="144"/>
      <c r="K1374" s="61"/>
      <c r="M1374" s="37"/>
      <c r="N1374" s="37"/>
      <c r="O1374" s="37"/>
      <c r="P1374" s="3"/>
      <c r="Q1374" s="3"/>
      <c r="R1374" s="3"/>
      <c r="S1374" s="3"/>
      <c r="T1374" s="3"/>
      <c r="U1374" s="3"/>
      <c r="V1374" s="3"/>
      <c r="W1374" s="3"/>
      <c r="X1374" s="3"/>
      <c r="Y1374" s="4"/>
      <c r="Z1374"/>
      <c r="AA1374"/>
    </row>
    <row r="1375" spans="1:27" s="3" customFormat="1" x14ac:dyDescent="0.15">
      <c r="A1375" s="62"/>
      <c r="B1375" s="93"/>
      <c r="C1375" s="102"/>
      <c r="D1375" s="62"/>
      <c r="E1375" s="102"/>
      <c r="F1375" s="102"/>
      <c r="G1375" s="102"/>
      <c r="H1375" s="85"/>
      <c r="I1375" s="104"/>
      <c r="J1375" s="143"/>
      <c r="K1375" s="61"/>
      <c r="L1375" s="49"/>
      <c r="M1375" s="37"/>
      <c r="N1375" s="37"/>
      <c r="O1375" s="37"/>
      <c r="P1375" s="14"/>
      <c r="Q1375" s="14"/>
      <c r="Y1375" s="4"/>
      <c r="Z1375"/>
      <c r="AA1375"/>
    </row>
    <row r="1376" spans="1:27" s="3" customFormat="1" x14ac:dyDescent="0.15">
      <c r="A1376" s="62"/>
      <c r="B1376" s="93"/>
      <c r="C1376" s="102"/>
      <c r="D1376" s="62"/>
      <c r="E1376" s="102"/>
      <c r="F1376" s="102"/>
      <c r="G1376" s="102"/>
      <c r="H1376" s="103"/>
      <c r="I1376" s="98"/>
      <c r="J1376" s="141"/>
      <c r="K1376" s="61"/>
      <c r="L1376" s="49"/>
      <c r="M1376" s="37"/>
      <c r="N1376" s="37"/>
      <c r="O1376" s="37"/>
      <c r="Y1376" s="4"/>
      <c r="Z1376"/>
      <c r="AA1376"/>
    </row>
    <row r="1377" spans="1:27" s="3" customFormat="1" x14ac:dyDescent="0.15">
      <c r="A1377" s="165"/>
      <c r="B1377" s="82"/>
      <c r="C1377" s="107"/>
      <c r="D1377" s="62"/>
      <c r="E1377" s="107"/>
      <c r="F1377" s="107"/>
      <c r="G1377" s="107"/>
      <c r="H1377" s="85"/>
      <c r="I1377" s="104"/>
      <c r="J1377" s="143"/>
      <c r="K1377" s="61"/>
      <c r="L1377" s="49"/>
      <c r="M1377" s="37"/>
      <c r="N1377" s="37"/>
      <c r="O1377" s="37"/>
      <c r="Y1377" s="4"/>
      <c r="Z1377"/>
      <c r="AA1377"/>
    </row>
    <row r="1378" spans="1:27" s="3" customFormat="1" x14ac:dyDescent="0.15">
      <c r="A1378" s="165"/>
      <c r="B1378" s="93"/>
      <c r="C1378" s="102"/>
      <c r="D1378" s="62"/>
      <c r="E1378" s="102"/>
      <c r="F1378" s="102"/>
      <c r="G1378" s="102"/>
      <c r="H1378" s="85"/>
      <c r="I1378" s="104"/>
      <c r="J1378" s="143"/>
      <c r="K1378" s="61"/>
      <c r="L1378" s="49"/>
      <c r="M1378" s="37"/>
      <c r="N1378" s="37"/>
      <c r="O1378" s="37"/>
      <c r="Y1378" s="4"/>
      <c r="Z1378"/>
      <c r="AA1378"/>
    </row>
    <row r="1379" spans="1:27" s="3" customFormat="1" x14ac:dyDescent="0.15">
      <c r="A1379" s="62"/>
      <c r="B1379" s="93"/>
      <c r="C1379" s="102"/>
      <c r="D1379" s="62"/>
      <c r="E1379" s="102"/>
      <c r="F1379" s="102"/>
      <c r="G1379" s="102"/>
      <c r="H1379" s="85"/>
      <c r="I1379" s="104"/>
      <c r="J1379" s="144"/>
      <c r="K1379" s="61"/>
      <c r="L1379" s="49"/>
      <c r="M1379" s="37"/>
      <c r="N1379" s="37"/>
      <c r="O1379" s="37"/>
      <c r="Y1379" s="4"/>
      <c r="Z1379"/>
      <c r="AA1379"/>
    </row>
    <row r="1380" spans="1:27" s="3" customFormat="1" x14ac:dyDescent="0.15">
      <c r="A1380" s="62"/>
      <c r="B1380" s="93"/>
      <c r="C1380" s="102"/>
      <c r="D1380" s="62"/>
      <c r="E1380" s="102"/>
      <c r="F1380" s="102"/>
      <c r="G1380" s="102"/>
      <c r="H1380" s="85"/>
      <c r="I1380" s="104"/>
      <c r="J1380" s="144"/>
      <c r="K1380" s="61"/>
      <c r="L1380" s="49"/>
      <c r="M1380" s="37"/>
      <c r="N1380" s="37"/>
      <c r="O1380" s="37"/>
      <c r="Y1380" s="4"/>
      <c r="Z1380"/>
      <c r="AA1380"/>
    </row>
    <row r="1381" spans="1:27" s="3" customFormat="1" x14ac:dyDescent="0.15">
      <c r="A1381" s="165"/>
      <c r="B1381" s="93"/>
      <c r="C1381" s="102"/>
      <c r="D1381" s="62"/>
      <c r="E1381" s="102"/>
      <c r="F1381" s="102"/>
      <c r="G1381" s="102"/>
      <c r="H1381" s="85"/>
      <c r="I1381" s="104"/>
      <c r="J1381" s="144"/>
      <c r="K1381" s="61"/>
      <c r="L1381" s="49"/>
      <c r="M1381" s="37"/>
      <c r="N1381" s="37"/>
      <c r="O1381" s="37"/>
      <c r="Y1381" s="4"/>
      <c r="Z1381"/>
      <c r="AA1381"/>
    </row>
    <row r="1382" spans="1:27" s="3" customFormat="1" x14ac:dyDescent="0.15">
      <c r="A1382" s="165"/>
      <c r="B1382" s="93"/>
      <c r="C1382" s="102"/>
      <c r="D1382" s="62"/>
      <c r="E1382" s="102"/>
      <c r="F1382" s="102"/>
      <c r="G1382" s="102"/>
      <c r="H1382" s="85"/>
      <c r="I1382" s="104"/>
      <c r="J1382" s="144"/>
      <c r="K1382" s="61"/>
      <c r="L1382" s="49"/>
      <c r="M1382" s="37"/>
      <c r="N1382" s="37"/>
      <c r="O1382" s="37"/>
      <c r="Y1382" s="4"/>
      <c r="Z1382"/>
      <c r="AA1382"/>
    </row>
    <row r="1383" spans="1:27" s="3" customFormat="1" x14ac:dyDescent="0.15">
      <c r="A1383" s="62"/>
      <c r="B1383" s="93"/>
      <c r="C1383" s="102"/>
      <c r="D1383" s="62"/>
      <c r="E1383" s="102"/>
      <c r="F1383" s="102"/>
      <c r="G1383" s="102"/>
      <c r="H1383" s="85"/>
      <c r="I1383" s="104"/>
      <c r="J1383" s="144"/>
      <c r="K1383" s="62"/>
      <c r="L1383" s="49"/>
      <c r="M1383" s="37"/>
      <c r="N1383" s="37"/>
      <c r="O1383" s="37"/>
      <c r="Y1383" s="4"/>
      <c r="Z1383"/>
      <c r="AA1383"/>
    </row>
    <row r="1384" spans="1:27" s="3" customFormat="1" x14ac:dyDescent="0.15">
      <c r="A1384" s="165"/>
      <c r="B1384" s="93"/>
      <c r="C1384" s="102"/>
      <c r="D1384" s="62"/>
      <c r="E1384" s="102"/>
      <c r="F1384" s="102"/>
      <c r="G1384" s="102"/>
      <c r="H1384" s="85"/>
      <c r="I1384" s="104"/>
      <c r="J1384" s="144"/>
      <c r="K1384" s="62"/>
      <c r="L1384" s="49"/>
      <c r="M1384" s="37"/>
      <c r="N1384" s="37"/>
      <c r="O1384" s="37"/>
      <c r="Y1384" s="4"/>
      <c r="Z1384"/>
      <c r="AA1384"/>
    </row>
    <row r="1385" spans="1:27" s="3" customFormat="1" x14ac:dyDescent="0.15">
      <c r="A1385" s="165"/>
      <c r="B1385" s="93"/>
      <c r="C1385" s="102"/>
      <c r="D1385" s="61"/>
      <c r="E1385" s="100"/>
      <c r="F1385" s="100"/>
      <c r="G1385" s="100"/>
      <c r="H1385" s="103"/>
      <c r="I1385" s="103"/>
      <c r="J1385" s="141"/>
      <c r="K1385" s="61"/>
      <c r="L1385" s="49"/>
      <c r="M1385" s="37"/>
      <c r="N1385" s="37"/>
      <c r="O1385" s="37"/>
      <c r="Y1385" s="4"/>
      <c r="Z1385"/>
      <c r="AA1385"/>
    </row>
    <row r="1386" spans="1:27" s="3" customFormat="1" x14ac:dyDescent="0.15">
      <c r="A1386" s="165"/>
      <c r="B1386" s="93"/>
      <c r="C1386" s="100"/>
      <c r="D1386" s="61"/>
      <c r="E1386" s="100"/>
      <c r="F1386" s="100"/>
      <c r="G1386" s="100"/>
      <c r="H1386" s="103"/>
      <c r="I1386" s="103"/>
      <c r="J1386" s="141"/>
      <c r="K1386" s="61"/>
      <c r="L1386" s="49"/>
      <c r="M1386" s="37"/>
      <c r="N1386" s="37"/>
      <c r="O1386" s="37"/>
      <c r="Y1386" s="4"/>
      <c r="Z1386"/>
      <c r="AA1386"/>
    </row>
    <row r="1387" spans="1:27" s="3" customFormat="1" x14ac:dyDescent="0.15">
      <c r="A1387" s="165"/>
      <c r="B1387" s="93"/>
      <c r="C1387" s="102"/>
      <c r="D1387" s="62"/>
      <c r="E1387" s="102"/>
      <c r="F1387" s="102"/>
      <c r="G1387" s="102"/>
      <c r="H1387" s="85"/>
      <c r="I1387" s="104"/>
      <c r="J1387" s="143"/>
      <c r="K1387" s="61"/>
      <c r="L1387" s="49"/>
      <c r="M1387" s="37"/>
      <c r="N1387" s="37"/>
      <c r="O1387" s="37"/>
      <c r="Y1387" s="4"/>
      <c r="Z1387"/>
      <c r="AA1387"/>
    </row>
    <row r="1388" spans="1:27" s="3" customFormat="1" x14ac:dyDescent="0.15">
      <c r="A1388" s="165"/>
      <c r="B1388" s="93"/>
      <c r="C1388" s="102"/>
      <c r="D1388" s="62"/>
      <c r="E1388" s="102"/>
      <c r="F1388" s="102"/>
      <c r="G1388" s="102"/>
      <c r="H1388" s="85"/>
      <c r="I1388" s="104"/>
      <c r="J1388" s="143"/>
      <c r="K1388" s="61"/>
      <c r="L1388" s="49"/>
      <c r="M1388" s="37"/>
      <c r="N1388" s="37"/>
      <c r="O1388" s="37"/>
      <c r="Y1388" s="4"/>
      <c r="Z1388"/>
      <c r="AA1388"/>
    </row>
    <row r="1389" spans="1:27" s="3" customFormat="1" x14ac:dyDescent="0.15">
      <c r="A1389" s="165"/>
      <c r="B1389" s="93"/>
      <c r="C1389" s="102"/>
      <c r="D1389" s="62"/>
      <c r="E1389" s="102"/>
      <c r="F1389" s="102"/>
      <c r="G1389" s="102"/>
      <c r="H1389" s="85"/>
      <c r="I1389" s="104"/>
      <c r="J1389" s="144"/>
      <c r="K1389" s="62"/>
      <c r="L1389" s="49"/>
      <c r="M1389" s="37"/>
      <c r="N1389" s="37"/>
      <c r="O1389" s="37"/>
      <c r="Y1389" s="4"/>
      <c r="Z1389"/>
      <c r="AA1389"/>
    </row>
    <row r="1390" spans="1:27" s="3" customFormat="1" x14ac:dyDescent="0.15">
      <c r="A1390" s="165"/>
      <c r="B1390" s="93"/>
      <c r="C1390" s="102"/>
      <c r="D1390" s="62"/>
      <c r="E1390" s="100"/>
      <c r="F1390" s="102"/>
      <c r="G1390" s="102"/>
      <c r="H1390" s="85"/>
      <c r="I1390" s="104"/>
      <c r="J1390" s="143"/>
      <c r="K1390" s="61"/>
      <c r="L1390" s="49"/>
      <c r="M1390" s="37"/>
      <c r="N1390" s="37"/>
      <c r="O1390" s="37"/>
      <c r="P1390" s="12"/>
      <c r="Q1390" s="12"/>
      <c r="Y1390" s="4"/>
      <c r="Z1390"/>
      <c r="AA1390"/>
    </row>
    <row r="1391" spans="1:27" s="49" customFormat="1" x14ac:dyDescent="0.15">
      <c r="A1391" s="165"/>
      <c r="B1391" s="93"/>
      <c r="C1391" s="102"/>
      <c r="D1391" s="62"/>
      <c r="E1391" s="100"/>
      <c r="F1391" s="102"/>
      <c r="G1391" s="102"/>
      <c r="H1391" s="85"/>
      <c r="I1391" s="104"/>
      <c r="J1391" s="143"/>
      <c r="K1391" s="61"/>
      <c r="M1391" s="37"/>
      <c r="N1391" s="37"/>
      <c r="O1391" s="37"/>
      <c r="P1391" s="3"/>
      <c r="Q1391" s="3"/>
      <c r="R1391" s="3"/>
      <c r="S1391" s="3"/>
      <c r="T1391" s="3"/>
      <c r="U1391" s="3"/>
      <c r="V1391" s="3"/>
      <c r="W1391" s="3"/>
      <c r="X1391" s="3"/>
      <c r="Y1391" s="4"/>
      <c r="Z1391"/>
      <c r="AA1391"/>
    </row>
    <row r="1392" spans="1:27" s="49" customFormat="1" x14ac:dyDescent="0.15">
      <c r="A1392" s="165"/>
      <c r="B1392" s="93"/>
      <c r="C1392" s="102"/>
      <c r="D1392" s="62"/>
      <c r="E1392" s="102"/>
      <c r="F1392" s="102"/>
      <c r="G1392" s="102"/>
      <c r="H1392" s="85"/>
      <c r="I1392" s="104"/>
      <c r="J1392" s="143"/>
      <c r="K1392" s="61"/>
      <c r="M1392" s="37"/>
      <c r="N1392" s="37"/>
      <c r="O1392" s="37"/>
      <c r="P1392" s="3"/>
      <c r="Q1392" s="3"/>
      <c r="R1392" s="3"/>
      <c r="S1392" s="3"/>
      <c r="T1392" s="3"/>
      <c r="U1392" s="3"/>
      <c r="V1392" s="3"/>
      <c r="W1392" s="3"/>
      <c r="X1392" s="3"/>
      <c r="Y1392" s="4"/>
      <c r="Z1392"/>
      <c r="AA1392"/>
    </row>
    <row r="1393" spans="1:27" s="49" customFormat="1" x14ac:dyDescent="0.15">
      <c r="A1393" s="165"/>
      <c r="B1393" s="93"/>
      <c r="C1393" s="100"/>
      <c r="D1393" s="61"/>
      <c r="E1393" s="100"/>
      <c r="F1393" s="100"/>
      <c r="G1393" s="100"/>
      <c r="H1393" s="85"/>
      <c r="I1393" s="101"/>
      <c r="J1393" s="143"/>
      <c r="K1393" s="61"/>
      <c r="M1393" s="37"/>
      <c r="N1393" s="37"/>
      <c r="O1393" s="37"/>
      <c r="P1393" s="3"/>
      <c r="Q1393" s="3"/>
      <c r="R1393" s="3"/>
      <c r="S1393" s="3"/>
      <c r="T1393" s="3"/>
      <c r="U1393" s="3"/>
      <c r="V1393" s="3"/>
      <c r="W1393" s="3"/>
      <c r="X1393" s="3"/>
      <c r="Y1393" s="4"/>
      <c r="Z1393"/>
      <c r="AA1393"/>
    </row>
    <row r="1394" spans="1:27" s="49" customFormat="1" x14ac:dyDescent="0.15">
      <c r="A1394" s="165"/>
      <c r="B1394" s="93"/>
      <c r="C1394" s="100"/>
      <c r="D1394" s="61"/>
      <c r="E1394" s="100"/>
      <c r="F1394" s="100"/>
      <c r="G1394" s="100"/>
      <c r="H1394" s="103"/>
      <c r="I1394" s="103"/>
      <c r="J1394" s="141"/>
      <c r="K1394" s="61"/>
      <c r="M1394" s="37"/>
      <c r="N1394" s="37"/>
      <c r="O1394" s="37"/>
      <c r="P1394" s="3"/>
      <c r="Q1394" s="3"/>
      <c r="R1394" s="3"/>
      <c r="S1394" s="3"/>
      <c r="T1394" s="3"/>
      <c r="U1394" s="3"/>
      <c r="V1394" s="3"/>
      <c r="W1394" s="3"/>
      <c r="X1394" s="3"/>
      <c r="Y1394" s="4"/>
      <c r="Z1394"/>
      <c r="AA1394"/>
    </row>
    <row r="1395" spans="1:27" s="49" customFormat="1" x14ac:dyDescent="0.15">
      <c r="A1395" s="165"/>
      <c r="B1395" s="93"/>
      <c r="C1395" s="102"/>
      <c r="D1395" s="62"/>
      <c r="E1395" s="100"/>
      <c r="F1395" s="102"/>
      <c r="G1395" s="102"/>
      <c r="H1395" s="85"/>
      <c r="I1395" s="104"/>
      <c r="J1395" s="143"/>
      <c r="K1395" s="61"/>
      <c r="M1395" s="37"/>
      <c r="N1395" s="37"/>
      <c r="O1395" s="37"/>
      <c r="P1395" s="3"/>
      <c r="Q1395" s="3"/>
      <c r="R1395" s="3"/>
      <c r="S1395" s="3"/>
      <c r="T1395" s="3"/>
      <c r="U1395" s="3"/>
      <c r="V1395" s="3"/>
      <c r="W1395" s="3"/>
      <c r="X1395" s="3"/>
      <c r="Y1395" s="4"/>
      <c r="Z1395"/>
      <c r="AA1395"/>
    </row>
    <row r="1396" spans="1:27" s="49" customFormat="1" x14ac:dyDescent="0.15">
      <c r="A1396" s="165"/>
      <c r="B1396" s="93"/>
      <c r="C1396" s="102"/>
      <c r="D1396" s="62"/>
      <c r="E1396" s="102"/>
      <c r="F1396" s="102"/>
      <c r="G1396" s="102"/>
      <c r="H1396" s="85"/>
      <c r="I1396" s="104"/>
      <c r="J1396" s="143"/>
      <c r="K1396" s="61"/>
      <c r="M1396" s="37"/>
      <c r="N1396" s="37"/>
      <c r="O1396" s="37"/>
      <c r="P1396" s="3"/>
      <c r="Q1396" s="3"/>
      <c r="R1396" s="3"/>
      <c r="S1396" s="3"/>
      <c r="T1396" s="3"/>
      <c r="U1396" s="3"/>
      <c r="V1396" s="3"/>
      <c r="W1396" s="3"/>
      <c r="X1396" s="3"/>
      <c r="Y1396" s="4"/>
      <c r="Z1396"/>
      <c r="AA1396"/>
    </row>
    <row r="1397" spans="1:27" s="49" customFormat="1" x14ac:dyDescent="0.15">
      <c r="A1397" s="165"/>
      <c r="B1397" s="93"/>
      <c r="C1397" s="100"/>
      <c r="D1397" s="61"/>
      <c r="E1397" s="100"/>
      <c r="F1397" s="100"/>
      <c r="G1397" s="100"/>
      <c r="H1397" s="103"/>
      <c r="I1397" s="103"/>
      <c r="J1397" s="141"/>
      <c r="K1397" s="61"/>
      <c r="M1397" s="37"/>
      <c r="N1397" s="37"/>
      <c r="O1397" s="37"/>
      <c r="P1397" s="3"/>
      <c r="Q1397" s="3"/>
      <c r="R1397" s="3"/>
      <c r="S1397" s="3"/>
      <c r="T1397" s="3"/>
      <c r="U1397" s="3"/>
      <c r="V1397" s="3"/>
      <c r="W1397" s="3"/>
      <c r="X1397" s="3"/>
      <c r="Y1397" s="4"/>
      <c r="Z1397"/>
      <c r="AA1397"/>
    </row>
    <row r="1398" spans="1:27" s="49" customFormat="1" x14ac:dyDescent="0.15">
      <c r="A1398" s="165"/>
      <c r="B1398" s="93"/>
      <c r="C1398" s="102"/>
      <c r="D1398" s="62"/>
      <c r="E1398" s="102"/>
      <c r="F1398" s="102"/>
      <c r="G1398" s="102"/>
      <c r="H1398" s="85"/>
      <c r="I1398" s="104"/>
      <c r="J1398" s="143"/>
      <c r="K1398" s="61"/>
      <c r="M1398" s="37"/>
      <c r="N1398" s="37"/>
      <c r="O1398" s="37"/>
      <c r="P1398" s="3"/>
      <c r="Q1398" s="3"/>
      <c r="R1398" s="3"/>
      <c r="S1398" s="3"/>
      <c r="T1398" s="3"/>
      <c r="U1398" s="3"/>
      <c r="V1398" s="3"/>
      <c r="W1398" s="3"/>
      <c r="X1398" s="3"/>
      <c r="Y1398" s="4"/>
      <c r="Z1398"/>
      <c r="AA1398"/>
    </row>
    <row r="1399" spans="1:27" s="49" customFormat="1" x14ac:dyDescent="0.15">
      <c r="A1399" s="165"/>
      <c r="B1399" s="93"/>
      <c r="C1399" s="102"/>
      <c r="D1399" s="62"/>
      <c r="E1399" s="102"/>
      <c r="F1399" s="102"/>
      <c r="G1399" s="102"/>
      <c r="H1399" s="85"/>
      <c r="I1399" s="104"/>
      <c r="J1399" s="144"/>
      <c r="K1399" s="61"/>
      <c r="M1399" s="37"/>
      <c r="N1399" s="37"/>
      <c r="O1399" s="37"/>
      <c r="P1399" s="3"/>
      <c r="Q1399" s="3"/>
      <c r="R1399" s="3"/>
      <c r="S1399" s="3"/>
      <c r="T1399" s="3"/>
      <c r="U1399" s="3"/>
      <c r="V1399" s="3"/>
      <c r="W1399" s="3"/>
      <c r="X1399" s="3"/>
      <c r="Y1399" s="4"/>
      <c r="Z1399"/>
      <c r="AA1399"/>
    </row>
    <row r="1400" spans="1:27" s="49" customFormat="1" x14ac:dyDescent="0.15">
      <c r="A1400" s="165"/>
      <c r="B1400" s="93"/>
      <c r="C1400" s="102"/>
      <c r="D1400" s="62"/>
      <c r="E1400" s="102"/>
      <c r="F1400" s="102"/>
      <c r="G1400" s="102"/>
      <c r="H1400" s="85"/>
      <c r="I1400" s="104"/>
      <c r="J1400" s="143"/>
      <c r="K1400" s="61"/>
      <c r="M1400" s="37"/>
      <c r="N1400" s="37"/>
      <c r="O1400" s="37"/>
      <c r="P1400" s="3"/>
      <c r="Q1400" s="3"/>
      <c r="R1400" s="3"/>
      <c r="S1400" s="3"/>
      <c r="T1400" s="3"/>
      <c r="U1400" s="3"/>
      <c r="V1400" s="3"/>
      <c r="W1400" s="3"/>
      <c r="X1400" s="3"/>
      <c r="Y1400" s="4"/>
      <c r="Z1400"/>
      <c r="AA1400"/>
    </row>
    <row r="1401" spans="1:27" s="49" customFormat="1" x14ac:dyDescent="0.15">
      <c r="A1401" s="165"/>
      <c r="B1401" s="93"/>
      <c r="C1401" s="102"/>
      <c r="D1401" s="62"/>
      <c r="E1401" s="102"/>
      <c r="F1401" s="102"/>
      <c r="G1401" s="102"/>
      <c r="H1401" s="85"/>
      <c r="I1401" s="104"/>
      <c r="J1401" s="143"/>
      <c r="K1401" s="61"/>
      <c r="M1401" s="37"/>
      <c r="N1401" s="37"/>
      <c r="O1401" s="37"/>
      <c r="P1401" s="3"/>
      <c r="Q1401" s="3"/>
      <c r="R1401" s="3"/>
      <c r="S1401" s="3"/>
      <c r="T1401" s="3"/>
      <c r="U1401" s="3"/>
      <c r="V1401" s="3"/>
      <c r="W1401" s="3"/>
      <c r="X1401" s="3"/>
      <c r="Y1401" s="4"/>
      <c r="Z1401"/>
      <c r="AA1401"/>
    </row>
    <row r="1402" spans="1:27" s="49" customFormat="1" x14ac:dyDescent="0.15">
      <c r="A1402" s="165"/>
      <c r="B1402" s="93"/>
      <c r="C1402" s="102"/>
      <c r="D1402" s="62"/>
      <c r="E1402" s="102"/>
      <c r="F1402" s="102"/>
      <c r="G1402" s="102"/>
      <c r="H1402" s="85"/>
      <c r="I1402" s="104"/>
      <c r="J1402" s="143"/>
      <c r="K1402" s="61"/>
      <c r="M1402" s="37"/>
      <c r="N1402" s="37"/>
      <c r="O1402" s="37"/>
      <c r="P1402" s="3"/>
      <c r="Q1402" s="3"/>
      <c r="R1402" s="3"/>
      <c r="S1402" s="3"/>
      <c r="T1402" s="3"/>
      <c r="U1402" s="3"/>
      <c r="V1402" s="3"/>
      <c r="W1402" s="3"/>
      <c r="X1402" s="3"/>
      <c r="Y1402" s="4"/>
      <c r="Z1402"/>
      <c r="AA1402"/>
    </row>
    <row r="1403" spans="1:27" s="49" customFormat="1" x14ac:dyDescent="0.15">
      <c r="A1403" s="165"/>
      <c r="B1403" s="93"/>
      <c r="C1403" s="102"/>
      <c r="D1403" s="62"/>
      <c r="E1403" s="102"/>
      <c r="F1403" s="102"/>
      <c r="G1403" s="102"/>
      <c r="H1403" s="85"/>
      <c r="I1403" s="104"/>
      <c r="J1403" s="143"/>
      <c r="K1403" s="61"/>
      <c r="M1403" s="37"/>
      <c r="N1403" s="37"/>
      <c r="O1403" s="37"/>
      <c r="P1403" s="3"/>
      <c r="Q1403" s="3"/>
      <c r="R1403" s="3"/>
      <c r="S1403" s="3"/>
      <c r="T1403" s="3"/>
      <c r="U1403" s="3"/>
      <c r="V1403" s="3"/>
      <c r="W1403" s="3"/>
      <c r="X1403" s="3"/>
      <c r="Y1403" s="4"/>
      <c r="Z1403"/>
      <c r="AA1403"/>
    </row>
    <row r="1404" spans="1:27" s="49" customFormat="1" x14ac:dyDescent="0.15">
      <c r="A1404" s="62"/>
      <c r="B1404" s="93"/>
      <c r="C1404" s="100"/>
      <c r="D1404" s="61"/>
      <c r="E1404" s="100"/>
      <c r="F1404" s="100"/>
      <c r="G1404" s="100"/>
      <c r="H1404" s="85"/>
      <c r="I1404" s="101"/>
      <c r="J1404" s="143"/>
      <c r="K1404" s="61"/>
      <c r="M1404" s="37"/>
      <c r="N1404" s="37"/>
      <c r="O1404" s="37"/>
      <c r="P1404" s="3"/>
      <c r="Q1404" s="3"/>
      <c r="R1404" s="3"/>
      <c r="S1404" s="3"/>
      <c r="T1404" s="3"/>
      <c r="U1404" s="3"/>
      <c r="V1404" s="3"/>
      <c r="W1404" s="3"/>
      <c r="X1404" s="3"/>
      <c r="Y1404" s="4"/>
      <c r="Z1404"/>
      <c r="AA1404"/>
    </row>
    <row r="1405" spans="1:27" s="49" customFormat="1" x14ac:dyDescent="0.15">
      <c r="A1405" s="62"/>
      <c r="B1405" s="93"/>
      <c r="C1405" s="102"/>
      <c r="D1405" s="62"/>
      <c r="E1405" s="102"/>
      <c r="F1405" s="102"/>
      <c r="G1405" s="102"/>
      <c r="H1405" s="85"/>
      <c r="I1405" s="104"/>
      <c r="J1405" s="143"/>
      <c r="K1405" s="61"/>
      <c r="M1405" s="37"/>
      <c r="N1405" s="37"/>
      <c r="O1405" s="37"/>
      <c r="P1405" s="3"/>
      <c r="Q1405" s="3"/>
      <c r="R1405" s="3"/>
      <c r="S1405" s="3"/>
      <c r="T1405" s="3"/>
      <c r="U1405" s="3"/>
      <c r="V1405" s="3"/>
      <c r="W1405" s="3"/>
      <c r="X1405" s="3"/>
      <c r="Y1405" s="4"/>
      <c r="Z1405"/>
      <c r="AA1405"/>
    </row>
    <row r="1406" spans="1:27" s="49" customFormat="1" x14ac:dyDescent="0.15">
      <c r="A1406" s="62"/>
      <c r="B1406" s="93"/>
      <c r="C1406" s="102"/>
      <c r="D1406" s="62"/>
      <c r="E1406" s="102"/>
      <c r="F1406" s="102"/>
      <c r="G1406" s="102"/>
      <c r="H1406" s="85"/>
      <c r="I1406" s="104"/>
      <c r="J1406" s="143"/>
      <c r="K1406" s="61"/>
      <c r="M1406" s="37"/>
      <c r="N1406" s="37"/>
      <c r="O1406" s="37"/>
      <c r="P1406" s="3"/>
      <c r="Q1406" s="3"/>
      <c r="R1406" s="3"/>
      <c r="S1406" s="3"/>
      <c r="T1406" s="3"/>
      <c r="U1406" s="3"/>
      <c r="V1406" s="3"/>
      <c r="W1406" s="3"/>
      <c r="X1406" s="3"/>
      <c r="Y1406" s="4"/>
      <c r="Z1406"/>
      <c r="AA1406"/>
    </row>
    <row r="1407" spans="1:27" s="49" customFormat="1" x14ac:dyDescent="0.15">
      <c r="A1407" s="62"/>
      <c r="B1407" s="93"/>
      <c r="C1407" s="102"/>
      <c r="D1407" s="62"/>
      <c r="E1407" s="102"/>
      <c r="F1407" s="102"/>
      <c r="G1407" s="102"/>
      <c r="H1407" s="85"/>
      <c r="I1407" s="104"/>
      <c r="J1407" s="143"/>
      <c r="K1407" s="61"/>
      <c r="M1407" s="37"/>
      <c r="N1407" s="37"/>
      <c r="O1407" s="37"/>
      <c r="P1407" s="3"/>
      <c r="Q1407" s="3"/>
      <c r="R1407" s="3"/>
      <c r="S1407" s="3"/>
      <c r="T1407" s="3"/>
      <c r="U1407" s="3"/>
      <c r="V1407" s="3"/>
      <c r="W1407" s="3"/>
      <c r="X1407" s="3"/>
      <c r="Y1407" s="4"/>
      <c r="Z1407"/>
      <c r="AA1407"/>
    </row>
    <row r="1408" spans="1:27" s="49" customFormat="1" x14ac:dyDescent="0.15">
      <c r="A1408" s="62"/>
      <c r="B1408" s="93"/>
      <c r="C1408" s="102"/>
      <c r="D1408" s="62"/>
      <c r="E1408" s="102"/>
      <c r="F1408" s="102"/>
      <c r="G1408" s="102"/>
      <c r="H1408" s="85"/>
      <c r="I1408" s="104"/>
      <c r="J1408" s="143"/>
      <c r="K1408" s="61"/>
      <c r="M1408" s="37"/>
      <c r="N1408" s="37"/>
      <c r="O1408" s="37"/>
      <c r="P1408" s="3"/>
      <c r="Q1408" s="3"/>
      <c r="R1408" s="3"/>
      <c r="S1408" s="3"/>
      <c r="T1408" s="3"/>
      <c r="U1408" s="3"/>
      <c r="V1408" s="3"/>
      <c r="W1408" s="3"/>
      <c r="X1408" s="3"/>
      <c r="Y1408" s="4"/>
      <c r="Z1408"/>
      <c r="AA1408"/>
    </row>
    <row r="1409" spans="1:27" s="49" customFormat="1" x14ac:dyDescent="0.15">
      <c r="A1409" s="62"/>
      <c r="B1409" s="93"/>
      <c r="C1409" s="102"/>
      <c r="D1409" s="62"/>
      <c r="E1409" s="102"/>
      <c r="F1409" s="102"/>
      <c r="G1409" s="102"/>
      <c r="H1409" s="85"/>
      <c r="I1409" s="104"/>
      <c r="J1409" s="143"/>
      <c r="K1409" s="61"/>
      <c r="M1409" s="37"/>
      <c r="N1409" s="37"/>
      <c r="O1409" s="37"/>
      <c r="P1409" s="3"/>
      <c r="Q1409" s="3"/>
      <c r="R1409" s="3"/>
      <c r="S1409" s="3"/>
      <c r="T1409" s="3"/>
      <c r="U1409" s="3"/>
      <c r="V1409" s="3"/>
      <c r="W1409" s="3"/>
      <c r="X1409" s="3"/>
      <c r="Y1409" s="4"/>
      <c r="Z1409"/>
      <c r="AA1409"/>
    </row>
    <row r="1410" spans="1:27" s="49" customFormat="1" x14ac:dyDescent="0.15">
      <c r="A1410" s="62"/>
      <c r="B1410" s="93"/>
      <c r="C1410" s="102"/>
      <c r="D1410" s="62"/>
      <c r="E1410" s="102"/>
      <c r="F1410" s="102"/>
      <c r="G1410" s="102"/>
      <c r="H1410" s="85"/>
      <c r="I1410" s="104"/>
      <c r="J1410" s="143"/>
      <c r="K1410" s="61"/>
      <c r="M1410" s="37"/>
      <c r="N1410" s="37"/>
      <c r="O1410" s="37"/>
      <c r="P1410" s="3"/>
      <c r="Q1410" s="3"/>
      <c r="R1410" s="3"/>
      <c r="S1410" s="3"/>
      <c r="T1410" s="3"/>
      <c r="U1410" s="3"/>
      <c r="V1410" s="3"/>
      <c r="W1410" s="3"/>
      <c r="X1410" s="3"/>
      <c r="Y1410" s="4"/>
      <c r="Z1410"/>
      <c r="AA1410"/>
    </row>
    <row r="1411" spans="1:27" s="49" customFormat="1" x14ac:dyDescent="0.15">
      <c r="A1411" s="62"/>
      <c r="B1411" s="93"/>
      <c r="C1411" s="102"/>
      <c r="D1411" s="62"/>
      <c r="E1411" s="102"/>
      <c r="F1411" s="102"/>
      <c r="G1411" s="102"/>
      <c r="H1411" s="85"/>
      <c r="I1411" s="104"/>
      <c r="J1411" s="144"/>
      <c r="K1411" s="61"/>
      <c r="M1411" s="37"/>
      <c r="N1411" s="37"/>
      <c r="O1411" s="37"/>
      <c r="P1411" s="3"/>
      <c r="Q1411" s="3"/>
      <c r="R1411" s="3"/>
      <c r="S1411" s="3"/>
      <c r="T1411" s="3"/>
      <c r="U1411" s="3"/>
      <c r="V1411" s="3"/>
      <c r="W1411" s="3"/>
      <c r="X1411" s="3"/>
      <c r="Y1411" s="4"/>
      <c r="Z1411"/>
      <c r="AA1411"/>
    </row>
    <row r="1412" spans="1:27" s="49" customFormat="1" x14ac:dyDescent="0.15">
      <c r="A1412" s="62"/>
      <c r="B1412" s="93"/>
      <c r="C1412" s="102"/>
      <c r="D1412" s="62"/>
      <c r="E1412" s="102"/>
      <c r="F1412" s="102"/>
      <c r="G1412" s="102"/>
      <c r="H1412" s="85"/>
      <c r="I1412" s="104"/>
      <c r="J1412" s="144"/>
      <c r="K1412" s="61"/>
      <c r="M1412" s="37"/>
      <c r="N1412" s="37"/>
      <c r="O1412" s="37"/>
      <c r="P1412" s="3"/>
      <c r="Q1412" s="3"/>
      <c r="R1412" s="3"/>
      <c r="S1412" s="3"/>
      <c r="T1412" s="3"/>
      <c r="U1412" s="3"/>
      <c r="V1412" s="3"/>
      <c r="W1412" s="3"/>
      <c r="X1412" s="3"/>
      <c r="Y1412" s="4"/>
      <c r="Z1412"/>
      <c r="AA1412"/>
    </row>
    <row r="1413" spans="1:27" s="49" customFormat="1" x14ac:dyDescent="0.15">
      <c r="A1413" s="165"/>
      <c r="B1413" s="93"/>
      <c r="C1413" s="102"/>
      <c r="D1413" s="62"/>
      <c r="E1413" s="102"/>
      <c r="F1413" s="102"/>
      <c r="G1413" s="102"/>
      <c r="H1413" s="85"/>
      <c r="I1413" s="104"/>
      <c r="J1413" s="144"/>
      <c r="K1413" s="62"/>
      <c r="M1413" s="37"/>
      <c r="N1413" s="37"/>
      <c r="O1413" s="37"/>
      <c r="P1413" s="3"/>
      <c r="Q1413" s="3"/>
      <c r="R1413" s="3"/>
      <c r="S1413" s="3"/>
      <c r="T1413" s="3"/>
      <c r="U1413" s="3"/>
      <c r="V1413" s="3"/>
      <c r="W1413" s="3"/>
      <c r="X1413" s="3"/>
      <c r="Y1413" s="4"/>
      <c r="Z1413"/>
      <c r="AA1413"/>
    </row>
    <row r="1414" spans="1:27" s="49" customFormat="1" x14ac:dyDescent="0.15">
      <c r="A1414" s="62"/>
      <c r="B1414" s="93"/>
      <c r="C1414" s="102"/>
      <c r="D1414" s="62"/>
      <c r="E1414" s="102"/>
      <c r="F1414" s="102"/>
      <c r="G1414" s="102"/>
      <c r="H1414" s="85"/>
      <c r="I1414" s="104"/>
      <c r="J1414" s="144"/>
      <c r="K1414" s="61"/>
      <c r="M1414" s="37"/>
      <c r="N1414" s="37"/>
      <c r="O1414" s="37"/>
      <c r="P1414" s="3"/>
      <c r="Q1414" s="3"/>
      <c r="R1414" s="3"/>
      <c r="S1414" s="3"/>
      <c r="T1414" s="3"/>
      <c r="U1414" s="3"/>
      <c r="V1414" s="3"/>
      <c r="W1414" s="3"/>
      <c r="X1414" s="3"/>
      <c r="Y1414" s="4"/>
      <c r="Z1414"/>
      <c r="AA1414"/>
    </row>
    <row r="1415" spans="1:27" s="49" customFormat="1" x14ac:dyDescent="0.15">
      <c r="A1415" s="62"/>
      <c r="B1415" s="93"/>
      <c r="C1415" s="102"/>
      <c r="D1415" s="62"/>
      <c r="E1415" s="102"/>
      <c r="F1415" s="102"/>
      <c r="G1415" s="102"/>
      <c r="H1415" s="85"/>
      <c r="I1415" s="104"/>
      <c r="J1415" s="144"/>
      <c r="K1415" s="61"/>
      <c r="M1415" s="37"/>
      <c r="N1415" s="37"/>
      <c r="O1415" s="37"/>
      <c r="P1415" s="3"/>
      <c r="Q1415" s="3"/>
      <c r="R1415" s="3"/>
      <c r="S1415" s="3"/>
      <c r="T1415" s="3"/>
      <c r="U1415" s="3"/>
      <c r="V1415" s="3"/>
      <c r="W1415" s="3"/>
      <c r="X1415" s="3"/>
      <c r="Y1415" s="4"/>
      <c r="Z1415"/>
      <c r="AA1415"/>
    </row>
    <row r="1416" spans="1:27" s="49" customFormat="1" x14ac:dyDescent="0.15">
      <c r="A1416" s="62"/>
      <c r="B1416" s="93"/>
      <c r="C1416" s="102"/>
      <c r="D1416" s="62"/>
      <c r="E1416" s="102"/>
      <c r="F1416" s="102"/>
      <c r="G1416" s="102"/>
      <c r="H1416" s="85"/>
      <c r="I1416" s="104"/>
      <c r="J1416" s="144"/>
      <c r="K1416" s="61"/>
      <c r="M1416" s="37"/>
      <c r="N1416" s="37"/>
      <c r="O1416" s="37"/>
      <c r="P1416" s="3"/>
      <c r="Q1416" s="3"/>
      <c r="R1416" s="3"/>
      <c r="S1416" s="3"/>
      <c r="T1416" s="3"/>
      <c r="U1416" s="3"/>
      <c r="V1416" s="3"/>
      <c r="W1416" s="3"/>
      <c r="X1416" s="3"/>
      <c r="Y1416" s="4"/>
      <c r="Z1416"/>
      <c r="AA1416"/>
    </row>
    <row r="1417" spans="1:27" s="49" customFormat="1" x14ac:dyDescent="0.15">
      <c r="A1417" s="62"/>
      <c r="B1417" s="93"/>
      <c r="C1417" s="100"/>
      <c r="D1417" s="61"/>
      <c r="E1417" s="100"/>
      <c r="F1417" s="100"/>
      <c r="G1417" s="100"/>
      <c r="H1417" s="85"/>
      <c r="I1417" s="101"/>
      <c r="J1417" s="144"/>
      <c r="K1417" s="61"/>
      <c r="M1417" s="37"/>
      <c r="N1417" s="37"/>
      <c r="O1417" s="37"/>
      <c r="P1417" s="3"/>
      <c r="Q1417" s="3"/>
      <c r="R1417" s="3"/>
      <c r="S1417" s="3"/>
      <c r="T1417" s="3"/>
      <c r="U1417" s="3"/>
      <c r="V1417" s="3"/>
      <c r="W1417" s="3"/>
      <c r="X1417" s="3"/>
      <c r="Y1417" s="4"/>
      <c r="Z1417"/>
      <c r="AA1417"/>
    </row>
    <row r="1418" spans="1:27" s="49" customFormat="1" x14ac:dyDescent="0.15">
      <c r="A1418" s="62"/>
      <c r="B1418" s="93"/>
      <c r="C1418" s="102"/>
      <c r="D1418" s="62"/>
      <c r="E1418" s="102"/>
      <c r="F1418" s="102"/>
      <c r="G1418" s="102"/>
      <c r="H1418" s="85"/>
      <c r="I1418" s="104"/>
      <c r="J1418" s="144"/>
      <c r="K1418" s="61"/>
      <c r="M1418" s="37"/>
      <c r="N1418" s="37"/>
      <c r="O1418" s="37"/>
      <c r="P1418" s="3"/>
      <c r="Q1418" s="3"/>
      <c r="R1418" s="3"/>
      <c r="S1418" s="3"/>
      <c r="T1418" s="3"/>
      <c r="U1418" s="3"/>
      <c r="V1418" s="3"/>
      <c r="W1418" s="3"/>
      <c r="X1418" s="3"/>
      <c r="Y1418" s="4"/>
      <c r="Z1418"/>
      <c r="AA1418"/>
    </row>
    <row r="1419" spans="1:27" s="49" customFormat="1" x14ac:dyDescent="0.15">
      <c r="A1419" s="165"/>
      <c r="B1419" s="93"/>
      <c r="C1419" s="102"/>
      <c r="D1419" s="62"/>
      <c r="E1419" s="102"/>
      <c r="F1419" s="102"/>
      <c r="G1419" s="102"/>
      <c r="H1419" s="85"/>
      <c r="I1419" s="104"/>
      <c r="J1419" s="144"/>
      <c r="K1419" s="61"/>
      <c r="M1419" s="37"/>
      <c r="N1419" s="37"/>
      <c r="O1419" s="37"/>
      <c r="P1419" s="3"/>
      <c r="Q1419" s="3"/>
      <c r="R1419" s="3"/>
      <c r="S1419" s="3"/>
      <c r="T1419" s="3"/>
      <c r="U1419" s="3"/>
      <c r="V1419" s="3"/>
      <c r="W1419" s="3"/>
      <c r="X1419" s="3"/>
      <c r="Y1419" s="4"/>
      <c r="Z1419"/>
      <c r="AA1419"/>
    </row>
    <row r="1420" spans="1:27" s="49" customFormat="1" x14ac:dyDescent="0.15">
      <c r="A1420" s="165"/>
      <c r="B1420" s="93"/>
      <c r="C1420" s="102"/>
      <c r="D1420" s="62"/>
      <c r="E1420" s="102"/>
      <c r="F1420" s="102"/>
      <c r="G1420" s="102"/>
      <c r="H1420" s="85"/>
      <c r="I1420" s="104"/>
      <c r="J1420" s="144"/>
      <c r="K1420" s="61"/>
      <c r="M1420" s="37"/>
      <c r="N1420" s="37"/>
      <c r="O1420" s="37"/>
      <c r="P1420" s="3"/>
      <c r="Q1420" s="3"/>
      <c r="R1420" s="3"/>
      <c r="S1420" s="3"/>
      <c r="T1420" s="3"/>
      <c r="U1420" s="3"/>
      <c r="V1420" s="3"/>
      <c r="W1420" s="3"/>
      <c r="X1420" s="3"/>
      <c r="Y1420" s="4"/>
      <c r="Z1420"/>
      <c r="AA1420"/>
    </row>
    <row r="1421" spans="1:27" s="49" customFormat="1" x14ac:dyDescent="0.15">
      <c r="A1421" s="165"/>
      <c r="B1421" s="93"/>
      <c r="C1421" s="102"/>
      <c r="D1421" s="62"/>
      <c r="E1421" s="100"/>
      <c r="F1421" s="102"/>
      <c r="G1421" s="102"/>
      <c r="H1421" s="85"/>
      <c r="I1421" s="104"/>
      <c r="J1421" s="144"/>
      <c r="K1421" s="61"/>
      <c r="M1421" s="37"/>
      <c r="N1421" s="37"/>
      <c r="O1421" s="37"/>
      <c r="P1421" s="3"/>
      <c r="Q1421" s="3"/>
      <c r="R1421" s="3"/>
      <c r="S1421" s="3"/>
      <c r="T1421" s="3"/>
      <c r="U1421" s="3"/>
      <c r="V1421" s="3"/>
      <c r="W1421" s="3"/>
      <c r="X1421" s="3"/>
      <c r="Y1421" s="4"/>
      <c r="Z1421"/>
      <c r="AA1421"/>
    </row>
    <row r="1422" spans="1:27" s="49" customFormat="1" x14ac:dyDescent="0.15">
      <c r="A1422" s="165"/>
      <c r="B1422" s="93"/>
      <c r="C1422" s="102"/>
      <c r="D1422" s="62"/>
      <c r="E1422" s="100"/>
      <c r="F1422" s="102"/>
      <c r="G1422" s="102"/>
      <c r="H1422" s="85"/>
      <c r="I1422" s="104"/>
      <c r="J1422" s="144"/>
      <c r="K1422" s="61"/>
      <c r="M1422" s="37"/>
      <c r="N1422" s="37"/>
      <c r="O1422" s="37"/>
      <c r="P1422" s="3"/>
      <c r="Q1422" s="3"/>
      <c r="R1422" s="3"/>
      <c r="S1422" s="3"/>
      <c r="T1422" s="3"/>
      <c r="U1422" s="3"/>
      <c r="V1422" s="3"/>
      <c r="W1422" s="3"/>
      <c r="X1422" s="3"/>
      <c r="Y1422" s="4"/>
      <c r="Z1422"/>
      <c r="AA1422"/>
    </row>
    <row r="1423" spans="1:27" s="49" customFormat="1" x14ac:dyDescent="0.15">
      <c r="A1423" s="165"/>
      <c r="B1423" s="93"/>
      <c r="C1423" s="102"/>
      <c r="D1423" s="62"/>
      <c r="E1423" s="100"/>
      <c r="F1423" s="102"/>
      <c r="G1423" s="102"/>
      <c r="H1423" s="98"/>
      <c r="I1423" s="98"/>
      <c r="J1423" s="135"/>
      <c r="K1423" s="61"/>
      <c r="M1423" s="37"/>
      <c r="N1423" s="37"/>
      <c r="O1423" s="37"/>
      <c r="P1423" s="3"/>
      <c r="Q1423" s="3"/>
      <c r="R1423" s="3"/>
      <c r="S1423" s="3"/>
      <c r="T1423" s="3"/>
      <c r="U1423" s="3"/>
      <c r="V1423" s="3"/>
      <c r="W1423" s="3"/>
      <c r="X1423" s="3"/>
      <c r="Y1423" s="4"/>
      <c r="Z1423"/>
      <c r="AA1423"/>
    </row>
    <row r="1424" spans="1:27" s="49" customFormat="1" x14ac:dyDescent="0.15">
      <c r="A1424" s="62"/>
      <c r="B1424" s="93"/>
      <c r="C1424" s="102"/>
      <c r="D1424" s="62"/>
      <c r="E1424" s="100"/>
      <c r="F1424" s="102"/>
      <c r="G1424" s="102"/>
      <c r="H1424" s="85"/>
      <c r="I1424" s="104"/>
      <c r="J1424" s="144"/>
      <c r="K1424" s="61"/>
      <c r="M1424" s="37"/>
      <c r="N1424" s="37"/>
      <c r="O1424" s="37"/>
      <c r="P1424" s="3"/>
      <c r="Q1424" s="3"/>
      <c r="R1424" s="3"/>
      <c r="S1424" s="3"/>
      <c r="T1424" s="3"/>
      <c r="U1424" s="3"/>
      <c r="V1424" s="3"/>
      <c r="W1424" s="3"/>
      <c r="X1424" s="3"/>
      <c r="Y1424" s="4"/>
      <c r="Z1424"/>
      <c r="AA1424"/>
    </row>
    <row r="1425" spans="1:27" s="49" customFormat="1" x14ac:dyDescent="0.15">
      <c r="A1425" s="62"/>
      <c r="B1425" s="93"/>
      <c r="C1425" s="102"/>
      <c r="D1425" s="62"/>
      <c r="E1425" s="102"/>
      <c r="F1425" s="102"/>
      <c r="G1425" s="102"/>
      <c r="H1425" s="85"/>
      <c r="I1425" s="104"/>
      <c r="J1425" s="144"/>
      <c r="K1425" s="61"/>
      <c r="M1425" s="37"/>
      <c r="N1425" s="37"/>
      <c r="O1425" s="37"/>
      <c r="P1425" s="3"/>
      <c r="Q1425" s="3"/>
      <c r="R1425" s="3"/>
      <c r="S1425" s="3"/>
      <c r="T1425" s="3"/>
      <c r="U1425" s="3"/>
      <c r="V1425" s="3"/>
      <c r="W1425" s="3"/>
      <c r="X1425" s="3"/>
      <c r="Y1425" s="4"/>
      <c r="Z1425"/>
      <c r="AA1425"/>
    </row>
    <row r="1426" spans="1:27" s="49" customFormat="1" x14ac:dyDescent="0.15">
      <c r="A1426" s="165"/>
      <c r="B1426" s="93"/>
      <c r="C1426" s="102"/>
      <c r="D1426" s="62"/>
      <c r="E1426" s="100"/>
      <c r="F1426" s="102"/>
      <c r="G1426" s="102"/>
      <c r="H1426" s="85"/>
      <c r="I1426" s="104"/>
      <c r="J1426" s="144"/>
      <c r="K1426" s="61"/>
      <c r="M1426" s="37"/>
      <c r="N1426" s="37"/>
      <c r="O1426" s="37"/>
      <c r="P1426" s="3"/>
      <c r="Q1426" s="3"/>
      <c r="R1426" s="3"/>
      <c r="S1426" s="3"/>
      <c r="T1426" s="3"/>
      <c r="U1426" s="3"/>
      <c r="V1426" s="3"/>
      <c r="W1426" s="3"/>
      <c r="X1426" s="3"/>
      <c r="Y1426" s="4"/>
      <c r="Z1426"/>
      <c r="AA1426"/>
    </row>
    <row r="1427" spans="1:27" s="49" customFormat="1" x14ac:dyDescent="0.15">
      <c r="A1427" s="165"/>
      <c r="B1427" s="93"/>
      <c r="C1427" s="102"/>
      <c r="D1427" s="62"/>
      <c r="E1427" s="102"/>
      <c r="F1427" s="102"/>
      <c r="G1427" s="102"/>
      <c r="H1427" s="85"/>
      <c r="I1427" s="104"/>
      <c r="J1427" s="144"/>
      <c r="K1427" s="61"/>
      <c r="M1427" s="37"/>
      <c r="N1427" s="37"/>
      <c r="O1427" s="37"/>
      <c r="P1427" s="3"/>
      <c r="Q1427" s="3"/>
      <c r="R1427" s="3"/>
      <c r="S1427" s="3"/>
      <c r="T1427" s="3"/>
      <c r="U1427" s="3"/>
      <c r="V1427" s="3"/>
      <c r="W1427" s="3"/>
      <c r="X1427" s="3"/>
      <c r="Y1427" s="4"/>
      <c r="Z1427"/>
      <c r="AA1427"/>
    </row>
    <row r="1428" spans="1:27" s="49" customFormat="1" x14ac:dyDescent="0.15">
      <c r="A1428" s="165"/>
      <c r="B1428" s="93"/>
      <c r="C1428" s="102"/>
      <c r="D1428" s="62"/>
      <c r="E1428" s="102"/>
      <c r="F1428" s="102"/>
      <c r="G1428" s="102"/>
      <c r="H1428" s="85"/>
      <c r="I1428" s="104"/>
      <c r="J1428" s="144"/>
      <c r="K1428" s="61"/>
      <c r="M1428" s="37"/>
      <c r="N1428" s="37"/>
      <c r="O1428" s="37"/>
      <c r="P1428" s="3"/>
      <c r="Q1428" s="3"/>
      <c r="R1428" s="3"/>
      <c r="S1428" s="3"/>
      <c r="T1428" s="3"/>
      <c r="U1428" s="3"/>
      <c r="V1428" s="3"/>
      <c r="W1428" s="3"/>
      <c r="X1428" s="3"/>
      <c r="Y1428" s="4"/>
      <c r="Z1428"/>
      <c r="AA1428"/>
    </row>
    <row r="1429" spans="1:27" s="49" customFormat="1" x14ac:dyDescent="0.15">
      <c r="A1429" s="165"/>
      <c r="B1429" s="93"/>
      <c r="C1429" s="102"/>
      <c r="D1429" s="62"/>
      <c r="E1429" s="102"/>
      <c r="F1429" s="102"/>
      <c r="G1429" s="102"/>
      <c r="H1429" s="85"/>
      <c r="I1429" s="104"/>
      <c r="J1429" s="144"/>
      <c r="K1429" s="61"/>
      <c r="M1429" s="37"/>
      <c r="N1429" s="37"/>
      <c r="O1429" s="37"/>
      <c r="P1429" s="3"/>
      <c r="Q1429" s="3"/>
      <c r="R1429" s="3"/>
      <c r="S1429" s="3"/>
      <c r="T1429" s="3"/>
      <c r="U1429" s="3"/>
      <c r="V1429" s="3"/>
      <c r="W1429" s="3"/>
      <c r="X1429" s="3"/>
      <c r="Y1429" s="4"/>
      <c r="Z1429"/>
      <c r="AA1429"/>
    </row>
    <row r="1430" spans="1:27" s="49" customFormat="1" x14ac:dyDescent="0.15">
      <c r="A1430" s="165"/>
      <c r="B1430" s="93"/>
      <c r="C1430" s="102"/>
      <c r="D1430" s="62"/>
      <c r="E1430" s="100"/>
      <c r="F1430" s="102"/>
      <c r="G1430" s="102"/>
      <c r="H1430" s="98"/>
      <c r="I1430" s="98"/>
      <c r="J1430" s="135"/>
      <c r="K1430" s="61"/>
      <c r="M1430" s="37"/>
      <c r="N1430" s="37"/>
      <c r="O1430" s="37"/>
      <c r="P1430" s="3"/>
      <c r="Q1430" s="3"/>
      <c r="R1430" s="3"/>
      <c r="S1430" s="3"/>
      <c r="T1430" s="3"/>
      <c r="U1430" s="3"/>
      <c r="V1430" s="3"/>
      <c r="W1430" s="3"/>
      <c r="X1430" s="3"/>
      <c r="Y1430" s="4"/>
      <c r="Z1430"/>
      <c r="AA1430"/>
    </row>
    <row r="1431" spans="1:27" s="49" customFormat="1" x14ac:dyDescent="0.15">
      <c r="A1431" s="165"/>
      <c r="B1431" s="93"/>
      <c r="C1431" s="102"/>
      <c r="D1431" s="62"/>
      <c r="E1431" s="102"/>
      <c r="F1431" s="102"/>
      <c r="G1431" s="102"/>
      <c r="H1431" s="85"/>
      <c r="I1431" s="104"/>
      <c r="J1431" s="144"/>
      <c r="K1431" s="61"/>
      <c r="M1431" s="37"/>
      <c r="N1431" s="37"/>
      <c r="O1431" s="37"/>
      <c r="P1431" s="3"/>
      <c r="Q1431" s="3"/>
      <c r="R1431" s="3"/>
      <c r="S1431" s="3"/>
      <c r="T1431" s="3"/>
      <c r="U1431" s="3"/>
      <c r="V1431" s="3"/>
      <c r="W1431" s="3"/>
      <c r="X1431" s="3"/>
      <c r="Y1431" s="4"/>
      <c r="Z1431"/>
      <c r="AA1431"/>
    </row>
    <row r="1432" spans="1:27" s="49" customFormat="1" x14ac:dyDescent="0.15">
      <c r="A1432" s="165"/>
      <c r="B1432" s="93"/>
      <c r="C1432" s="102"/>
      <c r="D1432" s="62"/>
      <c r="E1432" s="100"/>
      <c r="F1432" s="102"/>
      <c r="G1432" s="102"/>
      <c r="H1432" s="98"/>
      <c r="I1432" s="98"/>
      <c r="J1432" s="135"/>
      <c r="K1432" s="61"/>
      <c r="M1432" s="37"/>
      <c r="N1432" s="37"/>
      <c r="O1432" s="37"/>
      <c r="P1432" s="3"/>
      <c r="Q1432" s="3"/>
      <c r="R1432" s="3"/>
      <c r="S1432" s="3"/>
      <c r="T1432" s="3"/>
      <c r="U1432" s="3"/>
      <c r="V1432" s="3"/>
      <c r="W1432" s="3"/>
      <c r="X1432" s="3"/>
      <c r="Y1432" s="4"/>
      <c r="Z1432"/>
      <c r="AA1432"/>
    </row>
    <row r="1433" spans="1:27" s="49" customFormat="1" x14ac:dyDescent="0.15">
      <c r="A1433" s="165"/>
      <c r="B1433" s="93"/>
      <c r="C1433" s="102"/>
      <c r="D1433" s="62"/>
      <c r="E1433" s="102"/>
      <c r="F1433" s="102"/>
      <c r="G1433" s="102"/>
      <c r="H1433" s="85"/>
      <c r="I1433" s="104"/>
      <c r="J1433" s="144"/>
      <c r="K1433" s="61"/>
      <c r="M1433" s="37"/>
      <c r="N1433" s="37"/>
      <c r="O1433" s="37"/>
      <c r="P1433" s="3"/>
      <c r="Q1433" s="3"/>
      <c r="R1433" s="3"/>
      <c r="S1433" s="3"/>
      <c r="T1433" s="3"/>
      <c r="U1433" s="3"/>
      <c r="V1433" s="3"/>
      <c r="W1433" s="3"/>
      <c r="X1433" s="3"/>
      <c r="Y1433" s="4"/>
      <c r="Z1433"/>
      <c r="AA1433"/>
    </row>
    <row r="1434" spans="1:27" s="49" customFormat="1" x14ac:dyDescent="0.15">
      <c r="A1434" s="165"/>
      <c r="B1434" s="93"/>
      <c r="C1434" s="102"/>
      <c r="D1434" s="62"/>
      <c r="E1434" s="100"/>
      <c r="F1434" s="102"/>
      <c r="G1434" s="102"/>
      <c r="H1434" s="98"/>
      <c r="I1434" s="98"/>
      <c r="J1434" s="135"/>
      <c r="K1434" s="61"/>
      <c r="M1434" s="37"/>
      <c r="N1434" s="37"/>
      <c r="O1434" s="37"/>
      <c r="P1434" s="3"/>
      <c r="Q1434" s="3"/>
      <c r="R1434" s="3"/>
      <c r="S1434" s="3"/>
      <c r="T1434" s="3"/>
      <c r="U1434" s="3"/>
      <c r="V1434" s="3"/>
      <c r="W1434" s="3"/>
      <c r="X1434" s="3"/>
      <c r="Y1434" s="4"/>
      <c r="Z1434"/>
      <c r="AA1434"/>
    </row>
    <row r="1435" spans="1:27" s="49" customFormat="1" x14ac:dyDescent="0.15">
      <c r="A1435" s="165"/>
      <c r="B1435" s="93"/>
      <c r="C1435" s="102"/>
      <c r="D1435" s="62"/>
      <c r="E1435" s="100"/>
      <c r="F1435" s="102"/>
      <c r="G1435" s="102"/>
      <c r="H1435" s="98"/>
      <c r="I1435" s="98"/>
      <c r="J1435" s="135"/>
      <c r="K1435" s="61"/>
      <c r="M1435" s="37"/>
      <c r="N1435" s="37"/>
      <c r="O1435" s="37"/>
      <c r="P1435" s="3"/>
      <c r="Q1435" s="3"/>
      <c r="R1435" s="3"/>
      <c r="S1435" s="3"/>
      <c r="T1435" s="3"/>
      <c r="U1435" s="3"/>
      <c r="V1435" s="3"/>
      <c r="W1435" s="3"/>
      <c r="X1435" s="3"/>
      <c r="Y1435" s="4"/>
      <c r="Z1435"/>
      <c r="AA1435"/>
    </row>
    <row r="1436" spans="1:27" s="49" customFormat="1" x14ac:dyDescent="0.15">
      <c r="A1436" s="165"/>
      <c r="B1436" s="93"/>
      <c r="C1436" s="102"/>
      <c r="D1436" s="62"/>
      <c r="E1436" s="102"/>
      <c r="F1436" s="102"/>
      <c r="G1436" s="102"/>
      <c r="H1436" s="85"/>
      <c r="I1436" s="104"/>
      <c r="J1436" s="144"/>
      <c r="K1436" s="61"/>
      <c r="M1436" s="37"/>
      <c r="N1436" s="37"/>
      <c r="O1436" s="37"/>
      <c r="P1436" s="3"/>
      <c r="Q1436" s="3"/>
      <c r="R1436" s="3"/>
      <c r="S1436" s="3"/>
      <c r="T1436" s="3"/>
      <c r="U1436" s="3"/>
      <c r="V1436" s="3"/>
      <c r="W1436" s="3"/>
      <c r="X1436" s="3"/>
      <c r="Y1436" s="4"/>
      <c r="Z1436"/>
      <c r="AA1436"/>
    </row>
    <row r="1437" spans="1:27" s="49" customFormat="1" x14ac:dyDescent="0.15">
      <c r="A1437" s="165"/>
      <c r="B1437" s="93"/>
      <c r="C1437" s="102"/>
      <c r="D1437" s="62"/>
      <c r="E1437" s="102"/>
      <c r="F1437" s="102"/>
      <c r="G1437" s="102"/>
      <c r="H1437" s="85"/>
      <c r="I1437" s="104"/>
      <c r="J1437" s="144"/>
      <c r="K1437" s="61"/>
      <c r="M1437" s="37"/>
      <c r="N1437" s="37"/>
      <c r="O1437" s="37"/>
      <c r="P1437" s="3"/>
      <c r="Q1437" s="3"/>
      <c r="R1437" s="3"/>
      <c r="S1437" s="3"/>
      <c r="T1437" s="3"/>
      <c r="U1437" s="3"/>
      <c r="V1437" s="3"/>
      <c r="W1437" s="3"/>
      <c r="X1437" s="3"/>
      <c r="Y1437" s="4"/>
      <c r="Z1437"/>
      <c r="AA1437"/>
    </row>
    <row r="1438" spans="1:27" s="49" customFormat="1" x14ac:dyDescent="0.15">
      <c r="A1438" s="165"/>
      <c r="B1438" s="93"/>
      <c r="C1438" s="102"/>
      <c r="D1438" s="62"/>
      <c r="E1438" s="102"/>
      <c r="F1438" s="102"/>
      <c r="G1438" s="102"/>
      <c r="H1438" s="85"/>
      <c r="I1438" s="104"/>
      <c r="J1438" s="144"/>
      <c r="K1438" s="61"/>
      <c r="M1438" s="37"/>
      <c r="N1438" s="37"/>
      <c r="O1438" s="37"/>
      <c r="P1438" s="3"/>
      <c r="Q1438" s="3"/>
      <c r="R1438" s="3"/>
      <c r="S1438" s="3"/>
      <c r="T1438" s="3"/>
      <c r="U1438" s="3"/>
      <c r="V1438" s="3"/>
      <c r="W1438" s="3"/>
      <c r="X1438" s="3"/>
      <c r="Y1438" s="4"/>
      <c r="Z1438"/>
      <c r="AA1438"/>
    </row>
    <row r="1439" spans="1:27" s="49" customFormat="1" x14ac:dyDescent="0.15">
      <c r="A1439" s="165"/>
      <c r="B1439" s="93"/>
      <c r="C1439" s="102"/>
      <c r="D1439" s="62"/>
      <c r="E1439" s="102"/>
      <c r="F1439" s="102"/>
      <c r="G1439" s="102"/>
      <c r="H1439" s="85"/>
      <c r="I1439" s="104"/>
      <c r="J1439" s="144"/>
      <c r="K1439" s="61"/>
      <c r="M1439" s="37"/>
      <c r="N1439" s="37"/>
      <c r="O1439" s="37"/>
      <c r="P1439" s="3"/>
      <c r="Q1439" s="3"/>
      <c r="R1439" s="3"/>
      <c r="S1439" s="3"/>
      <c r="T1439" s="3"/>
      <c r="U1439" s="3"/>
      <c r="V1439" s="3"/>
      <c r="W1439" s="3"/>
      <c r="X1439" s="3"/>
      <c r="Y1439" s="4"/>
      <c r="Z1439"/>
      <c r="AA1439"/>
    </row>
    <row r="1440" spans="1:27" s="49" customFormat="1" x14ac:dyDescent="0.15">
      <c r="A1440" s="165"/>
      <c r="B1440" s="93"/>
      <c r="C1440" s="102"/>
      <c r="D1440" s="62"/>
      <c r="E1440" s="102"/>
      <c r="F1440" s="102"/>
      <c r="G1440" s="102"/>
      <c r="H1440" s="85"/>
      <c r="I1440" s="104"/>
      <c r="J1440" s="144"/>
      <c r="K1440" s="61"/>
      <c r="M1440" s="37"/>
      <c r="N1440" s="37"/>
      <c r="O1440" s="37"/>
      <c r="P1440" s="3"/>
      <c r="Q1440" s="3"/>
      <c r="R1440" s="3"/>
      <c r="S1440" s="3"/>
      <c r="T1440" s="3"/>
      <c r="U1440" s="3"/>
      <c r="V1440" s="3"/>
      <c r="W1440" s="3"/>
      <c r="X1440" s="3"/>
      <c r="Y1440" s="4"/>
      <c r="Z1440"/>
      <c r="AA1440"/>
    </row>
    <row r="1441" spans="1:27" s="49" customFormat="1" x14ac:dyDescent="0.15">
      <c r="A1441" s="165"/>
      <c r="B1441" s="93"/>
      <c r="C1441" s="102"/>
      <c r="D1441" s="62"/>
      <c r="E1441" s="102"/>
      <c r="F1441" s="102"/>
      <c r="G1441" s="102"/>
      <c r="H1441" s="85"/>
      <c r="I1441" s="104"/>
      <c r="J1441" s="144"/>
      <c r="K1441" s="61"/>
      <c r="M1441" s="37"/>
      <c r="N1441" s="37"/>
      <c r="O1441" s="37"/>
      <c r="P1441" s="3"/>
      <c r="Q1441" s="3"/>
      <c r="R1441" s="3"/>
      <c r="S1441" s="3"/>
      <c r="T1441" s="3"/>
      <c r="U1441" s="3"/>
      <c r="V1441" s="3"/>
      <c r="W1441" s="3"/>
      <c r="X1441" s="3"/>
      <c r="Y1441" s="4"/>
      <c r="Z1441"/>
      <c r="AA1441"/>
    </row>
    <row r="1442" spans="1:27" s="49" customFormat="1" x14ac:dyDescent="0.15">
      <c r="A1442" s="165"/>
      <c r="B1442" s="93"/>
      <c r="C1442" s="102"/>
      <c r="D1442" s="62"/>
      <c r="E1442" s="102"/>
      <c r="F1442" s="102"/>
      <c r="G1442" s="102"/>
      <c r="H1442" s="85"/>
      <c r="I1442" s="104"/>
      <c r="J1442" s="144"/>
      <c r="K1442" s="61"/>
      <c r="M1442" s="37"/>
      <c r="N1442" s="37"/>
      <c r="O1442" s="37"/>
      <c r="P1442" s="3"/>
      <c r="Q1442" s="3"/>
      <c r="R1442" s="3"/>
      <c r="S1442" s="3"/>
      <c r="T1442" s="3"/>
      <c r="U1442" s="3"/>
      <c r="V1442" s="3"/>
      <c r="W1442" s="3"/>
      <c r="X1442" s="3"/>
      <c r="Y1442" s="4"/>
      <c r="Z1442"/>
      <c r="AA1442"/>
    </row>
    <row r="1443" spans="1:27" s="49" customFormat="1" x14ac:dyDescent="0.15">
      <c r="A1443" s="165"/>
      <c r="B1443" s="93"/>
      <c r="C1443" s="102"/>
      <c r="D1443" s="62"/>
      <c r="E1443" s="102"/>
      <c r="F1443" s="102"/>
      <c r="G1443" s="102"/>
      <c r="H1443" s="85"/>
      <c r="I1443" s="104"/>
      <c r="J1443" s="144"/>
      <c r="K1443" s="61"/>
      <c r="M1443" s="37"/>
      <c r="N1443" s="37"/>
      <c r="O1443" s="37"/>
      <c r="P1443" s="3"/>
      <c r="Q1443" s="3"/>
      <c r="R1443" s="3"/>
      <c r="S1443" s="3"/>
      <c r="T1443" s="3"/>
      <c r="U1443" s="3"/>
      <c r="V1443" s="3"/>
      <c r="W1443" s="3"/>
      <c r="X1443" s="3"/>
      <c r="Y1443" s="4"/>
      <c r="Z1443"/>
      <c r="AA1443"/>
    </row>
    <row r="1444" spans="1:27" s="49" customFormat="1" x14ac:dyDescent="0.15">
      <c r="A1444" s="165"/>
      <c r="B1444" s="93"/>
      <c r="C1444" s="102"/>
      <c r="D1444" s="62"/>
      <c r="E1444" s="102"/>
      <c r="F1444" s="102"/>
      <c r="G1444" s="102"/>
      <c r="H1444" s="85"/>
      <c r="I1444" s="104"/>
      <c r="J1444" s="144"/>
      <c r="K1444" s="61"/>
      <c r="M1444" s="37"/>
      <c r="N1444" s="37"/>
      <c r="O1444" s="37"/>
      <c r="P1444" s="3"/>
      <c r="Q1444" s="3"/>
      <c r="R1444" s="3"/>
      <c r="S1444" s="3"/>
      <c r="T1444" s="3"/>
      <c r="U1444" s="3"/>
      <c r="V1444" s="3"/>
      <c r="W1444" s="3"/>
      <c r="X1444" s="3"/>
      <c r="Y1444" s="4"/>
      <c r="Z1444"/>
      <c r="AA1444"/>
    </row>
    <row r="1445" spans="1:27" s="49" customFormat="1" x14ac:dyDescent="0.15">
      <c r="A1445" s="165"/>
      <c r="B1445" s="93"/>
      <c r="C1445" s="102"/>
      <c r="D1445" s="62"/>
      <c r="E1445" s="102"/>
      <c r="F1445" s="102"/>
      <c r="G1445" s="102"/>
      <c r="H1445" s="85"/>
      <c r="I1445" s="104"/>
      <c r="J1445" s="144"/>
      <c r="K1445" s="61"/>
      <c r="M1445" s="37"/>
      <c r="N1445" s="37"/>
      <c r="O1445" s="37"/>
      <c r="P1445" s="3"/>
      <c r="Q1445" s="3"/>
      <c r="R1445" s="3"/>
      <c r="S1445" s="3"/>
      <c r="T1445" s="3"/>
      <c r="U1445" s="3"/>
      <c r="V1445" s="3"/>
      <c r="W1445" s="3"/>
      <c r="X1445" s="3"/>
      <c r="Y1445" s="4"/>
      <c r="Z1445"/>
      <c r="AA1445"/>
    </row>
    <row r="1446" spans="1:27" s="49" customFormat="1" x14ac:dyDescent="0.15">
      <c r="A1446" s="165"/>
      <c r="B1446" s="93"/>
      <c r="C1446" s="102"/>
      <c r="D1446" s="62"/>
      <c r="E1446" s="102"/>
      <c r="F1446" s="102"/>
      <c r="G1446" s="102"/>
      <c r="H1446" s="85"/>
      <c r="I1446" s="104"/>
      <c r="J1446" s="144"/>
      <c r="K1446" s="61"/>
      <c r="M1446" s="37"/>
      <c r="N1446" s="37"/>
      <c r="O1446" s="37"/>
      <c r="P1446" s="3"/>
      <c r="Q1446" s="3"/>
      <c r="R1446" s="3"/>
      <c r="S1446" s="3"/>
      <c r="T1446" s="3"/>
      <c r="U1446" s="3"/>
      <c r="V1446" s="3"/>
      <c r="W1446" s="3"/>
      <c r="X1446" s="3"/>
      <c r="Y1446" s="4"/>
      <c r="Z1446"/>
      <c r="AA1446"/>
    </row>
    <row r="1447" spans="1:27" s="49" customFormat="1" x14ac:dyDescent="0.15">
      <c r="A1447" s="165"/>
      <c r="B1447" s="93"/>
      <c r="C1447" s="102"/>
      <c r="D1447" s="62"/>
      <c r="E1447" s="100"/>
      <c r="F1447" s="102"/>
      <c r="G1447" s="102"/>
      <c r="H1447" s="85"/>
      <c r="I1447" s="104"/>
      <c r="J1447" s="144"/>
      <c r="K1447" s="61"/>
      <c r="M1447" s="37"/>
      <c r="N1447" s="37"/>
      <c r="O1447" s="37"/>
      <c r="P1447" s="3"/>
      <c r="Q1447" s="3"/>
      <c r="R1447" s="3"/>
      <c r="S1447" s="3"/>
      <c r="T1447" s="3"/>
      <c r="U1447" s="3"/>
      <c r="V1447" s="3"/>
      <c r="W1447" s="3"/>
      <c r="X1447" s="3"/>
      <c r="Y1447" s="4"/>
      <c r="Z1447"/>
      <c r="AA1447"/>
    </row>
    <row r="1448" spans="1:27" s="49" customFormat="1" x14ac:dyDescent="0.15">
      <c r="A1448" s="165"/>
      <c r="B1448" s="93"/>
      <c r="C1448" s="102"/>
      <c r="D1448" s="62"/>
      <c r="E1448" s="102"/>
      <c r="F1448" s="102"/>
      <c r="G1448" s="102"/>
      <c r="H1448" s="85"/>
      <c r="I1448" s="104"/>
      <c r="J1448" s="144"/>
      <c r="K1448" s="61"/>
      <c r="M1448" s="37"/>
      <c r="N1448" s="37"/>
      <c r="O1448" s="37"/>
      <c r="P1448" s="3"/>
      <c r="Q1448" s="3"/>
      <c r="R1448" s="3"/>
      <c r="S1448" s="3"/>
      <c r="T1448" s="3"/>
      <c r="U1448" s="3"/>
      <c r="V1448" s="3"/>
      <c r="W1448" s="3"/>
      <c r="X1448" s="3"/>
      <c r="Y1448" s="4"/>
      <c r="Z1448"/>
      <c r="AA1448"/>
    </row>
    <row r="1449" spans="1:27" s="49" customFormat="1" x14ac:dyDescent="0.15">
      <c r="A1449" s="165"/>
      <c r="B1449" s="93"/>
      <c r="C1449" s="102"/>
      <c r="D1449" s="62"/>
      <c r="E1449" s="102"/>
      <c r="F1449" s="102"/>
      <c r="G1449" s="102"/>
      <c r="H1449" s="85"/>
      <c r="I1449" s="104"/>
      <c r="J1449" s="144"/>
      <c r="K1449" s="61"/>
      <c r="M1449" s="37"/>
      <c r="N1449" s="37"/>
      <c r="O1449" s="37"/>
      <c r="P1449" s="3"/>
      <c r="Q1449" s="3"/>
      <c r="R1449" s="3"/>
      <c r="S1449" s="3"/>
      <c r="T1449" s="3"/>
      <c r="U1449" s="3"/>
      <c r="V1449" s="3"/>
      <c r="W1449" s="3"/>
      <c r="X1449" s="3"/>
      <c r="Y1449" s="4"/>
      <c r="Z1449"/>
      <c r="AA1449"/>
    </row>
    <row r="1450" spans="1:27" s="49" customFormat="1" x14ac:dyDescent="0.15">
      <c r="A1450" s="165"/>
      <c r="B1450" s="93"/>
      <c r="C1450" s="102"/>
      <c r="D1450" s="62"/>
      <c r="E1450" s="102"/>
      <c r="F1450" s="102"/>
      <c r="G1450" s="102"/>
      <c r="H1450" s="85"/>
      <c r="I1450" s="104"/>
      <c r="J1450" s="144"/>
      <c r="K1450" s="61"/>
      <c r="M1450" s="37"/>
      <c r="N1450" s="37"/>
      <c r="O1450" s="37"/>
      <c r="P1450" s="3"/>
      <c r="Q1450" s="3"/>
      <c r="R1450" s="3"/>
      <c r="S1450" s="3"/>
      <c r="T1450" s="3"/>
      <c r="U1450" s="3"/>
      <c r="V1450" s="3"/>
      <c r="W1450" s="3"/>
      <c r="X1450" s="3"/>
      <c r="Y1450" s="4"/>
      <c r="Z1450"/>
      <c r="AA1450"/>
    </row>
    <row r="1451" spans="1:27" s="49" customFormat="1" x14ac:dyDescent="0.15">
      <c r="A1451" s="165"/>
      <c r="B1451" s="93"/>
      <c r="C1451" s="102"/>
      <c r="D1451" s="62"/>
      <c r="E1451" s="102"/>
      <c r="F1451" s="102"/>
      <c r="G1451" s="102"/>
      <c r="H1451" s="85"/>
      <c r="I1451" s="104"/>
      <c r="J1451" s="144"/>
      <c r="K1451" s="61"/>
      <c r="M1451" s="37"/>
      <c r="N1451" s="37"/>
      <c r="O1451" s="37"/>
      <c r="P1451" s="3"/>
      <c r="Q1451" s="3"/>
      <c r="R1451" s="3"/>
      <c r="S1451" s="3"/>
      <c r="T1451" s="3"/>
      <c r="U1451" s="3"/>
      <c r="V1451" s="3"/>
      <c r="W1451" s="3"/>
      <c r="X1451" s="3"/>
      <c r="Y1451" s="4"/>
      <c r="Z1451"/>
      <c r="AA1451"/>
    </row>
    <row r="1452" spans="1:27" s="49" customFormat="1" x14ac:dyDescent="0.15">
      <c r="A1452" s="165"/>
      <c r="B1452" s="93"/>
      <c r="C1452" s="102"/>
      <c r="D1452" s="62"/>
      <c r="E1452" s="102"/>
      <c r="F1452" s="102"/>
      <c r="G1452" s="102"/>
      <c r="H1452" s="85"/>
      <c r="I1452" s="104"/>
      <c r="J1452" s="144"/>
      <c r="K1452" s="61"/>
      <c r="M1452" s="37"/>
      <c r="N1452" s="37"/>
      <c r="O1452" s="37"/>
      <c r="P1452" s="3"/>
      <c r="Q1452" s="3"/>
      <c r="R1452" s="3"/>
      <c r="S1452" s="3"/>
      <c r="T1452" s="3"/>
      <c r="U1452" s="3"/>
      <c r="V1452" s="3"/>
      <c r="W1452" s="3"/>
      <c r="X1452" s="3"/>
      <c r="Y1452" s="4"/>
      <c r="Z1452"/>
      <c r="AA1452"/>
    </row>
    <row r="1453" spans="1:27" s="49" customFormat="1" x14ac:dyDescent="0.15">
      <c r="A1453" s="165"/>
      <c r="B1453" s="93"/>
      <c r="C1453" s="102"/>
      <c r="D1453" s="62"/>
      <c r="E1453" s="102"/>
      <c r="F1453" s="102"/>
      <c r="G1453" s="102"/>
      <c r="H1453" s="85"/>
      <c r="I1453" s="104"/>
      <c r="J1453" s="144"/>
      <c r="K1453" s="61"/>
      <c r="M1453" s="37"/>
      <c r="N1453" s="37"/>
      <c r="O1453" s="37"/>
      <c r="P1453" s="3"/>
      <c r="Q1453" s="3"/>
      <c r="R1453" s="3"/>
      <c r="S1453" s="3"/>
      <c r="T1453" s="3"/>
      <c r="U1453" s="3"/>
      <c r="V1453" s="3"/>
      <c r="W1453" s="3"/>
      <c r="X1453" s="3"/>
      <c r="Y1453" s="4"/>
      <c r="Z1453"/>
      <c r="AA1453"/>
    </row>
    <row r="1454" spans="1:27" s="49" customFormat="1" x14ac:dyDescent="0.15">
      <c r="A1454" s="165"/>
      <c r="B1454" s="93"/>
      <c r="C1454" s="102"/>
      <c r="D1454" s="62"/>
      <c r="E1454" s="102"/>
      <c r="F1454" s="102"/>
      <c r="G1454" s="102"/>
      <c r="H1454" s="85"/>
      <c r="I1454" s="104"/>
      <c r="J1454" s="144"/>
      <c r="K1454" s="61"/>
      <c r="M1454" s="37"/>
      <c r="N1454" s="37"/>
      <c r="O1454" s="37"/>
      <c r="P1454" s="3"/>
      <c r="Q1454" s="3"/>
      <c r="R1454" s="3"/>
      <c r="S1454" s="3"/>
      <c r="T1454" s="3"/>
      <c r="U1454" s="3"/>
      <c r="V1454" s="3"/>
      <c r="W1454" s="3"/>
      <c r="X1454" s="3"/>
      <c r="Y1454" s="4"/>
      <c r="Z1454"/>
      <c r="AA1454"/>
    </row>
    <row r="1455" spans="1:27" s="49" customFormat="1" x14ac:dyDescent="0.15">
      <c r="A1455" s="165"/>
      <c r="B1455" s="93"/>
      <c r="C1455" s="102"/>
      <c r="D1455" s="62"/>
      <c r="E1455" s="102"/>
      <c r="F1455" s="102"/>
      <c r="G1455" s="102"/>
      <c r="H1455" s="85"/>
      <c r="I1455" s="104"/>
      <c r="J1455" s="144"/>
      <c r="K1455" s="61"/>
      <c r="M1455" s="37"/>
      <c r="N1455" s="37"/>
      <c r="O1455" s="37"/>
      <c r="P1455" s="3"/>
      <c r="Q1455" s="3"/>
      <c r="R1455" s="3"/>
      <c r="S1455" s="3"/>
      <c r="T1455" s="3"/>
      <c r="U1455" s="3"/>
      <c r="V1455" s="3"/>
      <c r="W1455" s="3"/>
      <c r="X1455" s="3"/>
      <c r="Y1455" s="4"/>
      <c r="Z1455"/>
      <c r="AA1455"/>
    </row>
    <row r="1456" spans="1:27" s="49" customFormat="1" x14ac:dyDescent="0.15">
      <c r="A1456" s="165"/>
      <c r="B1456" s="93"/>
      <c r="C1456" s="102"/>
      <c r="D1456" s="62"/>
      <c r="E1456" s="100"/>
      <c r="F1456" s="102"/>
      <c r="G1456" s="102"/>
      <c r="H1456" s="98"/>
      <c r="I1456" s="98"/>
      <c r="J1456" s="135"/>
      <c r="K1456" s="61"/>
      <c r="M1456" s="37"/>
      <c r="N1456" s="37"/>
      <c r="O1456" s="37"/>
      <c r="P1456" s="3"/>
      <c r="Q1456" s="3"/>
      <c r="R1456" s="3"/>
      <c r="S1456" s="3"/>
      <c r="T1456" s="3"/>
      <c r="U1456" s="3"/>
      <c r="V1456" s="3"/>
      <c r="W1456" s="3"/>
      <c r="X1456" s="3"/>
      <c r="Y1456" s="4"/>
      <c r="Z1456"/>
      <c r="AA1456"/>
    </row>
    <row r="1457" spans="1:27" s="49" customFormat="1" x14ac:dyDescent="0.15">
      <c r="A1457" s="165"/>
      <c r="B1457" s="93"/>
      <c r="C1457" s="102"/>
      <c r="D1457" s="62"/>
      <c r="E1457" s="100"/>
      <c r="F1457" s="102"/>
      <c r="G1457" s="102"/>
      <c r="H1457" s="98"/>
      <c r="I1457" s="98"/>
      <c r="J1457" s="135"/>
      <c r="K1457" s="61"/>
      <c r="M1457" s="37"/>
      <c r="N1457" s="37"/>
      <c r="O1457" s="37"/>
      <c r="P1457" s="3"/>
      <c r="Q1457" s="3"/>
      <c r="R1457" s="3"/>
      <c r="S1457" s="3"/>
      <c r="T1457" s="3"/>
      <c r="U1457" s="3"/>
      <c r="V1457" s="3"/>
      <c r="W1457" s="3"/>
      <c r="X1457" s="3"/>
      <c r="Y1457" s="4"/>
      <c r="Z1457"/>
      <c r="AA1457"/>
    </row>
    <row r="1458" spans="1:27" s="49" customFormat="1" x14ac:dyDescent="0.15">
      <c r="A1458" s="165"/>
      <c r="B1458" s="93"/>
      <c r="C1458" s="102"/>
      <c r="D1458" s="62"/>
      <c r="E1458" s="100"/>
      <c r="F1458" s="102"/>
      <c r="G1458" s="102"/>
      <c r="H1458" s="98"/>
      <c r="I1458" s="98"/>
      <c r="J1458" s="135"/>
      <c r="K1458" s="61"/>
      <c r="M1458" s="37"/>
      <c r="N1458" s="37"/>
      <c r="O1458" s="37"/>
      <c r="P1458" s="3"/>
      <c r="Q1458" s="3"/>
      <c r="R1458" s="3"/>
      <c r="S1458" s="3"/>
      <c r="T1458" s="3"/>
      <c r="U1458" s="3"/>
      <c r="V1458" s="3"/>
      <c r="W1458" s="3"/>
      <c r="X1458" s="3"/>
      <c r="Y1458" s="4"/>
      <c r="Z1458"/>
      <c r="AA1458"/>
    </row>
    <row r="1459" spans="1:27" s="49" customFormat="1" x14ac:dyDescent="0.15">
      <c r="A1459" s="165"/>
      <c r="B1459" s="93"/>
      <c r="C1459" s="102"/>
      <c r="D1459" s="62"/>
      <c r="E1459" s="100"/>
      <c r="F1459" s="102"/>
      <c r="G1459" s="102"/>
      <c r="H1459" s="98"/>
      <c r="I1459" s="98"/>
      <c r="J1459" s="135"/>
      <c r="K1459" s="61"/>
      <c r="M1459" s="37"/>
      <c r="N1459" s="37"/>
      <c r="O1459" s="37"/>
      <c r="P1459" s="3"/>
      <c r="Q1459" s="3"/>
      <c r="R1459" s="3"/>
      <c r="S1459" s="3"/>
      <c r="T1459" s="3"/>
      <c r="U1459" s="3"/>
      <c r="V1459" s="3"/>
      <c r="W1459" s="3"/>
      <c r="X1459" s="3"/>
      <c r="Y1459" s="4"/>
      <c r="Z1459"/>
      <c r="AA1459"/>
    </row>
    <row r="1460" spans="1:27" s="49" customFormat="1" x14ac:dyDescent="0.15">
      <c r="A1460" s="165"/>
      <c r="B1460" s="93"/>
      <c r="C1460" s="102"/>
      <c r="D1460" s="62"/>
      <c r="E1460" s="100"/>
      <c r="F1460" s="102"/>
      <c r="G1460" s="102"/>
      <c r="H1460" s="98"/>
      <c r="I1460" s="98"/>
      <c r="J1460" s="135"/>
      <c r="K1460" s="61"/>
      <c r="M1460" s="37"/>
      <c r="N1460" s="37"/>
      <c r="O1460" s="37"/>
      <c r="P1460" s="3"/>
      <c r="Q1460" s="3"/>
      <c r="R1460" s="3"/>
      <c r="S1460" s="3"/>
      <c r="T1460" s="3"/>
      <c r="U1460" s="3"/>
      <c r="V1460" s="3"/>
      <c r="W1460" s="3"/>
      <c r="X1460" s="3"/>
      <c r="Y1460" s="4"/>
      <c r="Z1460"/>
      <c r="AA1460"/>
    </row>
    <row r="1461" spans="1:27" s="49" customFormat="1" x14ac:dyDescent="0.15">
      <c r="A1461" s="165"/>
      <c r="B1461" s="93"/>
      <c r="C1461" s="102"/>
      <c r="D1461" s="62"/>
      <c r="E1461" s="100"/>
      <c r="F1461" s="102"/>
      <c r="G1461" s="102"/>
      <c r="H1461" s="98"/>
      <c r="I1461" s="98"/>
      <c r="J1461" s="135"/>
      <c r="K1461" s="61"/>
      <c r="M1461" s="37"/>
      <c r="N1461" s="37"/>
      <c r="O1461" s="37"/>
      <c r="P1461" s="3"/>
      <c r="Q1461" s="3"/>
      <c r="R1461" s="3"/>
      <c r="S1461" s="3"/>
      <c r="T1461" s="3"/>
      <c r="U1461" s="3"/>
      <c r="V1461" s="3"/>
      <c r="W1461" s="3"/>
      <c r="X1461" s="3"/>
      <c r="Y1461" s="4"/>
      <c r="Z1461"/>
      <c r="AA1461"/>
    </row>
    <row r="1462" spans="1:27" s="49" customFormat="1" x14ac:dyDescent="0.15">
      <c r="A1462" s="165"/>
      <c r="B1462" s="93"/>
      <c r="C1462" s="102"/>
      <c r="D1462" s="62"/>
      <c r="E1462" s="100"/>
      <c r="F1462" s="102"/>
      <c r="G1462" s="102"/>
      <c r="H1462" s="98"/>
      <c r="I1462" s="98"/>
      <c r="J1462" s="135"/>
      <c r="K1462" s="61"/>
      <c r="M1462" s="37"/>
      <c r="N1462" s="37"/>
      <c r="O1462" s="37"/>
      <c r="P1462" s="3"/>
      <c r="Q1462" s="3"/>
      <c r="R1462" s="3"/>
      <c r="S1462" s="3"/>
      <c r="T1462" s="3"/>
      <c r="U1462" s="3"/>
      <c r="V1462" s="3"/>
      <c r="W1462" s="3"/>
      <c r="X1462" s="3"/>
      <c r="Y1462" s="4"/>
      <c r="Z1462"/>
      <c r="AA1462"/>
    </row>
    <row r="1463" spans="1:27" s="49" customFormat="1" x14ac:dyDescent="0.15">
      <c r="A1463" s="165"/>
      <c r="B1463" s="93"/>
      <c r="C1463" s="102"/>
      <c r="D1463" s="62"/>
      <c r="E1463" s="100"/>
      <c r="F1463" s="102"/>
      <c r="G1463" s="102"/>
      <c r="H1463" s="98"/>
      <c r="I1463" s="98"/>
      <c r="J1463" s="135"/>
      <c r="K1463" s="61"/>
      <c r="M1463" s="37"/>
      <c r="N1463" s="37"/>
      <c r="O1463" s="37"/>
      <c r="P1463" s="3"/>
      <c r="Q1463" s="3"/>
      <c r="R1463" s="3"/>
      <c r="S1463" s="3"/>
      <c r="T1463" s="3"/>
      <c r="U1463" s="3"/>
      <c r="V1463" s="3"/>
      <c r="W1463" s="3"/>
      <c r="X1463" s="3"/>
      <c r="Y1463" s="4"/>
      <c r="Z1463"/>
      <c r="AA1463"/>
    </row>
    <row r="1464" spans="1:27" s="49" customFormat="1" x14ac:dyDescent="0.15">
      <c r="A1464" s="165"/>
      <c r="B1464" s="93"/>
      <c r="C1464" s="102"/>
      <c r="D1464" s="62"/>
      <c r="E1464" s="100"/>
      <c r="F1464" s="102"/>
      <c r="G1464" s="102"/>
      <c r="H1464" s="98"/>
      <c r="I1464" s="98"/>
      <c r="J1464" s="135"/>
      <c r="K1464" s="61"/>
      <c r="M1464" s="37"/>
      <c r="N1464" s="37"/>
      <c r="O1464" s="37"/>
      <c r="P1464" s="3"/>
      <c r="Q1464" s="3"/>
      <c r="R1464" s="3"/>
      <c r="S1464" s="3"/>
      <c r="T1464" s="3"/>
      <c r="U1464" s="3"/>
      <c r="V1464" s="3"/>
      <c r="W1464" s="3"/>
      <c r="X1464" s="3"/>
      <c r="Y1464" s="4"/>
      <c r="Z1464"/>
      <c r="AA1464"/>
    </row>
    <row r="1465" spans="1:27" s="49" customFormat="1" x14ac:dyDescent="0.15">
      <c r="A1465" s="165"/>
      <c r="B1465" s="93"/>
      <c r="C1465" s="102"/>
      <c r="D1465" s="62"/>
      <c r="E1465" s="100"/>
      <c r="F1465" s="102"/>
      <c r="G1465" s="102"/>
      <c r="H1465" s="98"/>
      <c r="I1465" s="98"/>
      <c r="J1465" s="135"/>
      <c r="K1465" s="61"/>
      <c r="M1465" s="37"/>
      <c r="N1465" s="37"/>
      <c r="O1465" s="37"/>
      <c r="P1465" s="3"/>
      <c r="Q1465" s="3"/>
      <c r="R1465" s="3"/>
      <c r="S1465" s="3"/>
      <c r="T1465" s="3"/>
      <c r="U1465" s="3"/>
      <c r="V1465" s="3"/>
      <c r="W1465" s="3"/>
      <c r="X1465" s="3"/>
      <c r="Y1465" s="4"/>
      <c r="Z1465"/>
      <c r="AA1465"/>
    </row>
    <row r="1466" spans="1:27" s="49" customFormat="1" x14ac:dyDescent="0.15">
      <c r="A1466" s="165"/>
      <c r="B1466" s="93"/>
      <c r="C1466" s="102"/>
      <c r="D1466" s="62"/>
      <c r="E1466" s="100"/>
      <c r="F1466" s="102"/>
      <c r="G1466" s="102"/>
      <c r="H1466" s="98"/>
      <c r="I1466" s="98"/>
      <c r="J1466" s="135"/>
      <c r="K1466" s="61"/>
      <c r="M1466" s="37"/>
      <c r="N1466" s="37"/>
      <c r="O1466" s="37"/>
      <c r="P1466" s="3"/>
      <c r="Q1466" s="3"/>
      <c r="R1466" s="3"/>
      <c r="S1466" s="3"/>
      <c r="T1466" s="3"/>
      <c r="U1466" s="3"/>
      <c r="V1466" s="3"/>
      <c r="W1466" s="3"/>
      <c r="X1466" s="3"/>
      <c r="Y1466" s="4"/>
      <c r="Z1466"/>
      <c r="AA1466"/>
    </row>
    <row r="1467" spans="1:27" s="49" customFormat="1" x14ac:dyDescent="0.15">
      <c r="A1467" s="165"/>
      <c r="B1467" s="93"/>
      <c r="C1467" s="102"/>
      <c r="D1467" s="62"/>
      <c r="E1467" s="102"/>
      <c r="F1467" s="102"/>
      <c r="G1467" s="102"/>
      <c r="H1467" s="85"/>
      <c r="I1467" s="104"/>
      <c r="J1467" s="144"/>
      <c r="K1467" s="61"/>
      <c r="M1467" s="37"/>
      <c r="N1467" s="37"/>
      <c r="O1467" s="37"/>
      <c r="P1467" s="3"/>
      <c r="Q1467" s="3"/>
      <c r="R1467" s="3"/>
      <c r="S1467" s="3"/>
      <c r="T1467" s="3"/>
      <c r="U1467" s="3"/>
      <c r="V1467" s="3"/>
      <c r="W1467" s="3"/>
      <c r="X1467" s="3"/>
      <c r="Y1467" s="4"/>
      <c r="Z1467"/>
      <c r="AA1467"/>
    </row>
    <row r="1468" spans="1:27" s="49" customFormat="1" x14ac:dyDescent="0.15">
      <c r="A1468" s="165"/>
      <c r="B1468" s="93"/>
      <c r="C1468" s="102"/>
      <c r="D1468" s="62"/>
      <c r="E1468" s="102"/>
      <c r="F1468" s="102"/>
      <c r="G1468" s="102"/>
      <c r="H1468" s="85"/>
      <c r="I1468" s="104"/>
      <c r="J1468" s="144"/>
      <c r="K1468" s="61"/>
      <c r="M1468" s="37"/>
      <c r="N1468" s="37"/>
      <c r="O1468" s="37"/>
      <c r="P1468" s="3"/>
      <c r="Q1468" s="3"/>
      <c r="R1468" s="3"/>
      <c r="S1468" s="3"/>
      <c r="T1468" s="3"/>
      <c r="U1468" s="3"/>
      <c r="V1468" s="3"/>
      <c r="W1468" s="3"/>
      <c r="X1468" s="3"/>
      <c r="Y1468" s="4"/>
      <c r="Z1468"/>
      <c r="AA1468"/>
    </row>
    <row r="1469" spans="1:27" s="49" customFormat="1" x14ac:dyDescent="0.15">
      <c r="A1469" s="165"/>
      <c r="B1469" s="93"/>
      <c r="C1469" s="102"/>
      <c r="D1469" s="62"/>
      <c r="E1469" s="102"/>
      <c r="F1469" s="102"/>
      <c r="G1469" s="102"/>
      <c r="H1469" s="85"/>
      <c r="I1469" s="104"/>
      <c r="J1469" s="144"/>
      <c r="K1469" s="61"/>
      <c r="M1469" s="37"/>
      <c r="N1469" s="37"/>
      <c r="O1469" s="37"/>
      <c r="P1469" s="3"/>
      <c r="Q1469" s="3"/>
      <c r="R1469" s="3"/>
      <c r="S1469" s="3"/>
      <c r="T1469" s="3"/>
      <c r="U1469" s="3"/>
      <c r="V1469" s="3"/>
      <c r="W1469" s="3"/>
      <c r="X1469" s="3"/>
      <c r="Y1469" s="4"/>
      <c r="Z1469"/>
      <c r="AA1469"/>
    </row>
    <row r="1470" spans="1:27" s="49" customFormat="1" x14ac:dyDescent="0.15">
      <c r="A1470" s="165"/>
      <c r="B1470" s="93"/>
      <c r="C1470" s="102"/>
      <c r="D1470" s="62"/>
      <c r="E1470" s="102"/>
      <c r="F1470" s="102"/>
      <c r="G1470" s="102"/>
      <c r="H1470" s="85"/>
      <c r="I1470" s="104"/>
      <c r="J1470" s="144"/>
      <c r="K1470" s="61"/>
      <c r="M1470" s="37"/>
      <c r="N1470" s="37"/>
      <c r="O1470" s="37"/>
      <c r="P1470" s="3"/>
      <c r="Q1470" s="3"/>
      <c r="R1470" s="3"/>
      <c r="S1470" s="3"/>
      <c r="T1470" s="3"/>
      <c r="U1470" s="3"/>
      <c r="V1470" s="3"/>
      <c r="W1470" s="3"/>
      <c r="X1470" s="3"/>
      <c r="Y1470" s="4"/>
      <c r="Z1470"/>
      <c r="AA1470"/>
    </row>
    <row r="1471" spans="1:27" s="49" customFormat="1" x14ac:dyDescent="0.15">
      <c r="A1471" s="165"/>
      <c r="B1471" s="93"/>
      <c r="C1471" s="102"/>
      <c r="D1471" s="62"/>
      <c r="E1471" s="102"/>
      <c r="F1471" s="102"/>
      <c r="G1471" s="102"/>
      <c r="H1471" s="85"/>
      <c r="I1471" s="104"/>
      <c r="J1471" s="144"/>
      <c r="K1471" s="61"/>
      <c r="M1471" s="37"/>
      <c r="N1471" s="37"/>
      <c r="O1471" s="37"/>
      <c r="P1471" s="3"/>
      <c r="Q1471" s="3"/>
      <c r="R1471" s="3"/>
      <c r="S1471" s="3"/>
      <c r="T1471" s="3"/>
      <c r="U1471" s="3"/>
      <c r="V1471" s="3"/>
      <c r="W1471" s="3"/>
      <c r="X1471" s="3"/>
      <c r="Y1471" s="4"/>
      <c r="Z1471"/>
      <c r="AA1471"/>
    </row>
    <row r="1472" spans="1:27" s="49" customFormat="1" x14ac:dyDescent="0.15">
      <c r="A1472" s="165"/>
      <c r="B1472" s="93"/>
      <c r="C1472" s="102"/>
      <c r="D1472" s="62"/>
      <c r="E1472" s="102"/>
      <c r="F1472" s="102"/>
      <c r="G1472" s="102"/>
      <c r="H1472" s="85"/>
      <c r="I1472" s="104"/>
      <c r="J1472" s="144"/>
      <c r="K1472" s="61"/>
      <c r="M1472" s="37"/>
      <c r="N1472" s="37"/>
      <c r="O1472" s="37"/>
      <c r="P1472" s="3"/>
      <c r="Q1472" s="3"/>
      <c r="R1472" s="3"/>
      <c r="S1472" s="3"/>
      <c r="T1472" s="3"/>
      <c r="U1472" s="3"/>
      <c r="V1472" s="3"/>
      <c r="W1472" s="3"/>
      <c r="X1472" s="3"/>
      <c r="Y1472" s="4"/>
      <c r="Z1472"/>
      <c r="AA1472"/>
    </row>
    <row r="1473" spans="1:27" s="49" customFormat="1" x14ac:dyDescent="0.15">
      <c r="A1473" s="165"/>
      <c r="B1473" s="93"/>
      <c r="C1473" s="102"/>
      <c r="D1473" s="62"/>
      <c r="E1473" s="102"/>
      <c r="F1473" s="102"/>
      <c r="G1473" s="102"/>
      <c r="H1473" s="85"/>
      <c r="I1473" s="104"/>
      <c r="J1473" s="144"/>
      <c r="K1473" s="61"/>
      <c r="M1473" s="37"/>
      <c r="N1473" s="37"/>
      <c r="O1473" s="37"/>
      <c r="P1473" s="3"/>
      <c r="Q1473" s="3"/>
      <c r="R1473" s="3"/>
      <c r="S1473" s="3"/>
      <c r="T1473" s="3"/>
      <c r="U1473" s="3"/>
      <c r="V1473" s="3"/>
      <c r="W1473" s="3"/>
      <c r="X1473" s="3"/>
      <c r="Y1473" s="4"/>
      <c r="Z1473"/>
      <c r="AA1473"/>
    </row>
    <row r="1474" spans="1:27" s="49" customFormat="1" x14ac:dyDescent="0.15">
      <c r="A1474" s="165"/>
      <c r="B1474" s="93"/>
      <c r="C1474" s="102"/>
      <c r="D1474" s="62"/>
      <c r="E1474" s="102"/>
      <c r="F1474" s="102"/>
      <c r="G1474" s="102"/>
      <c r="H1474" s="85"/>
      <c r="I1474" s="104"/>
      <c r="J1474" s="144"/>
      <c r="K1474" s="61"/>
      <c r="M1474" s="37"/>
      <c r="N1474" s="37"/>
      <c r="O1474" s="37"/>
      <c r="P1474" s="3"/>
      <c r="Q1474" s="3"/>
      <c r="R1474" s="3"/>
      <c r="S1474" s="3"/>
      <c r="T1474" s="3"/>
      <c r="U1474" s="3"/>
      <c r="V1474" s="3"/>
      <c r="W1474" s="3"/>
      <c r="X1474" s="3"/>
      <c r="Y1474" s="4"/>
      <c r="Z1474"/>
      <c r="AA1474"/>
    </row>
    <row r="1475" spans="1:27" s="49" customFormat="1" x14ac:dyDescent="0.15">
      <c r="A1475" s="165"/>
      <c r="B1475" s="93"/>
      <c r="C1475" s="102"/>
      <c r="D1475" s="62"/>
      <c r="E1475" s="102"/>
      <c r="F1475" s="102"/>
      <c r="G1475" s="102"/>
      <c r="H1475" s="85"/>
      <c r="I1475" s="104"/>
      <c r="J1475" s="144"/>
      <c r="K1475" s="61"/>
      <c r="M1475" s="37"/>
      <c r="N1475" s="37"/>
      <c r="O1475" s="37"/>
      <c r="P1475" s="3"/>
      <c r="Q1475" s="3"/>
      <c r="R1475" s="3"/>
      <c r="S1475" s="3"/>
      <c r="T1475" s="3"/>
      <c r="U1475" s="3"/>
      <c r="V1475" s="3"/>
      <c r="W1475" s="3"/>
      <c r="X1475" s="3"/>
      <c r="Y1475" s="4"/>
      <c r="Z1475"/>
      <c r="AA1475"/>
    </row>
    <row r="1476" spans="1:27" s="49" customFormat="1" x14ac:dyDescent="0.15">
      <c r="A1476" s="165"/>
      <c r="B1476" s="93"/>
      <c r="C1476" s="102"/>
      <c r="D1476" s="62"/>
      <c r="E1476" s="102"/>
      <c r="F1476" s="102"/>
      <c r="G1476" s="102"/>
      <c r="H1476" s="85"/>
      <c r="I1476" s="104"/>
      <c r="J1476" s="144"/>
      <c r="K1476" s="61"/>
      <c r="M1476" s="37"/>
      <c r="N1476" s="37"/>
      <c r="O1476" s="37"/>
      <c r="P1476" s="3"/>
      <c r="Q1476" s="3"/>
      <c r="R1476" s="3"/>
      <c r="S1476" s="3"/>
      <c r="T1476" s="3"/>
      <c r="U1476" s="3"/>
      <c r="V1476" s="3"/>
      <c r="W1476" s="3"/>
      <c r="X1476" s="3"/>
      <c r="Y1476" s="4"/>
      <c r="Z1476"/>
      <c r="AA1476"/>
    </row>
    <row r="1477" spans="1:27" s="49" customFormat="1" x14ac:dyDescent="0.15">
      <c r="A1477" s="165"/>
      <c r="B1477" s="93"/>
      <c r="C1477" s="102"/>
      <c r="D1477" s="62"/>
      <c r="E1477" s="102"/>
      <c r="F1477" s="102"/>
      <c r="G1477" s="102"/>
      <c r="H1477" s="85"/>
      <c r="I1477" s="104"/>
      <c r="J1477" s="144"/>
      <c r="K1477" s="61"/>
      <c r="M1477" s="37"/>
      <c r="N1477" s="37"/>
      <c r="O1477" s="37"/>
      <c r="P1477" s="3"/>
      <c r="Q1477" s="3"/>
      <c r="R1477" s="3"/>
      <c r="S1477" s="3"/>
      <c r="T1477" s="3"/>
      <c r="U1477" s="3"/>
      <c r="V1477" s="3"/>
      <c r="W1477" s="3"/>
      <c r="X1477" s="3"/>
      <c r="Y1477" s="4"/>
      <c r="Z1477"/>
      <c r="AA1477"/>
    </row>
    <row r="1478" spans="1:27" s="49" customFormat="1" x14ac:dyDescent="0.15">
      <c r="A1478" s="165"/>
      <c r="B1478" s="93"/>
      <c r="C1478" s="102"/>
      <c r="D1478" s="62"/>
      <c r="E1478" s="102"/>
      <c r="F1478" s="102"/>
      <c r="G1478" s="102"/>
      <c r="H1478" s="85"/>
      <c r="I1478" s="104"/>
      <c r="J1478" s="144"/>
      <c r="K1478" s="61"/>
      <c r="M1478" s="37"/>
      <c r="N1478" s="37"/>
      <c r="O1478" s="37"/>
      <c r="P1478" s="3"/>
      <c r="Q1478" s="3"/>
      <c r="R1478" s="3"/>
      <c r="S1478" s="3"/>
      <c r="T1478" s="3"/>
      <c r="U1478" s="3"/>
      <c r="V1478" s="3"/>
      <c r="W1478" s="3"/>
      <c r="X1478" s="3"/>
      <c r="Y1478" s="4"/>
      <c r="Z1478"/>
      <c r="AA1478"/>
    </row>
    <row r="1479" spans="1:27" s="49" customFormat="1" x14ac:dyDescent="0.15">
      <c r="A1479" s="165"/>
      <c r="B1479" s="93"/>
      <c r="C1479" s="102"/>
      <c r="D1479" s="62"/>
      <c r="E1479" s="102"/>
      <c r="F1479" s="102"/>
      <c r="G1479" s="102"/>
      <c r="H1479" s="85"/>
      <c r="I1479" s="104"/>
      <c r="J1479" s="144"/>
      <c r="K1479" s="61"/>
      <c r="M1479" s="37"/>
      <c r="N1479" s="37"/>
      <c r="O1479" s="37"/>
      <c r="P1479" s="3"/>
      <c r="Q1479" s="3"/>
      <c r="R1479" s="3"/>
      <c r="S1479" s="3"/>
      <c r="T1479" s="3"/>
      <c r="U1479" s="3"/>
      <c r="V1479" s="3"/>
      <c r="W1479" s="3"/>
      <c r="X1479" s="3"/>
      <c r="Y1479" s="4"/>
      <c r="Z1479"/>
      <c r="AA1479"/>
    </row>
    <row r="1480" spans="1:27" s="49" customFormat="1" x14ac:dyDescent="0.15">
      <c r="A1480" s="165"/>
      <c r="B1480" s="93"/>
      <c r="C1480" s="102"/>
      <c r="D1480" s="62"/>
      <c r="E1480" s="102"/>
      <c r="F1480" s="102"/>
      <c r="G1480" s="102"/>
      <c r="H1480" s="85"/>
      <c r="I1480" s="104"/>
      <c r="J1480" s="144"/>
      <c r="K1480" s="61"/>
      <c r="M1480" s="37"/>
      <c r="N1480" s="37"/>
      <c r="O1480" s="37"/>
      <c r="P1480" s="3"/>
      <c r="Q1480" s="3"/>
      <c r="R1480" s="3"/>
      <c r="S1480" s="3"/>
      <c r="T1480" s="3"/>
      <c r="U1480" s="3"/>
      <c r="V1480" s="3"/>
      <c r="W1480" s="3"/>
      <c r="X1480" s="3"/>
      <c r="Y1480" s="4"/>
      <c r="Z1480"/>
      <c r="AA1480"/>
    </row>
    <row r="1481" spans="1:27" s="49" customFormat="1" x14ac:dyDescent="0.15">
      <c r="A1481" s="165"/>
      <c r="B1481" s="93"/>
      <c r="C1481" s="102"/>
      <c r="D1481" s="62"/>
      <c r="E1481" s="102"/>
      <c r="F1481" s="102"/>
      <c r="G1481" s="102"/>
      <c r="H1481" s="85"/>
      <c r="I1481" s="104"/>
      <c r="J1481" s="144"/>
      <c r="K1481" s="61"/>
      <c r="M1481" s="37"/>
      <c r="N1481" s="37"/>
      <c r="O1481" s="37"/>
      <c r="P1481" s="3"/>
      <c r="Q1481" s="3"/>
      <c r="R1481" s="3"/>
      <c r="S1481" s="3"/>
      <c r="T1481" s="3"/>
      <c r="U1481" s="3"/>
      <c r="V1481" s="3"/>
      <c r="W1481" s="3"/>
      <c r="X1481" s="3"/>
      <c r="Y1481" s="4"/>
      <c r="Z1481"/>
      <c r="AA1481"/>
    </row>
    <row r="1482" spans="1:27" s="49" customFormat="1" x14ac:dyDescent="0.15">
      <c r="A1482" s="165"/>
      <c r="B1482" s="93"/>
      <c r="C1482" s="102"/>
      <c r="D1482" s="62"/>
      <c r="E1482" s="102"/>
      <c r="F1482" s="102"/>
      <c r="G1482" s="102"/>
      <c r="H1482" s="85"/>
      <c r="I1482" s="104"/>
      <c r="J1482" s="144"/>
      <c r="K1482" s="61"/>
      <c r="M1482" s="37"/>
      <c r="N1482" s="37"/>
      <c r="O1482" s="37"/>
      <c r="P1482" s="3"/>
      <c r="Q1482" s="3"/>
      <c r="R1482" s="3"/>
      <c r="S1482" s="3"/>
      <c r="T1482" s="3"/>
      <c r="U1482" s="3"/>
      <c r="V1482" s="3"/>
      <c r="W1482" s="3"/>
      <c r="X1482" s="3"/>
      <c r="Y1482" s="4"/>
      <c r="Z1482"/>
      <c r="AA1482"/>
    </row>
    <row r="1483" spans="1:27" s="49" customFormat="1" x14ac:dyDescent="0.15">
      <c r="A1483" s="165"/>
      <c r="B1483" s="93"/>
      <c r="C1483" s="102"/>
      <c r="D1483" s="62"/>
      <c r="E1483" s="102"/>
      <c r="F1483" s="102"/>
      <c r="G1483" s="102"/>
      <c r="H1483" s="85"/>
      <c r="I1483" s="104"/>
      <c r="J1483" s="144"/>
      <c r="K1483" s="61"/>
      <c r="M1483" s="37"/>
      <c r="N1483" s="37"/>
      <c r="O1483" s="37"/>
      <c r="P1483" s="3"/>
      <c r="Q1483" s="3"/>
      <c r="R1483" s="3"/>
      <c r="S1483" s="3"/>
      <c r="T1483" s="3"/>
      <c r="U1483" s="3"/>
      <c r="V1483" s="3"/>
      <c r="W1483" s="3"/>
      <c r="X1483" s="3"/>
      <c r="Y1483" s="4"/>
      <c r="Z1483"/>
      <c r="AA1483"/>
    </row>
    <row r="1484" spans="1:27" s="49" customFormat="1" x14ac:dyDescent="0.15">
      <c r="A1484" s="165"/>
      <c r="B1484" s="93"/>
      <c r="C1484" s="102"/>
      <c r="D1484" s="62"/>
      <c r="E1484" s="102"/>
      <c r="F1484" s="102"/>
      <c r="G1484" s="102"/>
      <c r="H1484" s="85"/>
      <c r="I1484" s="104"/>
      <c r="J1484" s="144"/>
      <c r="K1484" s="61"/>
      <c r="M1484" s="37"/>
      <c r="N1484" s="37"/>
      <c r="O1484" s="37"/>
      <c r="P1484" s="3"/>
      <c r="Q1484" s="3"/>
      <c r="R1484" s="3"/>
      <c r="S1484" s="3"/>
      <c r="T1484" s="3"/>
      <c r="U1484" s="3"/>
      <c r="V1484" s="3"/>
      <c r="W1484" s="3"/>
      <c r="X1484" s="3"/>
      <c r="Y1484" s="4"/>
      <c r="Z1484"/>
      <c r="AA1484"/>
    </row>
    <row r="1485" spans="1:27" s="49" customFormat="1" x14ac:dyDescent="0.15">
      <c r="A1485" s="165"/>
      <c r="B1485" s="93"/>
      <c r="C1485" s="102"/>
      <c r="D1485" s="62"/>
      <c r="E1485" s="102"/>
      <c r="F1485" s="102"/>
      <c r="G1485" s="102"/>
      <c r="H1485" s="85"/>
      <c r="I1485" s="104"/>
      <c r="J1485" s="144"/>
      <c r="K1485" s="61"/>
      <c r="M1485" s="37"/>
      <c r="N1485" s="37"/>
      <c r="O1485" s="37"/>
      <c r="P1485" s="3"/>
      <c r="Q1485" s="3"/>
      <c r="R1485" s="3"/>
      <c r="S1485" s="3"/>
      <c r="T1485" s="3"/>
      <c r="U1485" s="3"/>
      <c r="V1485" s="3"/>
      <c r="W1485" s="3"/>
      <c r="X1485" s="3"/>
      <c r="Y1485" s="4"/>
      <c r="Z1485"/>
      <c r="AA1485"/>
    </row>
    <row r="1486" spans="1:27" s="49" customFormat="1" x14ac:dyDescent="0.15">
      <c r="A1486" s="165"/>
      <c r="B1486" s="93"/>
      <c r="C1486" s="102"/>
      <c r="D1486" s="62"/>
      <c r="E1486" s="102"/>
      <c r="F1486" s="102"/>
      <c r="G1486" s="102"/>
      <c r="H1486" s="85"/>
      <c r="I1486" s="104"/>
      <c r="J1486" s="144"/>
      <c r="K1486" s="61"/>
      <c r="M1486" s="37"/>
      <c r="N1486" s="37"/>
      <c r="O1486" s="37"/>
      <c r="P1486" s="3"/>
      <c r="Q1486" s="3"/>
      <c r="R1486" s="3"/>
      <c r="S1486" s="3"/>
      <c r="T1486" s="3"/>
      <c r="U1486" s="3"/>
      <c r="V1486" s="3"/>
      <c r="W1486" s="3"/>
      <c r="X1486" s="3"/>
      <c r="Y1486" s="4"/>
      <c r="Z1486"/>
      <c r="AA1486"/>
    </row>
    <row r="1487" spans="1:27" s="49" customFormat="1" x14ac:dyDescent="0.15">
      <c r="A1487" s="165"/>
      <c r="B1487" s="93"/>
      <c r="C1487" s="102"/>
      <c r="D1487" s="62"/>
      <c r="E1487" s="102"/>
      <c r="F1487" s="102"/>
      <c r="G1487" s="102"/>
      <c r="H1487" s="85"/>
      <c r="I1487" s="104"/>
      <c r="J1487" s="144"/>
      <c r="K1487" s="61"/>
      <c r="M1487" s="37"/>
      <c r="N1487" s="37"/>
      <c r="O1487" s="37"/>
      <c r="P1487" s="3"/>
      <c r="Q1487" s="3"/>
      <c r="R1487" s="3"/>
      <c r="S1487" s="3"/>
      <c r="T1487" s="3"/>
      <c r="U1487" s="3"/>
      <c r="V1487" s="3"/>
      <c r="W1487" s="3"/>
      <c r="X1487" s="3"/>
      <c r="Y1487" s="4"/>
      <c r="Z1487"/>
      <c r="AA1487"/>
    </row>
    <row r="1488" spans="1:27" s="49" customFormat="1" x14ac:dyDescent="0.15">
      <c r="A1488" s="165"/>
      <c r="B1488" s="93"/>
      <c r="C1488" s="102"/>
      <c r="D1488" s="62"/>
      <c r="E1488" s="102"/>
      <c r="F1488" s="102"/>
      <c r="G1488" s="102"/>
      <c r="H1488" s="85"/>
      <c r="I1488" s="61"/>
      <c r="J1488" s="144"/>
      <c r="K1488" s="61"/>
      <c r="M1488" s="37"/>
      <c r="N1488" s="37"/>
      <c r="O1488" s="37"/>
      <c r="P1488" s="3"/>
      <c r="Q1488" s="3"/>
      <c r="R1488" s="3"/>
      <c r="S1488" s="3"/>
      <c r="T1488" s="3"/>
      <c r="U1488" s="3"/>
      <c r="V1488" s="3"/>
      <c r="W1488" s="3"/>
      <c r="X1488" s="3"/>
      <c r="Y1488" s="4"/>
      <c r="Z1488"/>
      <c r="AA1488"/>
    </row>
    <row r="1489" spans="1:27" s="49" customFormat="1" x14ac:dyDescent="0.15">
      <c r="A1489" s="165"/>
      <c r="B1489" s="93"/>
      <c r="C1489" s="102"/>
      <c r="D1489" s="62"/>
      <c r="E1489" s="102"/>
      <c r="F1489" s="102"/>
      <c r="G1489" s="102"/>
      <c r="H1489" s="85"/>
      <c r="I1489" s="104"/>
      <c r="J1489" s="144"/>
      <c r="K1489" s="61"/>
      <c r="M1489" s="37"/>
      <c r="N1489" s="37"/>
      <c r="O1489" s="37"/>
      <c r="P1489" s="3"/>
      <c r="Q1489" s="3"/>
      <c r="R1489" s="3"/>
      <c r="S1489" s="3"/>
      <c r="T1489" s="3"/>
      <c r="U1489" s="3"/>
      <c r="V1489" s="3"/>
      <c r="W1489" s="3"/>
      <c r="X1489" s="3"/>
      <c r="Y1489" s="4"/>
      <c r="Z1489"/>
      <c r="AA1489"/>
    </row>
    <row r="1490" spans="1:27" s="49" customFormat="1" x14ac:dyDescent="0.15">
      <c r="A1490" s="165"/>
      <c r="B1490" s="93"/>
      <c r="C1490" s="102"/>
      <c r="D1490" s="62"/>
      <c r="E1490" s="102"/>
      <c r="F1490" s="102"/>
      <c r="G1490" s="102"/>
      <c r="H1490" s="85"/>
      <c r="I1490" s="104"/>
      <c r="J1490" s="144"/>
      <c r="K1490" s="61"/>
      <c r="M1490" s="37"/>
      <c r="N1490" s="37"/>
      <c r="O1490" s="37"/>
      <c r="P1490" s="3"/>
      <c r="Q1490" s="3"/>
      <c r="R1490" s="3"/>
      <c r="S1490" s="3"/>
      <c r="T1490" s="3"/>
      <c r="U1490" s="3"/>
      <c r="V1490" s="3"/>
      <c r="W1490" s="3"/>
      <c r="X1490" s="3"/>
      <c r="Y1490" s="4"/>
      <c r="Z1490"/>
      <c r="AA1490"/>
    </row>
    <row r="1491" spans="1:27" s="49" customFormat="1" x14ac:dyDescent="0.15">
      <c r="A1491" s="165"/>
      <c r="B1491" s="93"/>
      <c r="C1491" s="102"/>
      <c r="D1491" s="62"/>
      <c r="E1491" s="102"/>
      <c r="F1491" s="102"/>
      <c r="G1491" s="102"/>
      <c r="H1491" s="85"/>
      <c r="I1491" s="104"/>
      <c r="J1491" s="144"/>
      <c r="K1491" s="61"/>
      <c r="M1491" s="37"/>
      <c r="N1491" s="37"/>
      <c r="O1491" s="37"/>
      <c r="P1491" s="3"/>
      <c r="Q1491" s="3"/>
      <c r="R1491" s="3"/>
      <c r="S1491" s="3"/>
      <c r="T1491" s="3"/>
      <c r="U1491" s="3"/>
      <c r="V1491" s="3"/>
      <c r="W1491" s="3"/>
      <c r="X1491" s="3"/>
      <c r="Y1491" s="4"/>
      <c r="Z1491"/>
      <c r="AA1491"/>
    </row>
    <row r="1492" spans="1:27" s="49" customFormat="1" x14ac:dyDescent="0.15">
      <c r="A1492" s="165"/>
      <c r="B1492" s="93"/>
      <c r="C1492" s="102"/>
      <c r="D1492" s="62"/>
      <c r="E1492" s="102"/>
      <c r="F1492" s="102"/>
      <c r="G1492" s="102"/>
      <c r="H1492" s="85"/>
      <c r="I1492" s="104"/>
      <c r="J1492" s="144"/>
      <c r="K1492" s="61"/>
      <c r="M1492" s="37"/>
      <c r="N1492" s="37"/>
      <c r="O1492" s="37"/>
      <c r="P1492" s="3"/>
      <c r="Q1492" s="3"/>
      <c r="R1492" s="3"/>
      <c r="S1492" s="3"/>
      <c r="T1492" s="3"/>
      <c r="U1492" s="3"/>
      <c r="V1492" s="3"/>
      <c r="W1492" s="3"/>
      <c r="X1492" s="3"/>
      <c r="Y1492" s="4"/>
      <c r="Z1492"/>
      <c r="AA1492"/>
    </row>
    <row r="1493" spans="1:27" s="49" customFormat="1" x14ac:dyDescent="0.15">
      <c r="A1493" s="165"/>
      <c r="B1493" s="93"/>
      <c r="C1493" s="102"/>
      <c r="D1493" s="62"/>
      <c r="E1493" s="102"/>
      <c r="F1493" s="102"/>
      <c r="G1493" s="102"/>
      <c r="H1493" s="85"/>
      <c r="I1493" s="104"/>
      <c r="J1493" s="144"/>
      <c r="K1493" s="61"/>
      <c r="M1493" s="37"/>
      <c r="N1493" s="37"/>
      <c r="O1493" s="37"/>
      <c r="P1493" s="3"/>
      <c r="Q1493" s="3"/>
      <c r="R1493" s="3"/>
      <c r="S1493" s="3"/>
      <c r="T1493" s="3"/>
      <c r="U1493" s="3"/>
      <c r="V1493" s="3"/>
      <c r="W1493" s="3"/>
      <c r="X1493" s="3"/>
      <c r="Y1493" s="4"/>
      <c r="Z1493"/>
      <c r="AA1493"/>
    </row>
    <row r="1494" spans="1:27" s="49" customFormat="1" x14ac:dyDescent="0.15">
      <c r="A1494" s="165"/>
      <c r="B1494" s="93"/>
      <c r="C1494" s="102"/>
      <c r="D1494" s="62"/>
      <c r="E1494" s="102"/>
      <c r="F1494" s="102"/>
      <c r="G1494" s="102"/>
      <c r="H1494" s="85"/>
      <c r="I1494" s="104"/>
      <c r="J1494" s="144"/>
      <c r="K1494" s="61"/>
      <c r="M1494" s="37"/>
      <c r="N1494" s="37"/>
      <c r="O1494" s="37"/>
      <c r="P1494" s="3"/>
      <c r="Q1494" s="3"/>
      <c r="R1494" s="3"/>
      <c r="S1494" s="3"/>
      <c r="T1494" s="3"/>
      <c r="U1494" s="3"/>
      <c r="V1494" s="3"/>
      <c r="W1494" s="3"/>
      <c r="X1494" s="3"/>
      <c r="Y1494" s="4"/>
      <c r="Z1494"/>
      <c r="AA1494"/>
    </row>
    <row r="1495" spans="1:27" s="49" customFormat="1" x14ac:dyDescent="0.15">
      <c r="A1495" s="165"/>
      <c r="B1495" s="93"/>
      <c r="C1495" s="102"/>
      <c r="D1495" s="62"/>
      <c r="E1495" s="102"/>
      <c r="F1495" s="102"/>
      <c r="G1495" s="102"/>
      <c r="H1495" s="85"/>
      <c r="I1495" s="104"/>
      <c r="J1495" s="144"/>
      <c r="K1495" s="61"/>
      <c r="M1495" s="37"/>
      <c r="N1495" s="37"/>
      <c r="O1495" s="37"/>
      <c r="P1495" s="3"/>
      <c r="Q1495" s="3"/>
      <c r="R1495" s="3"/>
      <c r="S1495" s="3"/>
      <c r="T1495" s="3"/>
      <c r="U1495" s="3"/>
      <c r="V1495" s="3"/>
      <c r="W1495" s="3"/>
      <c r="X1495" s="3"/>
      <c r="Y1495" s="4"/>
      <c r="Z1495"/>
      <c r="AA1495"/>
    </row>
    <row r="1496" spans="1:27" s="49" customFormat="1" x14ac:dyDescent="0.15">
      <c r="A1496" s="165"/>
      <c r="B1496" s="93"/>
      <c r="C1496" s="102"/>
      <c r="D1496" s="62"/>
      <c r="E1496" s="102"/>
      <c r="F1496" s="102"/>
      <c r="G1496" s="102"/>
      <c r="H1496" s="85"/>
      <c r="I1496" s="104"/>
      <c r="J1496" s="144"/>
      <c r="K1496" s="61"/>
      <c r="M1496" s="37"/>
      <c r="N1496" s="37"/>
      <c r="O1496" s="37"/>
      <c r="P1496" s="3"/>
      <c r="Q1496" s="3"/>
      <c r="R1496" s="3"/>
      <c r="S1496" s="3"/>
      <c r="T1496" s="3"/>
      <c r="U1496" s="3"/>
      <c r="V1496" s="3"/>
      <c r="W1496" s="3"/>
      <c r="X1496" s="3"/>
      <c r="Y1496" s="4"/>
      <c r="Z1496"/>
      <c r="AA1496"/>
    </row>
    <row r="1497" spans="1:27" s="49" customFormat="1" x14ac:dyDescent="0.15">
      <c r="A1497" s="165"/>
      <c r="B1497" s="93"/>
      <c r="C1497" s="102"/>
      <c r="D1497" s="62"/>
      <c r="E1497" s="102"/>
      <c r="F1497" s="102"/>
      <c r="G1497" s="102"/>
      <c r="H1497" s="85"/>
      <c r="I1497" s="104"/>
      <c r="J1497" s="144"/>
      <c r="K1497" s="61"/>
      <c r="M1497" s="37"/>
      <c r="N1497" s="37"/>
      <c r="O1497" s="37"/>
      <c r="P1497" s="3"/>
      <c r="Q1497" s="3"/>
      <c r="R1497" s="3"/>
      <c r="S1497" s="3"/>
      <c r="T1497" s="3"/>
      <c r="U1497" s="3"/>
      <c r="V1497" s="3"/>
      <c r="W1497" s="3"/>
      <c r="X1497" s="3"/>
      <c r="Y1497" s="4"/>
      <c r="Z1497"/>
      <c r="AA1497"/>
    </row>
    <row r="1498" spans="1:27" s="49" customFormat="1" x14ac:dyDescent="0.15">
      <c r="A1498" s="165"/>
      <c r="B1498" s="93"/>
      <c r="C1498" s="102"/>
      <c r="D1498" s="62"/>
      <c r="E1498" s="102"/>
      <c r="F1498" s="102"/>
      <c r="G1498" s="102"/>
      <c r="H1498" s="85"/>
      <c r="I1498" s="104"/>
      <c r="J1498" s="144"/>
      <c r="K1498" s="61"/>
      <c r="M1498" s="37"/>
      <c r="N1498" s="37"/>
      <c r="O1498" s="37"/>
      <c r="P1498" s="3"/>
      <c r="Q1498" s="3"/>
      <c r="R1498" s="3"/>
      <c r="S1498" s="3"/>
      <c r="T1498" s="3"/>
      <c r="U1498" s="3"/>
      <c r="V1498" s="3"/>
      <c r="W1498" s="3"/>
      <c r="X1498" s="3"/>
      <c r="Y1498" s="4"/>
      <c r="Z1498"/>
      <c r="AA1498"/>
    </row>
    <row r="1499" spans="1:27" s="49" customFormat="1" x14ac:dyDescent="0.15">
      <c r="A1499" s="165"/>
      <c r="B1499" s="93"/>
      <c r="C1499" s="102"/>
      <c r="D1499" s="62"/>
      <c r="E1499" s="102"/>
      <c r="F1499" s="102"/>
      <c r="G1499" s="102"/>
      <c r="H1499" s="85"/>
      <c r="I1499" s="109"/>
      <c r="J1499" s="144"/>
      <c r="K1499" s="61"/>
      <c r="M1499" s="37"/>
      <c r="N1499" s="37"/>
      <c r="O1499" s="37"/>
      <c r="P1499" s="3"/>
      <c r="Q1499" s="3"/>
      <c r="R1499" s="3"/>
      <c r="S1499" s="3"/>
      <c r="T1499" s="3"/>
      <c r="U1499" s="3"/>
      <c r="V1499" s="3"/>
      <c r="W1499" s="3"/>
      <c r="X1499" s="3"/>
      <c r="Y1499" s="4"/>
      <c r="Z1499"/>
      <c r="AA1499"/>
    </row>
    <row r="1500" spans="1:27" s="49" customFormat="1" x14ac:dyDescent="0.15">
      <c r="A1500" s="165"/>
      <c r="B1500" s="93"/>
      <c r="C1500" s="102"/>
      <c r="D1500" s="62"/>
      <c r="E1500" s="102"/>
      <c r="F1500" s="102"/>
      <c r="G1500" s="102"/>
      <c r="H1500" s="85"/>
      <c r="I1500" s="104"/>
      <c r="J1500" s="144"/>
      <c r="K1500" s="61"/>
      <c r="M1500" s="37"/>
      <c r="N1500" s="37"/>
      <c r="O1500" s="37"/>
      <c r="P1500" s="3"/>
      <c r="Q1500" s="3"/>
      <c r="R1500" s="3"/>
      <c r="S1500" s="3"/>
      <c r="T1500" s="3"/>
      <c r="U1500" s="3"/>
      <c r="V1500" s="3"/>
      <c r="W1500" s="3"/>
      <c r="X1500" s="3"/>
      <c r="Y1500" s="4"/>
      <c r="Z1500"/>
      <c r="AA1500"/>
    </row>
    <row r="1501" spans="1:27" s="49" customFormat="1" x14ac:dyDescent="0.15">
      <c r="A1501" s="165"/>
      <c r="B1501" s="93"/>
      <c r="C1501" s="102"/>
      <c r="D1501" s="62"/>
      <c r="E1501" s="102"/>
      <c r="F1501" s="102"/>
      <c r="G1501" s="102"/>
      <c r="H1501" s="85"/>
      <c r="I1501" s="104"/>
      <c r="J1501" s="144"/>
      <c r="K1501" s="61"/>
      <c r="M1501" s="37"/>
      <c r="N1501" s="37"/>
      <c r="O1501" s="37"/>
      <c r="P1501" s="3"/>
      <c r="Q1501" s="3"/>
      <c r="R1501" s="3"/>
      <c r="S1501" s="3"/>
      <c r="T1501" s="3"/>
      <c r="U1501" s="3"/>
      <c r="V1501" s="3"/>
      <c r="W1501" s="3"/>
      <c r="X1501" s="3"/>
      <c r="Y1501" s="4"/>
      <c r="Z1501"/>
      <c r="AA1501"/>
    </row>
    <row r="1502" spans="1:27" s="49" customFormat="1" x14ac:dyDescent="0.15">
      <c r="A1502" s="165"/>
      <c r="B1502" s="93"/>
      <c r="C1502" s="102"/>
      <c r="D1502" s="62"/>
      <c r="E1502" s="102"/>
      <c r="F1502" s="102"/>
      <c r="G1502" s="102"/>
      <c r="H1502" s="85"/>
      <c r="I1502" s="104"/>
      <c r="J1502" s="144"/>
      <c r="K1502" s="61"/>
      <c r="M1502" s="37"/>
      <c r="N1502" s="37"/>
      <c r="O1502" s="37"/>
      <c r="P1502" s="3"/>
      <c r="Q1502" s="3"/>
      <c r="R1502" s="3"/>
      <c r="S1502" s="3"/>
      <c r="T1502" s="3"/>
      <c r="U1502" s="3"/>
      <c r="V1502" s="3"/>
      <c r="W1502" s="3"/>
      <c r="X1502" s="3"/>
      <c r="Y1502" s="4"/>
      <c r="Z1502"/>
      <c r="AA1502"/>
    </row>
    <row r="1503" spans="1:27" s="49" customFormat="1" x14ac:dyDescent="0.15">
      <c r="A1503" s="165"/>
      <c r="B1503" s="93"/>
      <c r="C1503" s="102"/>
      <c r="D1503" s="62"/>
      <c r="E1503" s="102"/>
      <c r="F1503" s="102"/>
      <c r="G1503" s="102"/>
      <c r="H1503" s="85"/>
      <c r="I1503" s="104"/>
      <c r="J1503" s="144"/>
      <c r="K1503" s="61"/>
      <c r="M1503" s="37"/>
      <c r="N1503" s="37"/>
      <c r="O1503" s="37"/>
      <c r="P1503" s="3"/>
      <c r="Q1503" s="3"/>
      <c r="R1503" s="3"/>
      <c r="S1503" s="3"/>
      <c r="T1503" s="3"/>
      <c r="U1503" s="3"/>
      <c r="V1503" s="3"/>
      <c r="W1503" s="3"/>
      <c r="X1503" s="3"/>
      <c r="Y1503" s="4"/>
      <c r="Z1503"/>
      <c r="AA1503"/>
    </row>
    <row r="1504" spans="1:27" s="49" customFormat="1" x14ac:dyDescent="0.15">
      <c r="A1504" s="165"/>
      <c r="B1504" s="93"/>
      <c r="C1504" s="102"/>
      <c r="D1504" s="62"/>
      <c r="E1504" s="102"/>
      <c r="F1504" s="102"/>
      <c r="G1504" s="102"/>
      <c r="H1504" s="85"/>
      <c r="I1504" s="104"/>
      <c r="J1504" s="144"/>
      <c r="K1504" s="61"/>
      <c r="M1504" s="37"/>
      <c r="N1504" s="37"/>
      <c r="O1504" s="37"/>
      <c r="P1504" s="3"/>
      <c r="Q1504" s="3"/>
      <c r="R1504" s="3"/>
      <c r="S1504" s="3"/>
      <c r="T1504" s="3"/>
      <c r="U1504" s="3"/>
      <c r="V1504" s="3"/>
      <c r="W1504" s="3"/>
      <c r="X1504" s="3"/>
      <c r="Y1504" s="4"/>
      <c r="Z1504"/>
      <c r="AA1504"/>
    </row>
    <row r="1505" spans="1:27" s="49" customFormat="1" x14ac:dyDescent="0.15">
      <c r="A1505" s="165"/>
      <c r="B1505" s="93"/>
      <c r="C1505" s="102"/>
      <c r="D1505" s="62"/>
      <c r="E1505" s="102"/>
      <c r="F1505" s="102"/>
      <c r="G1505" s="102"/>
      <c r="H1505" s="85"/>
      <c r="I1505" s="104"/>
      <c r="J1505" s="144"/>
      <c r="K1505" s="62"/>
      <c r="M1505" s="37"/>
      <c r="N1505" s="37"/>
      <c r="O1505" s="37"/>
      <c r="P1505" s="3"/>
      <c r="Q1505" s="3"/>
      <c r="R1505" s="3"/>
      <c r="S1505" s="3"/>
      <c r="T1505" s="3"/>
      <c r="U1505" s="3"/>
      <c r="V1505" s="3"/>
      <c r="W1505" s="3"/>
      <c r="X1505" s="3"/>
      <c r="Y1505" s="4"/>
      <c r="Z1505"/>
      <c r="AA1505"/>
    </row>
    <row r="1506" spans="1:27" s="49" customFormat="1" x14ac:dyDescent="0.15">
      <c r="A1506" s="165"/>
      <c r="B1506" s="93"/>
      <c r="C1506" s="102"/>
      <c r="D1506" s="62"/>
      <c r="E1506" s="102"/>
      <c r="F1506" s="102"/>
      <c r="G1506" s="102"/>
      <c r="H1506" s="85"/>
      <c r="I1506" s="104"/>
      <c r="J1506" s="144"/>
      <c r="K1506" s="62"/>
      <c r="M1506" s="37"/>
      <c r="N1506" s="37"/>
      <c r="O1506" s="37"/>
      <c r="P1506" s="3"/>
      <c r="Q1506" s="3"/>
      <c r="R1506" s="3"/>
      <c r="S1506" s="3"/>
      <c r="T1506" s="3"/>
      <c r="U1506" s="3"/>
      <c r="V1506" s="3"/>
      <c r="W1506" s="3"/>
      <c r="X1506" s="3"/>
      <c r="Y1506" s="4"/>
      <c r="Z1506"/>
      <c r="AA1506"/>
    </row>
    <row r="1507" spans="1:27" s="49" customFormat="1" x14ac:dyDescent="0.15">
      <c r="A1507" s="165"/>
      <c r="B1507" s="93"/>
      <c r="C1507" s="102"/>
      <c r="D1507" s="62"/>
      <c r="E1507" s="102"/>
      <c r="F1507" s="102"/>
      <c r="G1507" s="102"/>
      <c r="H1507" s="85"/>
      <c r="I1507" s="104"/>
      <c r="J1507" s="144"/>
      <c r="K1507" s="62"/>
      <c r="M1507" s="37"/>
      <c r="N1507" s="37"/>
      <c r="O1507" s="37"/>
      <c r="P1507" s="3"/>
      <c r="Q1507" s="3"/>
      <c r="R1507" s="3"/>
      <c r="S1507" s="3"/>
      <c r="T1507" s="3"/>
      <c r="U1507" s="3"/>
      <c r="V1507" s="3"/>
      <c r="W1507" s="3"/>
      <c r="X1507" s="3"/>
      <c r="Y1507" s="4"/>
      <c r="Z1507"/>
      <c r="AA1507"/>
    </row>
    <row r="1508" spans="1:27" s="49" customFormat="1" x14ac:dyDescent="0.15">
      <c r="A1508" s="165"/>
      <c r="B1508" s="93"/>
      <c r="C1508" s="102"/>
      <c r="D1508" s="62"/>
      <c r="E1508" s="102"/>
      <c r="F1508" s="102"/>
      <c r="G1508" s="102"/>
      <c r="H1508" s="85"/>
      <c r="I1508" s="104"/>
      <c r="J1508" s="144"/>
      <c r="K1508" s="61"/>
      <c r="M1508" s="37"/>
      <c r="N1508" s="37"/>
      <c r="O1508" s="37"/>
      <c r="P1508" s="3"/>
      <c r="Q1508" s="3"/>
      <c r="R1508" s="3"/>
      <c r="S1508" s="3"/>
      <c r="T1508" s="3"/>
      <c r="U1508" s="3"/>
      <c r="V1508" s="3"/>
      <c r="W1508" s="3"/>
      <c r="X1508" s="3"/>
      <c r="Y1508" s="4"/>
      <c r="Z1508"/>
      <c r="AA1508"/>
    </row>
    <row r="1509" spans="1:27" s="49" customFormat="1" x14ac:dyDescent="0.15">
      <c r="A1509" s="165"/>
      <c r="B1509" s="93"/>
      <c r="C1509" s="102"/>
      <c r="D1509" s="62"/>
      <c r="E1509" s="102"/>
      <c r="F1509" s="102"/>
      <c r="G1509" s="102"/>
      <c r="H1509" s="85"/>
      <c r="I1509" s="104"/>
      <c r="J1509" s="144"/>
      <c r="K1509" s="61"/>
      <c r="M1509" s="37"/>
      <c r="N1509" s="37"/>
      <c r="O1509" s="37"/>
      <c r="P1509" s="3"/>
      <c r="Q1509" s="3"/>
      <c r="R1509" s="3"/>
      <c r="S1509" s="3"/>
      <c r="T1509" s="3"/>
      <c r="U1509" s="3"/>
      <c r="V1509" s="3"/>
      <c r="W1509" s="3"/>
      <c r="X1509" s="3"/>
      <c r="Y1509" s="4"/>
      <c r="Z1509"/>
      <c r="AA1509"/>
    </row>
    <row r="1510" spans="1:27" s="49" customFormat="1" x14ac:dyDescent="0.15">
      <c r="A1510" s="165"/>
      <c r="B1510" s="93"/>
      <c r="C1510" s="102"/>
      <c r="D1510" s="62"/>
      <c r="E1510" s="102"/>
      <c r="F1510" s="102"/>
      <c r="G1510" s="102"/>
      <c r="H1510" s="85"/>
      <c r="I1510" s="104"/>
      <c r="J1510" s="144"/>
      <c r="K1510" s="61"/>
      <c r="M1510" s="37"/>
      <c r="N1510" s="37"/>
      <c r="O1510" s="37"/>
      <c r="P1510" s="3"/>
      <c r="Q1510" s="3"/>
      <c r="R1510" s="3"/>
      <c r="S1510" s="3"/>
      <c r="T1510" s="3"/>
      <c r="U1510" s="3"/>
      <c r="V1510" s="3"/>
      <c r="W1510" s="3"/>
      <c r="X1510" s="3"/>
      <c r="Y1510" s="4"/>
      <c r="Z1510"/>
      <c r="AA1510"/>
    </row>
    <row r="1511" spans="1:27" s="49" customFormat="1" x14ac:dyDescent="0.15">
      <c r="A1511" s="165"/>
      <c r="B1511" s="93"/>
      <c r="C1511" s="102"/>
      <c r="D1511" s="62"/>
      <c r="E1511" s="102"/>
      <c r="F1511" s="102"/>
      <c r="G1511" s="102"/>
      <c r="H1511" s="85"/>
      <c r="I1511" s="104"/>
      <c r="J1511" s="144"/>
      <c r="K1511" s="61"/>
      <c r="M1511" s="37"/>
      <c r="N1511" s="37"/>
      <c r="O1511" s="37"/>
      <c r="P1511" s="3"/>
      <c r="Q1511" s="3"/>
      <c r="R1511" s="3"/>
      <c r="S1511" s="3"/>
      <c r="T1511" s="3"/>
      <c r="U1511" s="3"/>
      <c r="V1511" s="3"/>
      <c r="W1511" s="3"/>
      <c r="X1511" s="3"/>
      <c r="Y1511" s="4"/>
      <c r="Z1511"/>
      <c r="AA1511"/>
    </row>
    <row r="1512" spans="1:27" s="49" customFormat="1" x14ac:dyDescent="0.15">
      <c r="A1512" s="165"/>
      <c r="B1512" s="93"/>
      <c r="C1512" s="102"/>
      <c r="D1512" s="62"/>
      <c r="E1512" s="102"/>
      <c r="F1512" s="102"/>
      <c r="G1512" s="102"/>
      <c r="H1512" s="85"/>
      <c r="I1512" s="104"/>
      <c r="J1512" s="144"/>
      <c r="K1512" s="61"/>
      <c r="M1512" s="37"/>
      <c r="N1512" s="37"/>
      <c r="O1512" s="37"/>
      <c r="P1512" s="3"/>
      <c r="Q1512" s="3"/>
      <c r="R1512" s="3"/>
      <c r="S1512" s="3"/>
      <c r="T1512" s="3"/>
      <c r="U1512" s="3"/>
      <c r="V1512" s="3"/>
      <c r="W1512" s="3"/>
      <c r="X1512" s="3"/>
      <c r="Y1512" s="4"/>
      <c r="Z1512"/>
      <c r="AA1512"/>
    </row>
    <row r="1513" spans="1:27" s="49" customFormat="1" x14ac:dyDescent="0.15">
      <c r="A1513" s="165"/>
      <c r="B1513" s="93"/>
      <c r="C1513" s="102"/>
      <c r="D1513" s="62"/>
      <c r="E1513" s="102"/>
      <c r="F1513" s="102"/>
      <c r="G1513" s="102"/>
      <c r="H1513" s="85"/>
      <c r="I1513" s="104"/>
      <c r="J1513" s="144"/>
      <c r="K1513" s="61"/>
      <c r="M1513" s="37"/>
      <c r="N1513" s="37"/>
      <c r="O1513" s="37"/>
      <c r="P1513" s="3"/>
      <c r="Q1513" s="3"/>
      <c r="R1513" s="3"/>
      <c r="S1513" s="3"/>
      <c r="T1513" s="3"/>
      <c r="U1513" s="3"/>
      <c r="V1513" s="3"/>
      <c r="W1513" s="3"/>
      <c r="X1513" s="3"/>
      <c r="Y1513" s="4"/>
      <c r="Z1513"/>
      <c r="AA1513"/>
    </row>
    <row r="1514" spans="1:27" s="49" customFormat="1" x14ac:dyDescent="0.15">
      <c r="A1514" s="165"/>
      <c r="B1514" s="93"/>
      <c r="C1514" s="102"/>
      <c r="D1514" s="62"/>
      <c r="E1514" s="102"/>
      <c r="F1514" s="102"/>
      <c r="G1514" s="102"/>
      <c r="H1514" s="85"/>
      <c r="I1514" s="104"/>
      <c r="J1514" s="144"/>
      <c r="K1514" s="61"/>
      <c r="M1514" s="37"/>
      <c r="N1514" s="37"/>
      <c r="O1514" s="37"/>
      <c r="P1514" s="3"/>
      <c r="Q1514" s="3"/>
      <c r="R1514" s="3"/>
      <c r="S1514" s="3"/>
      <c r="T1514" s="3"/>
      <c r="U1514" s="3"/>
      <c r="V1514" s="3"/>
      <c r="W1514" s="3"/>
      <c r="X1514" s="3"/>
      <c r="Y1514" s="4"/>
      <c r="Z1514"/>
      <c r="AA1514"/>
    </row>
    <row r="1515" spans="1:27" s="49" customFormat="1" x14ac:dyDescent="0.15">
      <c r="A1515" s="224"/>
      <c r="B1515" s="82"/>
      <c r="C1515" s="107"/>
      <c r="D1515" s="62"/>
      <c r="E1515" s="107"/>
      <c r="F1515" s="107"/>
      <c r="G1515" s="107"/>
      <c r="H1515" s="85"/>
      <c r="I1515" s="104"/>
      <c r="J1515" s="144"/>
      <c r="K1515" s="61"/>
      <c r="M1515" s="37"/>
      <c r="N1515" s="37"/>
      <c r="O1515" s="37"/>
      <c r="P1515" s="3"/>
      <c r="Q1515" s="3"/>
      <c r="R1515" s="3"/>
      <c r="S1515" s="3"/>
      <c r="T1515" s="3"/>
      <c r="U1515" s="3"/>
      <c r="V1515" s="3"/>
      <c r="W1515" s="3"/>
      <c r="X1515" s="3"/>
      <c r="Y1515" s="4"/>
      <c r="Z1515"/>
      <c r="AA1515"/>
    </row>
    <row r="1516" spans="1:27" s="49" customFormat="1" x14ac:dyDescent="0.15">
      <c r="A1516" s="224"/>
      <c r="B1516" s="93"/>
      <c r="C1516" s="102"/>
      <c r="D1516" s="62"/>
      <c r="E1516" s="100"/>
      <c r="F1516" s="102"/>
      <c r="G1516" s="102"/>
      <c r="H1516" s="85"/>
      <c r="I1516" s="104"/>
      <c r="J1516" s="144"/>
      <c r="K1516" s="61"/>
      <c r="M1516" s="37"/>
      <c r="N1516" s="37"/>
      <c r="O1516" s="37"/>
      <c r="P1516" s="3"/>
      <c r="Q1516" s="3"/>
      <c r="R1516" s="3"/>
      <c r="S1516" s="3"/>
      <c r="T1516" s="3"/>
      <c r="U1516" s="3"/>
      <c r="V1516" s="3"/>
      <c r="W1516" s="3"/>
      <c r="X1516" s="3"/>
      <c r="Y1516" s="4"/>
      <c r="Z1516"/>
      <c r="AA1516"/>
    </row>
    <row r="1517" spans="1:27" s="49" customFormat="1" x14ac:dyDescent="0.15">
      <c r="A1517" s="224"/>
      <c r="B1517" s="93"/>
      <c r="C1517" s="102"/>
      <c r="D1517" s="62"/>
      <c r="E1517" s="102"/>
      <c r="F1517" s="102"/>
      <c r="G1517" s="102"/>
      <c r="H1517" s="85"/>
      <c r="I1517" s="104"/>
      <c r="J1517" s="144"/>
      <c r="K1517" s="61"/>
      <c r="M1517" s="37"/>
      <c r="N1517" s="37"/>
      <c r="O1517" s="37"/>
      <c r="P1517" s="3"/>
      <c r="Q1517" s="3"/>
      <c r="R1517" s="3"/>
      <c r="S1517" s="3"/>
      <c r="T1517" s="3"/>
      <c r="U1517" s="3"/>
      <c r="V1517" s="3"/>
      <c r="W1517" s="3"/>
      <c r="X1517" s="3"/>
      <c r="Y1517" s="4"/>
      <c r="Z1517"/>
      <c r="AA1517"/>
    </row>
    <row r="1518" spans="1:27" s="49" customFormat="1" x14ac:dyDescent="0.15">
      <c r="A1518" s="224"/>
      <c r="B1518" s="93"/>
      <c r="C1518" s="102"/>
      <c r="D1518" s="62"/>
      <c r="E1518" s="102"/>
      <c r="F1518" s="102"/>
      <c r="G1518" s="102"/>
      <c r="H1518" s="85"/>
      <c r="I1518" s="104"/>
      <c r="J1518" s="144"/>
      <c r="K1518" s="61"/>
      <c r="M1518" s="37"/>
      <c r="N1518" s="37"/>
      <c r="O1518" s="37"/>
      <c r="P1518" s="3"/>
      <c r="Q1518" s="3"/>
      <c r="R1518" s="3"/>
      <c r="S1518" s="3"/>
      <c r="T1518" s="3"/>
      <c r="U1518" s="3"/>
      <c r="V1518" s="3"/>
      <c r="W1518" s="3"/>
      <c r="X1518" s="3"/>
      <c r="Y1518" s="4"/>
      <c r="Z1518"/>
      <c r="AA1518"/>
    </row>
    <row r="1519" spans="1:27" s="49" customFormat="1" x14ac:dyDescent="0.15">
      <c r="A1519" s="224"/>
      <c r="B1519" s="93"/>
      <c r="C1519" s="102"/>
      <c r="D1519" s="62"/>
      <c r="E1519" s="102"/>
      <c r="F1519" s="102"/>
      <c r="G1519" s="102"/>
      <c r="H1519" s="85"/>
      <c r="I1519" s="104"/>
      <c r="J1519" s="144"/>
      <c r="K1519" s="61"/>
      <c r="M1519" s="37"/>
      <c r="N1519" s="37"/>
      <c r="O1519" s="37"/>
      <c r="P1519" s="3"/>
      <c r="Q1519" s="3"/>
      <c r="R1519" s="3"/>
      <c r="S1519" s="3"/>
      <c r="T1519" s="3"/>
      <c r="U1519" s="3"/>
      <c r="V1519" s="3"/>
      <c r="W1519" s="3"/>
      <c r="X1519" s="3"/>
      <c r="Y1519" s="4"/>
      <c r="Z1519"/>
      <c r="AA1519"/>
    </row>
    <row r="1520" spans="1:27" s="49" customFormat="1" x14ac:dyDescent="0.15">
      <c r="A1520" s="224"/>
      <c r="B1520" s="93"/>
      <c r="C1520" s="102"/>
      <c r="D1520" s="62"/>
      <c r="E1520" s="102"/>
      <c r="F1520" s="102"/>
      <c r="G1520" s="102"/>
      <c r="H1520" s="85"/>
      <c r="I1520" s="104"/>
      <c r="J1520" s="144"/>
      <c r="K1520" s="61"/>
      <c r="M1520" s="37"/>
      <c r="N1520" s="37"/>
      <c r="O1520" s="37"/>
      <c r="P1520" s="3"/>
      <c r="Q1520" s="3"/>
      <c r="R1520" s="3"/>
      <c r="S1520" s="3"/>
      <c r="T1520" s="3"/>
      <c r="U1520" s="3"/>
      <c r="V1520" s="3"/>
      <c r="W1520" s="3"/>
      <c r="X1520" s="3"/>
      <c r="Y1520" s="4"/>
      <c r="Z1520"/>
      <c r="AA1520"/>
    </row>
    <row r="1521" spans="1:27" s="49" customFormat="1" x14ac:dyDescent="0.15">
      <c r="A1521" s="224"/>
      <c r="B1521" s="93"/>
      <c r="C1521" s="102"/>
      <c r="D1521" s="62"/>
      <c r="E1521" s="102"/>
      <c r="F1521" s="102"/>
      <c r="G1521" s="102"/>
      <c r="H1521" s="85"/>
      <c r="I1521" s="104"/>
      <c r="J1521" s="144"/>
      <c r="K1521" s="61"/>
      <c r="M1521" s="37"/>
      <c r="N1521" s="37"/>
      <c r="O1521" s="37"/>
      <c r="P1521" s="3"/>
      <c r="Q1521" s="3"/>
      <c r="R1521" s="3"/>
      <c r="S1521" s="3"/>
      <c r="T1521" s="3"/>
      <c r="U1521" s="3"/>
      <c r="V1521" s="3"/>
      <c r="W1521" s="3"/>
      <c r="X1521" s="3"/>
      <c r="Y1521" s="4"/>
      <c r="Z1521"/>
      <c r="AA1521"/>
    </row>
    <row r="1522" spans="1:27" s="49" customFormat="1" x14ac:dyDescent="0.15">
      <c r="A1522" s="224"/>
      <c r="B1522" s="93"/>
      <c r="C1522" s="102"/>
      <c r="D1522" s="62"/>
      <c r="E1522" s="102"/>
      <c r="F1522" s="102"/>
      <c r="G1522" s="102"/>
      <c r="H1522" s="98"/>
      <c r="I1522" s="98"/>
      <c r="J1522" s="135"/>
      <c r="K1522" s="61"/>
      <c r="M1522" s="37"/>
      <c r="N1522" s="37"/>
      <c r="O1522" s="37"/>
      <c r="P1522" s="3"/>
      <c r="Q1522" s="3"/>
      <c r="R1522" s="3"/>
      <c r="S1522" s="3"/>
      <c r="T1522" s="3"/>
      <c r="U1522" s="3"/>
      <c r="V1522" s="3"/>
      <c r="W1522" s="3"/>
      <c r="X1522" s="3"/>
      <c r="Y1522" s="4"/>
      <c r="Z1522"/>
      <c r="AA1522"/>
    </row>
    <row r="1523" spans="1:27" s="49" customFormat="1" x14ac:dyDescent="0.15">
      <c r="A1523" s="224"/>
      <c r="B1523" s="93"/>
      <c r="C1523" s="102"/>
      <c r="D1523" s="62"/>
      <c r="E1523" s="102"/>
      <c r="F1523" s="102"/>
      <c r="G1523" s="102"/>
      <c r="H1523" s="98"/>
      <c r="I1523" s="98"/>
      <c r="J1523" s="135"/>
      <c r="K1523" s="61"/>
      <c r="M1523" s="37"/>
      <c r="N1523" s="37"/>
      <c r="O1523" s="37"/>
      <c r="P1523" s="3"/>
      <c r="Q1523" s="3"/>
      <c r="R1523" s="3"/>
      <c r="S1523" s="3"/>
      <c r="T1523" s="3"/>
      <c r="U1523" s="3"/>
      <c r="V1523" s="3"/>
      <c r="W1523" s="3"/>
      <c r="X1523" s="3"/>
      <c r="Y1523" s="4"/>
      <c r="Z1523"/>
      <c r="AA1523"/>
    </row>
    <row r="1524" spans="1:27" s="49" customFormat="1" x14ac:dyDescent="0.15">
      <c r="A1524" s="224"/>
      <c r="B1524" s="82"/>
      <c r="C1524" s="107"/>
      <c r="D1524" s="62"/>
      <c r="E1524" s="107"/>
      <c r="F1524" s="107"/>
      <c r="G1524" s="107"/>
      <c r="H1524" s="85"/>
      <c r="I1524" s="104"/>
      <c r="J1524" s="144"/>
      <c r="K1524" s="61"/>
      <c r="M1524" s="37"/>
      <c r="N1524" s="37"/>
      <c r="O1524" s="37"/>
      <c r="P1524" s="3"/>
      <c r="Q1524" s="3"/>
      <c r="R1524" s="3"/>
      <c r="S1524" s="3"/>
      <c r="T1524" s="3"/>
      <c r="U1524" s="3"/>
      <c r="V1524" s="3"/>
      <c r="W1524" s="3"/>
      <c r="X1524" s="3"/>
      <c r="Y1524" s="4"/>
      <c r="Z1524"/>
      <c r="AA1524"/>
    </row>
    <row r="1525" spans="1:27" s="49" customFormat="1" x14ac:dyDescent="0.15">
      <c r="A1525" s="224"/>
      <c r="B1525" s="93"/>
      <c r="C1525" s="102"/>
      <c r="D1525" s="62"/>
      <c r="E1525" s="102"/>
      <c r="F1525" s="102"/>
      <c r="G1525" s="102"/>
      <c r="H1525" s="85"/>
      <c r="I1525" s="104"/>
      <c r="J1525" s="144"/>
      <c r="K1525" s="61"/>
      <c r="M1525" s="37"/>
      <c r="N1525" s="37"/>
      <c r="O1525" s="37"/>
      <c r="P1525" s="3"/>
      <c r="Q1525" s="3"/>
      <c r="R1525" s="3"/>
      <c r="S1525" s="3"/>
      <c r="T1525" s="3"/>
      <c r="U1525" s="3"/>
      <c r="V1525" s="3"/>
      <c r="W1525" s="3"/>
      <c r="X1525" s="3"/>
      <c r="Y1525" s="4"/>
      <c r="Z1525"/>
      <c r="AA1525"/>
    </row>
    <row r="1526" spans="1:27" s="49" customFormat="1" x14ac:dyDescent="0.15">
      <c r="A1526" s="224"/>
      <c r="B1526" s="93"/>
      <c r="C1526" s="102"/>
      <c r="D1526" s="62"/>
      <c r="E1526" s="102"/>
      <c r="F1526" s="102"/>
      <c r="G1526" s="102"/>
      <c r="H1526" s="85"/>
      <c r="I1526" s="104"/>
      <c r="J1526" s="144"/>
      <c r="K1526" s="61"/>
      <c r="M1526" s="37"/>
      <c r="N1526" s="37"/>
      <c r="O1526" s="37"/>
      <c r="P1526" s="3"/>
      <c r="Q1526" s="3"/>
      <c r="R1526" s="3"/>
      <c r="S1526" s="3"/>
      <c r="T1526" s="3"/>
      <c r="U1526" s="3"/>
      <c r="V1526" s="3"/>
      <c r="W1526" s="3"/>
      <c r="X1526" s="3"/>
      <c r="Y1526" s="4"/>
      <c r="Z1526"/>
      <c r="AA1526"/>
    </row>
    <row r="1527" spans="1:27" s="49" customFormat="1" x14ac:dyDescent="0.15">
      <c r="A1527" s="224"/>
      <c r="B1527" s="93"/>
      <c r="C1527" s="102"/>
      <c r="D1527" s="62"/>
      <c r="E1527" s="102"/>
      <c r="F1527" s="102"/>
      <c r="G1527" s="102"/>
      <c r="H1527" s="98"/>
      <c r="I1527" s="98"/>
      <c r="J1527" s="135"/>
      <c r="K1527" s="61"/>
      <c r="M1527" s="37"/>
      <c r="N1527" s="37"/>
      <c r="O1527" s="37"/>
      <c r="P1527" s="3"/>
      <c r="Q1527" s="3"/>
      <c r="R1527" s="3"/>
      <c r="S1527" s="3"/>
      <c r="T1527" s="3"/>
      <c r="U1527" s="3"/>
      <c r="V1527" s="3"/>
      <c r="W1527" s="3"/>
      <c r="X1527" s="3"/>
      <c r="Y1527" s="4"/>
      <c r="Z1527"/>
      <c r="AA1527"/>
    </row>
    <row r="1528" spans="1:27" s="49" customFormat="1" x14ac:dyDescent="0.15">
      <c r="A1528" s="224"/>
      <c r="B1528" s="93"/>
      <c r="C1528" s="102"/>
      <c r="D1528" s="62"/>
      <c r="E1528" s="100"/>
      <c r="F1528" s="102"/>
      <c r="G1528" s="102"/>
      <c r="H1528" s="85"/>
      <c r="I1528" s="101"/>
      <c r="J1528" s="144"/>
      <c r="K1528" s="61"/>
      <c r="M1528" s="37"/>
      <c r="N1528" s="37"/>
      <c r="O1528" s="37"/>
      <c r="P1528" s="3"/>
      <c r="Q1528" s="3"/>
      <c r="R1528" s="3"/>
      <c r="S1528" s="3"/>
      <c r="T1528" s="3"/>
      <c r="U1528" s="3"/>
      <c r="V1528" s="3"/>
      <c r="W1528" s="3"/>
      <c r="X1528" s="3"/>
      <c r="Y1528" s="4"/>
      <c r="Z1528"/>
      <c r="AA1528"/>
    </row>
    <row r="1529" spans="1:27" s="49" customFormat="1" x14ac:dyDescent="0.15">
      <c r="A1529" s="224"/>
      <c r="B1529" s="93"/>
      <c r="C1529" s="102"/>
      <c r="D1529" s="62"/>
      <c r="E1529" s="102"/>
      <c r="F1529" s="102"/>
      <c r="G1529" s="102"/>
      <c r="H1529" s="85"/>
      <c r="I1529" s="104"/>
      <c r="J1529" s="144"/>
      <c r="K1529" s="61"/>
      <c r="M1529" s="37"/>
      <c r="N1529" s="37"/>
      <c r="O1529" s="37"/>
      <c r="P1529" s="3"/>
      <c r="Q1529" s="3"/>
      <c r="R1529" s="3"/>
      <c r="S1529" s="3"/>
      <c r="T1529" s="3"/>
      <c r="U1529" s="3"/>
      <c r="V1529" s="3"/>
      <c r="W1529" s="3"/>
      <c r="X1529" s="3"/>
      <c r="Y1529" s="4"/>
      <c r="Z1529"/>
      <c r="AA1529"/>
    </row>
    <row r="1530" spans="1:27" s="49" customFormat="1" x14ac:dyDescent="0.15">
      <c r="A1530" s="224"/>
      <c r="B1530" s="93"/>
      <c r="C1530" s="100"/>
      <c r="D1530" s="61"/>
      <c r="E1530" s="100"/>
      <c r="F1530" s="102"/>
      <c r="G1530" s="102"/>
      <c r="H1530" s="98"/>
      <c r="I1530" s="98"/>
      <c r="J1530" s="135"/>
      <c r="K1530" s="61"/>
      <c r="M1530" s="37"/>
      <c r="N1530" s="37"/>
      <c r="O1530" s="37"/>
      <c r="P1530" s="3"/>
      <c r="Q1530" s="3"/>
      <c r="R1530" s="3"/>
      <c r="S1530" s="3"/>
      <c r="T1530" s="3"/>
      <c r="U1530" s="3"/>
      <c r="V1530" s="3"/>
      <c r="W1530" s="3"/>
      <c r="X1530" s="3"/>
      <c r="Y1530" s="4"/>
      <c r="Z1530"/>
      <c r="AA1530"/>
    </row>
    <row r="1531" spans="1:27" s="49" customFormat="1" x14ac:dyDescent="0.15">
      <c r="A1531" s="224"/>
      <c r="B1531" s="93"/>
      <c r="C1531" s="102"/>
      <c r="D1531" s="62"/>
      <c r="E1531" s="102"/>
      <c r="F1531" s="102"/>
      <c r="G1531" s="102"/>
      <c r="H1531" s="103"/>
      <c r="I1531" s="103"/>
      <c r="J1531" s="135"/>
      <c r="K1531" s="61"/>
      <c r="M1531" s="37"/>
      <c r="N1531" s="37"/>
      <c r="O1531" s="37"/>
      <c r="P1531" s="3"/>
      <c r="Q1531" s="3"/>
      <c r="R1531" s="3"/>
      <c r="S1531" s="3"/>
      <c r="T1531" s="3"/>
      <c r="U1531" s="3"/>
      <c r="V1531" s="3"/>
      <c r="W1531" s="3"/>
      <c r="X1531" s="3"/>
      <c r="Y1531" s="4"/>
      <c r="Z1531"/>
      <c r="AA1531"/>
    </row>
    <row r="1532" spans="1:27" s="49" customFormat="1" x14ac:dyDescent="0.15">
      <c r="A1532" s="224"/>
      <c r="B1532" s="108"/>
      <c r="C1532" s="102"/>
      <c r="D1532" s="62"/>
      <c r="E1532" s="102"/>
      <c r="F1532" s="102"/>
      <c r="G1532" s="102"/>
      <c r="H1532" s="98"/>
      <c r="I1532" s="98"/>
      <c r="J1532" s="135"/>
      <c r="K1532" s="61"/>
      <c r="M1532" s="37"/>
      <c r="N1532" s="37"/>
      <c r="O1532" s="37"/>
      <c r="P1532" s="3"/>
      <c r="Q1532" s="3"/>
      <c r="R1532" s="3"/>
      <c r="S1532" s="3"/>
      <c r="T1532" s="3"/>
      <c r="U1532" s="3"/>
      <c r="V1532" s="3"/>
      <c r="W1532" s="3"/>
      <c r="X1532" s="3"/>
      <c r="Y1532" s="4"/>
      <c r="Z1532"/>
      <c r="AA1532"/>
    </row>
    <row r="1533" spans="1:27" s="49" customFormat="1" x14ac:dyDescent="0.15">
      <c r="A1533" s="224"/>
      <c r="B1533" s="93"/>
      <c r="C1533" s="102"/>
      <c r="D1533" s="62"/>
      <c r="E1533" s="102"/>
      <c r="F1533" s="102"/>
      <c r="G1533" s="102"/>
      <c r="H1533" s="98"/>
      <c r="I1533" s="98"/>
      <c r="J1533" s="135"/>
      <c r="K1533" s="61"/>
      <c r="M1533" s="37"/>
      <c r="N1533" s="37"/>
      <c r="O1533" s="37"/>
      <c r="P1533" s="3"/>
      <c r="Q1533" s="3"/>
      <c r="R1533" s="3"/>
      <c r="S1533" s="3"/>
      <c r="T1533" s="3"/>
      <c r="U1533" s="3"/>
      <c r="V1533" s="3"/>
      <c r="W1533" s="3"/>
      <c r="X1533" s="3"/>
      <c r="Y1533" s="4"/>
      <c r="Z1533"/>
      <c r="AA1533"/>
    </row>
    <row r="1534" spans="1:27" s="49" customFormat="1" x14ac:dyDescent="0.15">
      <c r="A1534" s="224"/>
      <c r="B1534" s="93"/>
      <c r="C1534" s="102"/>
      <c r="D1534" s="62"/>
      <c r="E1534" s="102"/>
      <c r="F1534" s="102"/>
      <c r="G1534" s="102"/>
      <c r="H1534" s="98"/>
      <c r="I1534" s="98"/>
      <c r="J1534" s="135"/>
      <c r="K1534" s="61"/>
      <c r="M1534" s="37"/>
      <c r="N1534" s="37"/>
      <c r="O1534" s="37"/>
      <c r="P1534" s="3"/>
      <c r="Q1534" s="3"/>
      <c r="R1534" s="3"/>
      <c r="S1534" s="3"/>
      <c r="T1534" s="3"/>
      <c r="U1534" s="3"/>
      <c r="V1534" s="3"/>
      <c r="W1534" s="3"/>
      <c r="X1534" s="3"/>
      <c r="Y1534" s="4"/>
      <c r="Z1534"/>
      <c r="AA1534"/>
    </row>
    <row r="1535" spans="1:27" s="49" customFormat="1" x14ac:dyDescent="0.15">
      <c r="A1535" s="224"/>
      <c r="B1535" s="93"/>
      <c r="C1535" s="102"/>
      <c r="D1535" s="62"/>
      <c r="E1535" s="102"/>
      <c r="F1535" s="102"/>
      <c r="G1535" s="102"/>
      <c r="H1535" s="98"/>
      <c r="I1535" s="98"/>
      <c r="J1535" s="135"/>
      <c r="K1535" s="61"/>
      <c r="M1535" s="37"/>
      <c r="N1535" s="37"/>
      <c r="O1535" s="37"/>
      <c r="P1535" s="3"/>
      <c r="Q1535" s="3"/>
      <c r="R1535" s="3"/>
      <c r="S1535" s="3"/>
      <c r="T1535" s="3"/>
      <c r="U1535" s="3"/>
      <c r="V1535" s="3"/>
      <c r="W1535" s="3"/>
      <c r="X1535" s="3"/>
      <c r="Y1535" s="4"/>
      <c r="Z1535"/>
      <c r="AA1535"/>
    </row>
    <row r="1536" spans="1:27" s="49" customFormat="1" x14ac:dyDescent="0.15">
      <c r="A1536" s="224"/>
      <c r="B1536" s="93"/>
      <c r="C1536" s="102"/>
      <c r="D1536" s="62"/>
      <c r="E1536" s="102"/>
      <c r="F1536" s="102"/>
      <c r="G1536" s="102"/>
      <c r="H1536" s="98"/>
      <c r="I1536" s="98"/>
      <c r="J1536" s="135"/>
      <c r="K1536" s="61"/>
      <c r="M1536" s="37"/>
      <c r="N1536" s="37"/>
      <c r="O1536" s="37"/>
      <c r="P1536" s="3"/>
      <c r="Q1536" s="3"/>
      <c r="R1536" s="3"/>
      <c r="S1536" s="3"/>
      <c r="T1536" s="3"/>
      <c r="U1536" s="3"/>
      <c r="V1536" s="3"/>
      <c r="W1536" s="3"/>
      <c r="X1536" s="3"/>
      <c r="Y1536" s="4"/>
      <c r="Z1536"/>
      <c r="AA1536"/>
    </row>
    <row r="1537" spans="1:27" s="49" customFormat="1" x14ac:dyDescent="0.15">
      <c r="A1537" s="224"/>
      <c r="B1537" s="93"/>
      <c r="C1537" s="102"/>
      <c r="D1537" s="62"/>
      <c r="E1537" s="102"/>
      <c r="F1537" s="102"/>
      <c r="G1537" s="102"/>
      <c r="H1537" s="98"/>
      <c r="I1537" s="98"/>
      <c r="J1537" s="135"/>
      <c r="K1537" s="61"/>
      <c r="M1537" s="37"/>
      <c r="N1537" s="37"/>
      <c r="O1537" s="37"/>
      <c r="P1537" s="3"/>
      <c r="Q1537" s="3"/>
      <c r="R1537" s="3"/>
      <c r="S1537" s="3"/>
      <c r="T1537" s="3"/>
      <c r="U1537" s="3"/>
      <c r="V1537" s="3"/>
      <c r="W1537" s="3"/>
      <c r="X1537" s="3"/>
      <c r="Y1537" s="4"/>
      <c r="Z1537"/>
      <c r="AA1537"/>
    </row>
    <row r="1538" spans="1:27" s="49" customFormat="1" x14ac:dyDescent="0.15">
      <c r="A1538" s="224"/>
      <c r="B1538" s="93"/>
      <c r="C1538" s="102"/>
      <c r="D1538" s="62"/>
      <c r="E1538" s="102"/>
      <c r="F1538" s="102"/>
      <c r="G1538" s="102"/>
      <c r="H1538" s="98"/>
      <c r="I1538" s="98"/>
      <c r="J1538" s="135"/>
      <c r="K1538" s="61"/>
      <c r="M1538" s="37"/>
      <c r="N1538" s="37"/>
      <c r="O1538" s="37"/>
      <c r="P1538" s="3"/>
      <c r="Q1538" s="3"/>
      <c r="R1538" s="3"/>
      <c r="S1538" s="3"/>
      <c r="T1538" s="3"/>
      <c r="U1538" s="3"/>
      <c r="V1538" s="3"/>
      <c r="W1538" s="3"/>
      <c r="X1538" s="3"/>
      <c r="Y1538" s="4"/>
      <c r="Z1538"/>
      <c r="AA1538"/>
    </row>
    <row r="1539" spans="1:27" s="49" customFormat="1" x14ac:dyDescent="0.15">
      <c r="A1539" s="224"/>
      <c r="B1539" s="93"/>
      <c r="C1539" s="102"/>
      <c r="D1539" s="62"/>
      <c r="E1539" s="102"/>
      <c r="F1539" s="102"/>
      <c r="G1539" s="102"/>
      <c r="H1539" s="98"/>
      <c r="I1539" s="98"/>
      <c r="J1539" s="135"/>
      <c r="K1539" s="61"/>
      <c r="M1539" s="37"/>
      <c r="N1539" s="37"/>
      <c r="O1539" s="37"/>
      <c r="P1539" s="3"/>
      <c r="Q1539" s="3"/>
      <c r="R1539" s="3"/>
      <c r="S1539" s="3"/>
      <c r="T1539" s="3"/>
      <c r="U1539" s="3"/>
      <c r="V1539" s="3"/>
      <c r="W1539" s="3"/>
      <c r="X1539" s="3"/>
      <c r="Y1539" s="4"/>
      <c r="Z1539"/>
      <c r="AA1539"/>
    </row>
    <row r="1540" spans="1:27" s="49" customFormat="1" x14ac:dyDescent="0.15">
      <c r="A1540" s="224"/>
      <c r="B1540" s="93"/>
      <c r="C1540" s="102"/>
      <c r="D1540" s="62"/>
      <c r="E1540" s="102"/>
      <c r="F1540" s="102"/>
      <c r="G1540" s="102"/>
      <c r="H1540" s="98"/>
      <c r="I1540" s="98"/>
      <c r="J1540" s="135"/>
      <c r="K1540" s="61"/>
      <c r="M1540" s="37"/>
      <c r="N1540" s="37"/>
      <c r="O1540" s="37"/>
      <c r="P1540" s="3"/>
      <c r="Q1540" s="3"/>
      <c r="R1540" s="3"/>
      <c r="S1540" s="3"/>
      <c r="T1540" s="3"/>
      <c r="U1540" s="3"/>
      <c r="V1540" s="3"/>
      <c r="W1540" s="3"/>
      <c r="X1540" s="3"/>
      <c r="Y1540" s="4"/>
      <c r="Z1540"/>
      <c r="AA1540"/>
    </row>
    <row r="1541" spans="1:27" s="49" customFormat="1" x14ac:dyDescent="0.15">
      <c r="A1541" s="224"/>
      <c r="B1541" s="93"/>
      <c r="C1541" s="102"/>
      <c r="D1541" s="62"/>
      <c r="E1541" s="102"/>
      <c r="F1541" s="102"/>
      <c r="G1541" s="102"/>
      <c r="H1541" s="85"/>
      <c r="I1541" s="104"/>
      <c r="J1541" s="144"/>
      <c r="K1541" s="61"/>
      <c r="M1541" s="37"/>
      <c r="N1541" s="37"/>
      <c r="O1541" s="37"/>
      <c r="P1541" s="3"/>
      <c r="Q1541" s="3"/>
      <c r="R1541" s="3"/>
      <c r="S1541" s="3"/>
      <c r="T1541" s="3"/>
      <c r="U1541" s="3"/>
      <c r="V1541" s="3"/>
      <c r="W1541" s="3"/>
      <c r="X1541" s="3"/>
      <c r="Y1541" s="4"/>
      <c r="Z1541"/>
      <c r="AA1541"/>
    </row>
    <row r="1542" spans="1:27" s="49" customFormat="1" x14ac:dyDescent="0.15">
      <c r="A1542" s="224"/>
      <c r="B1542" s="93"/>
      <c r="C1542" s="102"/>
      <c r="D1542" s="62"/>
      <c r="E1542" s="102"/>
      <c r="F1542" s="102"/>
      <c r="G1542" s="102"/>
      <c r="H1542" s="85"/>
      <c r="I1542" s="104"/>
      <c r="J1542" s="144"/>
      <c r="K1542" s="61"/>
      <c r="M1542" s="37"/>
      <c r="N1542" s="37"/>
      <c r="O1542" s="37"/>
      <c r="P1542" s="3"/>
      <c r="Q1542" s="3"/>
      <c r="R1542" s="3"/>
      <c r="S1542" s="3"/>
      <c r="T1542" s="3"/>
      <c r="U1542" s="3"/>
      <c r="V1542" s="3"/>
      <c r="W1542" s="3"/>
      <c r="X1542" s="3"/>
      <c r="Y1542" s="4"/>
      <c r="Z1542"/>
      <c r="AA1542"/>
    </row>
    <row r="1543" spans="1:27" s="49" customFormat="1" x14ac:dyDescent="0.15">
      <c r="A1543" s="224"/>
      <c r="B1543" s="93"/>
      <c r="C1543" s="102"/>
      <c r="D1543" s="62"/>
      <c r="E1543" s="102"/>
      <c r="F1543" s="102"/>
      <c r="G1543" s="102"/>
      <c r="H1543" s="85"/>
      <c r="I1543" s="104"/>
      <c r="J1543" s="144"/>
      <c r="K1543" s="61"/>
      <c r="M1543" s="37"/>
      <c r="N1543" s="37"/>
      <c r="O1543" s="37"/>
      <c r="P1543" s="3"/>
      <c r="Q1543" s="3"/>
      <c r="R1543" s="3"/>
      <c r="S1543" s="3"/>
      <c r="T1543" s="3"/>
      <c r="U1543" s="3"/>
      <c r="V1543" s="3"/>
      <c r="W1543" s="3"/>
      <c r="X1543" s="3"/>
      <c r="Y1543" s="4"/>
      <c r="Z1543"/>
      <c r="AA1543"/>
    </row>
    <row r="1544" spans="1:27" s="49" customFormat="1" x14ac:dyDescent="0.15">
      <c r="A1544" s="224"/>
      <c r="B1544" s="93"/>
      <c r="C1544" s="102"/>
      <c r="D1544" s="62"/>
      <c r="E1544" s="102"/>
      <c r="F1544" s="102"/>
      <c r="G1544" s="102"/>
      <c r="H1544" s="85"/>
      <c r="I1544" s="104"/>
      <c r="J1544" s="144"/>
      <c r="K1544" s="61"/>
      <c r="M1544" s="37"/>
      <c r="N1544" s="37"/>
      <c r="O1544" s="37"/>
      <c r="P1544" s="3"/>
      <c r="Q1544" s="3"/>
      <c r="R1544" s="3"/>
      <c r="S1544" s="3"/>
      <c r="T1544" s="3"/>
      <c r="U1544" s="3"/>
      <c r="V1544" s="3"/>
      <c r="W1544" s="3"/>
      <c r="X1544" s="3"/>
      <c r="Y1544" s="4"/>
      <c r="Z1544"/>
      <c r="AA1544"/>
    </row>
    <row r="1545" spans="1:27" s="49" customFormat="1" x14ac:dyDescent="0.15">
      <c r="A1545" s="224"/>
      <c r="B1545" s="93"/>
      <c r="C1545" s="102"/>
      <c r="D1545" s="62"/>
      <c r="E1545" s="102"/>
      <c r="F1545" s="102"/>
      <c r="G1545" s="102"/>
      <c r="H1545" s="98"/>
      <c r="I1545" s="98"/>
      <c r="J1545" s="135"/>
      <c r="K1545" s="61"/>
      <c r="M1545" s="37"/>
      <c r="N1545" s="37"/>
      <c r="O1545" s="37"/>
      <c r="P1545" s="3"/>
      <c r="Q1545" s="3"/>
      <c r="R1545" s="3"/>
      <c r="S1545" s="3"/>
      <c r="T1545" s="3"/>
      <c r="U1545" s="3"/>
      <c r="V1545" s="3"/>
      <c r="W1545" s="3"/>
      <c r="X1545" s="3"/>
      <c r="Y1545" s="4"/>
      <c r="Z1545"/>
      <c r="AA1545"/>
    </row>
    <row r="1546" spans="1:27" s="49" customFormat="1" x14ac:dyDescent="0.15">
      <c r="A1546" s="224"/>
      <c r="B1546" s="93"/>
      <c r="C1546" s="102"/>
      <c r="D1546" s="62"/>
      <c r="E1546" s="102"/>
      <c r="F1546" s="102"/>
      <c r="G1546" s="102"/>
      <c r="H1546" s="85"/>
      <c r="I1546" s="104"/>
      <c r="J1546" s="144"/>
      <c r="K1546" s="61"/>
      <c r="M1546" s="37"/>
      <c r="N1546" s="37"/>
      <c r="O1546" s="37"/>
      <c r="P1546" s="3"/>
      <c r="Q1546" s="3"/>
      <c r="R1546" s="3"/>
      <c r="S1546" s="3"/>
      <c r="T1546" s="3"/>
      <c r="U1546" s="3"/>
      <c r="V1546" s="3"/>
      <c r="W1546" s="3"/>
      <c r="X1546" s="3"/>
      <c r="Y1546" s="4"/>
      <c r="Z1546"/>
      <c r="AA1546"/>
    </row>
    <row r="1547" spans="1:27" s="49" customFormat="1" x14ac:dyDescent="0.15">
      <c r="A1547" s="224"/>
      <c r="B1547" s="93"/>
      <c r="C1547" s="102"/>
      <c r="D1547" s="62"/>
      <c r="E1547" s="102"/>
      <c r="F1547" s="102"/>
      <c r="G1547" s="102"/>
      <c r="H1547" s="85"/>
      <c r="I1547" s="104"/>
      <c r="J1547" s="144"/>
      <c r="K1547" s="61"/>
      <c r="M1547" s="37"/>
      <c r="N1547" s="37"/>
      <c r="O1547" s="37"/>
      <c r="P1547" s="3"/>
      <c r="Q1547" s="3"/>
      <c r="R1547" s="3"/>
      <c r="S1547" s="3"/>
      <c r="T1547" s="3"/>
      <c r="U1547" s="3"/>
      <c r="V1547" s="3"/>
      <c r="W1547" s="3"/>
      <c r="X1547" s="3"/>
      <c r="Y1547" s="4"/>
      <c r="Z1547"/>
      <c r="AA1547"/>
    </row>
    <row r="1548" spans="1:27" s="49" customFormat="1" x14ac:dyDescent="0.15">
      <c r="A1548" s="224"/>
      <c r="B1548" s="93"/>
      <c r="C1548" s="102"/>
      <c r="D1548" s="62"/>
      <c r="E1548" s="102"/>
      <c r="F1548" s="102"/>
      <c r="G1548" s="102"/>
      <c r="H1548" s="85"/>
      <c r="I1548" s="104"/>
      <c r="J1548" s="144"/>
      <c r="K1548" s="61"/>
      <c r="M1548" s="37"/>
      <c r="N1548" s="37"/>
      <c r="O1548" s="37"/>
      <c r="P1548" s="3"/>
      <c r="Q1548" s="3"/>
      <c r="R1548" s="3"/>
      <c r="S1548" s="3"/>
      <c r="T1548" s="3"/>
      <c r="U1548" s="3"/>
      <c r="V1548" s="3"/>
      <c r="W1548" s="3"/>
      <c r="X1548" s="3"/>
      <c r="Y1548" s="4"/>
      <c r="Z1548"/>
      <c r="AA1548"/>
    </row>
    <row r="1549" spans="1:27" s="49" customFormat="1" x14ac:dyDescent="0.15">
      <c r="A1549" s="224"/>
      <c r="B1549" s="93"/>
      <c r="C1549" s="100"/>
      <c r="D1549" s="61"/>
      <c r="E1549" s="100"/>
      <c r="F1549" s="100"/>
      <c r="G1549" s="100"/>
      <c r="H1549" s="85"/>
      <c r="I1549" s="101"/>
      <c r="J1549" s="144"/>
      <c r="K1549" s="61"/>
      <c r="M1549" s="37"/>
      <c r="N1549" s="37"/>
      <c r="O1549" s="37"/>
      <c r="P1549" s="3"/>
      <c r="Q1549" s="3"/>
      <c r="R1549" s="3"/>
      <c r="S1549" s="3"/>
      <c r="T1549" s="3"/>
      <c r="U1549" s="3"/>
      <c r="V1549" s="3"/>
      <c r="W1549" s="3"/>
      <c r="X1549" s="3"/>
      <c r="Y1549" s="4"/>
      <c r="Z1549"/>
      <c r="AA1549"/>
    </row>
    <row r="1550" spans="1:27" s="49" customFormat="1" x14ac:dyDescent="0.15">
      <c r="A1550" s="224"/>
      <c r="B1550" s="93"/>
      <c r="C1550" s="102"/>
      <c r="D1550" s="62"/>
      <c r="E1550" s="102"/>
      <c r="F1550" s="102"/>
      <c r="G1550" s="102"/>
      <c r="H1550" s="85"/>
      <c r="I1550" s="104"/>
      <c r="J1550" s="144"/>
      <c r="K1550" s="61"/>
      <c r="M1550" s="37"/>
      <c r="N1550" s="37"/>
      <c r="O1550" s="37"/>
      <c r="P1550" s="3"/>
      <c r="Q1550" s="3"/>
      <c r="R1550" s="3"/>
      <c r="S1550" s="3"/>
      <c r="T1550" s="3"/>
      <c r="U1550" s="3"/>
      <c r="V1550" s="3"/>
      <c r="W1550" s="3"/>
      <c r="X1550" s="3"/>
      <c r="Y1550" s="4"/>
      <c r="Z1550"/>
      <c r="AA1550"/>
    </row>
    <row r="1551" spans="1:27" x14ac:dyDescent="0.15">
      <c r="A1551" s="224"/>
      <c r="B1551" s="93"/>
      <c r="C1551" s="102"/>
      <c r="D1551" s="62"/>
      <c r="E1551" s="102"/>
      <c r="F1551" s="102"/>
      <c r="G1551" s="102"/>
      <c r="H1551" s="98"/>
      <c r="I1551" s="98"/>
      <c r="J1551" s="135"/>
      <c r="K1551" s="61"/>
    </row>
    <row r="1552" spans="1:27" x14ac:dyDescent="0.15">
      <c r="A1552" s="224"/>
      <c r="B1552" s="93"/>
      <c r="C1552" s="102"/>
      <c r="D1552" s="62"/>
      <c r="E1552" s="102"/>
      <c r="F1552" s="102"/>
      <c r="G1552" s="102"/>
      <c r="H1552" s="85"/>
      <c r="I1552" s="104"/>
      <c r="J1552" s="144"/>
      <c r="K1552" s="61"/>
    </row>
    <row r="1553" spans="1:27" x14ac:dyDescent="0.15">
      <c r="A1553" s="224"/>
      <c r="B1553" s="82"/>
      <c r="C1553" s="107"/>
      <c r="D1553" s="62"/>
      <c r="E1553" s="107"/>
      <c r="F1553" s="107"/>
      <c r="G1553" s="107"/>
      <c r="H1553" s="85"/>
      <c r="I1553" s="104"/>
      <c r="J1553" s="144"/>
      <c r="K1553" s="61"/>
    </row>
    <row r="1554" spans="1:27" x14ac:dyDescent="0.15">
      <c r="A1554" s="224"/>
      <c r="B1554" s="93"/>
      <c r="C1554" s="102"/>
      <c r="D1554" s="62"/>
      <c r="E1554" s="102"/>
      <c r="F1554" s="102"/>
      <c r="G1554" s="102"/>
      <c r="H1554" s="85"/>
      <c r="I1554" s="104"/>
      <c r="J1554" s="144"/>
      <c r="K1554" s="61"/>
    </row>
    <row r="1555" spans="1:27" x14ac:dyDescent="0.15">
      <c r="A1555" s="224"/>
      <c r="B1555" s="93"/>
      <c r="C1555" s="102"/>
      <c r="D1555" s="62"/>
      <c r="E1555" s="102"/>
      <c r="F1555" s="102"/>
      <c r="G1555" s="102"/>
      <c r="H1555" s="85"/>
      <c r="I1555" s="104"/>
      <c r="J1555" s="144"/>
      <c r="K1555" s="61"/>
    </row>
    <row r="1556" spans="1:27" x14ac:dyDescent="0.15">
      <c r="A1556" s="62"/>
      <c r="B1556" s="93"/>
      <c r="C1556" s="102"/>
      <c r="D1556" s="62"/>
      <c r="E1556" s="102"/>
      <c r="F1556" s="102"/>
      <c r="G1556" s="102"/>
      <c r="H1556" s="85"/>
      <c r="I1556" s="104"/>
      <c r="J1556" s="144"/>
      <c r="K1556" s="61"/>
    </row>
    <row r="1557" spans="1:27" x14ac:dyDescent="0.15">
      <c r="A1557" s="62"/>
      <c r="B1557" s="93"/>
      <c r="C1557" s="102"/>
      <c r="D1557" s="62"/>
      <c r="E1557" s="102"/>
      <c r="F1557" s="102"/>
      <c r="G1557" s="102"/>
      <c r="H1557" s="85"/>
      <c r="I1557" s="104"/>
      <c r="J1557" s="144"/>
      <c r="K1557" s="61"/>
    </row>
    <row r="1558" spans="1:27" x14ac:dyDescent="0.15">
      <c r="A1558" s="62"/>
      <c r="B1558" s="93"/>
      <c r="C1558" s="102"/>
      <c r="D1558" s="62"/>
      <c r="E1558" s="102"/>
      <c r="F1558" s="102"/>
      <c r="G1558" s="102"/>
      <c r="H1558" s="85"/>
      <c r="I1558" s="104"/>
      <c r="J1558" s="144"/>
      <c r="K1558" s="61"/>
    </row>
    <row r="1559" spans="1:27" x14ac:dyDescent="0.15">
      <c r="A1559" s="62"/>
      <c r="B1559" s="93"/>
      <c r="C1559" s="102"/>
      <c r="D1559" s="62"/>
      <c r="E1559" s="102"/>
      <c r="F1559" s="102"/>
      <c r="G1559" s="102"/>
      <c r="H1559" s="85"/>
      <c r="I1559" s="104"/>
      <c r="J1559" s="144"/>
      <c r="K1559" s="61"/>
    </row>
    <row r="1560" spans="1:27" x14ac:dyDescent="0.15">
      <c r="A1560" s="62"/>
      <c r="B1560" s="93"/>
      <c r="C1560" s="102"/>
      <c r="D1560" s="62"/>
      <c r="E1560" s="102"/>
      <c r="F1560" s="102"/>
      <c r="G1560" s="102"/>
      <c r="H1560" s="85"/>
      <c r="I1560" s="104"/>
      <c r="J1560" s="144"/>
      <c r="K1560" s="61"/>
    </row>
    <row r="1561" spans="1:27" x14ac:dyDescent="0.15">
      <c r="A1561" s="62"/>
      <c r="B1561" s="93"/>
      <c r="C1561" s="102"/>
      <c r="D1561" s="62"/>
      <c r="E1561" s="102"/>
      <c r="F1561" s="102"/>
      <c r="G1561" s="102"/>
      <c r="H1561" s="85"/>
      <c r="I1561" s="104"/>
      <c r="J1561" s="144"/>
      <c r="K1561" s="61"/>
    </row>
    <row r="1562" spans="1:27" x14ac:dyDescent="0.15">
      <c r="A1562" s="62"/>
      <c r="B1562" s="93"/>
      <c r="C1562" s="102"/>
      <c r="D1562" s="62"/>
      <c r="E1562" s="102"/>
      <c r="F1562" s="102"/>
      <c r="G1562" s="102"/>
      <c r="H1562" s="85"/>
      <c r="I1562" s="104"/>
      <c r="J1562" s="144"/>
      <c r="K1562" s="61"/>
    </row>
    <row r="1563" spans="1:27" x14ac:dyDescent="0.15">
      <c r="A1563" s="62"/>
      <c r="B1563" s="93"/>
      <c r="C1563" s="102"/>
      <c r="D1563" s="62"/>
      <c r="E1563" s="102"/>
      <c r="F1563" s="102"/>
      <c r="G1563" s="102"/>
      <c r="H1563" s="85"/>
      <c r="I1563" s="104"/>
      <c r="J1563" s="144"/>
      <c r="K1563" s="61"/>
    </row>
    <row r="1564" spans="1:27" s="15" customFormat="1" x14ac:dyDescent="0.15">
      <c r="A1564" s="62"/>
      <c r="B1564" s="93"/>
      <c r="C1564" s="102"/>
      <c r="D1564" s="62"/>
      <c r="E1564" s="102"/>
      <c r="F1564" s="102"/>
      <c r="G1564" s="102"/>
      <c r="H1564" s="85"/>
      <c r="I1564" s="104"/>
      <c r="J1564" s="144"/>
      <c r="K1564" s="61"/>
      <c r="L1564" s="49"/>
      <c r="M1564" s="37"/>
      <c r="N1564" s="37"/>
      <c r="O1564" s="37"/>
      <c r="P1564" s="3"/>
      <c r="Q1564" s="3"/>
      <c r="R1564" s="3"/>
      <c r="S1564" s="3"/>
      <c r="T1564" s="3"/>
      <c r="U1564" s="3"/>
      <c r="V1564" s="3"/>
      <c r="W1564" s="3"/>
      <c r="X1564" s="3"/>
      <c r="Y1564" s="4"/>
      <c r="Z1564"/>
      <c r="AA1564"/>
    </row>
    <row r="1565" spans="1:27" x14ac:dyDescent="0.15">
      <c r="A1565" s="62"/>
      <c r="B1565" s="93"/>
      <c r="C1565" s="102"/>
      <c r="D1565" s="62"/>
      <c r="E1565" s="102"/>
      <c r="F1565" s="102"/>
      <c r="G1565" s="102"/>
      <c r="H1565" s="85"/>
      <c r="I1565" s="104"/>
      <c r="J1565" s="144"/>
      <c r="K1565" s="61"/>
    </row>
    <row r="1566" spans="1:27" x14ac:dyDescent="0.15">
      <c r="A1566" s="62"/>
      <c r="B1566" s="93"/>
      <c r="C1566" s="102"/>
      <c r="D1566" s="62"/>
      <c r="E1566" s="102"/>
      <c r="F1566" s="102"/>
      <c r="G1566" s="102"/>
      <c r="H1566" s="85"/>
      <c r="I1566" s="104"/>
      <c r="J1566" s="144"/>
      <c r="K1566" s="61"/>
    </row>
    <row r="1567" spans="1:27" x14ac:dyDescent="0.15">
      <c r="A1567" s="62"/>
      <c r="B1567" s="93"/>
      <c r="C1567" s="102"/>
      <c r="D1567" s="62"/>
      <c r="E1567" s="102"/>
      <c r="F1567" s="102"/>
      <c r="G1567" s="102"/>
      <c r="H1567" s="85"/>
      <c r="I1567" s="104"/>
      <c r="J1567" s="144"/>
      <c r="K1567" s="61"/>
    </row>
    <row r="1568" spans="1:27" x14ac:dyDescent="0.15">
      <c r="A1568" s="165"/>
      <c r="B1568" s="93"/>
      <c r="C1568" s="102"/>
      <c r="D1568" s="62"/>
      <c r="E1568" s="102"/>
      <c r="F1568" s="102"/>
      <c r="G1568" s="102"/>
      <c r="H1568" s="85"/>
      <c r="I1568" s="104"/>
      <c r="J1568" s="144"/>
      <c r="K1568" s="62"/>
    </row>
    <row r="1569" spans="1:27" x14ac:dyDescent="0.15">
      <c r="A1569" s="165"/>
      <c r="B1569" s="93"/>
      <c r="C1569" s="102"/>
      <c r="D1569" s="62"/>
      <c r="E1569" s="102"/>
      <c r="F1569" s="102"/>
      <c r="G1569" s="102"/>
      <c r="H1569" s="98"/>
      <c r="I1569" s="98"/>
      <c r="J1569" s="135"/>
      <c r="K1569" s="61"/>
    </row>
    <row r="1570" spans="1:27" s="15" customFormat="1" x14ac:dyDescent="0.15">
      <c r="A1570" s="165"/>
      <c r="B1570" s="93"/>
      <c r="C1570" s="102"/>
      <c r="D1570" s="62"/>
      <c r="E1570" s="102"/>
      <c r="F1570" s="102"/>
      <c r="G1570" s="102"/>
      <c r="H1570" s="98"/>
      <c r="I1570" s="98"/>
      <c r="J1570" s="135"/>
      <c r="K1570" s="61"/>
      <c r="L1570" s="49"/>
      <c r="M1570" s="37"/>
      <c r="N1570" s="37"/>
      <c r="O1570" s="37"/>
      <c r="P1570" s="3"/>
      <c r="Q1570" s="3"/>
      <c r="R1570" s="3"/>
      <c r="S1570" s="3"/>
      <c r="T1570" s="3"/>
      <c r="U1570" s="3"/>
      <c r="V1570" s="3"/>
      <c r="W1570" s="3"/>
      <c r="X1570" s="3"/>
      <c r="Y1570" s="4"/>
      <c r="Z1570"/>
      <c r="AA1570"/>
    </row>
    <row r="1571" spans="1:27" x14ac:dyDescent="0.15">
      <c r="A1571" s="165"/>
      <c r="B1571" s="93"/>
      <c r="C1571" s="102"/>
      <c r="D1571" s="62"/>
      <c r="E1571" s="102"/>
      <c r="F1571" s="102"/>
      <c r="G1571" s="102"/>
      <c r="H1571" s="98"/>
      <c r="I1571" s="98"/>
      <c r="J1571" s="135"/>
      <c r="K1571" s="61"/>
    </row>
    <row r="1572" spans="1:27" s="15" customFormat="1" x14ac:dyDescent="0.15">
      <c r="A1572" s="165"/>
      <c r="B1572" s="93"/>
      <c r="C1572" s="102"/>
      <c r="D1572" s="62"/>
      <c r="E1572" s="102"/>
      <c r="F1572" s="102"/>
      <c r="G1572" s="102"/>
      <c r="H1572" s="98"/>
      <c r="I1572" s="98"/>
      <c r="J1572" s="135"/>
      <c r="K1572" s="61"/>
      <c r="L1572" s="49"/>
      <c r="M1572" s="37"/>
      <c r="N1572" s="37"/>
      <c r="O1572" s="37"/>
      <c r="P1572" s="3"/>
      <c r="Q1572" s="3"/>
      <c r="R1572" s="3"/>
      <c r="S1572" s="3"/>
      <c r="T1572" s="3"/>
      <c r="U1572" s="3"/>
      <c r="V1572" s="3"/>
      <c r="W1572" s="3"/>
      <c r="X1572" s="3"/>
      <c r="Y1572" s="4"/>
      <c r="Z1572"/>
      <c r="AA1572"/>
    </row>
    <row r="1573" spans="1:27" x14ac:dyDescent="0.15">
      <c r="A1573" s="165"/>
      <c r="B1573" s="93"/>
      <c r="C1573" s="102"/>
      <c r="D1573" s="62"/>
      <c r="E1573" s="102"/>
      <c r="F1573" s="102"/>
      <c r="G1573" s="102"/>
      <c r="H1573" s="98"/>
      <c r="I1573" s="98"/>
      <c r="J1573" s="135"/>
      <c r="K1573" s="61"/>
    </row>
    <row r="1574" spans="1:27" x14ac:dyDescent="0.15">
      <c r="A1574" s="165"/>
      <c r="B1574" s="93"/>
      <c r="C1574" s="102"/>
      <c r="D1574" s="62"/>
      <c r="E1574" s="102"/>
      <c r="F1574" s="102"/>
      <c r="G1574" s="102"/>
      <c r="H1574" s="98"/>
      <c r="I1574" s="98"/>
      <c r="J1574" s="135"/>
      <c r="K1574" s="61"/>
    </row>
    <row r="1575" spans="1:27" x14ac:dyDescent="0.15">
      <c r="A1575" s="165"/>
      <c r="B1575" s="93"/>
      <c r="C1575" s="102"/>
      <c r="D1575" s="62"/>
      <c r="E1575" s="102"/>
      <c r="F1575" s="102"/>
      <c r="G1575" s="102"/>
      <c r="H1575" s="98"/>
      <c r="I1575" s="98"/>
      <c r="J1575" s="135"/>
      <c r="K1575" s="61"/>
    </row>
    <row r="1576" spans="1:27" x14ac:dyDescent="0.15">
      <c r="A1576" s="165"/>
      <c r="B1576" s="93"/>
      <c r="C1576" s="102"/>
      <c r="D1576" s="62"/>
      <c r="E1576" s="102"/>
      <c r="F1576" s="102"/>
      <c r="G1576" s="102"/>
      <c r="H1576" s="98"/>
      <c r="I1576" s="98"/>
      <c r="J1576" s="135"/>
      <c r="K1576" s="61"/>
    </row>
    <row r="1577" spans="1:27" x14ac:dyDescent="0.15">
      <c r="A1577" s="165"/>
      <c r="B1577" s="93"/>
      <c r="C1577" s="102"/>
      <c r="D1577" s="62"/>
      <c r="E1577" s="102"/>
      <c r="F1577" s="102"/>
      <c r="G1577" s="102"/>
      <c r="H1577" s="85"/>
      <c r="I1577" s="104"/>
      <c r="J1577" s="144"/>
      <c r="K1577" s="61"/>
    </row>
    <row r="1578" spans="1:27" x14ac:dyDescent="0.15">
      <c r="A1578" s="165"/>
      <c r="B1578" s="93"/>
      <c r="C1578" s="102"/>
      <c r="D1578" s="62"/>
      <c r="E1578" s="102"/>
      <c r="F1578" s="102"/>
      <c r="G1578" s="102"/>
      <c r="H1578" s="85"/>
      <c r="I1578" s="104"/>
      <c r="J1578" s="144"/>
      <c r="K1578" s="61"/>
    </row>
    <row r="1579" spans="1:27" x14ac:dyDescent="0.15">
      <c r="A1579" s="165"/>
      <c r="B1579" s="93"/>
      <c r="C1579" s="102"/>
      <c r="D1579" s="62"/>
      <c r="E1579" s="102"/>
      <c r="F1579" s="102"/>
      <c r="G1579" s="102"/>
      <c r="H1579" s="85"/>
      <c r="I1579" s="104"/>
      <c r="J1579" s="144"/>
      <c r="K1579" s="61"/>
    </row>
    <row r="1580" spans="1:27" x14ac:dyDescent="0.15">
      <c r="A1580" s="165"/>
      <c r="B1580" s="93"/>
      <c r="C1580" s="102"/>
      <c r="D1580" s="62"/>
      <c r="E1580" s="102"/>
      <c r="F1580" s="102"/>
      <c r="G1580" s="102"/>
      <c r="H1580" s="85"/>
      <c r="I1580" s="104"/>
      <c r="J1580" s="144"/>
      <c r="K1580" s="61"/>
    </row>
    <row r="1581" spans="1:27" x14ac:dyDescent="0.15">
      <c r="A1581" s="165"/>
      <c r="B1581" s="93"/>
      <c r="C1581" s="102"/>
      <c r="D1581" s="62"/>
      <c r="E1581" s="102"/>
      <c r="F1581" s="102"/>
      <c r="G1581" s="102"/>
      <c r="H1581" s="85"/>
      <c r="I1581" s="104"/>
      <c r="J1581" s="144"/>
      <c r="K1581" s="61"/>
    </row>
    <row r="1582" spans="1:27" x14ac:dyDescent="0.15">
      <c r="A1582" s="165"/>
      <c r="B1582" s="93"/>
      <c r="C1582" s="102"/>
      <c r="D1582" s="62"/>
      <c r="E1582" s="102"/>
      <c r="F1582" s="102"/>
      <c r="G1582" s="102"/>
      <c r="H1582" s="85"/>
      <c r="I1582" s="104"/>
      <c r="J1582" s="144"/>
      <c r="K1582" s="61"/>
    </row>
    <row r="1583" spans="1:27" x14ac:dyDescent="0.15">
      <c r="A1583" s="165"/>
      <c r="B1583" s="93"/>
      <c r="C1583" s="102"/>
      <c r="D1583" s="62"/>
      <c r="E1583" s="102"/>
      <c r="F1583" s="102"/>
      <c r="G1583" s="102"/>
      <c r="H1583" s="85"/>
      <c r="I1583" s="104"/>
      <c r="J1583" s="144"/>
      <c r="K1583" s="61"/>
      <c r="P1583" s="14"/>
      <c r="Q1583" s="14"/>
    </row>
    <row r="1584" spans="1:27" x14ac:dyDescent="0.15">
      <c r="A1584" s="165"/>
      <c r="B1584" s="93"/>
      <c r="C1584" s="102"/>
      <c r="D1584" s="62"/>
      <c r="E1584" s="102"/>
      <c r="F1584" s="102"/>
      <c r="G1584" s="102"/>
      <c r="H1584" s="85"/>
      <c r="I1584" s="104"/>
      <c r="J1584" s="144"/>
      <c r="K1584" s="61"/>
    </row>
    <row r="1585" spans="1:27" x14ac:dyDescent="0.15">
      <c r="A1585" s="165"/>
      <c r="B1585" s="93"/>
      <c r="C1585" s="102"/>
      <c r="D1585" s="62"/>
      <c r="E1585" s="102"/>
      <c r="F1585" s="102"/>
      <c r="G1585" s="102"/>
      <c r="H1585" s="98"/>
      <c r="I1585" s="98"/>
      <c r="J1585" s="135"/>
      <c r="K1585" s="61"/>
    </row>
    <row r="1586" spans="1:27" x14ac:dyDescent="0.15">
      <c r="A1586" s="165"/>
      <c r="B1586" s="93"/>
      <c r="C1586" s="102"/>
      <c r="D1586" s="62"/>
      <c r="E1586" s="102"/>
      <c r="F1586" s="102"/>
      <c r="G1586" s="102"/>
      <c r="H1586" s="85"/>
      <c r="I1586" s="104"/>
      <c r="J1586" s="144"/>
      <c r="K1586" s="61"/>
    </row>
    <row r="1587" spans="1:27" x14ac:dyDescent="0.15">
      <c r="A1587" s="165"/>
      <c r="B1587" s="93"/>
      <c r="C1587" s="102"/>
      <c r="D1587" s="62"/>
      <c r="E1587" s="102"/>
      <c r="F1587" s="102"/>
      <c r="G1587" s="102"/>
      <c r="H1587" s="85"/>
      <c r="I1587" s="104"/>
      <c r="J1587" s="144"/>
      <c r="K1587" s="61"/>
    </row>
    <row r="1588" spans="1:27" x14ac:dyDescent="0.15">
      <c r="A1588" s="165"/>
      <c r="B1588" s="93"/>
      <c r="C1588" s="102"/>
      <c r="D1588" s="62"/>
      <c r="E1588" s="102"/>
      <c r="F1588" s="102"/>
      <c r="G1588" s="102"/>
      <c r="H1588" s="85"/>
      <c r="I1588" s="104"/>
      <c r="J1588" s="144"/>
      <c r="K1588" s="61"/>
    </row>
    <row r="1589" spans="1:27" x14ac:dyDescent="0.15">
      <c r="A1589" s="165"/>
      <c r="B1589" s="93"/>
      <c r="C1589" s="102"/>
      <c r="D1589" s="62"/>
      <c r="E1589" s="102"/>
      <c r="F1589" s="102"/>
      <c r="G1589" s="102"/>
      <c r="H1589" s="85"/>
      <c r="I1589" s="104"/>
      <c r="J1589" s="144"/>
      <c r="K1589" s="61"/>
    </row>
    <row r="1590" spans="1:27" x14ac:dyDescent="0.15">
      <c r="A1590" s="165"/>
      <c r="B1590" s="93"/>
      <c r="C1590" s="102"/>
      <c r="D1590" s="62"/>
      <c r="E1590" s="102"/>
      <c r="F1590" s="102"/>
      <c r="G1590" s="102"/>
      <c r="H1590" s="85"/>
      <c r="I1590" s="104"/>
      <c r="J1590" s="144"/>
      <c r="K1590" s="61"/>
    </row>
    <row r="1591" spans="1:27" x14ac:dyDescent="0.15">
      <c r="A1591" s="165"/>
      <c r="B1591" s="93"/>
      <c r="C1591" s="102"/>
      <c r="D1591" s="62"/>
      <c r="E1591" s="102"/>
      <c r="F1591" s="102"/>
      <c r="G1591" s="102"/>
      <c r="H1591" s="85"/>
      <c r="I1591" s="104"/>
      <c r="J1591" s="144"/>
      <c r="K1591" s="61"/>
    </row>
    <row r="1592" spans="1:27" x14ac:dyDescent="0.15">
      <c r="A1592" s="165"/>
      <c r="B1592" s="93"/>
      <c r="C1592" s="102"/>
      <c r="D1592" s="62"/>
      <c r="E1592" s="102"/>
      <c r="F1592" s="102"/>
      <c r="G1592" s="102"/>
      <c r="H1592" s="85"/>
      <c r="I1592" s="104"/>
      <c r="J1592" s="144"/>
      <c r="K1592" s="61"/>
    </row>
    <row r="1593" spans="1:27" x14ac:dyDescent="0.15">
      <c r="A1593" s="165"/>
      <c r="B1593" s="93"/>
      <c r="C1593" s="102"/>
      <c r="D1593" s="62"/>
      <c r="E1593" s="102"/>
      <c r="F1593" s="102"/>
      <c r="G1593" s="102"/>
      <c r="H1593" s="85"/>
      <c r="I1593" s="104"/>
      <c r="J1593" s="144"/>
      <c r="K1593" s="61"/>
    </row>
    <row r="1594" spans="1:27" x14ac:dyDescent="0.15">
      <c r="A1594" s="165"/>
      <c r="B1594" s="93"/>
      <c r="C1594" s="102"/>
      <c r="D1594" s="62"/>
      <c r="E1594" s="102"/>
      <c r="F1594" s="102"/>
      <c r="G1594" s="102"/>
      <c r="H1594" s="85"/>
      <c r="I1594" s="104"/>
      <c r="J1594" s="144"/>
      <c r="K1594" s="61"/>
    </row>
    <row r="1595" spans="1:27" x14ac:dyDescent="0.15">
      <c r="A1595" s="165"/>
      <c r="B1595" s="93"/>
      <c r="C1595" s="102"/>
      <c r="D1595" s="62"/>
      <c r="E1595" s="102"/>
      <c r="F1595" s="102"/>
      <c r="G1595" s="102"/>
      <c r="H1595" s="98"/>
      <c r="I1595" s="98"/>
      <c r="J1595" s="135"/>
      <c r="K1595" s="61"/>
    </row>
    <row r="1596" spans="1:27" x14ac:dyDescent="0.15">
      <c r="A1596" s="165"/>
      <c r="B1596" s="93"/>
      <c r="C1596" s="102"/>
      <c r="D1596" s="62"/>
      <c r="E1596" s="102"/>
      <c r="F1596" s="102"/>
      <c r="G1596" s="102"/>
      <c r="H1596" s="85"/>
      <c r="I1596" s="104"/>
      <c r="J1596" s="144"/>
      <c r="K1596" s="61"/>
    </row>
    <row r="1597" spans="1:27" s="15" customFormat="1" x14ac:dyDescent="0.15">
      <c r="A1597" s="165"/>
      <c r="B1597" s="93"/>
      <c r="C1597" s="102"/>
      <c r="D1597" s="62"/>
      <c r="E1597" s="102"/>
      <c r="F1597" s="102"/>
      <c r="G1597" s="102"/>
      <c r="H1597" s="85"/>
      <c r="I1597" s="104"/>
      <c r="J1597" s="144"/>
      <c r="K1597" s="61"/>
      <c r="L1597" s="49"/>
      <c r="M1597" s="37"/>
      <c r="N1597" s="37"/>
      <c r="O1597" s="37"/>
      <c r="P1597" s="3"/>
      <c r="Q1597" s="3"/>
      <c r="R1597" s="3"/>
      <c r="S1597" s="3"/>
      <c r="T1597" s="3"/>
      <c r="U1597" s="3"/>
      <c r="V1597" s="3"/>
      <c r="W1597" s="3"/>
      <c r="X1597" s="3"/>
      <c r="Y1597" s="4"/>
      <c r="Z1597"/>
      <c r="AA1597"/>
    </row>
    <row r="1598" spans="1:27" s="15" customFormat="1" x14ac:dyDescent="0.15">
      <c r="A1598" s="165"/>
      <c r="B1598" s="93"/>
      <c r="C1598" s="102"/>
      <c r="D1598" s="62"/>
      <c r="E1598" s="102"/>
      <c r="F1598" s="102"/>
      <c r="G1598" s="102"/>
      <c r="H1598" s="85"/>
      <c r="I1598" s="104"/>
      <c r="J1598" s="144"/>
      <c r="K1598" s="61"/>
      <c r="L1598" s="49"/>
      <c r="M1598" s="37"/>
      <c r="N1598" s="37"/>
      <c r="O1598" s="37"/>
      <c r="P1598" s="3"/>
      <c r="Q1598" s="3"/>
      <c r="R1598" s="3"/>
      <c r="S1598" s="3"/>
      <c r="T1598" s="3"/>
      <c r="U1598" s="3"/>
      <c r="V1598" s="3"/>
      <c r="W1598" s="3"/>
      <c r="X1598" s="3"/>
      <c r="Y1598" s="4"/>
      <c r="Z1598"/>
      <c r="AA1598"/>
    </row>
    <row r="1599" spans="1:27" s="49" customFormat="1" x14ac:dyDescent="0.15">
      <c r="A1599" s="165"/>
      <c r="B1599" s="93"/>
      <c r="C1599" s="102"/>
      <c r="D1599" s="62"/>
      <c r="E1599" s="102"/>
      <c r="F1599" s="102"/>
      <c r="G1599" s="102"/>
      <c r="H1599" s="85"/>
      <c r="I1599" s="104"/>
      <c r="J1599" s="144"/>
      <c r="K1599" s="61"/>
      <c r="M1599" s="37"/>
      <c r="N1599" s="37"/>
      <c r="O1599" s="37"/>
      <c r="P1599" s="3"/>
      <c r="Q1599" s="3"/>
      <c r="R1599" s="3"/>
      <c r="S1599" s="3"/>
      <c r="T1599" s="3"/>
      <c r="U1599" s="3"/>
      <c r="V1599" s="3"/>
      <c r="W1599" s="3"/>
      <c r="X1599" s="3"/>
      <c r="Y1599" s="4"/>
      <c r="Z1599"/>
      <c r="AA1599"/>
    </row>
    <row r="1600" spans="1:27" s="49" customFormat="1" x14ac:dyDescent="0.15">
      <c r="A1600" s="165"/>
      <c r="B1600" s="93"/>
      <c r="C1600" s="102"/>
      <c r="D1600" s="62"/>
      <c r="E1600" s="102"/>
      <c r="F1600" s="102"/>
      <c r="G1600" s="102"/>
      <c r="H1600" s="85"/>
      <c r="I1600" s="104"/>
      <c r="J1600" s="144"/>
      <c r="K1600" s="61"/>
      <c r="M1600" s="37"/>
      <c r="N1600" s="37"/>
      <c r="O1600" s="37"/>
      <c r="P1600" s="3"/>
      <c r="Q1600" s="3"/>
      <c r="R1600" s="3"/>
      <c r="S1600" s="3"/>
      <c r="T1600" s="3"/>
      <c r="U1600" s="3"/>
      <c r="V1600" s="3"/>
      <c r="W1600" s="3"/>
      <c r="X1600" s="3"/>
      <c r="Y1600" s="4"/>
      <c r="Z1600"/>
      <c r="AA1600"/>
    </row>
    <row r="1601" spans="1:27" s="49" customFormat="1" x14ac:dyDescent="0.15">
      <c r="A1601" s="165"/>
      <c r="B1601" s="93"/>
      <c r="C1601" s="102"/>
      <c r="D1601" s="62"/>
      <c r="E1601" s="102"/>
      <c r="F1601" s="102"/>
      <c r="G1601" s="102"/>
      <c r="H1601" s="85"/>
      <c r="I1601" s="104"/>
      <c r="J1601" s="144"/>
      <c r="K1601" s="61"/>
      <c r="M1601" s="37"/>
      <c r="N1601" s="37"/>
      <c r="O1601" s="37"/>
      <c r="P1601" s="3"/>
      <c r="Q1601" s="3"/>
      <c r="R1601" s="3"/>
      <c r="S1601" s="3"/>
      <c r="T1601" s="3"/>
      <c r="U1601" s="3"/>
      <c r="V1601" s="3"/>
      <c r="W1601" s="3"/>
      <c r="X1601" s="3"/>
      <c r="Y1601" s="4"/>
      <c r="Z1601"/>
      <c r="AA1601"/>
    </row>
    <row r="1602" spans="1:27" s="49" customFormat="1" x14ac:dyDescent="0.15">
      <c r="A1602" s="165"/>
      <c r="B1602" s="93"/>
      <c r="C1602" s="102"/>
      <c r="D1602" s="62"/>
      <c r="E1602" s="102"/>
      <c r="F1602" s="102"/>
      <c r="G1602" s="102"/>
      <c r="H1602" s="85"/>
      <c r="I1602" s="104"/>
      <c r="J1602" s="144"/>
      <c r="K1602" s="61"/>
      <c r="M1602" s="37"/>
      <c r="N1602" s="37"/>
      <c r="O1602" s="37"/>
      <c r="P1602" s="3"/>
      <c r="Q1602" s="3"/>
      <c r="R1602" s="3"/>
      <c r="S1602" s="3"/>
      <c r="T1602" s="3"/>
      <c r="U1602" s="3"/>
      <c r="V1602" s="3"/>
      <c r="W1602" s="3"/>
      <c r="X1602" s="3"/>
      <c r="Y1602" s="4"/>
      <c r="Z1602"/>
      <c r="AA1602"/>
    </row>
    <row r="1603" spans="1:27" s="49" customFormat="1" x14ac:dyDescent="0.15">
      <c r="A1603" s="165"/>
      <c r="B1603" s="93"/>
      <c r="C1603" s="102"/>
      <c r="D1603" s="62"/>
      <c r="E1603" s="102"/>
      <c r="F1603" s="102"/>
      <c r="G1603" s="102"/>
      <c r="H1603" s="85"/>
      <c r="I1603" s="104"/>
      <c r="J1603" s="144"/>
      <c r="K1603" s="61"/>
      <c r="M1603" s="37"/>
      <c r="N1603" s="37"/>
      <c r="O1603" s="37"/>
      <c r="P1603" s="3"/>
      <c r="Q1603" s="3"/>
      <c r="R1603" s="3"/>
      <c r="S1603" s="3"/>
      <c r="T1603" s="3"/>
      <c r="U1603" s="3"/>
      <c r="V1603" s="3"/>
      <c r="W1603" s="3"/>
      <c r="X1603" s="3"/>
      <c r="Y1603" s="4"/>
      <c r="Z1603"/>
      <c r="AA1603"/>
    </row>
    <row r="1604" spans="1:27" s="49" customFormat="1" x14ac:dyDescent="0.15">
      <c r="A1604" s="165"/>
      <c r="B1604" s="93"/>
      <c r="C1604" s="102"/>
      <c r="D1604" s="62"/>
      <c r="E1604" s="102"/>
      <c r="F1604" s="102"/>
      <c r="G1604" s="102"/>
      <c r="H1604" s="85"/>
      <c r="I1604" s="104"/>
      <c r="J1604" s="144"/>
      <c r="K1604" s="61"/>
      <c r="M1604" s="37"/>
      <c r="N1604" s="37"/>
      <c r="O1604" s="37"/>
      <c r="P1604" s="3"/>
      <c r="Q1604" s="3"/>
      <c r="R1604" s="3"/>
      <c r="S1604" s="3"/>
      <c r="T1604" s="3"/>
      <c r="U1604" s="3"/>
      <c r="V1604" s="3"/>
      <c r="W1604" s="3"/>
      <c r="X1604" s="3"/>
      <c r="Y1604" s="4"/>
      <c r="Z1604"/>
      <c r="AA1604"/>
    </row>
    <row r="1605" spans="1:27" s="49" customFormat="1" x14ac:dyDescent="0.15">
      <c r="A1605" s="165"/>
      <c r="B1605" s="93"/>
      <c r="C1605" s="102"/>
      <c r="D1605" s="62"/>
      <c r="E1605" s="102"/>
      <c r="F1605" s="102"/>
      <c r="G1605" s="102"/>
      <c r="H1605" s="85"/>
      <c r="I1605" s="104"/>
      <c r="J1605" s="144"/>
      <c r="K1605" s="61"/>
      <c r="M1605" s="37"/>
      <c r="N1605" s="37"/>
      <c r="O1605" s="37"/>
      <c r="P1605" s="3"/>
      <c r="Q1605" s="3"/>
      <c r="R1605" s="3"/>
      <c r="S1605" s="3"/>
      <c r="T1605" s="3"/>
      <c r="U1605" s="3"/>
      <c r="V1605" s="3"/>
      <c r="W1605" s="3"/>
      <c r="X1605" s="3"/>
      <c r="Y1605" s="4"/>
      <c r="Z1605"/>
      <c r="AA1605"/>
    </row>
    <row r="1606" spans="1:27" s="49" customFormat="1" x14ac:dyDescent="0.15">
      <c r="A1606" s="165"/>
      <c r="B1606" s="93"/>
      <c r="C1606" s="102"/>
      <c r="D1606" s="62"/>
      <c r="E1606" s="102"/>
      <c r="F1606" s="102"/>
      <c r="G1606" s="102"/>
      <c r="H1606" s="85"/>
      <c r="I1606" s="104"/>
      <c r="J1606" s="144"/>
      <c r="K1606" s="61"/>
      <c r="M1606" s="37"/>
      <c r="N1606" s="37"/>
      <c r="O1606" s="37"/>
      <c r="P1606" s="3"/>
      <c r="Q1606" s="3"/>
      <c r="R1606" s="3"/>
      <c r="S1606" s="3"/>
      <c r="T1606" s="3"/>
      <c r="U1606" s="3"/>
      <c r="V1606" s="3"/>
      <c r="W1606" s="3"/>
      <c r="X1606" s="3"/>
      <c r="Y1606" s="4"/>
      <c r="Z1606"/>
      <c r="AA1606"/>
    </row>
    <row r="1607" spans="1:27" s="49" customFormat="1" x14ac:dyDescent="0.15">
      <c r="A1607" s="165"/>
      <c r="B1607" s="93"/>
      <c r="C1607" s="102"/>
      <c r="D1607" s="62"/>
      <c r="E1607" s="102"/>
      <c r="F1607" s="102"/>
      <c r="G1607" s="102"/>
      <c r="H1607" s="98"/>
      <c r="I1607" s="98"/>
      <c r="J1607" s="135"/>
      <c r="K1607" s="61"/>
      <c r="M1607" s="37"/>
      <c r="N1607" s="37"/>
      <c r="O1607" s="37"/>
      <c r="P1607" s="3"/>
      <c r="Q1607" s="3"/>
      <c r="R1607" s="3"/>
      <c r="S1607" s="3"/>
      <c r="T1607" s="3"/>
      <c r="U1607" s="3"/>
      <c r="V1607" s="3"/>
      <c r="W1607" s="3"/>
      <c r="X1607" s="3"/>
      <c r="Y1607" s="4"/>
      <c r="Z1607"/>
      <c r="AA1607"/>
    </row>
    <row r="1608" spans="1:27" s="49" customFormat="1" x14ac:dyDescent="0.15">
      <c r="A1608" s="165"/>
      <c r="B1608" s="93"/>
      <c r="C1608" s="102"/>
      <c r="D1608" s="62"/>
      <c r="E1608" s="102"/>
      <c r="F1608" s="102"/>
      <c r="G1608" s="102"/>
      <c r="H1608" s="85"/>
      <c r="I1608" s="104"/>
      <c r="J1608" s="144"/>
      <c r="K1608" s="61"/>
      <c r="M1608" s="37"/>
      <c r="N1608" s="37"/>
      <c r="O1608" s="37"/>
      <c r="P1608" s="3"/>
      <c r="Q1608" s="3"/>
      <c r="R1608" s="3"/>
      <c r="S1608" s="3"/>
      <c r="T1608" s="3"/>
      <c r="U1608" s="3"/>
      <c r="V1608" s="3"/>
      <c r="W1608" s="3"/>
      <c r="X1608" s="3"/>
      <c r="Y1608" s="4"/>
      <c r="Z1608"/>
      <c r="AA1608"/>
    </row>
    <row r="1609" spans="1:27" s="49" customFormat="1" x14ac:dyDescent="0.15">
      <c r="A1609" s="165"/>
      <c r="B1609" s="93"/>
      <c r="C1609" s="102"/>
      <c r="D1609" s="62"/>
      <c r="E1609" s="100"/>
      <c r="F1609" s="102"/>
      <c r="G1609" s="102"/>
      <c r="H1609" s="85"/>
      <c r="I1609" s="104"/>
      <c r="J1609" s="144"/>
      <c r="K1609" s="61"/>
      <c r="M1609" s="37"/>
      <c r="N1609" s="37"/>
      <c r="O1609" s="37"/>
      <c r="P1609" s="3"/>
      <c r="Q1609" s="3"/>
      <c r="R1609" s="3"/>
      <c r="S1609" s="3"/>
      <c r="T1609" s="3"/>
      <c r="U1609" s="3"/>
      <c r="V1609" s="3"/>
      <c r="W1609" s="3"/>
      <c r="X1609" s="3"/>
      <c r="Y1609" s="4"/>
      <c r="Z1609"/>
      <c r="AA1609"/>
    </row>
    <row r="1610" spans="1:27" s="49" customFormat="1" x14ac:dyDescent="0.15">
      <c r="A1610" s="165"/>
      <c r="B1610" s="93"/>
      <c r="C1610" s="102"/>
      <c r="D1610" s="62"/>
      <c r="E1610" s="102"/>
      <c r="F1610" s="102"/>
      <c r="G1610" s="102"/>
      <c r="H1610" s="85"/>
      <c r="I1610" s="104"/>
      <c r="J1610" s="144"/>
      <c r="K1610" s="61"/>
      <c r="M1610" s="37"/>
      <c r="N1610" s="37"/>
      <c r="O1610" s="37"/>
      <c r="P1610" s="3"/>
      <c r="Q1610" s="3"/>
      <c r="R1610" s="3"/>
      <c r="S1610" s="3"/>
      <c r="T1610" s="3"/>
      <c r="U1610" s="3"/>
      <c r="V1610" s="3"/>
      <c r="W1610" s="3"/>
      <c r="X1610" s="3"/>
      <c r="Y1610" s="4"/>
      <c r="Z1610"/>
      <c r="AA1610"/>
    </row>
    <row r="1611" spans="1:27" s="49" customFormat="1" x14ac:dyDescent="0.15">
      <c r="A1611" s="165"/>
      <c r="B1611" s="93"/>
      <c r="C1611" s="102"/>
      <c r="D1611" s="62"/>
      <c r="E1611" s="102"/>
      <c r="F1611" s="102"/>
      <c r="G1611" s="102"/>
      <c r="H1611" s="85"/>
      <c r="I1611" s="104"/>
      <c r="J1611" s="144"/>
      <c r="K1611" s="61"/>
      <c r="M1611" s="37"/>
      <c r="N1611" s="37"/>
      <c r="O1611" s="37"/>
      <c r="P1611" s="3"/>
      <c r="Q1611" s="3"/>
      <c r="R1611" s="3"/>
      <c r="S1611" s="3"/>
      <c r="T1611" s="3"/>
      <c r="U1611" s="3"/>
      <c r="V1611" s="3"/>
      <c r="W1611" s="3"/>
      <c r="X1611" s="3"/>
      <c r="Y1611" s="4"/>
      <c r="Z1611"/>
      <c r="AA1611"/>
    </row>
    <row r="1612" spans="1:27" s="49" customFormat="1" x14ac:dyDescent="0.15">
      <c r="A1612" s="165"/>
      <c r="B1612" s="93"/>
      <c r="C1612" s="102"/>
      <c r="D1612" s="62"/>
      <c r="E1612" s="102"/>
      <c r="F1612" s="102"/>
      <c r="G1612" s="102"/>
      <c r="H1612" s="85"/>
      <c r="I1612" s="104"/>
      <c r="J1612" s="144"/>
      <c r="K1612" s="61"/>
      <c r="M1612" s="37"/>
      <c r="N1612" s="37"/>
      <c r="O1612" s="37"/>
      <c r="P1612" s="3"/>
      <c r="Q1612" s="3"/>
      <c r="R1612" s="3"/>
      <c r="S1612" s="3"/>
      <c r="T1612" s="3"/>
      <c r="U1612" s="3"/>
      <c r="V1612" s="3"/>
      <c r="W1612" s="3"/>
      <c r="X1612" s="3"/>
      <c r="Y1612" s="4"/>
      <c r="Z1612"/>
      <c r="AA1612"/>
    </row>
    <row r="1613" spans="1:27" s="49" customFormat="1" x14ac:dyDescent="0.15">
      <c r="A1613" s="165"/>
      <c r="B1613" s="93"/>
      <c r="C1613" s="102"/>
      <c r="D1613" s="62"/>
      <c r="E1613" s="102"/>
      <c r="F1613" s="102"/>
      <c r="G1613" s="102"/>
      <c r="H1613" s="85"/>
      <c r="I1613" s="104"/>
      <c r="J1613" s="144"/>
      <c r="K1613" s="61"/>
      <c r="M1613" s="37"/>
      <c r="N1613" s="37"/>
      <c r="O1613" s="37"/>
      <c r="P1613" s="3"/>
      <c r="Q1613" s="3"/>
      <c r="R1613" s="3"/>
      <c r="S1613" s="3"/>
      <c r="T1613" s="3"/>
      <c r="U1613" s="3"/>
      <c r="V1613" s="3"/>
      <c r="W1613" s="3"/>
      <c r="X1613" s="3"/>
      <c r="Y1613" s="4"/>
      <c r="Z1613"/>
      <c r="AA1613"/>
    </row>
    <row r="1614" spans="1:27" s="49" customFormat="1" x14ac:dyDescent="0.15">
      <c r="A1614" s="165"/>
      <c r="B1614" s="93"/>
      <c r="C1614" s="102"/>
      <c r="D1614" s="62"/>
      <c r="E1614" s="102"/>
      <c r="F1614" s="102"/>
      <c r="G1614" s="102"/>
      <c r="H1614" s="85"/>
      <c r="I1614" s="104"/>
      <c r="J1614" s="144"/>
      <c r="K1614" s="61"/>
      <c r="M1614" s="37"/>
      <c r="N1614" s="37"/>
      <c r="O1614" s="37"/>
      <c r="P1614" s="3"/>
      <c r="Q1614" s="3"/>
      <c r="R1614" s="3"/>
      <c r="S1614" s="3"/>
      <c r="T1614" s="3"/>
      <c r="U1614" s="3"/>
      <c r="V1614" s="3"/>
      <c r="W1614" s="3"/>
      <c r="X1614" s="3"/>
      <c r="Y1614" s="4"/>
      <c r="Z1614"/>
      <c r="AA1614"/>
    </row>
    <row r="1615" spans="1:27" x14ac:dyDescent="0.15">
      <c r="A1615" s="165"/>
      <c r="B1615" s="93"/>
      <c r="C1615" s="102"/>
      <c r="D1615" s="62"/>
      <c r="E1615" s="102"/>
      <c r="F1615" s="102"/>
      <c r="G1615" s="102"/>
      <c r="H1615" s="85"/>
      <c r="I1615" s="98"/>
      <c r="J1615" s="135"/>
      <c r="K1615" s="61"/>
    </row>
    <row r="1616" spans="1:27" x14ac:dyDescent="0.15">
      <c r="A1616" s="165"/>
      <c r="B1616" s="93"/>
      <c r="C1616" s="102"/>
      <c r="D1616" s="62"/>
      <c r="E1616" s="102"/>
      <c r="F1616" s="102"/>
      <c r="G1616" s="102"/>
      <c r="H1616" s="85"/>
      <c r="I1616" s="104"/>
      <c r="J1616" s="144"/>
      <c r="K1616" s="61"/>
    </row>
    <row r="1617" spans="1:27" x14ac:dyDescent="0.15">
      <c r="A1617" s="165"/>
      <c r="B1617" s="93"/>
      <c r="C1617" s="102"/>
      <c r="D1617" s="62"/>
      <c r="E1617" s="102"/>
      <c r="F1617" s="102"/>
      <c r="G1617" s="102"/>
      <c r="H1617" s="85"/>
      <c r="I1617" s="104"/>
      <c r="J1617" s="144"/>
      <c r="K1617" s="61"/>
    </row>
    <row r="1618" spans="1:27" x14ac:dyDescent="0.15">
      <c r="A1618" s="165"/>
      <c r="B1618" s="93"/>
      <c r="C1618" s="102"/>
      <c r="D1618" s="62"/>
      <c r="E1618" s="102"/>
      <c r="F1618" s="102"/>
      <c r="G1618" s="102"/>
      <c r="H1618" s="85"/>
      <c r="I1618" s="104"/>
      <c r="J1618" s="144"/>
      <c r="K1618" s="61"/>
    </row>
    <row r="1619" spans="1:27" x14ac:dyDescent="0.15">
      <c r="A1619" s="165"/>
      <c r="B1619" s="93"/>
      <c r="C1619" s="102"/>
      <c r="D1619" s="62"/>
      <c r="E1619" s="102"/>
      <c r="F1619" s="102"/>
      <c r="G1619" s="102"/>
      <c r="H1619" s="98"/>
      <c r="I1619" s="98"/>
      <c r="J1619" s="135"/>
      <c r="K1619" s="61"/>
    </row>
    <row r="1620" spans="1:27" x14ac:dyDescent="0.15">
      <c r="A1620" s="165"/>
      <c r="B1620" s="93"/>
      <c r="C1620" s="102"/>
      <c r="D1620" s="62"/>
      <c r="E1620" s="102"/>
      <c r="F1620" s="102"/>
      <c r="G1620" s="102"/>
      <c r="H1620" s="98"/>
      <c r="I1620" s="98"/>
      <c r="J1620" s="135"/>
      <c r="K1620" s="61"/>
    </row>
    <row r="1621" spans="1:27" s="13" customFormat="1" x14ac:dyDescent="0.15">
      <c r="A1621" s="165"/>
      <c r="B1621" s="93"/>
      <c r="C1621" s="102"/>
      <c r="D1621" s="62"/>
      <c r="E1621" s="102"/>
      <c r="F1621" s="102"/>
      <c r="G1621" s="102"/>
      <c r="H1621" s="85"/>
      <c r="I1621" s="104"/>
      <c r="J1621" s="144"/>
      <c r="K1621" s="61"/>
      <c r="L1621" s="49"/>
      <c r="M1621" s="37"/>
      <c r="N1621" s="37"/>
      <c r="O1621" s="37"/>
      <c r="P1621" s="3"/>
      <c r="Q1621" s="3"/>
      <c r="R1621" s="3"/>
      <c r="S1621" s="3"/>
      <c r="T1621" s="3"/>
      <c r="U1621" s="3"/>
      <c r="V1621" s="3"/>
      <c r="W1621" s="3"/>
      <c r="X1621" s="3"/>
      <c r="Y1621" s="4"/>
      <c r="Z1621"/>
      <c r="AA1621"/>
    </row>
    <row r="1622" spans="1:27" x14ac:dyDescent="0.15">
      <c r="A1622" s="165"/>
      <c r="B1622" s="93"/>
      <c r="C1622" s="102"/>
      <c r="D1622" s="62"/>
      <c r="E1622" s="102"/>
      <c r="F1622" s="102"/>
      <c r="G1622" s="102"/>
      <c r="H1622" s="85"/>
      <c r="I1622" s="104"/>
      <c r="J1622" s="144"/>
      <c r="K1622" s="61"/>
    </row>
    <row r="1623" spans="1:27" x14ac:dyDescent="0.15">
      <c r="A1623" s="165"/>
      <c r="B1623" s="93"/>
      <c r="C1623" s="102"/>
      <c r="D1623" s="62"/>
      <c r="E1623" s="102"/>
      <c r="F1623" s="102"/>
      <c r="G1623" s="102"/>
      <c r="H1623" s="85"/>
      <c r="I1623" s="104"/>
      <c r="J1623" s="144"/>
      <c r="K1623" s="61"/>
    </row>
    <row r="1624" spans="1:27" x14ac:dyDescent="0.15">
      <c r="A1624" s="165"/>
      <c r="B1624" s="93"/>
      <c r="C1624" s="102"/>
      <c r="D1624" s="62"/>
      <c r="E1624" s="102"/>
      <c r="F1624" s="102"/>
      <c r="G1624" s="102"/>
      <c r="H1624" s="85"/>
      <c r="I1624" s="104"/>
      <c r="J1624" s="144"/>
      <c r="K1624" s="61"/>
    </row>
    <row r="1625" spans="1:27" x14ac:dyDescent="0.15">
      <c r="A1625" s="165"/>
      <c r="B1625" s="93"/>
      <c r="C1625" s="102"/>
      <c r="D1625" s="62"/>
      <c r="E1625" s="102"/>
      <c r="F1625" s="102"/>
      <c r="G1625" s="102"/>
      <c r="H1625" s="85"/>
      <c r="I1625" s="104"/>
      <c r="J1625" s="144"/>
      <c r="K1625" s="61"/>
    </row>
    <row r="1626" spans="1:27" x14ac:dyDescent="0.15">
      <c r="A1626" s="165"/>
      <c r="B1626" s="93"/>
      <c r="C1626" s="102"/>
      <c r="D1626" s="62"/>
      <c r="E1626" s="102"/>
      <c r="F1626" s="102"/>
      <c r="G1626" s="102"/>
      <c r="H1626" s="85"/>
      <c r="I1626" s="104"/>
      <c r="J1626" s="144"/>
      <c r="K1626" s="61"/>
    </row>
    <row r="1627" spans="1:27" x14ac:dyDescent="0.15">
      <c r="A1627" s="165"/>
      <c r="B1627" s="93"/>
      <c r="C1627" s="102"/>
      <c r="D1627" s="62"/>
      <c r="E1627" s="102"/>
      <c r="F1627" s="102"/>
      <c r="G1627" s="102"/>
      <c r="H1627" s="85"/>
      <c r="I1627" s="104"/>
      <c r="J1627" s="144"/>
      <c r="K1627" s="61"/>
    </row>
    <row r="1628" spans="1:27" x14ac:dyDescent="0.15">
      <c r="A1628" s="165"/>
      <c r="B1628" s="93"/>
      <c r="C1628" s="102"/>
      <c r="D1628" s="62"/>
      <c r="E1628" s="102"/>
      <c r="F1628" s="102"/>
      <c r="G1628" s="102"/>
      <c r="H1628" s="85"/>
      <c r="I1628" s="104"/>
      <c r="J1628" s="144"/>
      <c r="K1628" s="61"/>
    </row>
    <row r="1629" spans="1:27" x14ac:dyDescent="0.15">
      <c r="A1629" s="165"/>
      <c r="B1629" s="93"/>
      <c r="C1629" s="102"/>
      <c r="D1629" s="62"/>
      <c r="E1629" s="102"/>
      <c r="F1629" s="102"/>
      <c r="G1629" s="102"/>
      <c r="H1629" s="98"/>
      <c r="I1629" s="98"/>
      <c r="J1629" s="135"/>
      <c r="K1629" s="61"/>
    </row>
    <row r="1630" spans="1:27" x14ac:dyDescent="0.15">
      <c r="A1630" s="165"/>
      <c r="B1630" s="93"/>
      <c r="C1630" s="102"/>
      <c r="D1630" s="62"/>
      <c r="E1630" s="102"/>
      <c r="F1630" s="102"/>
      <c r="G1630" s="102"/>
      <c r="H1630" s="85"/>
      <c r="I1630" s="104"/>
      <c r="J1630" s="144"/>
      <c r="K1630" s="61"/>
    </row>
    <row r="1631" spans="1:27" s="49" customFormat="1" x14ac:dyDescent="0.15">
      <c r="A1631" s="165"/>
      <c r="B1631" s="93"/>
      <c r="C1631" s="102"/>
      <c r="D1631" s="62"/>
      <c r="E1631" s="102"/>
      <c r="F1631" s="102"/>
      <c r="G1631" s="102"/>
      <c r="H1631" s="85"/>
      <c r="I1631" s="104"/>
      <c r="J1631" s="144"/>
      <c r="K1631" s="61"/>
      <c r="M1631" s="37"/>
      <c r="N1631" s="37"/>
      <c r="O1631" s="37"/>
      <c r="P1631" s="3"/>
      <c r="Q1631" s="3"/>
      <c r="R1631" s="3"/>
      <c r="S1631" s="3"/>
      <c r="T1631" s="3"/>
      <c r="U1631" s="3"/>
      <c r="V1631" s="3"/>
      <c r="W1631" s="3"/>
      <c r="X1631" s="3"/>
      <c r="Y1631" s="4"/>
      <c r="Z1631"/>
      <c r="AA1631"/>
    </row>
    <row r="1632" spans="1:27" s="49" customFormat="1" x14ac:dyDescent="0.15">
      <c r="A1632" s="165"/>
      <c r="B1632" s="93"/>
      <c r="C1632" s="102"/>
      <c r="D1632" s="62"/>
      <c r="E1632" s="102"/>
      <c r="F1632" s="102"/>
      <c r="G1632" s="102"/>
      <c r="H1632" s="98"/>
      <c r="I1632" s="98"/>
      <c r="J1632" s="135"/>
      <c r="K1632" s="61"/>
      <c r="M1632" s="37"/>
      <c r="N1632" s="37"/>
      <c r="O1632" s="37"/>
      <c r="P1632" s="3"/>
      <c r="Q1632" s="3"/>
      <c r="R1632" s="3"/>
      <c r="S1632" s="3"/>
      <c r="T1632" s="3"/>
      <c r="U1632" s="3"/>
      <c r="V1632" s="3"/>
      <c r="W1632" s="3"/>
      <c r="X1632" s="3"/>
      <c r="Y1632" s="4"/>
      <c r="Z1632"/>
      <c r="AA1632"/>
    </row>
    <row r="1633" spans="1:27" s="49" customFormat="1" x14ac:dyDescent="0.15">
      <c r="A1633" s="165"/>
      <c r="B1633" s="93"/>
      <c r="C1633" s="102"/>
      <c r="D1633" s="62"/>
      <c r="E1633" s="102"/>
      <c r="F1633" s="102"/>
      <c r="G1633" s="102"/>
      <c r="H1633" s="98"/>
      <c r="I1633" s="98"/>
      <c r="J1633" s="135"/>
      <c r="K1633" s="61"/>
      <c r="M1633" s="37"/>
      <c r="N1633" s="37"/>
      <c r="O1633" s="37"/>
      <c r="P1633" s="3"/>
      <c r="Q1633" s="3"/>
      <c r="R1633" s="3"/>
      <c r="S1633" s="3"/>
      <c r="T1633" s="3"/>
      <c r="U1633" s="3"/>
      <c r="V1633" s="3"/>
      <c r="W1633" s="3"/>
      <c r="X1633" s="3"/>
      <c r="Y1633" s="4"/>
      <c r="Z1633"/>
      <c r="AA1633"/>
    </row>
    <row r="1634" spans="1:27" s="49" customFormat="1" x14ac:dyDescent="0.15">
      <c r="A1634" s="165"/>
      <c r="B1634" s="93"/>
      <c r="C1634" s="102"/>
      <c r="D1634" s="62"/>
      <c r="E1634" s="102"/>
      <c r="F1634" s="102"/>
      <c r="G1634" s="102"/>
      <c r="H1634" s="98"/>
      <c r="I1634" s="98"/>
      <c r="J1634" s="135"/>
      <c r="K1634" s="61"/>
      <c r="M1634" s="37"/>
      <c r="N1634" s="37"/>
      <c r="O1634" s="37"/>
      <c r="P1634" s="3"/>
      <c r="Q1634" s="3"/>
      <c r="R1634" s="3"/>
      <c r="S1634" s="3"/>
      <c r="T1634" s="3"/>
      <c r="U1634" s="3"/>
      <c r="V1634" s="3"/>
      <c r="W1634" s="3"/>
      <c r="X1634" s="3"/>
      <c r="Y1634" s="4"/>
      <c r="Z1634"/>
      <c r="AA1634"/>
    </row>
    <row r="1635" spans="1:27" s="49" customFormat="1" x14ac:dyDescent="0.15">
      <c r="A1635" s="165"/>
      <c r="B1635" s="93"/>
      <c r="C1635" s="102"/>
      <c r="D1635" s="62"/>
      <c r="E1635" s="102"/>
      <c r="F1635" s="102"/>
      <c r="G1635" s="102"/>
      <c r="H1635" s="85"/>
      <c r="I1635" s="104"/>
      <c r="J1635" s="144"/>
      <c r="K1635" s="61"/>
      <c r="M1635" s="37"/>
      <c r="N1635" s="37"/>
      <c r="O1635" s="37"/>
      <c r="P1635" s="3"/>
      <c r="Q1635" s="3"/>
      <c r="R1635" s="3"/>
      <c r="S1635" s="3"/>
      <c r="T1635" s="3"/>
      <c r="U1635" s="3"/>
      <c r="V1635" s="3"/>
      <c r="W1635" s="3"/>
      <c r="X1635" s="3"/>
      <c r="Y1635" s="4"/>
      <c r="Z1635"/>
      <c r="AA1635"/>
    </row>
    <row r="1636" spans="1:27" s="49" customFormat="1" x14ac:dyDescent="0.15">
      <c r="A1636" s="165"/>
      <c r="B1636" s="93"/>
      <c r="C1636" s="102"/>
      <c r="D1636" s="62"/>
      <c r="E1636" s="102"/>
      <c r="F1636" s="102"/>
      <c r="G1636" s="102"/>
      <c r="H1636" s="85"/>
      <c r="I1636" s="104"/>
      <c r="J1636" s="144"/>
      <c r="K1636" s="61"/>
      <c r="M1636" s="37"/>
      <c r="N1636" s="37"/>
      <c r="O1636" s="37"/>
      <c r="P1636" s="3"/>
      <c r="Q1636" s="3"/>
      <c r="R1636" s="3"/>
      <c r="S1636" s="3"/>
      <c r="T1636" s="3"/>
      <c r="U1636" s="3"/>
      <c r="V1636" s="3"/>
      <c r="W1636" s="3"/>
      <c r="X1636" s="3"/>
      <c r="Y1636" s="4"/>
      <c r="Z1636"/>
      <c r="AA1636"/>
    </row>
    <row r="1637" spans="1:27" s="49" customFormat="1" x14ac:dyDescent="0.15">
      <c r="A1637" s="165"/>
      <c r="B1637" s="93"/>
      <c r="C1637" s="102"/>
      <c r="D1637" s="62"/>
      <c r="E1637" s="100"/>
      <c r="F1637" s="102"/>
      <c r="G1637" s="102"/>
      <c r="H1637" s="98"/>
      <c r="I1637" s="98"/>
      <c r="J1637" s="135"/>
      <c r="K1637" s="61"/>
      <c r="M1637" s="37"/>
      <c r="N1637" s="37"/>
      <c r="O1637" s="37"/>
      <c r="P1637" s="3"/>
      <c r="Q1637" s="3"/>
      <c r="R1637" s="3"/>
      <c r="S1637" s="3"/>
      <c r="T1637" s="3"/>
      <c r="U1637" s="3"/>
      <c r="V1637" s="3"/>
      <c r="W1637" s="3"/>
      <c r="X1637" s="3"/>
      <c r="Y1637" s="4"/>
      <c r="Z1637"/>
      <c r="AA1637"/>
    </row>
    <row r="1638" spans="1:27" s="49" customFormat="1" x14ac:dyDescent="0.15">
      <c r="A1638" s="165"/>
      <c r="B1638" s="93"/>
      <c r="C1638" s="102"/>
      <c r="D1638" s="62"/>
      <c r="E1638" s="102"/>
      <c r="F1638" s="102"/>
      <c r="G1638" s="102"/>
      <c r="H1638" s="98"/>
      <c r="I1638" s="98"/>
      <c r="J1638" s="135"/>
      <c r="K1638" s="61"/>
      <c r="M1638" s="37"/>
      <c r="N1638" s="37"/>
      <c r="O1638" s="37"/>
      <c r="P1638" s="3"/>
      <c r="Q1638" s="3"/>
      <c r="R1638" s="3"/>
      <c r="S1638" s="3"/>
      <c r="T1638" s="3"/>
      <c r="U1638" s="3"/>
      <c r="V1638" s="3"/>
      <c r="W1638" s="3"/>
      <c r="X1638" s="3"/>
      <c r="Y1638" s="4"/>
      <c r="Z1638"/>
      <c r="AA1638"/>
    </row>
    <row r="1639" spans="1:27" s="49" customFormat="1" x14ac:dyDescent="0.15">
      <c r="A1639" s="165"/>
      <c r="B1639" s="93"/>
      <c r="C1639" s="102"/>
      <c r="D1639" s="62"/>
      <c r="E1639" s="102"/>
      <c r="F1639" s="102"/>
      <c r="G1639" s="102"/>
      <c r="H1639" s="85"/>
      <c r="I1639" s="104"/>
      <c r="J1639" s="144"/>
      <c r="K1639" s="61"/>
      <c r="M1639" s="37"/>
      <c r="N1639" s="37"/>
      <c r="O1639" s="37"/>
      <c r="P1639" s="3"/>
      <c r="Q1639" s="3"/>
      <c r="R1639" s="3"/>
      <c r="S1639" s="3"/>
      <c r="T1639" s="3"/>
      <c r="U1639" s="3"/>
      <c r="V1639" s="3"/>
      <c r="W1639" s="3"/>
      <c r="X1639" s="3"/>
      <c r="Y1639" s="4"/>
      <c r="Z1639"/>
      <c r="AA1639"/>
    </row>
    <row r="1640" spans="1:27" s="49" customFormat="1" x14ac:dyDescent="0.15">
      <c r="A1640" s="165"/>
      <c r="B1640" s="93"/>
      <c r="C1640" s="102"/>
      <c r="D1640" s="62"/>
      <c r="E1640" s="102"/>
      <c r="F1640" s="102"/>
      <c r="G1640" s="102"/>
      <c r="H1640" s="98"/>
      <c r="I1640" s="98"/>
      <c r="J1640" s="135"/>
      <c r="K1640" s="61"/>
      <c r="M1640" s="37"/>
      <c r="N1640" s="37"/>
      <c r="O1640" s="37"/>
      <c r="P1640" s="3"/>
      <c r="Q1640" s="3"/>
      <c r="R1640" s="3"/>
      <c r="S1640" s="3"/>
      <c r="T1640" s="3"/>
      <c r="U1640" s="3"/>
      <c r="V1640" s="3"/>
      <c r="W1640" s="3"/>
      <c r="X1640" s="3"/>
      <c r="Y1640" s="4"/>
      <c r="Z1640"/>
      <c r="AA1640"/>
    </row>
    <row r="1641" spans="1:27" s="49" customFormat="1" x14ac:dyDescent="0.15">
      <c r="A1641" s="165"/>
      <c r="B1641" s="93"/>
      <c r="C1641" s="102"/>
      <c r="D1641" s="62"/>
      <c r="E1641" s="102"/>
      <c r="F1641" s="102"/>
      <c r="G1641" s="102"/>
      <c r="H1641" s="85"/>
      <c r="I1641" s="104"/>
      <c r="J1641" s="144"/>
      <c r="K1641" s="61"/>
      <c r="M1641" s="37"/>
      <c r="N1641" s="37"/>
      <c r="O1641" s="37"/>
      <c r="P1641" s="3"/>
      <c r="Q1641" s="3"/>
      <c r="R1641" s="3"/>
      <c r="S1641" s="3"/>
      <c r="T1641" s="3"/>
      <c r="U1641" s="3"/>
      <c r="V1641" s="3"/>
      <c r="W1641" s="3"/>
      <c r="X1641" s="3"/>
      <c r="Y1641" s="4"/>
      <c r="Z1641"/>
      <c r="AA1641"/>
    </row>
    <row r="1642" spans="1:27" s="49" customFormat="1" x14ac:dyDescent="0.15">
      <c r="A1642" s="165"/>
      <c r="B1642" s="93"/>
      <c r="C1642" s="102"/>
      <c r="D1642" s="62"/>
      <c r="E1642" s="102"/>
      <c r="F1642" s="102"/>
      <c r="G1642" s="102"/>
      <c r="H1642" s="85"/>
      <c r="I1642" s="104"/>
      <c r="J1642" s="144"/>
      <c r="K1642" s="61"/>
      <c r="M1642" s="37"/>
      <c r="N1642" s="37"/>
      <c r="O1642" s="37"/>
      <c r="P1642" s="3"/>
      <c r="Q1642" s="3"/>
      <c r="R1642" s="3"/>
      <c r="S1642" s="3"/>
      <c r="T1642" s="3"/>
      <c r="U1642" s="3"/>
      <c r="V1642" s="3"/>
      <c r="W1642" s="3"/>
      <c r="X1642" s="3"/>
      <c r="Y1642" s="4"/>
      <c r="Z1642"/>
      <c r="AA1642"/>
    </row>
    <row r="1643" spans="1:27" s="49" customFormat="1" x14ac:dyDescent="0.15">
      <c r="A1643" s="165"/>
      <c r="B1643" s="93"/>
      <c r="C1643" s="102"/>
      <c r="D1643" s="62"/>
      <c r="E1643" s="102"/>
      <c r="F1643" s="102"/>
      <c r="G1643" s="102"/>
      <c r="H1643" s="85"/>
      <c r="I1643" s="104"/>
      <c r="J1643" s="144"/>
      <c r="K1643" s="61"/>
      <c r="M1643" s="37"/>
      <c r="N1643" s="37"/>
      <c r="O1643" s="37"/>
      <c r="P1643" s="3"/>
      <c r="Q1643" s="3"/>
      <c r="R1643" s="3"/>
      <c r="S1643" s="3"/>
      <c r="T1643" s="3"/>
      <c r="U1643" s="3"/>
      <c r="V1643" s="3"/>
      <c r="W1643" s="3"/>
      <c r="X1643" s="3"/>
      <c r="Y1643" s="4"/>
      <c r="Z1643"/>
      <c r="AA1643"/>
    </row>
    <row r="1644" spans="1:27" s="49" customFormat="1" x14ac:dyDescent="0.15">
      <c r="A1644" s="165"/>
      <c r="B1644" s="93"/>
      <c r="C1644" s="102"/>
      <c r="D1644" s="62"/>
      <c r="E1644" s="102"/>
      <c r="F1644" s="102"/>
      <c r="G1644" s="102"/>
      <c r="H1644" s="85"/>
      <c r="I1644" s="104"/>
      <c r="J1644" s="144"/>
      <c r="K1644" s="61"/>
      <c r="M1644" s="37"/>
      <c r="N1644" s="37"/>
      <c r="O1644" s="37"/>
      <c r="P1644" s="3"/>
      <c r="Q1644" s="3"/>
      <c r="R1644" s="3"/>
      <c r="S1644" s="3"/>
      <c r="T1644" s="3"/>
      <c r="U1644" s="3"/>
      <c r="V1644" s="3"/>
      <c r="W1644" s="3"/>
      <c r="X1644" s="3"/>
      <c r="Y1644" s="4"/>
      <c r="Z1644"/>
      <c r="AA1644"/>
    </row>
    <row r="1645" spans="1:27" s="49" customFormat="1" x14ac:dyDescent="0.15">
      <c r="A1645" s="165"/>
      <c r="B1645" s="93"/>
      <c r="C1645" s="102"/>
      <c r="D1645" s="62"/>
      <c r="E1645" s="102"/>
      <c r="F1645" s="102"/>
      <c r="G1645" s="102"/>
      <c r="H1645" s="85"/>
      <c r="I1645" s="104"/>
      <c r="J1645" s="144"/>
      <c r="K1645" s="61"/>
      <c r="M1645" s="37"/>
      <c r="N1645" s="37"/>
      <c r="O1645" s="37"/>
      <c r="P1645" s="3"/>
      <c r="Q1645" s="3"/>
      <c r="R1645" s="3"/>
      <c r="S1645" s="3"/>
      <c r="T1645" s="3"/>
      <c r="U1645" s="3"/>
      <c r="V1645" s="3"/>
      <c r="W1645" s="3"/>
      <c r="X1645" s="3"/>
      <c r="Y1645" s="4"/>
      <c r="Z1645"/>
      <c r="AA1645"/>
    </row>
    <row r="1646" spans="1:27" s="49" customFormat="1" x14ac:dyDescent="0.15">
      <c r="A1646" s="165"/>
      <c r="B1646" s="93"/>
      <c r="C1646" s="102"/>
      <c r="D1646" s="62"/>
      <c r="E1646" s="102"/>
      <c r="F1646" s="102"/>
      <c r="G1646" s="102"/>
      <c r="H1646" s="85"/>
      <c r="I1646" s="104"/>
      <c r="J1646" s="144"/>
      <c r="K1646" s="61"/>
      <c r="M1646" s="37"/>
      <c r="N1646" s="37"/>
      <c r="O1646" s="37"/>
      <c r="P1646" s="3"/>
      <c r="Q1646" s="3"/>
      <c r="R1646" s="3"/>
      <c r="S1646" s="3"/>
      <c r="T1646" s="3"/>
      <c r="U1646" s="3"/>
      <c r="V1646" s="3"/>
      <c r="W1646" s="3"/>
      <c r="X1646" s="3"/>
      <c r="Y1646" s="4"/>
      <c r="Z1646"/>
      <c r="AA1646"/>
    </row>
    <row r="1647" spans="1:27" s="49" customFormat="1" x14ac:dyDescent="0.15">
      <c r="A1647" s="165"/>
      <c r="B1647" s="93"/>
      <c r="C1647" s="102"/>
      <c r="D1647" s="62"/>
      <c r="E1647" s="102"/>
      <c r="F1647" s="102"/>
      <c r="G1647" s="102"/>
      <c r="H1647" s="85"/>
      <c r="I1647" s="104"/>
      <c r="J1647" s="144"/>
      <c r="K1647" s="61"/>
      <c r="M1647" s="37"/>
      <c r="N1647" s="37"/>
      <c r="O1647" s="37"/>
      <c r="P1647" s="3"/>
      <c r="Q1647" s="3"/>
      <c r="R1647" s="3"/>
      <c r="S1647" s="3"/>
      <c r="T1647" s="3"/>
      <c r="U1647" s="3"/>
      <c r="V1647" s="3"/>
      <c r="W1647" s="3"/>
      <c r="X1647" s="3"/>
      <c r="Y1647" s="4"/>
      <c r="Z1647"/>
      <c r="AA1647"/>
    </row>
    <row r="1648" spans="1:27" s="49" customFormat="1" x14ac:dyDescent="0.15">
      <c r="A1648" s="165"/>
      <c r="B1648" s="93"/>
      <c r="C1648" s="102"/>
      <c r="D1648" s="62"/>
      <c r="E1648" s="100"/>
      <c r="F1648" s="102"/>
      <c r="G1648" s="102"/>
      <c r="H1648" s="85"/>
      <c r="I1648" s="104"/>
      <c r="J1648" s="144"/>
      <c r="K1648" s="61"/>
      <c r="M1648" s="37"/>
      <c r="N1648" s="37"/>
      <c r="O1648" s="37"/>
      <c r="P1648" s="3"/>
      <c r="Q1648" s="3"/>
      <c r="R1648" s="3"/>
      <c r="S1648" s="3"/>
      <c r="T1648" s="3"/>
      <c r="U1648" s="3"/>
      <c r="V1648" s="3"/>
      <c r="W1648" s="3"/>
      <c r="X1648" s="3"/>
      <c r="Y1648" s="4"/>
      <c r="Z1648"/>
      <c r="AA1648"/>
    </row>
    <row r="1649" spans="1:27" s="49" customFormat="1" x14ac:dyDescent="0.15">
      <c r="A1649" s="165"/>
      <c r="B1649" s="93"/>
      <c r="C1649" s="102"/>
      <c r="D1649" s="62"/>
      <c r="E1649" s="102"/>
      <c r="F1649" s="102"/>
      <c r="G1649" s="102"/>
      <c r="H1649" s="85"/>
      <c r="I1649" s="104"/>
      <c r="J1649" s="144"/>
      <c r="K1649" s="61"/>
      <c r="M1649" s="37"/>
      <c r="N1649" s="37"/>
      <c r="O1649" s="37"/>
      <c r="P1649" s="3"/>
      <c r="Q1649" s="3"/>
      <c r="R1649" s="3"/>
      <c r="S1649" s="3"/>
      <c r="T1649" s="3"/>
      <c r="U1649" s="3"/>
      <c r="V1649" s="3"/>
      <c r="W1649" s="3"/>
      <c r="X1649" s="3"/>
      <c r="Y1649" s="4"/>
      <c r="Z1649"/>
      <c r="AA1649"/>
    </row>
    <row r="1650" spans="1:27" s="49" customFormat="1" x14ac:dyDescent="0.15">
      <c r="A1650" s="165"/>
      <c r="B1650" s="93"/>
      <c r="C1650" s="102"/>
      <c r="D1650" s="62"/>
      <c r="E1650" s="102"/>
      <c r="F1650" s="102"/>
      <c r="G1650" s="102"/>
      <c r="H1650" s="85"/>
      <c r="I1650" s="104"/>
      <c r="J1650" s="144"/>
      <c r="K1650" s="61"/>
      <c r="M1650" s="37"/>
      <c r="N1650" s="37"/>
      <c r="O1650" s="37"/>
      <c r="P1650" s="3"/>
      <c r="Q1650" s="3"/>
      <c r="R1650" s="3"/>
      <c r="S1650" s="3"/>
      <c r="T1650" s="3"/>
      <c r="U1650" s="3"/>
      <c r="V1650" s="3"/>
      <c r="W1650" s="3"/>
      <c r="X1650" s="3"/>
      <c r="Y1650" s="4"/>
      <c r="Z1650"/>
      <c r="AA1650"/>
    </row>
    <row r="1651" spans="1:27" s="49" customFormat="1" x14ac:dyDescent="0.15">
      <c r="A1651" s="165"/>
      <c r="B1651" s="93"/>
      <c r="C1651" s="102"/>
      <c r="D1651" s="62"/>
      <c r="E1651" s="102"/>
      <c r="F1651" s="102"/>
      <c r="G1651" s="102"/>
      <c r="H1651" s="85"/>
      <c r="I1651" s="104"/>
      <c r="J1651" s="144"/>
      <c r="K1651" s="61"/>
      <c r="M1651" s="37"/>
      <c r="N1651" s="37"/>
      <c r="O1651" s="37"/>
      <c r="P1651" s="3"/>
      <c r="Q1651" s="3"/>
      <c r="R1651" s="3"/>
      <c r="S1651" s="3"/>
      <c r="T1651" s="3"/>
      <c r="U1651" s="3"/>
      <c r="V1651" s="3"/>
      <c r="W1651" s="3"/>
      <c r="X1651" s="3"/>
      <c r="Y1651" s="4"/>
      <c r="Z1651"/>
      <c r="AA1651"/>
    </row>
    <row r="1652" spans="1:27" s="49" customFormat="1" x14ac:dyDescent="0.15">
      <c r="A1652" s="165"/>
      <c r="B1652" s="93"/>
      <c r="C1652" s="102"/>
      <c r="D1652" s="62"/>
      <c r="E1652" s="100"/>
      <c r="F1652" s="102"/>
      <c r="G1652" s="102"/>
      <c r="H1652" s="85"/>
      <c r="I1652" s="104"/>
      <c r="J1652" s="144"/>
      <c r="K1652" s="61"/>
      <c r="M1652" s="37"/>
      <c r="N1652" s="37"/>
      <c r="O1652" s="37"/>
      <c r="P1652" s="3"/>
      <c r="Q1652" s="3"/>
      <c r="R1652" s="3"/>
      <c r="S1652" s="3"/>
      <c r="T1652" s="3"/>
      <c r="U1652" s="3"/>
      <c r="V1652" s="3"/>
      <c r="W1652" s="3"/>
      <c r="X1652" s="3"/>
      <c r="Y1652" s="4"/>
      <c r="Z1652"/>
      <c r="AA1652"/>
    </row>
    <row r="1653" spans="1:27" s="49" customFormat="1" x14ac:dyDescent="0.15">
      <c r="A1653" s="165"/>
      <c r="B1653" s="93"/>
      <c r="C1653" s="102"/>
      <c r="D1653" s="62"/>
      <c r="E1653" s="102"/>
      <c r="F1653" s="102"/>
      <c r="G1653" s="102"/>
      <c r="H1653" s="85"/>
      <c r="I1653" s="104"/>
      <c r="J1653" s="144"/>
      <c r="K1653" s="61"/>
      <c r="M1653" s="37"/>
      <c r="N1653" s="37"/>
      <c r="O1653" s="37"/>
      <c r="P1653" s="3"/>
      <c r="Q1653" s="3"/>
      <c r="R1653" s="3"/>
      <c r="S1653" s="3"/>
      <c r="T1653" s="3"/>
      <c r="U1653" s="3"/>
      <c r="V1653" s="3"/>
      <c r="W1653" s="3"/>
      <c r="X1653" s="3"/>
      <c r="Y1653" s="4"/>
      <c r="Z1653"/>
      <c r="AA1653"/>
    </row>
    <row r="1654" spans="1:27" s="49" customFormat="1" x14ac:dyDescent="0.15">
      <c r="A1654" s="165"/>
      <c r="B1654" s="93"/>
      <c r="C1654" s="102"/>
      <c r="D1654" s="62"/>
      <c r="E1654" s="102"/>
      <c r="F1654" s="102"/>
      <c r="G1654" s="102"/>
      <c r="H1654" s="85"/>
      <c r="I1654" s="104"/>
      <c r="J1654" s="144"/>
      <c r="K1654" s="61"/>
      <c r="M1654" s="37"/>
      <c r="N1654" s="37"/>
      <c r="O1654" s="37"/>
      <c r="P1654" s="3"/>
      <c r="Q1654" s="3"/>
      <c r="R1654" s="3"/>
      <c r="S1654" s="3"/>
      <c r="T1654" s="3"/>
      <c r="U1654" s="3"/>
      <c r="V1654" s="3"/>
      <c r="W1654" s="3"/>
      <c r="X1654" s="3"/>
      <c r="Y1654" s="4"/>
      <c r="Z1654"/>
      <c r="AA1654"/>
    </row>
    <row r="1655" spans="1:27" s="49" customFormat="1" x14ac:dyDescent="0.15">
      <c r="A1655" s="165"/>
      <c r="B1655" s="93"/>
      <c r="C1655" s="102"/>
      <c r="D1655" s="62"/>
      <c r="E1655" s="102"/>
      <c r="F1655" s="102"/>
      <c r="G1655" s="102"/>
      <c r="H1655" s="85"/>
      <c r="I1655" s="104"/>
      <c r="J1655" s="144"/>
      <c r="K1655" s="61"/>
      <c r="M1655" s="37"/>
      <c r="N1655" s="37"/>
      <c r="O1655" s="37"/>
      <c r="P1655" s="3"/>
      <c r="Q1655" s="3"/>
      <c r="R1655" s="3"/>
      <c r="S1655" s="3"/>
      <c r="T1655" s="3"/>
      <c r="U1655" s="3"/>
      <c r="V1655" s="3"/>
      <c r="W1655" s="3"/>
      <c r="X1655" s="3"/>
      <c r="Y1655" s="4"/>
      <c r="Z1655"/>
      <c r="AA1655"/>
    </row>
    <row r="1656" spans="1:27" s="49" customFormat="1" x14ac:dyDescent="0.15">
      <c r="A1656" s="165"/>
      <c r="B1656" s="93"/>
      <c r="C1656" s="102"/>
      <c r="D1656" s="62"/>
      <c r="E1656" s="100"/>
      <c r="F1656" s="102"/>
      <c r="G1656" s="102"/>
      <c r="H1656" s="85"/>
      <c r="I1656" s="104"/>
      <c r="J1656" s="144"/>
      <c r="K1656" s="61"/>
      <c r="M1656" s="37"/>
      <c r="N1656" s="37"/>
      <c r="O1656" s="37"/>
      <c r="P1656" s="3"/>
      <c r="Q1656" s="3"/>
      <c r="R1656" s="3"/>
      <c r="S1656" s="3"/>
      <c r="T1656" s="3"/>
      <c r="U1656" s="3"/>
      <c r="V1656" s="3"/>
      <c r="W1656" s="3"/>
      <c r="X1656" s="3"/>
      <c r="Y1656" s="4"/>
      <c r="Z1656"/>
      <c r="AA1656"/>
    </row>
    <row r="1657" spans="1:27" s="49" customFormat="1" x14ac:dyDescent="0.15">
      <c r="A1657" s="165"/>
      <c r="B1657" s="93"/>
      <c r="C1657" s="102"/>
      <c r="D1657" s="62"/>
      <c r="E1657" s="102"/>
      <c r="F1657" s="102"/>
      <c r="G1657" s="102"/>
      <c r="H1657" s="85"/>
      <c r="I1657" s="104"/>
      <c r="J1657" s="144"/>
      <c r="K1657" s="61"/>
      <c r="M1657" s="37"/>
      <c r="N1657" s="37"/>
      <c r="O1657" s="37"/>
      <c r="P1657" s="3"/>
      <c r="Q1657" s="3"/>
      <c r="R1657" s="3"/>
      <c r="S1657" s="3"/>
      <c r="T1657" s="3"/>
      <c r="U1657" s="3"/>
      <c r="V1657" s="3"/>
      <c r="W1657" s="3"/>
      <c r="X1657" s="3"/>
      <c r="Y1657" s="4"/>
      <c r="Z1657"/>
      <c r="AA1657"/>
    </row>
    <row r="1658" spans="1:27" s="49" customFormat="1" x14ac:dyDescent="0.15">
      <c r="A1658" s="165"/>
      <c r="B1658" s="93"/>
      <c r="C1658" s="102"/>
      <c r="D1658" s="62"/>
      <c r="E1658" s="102"/>
      <c r="F1658" s="102"/>
      <c r="G1658" s="102"/>
      <c r="H1658" s="98"/>
      <c r="I1658" s="98"/>
      <c r="J1658" s="135"/>
      <c r="K1658" s="62"/>
      <c r="M1658" s="37"/>
      <c r="N1658" s="37"/>
      <c r="O1658" s="37"/>
      <c r="P1658" s="3"/>
      <c r="Q1658" s="3"/>
      <c r="R1658" s="3"/>
      <c r="S1658" s="3"/>
      <c r="T1658" s="3"/>
      <c r="U1658" s="3"/>
      <c r="V1658" s="3"/>
      <c r="W1658" s="3"/>
      <c r="X1658" s="3"/>
      <c r="Y1658" s="4"/>
      <c r="Z1658"/>
      <c r="AA1658"/>
    </row>
    <row r="1659" spans="1:27" s="49" customFormat="1" x14ac:dyDescent="0.15">
      <c r="A1659" s="165"/>
      <c r="B1659" s="93"/>
      <c r="C1659" s="102"/>
      <c r="D1659" s="62"/>
      <c r="E1659" s="102"/>
      <c r="F1659" s="102"/>
      <c r="G1659" s="102"/>
      <c r="H1659" s="85"/>
      <c r="I1659" s="104"/>
      <c r="J1659" s="144"/>
      <c r="K1659" s="61"/>
      <c r="M1659" s="37"/>
      <c r="N1659" s="37"/>
      <c r="O1659" s="37"/>
      <c r="P1659" s="3"/>
      <c r="Q1659" s="3"/>
      <c r="R1659" s="3"/>
      <c r="S1659" s="3"/>
      <c r="T1659" s="3"/>
      <c r="U1659" s="3"/>
      <c r="V1659" s="3"/>
      <c r="W1659" s="3"/>
      <c r="X1659" s="3"/>
      <c r="Y1659" s="4"/>
      <c r="Z1659"/>
      <c r="AA1659"/>
    </row>
    <row r="1660" spans="1:27" s="49" customFormat="1" x14ac:dyDescent="0.15">
      <c r="A1660" s="165"/>
      <c r="B1660" s="93"/>
      <c r="C1660" s="102"/>
      <c r="D1660" s="62"/>
      <c r="E1660" s="102"/>
      <c r="F1660" s="102"/>
      <c r="G1660" s="102"/>
      <c r="H1660" s="85"/>
      <c r="I1660" s="104"/>
      <c r="J1660" s="144"/>
      <c r="K1660" s="61"/>
      <c r="M1660" s="37"/>
      <c r="N1660" s="37"/>
      <c r="O1660" s="37"/>
      <c r="P1660" s="3"/>
      <c r="Q1660" s="3"/>
      <c r="R1660" s="3"/>
      <c r="S1660" s="3"/>
      <c r="T1660" s="3"/>
      <c r="U1660" s="3"/>
      <c r="V1660" s="3"/>
      <c r="W1660" s="3"/>
      <c r="X1660" s="3"/>
      <c r="Y1660" s="4"/>
      <c r="Z1660"/>
      <c r="AA1660"/>
    </row>
    <row r="1661" spans="1:27" s="49" customFormat="1" x14ac:dyDescent="0.15">
      <c r="A1661" s="165"/>
      <c r="B1661" s="93"/>
      <c r="C1661" s="102"/>
      <c r="D1661" s="62"/>
      <c r="E1661" s="102"/>
      <c r="F1661" s="102"/>
      <c r="G1661" s="102"/>
      <c r="H1661" s="85"/>
      <c r="I1661" s="104"/>
      <c r="J1661" s="144"/>
      <c r="K1661" s="61"/>
      <c r="M1661" s="37"/>
      <c r="N1661" s="37"/>
      <c r="O1661" s="37"/>
      <c r="P1661" s="3"/>
      <c r="Q1661" s="3"/>
      <c r="R1661" s="3"/>
      <c r="S1661" s="3"/>
      <c r="T1661" s="3"/>
      <c r="U1661" s="3"/>
      <c r="V1661" s="3"/>
      <c r="W1661" s="3"/>
      <c r="X1661" s="3"/>
      <c r="Y1661" s="4"/>
      <c r="Z1661"/>
      <c r="AA1661"/>
    </row>
    <row r="1662" spans="1:27" s="49" customFormat="1" x14ac:dyDescent="0.15">
      <c r="A1662" s="165"/>
      <c r="B1662" s="93"/>
      <c r="C1662" s="102"/>
      <c r="D1662" s="62"/>
      <c r="E1662" s="102"/>
      <c r="F1662" s="102"/>
      <c r="G1662" s="102"/>
      <c r="H1662" s="85"/>
      <c r="I1662" s="104"/>
      <c r="J1662" s="144"/>
      <c r="K1662" s="61"/>
      <c r="M1662" s="37"/>
      <c r="N1662" s="37"/>
      <c r="O1662" s="37"/>
      <c r="P1662" s="3"/>
      <c r="Q1662" s="3"/>
      <c r="R1662" s="3"/>
      <c r="S1662" s="3"/>
      <c r="T1662" s="3"/>
      <c r="U1662" s="3"/>
      <c r="V1662" s="3"/>
      <c r="W1662" s="3"/>
      <c r="X1662" s="3"/>
      <c r="Y1662" s="4"/>
      <c r="Z1662"/>
      <c r="AA1662"/>
    </row>
    <row r="1663" spans="1:27" s="49" customFormat="1" x14ac:dyDescent="0.15">
      <c r="A1663" s="165"/>
      <c r="B1663" s="93"/>
      <c r="C1663" s="102"/>
      <c r="D1663" s="62"/>
      <c r="E1663" s="102"/>
      <c r="F1663" s="102"/>
      <c r="G1663" s="102"/>
      <c r="H1663" s="85"/>
      <c r="I1663" s="104"/>
      <c r="J1663" s="144"/>
      <c r="K1663" s="61"/>
      <c r="M1663" s="37"/>
      <c r="N1663" s="37"/>
      <c r="O1663" s="37"/>
      <c r="P1663" s="3"/>
      <c r="Q1663" s="3"/>
      <c r="R1663" s="3"/>
      <c r="S1663" s="3"/>
      <c r="T1663" s="3"/>
      <c r="U1663" s="3"/>
      <c r="V1663" s="3"/>
      <c r="W1663" s="3"/>
      <c r="X1663" s="3"/>
      <c r="Y1663" s="4"/>
      <c r="Z1663"/>
      <c r="AA1663"/>
    </row>
    <row r="1664" spans="1:27" s="49" customFormat="1" x14ac:dyDescent="0.15">
      <c r="A1664" s="165"/>
      <c r="B1664" s="93"/>
      <c r="C1664" s="102"/>
      <c r="D1664" s="62"/>
      <c r="E1664" s="102"/>
      <c r="F1664" s="102"/>
      <c r="G1664" s="102"/>
      <c r="H1664" s="85"/>
      <c r="I1664" s="104"/>
      <c r="J1664" s="144"/>
      <c r="K1664" s="62"/>
      <c r="M1664" s="37"/>
      <c r="N1664" s="37"/>
      <c r="O1664" s="37"/>
      <c r="P1664" s="3"/>
      <c r="Q1664" s="3"/>
      <c r="R1664" s="3"/>
      <c r="S1664" s="3"/>
      <c r="T1664" s="3"/>
      <c r="U1664" s="3"/>
      <c r="V1664" s="3"/>
      <c r="W1664" s="3"/>
      <c r="X1664" s="3"/>
      <c r="Y1664" s="4"/>
      <c r="Z1664"/>
      <c r="AA1664"/>
    </row>
    <row r="1665" spans="1:27" s="49" customFormat="1" x14ac:dyDescent="0.15">
      <c r="A1665" s="165"/>
      <c r="B1665" s="93"/>
      <c r="C1665" s="102"/>
      <c r="D1665" s="62"/>
      <c r="E1665" s="102"/>
      <c r="F1665" s="102"/>
      <c r="G1665" s="102"/>
      <c r="H1665" s="85"/>
      <c r="I1665" s="104"/>
      <c r="J1665" s="144"/>
      <c r="K1665" s="62"/>
      <c r="M1665" s="37"/>
      <c r="N1665" s="37"/>
      <c r="O1665" s="37"/>
      <c r="P1665" s="3"/>
      <c r="Q1665" s="3"/>
      <c r="R1665" s="3"/>
      <c r="S1665" s="3"/>
      <c r="T1665" s="3"/>
      <c r="U1665" s="3"/>
      <c r="V1665" s="3"/>
      <c r="W1665" s="3"/>
      <c r="X1665" s="3"/>
      <c r="Y1665" s="4"/>
      <c r="Z1665"/>
      <c r="AA1665"/>
    </row>
    <row r="1666" spans="1:27" s="49" customFormat="1" x14ac:dyDescent="0.15">
      <c r="A1666" s="165"/>
      <c r="B1666" s="93"/>
      <c r="C1666" s="102"/>
      <c r="D1666" s="62"/>
      <c r="E1666" s="102"/>
      <c r="F1666" s="102"/>
      <c r="G1666" s="102"/>
      <c r="H1666" s="98"/>
      <c r="I1666" s="98"/>
      <c r="J1666" s="135"/>
      <c r="K1666" s="62"/>
      <c r="M1666" s="37"/>
      <c r="N1666" s="37"/>
      <c r="O1666" s="37"/>
      <c r="P1666" s="3"/>
      <c r="Q1666" s="3"/>
      <c r="R1666" s="3"/>
      <c r="S1666" s="3"/>
      <c r="T1666" s="3"/>
      <c r="U1666" s="3"/>
      <c r="V1666" s="3"/>
      <c r="W1666" s="3"/>
      <c r="X1666" s="3"/>
      <c r="Y1666" s="4"/>
      <c r="Z1666"/>
      <c r="AA1666"/>
    </row>
    <row r="1667" spans="1:27" s="49" customFormat="1" x14ac:dyDescent="0.15">
      <c r="A1667" s="165"/>
      <c r="B1667" s="93"/>
      <c r="C1667" s="100"/>
      <c r="D1667" s="61"/>
      <c r="E1667" s="102"/>
      <c r="F1667" s="100"/>
      <c r="G1667" s="100"/>
      <c r="H1667" s="98"/>
      <c r="I1667" s="103"/>
      <c r="J1667" s="135"/>
      <c r="K1667" s="62"/>
      <c r="M1667" s="37"/>
      <c r="N1667" s="37"/>
      <c r="O1667" s="37"/>
      <c r="P1667" s="3"/>
      <c r="Q1667" s="3"/>
      <c r="R1667" s="3"/>
      <c r="S1667" s="3"/>
      <c r="T1667" s="3"/>
      <c r="U1667" s="3"/>
      <c r="V1667" s="3"/>
      <c r="W1667" s="3"/>
      <c r="X1667" s="3"/>
      <c r="Y1667" s="4"/>
      <c r="Z1667"/>
      <c r="AA1667"/>
    </row>
    <row r="1668" spans="1:27" s="49" customFormat="1" x14ac:dyDescent="0.15">
      <c r="A1668" s="165"/>
      <c r="B1668" s="93"/>
      <c r="C1668" s="102"/>
      <c r="D1668" s="62"/>
      <c r="E1668" s="102"/>
      <c r="F1668" s="102"/>
      <c r="G1668" s="102"/>
      <c r="H1668" s="98"/>
      <c r="I1668" s="98"/>
      <c r="J1668" s="135"/>
      <c r="K1668" s="62"/>
      <c r="M1668" s="37"/>
      <c r="N1668" s="37"/>
      <c r="O1668" s="37"/>
      <c r="P1668" s="3"/>
      <c r="Q1668" s="3"/>
      <c r="R1668" s="3"/>
      <c r="S1668" s="3"/>
      <c r="T1668" s="3"/>
      <c r="U1668" s="3"/>
      <c r="V1668" s="3"/>
      <c r="W1668" s="3"/>
      <c r="X1668" s="3"/>
      <c r="Y1668" s="4"/>
      <c r="Z1668"/>
      <c r="AA1668"/>
    </row>
    <row r="1669" spans="1:27" s="49" customFormat="1" x14ac:dyDescent="0.15">
      <c r="A1669" s="165"/>
      <c r="B1669" s="93"/>
      <c r="C1669" s="102"/>
      <c r="D1669" s="62"/>
      <c r="E1669" s="102"/>
      <c r="F1669" s="102"/>
      <c r="G1669" s="102"/>
      <c r="H1669" s="85"/>
      <c r="I1669" s="104"/>
      <c r="J1669" s="144"/>
      <c r="K1669" s="62"/>
      <c r="M1669" s="37"/>
      <c r="N1669" s="37"/>
      <c r="O1669" s="37"/>
      <c r="P1669" s="3"/>
      <c r="Q1669" s="3"/>
      <c r="R1669" s="3"/>
      <c r="S1669" s="3"/>
      <c r="T1669" s="3"/>
      <c r="U1669" s="3"/>
      <c r="V1669" s="3"/>
      <c r="W1669" s="3"/>
      <c r="X1669" s="3"/>
      <c r="Y1669" s="4"/>
      <c r="Z1669"/>
      <c r="AA1669"/>
    </row>
    <row r="1670" spans="1:27" s="49" customFormat="1" x14ac:dyDescent="0.15">
      <c r="A1670" s="165"/>
      <c r="B1670" s="93"/>
      <c r="C1670" s="102"/>
      <c r="D1670" s="62"/>
      <c r="E1670" s="102"/>
      <c r="F1670" s="102"/>
      <c r="G1670" s="102"/>
      <c r="H1670" s="85"/>
      <c r="I1670" s="104"/>
      <c r="J1670" s="144"/>
      <c r="K1670" s="62"/>
      <c r="M1670" s="37"/>
      <c r="N1670" s="37"/>
      <c r="O1670" s="37"/>
      <c r="P1670" s="3"/>
      <c r="Q1670" s="3"/>
      <c r="R1670" s="3"/>
      <c r="S1670" s="3"/>
      <c r="T1670" s="3"/>
      <c r="U1670" s="3"/>
      <c r="V1670" s="3"/>
      <c r="W1670" s="3"/>
      <c r="X1670" s="3"/>
      <c r="Y1670" s="4"/>
      <c r="Z1670"/>
      <c r="AA1670"/>
    </row>
    <row r="1671" spans="1:27" s="49" customFormat="1" x14ac:dyDescent="0.15">
      <c r="A1671" s="165"/>
      <c r="B1671" s="93"/>
      <c r="C1671" s="102"/>
      <c r="D1671" s="62"/>
      <c r="E1671" s="102"/>
      <c r="F1671" s="102"/>
      <c r="G1671" s="102"/>
      <c r="H1671" s="98"/>
      <c r="I1671" s="103"/>
      <c r="J1671" s="135"/>
      <c r="K1671" s="62"/>
      <c r="M1671" s="37"/>
      <c r="N1671" s="37"/>
      <c r="O1671" s="37"/>
      <c r="P1671" s="3"/>
      <c r="Q1671" s="3"/>
      <c r="R1671" s="3"/>
      <c r="S1671" s="3"/>
      <c r="T1671" s="3"/>
      <c r="U1671" s="3"/>
      <c r="V1671" s="3"/>
      <c r="W1671" s="3"/>
      <c r="X1671" s="3"/>
      <c r="Y1671" s="4"/>
      <c r="Z1671"/>
      <c r="AA1671"/>
    </row>
    <row r="1672" spans="1:27" s="49" customFormat="1" x14ac:dyDescent="0.15">
      <c r="A1672" s="165"/>
      <c r="B1672" s="93"/>
      <c r="C1672" s="102"/>
      <c r="D1672" s="62"/>
      <c r="E1672" s="102"/>
      <c r="F1672" s="102"/>
      <c r="G1672" s="102"/>
      <c r="H1672" s="85"/>
      <c r="I1672" s="104"/>
      <c r="J1672" s="144"/>
      <c r="K1672" s="62"/>
      <c r="M1672" s="37"/>
      <c r="N1672" s="37"/>
      <c r="O1672" s="37"/>
      <c r="P1672" s="3"/>
      <c r="Q1672" s="3"/>
      <c r="R1672" s="3"/>
      <c r="S1672" s="3"/>
      <c r="T1672" s="3"/>
      <c r="U1672" s="3"/>
      <c r="V1672" s="3"/>
      <c r="W1672" s="3"/>
      <c r="X1672" s="3"/>
      <c r="Y1672" s="4"/>
      <c r="Z1672"/>
      <c r="AA1672"/>
    </row>
    <row r="1673" spans="1:27" s="49" customFormat="1" x14ac:dyDescent="0.15">
      <c r="A1673" s="165"/>
      <c r="B1673" s="93"/>
      <c r="C1673" s="102"/>
      <c r="D1673" s="62"/>
      <c r="E1673" s="102"/>
      <c r="F1673" s="102"/>
      <c r="G1673" s="102"/>
      <c r="H1673" s="85"/>
      <c r="I1673" s="104"/>
      <c r="J1673" s="144"/>
      <c r="K1673" s="62"/>
      <c r="M1673" s="37"/>
      <c r="N1673" s="37"/>
      <c r="O1673" s="37"/>
      <c r="P1673" s="3"/>
      <c r="Q1673" s="3"/>
      <c r="R1673" s="3"/>
      <c r="S1673" s="3"/>
      <c r="T1673" s="3"/>
      <c r="U1673" s="3"/>
      <c r="V1673" s="3"/>
      <c r="W1673" s="3"/>
      <c r="X1673" s="3"/>
      <c r="Y1673" s="4"/>
      <c r="Z1673"/>
      <c r="AA1673"/>
    </row>
    <row r="1674" spans="1:27" s="49" customFormat="1" x14ac:dyDescent="0.15">
      <c r="A1674" s="165"/>
      <c r="B1674" s="93"/>
      <c r="C1674" s="102"/>
      <c r="D1674" s="62"/>
      <c r="E1674" s="100"/>
      <c r="F1674" s="102"/>
      <c r="G1674" s="102"/>
      <c r="H1674" s="85"/>
      <c r="I1674" s="109"/>
      <c r="J1674" s="138"/>
      <c r="K1674" s="62"/>
      <c r="M1674" s="37"/>
      <c r="N1674" s="37"/>
      <c r="O1674" s="37"/>
      <c r="P1674" s="3"/>
      <c r="Q1674" s="3"/>
      <c r="R1674" s="3"/>
      <c r="S1674" s="3"/>
      <c r="T1674" s="3"/>
      <c r="U1674" s="3"/>
      <c r="V1674" s="3"/>
      <c r="W1674" s="3"/>
      <c r="X1674" s="3"/>
      <c r="Y1674" s="4"/>
      <c r="Z1674"/>
      <c r="AA1674"/>
    </row>
    <row r="1675" spans="1:27" s="49" customFormat="1" x14ac:dyDescent="0.15">
      <c r="A1675" s="165"/>
      <c r="B1675" s="93"/>
      <c r="C1675" s="102"/>
      <c r="D1675" s="62"/>
      <c r="E1675" s="102"/>
      <c r="F1675" s="102"/>
      <c r="G1675" s="102"/>
      <c r="H1675" s="98"/>
      <c r="I1675" s="98"/>
      <c r="J1675" s="135"/>
      <c r="K1675" s="62"/>
      <c r="M1675" s="37"/>
      <c r="N1675" s="37"/>
      <c r="O1675" s="37"/>
      <c r="P1675" s="3"/>
      <c r="Q1675" s="3"/>
      <c r="R1675" s="3"/>
      <c r="S1675" s="3"/>
      <c r="T1675" s="3"/>
      <c r="U1675" s="3"/>
      <c r="V1675" s="3"/>
      <c r="W1675" s="3"/>
      <c r="X1675" s="3"/>
      <c r="Y1675" s="4"/>
      <c r="Z1675"/>
      <c r="AA1675"/>
    </row>
    <row r="1676" spans="1:27" s="49" customFormat="1" x14ac:dyDescent="0.15">
      <c r="A1676" s="165"/>
      <c r="B1676" s="93"/>
      <c r="C1676" s="102"/>
      <c r="D1676" s="62"/>
      <c r="E1676" s="102"/>
      <c r="F1676" s="102"/>
      <c r="G1676" s="102"/>
      <c r="H1676" s="98"/>
      <c r="I1676" s="98"/>
      <c r="J1676" s="135"/>
      <c r="K1676" s="62"/>
      <c r="M1676" s="37"/>
      <c r="N1676" s="37"/>
      <c r="O1676" s="37"/>
      <c r="P1676" s="3"/>
      <c r="Q1676" s="3"/>
      <c r="R1676" s="3"/>
      <c r="S1676" s="3"/>
      <c r="T1676" s="3"/>
      <c r="U1676" s="3"/>
      <c r="V1676" s="3"/>
      <c r="W1676" s="3"/>
      <c r="X1676" s="3"/>
      <c r="Y1676" s="4"/>
      <c r="Z1676"/>
      <c r="AA1676"/>
    </row>
    <row r="1677" spans="1:27" s="49" customFormat="1" x14ac:dyDescent="0.15">
      <c r="A1677" s="165"/>
      <c r="B1677" s="93"/>
      <c r="C1677" s="102"/>
      <c r="D1677" s="62"/>
      <c r="E1677" s="102"/>
      <c r="F1677" s="102"/>
      <c r="G1677" s="102"/>
      <c r="H1677" s="98"/>
      <c r="I1677" s="98"/>
      <c r="J1677" s="135"/>
      <c r="K1677" s="62"/>
      <c r="M1677" s="37"/>
      <c r="N1677" s="37"/>
      <c r="O1677" s="37"/>
      <c r="P1677" s="3"/>
      <c r="Q1677" s="3"/>
      <c r="R1677" s="3"/>
      <c r="S1677" s="3"/>
      <c r="T1677" s="3"/>
      <c r="U1677" s="3"/>
      <c r="V1677" s="3"/>
      <c r="W1677" s="3"/>
      <c r="X1677" s="3"/>
      <c r="Y1677" s="4"/>
      <c r="Z1677"/>
      <c r="AA1677"/>
    </row>
    <row r="1678" spans="1:27" s="49" customFormat="1" x14ac:dyDescent="0.15">
      <c r="A1678" s="165"/>
      <c r="B1678" s="93"/>
      <c r="C1678" s="102"/>
      <c r="D1678" s="62"/>
      <c r="E1678" s="102"/>
      <c r="F1678" s="102"/>
      <c r="G1678" s="102"/>
      <c r="H1678" s="98"/>
      <c r="I1678" s="98"/>
      <c r="J1678" s="135"/>
      <c r="K1678" s="62"/>
      <c r="M1678" s="37"/>
      <c r="N1678" s="37"/>
      <c r="O1678" s="37"/>
      <c r="P1678" s="3"/>
      <c r="Q1678" s="3"/>
      <c r="R1678" s="3"/>
      <c r="S1678" s="3"/>
      <c r="T1678" s="3"/>
      <c r="U1678" s="3"/>
      <c r="V1678" s="3"/>
      <c r="W1678" s="3"/>
      <c r="X1678" s="3"/>
      <c r="Y1678" s="4"/>
      <c r="Z1678"/>
      <c r="AA1678"/>
    </row>
    <row r="1679" spans="1:27" s="3" customFormat="1" x14ac:dyDescent="0.15">
      <c r="A1679" s="165"/>
      <c r="B1679" s="93"/>
      <c r="C1679" s="102"/>
      <c r="D1679" s="62"/>
      <c r="E1679" s="102"/>
      <c r="F1679" s="102"/>
      <c r="G1679" s="102"/>
      <c r="H1679" s="98"/>
      <c r="I1679" s="98"/>
      <c r="J1679" s="135"/>
      <c r="K1679" s="62"/>
      <c r="L1679" s="49"/>
      <c r="M1679" s="37"/>
      <c r="N1679" s="37"/>
      <c r="O1679" s="37"/>
      <c r="Y1679" s="4"/>
      <c r="Z1679"/>
      <c r="AA1679"/>
    </row>
    <row r="1680" spans="1:27" s="3" customFormat="1" x14ac:dyDescent="0.15">
      <c r="A1680" s="165"/>
      <c r="B1680" s="93"/>
      <c r="C1680" s="102"/>
      <c r="D1680" s="62"/>
      <c r="E1680" s="102"/>
      <c r="F1680" s="102"/>
      <c r="G1680" s="102"/>
      <c r="H1680" s="98"/>
      <c r="I1680" s="98"/>
      <c r="J1680" s="135"/>
      <c r="K1680" s="62"/>
      <c r="L1680" s="49"/>
      <c r="M1680" s="37"/>
      <c r="N1680" s="37"/>
      <c r="O1680" s="37"/>
      <c r="Y1680" s="4"/>
      <c r="Z1680"/>
      <c r="AA1680"/>
    </row>
    <row r="1681" spans="1:27" s="3" customFormat="1" x14ac:dyDescent="0.15">
      <c r="A1681" s="165"/>
      <c r="B1681" s="93"/>
      <c r="C1681" s="102"/>
      <c r="D1681" s="62"/>
      <c r="E1681" s="102"/>
      <c r="F1681" s="102"/>
      <c r="G1681" s="102"/>
      <c r="H1681" s="98"/>
      <c r="I1681" s="98"/>
      <c r="J1681" s="135"/>
      <c r="K1681" s="62"/>
      <c r="L1681" s="49"/>
      <c r="M1681" s="37"/>
      <c r="N1681" s="37"/>
      <c r="O1681" s="37"/>
      <c r="Y1681" s="4"/>
      <c r="Z1681"/>
      <c r="AA1681"/>
    </row>
    <row r="1682" spans="1:27" s="3" customFormat="1" x14ac:dyDescent="0.15">
      <c r="A1682" s="165"/>
      <c r="B1682" s="93"/>
      <c r="C1682" s="102"/>
      <c r="D1682" s="62"/>
      <c r="E1682" s="102"/>
      <c r="F1682" s="102"/>
      <c r="G1682" s="102"/>
      <c r="H1682" s="98"/>
      <c r="I1682" s="98"/>
      <c r="J1682" s="135"/>
      <c r="K1682" s="62"/>
      <c r="L1682" s="49"/>
      <c r="M1682" s="37"/>
      <c r="N1682" s="37"/>
      <c r="O1682" s="37"/>
      <c r="Y1682" s="4"/>
      <c r="Z1682"/>
      <c r="AA1682"/>
    </row>
    <row r="1683" spans="1:27" s="3" customFormat="1" x14ac:dyDescent="0.15">
      <c r="A1683" s="165"/>
      <c r="B1683" s="93"/>
      <c r="C1683" s="102"/>
      <c r="D1683" s="62"/>
      <c r="E1683" s="102"/>
      <c r="F1683" s="102"/>
      <c r="G1683" s="102"/>
      <c r="H1683" s="98"/>
      <c r="I1683" s="98"/>
      <c r="J1683" s="135"/>
      <c r="K1683" s="62"/>
      <c r="L1683" s="49"/>
      <c r="M1683" s="37"/>
      <c r="N1683" s="37"/>
      <c r="O1683" s="37"/>
      <c r="Y1683" s="4"/>
      <c r="Z1683"/>
      <c r="AA1683"/>
    </row>
    <row r="1684" spans="1:27" s="3" customFormat="1" x14ac:dyDescent="0.15">
      <c r="A1684" s="165"/>
      <c r="B1684" s="93"/>
      <c r="C1684" s="102"/>
      <c r="D1684" s="62"/>
      <c r="E1684" s="102"/>
      <c r="F1684" s="102"/>
      <c r="G1684" s="102"/>
      <c r="H1684" s="98"/>
      <c r="I1684" s="98"/>
      <c r="J1684" s="135"/>
      <c r="K1684" s="62"/>
      <c r="L1684" s="49"/>
      <c r="M1684" s="37"/>
      <c r="N1684" s="37"/>
      <c r="O1684" s="37"/>
      <c r="Y1684" s="4"/>
      <c r="Z1684"/>
      <c r="AA1684"/>
    </row>
    <row r="1685" spans="1:27" s="3" customFormat="1" x14ac:dyDescent="0.15">
      <c r="A1685" s="165"/>
      <c r="B1685" s="93"/>
      <c r="C1685" s="102"/>
      <c r="D1685" s="62"/>
      <c r="E1685" s="102"/>
      <c r="F1685" s="102"/>
      <c r="G1685" s="102"/>
      <c r="H1685" s="98"/>
      <c r="I1685" s="98"/>
      <c r="J1685" s="135"/>
      <c r="K1685" s="62"/>
      <c r="L1685" s="49"/>
      <c r="M1685" s="37"/>
      <c r="N1685" s="37"/>
      <c r="O1685" s="37"/>
      <c r="Y1685" s="4"/>
      <c r="Z1685"/>
      <c r="AA1685"/>
    </row>
    <row r="1686" spans="1:27" s="3" customFormat="1" x14ac:dyDescent="0.15">
      <c r="A1686" s="165"/>
      <c r="B1686" s="93"/>
      <c r="C1686" s="102"/>
      <c r="D1686" s="62"/>
      <c r="E1686" s="102"/>
      <c r="F1686" s="102"/>
      <c r="G1686" s="102"/>
      <c r="H1686" s="98"/>
      <c r="I1686" s="98"/>
      <c r="J1686" s="135"/>
      <c r="K1686" s="62"/>
      <c r="L1686" s="49"/>
      <c r="M1686" s="37"/>
      <c r="N1686" s="37"/>
      <c r="O1686" s="37"/>
      <c r="Y1686" s="4"/>
      <c r="Z1686"/>
      <c r="AA1686"/>
    </row>
    <row r="1687" spans="1:27" s="3" customFormat="1" x14ac:dyDescent="0.15">
      <c r="A1687" s="165"/>
      <c r="B1687" s="93"/>
      <c r="C1687" s="102"/>
      <c r="D1687" s="62"/>
      <c r="E1687" s="102"/>
      <c r="F1687" s="102"/>
      <c r="G1687" s="102"/>
      <c r="H1687" s="98"/>
      <c r="I1687" s="98"/>
      <c r="J1687" s="135"/>
      <c r="K1687" s="62"/>
      <c r="L1687" s="49"/>
      <c r="M1687" s="37"/>
      <c r="N1687" s="37"/>
      <c r="O1687" s="37"/>
      <c r="P1687" s="14"/>
      <c r="Q1687" s="14"/>
      <c r="Y1687" s="4"/>
      <c r="Z1687"/>
      <c r="AA1687"/>
    </row>
    <row r="1688" spans="1:27" s="3" customFormat="1" x14ac:dyDescent="0.15">
      <c r="A1688" s="165"/>
      <c r="B1688" s="93"/>
      <c r="C1688" s="102"/>
      <c r="D1688" s="62"/>
      <c r="E1688" s="102"/>
      <c r="F1688" s="102"/>
      <c r="G1688" s="102"/>
      <c r="H1688" s="98"/>
      <c r="I1688" s="98"/>
      <c r="J1688" s="135"/>
      <c r="K1688" s="62"/>
      <c r="L1688" s="49"/>
      <c r="M1688" s="37"/>
      <c r="N1688" s="37"/>
      <c r="O1688" s="37"/>
      <c r="Y1688" s="4"/>
      <c r="Z1688"/>
      <c r="AA1688"/>
    </row>
    <row r="1689" spans="1:27" s="3" customFormat="1" x14ac:dyDescent="0.15">
      <c r="A1689" s="165"/>
      <c r="B1689" s="93"/>
      <c r="C1689" s="102"/>
      <c r="D1689" s="62"/>
      <c r="E1689" s="102"/>
      <c r="F1689" s="102"/>
      <c r="G1689" s="102"/>
      <c r="H1689" s="85"/>
      <c r="I1689" s="104"/>
      <c r="J1689" s="144"/>
      <c r="K1689" s="62"/>
      <c r="L1689" s="49"/>
      <c r="M1689" s="37"/>
      <c r="N1689" s="37"/>
      <c r="O1689" s="37"/>
      <c r="Y1689" s="4"/>
      <c r="Z1689"/>
      <c r="AA1689"/>
    </row>
    <row r="1690" spans="1:27" s="3" customFormat="1" x14ac:dyDescent="0.15">
      <c r="A1690" s="165"/>
      <c r="B1690" s="93"/>
      <c r="C1690" s="102"/>
      <c r="D1690" s="62"/>
      <c r="E1690" s="102"/>
      <c r="F1690" s="102"/>
      <c r="G1690" s="102"/>
      <c r="H1690" s="85"/>
      <c r="I1690" s="104"/>
      <c r="J1690" s="144"/>
      <c r="K1690" s="62"/>
      <c r="L1690" s="49"/>
      <c r="M1690" s="37"/>
      <c r="N1690" s="37"/>
      <c r="O1690" s="37"/>
      <c r="Y1690" s="4"/>
      <c r="Z1690"/>
      <c r="AA1690"/>
    </row>
    <row r="1691" spans="1:27" s="3" customFormat="1" x14ac:dyDescent="0.15">
      <c r="A1691" s="165"/>
      <c r="B1691" s="93"/>
      <c r="C1691" s="102"/>
      <c r="D1691" s="62"/>
      <c r="E1691" s="102"/>
      <c r="F1691" s="102"/>
      <c r="G1691" s="102"/>
      <c r="H1691" s="85"/>
      <c r="I1691" s="104"/>
      <c r="J1691" s="144"/>
      <c r="K1691" s="62"/>
      <c r="L1691" s="49"/>
      <c r="M1691" s="37"/>
      <c r="N1691" s="37"/>
      <c r="O1691" s="37"/>
      <c r="Y1691" s="4"/>
      <c r="Z1691"/>
      <c r="AA1691"/>
    </row>
    <row r="1692" spans="1:27" s="3" customFormat="1" x14ac:dyDescent="0.15">
      <c r="A1692" s="165"/>
      <c r="B1692" s="93"/>
      <c r="C1692" s="102"/>
      <c r="D1692" s="62"/>
      <c r="E1692" s="102"/>
      <c r="F1692" s="102"/>
      <c r="G1692" s="102"/>
      <c r="H1692" s="85"/>
      <c r="I1692" s="104"/>
      <c r="J1692" s="144"/>
      <c r="K1692" s="62"/>
      <c r="L1692" s="49"/>
      <c r="M1692" s="37"/>
      <c r="N1692" s="37"/>
      <c r="O1692" s="37"/>
      <c r="Y1692" s="4"/>
      <c r="Z1692"/>
      <c r="AA1692"/>
    </row>
    <row r="1693" spans="1:27" s="3" customFormat="1" x14ac:dyDescent="0.15">
      <c r="A1693" s="165"/>
      <c r="B1693" s="93"/>
      <c r="C1693" s="102"/>
      <c r="D1693" s="62"/>
      <c r="E1693" s="102"/>
      <c r="F1693" s="102"/>
      <c r="G1693" s="102"/>
      <c r="H1693" s="85"/>
      <c r="I1693" s="104"/>
      <c r="J1693" s="144"/>
      <c r="K1693" s="62"/>
      <c r="L1693" s="49"/>
      <c r="M1693" s="37"/>
      <c r="N1693" s="37"/>
      <c r="O1693" s="37"/>
      <c r="Y1693" s="4"/>
      <c r="Z1693"/>
      <c r="AA1693"/>
    </row>
    <row r="1694" spans="1:27" s="3" customFormat="1" x14ac:dyDescent="0.15">
      <c r="A1694" s="165"/>
      <c r="B1694" s="93"/>
      <c r="C1694" s="102"/>
      <c r="D1694" s="62"/>
      <c r="E1694" s="102"/>
      <c r="F1694" s="102"/>
      <c r="G1694" s="102"/>
      <c r="H1694" s="85"/>
      <c r="I1694" s="101"/>
      <c r="J1694" s="144"/>
      <c r="K1694" s="62"/>
      <c r="L1694" s="49"/>
      <c r="M1694" s="37"/>
      <c r="N1694" s="37"/>
      <c r="O1694" s="37"/>
      <c r="Y1694" s="4"/>
      <c r="Z1694"/>
      <c r="AA1694"/>
    </row>
    <row r="1695" spans="1:27" s="49" customFormat="1" x14ac:dyDescent="0.15">
      <c r="A1695" s="165"/>
      <c r="B1695" s="93"/>
      <c r="C1695" s="102"/>
      <c r="D1695" s="62"/>
      <c r="E1695" s="102"/>
      <c r="F1695" s="102"/>
      <c r="G1695" s="102"/>
      <c r="H1695" s="85"/>
      <c r="I1695" s="104"/>
      <c r="J1695" s="144"/>
      <c r="K1695" s="62"/>
      <c r="M1695" s="37"/>
      <c r="N1695" s="37"/>
      <c r="O1695" s="37"/>
      <c r="P1695" s="3"/>
      <c r="Q1695" s="3"/>
      <c r="R1695" s="3"/>
      <c r="S1695" s="3"/>
      <c r="T1695" s="3"/>
      <c r="U1695" s="3"/>
      <c r="V1695" s="3"/>
      <c r="W1695" s="3"/>
      <c r="X1695" s="3"/>
      <c r="Y1695" s="4"/>
      <c r="Z1695"/>
      <c r="AA1695"/>
    </row>
    <row r="1696" spans="1:27" s="49" customFormat="1" x14ac:dyDescent="0.15">
      <c r="A1696" s="165"/>
      <c r="B1696" s="93"/>
      <c r="C1696" s="102"/>
      <c r="D1696" s="62"/>
      <c r="E1696" s="102"/>
      <c r="F1696" s="102"/>
      <c r="G1696" s="102"/>
      <c r="H1696" s="85"/>
      <c r="I1696" s="104"/>
      <c r="J1696" s="144"/>
      <c r="K1696" s="62"/>
      <c r="M1696" s="37"/>
      <c r="N1696" s="37"/>
      <c r="O1696" s="37"/>
      <c r="P1696" s="3"/>
      <c r="Q1696" s="3"/>
      <c r="R1696" s="3"/>
      <c r="S1696" s="3"/>
      <c r="T1696" s="3"/>
      <c r="U1696" s="3"/>
      <c r="V1696" s="3"/>
      <c r="W1696" s="3"/>
      <c r="X1696" s="3"/>
      <c r="Y1696" s="4"/>
      <c r="Z1696"/>
      <c r="AA1696"/>
    </row>
    <row r="1697" spans="1:27" s="49" customFormat="1" x14ac:dyDescent="0.15">
      <c r="A1697" s="165"/>
      <c r="B1697" s="93"/>
      <c r="C1697" s="102"/>
      <c r="D1697" s="62"/>
      <c r="E1697" s="102"/>
      <c r="F1697" s="102"/>
      <c r="G1697" s="102"/>
      <c r="H1697" s="85"/>
      <c r="I1697" s="104"/>
      <c r="J1697" s="144"/>
      <c r="K1697" s="62"/>
      <c r="M1697" s="37"/>
      <c r="N1697" s="37"/>
      <c r="O1697" s="37"/>
      <c r="P1697" s="3"/>
      <c r="Q1697" s="3"/>
      <c r="R1697" s="3"/>
      <c r="S1697" s="3"/>
      <c r="T1697" s="3"/>
      <c r="U1697" s="3"/>
      <c r="V1697" s="3"/>
      <c r="W1697" s="3"/>
      <c r="X1697" s="3"/>
      <c r="Y1697" s="4"/>
      <c r="Z1697"/>
      <c r="AA1697"/>
    </row>
    <row r="1698" spans="1:27" s="49" customFormat="1" x14ac:dyDescent="0.15">
      <c r="A1698" s="165"/>
      <c r="B1698" s="93"/>
      <c r="C1698" s="102"/>
      <c r="D1698" s="62"/>
      <c r="E1698" s="102"/>
      <c r="F1698" s="102"/>
      <c r="G1698" s="102"/>
      <c r="H1698" s="85"/>
      <c r="I1698" s="104"/>
      <c r="J1698" s="144"/>
      <c r="K1698" s="62"/>
      <c r="M1698" s="37"/>
      <c r="N1698" s="37"/>
      <c r="O1698" s="37"/>
      <c r="P1698" s="3"/>
      <c r="Q1698" s="3"/>
      <c r="R1698" s="3"/>
      <c r="S1698" s="3"/>
      <c r="T1698" s="3"/>
      <c r="U1698" s="3"/>
      <c r="V1698" s="3"/>
      <c r="W1698" s="3"/>
      <c r="X1698" s="3"/>
      <c r="Y1698" s="4"/>
      <c r="Z1698"/>
      <c r="AA1698"/>
    </row>
    <row r="1699" spans="1:27" s="49" customFormat="1" x14ac:dyDescent="0.15">
      <c r="A1699" s="165"/>
      <c r="B1699" s="93"/>
      <c r="C1699" s="102"/>
      <c r="D1699" s="62"/>
      <c r="E1699" s="102"/>
      <c r="F1699" s="102"/>
      <c r="G1699" s="102"/>
      <c r="H1699" s="85"/>
      <c r="I1699" s="104"/>
      <c r="J1699" s="144"/>
      <c r="K1699" s="62"/>
      <c r="M1699" s="37"/>
      <c r="N1699" s="37"/>
      <c r="O1699" s="37"/>
      <c r="P1699" s="3"/>
      <c r="Q1699" s="3"/>
      <c r="R1699" s="3"/>
      <c r="S1699" s="3"/>
      <c r="T1699" s="3"/>
      <c r="U1699" s="3"/>
      <c r="V1699" s="3"/>
      <c r="W1699" s="3"/>
      <c r="X1699" s="3"/>
      <c r="Y1699" s="4"/>
      <c r="Z1699"/>
      <c r="AA1699"/>
    </row>
    <row r="1700" spans="1:27" s="49" customFormat="1" x14ac:dyDescent="0.15">
      <c r="A1700" s="165"/>
      <c r="B1700" s="93"/>
      <c r="C1700" s="102"/>
      <c r="D1700" s="62"/>
      <c r="E1700" s="102"/>
      <c r="F1700" s="102"/>
      <c r="G1700" s="102"/>
      <c r="H1700" s="85"/>
      <c r="I1700" s="104"/>
      <c r="J1700" s="144"/>
      <c r="K1700" s="62"/>
      <c r="M1700" s="37"/>
      <c r="N1700" s="37"/>
      <c r="O1700" s="37"/>
      <c r="P1700" s="3"/>
      <c r="Q1700" s="3"/>
      <c r="R1700" s="3"/>
      <c r="S1700" s="3"/>
      <c r="T1700" s="3"/>
      <c r="U1700" s="3"/>
      <c r="V1700" s="3"/>
      <c r="W1700" s="3"/>
      <c r="X1700" s="3"/>
      <c r="Y1700" s="4"/>
      <c r="Z1700"/>
      <c r="AA1700"/>
    </row>
    <row r="1701" spans="1:27" s="49" customFormat="1" x14ac:dyDescent="0.15">
      <c r="A1701" s="165"/>
      <c r="B1701" s="93"/>
      <c r="C1701" s="102"/>
      <c r="D1701" s="62"/>
      <c r="E1701" s="102"/>
      <c r="F1701" s="102"/>
      <c r="G1701" s="102"/>
      <c r="H1701" s="85"/>
      <c r="I1701" s="104"/>
      <c r="J1701" s="144"/>
      <c r="K1701" s="62"/>
      <c r="M1701" s="37"/>
      <c r="N1701" s="37"/>
      <c r="O1701" s="37"/>
      <c r="P1701" s="3"/>
      <c r="Q1701" s="3"/>
      <c r="R1701" s="3"/>
      <c r="S1701" s="3"/>
      <c r="T1701" s="3"/>
      <c r="U1701" s="3"/>
      <c r="V1701" s="3"/>
      <c r="W1701" s="3"/>
      <c r="X1701" s="3"/>
      <c r="Y1701" s="4"/>
      <c r="Z1701"/>
      <c r="AA1701"/>
    </row>
    <row r="1702" spans="1:27" s="49" customFormat="1" x14ac:dyDescent="0.15">
      <c r="A1702" s="165"/>
      <c r="B1702" s="93"/>
      <c r="C1702" s="102"/>
      <c r="D1702" s="62"/>
      <c r="E1702" s="102"/>
      <c r="F1702" s="102"/>
      <c r="G1702" s="102"/>
      <c r="H1702" s="85"/>
      <c r="I1702" s="104"/>
      <c r="J1702" s="144"/>
      <c r="K1702" s="62"/>
      <c r="M1702" s="37"/>
      <c r="N1702" s="37"/>
      <c r="O1702" s="37"/>
      <c r="P1702" s="3"/>
      <c r="Q1702" s="3"/>
      <c r="R1702" s="3"/>
      <c r="S1702" s="3"/>
      <c r="T1702" s="3"/>
      <c r="U1702" s="3"/>
      <c r="V1702" s="3"/>
      <c r="W1702" s="3"/>
      <c r="X1702" s="3"/>
      <c r="Y1702" s="4"/>
      <c r="Z1702"/>
      <c r="AA1702"/>
    </row>
    <row r="1703" spans="1:27" s="49" customFormat="1" x14ac:dyDescent="0.15">
      <c r="A1703" s="165"/>
      <c r="B1703" s="93"/>
      <c r="C1703" s="102"/>
      <c r="D1703" s="62"/>
      <c r="E1703" s="102"/>
      <c r="F1703" s="102"/>
      <c r="G1703" s="102"/>
      <c r="H1703" s="85"/>
      <c r="I1703" s="104"/>
      <c r="J1703" s="144"/>
      <c r="K1703" s="62"/>
      <c r="M1703" s="37"/>
      <c r="N1703" s="37"/>
      <c r="O1703" s="37"/>
      <c r="P1703" s="3"/>
      <c r="Q1703" s="3"/>
      <c r="R1703" s="3"/>
      <c r="S1703" s="3"/>
      <c r="T1703" s="3"/>
      <c r="U1703" s="3"/>
      <c r="V1703" s="3"/>
      <c r="W1703" s="3"/>
      <c r="X1703" s="3"/>
      <c r="Y1703" s="4"/>
      <c r="Z1703"/>
      <c r="AA1703"/>
    </row>
    <row r="1704" spans="1:27" s="49" customFormat="1" x14ac:dyDescent="0.15">
      <c r="A1704" s="165"/>
      <c r="B1704" s="93"/>
      <c r="C1704" s="102"/>
      <c r="D1704" s="62"/>
      <c r="E1704" s="102"/>
      <c r="F1704" s="102"/>
      <c r="G1704" s="102"/>
      <c r="H1704" s="85"/>
      <c r="I1704" s="104"/>
      <c r="J1704" s="144"/>
      <c r="K1704" s="62"/>
      <c r="M1704" s="37"/>
      <c r="N1704" s="37"/>
      <c r="O1704" s="37"/>
      <c r="P1704" s="3"/>
      <c r="Q1704" s="3"/>
      <c r="R1704" s="3"/>
      <c r="S1704" s="3"/>
      <c r="T1704" s="3"/>
      <c r="U1704" s="3"/>
      <c r="V1704" s="3"/>
      <c r="W1704" s="3"/>
      <c r="X1704" s="3"/>
      <c r="Y1704" s="4"/>
      <c r="Z1704"/>
      <c r="AA1704"/>
    </row>
    <row r="1705" spans="1:27" s="49" customFormat="1" x14ac:dyDescent="0.15">
      <c r="A1705" s="165"/>
      <c r="B1705" s="93"/>
      <c r="C1705" s="102"/>
      <c r="D1705" s="62"/>
      <c r="E1705" s="102"/>
      <c r="F1705" s="102"/>
      <c r="G1705" s="102"/>
      <c r="H1705" s="85"/>
      <c r="I1705" s="104"/>
      <c r="J1705" s="144"/>
      <c r="K1705" s="62"/>
      <c r="M1705" s="37"/>
      <c r="N1705" s="37"/>
      <c r="O1705" s="37"/>
      <c r="P1705" s="3"/>
      <c r="Q1705" s="3"/>
      <c r="R1705" s="3"/>
      <c r="S1705" s="3"/>
      <c r="T1705" s="3"/>
      <c r="U1705" s="3"/>
      <c r="V1705" s="3"/>
      <c r="W1705" s="3"/>
      <c r="X1705" s="3"/>
      <c r="Y1705" s="4"/>
      <c r="Z1705"/>
      <c r="AA1705"/>
    </row>
    <row r="1706" spans="1:27" s="49" customFormat="1" x14ac:dyDescent="0.15">
      <c r="A1706" s="165"/>
      <c r="B1706" s="93"/>
      <c r="C1706" s="102"/>
      <c r="D1706" s="62"/>
      <c r="E1706" s="102"/>
      <c r="F1706" s="102"/>
      <c r="G1706" s="102"/>
      <c r="H1706" s="85"/>
      <c r="I1706" s="104"/>
      <c r="J1706" s="144"/>
      <c r="K1706" s="62"/>
      <c r="M1706" s="37"/>
      <c r="N1706" s="37"/>
      <c r="O1706" s="37"/>
      <c r="P1706" s="3"/>
      <c r="Q1706" s="3"/>
      <c r="R1706" s="3"/>
      <c r="S1706" s="3"/>
      <c r="T1706" s="3"/>
      <c r="U1706" s="3"/>
      <c r="V1706" s="3"/>
      <c r="W1706" s="3"/>
      <c r="X1706" s="3"/>
      <c r="Y1706" s="4"/>
      <c r="Z1706"/>
      <c r="AA1706"/>
    </row>
    <row r="1707" spans="1:27" s="49" customFormat="1" x14ac:dyDescent="0.15">
      <c r="A1707" s="62"/>
      <c r="B1707" s="93"/>
      <c r="C1707" s="102"/>
      <c r="D1707" s="62"/>
      <c r="E1707" s="102"/>
      <c r="F1707" s="102"/>
      <c r="G1707" s="102"/>
      <c r="H1707" s="85"/>
      <c r="I1707" s="104"/>
      <c r="J1707" s="144"/>
      <c r="K1707" s="62"/>
      <c r="M1707" s="37"/>
      <c r="N1707" s="37"/>
      <c r="O1707" s="37"/>
      <c r="P1707" s="3"/>
      <c r="Q1707" s="3"/>
      <c r="R1707" s="3"/>
      <c r="S1707" s="3"/>
      <c r="T1707" s="3"/>
      <c r="U1707" s="3"/>
      <c r="V1707" s="3"/>
      <c r="W1707" s="3"/>
      <c r="X1707" s="3"/>
      <c r="Y1707" s="4"/>
      <c r="Z1707"/>
      <c r="AA1707"/>
    </row>
    <row r="1708" spans="1:27" s="49" customFormat="1" x14ac:dyDescent="0.15">
      <c r="A1708" s="62"/>
      <c r="B1708" s="93"/>
      <c r="C1708" s="102"/>
      <c r="D1708" s="62"/>
      <c r="E1708" s="102"/>
      <c r="F1708" s="102"/>
      <c r="G1708" s="102"/>
      <c r="H1708" s="85"/>
      <c r="I1708" s="104"/>
      <c r="J1708" s="144"/>
      <c r="K1708" s="62"/>
      <c r="M1708" s="37"/>
      <c r="N1708" s="37"/>
      <c r="O1708" s="37"/>
      <c r="P1708" s="3"/>
      <c r="Q1708" s="3"/>
      <c r="R1708" s="3"/>
      <c r="S1708" s="3"/>
      <c r="T1708" s="3"/>
      <c r="U1708" s="3"/>
      <c r="V1708" s="3"/>
      <c r="W1708" s="3"/>
      <c r="X1708" s="3"/>
      <c r="Y1708" s="4"/>
      <c r="Z1708"/>
      <c r="AA1708"/>
    </row>
    <row r="1709" spans="1:27" s="49" customFormat="1" x14ac:dyDescent="0.15">
      <c r="A1709" s="62"/>
      <c r="B1709" s="93"/>
      <c r="C1709" s="102"/>
      <c r="D1709" s="62"/>
      <c r="E1709" s="102"/>
      <c r="F1709" s="102"/>
      <c r="G1709" s="102"/>
      <c r="H1709" s="85"/>
      <c r="I1709" s="104"/>
      <c r="J1709" s="144"/>
      <c r="K1709" s="62"/>
      <c r="M1709" s="37"/>
      <c r="N1709" s="37"/>
      <c r="O1709" s="37"/>
      <c r="P1709" s="3"/>
      <c r="Q1709" s="3"/>
      <c r="R1709" s="3"/>
      <c r="S1709" s="3"/>
      <c r="T1709" s="3"/>
      <c r="U1709" s="3"/>
      <c r="V1709" s="3"/>
      <c r="W1709" s="3"/>
      <c r="X1709" s="3"/>
      <c r="Y1709" s="4"/>
      <c r="Z1709"/>
      <c r="AA1709"/>
    </row>
    <row r="1710" spans="1:27" s="49" customFormat="1" x14ac:dyDescent="0.15">
      <c r="A1710" s="165"/>
      <c r="B1710" s="93"/>
      <c r="C1710" s="102"/>
      <c r="D1710" s="62"/>
      <c r="E1710" s="100"/>
      <c r="F1710" s="102"/>
      <c r="G1710" s="102"/>
      <c r="H1710" s="85"/>
      <c r="I1710" s="104"/>
      <c r="J1710" s="144"/>
      <c r="K1710" s="62"/>
      <c r="M1710" s="37"/>
      <c r="N1710" s="37"/>
      <c r="O1710" s="37"/>
      <c r="P1710" s="3"/>
      <c r="Q1710" s="3"/>
      <c r="R1710" s="3"/>
      <c r="S1710" s="3"/>
      <c r="T1710" s="3"/>
      <c r="U1710" s="3"/>
      <c r="V1710" s="3"/>
      <c r="W1710" s="3"/>
      <c r="X1710" s="3"/>
      <c r="Y1710" s="4"/>
      <c r="Z1710"/>
      <c r="AA1710"/>
    </row>
    <row r="1711" spans="1:27" s="49" customFormat="1" x14ac:dyDescent="0.15">
      <c r="A1711" s="62"/>
      <c r="B1711" s="93"/>
      <c r="C1711" s="102"/>
      <c r="D1711" s="62"/>
      <c r="E1711" s="102"/>
      <c r="F1711" s="102"/>
      <c r="G1711" s="102"/>
      <c r="H1711" s="85"/>
      <c r="I1711" s="98"/>
      <c r="J1711" s="135"/>
      <c r="K1711" s="62"/>
      <c r="M1711" s="37"/>
      <c r="N1711" s="37"/>
      <c r="O1711" s="37"/>
      <c r="P1711" s="3"/>
      <c r="Q1711" s="3"/>
      <c r="R1711" s="3"/>
      <c r="S1711" s="3"/>
      <c r="T1711" s="3"/>
      <c r="U1711" s="3"/>
      <c r="V1711" s="3"/>
      <c r="W1711" s="3"/>
      <c r="X1711" s="3"/>
      <c r="Y1711" s="4"/>
      <c r="Z1711"/>
      <c r="AA1711"/>
    </row>
    <row r="1712" spans="1:27" s="49" customFormat="1" x14ac:dyDescent="0.15">
      <c r="A1712" s="62"/>
      <c r="B1712" s="93"/>
      <c r="C1712" s="102"/>
      <c r="D1712" s="62"/>
      <c r="E1712" s="102"/>
      <c r="F1712" s="102"/>
      <c r="G1712" s="102"/>
      <c r="H1712" s="98"/>
      <c r="I1712" s="98"/>
      <c r="J1712" s="135"/>
      <c r="K1712" s="62"/>
      <c r="M1712" s="37"/>
      <c r="N1712" s="37"/>
      <c r="O1712" s="37"/>
      <c r="P1712" s="3"/>
      <c r="Q1712" s="3"/>
      <c r="R1712" s="3"/>
      <c r="S1712" s="3"/>
      <c r="T1712" s="3"/>
      <c r="U1712" s="3"/>
      <c r="V1712" s="3"/>
      <c r="W1712" s="3"/>
      <c r="X1712" s="3"/>
      <c r="Y1712" s="4"/>
      <c r="Z1712"/>
      <c r="AA1712"/>
    </row>
    <row r="1713" spans="1:27" s="49" customFormat="1" x14ac:dyDescent="0.15">
      <c r="A1713" s="165"/>
      <c r="B1713" s="93"/>
      <c r="C1713" s="102"/>
      <c r="D1713" s="62"/>
      <c r="E1713" s="102"/>
      <c r="F1713" s="102"/>
      <c r="G1713" s="102"/>
      <c r="H1713" s="98"/>
      <c r="I1713" s="98"/>
      <c r="J1713" s="135"/>
      <c r="K1713" s="62"/>
      <c r="M1713" s="37"/>
      <c r="N1713" s="37"/>
      <c r="O1713" s="37"/>
      <c r="P1713" s="3"/>
      <c r="Q1713" s="3"/>
      <c r="R1713" s="3"/>
      <c r="S1713" s="3"/>
      <c r="T1713" s="3"/>
      <c r="U1713" s="3"/>
      <c r="V1713" s="3"/>
      <c r="W1713" s="3"/>
      <c r="X1713" s="3"/>
      <c r="Y1713" s="4"/>
      <c r="Z1713"/>
      <c r="AA1713"/>
    </row>
    <row r="1714" spans="1:27" s="49" customFormat="1" x14ac:dyDescent="0.15">
      <c r="A1714" s="165"/>
      <c r="B1714" s="93"/>
      <c r="C1714" s="102"/>
      <c r="D1714" s="62"/>
      <c r="E1714" s="102"/>
      <c r="F1714" s="102"/>
      <c r="G1714" s="102"/>
      <c r="H1714" s="85"/>
      <c r="I1714" s="104"/>
      <c r="J1714" s="144"/>
      <c r="K1714" s="62"/>
      <c r="M1714" s="37"/>
      <c r="N1714" s="37"/>
      <c r="O1714" s="37"/>
      <c r="P1714" s="3"/>
      <c r="Q1714" s="3"/>
      <c r="R1714" s="3"/>
      <c r="S1714" s="3"/>
      <c r="T1714" s="3"/>
      <c r="U1714" s="3"/>
      <c r="V1714" s="3"/>
      <c r="W1714" s="3"/>
      <c r="X1714" s="3"/>
      <c r="Y1714" s="4"/>
      <c r="Z1714"/>
      <c r="AA1714"/>
    </row>
    <row r="1715" spans="1:27" s="49" customFormat="1" x14ac:dyDescent="0.15">
      <c r="A1715" s="165"/>
      <c r="B1715" s="93"/>
      <c r="C1715" s="102"/>
      <c r="D1715" s="62"/>
      <c r="E1715" s="102"/>
      <c r="F1715" s="102"/>
      <c r="G1715" s="102"/>
      <c r="H1715" s="85"/>
      <c r="I1715" s="104"/>
      <c r="J1715" s="144"/>
      <c r="K1715" s="62"/>
      <c r="M1715" s="37"/>
      <c r="N1715" s="37"/>
      <c r="O1715" s="37"/>
      <c r="P1715" s="3"/>
      <c r="Q1715" s="3"/>
      <c r="R1715" s="3"/>
      <c r="S1715" s="3"/>
      <c r="T1715" s="3"/>
      <c r="U1715" s="3"/>
      <c r="V1715" s="3"/>
      <c r="W1715" s="3"/>
      <c r="X1715" s="3"/>
      <c r="Y1715" s="4"/>
      <c r="Z1715"/>
      <c r="AA1715"/>
    </row>
    <row r="1716" spans="1:27" s="49" customFormat="1" x14ac:dyDescent="0.15">
      <c r="A1716" s="165"/>
      <c r="B1716" s="93"/>
      <c r="C1716" s="100"/>
      <c r="D1716" s="61"/>
      <c r="E1716" s="102"/>
      <c r="F1716" s="100"/>
      <c r="G1716" s="100"/>
      <c r="H1716" s="85"/>
      <c r="I1716" s="101"/>
      <c r="J1716" s="144"/>
      <c r="K1716" s="62"/>
      <c r="M1716" s="37"/>
      <c r="N1716" s="37"/>
      <c r="O1716" s="37"/>
      <c r="P1716" s="3"/>
      <c r="Q1716" s="3"/>
      <c r="R1716" s="3"/>
      <c r="S1716" s="3"/>
      <c r="T1716" s="3"/>
      <c r="U1716" s="3"/>
      <c r="V1716" s="3"/>
      <c r="W1716" s="3"/>
      <c r="X1716" s="3"/>
      <c r="Y1716" s="4"/>
      <c r="Z1716"/>
      <c r="AA1716"/>
    </row>
    <row r="1717" spans="1:27" s="49" customFormat="1" x14ac:dyDescent="0.15">
      <c r="A1717" s="165"/>
      <c r="B1717" s="93"/>
      <c r="C1717" s="102"/>
      <c r="D1717" s="62"/>
      <c r="E1717" s="102"/>
      <c r="F1717" s="102"/>
      <c r="G1717" s="102"/>
      <c r="H1717" s="85"/>
      <c r="I1717" s="104"/>
      <c r="J1717" s="144"/>
      <c r="K1717" s="62"/>
      <c r="M1717" s="37"/>
      <c r="N1717" s="37"/>
      <c r="O1717" s="37"/>
      <c r="P1717" s="3"/>
      <c r="Q1717" s="3"/>
      <c r="R1717" s="3"/>
      <c r="S1717" s="3"/>
      <c r="T1717" s="3"/>
      <c r="U1717" s="3"/>
      <c r="V1717" s="3"/>
      <c r="W1717" s="3"/>
      <c r="X1717" s="3"/>
      <c r="Y1717" s="4"/>
      <c r="Z1717"/>
      <c r="AA1717"/>
    </row>
    <row r="1718" spans="1:27" s="49" customFormat="1" x14ac:dyDescent="0.15">
      <c r="A1718" s="165"/>
      <c r="B1718" s="93"/>
      <c r="C1718" s="102"/>
      <c r="D1718" s="62"/>
      <c r="E1718" s="102"/>
      <c r="F1718" s="102"/>
      <c r="G1718" s="102"/>
      <c r="H1718" s="98"/>
      <c r="I1718" s="98"/>
      <c r="J1718" s="135"/>
      <c r="K1718" s="62"/>
      <c r="M1718" s="37"/>
      <c r="N1718" s="37"/>
      <c r="O1718" s="37"/>
      <c r="P1718" s="3"/>
      <c r="Q1718" s="3"/>
      <c r="R1718" s="3"/>
      <c r="S1718" s="3"/>
      <c r="T1718" s="3"/>
      <c r="U1718" s="3"/>
      <c r="V1718" s="3"/>
      <c r="W1718" s="3"/>
      <c r="X1718" s="3"/>
      <c r="Y1718" s="4"/>
      <c r="Z1718"/>
      <c r="AA1718"/>
    </row>
    <row r="1719" spans="1:27" s="49" customFormat="1" x14ac:dyDescent="0.15">
      <c r="A1719" s="165"/>
      <c r="B1719" s="93"/>
      <c r="C1719" s="102"/>
      <c r="D1719" s="62"/>
      <c r="E1719" s="102"/>
      <c r="F1719" s="102"/>
      <c r="G1719" s="102"/>
      <c r="H1719" s="98"/>
      <c r="I1719" s="98"/>
      <c r="J1719" s="135"/>
      <c r="K1719" s="62"/>
      <c r="M1719" s="37"/>
      <c r="N1719" s="37"/>
      <c r="O1719" s="37"/>
      <c r="P1719" s="3"/>
      <c r="Q1719" s="3"/>
      <c r="R1719" s="3"/>
      <c r="S1719" s="3"/>
      <c r="T1719" s="3"/>
      <c r="U1719" s="3"/>
      <c r="V1719" s="3"/>
      <c r="W1719" s="3"/>
      <c r="X1719" s="3"/>
      <c r="Y1719" s="4"/>
      <c r="Z1719"/>
      <c r="AA1719"/>
    </row>
    <row r="1720" spans="1:27" s="49" customFormat="1" x14ac:dyDescent="0.15">
      <c r="A1720" s="165"/>
      <c r="B1720" s="93"/>
      <c r="C1720" s="102"/>
      <c r="D1720" s="62"/>
      <c r="E1720" s="102"/>
      <c r="F1720" s="102"/>
      <c r="G1720" s="102"/>
      <c r="H1720" s="85"/>
      <c r="I1720" s="104"/>
      <c r="J1720" s="144"/>
      <c r="K1720" s="62"/>
      <c r="M1720" s="37"/>
      <c r="N1720" s="37"/>
      <c r="O1720" s="37"/>
      <c r="P1720" s="3"/>
      <c r="Q1720" s="3"/>
      <c r="R1720" s="3"/>
      <c r="S1720" s="3"/>
      <c r="T1720" s="3"/>
      <c r="U1720" s="3"/>
      <c r="V1720" s="3"/>
      <c r="W1720" s="3"/>
      <c r="X1720" s="3"/>
      <c r="Y1720" s="4"/>
      <c r="Z1720"/>
      <c r="AA1720"/>
    </row>
    <row r="1721" spans="1:27" s="49" customFormat="1" x14ac:dyDescent="0.15">
      <c r="A1721" s="165"/>
      <c r="B1721" s="93"/>
      <c r="C1721" s="102"/>
      <c r="D1721" s="62"/>
      <c r="E1721" s="102"/>
      <c r="F1721" s="102"/>
      <c r="G1721" s="102"/>
      <c r="H1721" s="85"/>
      <c r="I1721" s="104"/>
      <c r="J1721" s="144"/>
      <c r="K1721" s="62"/>
      <c r="M1721" s="37"/>
      <c r="N1721" s="37"/>
      <c r="O1721" s="37"/>
      <c r="P1721" s="3"/>
      <c r="Q1721" s="3"/>
      <c r="R1721" s="3"/>
      <c r="S1721" s="3"/>
      <c r="T1721" s="3"/>
      <c r="U1721" s="3"/>
      <c r="V1721" s="3"/>
      <c r="W1721" s="3"/>
      <c r="X1721" s="3"/>
      <c r="Y1721" s="4"/>
      <c r="Z1721"/>
      <c r="AA1721"/>
    </row>
    <row r="1722" spans="1:27" s="49" customFormat="1" x14ac:dyDescent="0.15">
      <c r="A1722" s="165"/>
      <c r="B1722" s="93"/>
      <c r="C1722" s="102"/>
      <c r="D1722" s="62"/>
      <c r="E1722" s="102"/>
      <c r="F1722" s="102"/>
      <c r="G1722" s="102"/>
      <c r="H1722" s="85"/>
      <c r="I1722" s="104"/>
      <c r="J1722" s="144"/>
      <c r="K1722" s="62"/>
      <c r="M1722" s="37"/>
      <c r="N1722" s="37"/>
      <c r="O1722" s="37"/>
      <c r="P1722" s="3"/>
      <c r="Q1722" s="3"/>
      <c r="R1722" s="3"/>
      <c r="S1722" s="3"/>
      <c r="T1722" s="3"/>
      <c r="U1722" s="3"/>
      <c r="V1722" s="3"/>
      <c r="W1722" s="3"/>
      <c r="X1722" s="3"/>
      <c r="Y1722" s="4"/>
      <c r="Z1722"/>
      <c r="AA1722"/>
    </row>
    <row r="1723" spans="1:27" s="49" customFormat="1" x14ac:dyDescent="0.15">
      <c r="A1723" s="62"/>
      <c r="B1723" s="93"/>
      <c r="C1723" s="102"/>
      <c r="D1723" s="62"/>
      <c r="E1723" s="102"/>
      <c r="F1723" s="102"/>
      <c r="G1723" s="102"/>
      <c r="H1723" s="85"/>
      <c r="I1723" s="104"/>
      <c r="J1723" s="141"/>
      <c r="K1723" s="62"/>
      <c r="M1723" s="37"/>
      <c r="N1723" s="37"/>
      <c r="O1723" s="37"/>
      <c r="P1723" s="3"/>
      <c r="Q1723" s="3"/>
      <c r="R1723" s="3"/>
      <c r="S1723" s="3"/>
      <c r="T1723" s="3"/>
      <c r="U1723" s="3"/>
      <c r="V1723" s="3"/>
      <c r="W1723" s="3"/>
      <c r="X1723" s="3"/>
      <c r="Y1723" s="4"/>
      <c r="Z1723"/>
      <c r="AA1723"/>
    </row>
    <row r="1724" spans="1:27" s="49" customFormat="1" x14ac:dyDescent="0.15">
      <c r="A1724" s="62"/>
      <c r="B1724" s="93"/>
      <c r="C1724" s="102"/>
      <c r="D1724" s="62"/>
      <c r="E1724" s="102"/>
      <c r="F1724" s="102"/>
      <c r="G1724" s="102"/>
      <c r="H1724" s="98"/>
      <c r="I1724" s="98"/>
      <c r="J1724" s="135"/>
      <c r="K1724" s="62"/>
      <c r="M1724" s="37"/>
      <c r="N1724" s="37"/>
      <c r="O1724" s="37"/>
      <c r="P1724" s="3"/>
      <c r="Q1724" s="3"/>
      <c r="R1724" s="3"/>
      <c r="S1724" s="3"/>
      <c r="T1724" s="3"/>
      <c r="U1724" s="3"/>
      <c r="V1724" s="3"/>
      <c r="W1724" s="3"/>
      <c r="X1724" s="3"/>
      <c r="Y1724" s="4"/>
      <c r="Z1724"/>
      <c r="AA1724"/>
    </row>
    <row r="1725" spans="1:27" s="49" customFormat="1" x14ac:dyDescent="0.15">
      <c r="A1725" s="165"/>
      <c r="B1725" s="93"/>
      <c r="C1725" s="102"/>
      <c r="D1725" s="62"/>
      <c r="E1725" s="102"/>
      <c r="F1725" s="102"/>
      <c r="G1725" s="102"/>
      <c r="H1725" s="85"/>
      <c r="I1725" s="104"/>
      <c r="J1725" s="144"/>
      <c r="K1725" s="62"/>
      <c r="M1725" s="37"/>
      <c r="N1725" s="37"/>
      <c r="O1725" s="37"/>
      <c r="P1725" s="3"/>
      <c r="Q1725" s="3"/>
      <c r="R1725" s="3"/>
      <c r="S1725" s="3"/>
      <c r="T1725" s="3"/>
      <c r="U1725" s="3"/>
      <c r="V1725" s="3"/>
      <c r="W1725" s="3"/>
      <c r="X1725" s="3"/>
      <c r="Y1725" s="4"/>
      <c r="Z1725"/>
      <c r="AA1725"/>
    </row>
    <row r="1726" spans="1:27" s="49" customFormat="1" x14ac:dyDescent="0.15">
      <c r="A1726" s="165"/>
      <c r="B1726" s="93"/>
      <c r="C1726" s="102"/>
      <c r="D1726" s="62"/>
      <c r="E1726" s="102"/>
      <c r="F1726" s="102"/>
      <c r="G1726" s="102"/>
      <c r="H1726" s="98"/>
      <c r="I1726" s="98"/>
      <c r="J1726" s="135"/>
      <c r="K1726" s="62"/>
      <c r="M1726" s="37"/>
      <c r="N1726" s="37"/>
      <c r="O1726" s="37"/>
      <c r="P1726" s="3"/>
      <c r="Q1726" s="3"/>
      <c r="R1726" s="3"/>
      <c r="S1726" s="3"/>
      <c r="T1726" s="3"/>
      <c r="U1726" s="3"/>
      <c r="V1726" s="3"/>
      <c r="W1726" s="3"/>
      <c r="X1726" s="3"/>
      <c r="Y1726" s="4"/>
      <c r="Z1726"/>
      <c r="AA1726"/>
    </row>
    <row r="1727" spans="1:27" s="49" customFormat="1" x14ac:dyDescent="0.15">
      <c r="A1727" s="165"/>
      <c r="B1727" s="93"/>
      <c r="C1727" s="102"/>
      <c r="D1727" s="62"/>
      <c r="E1727" s="102"/>
      <c r="F1727" s="102"/>
      <c r="G1727" s="102"/>
      <c r="H1727" s="98"/>
      <c r="I1727" s="98"/>
      <c r="J1727" s="135"/>
      <c r="K1727" s="62"/>
      <c r="M1727" s="37"/>
      <c r="N1727" s="37"/>
      <c r="O1727" s="37"/>
      <c r="P1727" s="3"/>
      <c r="Q1727" s="3"/>
      <c r="R1727" s="3"/>
      <c r="S1727" s="3"/>
      <c r="T1727" s="3"/>
      <c r="U1727" s="3"/>
      <c r="V1727" s="3"/>
      <c r="W1727" s="3"/>
      <c r="X1727" s="3"/>
      <c r="Y1727" s="4"/>
      <c r="Z1727"/>
      <c r="AA1727"/>
    </row>
    <row r="1728" spans="1:27" s="49" customFormat="1" x14ac:dyDescent="0.15">
      <c r="A1728" s="168"/>
      <c r="B1728" s="93"/>
      <c r="C1728" s="102"/>
      <c r="D1728" s="62"/>
      <c r="E1728" s="102"/>
      <c r="F1728" s="102"/>
      <c r="G1728" s="102"/>
      <c r="H1728" s="98"/>
      <c r="I1728" s="98"/>
      <c r="J1728" s="135"/>
      <c r="K1728" s="62"/>
      <c r="M1728" s="37"/>
      <c r="N1728" s="37"/>
      <c r="O1728" s="37"/>
      <c r="P1728" s="3"/>
      <c r="Q1728" s="3"/>
      <c r="R1728" s="3"/>
      <c r="S1728" s="3"/>
      <c r="T1728" s="3"/>
      <c r="U1728" s="3"/>
      <c r="V1728" s="3"/>
      <c r="W1728" s="3"/>
      <c r="X1728" s="3"/>
      <c r="Y1728" s="4"/>
      <c r="Z1728"/>
      <c r="AA1728"/>
    </row>
    <row r="1729" spans="1:27" s="49" customFormat="1" x14ac:dyDescent="0.15">
      <c r="A1729" s="229"/>
      <c r="B1729" s="93"/>
      <c r="C1729" s="102"/>
      <c r="D1729" s="62"/>
      <c r="E1729" s="102"/>
      <c r="F1729" s="102"/>
      <c r="G1729" s="102"/>
      <c r="H1729" s="98"/>
      <c r="I1729" s="98"/>
      <c r="J1729" s="135"/>
      <c r="K1729" s="62"/>
      <c r="M1729" s="37"/>
      <c r="N1729" s="37"/>
      <c r="O1729" s="37"/>
      <c r="P1729" s="3"/>
      <c r="Q1729" s="3"/>
      <c r="R1729" s="3"/>
      <c r="S1729" s="3"/>
      <c r="T1729" s="3"/>
      <c r="U1729" s="3"/>
      <c r="V1729" s="3"/>
      <c r="W1729" s="3"/>
      <c r="X1729" s="3"/>
      <c r="Y1729" s="4"/>
      <c r="Z1729"/>
      <c r="AA1729"/>
    </row>
    <row r="1730" spans="1:27" s="49" customFormat="1" x14ac:dyDescent="0.15">
      <c r="A1730" s="168"/>
      <c r="B1730" s="93"/>
      <c r="C1730" s="102"/>
      <c r="D1730" s="62"/>
      <c r="E1730" s="102"/>
      <c r="F1730" s="102"/>
      <c r="G1730" s="102"/>
      <c r="H1730" s="98"/>
      <c r="I1730" s="98"/>
      <c r="J1730" s="135"/>
      <c r="K1730" s="62"/>
      <c r="M1730" s="37"/>
      <c r="N1730" s="37"/>
      <c r="O1730" s="37"/>
      <c r="P1730" s="3"/>
      <c r="Q1730" s="3"/>
      <c r="R1730" s="3"/>
      <c r="S1730" s="3"/>
      <c r="T1730" s="3"/>
      <c r="U1730" s="3"/>
      <c r="V1730" s="3"/>
      <c r="W1730" s="3"/>
      <c r="X1730" s="3"/>
      <c r="Y1730" s="4"/>
      <c r="Z1730"/>
      <c r="AA1730"/>
    </row>
    <row r="1731" spans="1:27" s="49" customFormat="1" x14ac:dyDescent="0.15">
      <c r="A1731" s="229"/>
      <c r="B1731" s="93"/>
      <c r="C1731" s="102"/>
      <c r="D1731" s="62"/>
      <c r="E1731" s="102"/>
      <c r="F1731" s="102"/>
      <c r="G1731" s="102"/>
      <c r="H1731" s="98"/>
      <c r="I1731" s="98"/>
      <c r="J1731" s="135"/>
      <c r="K1731" s="62"/>
      <c r="M1731" s="37"/>
      <c r="N1731" s="37"/>
      <c r="O1731" s="37"/>
      <c r="P1731" s="3"/>
      <c r="Q1731" s="3"/>
      <c r="R1731" s="3"/>
      <c r="S1731" s="3"/>
      <c r="T1731" s="3"/>
      <c r="U1731" s="3"/>
      <c r="V1731" s="3"/>
      <c r="W1731" s="3"/>
      <c r="X1731" s="3"/>
      <c r="Y1731" s="4"/>
      <c r="Z1731"/>
      <c r="AA1731"/>
    </row>
    <row r="1732" spans="1:27" s="49" customFormat="1" x14ac:dyDescent="0.15">
      <c r="A1732" s="62"/>
      <c r="B1732" s="93"/>
      <c r="C1732" s="102"/>
      <c r="D1732" s="62"/>
      <c r="E1732" s="102"/>
      <c r="F1732" s="102"/>
      <c r="G1732" s="102"/>
      <c r="H1732" s="85"/>
      <c r="I1732" s="104"/>
      <c r="J1732" s="144"/>
      <c r="K1732" s="62"/>
      <c r="M1732" s="37"/>
      <c r="N1732" s="37"/>
      <c r="O1732" s="37"/>
      <c r="P1732" s="3"/>
      <c r="Q1732" s="3"/>
      <c r="R1732" s="3"/>
      <c r="S1732" s="3"/>
      <c r="T1732" s="3"/>
      <c r="U1732" s="3"/>
      <c r="V1732" s="3"/>
      <c r="W1732" s="3"/>
      <c r="X1732" s="3"/>
      <c r="Y1732" s="4"/>
      <c r="Z1732"/>
      <c r="AA1732"/>
    </row>
    <row r="1733" spans="1:27" s="49" customFormat="1" x14ac:dyDescent="0.15">
      <c r="A1733" s="62"/>
      <c r="B1733" s="93"/>
      <c r="C1733" s="102"/>
      <c r="D1733" s="62"/>
      <c r="E1733" s="102"/>
      <c r="F1733" s="102"/>
      <c r="G1733" s="102"/>
      <c r="H1733" s="85"/>
      <c r="I1733" s="104"/>
      <c r="J1733" s="144"/>
      <c r="K1733" s="62"/>
      <c r="M1733" s="37"/>
      <c r="N1733" s="37"/>
      <c r="O1733" s="37"/>
      <c r="P1733" s="3"/>
      <c r="Q1733" s="3"/>
      <c r="R1733" s="3"/>
      <c r="S1733" s="3"/>
      <c r="T1733" s="3"/>
      <c r="U1733" s="3"/>
      <c r="V1733" s="3"/>
      <c r="W1733" s="3"/>
      <c r="X1733" s="3"/>
      <c r="Y1733" s="4"/>
      <c r="Z1733"/>
      <c r="AA1733"/>
    </row>
    <row r="1734" spans="1:27" s="49" customFormat="1" x14ac:dyDescent="0.15">
      <c r="A1734" s="229"/>
      <c r="B1734" s="93"/>
      <c r="C1734" s="102"/>
      <c r="D1734" s="62"/>
      <c r="E1734" s="100"/>
      <c r="F1734" s="102"/>
      <c r="G1734" s="102"/>
      <c r="H1734" s="85"/>
      <c r="I1734" s="104"/>
      <c r="J1734" s="144"/>
      <c r="K1734" s="62"/>
      <c r="M1734" s="37"/>
      <c r="N1734" s="37"/>
      <c r="O1734" s="37"/>
      <c r="P1734" s="3"/>
      <c r="Q1734" s="3"/>
      <c r="R1734" s="3"/>
      <c r="S1734" s="3"/>
      <c r="T1734" s="3"/>
      <c r="U1734" s="3"/>
      <c r="V1734" s="3"/>
      <c r="W1734" s="3"/>
      <c r="X1734" s="3"/>
      <c r="Y1734" s="4"/>
      <c r="Z1734"/>
      <c r="AA1734"/>
    </row>
    <row r="1735" spans="1:27" s="49" customFormat="1" x14ac:dyDescent="0.15">
      <c r="A1735" s="62"/>
      <c r="B1735" s="93"/>
      <c r="C1735" s="102"/>
      <c r="D1735" s="62"/>
      <c r="E1735" s="102"/>
      <c r="F1735" s="102"/>
      <c r="G1735" s="102"/>
      <c r="H1735" s="85"/>
      <c r="I1735" s="104"/>
      <c r="J1735" s="144"/>
      <c r="K1735" s="62"/>
      <c r="M1735" s="37"/>
      <c r="N1735" s="37"/>
      <c r="O1735" s="37"/>
      <c r="P1735" s="3"/>
      <c r="Q1735" s="3"/>
      <c r="R1735" s="3"/>
      <c r="S1735" s="3"/>
      <c r="T1735" s="3"/>
      <c r="U1735" s="3"/>
      <c r="V1735" s="3"/>
      <c r="W1735" s="3"/>
      <c r="X1735" s="3"/>
      <c r="Y1735" s="4"/>
      <c r="Z1735"/>
      <c r="AA1735"/>
    </row>
    <row r="1736" spans="1:27" s="49" customFormat="1" x14ac:dyDescent="0.15">
      <c r="A1736" s="62"/>
      <c r="B1736" s="93"/>
      <c r="C1736" s="102"/>
      <c r="D1736" s="62"/>
      <c r="E1736" s="102"/>
      <c r="F1736" s="102"/>
      <c r="G1736" s="102"/>
      <c r="H1736" s="85"/>
      <c r="I1736" s="104"/>
      <c r="J1736" s="144"/>
      <c r="K1736" s="62"/>
      <c r="M1736" s="37"/>
      <c r="N1736" s="37"/>
      <c r="O1736" s="37"/>
      <c r="P1736" s="3"/>
      <c r="Q1736" s="3"/>
      <c r="R1736" s="3"/>
      <c r="S1736" s="3"/>
      <c r="T1736" s="3"/>
      <c r="U1736" s="3"/>
      <c r="V1736" s="3"/>
      <c r="W1736" s="3"/>
      <c r="X1736" s="3"/>
      <c r="Y1736" s="4"/>
      <c r="Z1736"/>
      <c r="AA1736"/>
    </row>
    <row r="1737" spans="1:27" s="49" customFormat="1" x14ac:dyDescent="0.15">
      <c r="A1737" s="62"/>
      <c r="B1737" s="93"/>
      <c r="C1737" s="102"/>
      <c r="D1737" s="62"/>
      <c r="E1737" s="102"/>
      <c r="F1737" s="102"/>
      <c r="G1737" s="102"/>
      <c r="H1737" s="85"/>
      <c r="I1737" s="104"/>
      <c r="J1737" s="144"/>
      <c r="K1737" s="62"/>
      <c r="M1737" s="37"/>
      <c r="N1737" s="37"/>
      <c r="O1737" s="37"/>
      <c r="P1737" s="3"/>
      <c r="Q1737" s="3"/>
      <c r="R1737" s="3"/>
      <c r="S1737" s="3"/>
      <c r="T1737" s="3"/>
      <c r="U1737" s="3"/>
      <c r="V1737" s="3"/>
      <c r="W1737" s="3"/>
      <c r="X1737" s="3"/>
      <c r="Y1737" s="4"/>
      <c r="Z1737"/>
      <c r="AA1737"/>
    </row>
    <row r="1738" spans="1:27" s="49" customFormat="1" x14ac:dyDescent="0.15">
      <c r="A1738" s="62"/>
      <c r="B1738" s="93"/>
      <c r="C1738" s="100"/>
      <c r="D1738" s="61"/>
      <c r="E1738" s="100"/>
      <c r="F1738" s="100"/>
      <c r="G1738" s="100"/>
      <c r="H1738" s="98"/>
      <c r="I1738" s="103"/>
      <c r="J1738" s="135"/>
      <c r="K1738" s="62"/>
      <c r="M1738" s="37"/>
      <c r="N1738" s="37"/>
      <c r="O1738" s="37"/>
      <c r="P1738" s="3"/>
      <c r="Q1738" s="3"/>
      <c r="R1738" s="3"/>
      <c r="S1738" s="3"/>
      <c r="T1738" s="3"/>
      <c r="U1738" s="3"/>
      <c r="V1738" s="3"/>
      <c r="W1738" s="3"/>
      <c r="X1738" s="3"/>
      <c r="Y1738" s="4"/>
      <c r="Z1738"/>
      <c r="AA1738"/>
    </row>
    <row r="1739" spans="1:27" s="49" customFormat="1" x14ac:dyDescent="0.15">
      <c r="A1739" s="62"/>
      <c r="B1739" s="93"/>
      <c r="C1739" s="102"/>
      <c r="D1739" s="62"/>
      <c r="E1739" s="102"/>
      <c r="F1739" s="102"/>
      <c r="G1739" s="102"/>
      <c r="H1739" s="85"/>
      <c r="I1739" s="104"/>
      <c r="J1739" s="144"/>
      <c r="K1739" s="62"/>
      <c r="M1739" s="37"/>
      <c r="N1739" s="37"/>
      <c r="O1739" s="37"/>
      <c r="P1739" s="3"/>
      <c r="Q1739" s="3"/>
      <c r="R1739" s="3"/>
      <c r="S1739" s="3"/>
      <c r="T1739" s="3"/>
      <c r="U1739" s="3"/>
      <c r="V1739" s="3"/>
      <c r="W1739" s="3"/>
      <c r="X1739" s="3"/>
      <c r="Y1739" s="4"/>
      <c r="Z1739"/>
      <c r="AA1739"/>
    </row>
    <row r="1740" spans="1:27" s="49" customFormat="1" x14ac:dyDescent="0.15">
      <c r="A1740" s="62"/>
      <c r="B1740" s="93"/>
      <c r="C1740" s="102"/>
      <c r="D1740" s="62"/>
      <c r="E1740" s="102"/>
      <c r="F1740" s="102"/>
      <c r="G1740" s="102"/>
      <c r="H1740" s="85"/>
      <c r="I1740" s="104"/>
      <c r="J1740" s="144"/>
      <c r="K1740" s="62"/>
      <c r="M1740" s="37"/>
      <c r="N1740" s="37"/>
      <c r="O1740" s="37"/>
      <c r="P1740" s="3"/>
      <c r="Q1740" s="3"/>
      <c r="R1740" s="3"/>
      <c r="S1740" s="3"/>
      <c r="T1740" s="3"/>
      <c r="U1740" s="3"/>
      <c r="V1740" s="3"/>
      <c r="W1740" s="3"/>
      <c r="X1740" s="3"/>
      <c r="Y1740" s="4"/>
      <c r="Z1740"/>
      <c r="AA1740"/>
    </row>
    <row r="1741" spans="1:27" s="49" customFormat="1" x14ac:dyDescent="0.15">
      <c r="A1741" s="62"/>
      <c r="B1741" s="93"/>
      <c r="C1741" s="102"/>
      <c r="D1741" s="62"/>
      <c r="E1741" s="102"/>
      <c r="F1741" s="102"/>
      <c r="G1741" s="102"/>
      <c r="H1741" s="85"/>
      <c r="I1741" s="104"/>
      <c r="J1741" s="144"/>
      <c r="K1741" s="62"/>
      <c r="M1741" s="37"/>
      <c r="N1741" s="37"/>
      <c r="O1741" s="37"/>
      <c r="P1741" s="3"/>
      <c r="Q1741" s="3"/>
      <c r="R1741" s="3"/>
      <c r="S1741" s="3"/>
      <c r="T1741" s="3"/>
      <c r="U1741" s="3"/>
      <c r="V1741" s="3"/>
      <c r="W1741" s="3"/>
      <c r="X1741" s="3"/>
      <c r="Y1741" s="4"/>
      <c r="Z1741"/>
      <c r="AA1741"/>
    </row>
    <row r="1742" spans="1:27" s="49" customFormat="1" x14ac:dyDescent="0.15">
      <c r="A1742" s="229"/>
      <c r="B1742" s="93"/>
      <c r="C1742" s="102"/>
      <c r="D1742" s="62"/>
      <c r="E1742" s="102"/>
      <c r="F1742" s="102"/>
      <c r="G1742" s="102"/>
      <c r="H1742" s="85"/>
      <c r="I1742" s="104"/>
      <c r="J1742" s="144"/>
      <c r="K1742" s="62"/>
      <c r="M1742" s="37"/>
      <c r="N1742" s="37"/>
      <c r="O1742" s="37"/>
      <c r="P1742" s="3"/>
      <c r="Q1742" s="3"/>
      <c r="R1742" s="3"/>
      <c r="S1742" s="3"/>
      <c r="T1742" s="3"/>
      <c r="U1742" s="3"/>
      <c r="V1742" s="3"/>
      <c r="W1742" s="3"/>
      <c r="X1742" s="3"/>
      <c r="Y1742" s="4"/>
      <c r="Z1742"/>
      <c r="AA1742"/>
    </row>
    <row r="1743" spans="1:27" s="49" customFormat="1" x14ac:dyDescent="0.15">
      <c r="A1743" s="62"/>
      <c r="B1743" s="93"/>
      <c r="C1743" s="102"/>
      <c r="D1743" s="62"/>
      <c r="E1743" s="102"/>
      <c r="F1743" s="102"/>
      <c r="G1743" s="102"/>
      <c r="H1743" s="85"/>
      <c r="I1743" s="104"/>
      <c r="J1743" s="144"/>
      <c r="K1743" s="62"/>
      <c r="M1743" s="37"/>
      <c r="N1743" s="37"/>
      <c r="O1743" s="37"/>
      <c r="P1743" s="3"/>
      <c r="Q1743" s="3"/>
      <c r="R1743" s="3"/>
      <c r="S1743" s="3"/>
      <c r="T1743" s="3"/>
      <c r="U1743" s="3"/>
      <c r="V1743" s="3"/>
      <c r="W1743" s="3"/>
      <c r="X1743" s="3"/>
      <c r="Y1743" s="4"/>
      <c r="Z1743"/>
      <c r="AA1743"/>
    </row>
    <row r="1744" spans="1:27" s="49" customFormat="1" x14ac:dyDescent="0.15">
      <c r="A1744" s="62"/>
      <c r="B1744" s="93"/>
      <c r="C1744" s="102"/>
      <c r="D1744" s="62"/>
      <c r="E1744" s="102"/>
      <c r="F1744" s="102"/>
      <c r="G1744" s="102"/>
      <c r="H1744" s="98"/>
      <c r="I1744" s="98"/>
      <c r="J1744" s="135"/>
      <c r="K1744" s="62"/>
      <c r="M1744" s="37"/>
      <c r="N1744" s="37"/>
      <c r="O1744" s="37"/>
      <c r="P1744" s="3"/>
      <c r="Q1744" s="3"/>
      <c r="R1744" s="3"/>
      <c r="S1744" s="3"/>
      <c r="T1744" s="3"/>
      <c r="U1744" s="3"/>
      <c r="V1744" s="3"/>
      <c r="W1744" s="3"/>
      <c r="X1744" s="3"/>
      <c r="Y1744" s="4"/>
      <c r="Z1744"/>
      <c r="AA1744"/>
    </row>
    <row r="1745" spans="1:27" s="49" customFormat="1" x14ac:dyDescent="0.15">
      <c r="A1745" s="62"/>
      <c r="B1745" s="93"/>
      <c r="C1745" s="102"/>
      <c r="D1745" s="62"/>
      <c r="E1745" s="102"/>
      <c r="F1745" s="102"/>
      <c r="G1745" s="102"/>
      <c r="H1745" s="85"/>
      <c r="I1745" s="104"/>
      <c r="J1745" s="144"/>
      <c r="K1745" s="62"/>
      <c r="M1745" s="37"/>
      <c r="N1745" s="37"/>
      <c r="O1745" s="37"/>
      <c r="P1745" s="3"/>
      <c r="Q1745" s="3"/>
      <c r="R1745" s="3"/>
      <c r="S1745" s="3"/>
      <c r="T1745" s="3"/>
      <c r="U1745" s="3"/>
      <c r="V1745" s="3"/>
      <c r="W1745" s="3"/>
      <c r="X1745" s="3"/>
      <c r="Y1745" s="4"/>
      <c r="Z1745"/>
      <c r="AA1745"/>
    </row>
    <row r="1746" spans="1:27" s="49" customFormat="1" x14ac:dyDescent="0.15">
      <c r="A1746" s="62"/>
      <c r="B1746" s="93"/>
      <c r="C1746" s="102"/>
      <c r="D1746" s="62"/>
      <c r="E1746" s="102"/>
      <c r="F1746" s="102"/>
      <c r="G1746" s="102"/>
      <c r="H1746" s="85"/>
      <c r="I1746" s="104"/>
      <c r="J1746" s="144"/>
      <c r="K1746" s="62"/>
      <c r="M1746" s="37"/>
      <c r="N1746" s="37"/>
      <c r="O1746" s="37"/>
      <c r="P1746" s="3"/>
      <c r="Q1746" s="3"/>
      <c r="R1746" s="3"/>
      <c r="S1746" s="3"/>
      <c r="T1746" s="3"/>
      <c r="U1746" s="3"/>
      <c r="V1746" s="3"/>
      <c r="W1746" s="3"/>
      <c r="X1746" s="3"/>
      <c r="Y1746" s="4"/>
      <c r="Z1746"/>
      <c r="AA1746"/>
    </row>
    <row r="1747" spans="1:27" s="49" customFormat="1" x14ac:dyDescent="0.15">
      <c r="A1747" s="62"/>
      <c r="B1747" s="93"/>
      <c r="C1747" s="102"/>
      <c r="D1747" s="62"/>
      <c r="E1747" s="102"/>
      <c r="F1747" s="102"/>
      <c r="G1747" s="102"/>
      <c r="H1747" s="85"/>
      <c r="I1747" s="104"/>
      <c r="J1747" s="144"/>
      <c r="K1747" s="62"/>
      <c r="M1747" s="37"/>
      <c r="N1747" s="37"/>
      <c r="O1747" s="37"/>
      <c r="P1747" s="3"/>
      <c r="Q1747" s="3"/>
      <c r="R1747" s="3"/>
      <c r="S1747" s="3"/>
      <c r="T1747" s="3"/>
      <c r="U1747" s="3"/>
      <c r="V1747" s="3"/>
      <c r="W1747" s="3"/>
      <c r="X1747" s="3"/>
      <c r="Y1747" s="4"/>
      <c r="Z1747"/>
      <c r="AA1747"/>
    </row>
    <row r="1748" spans="1:27" s="49" customFormat="1" x14ac:dyDescent="0.15">
      <c r="A1748" s="62"/>
      <c r="B1748" s="93"/>
      <c r="C1748" s="102"/>
      <c r="D1748" s="62"/>
      <c r="E1748" s="102"/>
      <c r="F1748" s="102"/>
      <c r="G1748" s="102"/>
      <c r="H1748" s="85"/>
      <c r="I1748" s="104"/>
      <c r="J1748" s="144"/>
      <c r="K1748" s="62"/>
      <c r="M1748" s="37"/>
      <c r="N1748" s="37"/>
      <c r="O1748" s="37"/>
      <c r="P1748" s="3"/>
      <c r="Q1748" s="3"/>
      <c r="R1748" s="3"/>
      <c r="S1748" s="3"/>
      <c r="T1748" s="3"/>
      <c r="U1748" s="3"/>
      <c r="V1748" s="3"/>
      <c r="W1748" s="3"/>
      <c r="X1748" s="3"/>
      <c r="Y1748" s="4"/>
      <c r="Z1748"/>
      <c r="AA1748"/>
    </row>
    <row r="1749" spans="1:27" s="49" customFormat="1" x14ac:dyDescent="0.15">
      <c r="A1749" s="62"/>
      <c r="B1749" s="93"/>
      <c r="C1749" s="102"/>
      <c r="D1749" s="62"/>
      <c r="E1749" s="102"/>
      <c r="F1749" s="102"/>
      <c r="G1749" s="102"/>
      <c r="H1749" s="85"/>
      <c r="I1749" s="104"/>
      <c r="J1749" s="144"/>
      <c r="K1749" s="62"/>
      <c r="M1749" s="37"/>
      <c r="N1749" s="37"/>
      <c r="O1749" s="37"/>
      <c r="P1749" s="3"/>
      <c r="Q1749" s="3"/>
      <c r="R1749" s="3"/>
      <c r="S1749" s="3"/>
      <c r="T1749" s="3"/>
      <c r="U1749" s="3"/>
      <c r="V1749" s="3"/>
      <c r="W1749" s="3"/>
      <c r="X1749" s="3"/>
      <c r="Y1749" s="4"/>
      <c r="Z1749"/>
      <c r="AA1749"/>
    </row>
    <row r="1750" spans="1:27" s="49" customFormat="1" x14ac:dyDescent="0.15">
      <c r="A1750" s="62"/>
      <c r="B1750" s="93"/>
      <c r="C1750" s="102"/>
      <c r="D1750" s="62"/>
      <c r="E1750" s="102"/>
      <c r="F1750" s="102"/>
      <c r="G1750" s="102"/>
      <c r="H1750" s="85"/>
      <c r="I1750" s="104"/>
      <c r="J1750" s="144"/>
      <c r="K1750" s="62"/>
      <c r="M1750" s="37"/>
      <c r="N1750" s="37"/>
      <c r="O1750" s="37"/>
      <c r="P1750" s="3"/>
      <c r="Q1750" s="3"/>
      <c r="R1750" s="3"/>
      <c r="S1750" s="3"/>
      <c r="T1750" s="3"/>
      <c r="U1750" s="3"/>
      <c r="V1750" s="3"/>
      <c r="W1750" s="3"/>
      <c r="X1750" s="3"/>
      <c r="Y1750" s="4"/>
      <c r="Z1750"/>
      <c r="AA1750"/>
    </row>
    <row r="1751" spans="1:27" s="49" customFormat="1" x14ac:dyDescent="0.15">
      <c r="A1751" s="62"/>
      <c r="B1751" s="93"/>
      <c r="C1751" s="102"/>
      <c r="D1751" s="62"/>
      <c r="E1751" s="102"/>
      <c r="F1751" s="102"/>
      <c r="G1751" s="102"/>
      <c r="H1751" s="98"/>
      <c r="I1751" s="98"/>
      <c r="J1751" s="135"/>
      <c r="K1751" s="62"/>
      <c r="M1751" s="37"/>
      <c r="N1751" s="37"/>
      <c r="O1751" s="37"/>
      <c r="P1751" s="3"/>
      <c r="Q1751" s="3"/>
      <c r="R1751" s="3"/>
      <c r="S1751" s="3"/>
      <c r="T1751" s="3"/>
      <c r="U1751" s="3"/>
      <c r="V1751" s="3"/>
      <c r="W1751" s="3"/>
      <c r="X1751" s="3"/>
      <c r="Y1751" s="4"/>
      <c r="Z1751"/>
      <c r="AA1751"/>
    </row>
    <row r="1752" spans="1:27" s="49" customFormat="1" x14ac:dyDescent="0.15">
      <c r="A1752" s="62"/>
      <c r="B1752" s="93"/>
      <c r="C1752" s="102"/>
      <c r="D1752" s="62"/>
      <c r="E1752" s="102"/>
      <c r="F1752" s="102"/>
      <c r="G1752" s="102"/>
      <c r="H1752" s="98"/>
      <c r="I1752" s="98"/>
      <c r="J1752" s="135"/>
      <c r="K1752" s="62"/>
      <c r="M1752" s="37"/>
      <c r="N1752" s="37"/>
      <c r="O1752" s="37"/>
      <c r="P1752" s="3"/>
      <c r="Q1752" s="3"/>
      <c r="R1752" s="3"/>
      <c r="S1752" s="3"/>
      <c r="T1752" s="3"/>
      <c r="U1752" s="3"/>
      <c r="V1752" s="3"/>
      <c r="W1752" s="3"/>
      <c r="X1752" s="3"/>
      <c r="Y1752" s="4"/>
      <c r="Z1752"/>
      <c r="AA1752"/>
    </row>
    <row r="1753" spans="1:27" s="49" customFormat="1" x14ac:dyDescent="0.15">
      <c r="A1753" s="62"/>
      <c r="B1753" s="93"/>
      <c r="C1753" s="102"/>
      <c r="D1753" s="62"/>
      <c r="E1753" s="102"/>
      <c r="F1753" s="102"/>
      <c r="G1753" s="102"/>
      <c r="H1753" s="85"/>
      <c r="I1753" s="104"/>
      <c r="J1753" s="144"/>
      <c r="K1753" s="62"/>
      <c r="M1753" s="37"/>
      <c r="N1753" s="37"/>
      <c r="O1753" s="37"/>
      <c r="P1753" s="3"/>
      <c r="Q1753" s="3"/>
      <c r="R1753" s="3"/>
      <c r="S1753" s="3"/>
      <c r="T1753" s="3"/>
      <c r="U1753" s="3"/>
      <c r="V1753" s="3"/>
      <c r="W1753" s="3"/>
      <c r="X1753" s="3"/>
      <c r="Y1753" s="4"/>
      <c r="Z1753"/>
      <c r="AA1753"/>
    </row>
    <row r="1754" spans="1:27" s="49" customFormat="1" x14ac:dyDescent="0.15">
      <c r="A1754" s="62"/>
      <c r="B1754" s="93"/>
      <c r="C1754" s="102"/>
      <c r="D1754" s="62"/>
      <c r="E1754" s="102"/>
      <c r="F1754" s="102"/>
      <c r="G1754" s="102"/>
      <c r="H1754" s="85"/>
      <c r="I1754" s="104"/>
      <c r="J1754" s="144"/>
      <c r="K1754" s="62"/>
      <c r="M1754" s="37"/>
      <c r="N1754" s="37"/>
      <c r="O1754" s="37"/>
      <c r="P1754" s="3"/>
      <c r="Q1754" s="3"/>
      <c r="R1754" s="3"/>
      <c r="S1754" s="3"/>
      <c r="T1754" s="3"/>
      <c r="U1754" s="3"/>
      <c r="V1754" s="3"/>
      <c r="W1754" s="3"/>
      <c r="X1754" s="3"/>
      <c r="Y1754" s="4"/>
      <c r="Z1754"/>
      <c r="AA1754"/>
    </row>
    <row r="1755" spans="1:27" s="49" customFormat="1" x14ac:dyDescent="0.15">
      <c r="A1755" s="62"/>
      <c r="B1755" s="93"/>
      <c r="C1755" s="102"/>
      <c r="D1755" s="62"/>
      <c r="E1755" s="102"/>
      <c r="F1755" s="102"/>
      <c r="G1755" s="102"/>
      <c r="H1755" s="85"/>
      <c r="I1755" s="104"/>
      <c r="J1755" s="144"/>
      <c r="K1755" s="62"/>
      <c r="M1755" s="37"/>
      <c r="N1755" s="37"/>
      <c r="O1755" s="37"/>
      <c r="P1755" s="3"/>
      <c r="Q1755" s="3"/>
      <c r="R1755" s="3"/>
      <c r="S1755" s="3"/>
      <c r="T1755" s="3"/>
      <c r="U1755" s="3"/>
      <c r="V1755" s="3"/>
      <c r="W1755" s="3"/>
      <c r="X1755" s="3"/>
      <c r="Y1755" s="4"/>
      <c r="Z1755"/>
      <c r="AA1755"/>
    </row>
    <row r="1756" spans="1:27" s="49" customFormat="1" x14ac:dyDescent="0.15">
      <c r="A1756" s="62"/>
      <c r="B1756" s="93"/>
      <c r="C1756" s="102"/>
      <c r="D1756" s="62"/>
      <c r="E1756" s="102"/>
      <c r="F1756" s="102"/>
      <c r="G1756" s="102"/>
      <c r="H1756" s="85"/>
      <c r="I1756" s="104"/>
      <c r="J1756" s="144"/>
      <c r="K1756" s="62"/>
      <c r="M1756" s="37"/>
      <c r="N1756" s="37"/>
      <c r="O1756" s="37"/>
      <c r="P1756" s="3"/>
      <c r="Q1756" s="3"/>
      <c r="R1756" s="3"/>
      <c r="S1756" s="3"/>
      <c r="T1756" s="3"/>
      <c r="U1756" s="3"/>
      <c r="V1756" s="3"/>
      <c r="W1756" s="3"/>
      <c r="X1756" s="3"/>
      <c r="Y1756" s="4"/>
      <c r="Z1756"/>
      <c r="AA1756"/>
    </row>
    <row r="1757" spans="1:27" s="49" customFormat="1" x14ac:dyDescent="0.15">
      <c r="A1757" s="62"/>
      <c r="B1757" s="93"/>
      <c r="C1757" s="102"/>
      <c r="D1757" s="62"/>
      <c r="E1757" s="102"/>
      <c r="F1757" s="102"/>
      <c r="G1757" s="102"/>
      <c r="H1757" s="85"/>
      <c r="I1757" s="104"/>
      <c r="J1757" s="144"/>
      <c r="K1757" s="62"/>
      <c r="M1757" s="37"/>
      <c r="N1757" s="37"/>
      <c r="O1757" s="37"/>
      <c r="P1757" s="3"/>
      <c r="Q1757" s="3"/>
      <c r="R1757" s="3"/>
      <c r="S1757" s="3"/>
      <c r="T1757" s="3"/>
      <c r="U1757" s="3"/>
      <c r="V1757" s="3"/>
      <c r="W1757" s="3"/>
      <c r="X1757" s="3"/>
      <c r="Y1757" s="4"/>
      <c r="Z1757"/>
      <c r="AA1757"/>
    </row>
    <row r="1758" spans="1:27" s="49" customFormat="1" x14ac:dyDescent="0.15">
      <c r="A1758" s="62"/>
      <c r="B1758" s="93"/>
      <c r="C1758" s="102"/>
      <c r="D1758" s="62"/>
      <c r="E1758" s="102"/>
      <c r="F1758" s="102"/>
      <c r="G1758" s="102"/>
      <c r="H1758" s="98"/>
      <c r="I1758" s="98"/>
      <c r="J1758" s="135"/>
      <c r="K1758" s="62"/>
      <c r="M1758" s="37"/>
      <c r="N1758" s="37"/>
      <c r="O1758" s="37"/>
      <c r="P1758" s="3"/>
      <c r="Q1758" s="3"/>
      <c r="R1758" s="3"/>
      <c r="S1758" s="3"/>
      <c r="T1758" s="3"/>
      <c r="U1758" s="3"/>
      <c r="V1758" s="3"/>
      <c r="W1758" s="3"/>
      <c r="X1758" s="3"/>
      <c r="Y1758" s="4"/>
      <c r="Z1758"/>
      <c r="AA1758"/>
    </row>
    <row r="1759" spans="1:27" s="37" customFormat="1" x14ac:dyDescent="0.15">
      <c r="A1759" s="62"/>
      <c r="B1759" s="93"/>
      <c r="C1759" s="102"/>
      <c r="D1759" s="62"/>
      <c r="E1759" s="102"/>
      <c r="F1759" s="102"/>
      <c r="G1759" s="102"/>
      <c r="H1759" s="98"/>
      <c r="I1759" s="98"/>
      <c r="J1759" s="135"/>
      <c r="K1759" s="62"/>
      <c r="L1759" s="49"/>
      <c r="P1759" s="3"/>
      <c r="Q1759" s="3"/>
      <c r="R1759" s="3"/>
      <c r="S1759" s="3"/>
      <c r="T1759" s="3"/>
      <c r="U1759" s="3"/>
      <c r="V1759" s="3"/>
      <c r="W1759" s="3"/>
      <c r="X1759" s="3"/>
      <c r="Y1759" s="4"/>
      <c r="Z1759"/>
      <c r="AA1759"/>
    </row>
    <row r="1760" spans="1:27" s="37" customFormat="1" x14ac:dyDescent="0.15">
      <c r="A1760" s="62"/>
      <c r="B1760" s="93"/>
      <c r="C1760" s="102"/>
      <c r="D1760" s="62"/>
      <c r="E1760" s="102"/>
      <c r="F1760" s="102"/>
      <c r="G1760" s="102"/>
      <c r="H1760" s="85"/>
      <c r="I1760" s="104"/>
      <c r="J1760" s="144"/>
      <c r="K1760" s="62"/>
      <c r="L1760" s="49"/>
      <c r="P1760" s="3"/>
      <c r="Q1760" s="3"/>
      <c r="R1760" s="3"/>
      <c r="S1760" s="3"/>
      <c r="T1760" s="3"/>
      <c r="U1760" s="3"/>
      <c r="V1760" s="3"/>
      <c r="W1760" s="3"/>
      <c r="X1760" s="3"/>
      <c r="Y1760" s="4"/>
      <c r="Z1760"/>
      <c r="AA1760"/>
    </row>
    <row r="1761" spans="1:27" s="37" customFormat="1" x14ac:dyDescent="0.15">
      <c r="A1761" s="62"/>
      <c r="B1761" s="93"/>
      <c r="C1761" s="102"/>
      <c r="D1761" s="62"/>
      <c r="E1761" s="102"/>
      <c r="F1761" s="102"/>
      <c r="G1761" s="102"/>
      <c r="H1761" s="85"/>
      <c r="I1761" s="104"/>
      <c r="J1761" s="144"/>
      <c r="K1761" s="62"/>
      <c r="L1761" s="49"/>
      <c r="P1761" s="3"/>
      <c r="Q1761" s="3"/>
      <c r="R1761" s="3"/>
      <c r="S1761" s="3"/>
      <c r="T1761" s="3"/>
      <c r="U1761" s="3"/>
      <c r="V1761" s="3"/>
      <c r="W1761" s="3"/>
      <c r="X1761" s="3"/>
      <c r="Y1761" s="4"/>
      <c r="Z1761"/>
      <c r="AA1761"/>
    </row>
    <row r="1762" spans="1:27" s="37" customFormat="1" x14ac:dyDescent="0.15">
      <c r="A1762" s="62"/>
      <c r="B1762" s="93"/>
      <c r="C1762" s="102"/>
      <c r="D1762" s="62"/>
      <c r="E1762" s="102"/>
      <c r="F1762" s="102"/>
      <c r="G1762" s="102"/>
      <c r="H1762" s="85"/>
      <c r="I1762" s="104"/>
      <c r="J1762" s="144"/>
      <c r="K1762" s="62"/>
      <c r="L1762" s="49"/>
      <c r="P1762" s="3"/>
      <c r="Q1762" s="3"/>
      <c r="R1762" s="3"/>
      <c r="S1762" s="3"/>
      <c r="T1762" s="3"/>
      <c r="U1762" s="3"/>
      <c r="V1762" s="3"/>
      <c r="W1762" s="3"/>
      <c r="X1762" s="3"/>
      <c r="Y1762" s="4"/>
      <c r="Z1762"/>
      <c r="AA1762"/>
    </row>
    <row r="1763" spans="1:27" s="37" customFormat="1" x14ac:dyDescent="0.15">
      <c r="A1763" s="62"/>
      <c r="B1763" s="93"/>
      <c r="C1763" s="102"/>
      <c r="D1763" s="62"/>
      <c r="E1763" s="102"/>
      <c r="F1763" s="102"/>
      <c r="G1763" s="102"/>
      <c r="H1763" s="85"/>
      <c r="I1763" s="104"/>
      <c r="J1763" s="144"/>
      <c r="K1763" s="62"/>
      <c r="L1763" s="49"/>
      <c r="P1763" s="3"/>
      <c r="Q1763" s="3"/>
      <c r="R1763" s="3"/>
      <c r="S1763" s="3"/>
      <c r="T1763" s="3"/>
      <c r="U1763" s="3"/>
      <c r="V1763" s="3"/>
      <c r="W1763" s="3"/>
      <c r="X1763" s="3"/>
      <c r="Y1763" s="4"/>
      <c r="Z1763"/>
      <c r="AA1763"/>
    </row>
    <row r="1764" spans="1:27" s="37" customFormat="1" x14ac:dyDescent="0.15">
      <c r="A1764" s="62"/>
      <c r="B1764" s="93"/>
      <c r="C1764" s="102"/>
      <c r="D1764" s="62"/>
      <c r="E1764" s="102"/>
      <c r="F1764" s="102"/>
      <c r="G1764" s="102"/>
      <c r="H1764" s="85"/>
      <c r="I1764" s="104"/>
      <c r="J1764" s="144"/>
      <c r="K1764" s="62"/>
      <c r="L1764" s="49"/>
      <c r="P1764" s="3"/>
      <c r="Q1764" s="3"/>
      <c r="R1764" s="3"/>
      <c r="S1764" s="3"/>
      <c r="T1764" s="3"/>
      <c r="U1764" s="3"/>
      <c r="V1764" s="3"/>
      <c r="W1764" s="3"/>
      <c r="X1764" s="3"/>
      <c r="Y1764" s="4"/>
      <c r="Z1764"/>
      <c r="AA1764"/>
    </row>
    <row r="1765" spans="1:27" s="37" customFormat="1" x14ac:dyDescent="0.15">
      <c r="A1765" s="62"/>
      <c r="B1765" s="93"/>
      <c r="C1765" s="102"/>
      <c r="D1765" s="62"/>
      <c r="E1765" s="102"/>
      <c r="F1765" s="102"/>
      <c r="G1765" s="102"/>
      <c r="H1765" s="85"/>
      <c r="I1765" s="104"/>
      <c r="J1765" s="144"/>
      <c r="K1765" s="62"/>
      <c r="L1765" s="49"/>
      <c r="P1765" s="3"/>
      <c r="Q1765" s="3"/>
      <c r="R1765" s="3"/>
      <c r="S1765" s="3"/>
      <c r="T1765" s="3"/>
      <c r="U1765" s="3"/>
      <c r="V1765" s="3"/>
      <c r="W1765" s="3"/>
      <c r="X1765" s="3"/>
      <c r="Y1765" s="4"/>
      <c r="Z1765"/>
      <c r="AA1765"/>
    </row>
    <row r="1766" spans="1:27" s="37" customFormat="1" x14ac:dyDescent="0.15">
      <c r="A1766" s="62"/>
      <c r="B1766" s="93"/>
      <c r="C1766" s="102"/>
      <c r="D1766" s="62"/>
      <c r="E1766" s="102"/>
      <c r="F1766" s="102"/>
      <c r="G1766" s="102"/>
      <c r="H1766" s="85"/>
      <c r="I1766" s="104"/>
      <c r="J1766" s="144"/>
      <c r="K1766" s="62"/>
      <c r="L1766" s="49"/>
      <c r="P1766" s="3"/>
      <c r="Q1766" s="3"/>
      <c r="R1766" s="3"/>
      <c r="S1766" s="3"/>
      <c r="T1766" s="3"/>
      <c r="U1766" s="3"/>
      <c r="V1766" s="3"/>
      <c r="W1766" s="3"/>
      <c r="X1766" s="3"/>
      <c r="Y1766" s="4"/>
      <c r="Z1766"/>
      <c r="AA1766"/>
    </row>
    <row r="1767" spans="1:27" s="37" customFormat="1" x14ac:dyDescent="0.15">
      <c r="A1767" s="62"/>
      <c r="B1767" s="93"/>
      <c r="C1767" s="100"/>
      <c r="D1767" s="61"/>
      <c r="E1767" s="100"/>
      <c r="F1767" s="100"/>
      <c r="G1767" s="100"/>
      <c r="H1767" s="85"/>
      <c r="I1767" s="101"/>
      <c r="J1767" s="143"/>
      <c r="K1767" s="61"/>
      <c r="L1767" s="49"/>
      <c r="M1767" s="51"/>
      <c r="P1767" s="3"/>
      <c r="Q1767" s="3"/>
      <c r="R1767" s="3"/>
      <c r="S1767" s="3"/>
      <c r="T1767" s="3"/>
      <c r="U1767" s="3"/>
      <c r="V1767" s="3"/>
      <c r="W1767" s="3"/>
      <c r="X1767" s="3"/>
      <c r="Y1767" s="4"/>
      <c r="Z1767"/>
      <c r="AA1767"/>
    </row>
    <row r="1768" spans="1:27" s="37" customFormat="1" x14ac:dyDescent="0.15">
      <c r="A1768" s="165"/>
      <c r="B1768" s="93"/>
      <c r="C1768" s="100"/>
      <c r="D1768" s="61"/>
      <c r="E1768" s="100"/>
      <c r="F1768" s="100"/>
      <c r="G1768" s="100"/>
      <c r="H1768" s="85"/>
      <c r="I1768" s="101"/>
      <c r="J1768" s="143"/>
      <c r="K1768" s="61"/>
      <c r="L1768" s="50"/>
      <c r="M1768" s="51"/>
      <c r="P1768" s="3"/>
      <c r="Q1768" s="3"/>
      <c r="R1768" s="3"/>
      <c r="S1768" s="3"/>
      <c r="T1768" s="3"/>
      <c r="U1768" s="3"/>
      <c r="V1768" s="3"/>
      <c r="W1768" s="3"/>
      <c r="X1768" s="3"/>
      <c r="Y1768" s="4"/>
      <c r="Z1768"/>
      <c r="AA1768"/>
    </row>
    <row r="1769" spans="1:27" s="37" customFormat="1" x14ac:dyDescent="0.15">
      <c r="A1769" s="165"/>
      <c r="B1769" s="93"/>
      <c r="C1769" s="100"/>
      <c r="D1769" s="61"/>
      <c r="E1769" s="100"/>
      <c r="F1769" s="100"/>
      <c r="G1769" s="100"/>
      <c r="H1769" s="103"/>
      <c r="I1769" s="103"/>
      <c r="J1769" s="141"/>
      <c r="K1769" s="61"/>
      <c r="L1769" s="50"/>
      <c r="M1769" s="36"/>
      <c r="P1769" s="3"/>
      <c r="Q1769" s="3"/>
      <c r="R1769" s="3"/>
      <c r="S1769" s="3"/>
      <c r="T1769" s="3"/>
      <c r="U1769" s="3"/>
      <c r="V1769" s="3"/>
      <c r="W1769" s="3"/>
      <c r="X1769" s="3"/>
      <c r="Y1769" s="4"/>
      <c r="Z1769"/>
      <c r="AA1769"/>
    </row>
    <row r="1770" spans="1:27" s="37" customFormat="1" x14ac:dyDescent="0.15">
      <c r="A1770" s="62"/>
      <c r="B1770" s="93"/>
      <c r="C1770" s="100"/>
      <c r="D1770" s="61"/>
      <c r="E1770" s="100"/>
      <c r="F1770" s="100"/>
      <c r="G1770" s="100"/>
      <c r="H1770" s="85"/>
      <c r="I1770" s="101"/>
      <c r="J1770" s="143"/>
      <c r="K1770" s="61"/>
      <c r="L1770" s="50"/>
      <c r="M1770" s="35"/>
      <c r="P1770" s="3"/>
      <c r="Q1770" s="3"/>
      <c r="R1770" s="3"/>
      <c r="S1770" s="3"/>
      <c r="T1770" s="3"/>
      <c r="U1770" s="3"/>
      <c r="V1770" s="3"/>
      <c r="W1770" s="3"/>
      <c r="X1770" s="3"/>
      <c r="Y1770" s="4"/>
      <c r="Z1770"/>
      <c r="AA1770"/>
    </row>
    <row r="1771" spans="1:27" s="37" customFormat="1" x14ac:dyDescent="0.15">
      <c r="A1771" s="62"/>
      <c r="B1771" s="93"/>
      <c r="C1771" s="100"/>
      <c r="D1771" s="61"/>
      <c r="E1771" s="100"/>
      <c r="F1771" s="100"/>
      <c r="G1771" s="100"/>
      <c r="H1771" s="85"/>
      <c r="I1771" s="101"/>
      <c r="J1771" s="143"/>
      <c r="K1771" s="61"/>
      <c r="L1771" s="50"/>
      <c r="M1771" s="35"/>
      <c r="P1771" s="3"/>
      <c r="Q1771" s="3"/>
      <c r="R1771" s="3"/>
      <c r="S1771" s="3"/>
      <c r="T1771" s="3"/>
      <c r="U1771" s="3"/>
      <c r="V1771" s="3"/>
      <c r="W1771" s="3"/>
      <c r="X1771" s="3"/>
      <c r="Y1771" s="4"/>
      <c r="Z1771"/>
      <c r="AA1771"/>
    </row>
    <row r="1772" spans="1:27" s="37" customFormat="1" x14ac:dyDescent="0.15">
      <c r="A1772" s="62"/>
      <c r="B1772" s="93"/>
      <c r="C1772" s="100"/>
      <c r="D1772" s="61"/>
      <c r="E1772" s="100"/>
      <c r="F1772" s="100"/>
      <c r="G1772" s="100"/>
      <c r="H1772" s="85"/>
      <c r="I1772" s="101"/>
      <c r="J1772" s="143"/>
      <c r="K1772" s="61"/>
      <c r="L1772" s="50"/>
      <c r="M1772" s="35"/>
      <c r="N1772" s="51"/>
      <c r="P1772" s="3"/>
      <c r="Q1772" s="3"/>
      <c r="R1772" s="3"/>
      <c r="S1772" s="3"/>
      <c r="T1772" s="3"/>
      <c r="U1772" s="3"/>
      <c r="V1772" s="3"/>
      <c r="W1772" s="3"/>
      <c r="X1772" s="3"/>
      <c r="Y1772" s="4"/>
      <c r="Z1772"/>
      <c r="AA1772"/>
    </row>
    <row r="1773" spans="1:27" s="37" customFormat="1" x14ac:dyDescent="0.15">
      <c r="A1773" s="165"/>
      <c r="B1773" s="82"/>
      <c r="C1773" s="105"/>
      <c r="D1773" s="61"/>
      <c r="E1773" s="105"/>
      <c r="F1773" s="105"/>
      <c r="G1773" s="105"/>
      <c r="H1773" s="85"/>
      <c r="I1773" s="101"/>
      <c r="J1773" s="143"/>
      <c r="K1773" s="61"/>
      <c r="L1773" s="50"/>
      <c r="N1773" s="51"/>
      <c r="P1773" s="3"/>
      <c r="Q1773" s="3"/>
      <c r="R1773" s="3"/>
      <c r="S1773" s="3"/>
      <c r="T1773" s="3"/>
      <c r="U1773" s="3"/>
      <c r="V1773" s="3"/>
      <c r="W1773" s="3"/>
      <c r="X1773" s="3"/>
      <c r="Y1773" s="4"/>
      <c r="Z1773"/>
      <c r="AA1773"/>
    </row>
    <row r="1774" spans="1:27" s="37" customFormat="1" x14ac:dyDescent="0.15">
      <c r="A1774" s="165"/>
      <c r="B1774" s="93"/>
      <c r="C1774" s="100"/>
      <c r="D1774" s="61"/>
      <c r="E1774" s="100"/>
      <c r="F1774" s="100"/>
      <c r="G1774" s="100"/>
      <c r="H1774" s="85"/>
      <c r="I1774" s="101"/>
      <c r="J1774" s="143"/>
      <c r="K1774" s="61"/>
      <c r="L1774" s="50"/>
      <c r="N1774" s="35"/>
      <c r="P1774" s="3"/>
      <c r="Q1774" s="3"/>
      <c r="R1774" s="3"/>
      <c r="S1774" s="3"/>
      <c r="T1774" s="3"/>
      <c r="U1774" s="3"/>
      <c r="V1774" s="3"/>
      <c r="W1774" s="3"/>
      <c r="X1774" s="3"/>
      <c r="Y1774" s="4"/>
      <c r="Z1774"/>
      <c r="AA1774"/>
    </row>
    <row r="1775" spans="1:27" s="37" customFormat="1" x14ac:dyDescent="0.15">
      <c r="A1775" s="165"/>
      <c r="B1775" s="93"/>
      <c r="C1775" s="100"/>
      <c r="D1775" s="61"/>
      <c r="E1775" s="100"/>
      <c r="F1775" s="100"/>
      <c r="G1775" s="100"/>
      <c r="H1775" s="85"/>
      <c r="I1775" s="101"/>
      <c r="J1775" s="143"/>
      <c r="K1775" s="61"/>
      <c r="L1775" s="50"/>
      <c r="N1775" s="51"/>
      <c r="P1775" s="3"/>
      <c r="Q1775" s="3"/>
      <c r="R1775" s="3"/>
      <c r="S1775" s="3"/>
      <c r="T1775" s="3"/>
      <c r="U1775" s="3"/>
      <c r="V1775" s="3"/>
      <c r="W1775" s="3"/>
      <c r="X1775" s="3"/>
      <c r="Y1775" s="4"/>
      <c r="Z1775"/>
      <c r="AA1775"/>
    </row>
    <row r="1776" spans="1:27" s="37" customFormat="1" x14ac:dyDescent="0.15">
      <c r="A1776" s="165"/>
      <c r="B1776" s="93"/>
      <c r="C1776" s="100"/>
      <c r="D1776" s="61"/>
      <c r="E1776" s="100"/>
      <c r="F1776" s="100"/>
      <c r="G1776" s="100"/>
      <c r="H1776" s="85"/>
      <c r="I1776" s="101"/>
      <c r="J1776" s="143"/>
      <c r="K1776" s="61"/>
      <c r="L1776" s="35"/>
      <c r="N1776" s="35"/>
      <c r="P1776" s="3"/>
      <c r="Q1776" s="3"/>
      <c r="R1776" s="3"/>
      <c r="S1776" s="3"/>
      <c r="T1776" s="3"/>
      <c r="U1776" s="3"/>
      <c r="V1776" s="3"/>
      <c r="W1776" s="3"/>
      <c r="X1776" s="3"/>
      <c r="Y1776" s="4"/>
      <c r="Z1776"/>
      <c r="AA1776"/>
    </row>
    <row r="1777" spans="1:27" s="37" customFormat="1" x14ac:dyDescent="0.15">
      <c r="A1777" s="165"/>
      <c r="B1777" s="93"/>
      <c r="C1777" s="102"/>
      <c r="D1777" s="62"/>
      <c r="E1777" s="102"/>
      <c r="F1777" s="102"/>
      <c r="G1777" s="102"/>
      <c r="H1777" s="85"/>
      <c r="I1777" s="104"/>
      <c r="J1777" s="143"/>
      <c r="K1777" s="61"/>
      <c r="L1777" s="35"/>
      <c r="N1777" s="35"/>
      <c r="P1777" s="3"/>
      <c r="Q1777" s="3"/>
      <c r="R1777" s="3"/>
      <c r="S1777" s="3"/>
      <c r="T1777" s="3"/>
      <c r="U1777" s="3"/>
      <c r="V1777" s="3"/>
      <c r="W1777" s="3"/>
      <c r="X1777" s="3"/>
      <c r="Y1777" s="4"/>
      <c r="Z1777"/>
      <c r="AA1777"/>
    </row>
    <row r="1778" spans="1:27" s="37" customFormat="1" x14ac:dyDescent="0.15">
      <c r="A1778" s="165"/>
      <c r="B1778" s="93"/>
      <c r="C1778" s="100"/>
      <c r="D1778" s="61"/>
      <c r="E1778" s="100"/>
      <c r="F1778" s="100"/>
      <c r="G1778" s="100"/>
      <c r="H1778" s="85"/>
      <c r="I1778" s="101"/>
      <c r="J1778" s="143"/>
      <c r="K1778" s="61"/>
      <c r="L1778" s="50"/>
      <c r="M1778" s="51"/>
      <c r="P1778" s="3"/>
      <c r="Q1778" s="3"/>
      <c r="R1778" s="3"/>
      <c r="S1778" s="3"/>
      <c r="T1778" s="3"/>
      <c r="U1778" s="3"/>
      <c r="V1778" s="3"/>
      <c r="W1778" s="3"/>
      <c r="X1778" s="3"/>
      <c r="Y1778" s="4"/>
      <c r="Z1778"/>
      <c r="AA1778"/>
    </row>
    <row r="1779" spans="1:27" s="37" customFormat="1" x14ac:dyDescent="0.15">
      <c r="A1779" s="165"/>
      <c r="B1779" s="93"/>
      <c r="C1779" s="100"/>
      <c r="D1779" s="61"/>
      <c r="E1779" s="100"/>
      <c r="F1779" s="100"/>
      <c r="G1779" s="100"/>
      <c r="H1779" s="85"/>
      <c r="I1779" s="101"/>
      <c r="J1779" s="143"/>
      <c r="K1779" s="61"/>
      <c r="L1779" s="49"/>
      <c r="P1779" s="3"/>
      <c r="Q1779" s="3"/>
      <c r="R1779" s="3"/>
      <c r="S1779" s="3"/>
      <c r="T1779" s="3"/>
      <c r="U1779" s="3"/>
      <c r="V1779" s="3"/>
      <c r="W1779" s="3"/>
      <c r="X1779" s="3"/>
      <c r="Y1779" s="4"/>
      <c r="Z1779"/>
      <c r="AA1779"/>
    </row>
    <row r="1780" spans="1:27" s="37" customFormat="1" x14ac:dyDescent="0.15">
      <c r="A1780" s="165"/>
      <c r="B1780" s="93"/>
      <c r="C1780" s="102"/>
      <c r="D1780" s="62"/>
      <c r="E1780" s="100"/>
      <c r="F1780" s="102"/>
      <c r="G1780" s="102"/>
      <c r="H1780" s="85"/>
      <c r="I1780" s="104"/>
      <c r="J1780" s="143"/>
      <c r="K1780" s="61"/>
      <c r="L1780" s="49"/>
      <c r="P1780" s="3"/>
      <c r="Q1780" s="3"/>
      <c r="R1780" s="3"/>
      <c r="S1780" s="3"/>
      <c r="T1780" s="3"/>
      <c r="U1780" s="3"/>
      <c r="V1780" s="3"/>
      <c r="W1780" s="3"/>
      <c r="X1780" s="3"/>
      <c r="Y1780" s="4"/>
      <c r="Z1780"/>
      <c r="AA1780"/>
    </row>
    <row r="1781" spans="1:27" s="37" customFormat="1" x14ac:dyDescent="0.15">
      <c r="A1781" s="165"/>
      <c r="B1781" s="93"/>
      <c r="C1781" s="102"/>
      <c r="D1781" s="62"/>
      <c r="E1781" s="102"/>
      <c r="F1781" s="102"/>
      <c r="G1781" s="102"/>
      <c r="H1781" s="85"/>
      <c r="I1781" s="104"/>
      <c r="J1781" s="143"/>
      <c r="K1781" s="61"/>
      <c r="L1781" s="49"/>
      <c r="P1781" s="3"/>
      <c r="Q1781" s="3"/>
      <c r="R1781" s="3"/>
      <c r="S1781" s="3"/>
      <c r="T1781" s="3"/>
      <c r="U1781" s="3"/>
      <c r="V1781" s="3"/>
      <c r="W1781" s="3"/>
      <c r="X1781" s="3"/>
      <c r="Y1781" s="4"/>
      <c r="Z1781"/>
      <c r="AA1781"/>
    </row>
    <row r="1782" spans="1:27" s="37" customFormat="1" x14ac:dyDescent="0.15">
      <c r="A1782" s="165"/>
      <c r="B1782" s="93"/>
      <c r="C1782" s="102"/>
      <c r="D1782" s="62"/>
      <c r="E1782" s="102"/>
      <c r="F1782" s="102"/>
      <c r="G1782" s="102"/>
      <c r="H1782" s="85"/>
      <c r="I1782" s="104"/>
      <c r="J1782" s="143"/>
      <c r="K1782" s="61"/>
      <c r="L1782" s="49"/>
      <c r="P1782" s="3"/>
      <c r="Q1782" s="3"/>
      <c r="R1782" s="3"/>
      <c r="S1782" s="3"/>
      <c r="T1782" s="3"/>
      <c r="U1782" s="3"/>
      <c r="V1782" s="3"/>
      <c r="W1782" s="3"/>
      <c r="X1782" s="3"/>
      <c r="Y1782" s="4"/>
      <c r="Z1782"/>
      <c r="AA1782"/>
    </row>
    <row r="1783" spans="1:27" s="37" customFormat="1" x14ac:dyDescent="0.15">
      <c r="A1783" s="165"/>
      <c r="B1783" s="82"/>
      <c r="C1783" s="107"/>
      <c r="D1783" s="62"/>
      <c r="E1783" s="107"/>
      <c r="F1783" s="107"/>
      <c r="G1783" s="107"/>
      <c r="H1783" s="85"/>
      <c r="I1783" s="104"/>
      <c r="J1783" s="143"/>
      <c r="K1783" s="61"/>
      <c r="L1783" s="49"/>
      <c r="P1783" s="3"/>
      <c r="Q1783" s="3"/>
      <c r="R1783" s="3"/>
      <c r="S1783" s="3"/>
      <c r="T1783" s="3"/>
      <c r="U1783" s="3"/>
      <c r="V1783" s="3"/>
      <c r="W1783" s="3"/>
      <c r="X1783" s="3"/>
      <c r="Y1783" s="4"/>
      <c r="Z1783"/>
      <c r="AA1783"/>
    </row>
    <row r="1784" spans="1:27" s="37" customFormat="1" x14ac:dyDescent="0.15">
      <c r="A1784" s="165"/>
      <c r="B1784" s="93"/>
      <c r="C1784" s="102"/>
      <c r="D1784" s="62"/>
      <c r="E1784" s="102"/>
      <c r="F1784" s="102"/>
      <c r="G1784" s="102"/>
      <c r="H1784" s="85"/>
      <c r="I1784" s="104"/>
      <c r="J1784" s="143"/>
      <c r="K1784" s="61"/>
      <c r="L1784" s="49"/>
      <c r="P1784" s="3"/>
      <c r="Q1784" s="3"/>
      <c r="R1784" s="3"/>
      <c r="S1784" s="3"/>
      <c r="T1784" s="3"/>
      <c r="U1784" s="3"/>
      <c r="V1784" s="3"/>
      <c r="W1784" s="3"/>
      <c r="X1784" s="3"/>
      <c r="Y1784" s="4"/>
      <c r="Z1784"/>
      <c r="AA1784"/>
    </row>
    <row r="1785" spans="1:27" s="37" customFormat="1" x14ac:dyDescent="0.15">
      <c r="A1785" s="165"/>
      <c r="B1785" s="93"/>
      <c r="C1785" s="100"/>
      <c r="D1785" s="61"/>
      <c r="E1785" s="100"/>
      <c r="F1785" s="100"/>
      <c r="G1785" s="100"/>
      <c r="H1785" s="85"/>
      <c r="I1785" s="101"/>
      <c r="J1785" s="143"/>
      <c r="K1785" s="61"/>
      <c r="L1785" s="49"/>
      <c r="P1785" s="3"/>
      <c r="Q1785" s="3"/>
      <c r="R1785" s="3"/>
      <c r="S1785" s="3"/>
      <c r="T1785" s="3"/>
      <c r="U1785" s="3"/>
      <c r="V1785" s="3"/>
      <c r="W1785" s="3"/>
      <c r="X1785" s="3"/>
      <c r="Y1785" s="4"/>
      <c r="Z1785"/>
      <c r="AA1785"/>
    </row>
    <row r="1786" spans="1:27" s="37" customFormat="1" x14ac:dyDescent="0.15">
      <c r="A1786" s="165"/>
      <c r="B1786" s="93"/>
      <c r="C1786" s="102"/>
      <c r="D1786" s="62"/>
      <c r="E1786" s="100"/>
      <c r="F1786" s="102"/>
      <c r="G1786" s="102"/>
      <c r="H1786" s="85"/>
      <c r="I1786" s="104"/>
      <c r="J1786" s="143"/>
      <c r="K1786" s="61"/>
      <c r="L1786" s="49"/>
      <c r="P1786" s="3"/>
      <c r="Q1786" s="3"/>
      <c r="R1786" s="3"/>
      <c r="S1786" s="3"/>
      <c r="T1786" s="3"/>
      <c r="U1786" s="3"/>
      <c r="V1786" s="3"/>
      <c r="W1786" s="3"/>
      <c r="X1786" s="3"/>
      <c r="Y1786" s="4"/>
      <c r="Z1786"/>
      <c r="AA1786"/>
    </row>
    <row r="1787" spans="1:27" s="37" customFormat="1" x14ac:dyDescent="0.15">
      <c r="A1787" s="165"/>
      <c r="B1787" s="82"/>
      <c r="C1787" s="105"/>
      <c r="D1787" s="61"/>
      <c r="E1787" s="105"/>
      <c r="F1787" s="105"/>
      <c r="G1787" s="105"/>
      <c r="H1787" s="85"/>
      <c r="I1787" s="101"/>
      <c r="J1787" s="143"/>
      <c r="K1787" s="61"/>
      <c r="L1787" s="49"/>
      <c r="P1787" s="3"/>
      <c r="Q1787" s="3"/>
      <c r="R1787" s="3"/>
      <c r="S1787" s="3"/>
      <c r="T1787" s="3"/>
      <c r="U1787" s="3"/>
      <c r="V1787" s="3"/>
      <c r="W1787" s="3"/>
      <c r="X1787" s="3"/>
      <c r="Y1787" s="4"/>
      <c r="Z1787"/>
      <c r="AA1787"/>
    </row>
    <row r="1788" spans="1:27" s="37" customFormat="1" x14ac:dyDescent="0.15">
      <c r="A1788" s="165"/>
      <c r="B1788" s="82"/>
      <c r="C1788" s="105"/>
      <c r="D1788" s="61"/>
      <c r="E1788" s="105"/>
      <c r="F1788" s="105"/>
      <c r="G1788" s="105"/>
      <c r="H1788" s="85"/>
      <c r="I1788" s="101"/>
      <c r="J1788" s="143"/>
      <c r="K1788" s="61"/>
      <c r="L1788" s="49"/>
      <c r="P1788" s="3"/>
      <c r="Q1788" s="3"/>
      <c r="R1788" s="3"/>
      <c r="S1788" s="3"/>
      <c r="T1788" s="3"/>
      <c r="U1788" s="3"/>
      <c r="V1788" s="3"/>
      <c r="W1788" s="3"/>
      <c r="X1788" s="3"/>
      <c r="Y1788" s="4"/>
      <c r="Z1788"/>
      <c r="AA1788"/>
    </row>
    <row r="1789" spans="1:27" s="37" customFormat="1" x14ac:dyDescent="0.15">
      <c r="A1789" s="165"/>
      <c r="B1789" s="96"/>
      <c r="C1789" s="107"/>
      <c r="D1789" s="62"/>
      <c r="E1789" s="105"/>
      <c r="F1789" s="107"/>
      <c r="G1789" s="107"/>
      <c r="H1789" s="85"/>
      <c r="I1789" s="104"/>
      <c r="J1789" s="143"/>
      <c r="K1789" s="61"/>
      <c r="L1789" s="49"/>
      <c r="P1789" s="3"/>
      <c r="Q1789" s="3"/>
      <c r="R1789" s="3"/>
      <c r="S1789" s="3"/>
      <c r="T1789" s="3"/>
      <c r="U1789" s="3"/>
      <c r="V1789" s="3"/>
      <c r="W1789" s="3"/>
      <c r="X1789" s="3"/>
      <c r="Y1789" s="4"/>
      <c r="Z1789"/>
      <c r="AA1789"/>
    </row>
    <row r="1790" spans="1:27" s="37" customFormat="1" x14ac:dyDescent="0.15">
      <c r="A1790" s="165"/>
      <c r="B1790" s="93"/>
      <c r="C1790" s="102"/>
      <c r="D1790" s="62"/>
      <c r="E1790" s="102"/>
      <c r="F1790" s="102"/>
      <c r="G1790" s="102"/>
      <c r="H1790" s="85"/>
      <c r="I1790" s="103"/>
      <c r="J1790" s="135"/>
      <c r="K1790" s="61"/>
      <c r="L1790" s="49"/>
      <c r="P1790" s="3"/>
      <c r="Q1790" s="3"/>
      <c r="R1790" s="3"/>
      <c r="S1790" s="3"/>
      <c r="T1790" s="3"/>
      <c r="U1790" s="3"/>
      <c r="V1790" s="3"/>
      <c r="W1790" s="3"/>
      <c r="X1790" s="3"/>
      <c r="Y1790" s="4"/>
      <c r="Z1790"/>
      <c r="AA1790"/>
    </row>
    <row r="1791" spans="1:27" s="49" customFormat="1" x14ac:dyDescent="0.15">
      <c r="A1791" s="165"/>
      <c r="B1791" s="82"/>
      <c r="C1791" s="107"/>
      <c r="D1791" s="62"/>
      <c r="E1791" s="107"/>
      <c r="F1791" s="107"/>
      <c r="G1791" s="107"/>
      <c r="H1791" s="85"/>
      <c r="I1791" s="104"/>
      <c r="J1791" s="143"/>
      <c r="K1791" s="61"/>
      <c r="M1791" s="37"/>
      <c r="N1791" s="37"/>
      <c r="O1791" s="37"/>
      <c r="P1791" s="3"/>
      <c r="Q1791" s="3"/>
      <c r="R1791" s="3"/>
      <c r="S1791" s="3"/>
      <c r="T1791" s="3"/>
      <c r="U1791" s="3"/>
      <c r="V1791" s="3"/>
      <c r="W1791" s="3"/>
      <c r="X1791" s="3"/>
      <c r="Y1791" s="4"/>
      <c r="Z1791"/>
      <c r="AA1791"/>
    </row>
    <row r="1792" spans="1:27" s="49" customFormat="1" x14ac:dyDescent="0.15">
      <c r="A1792" s="165"/>
      <c r="B1792" s="82"/>
      <c r="C1792" s="105"/>
      <c r="D1792" s="61"/>
      <c r="E1792" s="105"/>
      <c r="F1792" s="105"/>
      <c r="G1792" s="105"/>
      <c r="H1792" s="85"/>
      <c r="I1792" s="101"/>
      <c r="J1792" s="143"/>
      <c r="K1792" s="61"/>
      <c r="M1792" s="37"/>
      <c r="N1792" s="37"/>
      <c r="O1792" s="37"/>
      <c r="P1792" s="3"/>
      <c r="Q1792" s="3"/>
      <c r="R1792" s="3"/>
      <c r="S1792" s="3"/>
      <c r="T1792" s="3"/>
      <c r="U1792" s="3"/>
      <c r="V1792" s="3"/>
      <c r="W1792" s="3"/>
      <c r="X1792" s="3"/>
      <c r="Y1792" s="4"/>
      <c r="Z1792"/>
      <c r="AA1792"/>
    </row>
    <row r="1793" spans="1:27" s="49" customFormat="1" x14ac:dyDescent="0.15">
      <c r="A1793" s="165"/>
      <c r="B1793" s="93"/>
      <c r="C1793" s="102"/>
      <c r="D1793" s="62"/>
      <c r="E1793" s="100"/>
      <c r="F1793" s="102"/>
      <c r="G1793" s="102"/>
      <c r="H1793" s="85"/>
      <c r="I1793" s="104"/>
      <c r="J1793" s="143"/>
      <c r="K1793" s="61"/>
      <c r="M1793" s="37"/>
      <c r="N1793" s="37"/>
      <c r="O1793" s="37"/>
      <c r="P1793" s="3"/>
      <c r="Q1793" s="3"/>
      <c r="R1793" s="3"/>
      <c r="S1793" s="3"/>
      <c r="T1793" s="3"/>
      <c r="U1793" s="3"/>
      <c r="V1793" s="3"/>
      <c r="W1793" s="3"/>
      <c r="X1793" s="3"/>
      <c r="Y1793" s="4"/>
      <c r="Z1793"/>
      <c r="AA1793"/>
    </row>
    <row r="1794" spans="1:27" s="49" customFormat="1" x14ac:dyDescent="0.15">
      <c r="A1794" s="165"/>
      <c r="B1794" s="93"/>
      <c r="C1794" s="102"/>
      <c r="D1794" s="62"/>
      <c r="E1794" s="100"/>
      <c r="F1794" s="102"/>
      <c r="G1794" s="102"/>
      <c r="H1794" s="85"/>
      <c r="I1794" s="104"/>
      <c r="J1794" s="143"/>
      <c r="K1794" s="61"/>
      <c r="M1794" s="37"/>
      <c r="N1794" s="37"/>
      <c r="O1794" s="37"/>
      <c r="P1794" s="3"/>
      <c r="Q1794" s="3"/>
      <c r="R1794" s="3"/>
      <c r="S1794" s="3"/>
      <c r="T1794" s="3"/>
      <c r="U1794" s="3"/>
      <c r="V1794" s="3"/>
      <c r="W1794" s="3"/>
      <c r="X1794" s="3"/>
      <c r="Y1794" s="4"/>
      <c r="Z1794"/>
      <c r="AA1794"/>
    </row>
    <row r="1795" spans="1:27" s="49" customFormat="1" x14ac:dyDescent="0.15">
      <c r="A1795" s="165"/>
      <c r="B1795" s="93"/>
      <c r="C1795" s="102"/>
      <c r="D1795" s="62"/>
      <c r="E1795" s="100"/>
      <c r="F1795" s="102"/>
      <c r="G1795" s="102"/>
      <c r="H1795" s="85"/>
      <c r="I1795" s="104"/>
      <c r="J1795" s="143"/>
      <c r="K1795" s="61"/>
      <c r="M1795" s="37"/>
      <c r="N1795" s="37"/>
      <c r="O1795" s="37"/>
      <c r="P1795" s="3"/>
      <c r="Q1795" s="3"/>
      <c r="R1795" s="3"/>
      <c r="S1795" s="3"/>
      <c r="T1795" s="3"/>
      <c r="U1795" s="3"/>
      <c r="V1795" s="3"/>
      <c r="W1795" s="3"/>
      <c r="X1795" s="3"/>
      <c r="Y1795" s="4"/>
      <c r="Z1795"/>
      <c r="AA1795"/>
    </row>
    <row r="1796" spans="1:27" s="49" customFormat="1" x14ac:dyDescent="0.15">
      <c r="A1796" s="165"/>
      <c r="B1796" s="82"/>
      <c r="C1796" s="107"/>
      <c r="D1796" s="62"/>
      <c r="E1796" s="107"/>
      <c r="F1796" s="107"/>
      <c r="G1796" s="107"/>
      <c r="H1796" s="85"/>
      <c r="I1796" s="104"/>
      <c r="J1796" s="143"/>
      <c r="K1796" s="61"/>
      <c r="M1796" s="37"/>
      <c r="N1796" s="37"/>
      <c r="O1796" s="37"/>
      <c r="P1796" s="3"/>
      <c r="Q1796" s="3"/>
      <c r="R1796" s="3"/>
      <c r="S1796" s="3"/>
      <c r="T1796" s="3"/>
      <c r="U1796" s="3"/>
      <c r="V1796" s="3"/>
      <c r="W1796" s="3"/>
      <c r="X1796" s="3"/>
      <c r="Y1796" s="4"/>
      <c r="Z1796"/>
      <c r="AA1796"/>
    </row>
    <row r="1797" spans="1:27" s="49" customFormat="1" x14ac:dyDescent="0.15">
      <c r="A1797" s="165"/>
      <c r="B1797" s="82"/>
      <c r="C1797" s="107"/>
      <c r="D1797" s="62"/>
      <c r="E1797" s="107"/>
      <c r="F1797" s="107"/>
      <c r="G1797" s="107"/>
      <c r="H1797" s="85"/>
      <c r="I1797" s="104"/>
      <c r="J1797" s="143"/>
      <c r="K1797" s="61"/>
      <c r="M1797" s="37"/>
      <c r="N1797" s="37"/>
      <c r="O1797" s="37"/>
      <c r="P1797" s="3"/>
      <c r="Q1797" s="3"/>
      <c r="R1797" s="3"/>
      <c r="S1797" s="3"/>
      <c r="T1797" s="3"/>
      <c r="U1797" s="3"/>
      <c r="V1797" s="3"/>
      <c r="W1797" s="3"/>
      <c r="X1797" s="3"/>
      <c r="Y1797" s="4"/>
      <c r="Z1797"/>
      <c r="AA1797"/>
    </row>
    <row r="1798" spans="1:27" s="49" customFormat="1" x14ac:dyDescent="0.15">
      <c r="A1798" s="165"/>
      <c r="B1798" s="82"/>
      <c r="C1798" s="107"/>
      <c r="D1798" s="62"/>
      <c r="E1798" s="105"/>
      <c r="F1798" s="107"/>
      <c r="G1798" s="107"/>
      <c r="H1798" s="85"/>
      <c r="I1798" s="104"/>
      <c r="J1798" s="143"/>
      <c r="K1798" s="61"/>
      <c r="M1798" s="37"/>
      <c r="N1798" s="37"/>
      <c r="O1798" s="37"/>
      <c r="P1798" s="3"/>
      <c r="Q1798" s="3"/>
      <c r="R1798" s="3"/>
      <c r="S1798" s="3"/>
      <c r="T1798" s="3"/>
      <c r="U1798" s="3"/>
      <c r="V1798" s="3"/>
      <c r="W1798" s="3"/>
      <c r="X1798" s="3"/>
      <c r="Y1798" s="4"/>
      <c r="Z1798"/>
      <c r="AA1798"/>
    </row>
    <row r="1799" spans="1:27" s="49" customFormat="1" x14ac:dyDescent="0.15">
      <c r="A1799" s="165"/>
      <c r="B1799" s="93"/>
      <c r="C1799" s="100"/>
      <c r="D1799" s="61"/>
      <c r="E1799" s="100"/>
      <c r="F1799" s="100"/>
      <c r="G1799" s="100"/>
      <c r="H1799" s="85"/>
      <c r="I1799" s="101"/>
      <c r="J1799" s="143"/>
      <c r="K1799" s="61"/>
      <c r="M1799" s="37"/>
      <c r="N1799" s="37"/>
      <c r="O1799" s="37"/>
      <c r="P1799" s="3"/>
      <c r="Q1799" s="3"/>
      <c r="R1799" s="3"/>
      <c r="S1799" s="3"/>
      <c r="T1799" s="3"/>
      <c r="U1799" s="3"/>
      <c r="V1799" s="3"/>
      <c r="W1799" s="3"/>
      <c r="X1799" s="3"/>
      <c r="Y1799" s="4"/>
      <c r="Z1799"/>
      <c r="AA1799"/>
    </row>
    <row r="1800" spans="1:27" s="49" customFormat="1" x14ac:dyDescent="0.15">
      <c r="A1800" s="165"/>
      <c r="B1800" s="82"/>
      <c r="C1800" s="105"/>
      <c r="D1800" s="61"/>
      <c r="E1800" s="105"/>
      <c r="F1800" s="105"/>
      <c r="G1800" s="105"/>
      <c r="H1800" s="85"/>
      <c r="I1800" s="101"/>
      <c r="J1800" s="143"/>
      <c r="K1800" s="61"/>
      <c r="M1800" s="37"/>
      <c r="N1800" s="37"/>
      <c r="O1800" s="37"/>
      <c r="P1800" s="3"/>
      <c r="Q1800" s="3"/>
      <c r="R1800" s="3"/>
      <c r="S1800" s="3"/>
      <c r="T1800" s="3"/>
      <c r="U1800" s="3"/>
      <c r="V1800" s="3"/>
      <c r="W1800" s="3"/>
      <c r="X1800" s="3"/>
      <c r="Y1800" s="4"/>
      <c r="Z1800"/>
      <c r="AA1800"/>
    </row>
    <row r="1801" spans="1:27" s="49" customFormat="1" x14ac:dyDescent="0.15">
      <c r="A1801" s="165"/>
      <c r="B1801" s="93"/>
      <c r="C1801" s="100"/>
      <c r="D1801" s="61"/>
      <c r="E1801" s="100"/>
      <c r="F1801" s="100"/>
      <c r="G1801" s="100"/>
      <c r="H1801" s="85"/>
      <c r="I1801" s="101"/>
      <c r="J1801" s="143"/>
      <c r="K1801" s="61"/>
      <c r="M1801" s="37"/>
      <c r="N1801" s="37"/>
      <c r="O1801" s="37"/>
      <c r="P1801" s="3"/>
      <c r="Q1801" s="3"/>
      <c r="R1801" s="3"/>
      <c r="S1801" s="3"/>
      <c r="T1801" s="3"/>
      <c r="U1801" s="3"/>
      <c r="V1801" s="3"/>
      <c r="W1801" s="3"/>
      <c r="X1801" s="3"/>
      <c r="Y1801" s="4"/>
      <c r="Z1801"/>
      <c r="AA1801"/>
    </row>
    <row r="1802" spans="1:27" s="49" customFormat="1" x14ac:dyDescent="0.15">
      <c r="A1802" s="165"/>
      <c r="B1802" s="82"/>
      <c r="C1802" s="107"/>
      <c r="D1802" s="62"/>
      <c r="E1802" s="105"/>
      <c r="F1802" s="107"/>
      <c r="G1802" s="107"/>
      <c r="H1802" s="85"/>
      <c r="I1802" s="104"/>
      <c r="J1802" s="143"/>
      <c r="K1802" s="61"/>
      <c r="M1802" s="37"/>
      <c r="N1802" s="37"/>
      <c r="O1802" s="37"/>
      <c r="P1802" s="3"/>
      <c r="Q1802" s="3"/>
      <c r="R1802" s="3"/>
      <c r="S1802" s="3"/>
      <c r="T1802" s="3"/>
      <c r="U1802" s="3"/>
      <c r="V1802" s="3"/>
      <c r="W1802" s="3"/>
      <c r="X1802" s="3"/>
      <c r="Y1802" s="4"/>
      <c r="Z1802"/>
      <c r="AA1802"/>
    </row>
    <row r="1803" spans="1:27" s="49" customFormat="1" x14ac:dyDescent="0.15">
      <c r="A1803" s="165"/>
      <c r="B1803" s="93"/>
      <c r="C1803" s="100"/>
      <c r="D1803" s="61"/>
      <c r="E1803" s="100"/>
      <c r="F1803" s="100"/>
      <c r="G1803" s="100"/>
      <c r="H1803" s="85"/>
      <c r="I1803" s="101"/>
      <c r="J1803" s="143"/>
      <c r="K1803" s="61"/>
      <c r="M1803" s="37"/>
      <c r="N1803" s="37"/>
      <c r="O1803" s="37"/>
      <c r="P1803" s="3"/>
      <c r="Q1803" s="3"/>
      <c r="R1803" s="3"/>
      <c r="S1803" s="3"/>
      <c r="T1803" s="3"/>
      <c r="U1803" s="3"/>
      <c r="V1803" s="3"/>
      <c r="W1803" s="3"/>
      <c r="X1803" s="3"/>
      <c r="Y1803" s="4"/>
      <c r="Z1803"/>
      <c r="AA1803"/>
    </row>
    <row r="1804" spans="1:27" s="49" customFormat="1" x14ac:dyDescent="0.15">
      <c r="A1804" s="165"/>
      <c r="B1804" s="93"/>
      <c r="C1804" s="102"/>
      <c r="D1804" s="62"/>
      <c r="E1804" s="102"/>
      <c r="F1804" s="102"/>
      <c r="G1804" s="102"/>
      <c r="H1804" s="85"/>
      <c r="I1804" s="104"/>
      <c r="J1804" s="143"/>
      <c r="K1804" s="61"/>
      <c r="M1804" s="37"/>
      <c r="N1804" s="37"/>
      <c r="O1804" s="37"/>
      <c r="P1804" s="3"/>
      <c r="Q1804" s="3"/>
      <c r="R1804" s="3"/>
      <c r="S1804" s="3"/>
      <c r="T1804" s="3"/>
      <c r="U1804" s="3"/>
      <c r="V1804" s="3"/>
      <c r="W1804" s="3"/>
      <c r="X1804" s="3"/>
      <c r="Y1804" s="4"/>
      <c r="Z1804"/>
      <c r="AA1804"/>
    </row>
    <row r="1805" spans="1:27" s="49" customFormat="1" x14ac:dyDescent="0.15">
      <c r="A1805" s="165"/>
      <c r="B1805" s="82"/>
      <c r="C1805" s="107"/>
      <c r="D1805" s="62"/>
      <c r="E1805" s="107"/>
      <c r="F1805" s="107"/>
      <c r="G1805" s="107"/>
      <c r="H1805" s="85"/>
      <c r="I1805" s="104"/>
      <c r="J1805" s="143"/>
      <c r="K1805" s="61"/>
      <c r="M1805" s="37"/>
      <c r="N1805" s="37"/>
      <c r="O1805" s="37"/>
      <c r="P1805" s="3"/>
      <c r="Q1805" s="3"/>
      <c r="R1805" s="3"/>
      <c r="S1805" s="3"/>
      <c r="T1805" s="3"/>
      <c r="U1805" s="3"/>
      <c r="V1805" s="3"/>
      <c r="W1805" s="3"/>
      <c r="X1805" s="3"/>
      <c r="Y1805" s="4"/>
      <c r="Z1805"/>
      <c r="AA1805"/>
    </row>
    <row r="1806" spans="1:27" s="49" customFormat="1" x14ac:dyDescent="0.15">
      <c r="A1806" s="165"/>
      <c r="B1806" s="82"/>
      <c r="C1806" s="105"/>
      <c r="D1806" s="61"/>
      <c r="E1806" s="105"/>
      <c r="F1806" s="105"/>
      <c r="G1806" s="105"/>
      <c r="H1806" s="85"/>
      <c r="I1806" s="101"/>
      <c r="J1806" s="143"/>
      <c r="K1806" s="61"/>
      <c r="M1806" s="37"/>
      <c r="N1806" s="37"/>
      <c r="O1806" s="37"/>
      <c r="P1806" s="3"/>
      <c r="Q1806" s="3"/>
      <c r="R1806" s="3"/>
      <c r="S1806" s="3"/>
      <c r="T1806" s="3"/>
      <c r="U1806" s="3"/>
      <c r="V1806" s="3"/>
      <c r="W1806" s="3"/>
      <c r="X1806" s="3"/>
      <c r="Y1806" s="4"/>
      <c r="Z1806"/>
      <c r="AA1806"/>
    </row>
    <row r="1807" spans="1:27" s="49" customFormat="1" x14ac:dyDescent="0.15">
      <c r="A1807" s="165"/>
      <c r="B1807" s="82"/>
      <c r="C1807" s="107"/>
      <c r="D1807" s="62"/>
      <c r="E1807" s="105"/>
      <c r="F1807" s="107"/>
      <c r="G1807" s="107"/>
      <c r="H1807" s="85"/>
      <c r="I1807" s="104"/>
      <c r="J1807" s="143"/>
      <c r="K1807" s="61"/>
      <c r="M1807" s="37"/>
      <c r="N1807" s="37"/>
      <c r="O1807" s="37"/>
      <c r="P1807" s="3"/>
      <c r="Q1807" s="3"/>
      <c r="R1807" s="3"/>
      <c r="S1807" s="3"/>
      <c r="T1807" s="3"/>
      <c r="U1807" s="3"/>
      <c r="V1807" s="3"/>
      <c r="W1807" s="3"/>
      <c r="X1807" s="3"/>
      <c r="Y1807" s="4"/>
      <c r="Z1807"/>
      <c r="AA1807"/>
    </row>
    <row r="1808" spans="1:27" s="49" customFormat="1" x14ac:dyDescent="0.15">
      <c r="A1808" s="165"/>
      <c r="B1808" s="93"/>
      <c r="C1808" s="102"/>
      <c r="D1808" s="62"/>
      <c r="E1808" s="100"/>
      <c r="F1808" s="102"/>
      <c r="G1808" s="102"/>
      <c r="H1808" s="85"/>
      <c r="I1808" s="104"/>
      <c r="J1808" s="143"/>
      <c r="K1808" s="61"/>
      <c r="M1808" s="37"/>
      <c r="N1808" s="37"/>
      <c r="O1808" s="37"/>
      <c r="P1808" s="3"/>
      <c r="Q1808" s="3"/>
      <c r="R1808" s="3"/>
      <c r="S1808" s="3"/>
      <c r="T1808" s="3"/>
      <c r="U1808" s="3"/>
      <c r="V1808" s="3"/>
      <c r="W1808" s="3"/>
      <c r="X1808" s="3"/>
      <c r="Y1808" s="4"/>
      <c r="Z1808"/>
      <c r="AA1808"/>
    </row>
    <row r="1809" spans="1:27" s="49" customFormat="1" x14ac:dyDescent="0.15">
      <c r="A1809" s="165"/>
      <c r="B1809" s="82"/>
      <c r="C1809" s="105"/>
      <c r="D1809" s="61"/>
      <c r="E1809" s="105"/>
      <c r="F1809" s="105"/>
      <c r="G1809" s="105"/>
      <c r="H1809" s="85"/>
      <c r="I1809" s="101"/>
      <c r="J1809" s="143"/>
      <c r="K1809" s="61"/>
      <c r="M1809" s="37"/>
      <c r="N1809" s="37"/>
      <c r="O1809" s="37"/>
      <c r="P1809" s="3"/>
      <c r="Q1809" s="3"/>
      <c r="R1809" s="3"/>
      <c r="S1809" s="3"/>
      <c r="T1809" s="3"/>
      <c r="U1809" s="3"/>
      <c r="V1809" s="3"/>
      <c r="W1809" s="3"/>
      <c r="X1809" s="3"/>
      <c r="Y1809" s="4"/>
      <c r="Z1809"/>
      <c r="AA1809"/>
    </row>
    <row r="1810" spans="1:27" s="49" customFormat="1" x14ac:dyDescent="0.15">
      <c r="A1810" s="165"/>
      <c r="B1810" s="93"/>
      <c r="C1810" s="100"/>
      <c r="D1810" s="61"/>
      <c r="E1810" s="100"/>
      <c r="F1810" s="100"/>
      <c r="G1810" s="100"/>
      <c r="H1810" s="85"/>
      <c r="I1810" s="101"/>
      <c r="J1810" s="143"/>
      <c r="K1810" s="61"/>
      <c r="M1810" s="37"/>
      <c r="N1810" s="37"/>
      <c r="O1810" s="37"/>
      <c r="P1810" s="3"/>
      <c r="Q1810" s="3"/>
      <c r="R1810" s="3"/>
      <c r="S1810" s="3"/>
      <c r="T1810" s="3"/>
      <c r="U1810" s="3"/>
      <c r="V1810" s="3"/>
      <c r="W1810" s="3"/>
      <c r="X1810" s="3"/>
      <c r="Y1810" s="4"/>
      <c r="Z1810"/>
      <c r="AA1810"/>
    </row>
    <row r="1811" spans="1:27" s="49" customFormat="1" x14ac:dyDescent="0.15">
      <c r="A1811" s="165"/>
      <c r="B1811" s="93"/>
      <c r="C1811" s="102"/>
      <c r="D1811" s="62"/>
      <c r="E1811" s="100"/>
      <c r="F1811" s="102"/>
      <c r="G1811" s="102"/>
      <c r="H1811" s="85"/>
      <c r="I1811" s="104"/>
      <c r="J1811" s="143"/>
      <c r="K1811" s="61"/>
      <c r="M1811" s="37"/>
      <c r="N1811" s="37"/>
      <c r="O1811" s="37"/>
      <c r="P1811" s="3"/>
      <c r="Q1811" s="3"/>
      <c r="R1811" s="3"/>
      <c r="S1811" s="3"/>
      <c r="T1811" s="3"/>
      <c r="U1811" s="3"/>
      <c r="V1811" s="3"/>
      <c r="W1811" s="3"/>
      <c r="X1811" s="3"/>
      <c r="Y1811" s="4"/>
      <c r="Z1811"/>
      <c r="AA1811"/>
    </row>
    <row r="1812" spans="1:27" s="49" customFormat="1" x14ac:dyDescent="0.15">
      <c r="A1812" s="165"/>
      <c r="B1812" s="93"/>
      <c r="C1812" s="102"/>
      <c r="D1812" s="62"/>
      <c r="E1812" s="100"/>
      <c r="F1812" s="102"/>
      <c r="G1812" s="102"/>
      <c r="H1812" s="85"/>
      <c r="I1812" s="104"/>
      <c r="J1812" s="143"/>
      <c r="K1812" s="61"/>
      <c r="M1812" s="37"/>
      <c r="N1812" s="37"/>
      <c r="O1812" s="37"/>
      <c r="P1812" s="3"/>
      <c r="Q1812" s="3"/>
      <c r="R1812" s="3"/>
      <c r="S1812" s="3"/>
      <c r="T1812" s="3"/>
      <c r="U1812" s="3"/>
      <c r="V1812" s="3"/>
      <c r="W1812" s="3"/>
      <c r="X1812" s="3"/>
      <c r="Y1812" s="4"/>
      <c r="Z1812"/>
      <c r="AA1812"/>
    </row>
    <row r="1813" spans="1:27" s="49" customFormat="1" x14ac:dyDescent="0.15">
      <c r="A1813" s="165"/>
      <c r="B1813" s="93"/>
      <c r="C1813" s="102"/>
      <c r="D1813" s="62"/>
      <c r="E1813" s="100"/>
      <c r="F1813" s="102"/>
      <c r="G1813" s="102"/>
      <c r="H1813" s="85"/>
      <c r="I1813" s="104"/>
      <c r="J1813" s="143"/>
      <c r="K1813" s="61"/>
      <c r="M1813" s="37"/>
      <c r="N1813" s="37"/>
      <c r="O1813" s="37"/>
      <c r="P1813" s="3"/>
      <c r="Q1813" s="3"/>
      <c r="R1813" s="3"/>
      <c r="S1813" s="3"/>
      <c r="T1813" s="3"/>
      <c r="U1813" s="3"/>
      <c r="V1813" s="3"/>
      <c r="W1813" s="3"/>
      <c r="X1813" s="3"/>
      <c r="Y1813" s="4"/>
      <c r="Z1813"/>
      <c r="AA1813"/>
    </row>
    <row r="1814" spans="1:27" s="49" customFormat="1" x14ac:dyDescent="0.15">
      <c r="A1814" s="165"/>
      <c r="B1814" s="93"/>
      <c r="C1814" s="100"/>
      <c r="D1814" s="61"/>
      <c r="E1814" s="100"/>
      <c r="F1814" s="100"/>
      <c r="G1814" s="100"/>
      <c r="H1814" s="103"/>
      <c r="I1814" s="103"/>
      <c r="J1814" s="141"/>
      <c r="K1814" s="61"/>
      <c r="M1814" s="37"/>
      <c r="N1814" s="37"/>
      <c r="O1814" s="37"/>
      <c r="P1814" s="3"/>
      <c r="Q1814" s="3"/>
      <c r="R1814" s="3"/>
      <c r="S1814" s="3"/>
      <c r="T1814" s="3"/>
      <c r="U1814" s="3"/>
      <c r="V1814" s="3"/>
      <c r="W1814" s="3"/>
      <c r="X1814" s="3"/>
      <c r="Y1814" s="4"/>
      <c r="Z1814"/>
      <c r="AA1814"/>
    </row>
    <row r="1815" spans="1:27" s="49" customFormat="1" x14ac:dyDescent="0.15">
      <c r="A1815" s="165"/>
      <c r="B1815" s="93"/>
      <c r="C1815" s="102"/>
      <c r="D1815" s="62"/>
      <c r="E1815" s="102"/>
      <c r="F1815" s="102"/>
      <c r="G1815" s="102"/>
      <c r="H1815" s="85"/>
      <c r="I1815" s="104"/>
      <c r="J1815" s="143"/>
      <c r="K1815" s="61"/>
      <c r="M1815" s="37"/>
      <c r="N1815" s="37"/>
      <c r="O1815" s="37"/>
      <c r="P1815" s="3"/>
      <c r="Q1815" s="3"/>
      <c r="R1815" s="3"/>
      <c r="S1815" s="3"/>
      <c r="T1815" s="3"/>
      <c r="U1815" s="3"/>
      <c r="V1815" s="3"/>
      <c r="W1815" s="3"/>
      <c r="X1815" s="3"/>
      <c r="Y1815" s="4"/>
      <c r="Z1815"/>
      <c r="AA1815"/>
    </row>
    <row r="1816" spans="1:27" s="49" customFormat="1" x14ac:dyDescent="0.15">
      <c r="A1816" s="165"/>
      <c r="B1816" s="82"/>
      <c r="C1816" s="107"/>
      <c r="D1816" s="62"/>
      <c r="E1816" s="107"/>
      <c r="F1816" s="107"/>
      <c r="G1816" s="107"/>
      <c r="H1816" s="85"/>
      <c r="I1816" s="104"/>
      <c r="J1816" s="143"/>
      <c r="K1816" s="61"/>
      <c r="M1816" s="37"/>
      <c r="N1816" s="37"/>
      <c r="O1816" s="37"/>
      <c r="P1816" s="3"/>
      <c r="Q1816" s="3"/>
      <c r="R1816" s="3"/>
      <c r="S1816" s="3"/>
      <c r="T1816" s="3"/>
      <c r="U1816" s="3"/>
      <c r="V1816" s="3"/>
      <c r="W1816" s="3"/>
      <c r="X1816" s="3"/>
      <c r="Y1816" s="4"/>
      <c r="Z1816"/>
      <c r="AA1816"/>
    </row>
    <row r="1817" spans="1:27" s="49" customFormat="1" x14ac:dyDescent="0.15">
      <c r="A1817" s="165"/>
      <c r="B1817" s="82"/>
      <c r="C1817" s="107"/>
      <c r="D1817" s="62"/>
      <c r="E1817" s="107"/>
      <c r="F1817" s="107"/>
      <c r="G1817" s="107"/>
      <c r="H1817" s="85"/>
      <c r="I1817" s="104"/>
      <c r="J1817" s="143"/>
      <c r="K1817" s="61"/>
      <c r="M1817" s="37"/>
      <c r="N1817" s="37"/>
      <c r="O1817" s="37"/>
      <c r="P1817" s="3"/>
      <c r="Q1817" s="3"/>
      <c r="R1817" s="3"/>
      <c r="S1817" s="3"/>
      <c r="T1817" s="3"/>
      <c r="U1817" s="3"/>
      <c r="V1817" s="3"/>
      <c r="W1817" s="3"/>
      <c r="X1817" s="3"/>
      <c r="Y1817" s="4"/>
      <c r="Z1817"/>
      <c r="AA1817"/>
    </row>
    <row r="1818" spans="1:27" s="49" customFormat="1" x14ac:dyDescent="0.15">
      <c r="A1818" s="165"/>
      <c r="B1818" s="108"/>
      <c r="C1818" s="100"/>
      <c r="D1818" s="61"/>
      <c r="E1818" s="100"/>
      <c r="F1818" s="100"/>
      <c r="G1818" s="100"/>
      <c r="H1818" s="85"/>
      <c r="I1818" s="101"/>
      <c r="J1818" s="143"/>
      <c r="K1818" s="61"/>
      <c r="M1818" s="37"/>
      <c r="N1818" s="37"/>
      <c r="O1818" s="37"/>
      <c r="P1818" s="3"/>
      <c r="Q1818" s="3"/>
      <c r="R1818" s="3"/>
      <c r="S1818" s="3"/>
      <c r="T1818" s="3"/>
      <c r="U1818" s="3"/>
      <c r="V1818" s="3"/>
      <c r="W1818" s="3"/>
      <c r="X1818" s="3"/>
      <c r="Y1818" s="4"/>
      <c r="Z1818"/>
      <c r="AA1818"/>
    </row>
    <row r="1819" spans="1:27" s="49" customFormat="1" x14ac:dyDescent="0.15">
      <c r="A1819" s="165"/>
      <c r="B1819" s="93"/>
      <c r="C1819" s="100"/>
      <c r="D1819" s="61"/>
      <c r="E1819" s="100"/>
      <c r="F1819" s="100"/>
      <c r="G1819" s="100"/>
      <c r="H1819" s="85"/>
      <c r="I1819" s="101"/>
      <c r="J1819" s="143"/>
      <c r="K1819" s="61"/>
      <c r="M1819" s="37"/>
      <c r="N1819" s="37"/>
      <c r="O1819" s="37"/>
      <c r="P1819" s="3"/>
      <c r="Q1819" s="3"/>
      <c r="R1819" s="3"/>
      <c r="S1819" s="3"/>
      <c r="T1819" s="3"/>
      <c r="U1819" s="3"/>
      <c r="V1819" s="3"/>
      <c r="W1819" s="3"/>
      <c r="X1819" s="3"/>
      <c r="Y1819" s="4"/>
      <c r="Z1819"/>
      <c r="AA1819"/>
    </row>
    <row r="1820" spans="1:27" s="49" customFormat="1" x14ac:dyDescent="0.15">
      <c r="A1820" s="165"/>
      <c r="B1820" s="93"/>
      <c r="C1820" s="102"/>
      <c r="D1820" s="62"/>
      <c r="E1820" s="100"/>
      <c r="F1820" s="102"/>
      <c r="G1820" s="102"/>
      <c r="H1820" s="85"/>
      <c r="I1820" s="104"/>
      <c r="J1820" s="143"/>
      <c r="K1820" s="61"/>
      <c r="M1820" s="37"/>
      <c r="N1820" s="37"/>
      <c r="O1820" s="37"/>
      <c r="P1820" s="3"/>
      <c r="Q1820" s="3"/>
      <c r="R1820" s="3"/>
      <c r="S1820" s="3"/>
      <c r="T1820" s="3"/>
      <c r="U1820" s="3"/>
      <c r="V1820" s="3"/>
      <c r="W1820" s="3"/>
      <c r="X1820" s="3"/>
      <c r="Y1820" s="4"/>
      <c r="Z1820"/>
      <c r="AA1820"/>
    </row>
    <row r="1821" spans="1:27" s="49" customFormat="1" x14ac:dyDescent="0.15">
      <c r="A1821" s="165"/>
      <c r="B1821" s="82"/>
      <c r="C1821" s="105"/>
      <c r="D1821" s="61"/>
      <c r="E1821" s="105"/>
      <c r="F1821" s="105"/>
      <c r="G1821" s="105"/>
      <c r="H1821" s="85"/>
      <c r="I1821" s="101"/>
      <c r="J1821" s="143"/>
      <c r="K1821" s="61"/>
      <c r="M1821" s="37"/>
      <c r="N1821" s="37"/>
      <c r="O1821" s="37"/>
      <c r="P1821" s="3"/>
      <c r="Q1821" s="3"/>
      <c r="R1821" s="3"/>
      <c r="S1821" s="3"/>
      <c r="T1821" s="3"/>
      <c r="U1821" s="3"/>
      <c r="V1821" s="3"/>
      <c r="W1821" s="3"/>
      <c r="X1821" s="3"/>
      <c r="Y1821" s="4"/>
      <c r="Z1821"/>
      <c r="AA1821"/>
    </row>
    <row r="1822" spans="1:27" s="49" customFormat="1" x14ac:dyDescent="0.15">
      <c r="A1822" s="165"/>
      <c r="B1822" s="82"/>
      <c r="C1822" s="107"/>
      <c r="D1822" s="62"/>
      <c r="E1822" s="105"/>
      <c r="F1822" s="107"/>
      <c r="G1822" s="107"/>
      <c r="H1822" s="85"/>
      <c r="I1822" s="104"/>
      <c r="J1822" s="143"/>
      <c r="K1822" s="61"/>
      <c r="M1822" s="37"/>
      <c r="N1822" s="37"/>
      <c r="O1822" s="37"/>
      <c r="P1822" s="3"/>
      <c r="Q1822" s="3"/>
      <c r="R1822" s="3"/>
      <c r="S1822" s="3"/>
      <c r="T1822" s="3"/>
      <c r="U1822" s="3"/>
      <c r="V1822" s="3"/>
      <c r="W1822" s="3"/>
      <c r="X1822" s="3"/>
      <c r="Y1822" s="4"/>
      <c r="Z1822"/>
      <c r="AA1822"/>
    </row>
    <row r="1823" spans="1:27" s="49" customFormat="1" x14ac:dyDescent="0.15">
      <c r="A1823" s="165"/>
      <c r="B1823" s="82"/>
      <c r="C1823" s="105"/>
      <c r="D1823" s="61"/>
      <c r="E1823" s="105"/>
      <c r="F1823" s="105"/>
      <c r="G1823" s="105"/>
      <c r="H1823" s="85"/>
      <c r="I1823" s="101"/>
      <c r="J1823" s="143"/>
      <c r="K1823" s="61"/>
      <c r="M1823" s="37"/>
      <c r="N1823" s="37"/>
      <c r="O1823" s="37"/>
      <c r="P1823" s="3"/>
      <c r="Q1823" s="3"/>
      <c r="R1823" s="3"/>
      <c r="S1823" s="3"/>
      <c r="T1823" s="3"/>
      <c r="U1823" s="3"/>
      <c r="V1823" s="3"/>
      <c r="W1823" s="3"/>
      <c r="X1823" s="3"/>
      <c r="Y1823" s="4"/>
      <c r="Z1823"/>
      <c r="AA1823"/>
    </row>
    <row r="1824" spans="1:27" s="49" customFormat="1" x14ac:dyDescent="0.15">
      <c r="A1824" s="165"/>
      <c r="B1824" s="82"/>
      <c r="C1824" s="107"/>
      <c r="D1824" s="62"/>
      <c r="E1824" s="107"/>
      <c r="F1824" s="107"/>
      <c r="G1824" s="107"/>
      <c r="H1824" s="85"/>
      <c r="I1824" s="104"/>
      <c r="J1824" s="143"/>
      <c r="K1824" s="61"/>
      <c r="M1824" s="37"/>
      <c r="N1824" s="37"/>
      <c r="O1824" s="37"/>
      <c r="P1824" s="3"/>
      <c r="Q1824" s="3"/>
      <c r="R1824" s="3"/>
      <c r="S1824" s="3"/>
      <c r="T1824" s="3"/>
      <c r="U1824" s="3"/>
      <c r="V1824" s="3"/>
      <c r="W1824" s="3"/>
      <c r="X1824" s="3"/>
      <c r="Y1824" s="4"/>
      <c r="Z1824"/>
      <c r="AA1824"/>
    </row>
    <row r="1825" spans="1:27" s="49" customFormat="1" x14ac:dyDescent="0.15">
      <c r="A1825" s="165"/>
      <c r="B1825" s="93"/>
      <c r="C1825" s="102"/>
      <c r="D1825" s="62"/>
      <c r="E1825" s="102"/>
      <c r="F1825" s="102"/>
      <c r="G1825" s="102"/>
      <c r="H1825" s="85"/>
      <c r="I1825" s="104"/>
      <c r="J1825" s="143"/>
      <c r="K1825" s="61"/>
      <c r="M1825" s="37"/>
      <c r="N1825" s="37"/>
      <c r="O1825" s="37"/>
      <c r="P1825" s="3"/>
      <c r="Q1825" s="3"/>
      <c r="R1825" s="3"/>
      <c r="S1825" s="3"/>
      <c r="T1825" s="3"/>
      <c r="U1825" s="3"/>
      <c r="V1825" s="3"/>
      <c r="W1825" s="3"/>
      <c r="X1825" s="3"/>
      <c r="Y1825" s="4"/>
      <c r="Z1825"/>
      <c r="AA1825"/>
    </row>
    <row r="1826" spans="1:27" s="49" customFormat="1" x14ac:dyDescent="0.15">
      <c r="A1826" s="165"/>
      <c r="B1826" s="93"/>
      <c r="C1826" s="100"/>
      <c r="D1826" s="61"/>
      <c r="E1826" s="100"/>
      <c r="F1826" s="100"/>
      <c r="G1826" s="100"/>
      <c r="H1826" s="85"/>
      <c r="I1826" s="101"/>
      <c r="J1826" s="143"/>
      <c r="K1826" s="61"/>
      <c r="M1826" s="37"/>
      <c r="N1826" s="37"/>
      <c r="O1826" s="37"/>
      <c r="P1826" s="3"/>
      <c r="Q1826" s="3"/>
      <c r="R1826" s="3"/>
      <c r="S1826" s="3"/>
      <c r="T1826" s="3"/>
      <c r="U1826" s="3"/>
      <c r="V1826" s="3"/>
      <c r="W1826" s="3"/>
      <c r="X1826" s="3"/>
      <c r="Y1826" s="4"/>
      <c r="Z1826"/>
      <c r="AA1826"/>
    </row>
    <row r="1827" spans="1:27" s="49" customFormat="1" x14ac:dyDescent="0.15">
      <c r="A1827" s="165"/>
      <c r="B1827" s="93"/>
      <c r="C1827" s="102"/>
      <c r="D1827" s="62"/>
      <c r="E1827" s="100"/>
      <c r="F1827" s="102"/>
      <c r="G1827" s="102"/>
      <c r="H1827" s="85"/>
      <c r="I1827" s="104"/>
      <c r="J1827" s="143"/>
      <c r="K1827" s="61"/>
      <c r="M1827" s="37"/>
      <c r="N1827" s="37"/>
      <c r="O1827" s="37"/>
      <c r="P1827" s="3"/>
      <c r="Q1827" s="3"/>
      <c r="R1827" s="3"/>
      <c r="S1827" s="3"/>
      <c r="T1827" s="3"/>
      <c r="U1827" s="3"/>
      <c r="V1827" s="3"/>
      <c r="W1827" s="3"/>
      <c r="X1827" s="3"/>
      <c r="Y1827" s="4"/>
      <c r="Z1827"/>
      <c r="AA1827"/>
    </row>
    <row r="1828" spans="1:27" s="49" customFormat="1" x14ac:dyDescent="0.15">
      <c r="A1828" s="165"/>
      <c r="B1828" s="93"/>
      <c r="C1828" s="102"/>
      <c r="D1828" s="62"/>
      <c r="E1828" s="102"/>
      <c r="F1828" s="102"/>
      <c r="G1828" s="102"/>
      <c r="H1828" s="85"/>
      <c r="I1828" s="104"/>
      <c r="J1828" s="143"/>
      <c r="K1828" s="61"/>
      <c r="M1828" s="37"/>
      <c r="N1828" s="37"/>
      <c r="O1828" s="37"/>
      <c r="P1828" s="3"/>
      <c r="Q1828" s="3"/>
      <c r="R1828" s="3"/>
      <c r="S1828" s="3"/>
      <c r="T1828" s="3"/>
      <c r="U1828" s="3"/>
      <c r="V1828" s="3"/>
      <c r="W1828" s="3"/>
      <c r="X1828" s="3"/>
      <c r="Y1828" s="4"/>
      <c r="Z1828"/>
      <c r="AA1828"/>
    </row>
    <row r="1829" spans="1:27" s="49" customFormat="1" x14ac:dyDescent="0.15">
      <c r="A1829" s="165"/>
      <c r="B1829" s="82"/>
      <c r="C1829" s="107"/>
      <c r="D1829" s="62"/>
      <c r="E1829" s="107"/>
      <c r="F1829" s="107"/>
      <c r="G1829" s="107"/>
      <c r="H1829" s="85"/>
      <c r="I1829" s="104"/>
      <c r="J1829" s="143"/>
      <c r="K1829" s="61"/>
      <c r="M1829" s="37"/>
      <c r="N1829" s="37"/>
      <c r="O1829" s="37"/>
      <c r="P1829" s="3"/>
      <c r="Q1829" s="3"/>
      <c r="R1829" s="3"/>
      <c r="S1829" s="3"/>
      <c r="T1829" s="3"/>
      <c r="U1829" s="3"/>
      <c r="V1829" s="3"/>
      <c r="W1829" s="3"/>
      <c r="X1829" s="3"/>
      <c r="Y1829" s="4"/>
      <c r="Z1829"/>
      <c r="AA1829"/>
    </row>
    <row r="1830" spans="1:27" s="49" customFormat="1" x14ac:dyDescent="0.15">
      <c r="A1830" s="165"/>
      <c r="B1830" s="93"/>
      <c r="C1830" s="102"/>
      <c r="D1830" s="62"/>
      <c r="E1830" s="100"/>
      <c r="F1830" s="102"/>
      <c r="G1830" s="102"/>
      <c r="H1830" s="85"/>
      <c r="I1830" s="104"/>
      <c r="J1830" s="143"/>
      <c r="K1830" s="61"/>
      <c r="M1830" s="37"/>
      <c r="N1830" s="37"/>
      <c r="O1830" s="37"/>
      <c r="P1830" s="3"/>
      <c r="Q1830" s="3"/>
      <c r="R1830" s="3"/>
      <c r="S1830" s="3"/>
      <c r="T1830" s="3"/>
      <c r="U1830" s="3"/>
      <c r="V1830" s="3"/>
      <c r="W1830" s="3"/>
      <c r="X1830" s="3"/>
      <c r="Y1830" s="4"/>
      <c r="Z1830"/>
      <c r="AA1830"/>
    </row>
    <row r="1831" spans="1:27" s="49" customFormat="1" x14ac:dyDescent="0.15">
      <c r="A1831" s="165"/>
      <c r="B1831" s="93"/>
      <c r="C1831" s="102"/>
      <c r="D1831" s="62"/>
      <c r="E1831" s="102"/>
      <c r="F1831" s="102"/>
      <c r="G1831" s="102"/>
      <c r="H1831" s="85"/>
      <c r="I1831" s="104"/>
      <c r="J1831" s="143"/>
      <c r="K1831" s="61"/>
      <c r="M1831" s="37"/>
      <c r="N1831" s="37"/>
      <c r="O1831" s="37"/>
      <c r="P1831" s="3"/>
      <c r="Q1831" s="3"/>
      <c r="R1831" s="3"/>
      <c r="S1831" s="3"/>
      <c r="T1831" s="3"/>
      <c r="U1831" s="3"/>
      <c r="V1831" s="3"/>
      <c r="W1831" s="3"/>
      <c r="X1831" s="3"/>
      <c r="Y1831" s="4"/>
      <c r="Z1831"/>
      <c r="AA1831"/>
    </row>
    <row r="1832" spans="1:27" s="49" customFormat="1" x14ac:dyDescent="0.15">
      <c r="A1832" s="165"/>
      <c r="B1832" s="93"/>
      <c r="C1832" s="100"/>
      <c r="D1832" s="61"/>
      <c r="E1832" s="100"/>
      <c r="F1832" s="100"/>
      <c r="G1832" s="100"/>
      <c r="H1832" s="85"/>
      <c r="I1832" s="101"/>
      <c r="J1832" s="143"/>
      <c r="K1832" s="61"/>
      <c r="M1832" s="37"/>
      <c r="N1832" s="37"/>
      <c r="O1832" s="37"/>
      <c r="P1832" s="3"/>
      <c r="Q1832" s="3"/>
      <c r="R1832" s="3"/>
      <c r="S1832" s="3"/>
      <c r="T1832" s="3"/>
      <c r="U1832" s="3"/>
      <c r="V1832" s="3"/>
      <c r="W1832" s="3"/>
      <c r="X1832" s="3"/>
      <c r="Y1832" s="4"/>
      <c r="Z1832"/>
      <c r="AA1832"/>
    </row>
    <row r="1833" spans="1:27" s="49" customFormat="1" x14ac:dyDescent="0.15">
      <c r="A1833" s="165"/>
      <c r="B1833" s="93"/>
      <c r="C1833" s="102"/>
      <c r="D1833" s="62"/>
      <c r="E1833" s="102"/>
      <c r="F1833" s="102"/>
      <c r="G1833" s="102"/>
      <c r="H1833" s="85"/>
      <c r="I1833" s="104"/>
      <c r="J1833" s="144"/>
      <c r="K1833" s="61"/>
      <c r="M1833" s="37"/>
      <c r="N1833" s="37"/>
      <c r="O1833" s="37"/>
      <c r="P1833" s="3"/>
      <c r="Q1833" s="3"/>
      <c r="R1833" s="3"/>
      <c r="S1833" s="3"/>
      <c r="T1833" s="3"/>
      <c r="U1833" s="3"/>
      <c r="V1833" s="3"/>
      <c r="W1833" s="3"/>
      <c r="X1833" s="3"/>
      <c r="Y1833" s="4"/>
      <c r="Z1833"/>
      <c r="AA1833"/>
    </row>
    <row r="1834" spans="1:27" s="49" customFormat="1" x14ac:dyDescent="0.15">
      <c r="A1834" s="165"/>
      <c r="B1834" s="93"/>
      <c r="C1834" s="100"/>
      <c r="D1834" s="61"/>
      <c r="E1834" s="100"/>
      <c r="F1834" s="100"/>
      <c r="G1834" s="100"/>
      <c r="H1834" s="85"/>
      <c r="I1834" s="101"/>
      <c r="J1834" s="143"/>
      <c r="K1834" s="61"/>
      <c r="M1834" s="37"/>
      <c r="N1834" s="37"/>
      <c r="O1834" s="37"/>
      <c r="P1834" s="3"/>
      <c r="Q1834" s="3"/>
      <c r="R1834" s="3"/>
      <c r="S1834" s="3"/>
      <c r="T1834" s="3"/>
      <c r="U1834" s="3"/>
      <c r="V1834" s="3"/>
      <c r="W1834" s="3"/>
      <c r="X1834" s="3"/>
      <c r="Y1834" s="4"/>
      <c r="Z1834"/>
      <c r="AA1834"/>
    </row>
    <row r="1835" spans="1:27" s="49" customFormat="1" x14ac:dyDescent="0.15">
      <c r="A1835" s="165"/>
      <c r="B1835" s="82"/>
      <c r="C1835" s="105"/>
      <c r="D1835" s="61"/>
      <c r="E1835" s="105"/>
      <c r="F1835" s="105"/>
      <c r="G1835" s="105"/>
      <c r="H1835" s="85"/>
      <c r="I1835" s="101"/>
      <c r="J1835" s="143"/>
      <c r="K1835" s="61"/>
      <c r="M1835" s="37"/>
      <c r="N1835" s="37"/>
      <c r="O1835" s="37"/>
      <c r="P1835" s="3"/>
      <c r="Q1835" s="3"/>
      <c r="R1835" s="3"/>
      <c r="S1835" s="3"/>
      <c r="T1835" s="3"/>
      <c r="U1835" s="3"/>
      <c r="V1835" s="3"/>
      <c r="W1835" s="3"/>
      <c r="X1835" s="3"/>
      <c r="Y1835" s="4"/>
      <c r="Z1835"/>
      <c r="AA1835"/>
    </row>
    <row r="1836" spans="1:27" s="49" customFormat="1" x14ac:dyDescent="0.15">
      <c r="A1836" s="165"/>
      <c r="B1836" s="93"/>
      <c r="C1836" s="100"/>
      <c r="D1836" s="61"/>
      <c r="E1836" s="100"/>
      <c r="F1836" s="100"/>
      <c r="G1836" s="100"/>
      <c r="H1836" s="85"/>
      <c r="I1836" s="101"/>
      <c r="J1836" s="143"/>
      <c r="K1836" s="61"/>
      <c r="M1836" s="37"/>
      <c r="N1836" s="37"/>
      <c r="O1836" s="37"/>
      <c r="P1836" s="3"/>
      <c r="Q1836" s="3"/>
      <c r="R1836" s="3"/>
      <c r="S1836" s="3"/>
      <c r="T1836" s="3"/>
      <c r="U1836" s="3"/>
      <c r="V1836" s="3"/>
      <c r="W1836" s="3"/>
      <c r="X1836" s="3"/>
      <c r="Y1836" s="4"/>
      <c r="Z1836"/>
      <c r="AA1836"/>
    </row>
    <row r="1837" spans="1:27" s="49" customFormat="1" x14ac:dyDescent="0.15">
      <c r="A1837" s="165"/>
      <c r="B1837" s="93"/>
      <c r="C1837" s="100"/>
      <c r="D1837" s="61"/>
      <c r="E1837" s="100"/>
      <c r="F1837" s="100"/>
      <c r="G1837" s="100"/>
      <c r="H1837" s="85"/>
      <c r="I1837" s="101"/>
      <c r="J1837" s="143"/>
      <c r="K1837" s="61"/>
      <c r="M1837" s="37"/>
      <c r="N1837" s="37"/>
      <c r="O1837" s="37"/>
      <c r="P1837" s="3"/>
      <c r="Q1837" s="3"/>
      <c r="R1837" s="3"/>
      <c r="S1837" s="3"/>
      <c r="T1837" s="3"/>
      <c r="U1837" s="3"/>
      <c r="V1837" s="3"/>
      <c r="W1837" s="3"/>
      <c r="X1837" s="3"/>
      <c r="Y1837" s="4"/>
      <c r="Z1837"/>
      <c r="AA1837"/>
    </row>
    <row r="1838" spans="1:27" s="49" customFormat="1" x14ac:dyDescent="0.15">
      <c r="A1838" s="165"/>
      <c r="B1838" s="93"/>
      <c r="C1838" s="102"/>
      <c r="D1838" s="62"/>
      <c r="E1838" s="102"/>
      <c r="F1838" s="102"/>
      <c r="G1838" s="102"/>
      <c r="H1838" s="85"/>
      <c r="I1838" s="104"/>
      <c r="J1838" s="143"/>
      <c r="K1838" s="61"/>
      <c r="M1838" s="37"/>
      <c r="N1838" s="37"/>
      <c r="O1838" s="37"/>
      <c r="P1838" s="3"/>
      <c r="Q1838" s="3"/>
      <c r="R1838" s="3"/>
      <c r="S1838" s="3"/>
      <c r="T1838" s="3"/>
      <c r="U1838" s="3"/>
      <c r="V1838" s="3"/>
      <c r="W1838" s="3"/>
      <c r="X1838" s="3"/>
      <c r="Y1838" s="4"/>
      <c r="Z1838"/>
      <c r="AA1838"/>
    </row>
    <row r="1839" spans="1:27" x14ac:dyDescent="0.15">
      <c r="A1839" s="62"/>
      <c r="B1839" s="93"/>
      <c r="C1839" s="102"/>
      <c r="D1839" s="62"/>
      <c r="E1839" s="102"/>
      <c r="F1839" s="102"/>
      <c r="G1839" s="102"/>
      <c r="H1839" s="85"/>
      <c r="I1839" s="104"/>
      <c r="J1839" s="143"/>
      <c r="K1839" s="61"/>
    </row>
    <row r="1840" spans="1:27" x14ac:dyDescent="0.15">
      <c r="A1840" s="62"/>
      <c r="B1840" s="93"/>
      <c r="C1840" s="100"/>
      <c r="D1840" s="61"/>
      <c r="E1840" s="100"/>
      <c r="F1840" s="100"/>
      <c r="G1840" s="100"/>
      <c r="H1840" s="85"/>
      <c r="I1840" s="101"/>
      <c r="J1840" s="143"/>
      <c r="K1840" s="61"/>
    </row>
    <row r="1841" spans="1:27" x14ac:dyDescent="0.15">
      <c r="A1841" s="62"/>
      <c r="B1841" s="93"/>
      <c r="C1841" s="100"/>
      <c r="D1841" s="61"/>
      <c r="E1841" s="100"/>
      <c r="F1841" s="100"/>
      <c r="G1841" s="100"/>
      <c r="H1841" s="85"/>
      <c r="I1841" s="101"/>
      <c r="J1841" s="143"/>
      <c r="K1841" s="61"/>
    </row>
    <row r="1842" spans="1:27" x14ac:dyDescent="0.15">
      <c r="A1842" s="62"/>
      <c r="B1842" s="93"/>
      <c r="C1842" s="100"/>
      <c r="D1842" s="61"/>
      <c r="E1842" s="100"/>
      <c r="F1842" s="100"/>
      <c r="G1842" s="100"/>
      <c r="H1842" s="85"/>
      <c r="I1842" s="101"/>
      <c r="J1842" s="143"/>
      <c r="K1842" s="61"/>
    </row>
    <row r="1843" spans="1:27" x14ac:dyDescent="0.15">
      <c r="A1843" s="61"/>
      <c r="B1843" s="93"/>
      <c r="C1843" s="100"/>
      <c r="D1843" s="61"/>
      <c r="E1843" s="100"/>
      <c r="F1843" s="100"/>
      <c r="G1843" s="100"/>
      <c r="H1843" s="85"/>
      <c r="I1843" s="101"/>
      <c r="J1843" s="143"/>
      <c r="K1843" s="61"/>
    </row>
    <row r="1844" spans="1:27" x14ac:dyDescent="0.15">
      <c r="A1844" s="62"/>
      <c r="B1844" s="93"/>
      <c r="C1844" s="100"/>
      <c r="D1844" s="61"/>
      <c r="E1844" s="100"/>
      <c r="F1844" s="100"/>
      <c r="G1844" s="100"/>
      <c r="H1844" s="85"/>
      <c r="I1844" s="101"/>
      <c r="J1844" s="143"/>
      <c r="K1844" s="61"/>
    </row>
    <row r="1845" spans="1:27" x14ac:dyDescent="0.15">
      <c r="A1845" s="62"/>
      <c r="B1845" s="93"/>
      <c r="C1845" s="100"/>
      <c r="D1845" s="61"/>
      <c r="E1845" s="100"/>
      <c r="F1845" s="100"/>
      <c r="G1845" s="100"/>
      <c r="H1845" s="85"/>
      <c r="I1845" s="101"/>
      <c r="J1845" s="143"/>
      <c r="K1845" s="61"/>
      <c r="P1845"/>
      <c r="Q1845"/>
    </row>
    <row r="1846" spans="1:27" x14ac:dyDescent="0.15">
      <c r="A1846" s="62"/>
      <c r="B1846" s="93"/>
      <c r="C1846" s="100"/>
      <c r="D1846" s="61"/>
      <c r="E1846" s="100"/>
      <c r="F1846" s="100"/>
      <c r="G1846" s="100"/>
      <c r="H1846" s="85"/>
      <c r="I1846" s="101"/>
      <c r="J1846" s="143"/>
      <c r="K1846" s="61"/>
    </row>
    <row r="1847" spans="1:27" x14ac:dyDescent="0.15">
      <c r="A1847" s="62"/>
      <c r="B1847" s="93"/>
      <c r="C1847" s="100"/>
      <c r="D1847" s="61"/>
      <c r="E1847" s="100"/>
      <c r="F1847" s="100"/>
      <c r="G1847" s="100"/>
      <c r="H1847" s="85"/>
      <c r="I1847" s="101"/>
      <c r="J1847" s="143"/>
      <c r="K1847" s="61"/>
    </row>
    <row r="1848" spans="1:27" x14ac:dyDescent="0.15">
      <c r="A1848" s="62"/>
      <c r="B1848" s="93"/>
      <c r="C1848" s="100"/>
      <c r="D1848" s="61"/>
      <c r="E1848" s="100"/>
      <c r="F1848" s="100"/>
      <c r="G1848" s="100"/>
      <c r="H1848" s="85"/>
      <c r="I1848" s="101"/>
      <c r="J1848" s="143"/>
      <c r="K1848" s="61"/>
    </row>
    <row r="1849" spans="1:27" x14ac:dyDescent="0.15">
      <c r="A1849" s="62"/>
      <c r="B1849" s="82"/>
      <c r="C1849" s="105"/>
      <c r="D1849" s="61"/>
      <c r="E1849" s="105"/>
      <c r="F1849" s="105"/>
      <c r="G1849" s="105"/>
      <c r="H1849" s="85"/>
      <c r="I1849" s="101"/>
      <c r="J1849" s="143"/>
      <c r="K1849" s="61"/>
    </row>
    <row r="1850" spans="1:27" x14ac:dyDescent="0.15">
      <c r="A1850" s="62"/>
      <c r="B1850" s="82"/>
      <c r="C1850" s="105"/>
      <c r="D1850" s="61"/>
      <c r="E1850" s="105"/>
      <c r="F1850" s="105"/>
      <c r="G1850" s="105"/>
      <c r="H1850" s="85"/>
      <c r="I1850" s="101"/>
      <c r="J1850" s="143"/>
      <c r="K1850" s="61"/>
    </row>
    <row r="1851" spans="1:27" x14ac:dyDescent="0.15">
      <c r="A1851" s="62"/>
      <c r="B1851" s="93"/>
      <c r="C1851" s="100"/>
      <c r="D1851" s="61"/>
      <c r="E1851" s="100"/>
      <c r="F1851" s="100"/>
      <c r="G1851" s="100"/>
      <c r="H1851" s="85"/>
      <c r="I1851" s="101"/>
      <c r="J1851" s="143"/>
      <c r="K1851" s="61"/>
    </row>
    <row r="1852" spans="1:27" s="15" customFormat="1" x14ac:dyDescent="0.15">
      <c r="A1852" s="62"/>
      <c r="B1852" s="82"/>
      <c r="C1852" s="105"/>
      <c r="D1852" s="61"/>
      <c r="E1852" s="105"/>
      <c r="F1852" s="105"/>
      <c r="G1852" s="105"/>
      <c r="H1852" s="85"/>
      <c r="I1852" s="101"/>
      <c r="J1852" s="143"/>
      <c r="K1852" s="61"/>
      <c r="L1852" s="49"/>
      <c r="M1852" s="37"/>
      <c r="N1852" s="37"/>
      <c r="O1852" s="37"/>
      <c r="P1852" s="3"/>
      <c r="Q1852" s="3"/>
      <c r="R1852" s="3"/>
      <c r="S1852" s="3"/>
      <c r="T1852" s="3"/>
      <c r="U1852" s="3"/>
      <c r="V1852" s="3"/>
      <c r="W1852" s="3"/>
      <c r="X1852" s="3"/>
      <c r="Y1852" s="4"/>
      <c r="Z1852"/>
      <c r="AA1852"/>
    </row>
    <row r="1853" spans="1:27" x14ac:dyDescent="0.15">
      <c r="A1853" s="165"/>
      <c r="B1853" s="82"/>
      <c r="C1853" s="105"/>
      <c r="D1853" s="61"/>
      <c r="E1853" s="105"/>
      <c r="F1853" s="105"/>
      <c r="G1853" s="105"/>
      <c r="H1853" s="85"/>
      <c r="I1853" s="101"/>
      <c r="J1853" s="143"/>
      <c r="K1853" s="61"/>
    </row>
    <row r="1854" spans="1:27" x14ac:dyDescent="0.15">
      <c r="A1854" s="165"/>
      <c r="B1854" s="93"/>
      <c r="C1854" s="100"/>
      <c r="D1854" s="61"/>
      <c r="E1854" s="100"/>
      <c r="F1854" s="100"/>
      <c r="G1854" s="100"/>
      <c r="H1854" s="85"/>
      <c r="I1854" s="101"/>
      <c r="J1854" s="143"/>
      <c r="K1854" s="61"/>
    </row>
    <row r="1855" spans="1:27" x14ac:dyDescent="0.15">
      <c r="A1855" s="165"/>
      <c r="B1855" s="82"/>
      <c r="C1855" s="105"/>
      <c r="D1855" s="61"/>
      <c r="E1855" s="105"/>
      <c r="F1855" s="105"/>
      <c r="G1855" s="105"/>
      <c r="H1855" s="85"/>
      <c r="I1855" s="101"/>
      <c r="J1855" s="143"/>
      <c r="K1855" s="61"/>
    </row>
    <row r="1856" spans="1:27" x14ac:dyDescent="0.15">
      <c r="A1856" s="165"/>
      <c r="B1856" s="93"/>
      <c r="C1856" s="102"/>
      <c r="D1856" s="62"/>
      <c r="E1856" s="100"/>
      <c r="F1856" s="102"/>
      <c r="G1856" s="102"/>
      <c r="H1856" s="85"/>
      <c r="I1856" s="104"/>
      <c r="J1856" s="143"/>
      <c r="K1856" s="61"/>
    </row>
    <row r="1857" spans="1:27" x14ac:dyDescent="0.15">
      <c r="A1857" s="165"/>
      <c r="B1857" s="82"/>
      <c r="C1857" s="105"/>
      <c r="D1857" s="61"/>
      <c r="E1857" s="105"/>
      <c r="F1857" s="105"/>
      <c r="G1857" s="105"/>
      <c r="H1857" s="85"/>
      <c r="I1857" s="101"/>
      <c r="J1857" s="143"/>
      <c r="K1857" s="61"/>
    </row>
    <row r="1858" spans="1:27" x14ac:dyDescent="0.15">
      <c r="A1858" s="165"/>
      <c r="B1858" s="93"/>
      <c r="C1858" s="102"/>
      <c r="D1858" s="62"/>
      <c r="E1858" s="102"/>
      <c r="F1858" s="102"/>
      <c r="G1858" s="102"/>
      <c r="H1858" s="85"/>
      <c r="I1858" s="103"/>
      <c r="J1858" s="135"/>
      <c r="K1858" s="62"/>
    </row>
    <row r="1859" spans="1:27" x14ac:dyDescent="0.15">
      <c r="A1859" s="165"/>
      <c r="B1859" s="93"/>
      <c r="C1859" s="100"/>
      <c r="D1859" s="61"/>
      <c r="E1859" s="100"/>
      <c r="F1859" s="100"/>
      <c r="G1859" s="100"/>
      <c r="H1859" s="103"/>
      <c r="I1859" s="103"/>
      <c r="J1859" s="141"/>
      <c r="K1859" s="61"/>
    </row>
    <row r="1860" spans="1:27" x14ac:dyDescent="0.15">
      <c r="A1860" s="165"/>
      <c r="B1860" s="93"/>
      <c r="C1860" s="102"/>
      <c r="D1860" s="62"/>
      <c r="E1860" s="102"/>
      <c r="F1860" s="102"/>
      <c r="G1860" s="102"/>
      <c r="H1860" s="85"/>
      <c r="I1860" s="104"/>
      <c r="J1860" s="143"/>
      <c r="K1860" s="61"/>
    </row>
    <row r="1861" spans="1:27" s="15" customFormat="1" x14ac:dyDescent="0.15">
      <c r="A1861" s="165"/>
      <c r="B1861" s="82"/>
      <c r="C1861" s="107"/>
      <c r="D1861" s="62"/>
      <c r="E1861" s="107"/>
      <c r="F1861" s="107"/>
      <c r="G1861" s="107"/>
      <c r="H1861" s="85"/>
      <c r="I1861" s="104"/>
      <c r="J1861" s="143"/>
      <c r="K1861" s="61"/>
      <c r="L1861" s="49"/>
      <c r="M1861" s="37"/>
      <c r="N1861" s="37"/>
      <c r="O1861" s="37"/>
      <c r="P1861" s="3"/>
      <c r="Q1861" s="3"/>
      <c r="R1861" s="3"/>
      <c r="S1861" s="3"/>
      <c r="T1861" s="3"/>
      <c r="U1861" s="3"/>
      <c r="V1861" s="3"/>
      <c r="W1861" s="3"/>
      <c r="X1861" s="3"/>
      <c r="Y1861" s="4"/>
      <c r="Z1861"/>
      <c r="AA1861"/>
    </row>
    <row r="1862" spans="1:27" x14ac:dyDescent="0.15">
      <c r="A1862" s="165"/>
      <c r="B1862" s="82"/>
      <c r="C1862" s="107"/>
      <c r="D1862" s="62"/>
      <c r="E1862" s="107"/>
      <c r="F1862" s="107"/>
      <c r="G1862" s="107"/>
      <c r="H1862" s="85"/>
      <c r="I1862" s="104"/>
      <c r="J1862" s="143"/>
      <c r="K1862" s="61"/>
    </row>
    <row r="1863" spans="1:27" x14ac:dyDescent="0.15">
      <c r="A1863" s="165"/>
      <c r="B1863" s="93"/>
      <c r="C1863" s="100"/>
      <c r="D1863" s="61"/>
      <c r="E1863" s="100"/>
      <c r="F1863" s="100"/>
      <c r="G1863" s="100"/>
      <c r="H1863" s="85"/>
      <c r="I1863" s="101"/>
      <c r="J1863" s="143"/>
      <c r="K1863" s="61"/>
    </row>
    <row r="1864" spans="1:27" x14ac:dyDescent="0.15">
      <c r="A1864" s="165"/>
      <c r="B1864" s="93"/>
      <c r="C1864" s="102"/>
      <c r="D1864" s="62"/>
      <c r="E1864" s="102"/>
      <c r="F1864" s="102"/>
      <c r="G1864" s="102"/>
      <c r="H1864" s="85"/>
      <c r="I1864" s="104"/>
      <c r="J1864" s="143"/>
      <c r="K1864" s="61"/>
    </row>
    <row r="1865" spans="1:27" x14ac:dyDescent="0.15">
      <c r="A1865" s="165"/>
      <c r="B1865" s="93"/>
      <c r="C1865" s="102"/>
      <c r="D1865" s="62"/>
      <c r="E1865" s="102"/>
      <c r="F1865" s="102"/>
      <c r="G1865" s="102"/>
      <c r="H1865" s="85"/>
      <c r="I1865" s="104"/>
      <c r="J1865" s="143"/>
      <c r="K1865" s="61"/>
    </row>
    <row r="1866" spans="1:27" x14ac:dyDescent="0.15">
      <c r="A1866" s="165"/>
      <c r="B1866" s="93"/>
      <c r="C1866" s="102"/>
      <c r="D1866" s="62"/>
      <c r="E1866" s="102"/>
      <c r="F1866" s="102"/>
      <c r="G1866" s="102"/>
      <c r="H1866" s="85"/>
      <c r="I1866" s="104"/>
      <c r="J1866" s="143"/>
      <c r="K1866" s="61"/>
    </row>
    <row r="1867" spans="1:27" x14ac:dyDescent="0.15">
      <c r="A1867" s="165"/>
      <c r="B1867" s="93"/>
      <c r="C1867" s="102"/>
      <c r="D1867" s="62"/>
      <c r="E1867" s="102"/>
      <c r="F1867" s="102"/>
      <c r="G1867" s="102"/>
      <c r="H1867" s="103"/>
      <c r="I1867" s="98"/>
      <c r="J1867" s="141"/>
      <c r="K1867" s="61"/>
    </row>
    <row r="1868" spans="1:27" x14ac:dyDescent="0.15">
      <c r="A1868" s="165"/>
      <c r="B1868" s="93"/>
      <c r="C1868" s="102"/>
      <c r="D1868" s="62"/>
      <c r="E1868" s="102"/>
      <c r="F1868" s="102"/>
      <c r="G1868" s="102"/>
      <c r="H1868" s="85"/>
      <c r="I1868" s="104"/>
      <c r="J1868" s="143"/>
      <c r="K1868" s="61"/>
    </row>
    <row r="1869" spans="1:27" x14ac:dyDescent="0.15">
      <c r="A1869" s="165"/>
      <c r="B1869" s="93"/>
      <c r="C1869" s="102"/>
      <c r="D1869" s="62"/>
      <c r="E1869" s="102"/>
      <c r="F1869" s="102"/>
      <c r="G1869" s="102"/>
      <c r="H1869" s="85"/>
      <c r="I1869" s="104"/>
      <c r="J1869" s="143"/>
      <c r="K1869" s="61"/>
    </row>
    <row r="1870" spans="1:27" x14ac:dyDescent="0.15">
      <c r="A1870" s="165"/>
      <c r="B1870" s="93"/>
      <c r="C1870" s="102"/>
      <c r="D1870" s="62"/>
      <c r="E1870" s="102"/>
      <c r="F1870" s="102"/>
      <c r="G1870" s="102"/>
      <c r="H1870" s="85"/>
      <c r="I1870" s="103"/>
      <c r="J1870" s="135"/>
      <c r="K1870" s="62"/>
    </row>
    <row r="1871" spans="1:27" s="49" customFormat="1" x14ac:dyDescent="0.15">
      <c r="A1871" s="165"/>
      <c r="B1871" s="82"/>
      <c r="C1871" s="107"/>
      <c r="D1871" s="62"/>
      <c r="E1871" s="107"/>
      <c r="F1871" s="107"/>
      <c r="G1871" s="107"/>
      <c r="H1871" s="85"/>
      <c r="I1871" s="104"/>
      <c r="J1871" s="144"/>
      <c r="K1871" s="61"/>
      <c r="M1871" s="37"/>
      <c r="N1871" s="37"/>
      <c r="O1871" s="37"/>
      <c r="P1871" s="3"/>
      <c r="Q1871" s="3"/>
      <c r="R1871" s="3"/>
      <c r="S1871" s="3"/>
      <c r="T1871" s="3"/>
      <c r="U1871" s="3"/>
      <c r="V1871" s="3"/>
      <c r="W1871" s="3"/>
      <c r="X1871" s="3"/>
      <c r="Y1871" s="4"/>
      <c r="Z1871"/>
      <c r="AA1871"/>
    </row>
    <row r="1872" spans="1:27" s="49" customFormat="1" x14ac:dyDescent="0.15">
      <c r="A1872" s="165"/>
      <c r="B1872" s="93"/>
      <c r="C1872" s="102"/>
      <c r="D1872" s="62"/>
      <c r="E1872" s="102"/>
      <c r="F1872" s="102"/>
      <c r="G1872" s="102"/>
      <c r="H1872" s="85"/>
      <c r="I1872" s="104"/>
      <c r="J1872" s="144"/>
      <c r="K1872" s="61"/>
      <c r="M1872" s="37"/>
      <c r="N1872" s="37"/>
      <c r="O1872" s="37"/>
      <c r="P1872" s="3"/>
      <c r="Q1872" s="3"/>
      <c r="R1872" s="3"/>
      <c r="S1872" s="3"/>
      <c r="T1872" s="3"/>
      <c r="U1872" s="3"/>
      <c r="V1872" s="3"/>
      <c r="W1872" s="3"/>
      <c r="X1872" s="3"/>
      <c r="Y1872" s="4"/>
      <c r="Z1872"/>
      <c r="AA1872"/>
    </row>
    <row r="1873" spans="1:27" s="49" customFormat="1" x14ac:dyDescent="0.15">
      <c r="A1873" s="165"/>
      <c r="B1873" s="82"/>
      <c r="C1873" s="107"/>
      <c r="D1873" s="62"/>
      <c r="E1873" s="107"/>
      <c r="F1873" s="107"/>
      <c r="G1873" s="107"/>
      <c r="H1873" s="85"/>
      <c r="I1873" s="104"/>
      <c r="J1873" s="144"/>
      <c r="K1873" s="61"/>
      <c r="M1873" s="37"/>
      <c r="N1873" s="37"/>
      <c r="O1873" s="37"/>
      <c r="P1873" s="3"/>
      <c r="Q1873" s="3"/>
      <c r="R1873" s="3"/>
      <c r="S1873" s="3"/>
      <c r="T1873" s="3"/>
      <c r="U1873" s="3"/>
      <c r="V1873" s="3"/>
      <c r="W1873" s="3"/>
      <c r="X1873" s="3"/>
      <c r="Y1873" s="4"/>
      <c r="Z1873"/>
      <c r="AA1873"/>
    </row>
    <row r="1874" spans="1:27" s="49" customFormat="1" x14ac:dyDescent="0.15">
      <c r="A1874" s="165"/>
      <c r="B1874" s="93"/>
      <c r="C1874" s="102"/>
      <c r="D1874" s="62"/>
      <c r="E1874" s="102"/>
      <c r="F1874" s="102"/>
      <c r="G1874" s="102"/>
      <c r="H1874" s="85"/>
      <c r="I1874" s="104"/>
      <c r="J1874" s="144"/>
      <c r="K1874" s="61"/>
      <c r="M1874" s="37"/>
      <c r="N1874" s="37"/>
      <c r="O1874" s="37"/>
      <c r="P1874" s="3"/>
      <c r="Q1874" s="3"/>
      <c r="R1874" s="3"/>
      <c r="S1874" s="3"/>
      <c r="T1874" s="3"/>
      <c r="U1874" s="3"/>
      <c r="V1874" s="3"/>
      <c r="W1874" s="3"/>
      <c r="X1874" s="3"/>
      <c r="Y1874" s="4"/>
      <c r="Z1874"/>
      <c r="AA1874"/>
    </row>
    <row r="1875" spans="1:27" s="49" customFormat="1" x14ac:dyDescent="0.15">
      <c r="A1875" s="165"/>
      <c r="B1875" s="82"/>
      <c r="C1875" s="107"/>
      <c r="D1875" s="62"/>
      <c r="E1875" s="107"/>
      <c r="F1875" s="107"/>
      <c r="G1875" s="107"/>
      <c r="H1875" s="85"/>
      <c r="I1875" s="104"/>
      <c r="J1875" s="144"/>
      <c r="K1875" s="61"/>
      <c r="M1875" s="37"/>
      <c r="N1875" s="37"/>
      <c r="O1875" s="37"/>
      <c r="P1875" s="3"/>
      <c r="Q1875" s="3"/>
      <c r="R1875" s="3"/>
      <c r="S1875" s="3"/>
      <c r="T1875" s="3"/>
      <c r="U1875" s="3"/>
      <c r="V1875" s="3"/>
      <c r="W1875" s="3"/>
      <c r="X1875" s="3"/>
      <c r="Y1875" s="4"/>
      <c r="Z1875"/>
      <c r="AA1875"/>
    </row>
    <row r="1876" spans="1:27" s="49" customFormat="1" x14ac:dyDescent="0.15">
      <c r="A1876" s="165"/>
      <c r="B1876" s="82"/>
      <c r="C1876" s="107"/>
      <c r="D1876" s="62"/>
      <c r="E1876" s="107"/>
      <c r="F1876" s="107"/>
      <c r="G1876" s="107"/>
      <c r="H1876" s="85"/>
      <c r="I1876" s="104"/>
      <c r="J1876" s="144"/>
      <c r="K1876" s="61"/>
      <c r="M1876" s="37"/>
      <c r="N1876" s="37"/>
      <c r="O1876" s="37"/>
      <c r="P1876" s="3"/>
      <c r="Q1876" s="3"/>
      <c r="R1876" s="3"/>
      <c r="S1876" s="3"/>
      <c r="T1876" s="3"/>
      <c r="U1876" s="3"/>
      <c r="V1876" s="3"/>
      <c r="W1876" s="3"/>
      <c r="X1876" s="3"/>
      <c r="Y1876" s="4"/>
      <c r="Z1876"/>
      <c r="AA1876"/>
    </row>
    <row r="1877" spans="1:27" s="49" customFormat="1" x14ac:dyDescent="0.15">
      <c r="A1877" s="165"/>
      <c r="B1877" s="93"/>
      <c r="C1877" s="102"/>
      <c r="D1877" s="62"/>
      <c r="E1877" s="102"/>
      <c r="F1877" s="102"/>
      <c r="G1877" s="102"/>
      <c r="H1877" s="85"/>
      <c r="I1877" s="104"/>
      <c r="J1877" s="144"/>
      <c r="K1877" s="61"/>
      <c r="M1877" s="37"/>
      <c r="N1877" s="37"/>
      <c r="O1877" s="37"/>
      <c r="P1877" s="3"/>
      <c r="Q1877" s="3"/>
      <c r="R1877" s="3"/>
      <c r="S1877" s="3"/>
      <c r="T1877" s="3"/>
      <c r="U1877" s="3"/>
      <c r="V1877" s="3"/>
      <c r="W1877" s="3"/>
      <c r="X1877" s="3"/>
      <c r="Y1877" s="4"/>
      <c r="Z1877"/>
      <c r="AA1877"/>
    </row>
    <row r="1878" spans="1:27" s="49" customFormat="1" x14ac:dyDescent="0.15">
      <c r="A1878" s="165"/>
      <c r="B1878" s="93"/>
      <c r="C1878" s="102"/>
      <c r="D1878" s="62"/>
      <c r="E1878" s="102"/>
      <c r="F1878" s="102"/>
      <c r="G1878" s="102"/>
      <c r="H1878" s="85"/>
      <c r="I1878" s="104"/>
      <c r="J1878" s="144"/>
      <c r="K1878" s="62"/>
      <c r="M1878" s="37"/>
      <c r="N1878" s="37"/>
      <c r="O1878" s="37"/>
      <c r="P1878" s="3"/>
      <c r="Q1878" s="3"/>
      <c r="R1878" s="3"/>
      <c r="S1878" s="3"/>
      <c r="T1878" s="3"/>
      <c r="U1878" s="3"/>
      <c r="V1878" s="3"/>
      <c r="W1878" s="3"/>
      <c r="X1878" s="3"/>
      <c r="Y1878" s="4"/>
      <c r="Z1878"/>
      <c r="AA1878"/>
    </row>
    <row r="1879" spans="1:27" s="49" customFormat="1" x14ac:dyDescent="0.15">
      <c r="A1879" s="165"/>
      <c r="B1879" s="93"/>
      <c r="C1879" s="102"/>
      <c r="D1879" s="62"/>
      <c r="E1879" s="102"/>
      <c r="F1879" s="102"/>
      <c r="G1879" s="102"/>
      <c r="H1879" s="85"/>
      <c r="I1879" s="98"/>
      <c r="J1879" s="135"/>
      <c r="K1879" s="62"/>
      <c r="M1879" s="37"/>
      <c r="N1879" s="37"/>
      <c r="O1879" s="37"/>
      <c r="P1879" s="3"/>
      <c r="Q1879" s="3"/>
      <c r="R1879" s="3"/>
      <c r="S1879" s="3"/>
      <c r="T1879" s="3"/>
      <c r="U1879" s="3"/>
      <c r="V1879" s="3"/>
      <c r="W1879" s="3"/>
      <c r="X1879" s="3"/>
      <c r="Y1879" s="4"/>
      <c r="Z1879"/>
      <c r="AA1879"/>
    </row>
    <row r="1880" spans="1:27" s="49" customFormat="1" x14ac:dyDescent="0.15">
      <c r="A1880" s="165"/>
      <c r="B1880" s="82"/>
      <c r="C1880" s="107"/>
      <c r="D1880" s="62"/>
      <c r="E1880" s="105"/>
      <c r="F1880" s="107"/>
      <c r="G1880" s="107"/>
      <c r="H1880" s="85"/>
      <c r="I1880" s="104"/>
      <c r="J1880" s="143"/>
      <c r="K1880" s="61"/>
      <c r="M1880" s="37"/>
      <c r="N1880" s="37"/>
      <c r="O1880" s="37"/>
      <c r="P1880" s="3"/>
      <c r="Q1880" s="3"/>
      <c r="R1880" s="3"/>
      <c r="S1880" s="3"/>
      <c r="T1880" s="3"/>
      <c r="U1880" s="3"/>
      <c r="V1880" s="3"/>
      <c r="W1880" s="3"/>
      <c r="X1880" s="3"/>
      <c r="Y1880" s="4"/>
      <c r="Z1880"/>
      <c r="AA1880"/>
    </row>
    <row r="1881" spans="1:27" s="49" customFormat="1" x14ac:dyDescent="0.15">
      <c r="A1881" s="165"/>
      <c r="B1881" s="82"/>
      <c r="C1881" s="107"/>
      <c r="D1881" s="62"/>
      <c r="E1881" s="107"/>
      <c r="F1881" s="107"/>
      <c r="G1881" s="107"/>
      <c r="H1881" s="85"/>
      <c r="I1881" s="104"/>
      <c r="J1881" s="144"/>
      <c r="K1881" s="62"/>
      <c r="M1881" s="37"/>
      <c r="N1881" s="37"/>
      <c r="O1881" s="37"/>
      <c r="P1881" s="3"/>
      <c r="Q1881" s="3"/>
      <c r="R1881" s="3"/>
      <c r="S1881" s="3"/>
      <c r="T1881" s="3"/>
      <c r="U1881" s="3"/>
      <c r="V1881" s="3"/>
      <c r="W1881" s="3"/>
      <c r="X1881" s="3"/>
      <c r="Y1881" s="4"/>
      <c r="Z1881"/>
      <c r="AA1881"/>
    </row>
    <row r="1882" spans="1:27" s="49" customFormat="1" x14ac:dyDescent="0.15">
      <c r="A1882" s="165"/>
      <c r="B1882" s="93"/>
      <c r="C1882" s="102"/>
      <c r="D1882" s="62"/>
      <c r="E1882" s="102"/>
      <c r="F1882" s="102"/>
      <c r="G1882" s="102"/>
      <c r="H1882" s="85"/>
      <c r="I1882" s="104"/>
      <c r="J1882" s="144"/>
      <c r="K1882" s="61"/>
      <c r="M1882" s="37"/>
      <c r="N1882" s="37"/>
      <c r="O1882" s="37"/>
      <c r="P1882" s="3"/>
      <c r="Q1882" s="3"/>
      <c r="R1882" s="3"/>
      <c r="S1882" s="3"/>
      <c r="T1882" s="3"/>
      <c r="U1882" s="3"/>
      <c r="V1882" s="3"/>
      <c r="W1882" s="3"/>
      <c r="X1882" s="3"/>
      <c r="Y1882" s="4"/>
      <c r="Z1882"/>
      <c r="AA1882"/>
    </row>
    <row r="1883" spans="1:27" s="49" customFormat="1" x14ac:dyDescent="0.15">
      <c r="A1883" s="165"/>
      <c r="B1883" s="93"/>
      <c r="C1883" s="102"/>
      <c r="D1883" s="62"/>
      <c r="E1883" s="102"/>
      <c r="F1883" s="102"/>
      <c r="G1883" s="102"/>
      <c r="H1883" s="85"/>
      <c r="I1883" s="104"/>
      <c r="J1883" s="144"/>
      <c r="K1883" s="61"/>
      <c r="M1883" s="37"/>
      <c r="N1883" s="37"/>
      <c r="O1883" s="37"/>
      <c r="P1883" s="3"/>
      <c r="Q1883" s="3"/>
      <c r="R1883" s="3"/>
      <c r="S1883" s="3"/>
      <c r="T1883" s="3"/>
      <c r="U1883" s="3"/>
      <c r="V1883" s="3"/>
      <c r="W1883" s="3"/>
      <c r="X1883" s="3"/>
      <c r="Y1883" s="4"/>
      <c r="Z1883"/>
      <c r="AA1883"/>
    </row>
    <row r="1884" spans="1:27" s="49" customFormat="1" x14ac:dyDescent="0.15">
      <c r="A1884" s="165"/>
      <c r="B1884" s="93"/>
      <c r="C1884" s="102"/>
      <c r="D1884" s="62"/>
      <c r="E1884" s="102"/>
      <c r="F1884" s="102"/>
      <c r="G1884" s="102"/>
      <c r="H1884" s="85"/>
      <c r="I1884" s="104"/>
      <c r="J1884" s="144"/>
      <c r="K1884" s="61"/>
      <c r="M1884" s="37"/>
      <c r="N1884" s="37"/>
      <c r="O1884" s="37"/>
      <c r="P1884" s="3"/>
      <c r="Q1884" s="3"/>
      <c r="R1884" s="3"/>
      <c r="S1884" s="3"/>
      <c r="T1884" s="3"/>
      <c r="U1884" s="3"/>
      <c r="V1884" s="3"/>
      <c r="W1884" s="3"/>
      <c r="X1884" s="3"/>
      <c r="Y1884" s="4"/>
      <c r="Z1884"/>
      <c r="AA1884"/>
    </row>
    <row r="1885" spans="1:27" s="49" customFormat="1" x14ac:dyDescent="0.15">
      <c r="A1885" s="165"/>
      <c r="B1885" s="93"/>
      <c r="C1885" s="102"/>
      <c r="D1885" s="62"/>
      <c r="E1885" s="102"/>
      <c r="F1885" s="102"/>
      <c r="G1885" s="102"/>
      <c r="H1885" s="85"/>
      <c r="I1885" s="104"/>
      <c r="J1885" s="144"/>
      <c r="K1885" s="61"/>
      <c r="M1885" s="37"/>
      <c r="N1885" s="37"/>
      <c r="O1885" s="37"/>
      <c r="P1885" s="3"/>
      <c r="Q1885" s="3"/>
      <c r="R1885" s="3"/>
      <c r="S1885" s="3"/>
      <c r="T1885" s="3"/>
      <c r="U1885" s="3"/>
      <c r="V1885" s="3"/>
      <c r="W1885" s="3"/>
      <c r="X1885" s="3"/>
      <c r="Y1885" s="4"/>
      <c r="Z1885"/>
      <c r="AA1885"/>
    </row>
    <row r="1886" spans="1:27" s="49" customFormat="1" x14ac:dyDescent="0.15">
      <c r="A1886" s="165"/>
      <c r="B1886" s="93"/>
      <c r="C1886" s="102"/>
      <c r="D1886" s="62"/>
      <c r="E1886" s="102"/>
      <c r="F1886" s="102"/>
      <c r="G1886" s="102"/>
      <c r="H1886" s="85"/>
      <c r="I1886" s="104"/>
      <c r="J1886" s="144"/>
      <c r="K1886" s="61"/>
      <c r="M1886" s="37"/>
      <c r="N1886" s="37"/>
      <c r="O1886" s="37"/>
      <c r="P1886" s="3"/>
      <c r="Q1886" s="3"/>
      <c r="R1886" s="3"/>
      <c r="S1886" s="3"/>
      <c r="T1886" s="3"/>
      <c r="U1886" s="3"/>
      <c r="V1886" s="3"/>
      <c r="W1886" s="3"/>
      <c r="X1886" s="3"/>
      <c r="Y1886" s="4"/>
      <c r="Z1886"/>
      <c r="AA1886"/>
    </row>
    <row r="1887" spans="1:27" x14ac:dyDescent="0.15">
      <c r="A1887" s="165"/>
      <c r="B1887" s="93"/>
      <c r="C1887" s="102"/>
      <c r="D1887" s="62"/>
      <c r="E1887" s="102"/>
      <c r="F1887" s="102"/>
      <c r="G1887" s="102"/>
      <c r="H1887" s="85"/>
      <c r="I1887" s="104"/>
      <c r="J1887" s="144"/>
      <c r="K1887" s="61"/>
    </row>
    <row r="1888" spans="1:27" x14ac:dyDescent="0.15">
      <c r="A1888" s="62"/>
      <c r="B1888" s="93"/>
      <c r="C1888" s="102"/>
      <c r="D1888" s="62"/>
      <c r="E1888" s="102"/>
      <c r="F1888" s="102"/>
      <c r="G1888" s="102"/>
      <c r="H1888" s="85"/>
      <c r="I1888" s="104"/>
      <c r="J1888" s="144"/>
      <c r="K1888" s="61"/>
    </row>
    <row r="1889" spans="1:27" s="15" customFormat="1" x14ac:dyDescent="0.15">
      <c r="A1889" s="165"/>
      <c r="B1889" s="93"/>
      <c r="C1889" s="102"/>
      <c r="D1889" s="62"/>
      <c r="E1889" s="102"/>
      <c r="F1889" s="102"/>
      <c r="G1889" s="102"/>
      <c r="H1889" s="85"/>
      <c r="I1889" s="104"/>
      <c r="J1889" s="144"/>
      <c r="K1889" s="61"/>
      <c r="L1889" s="49"/>
      <c r="M1889" s="37"/>
      <c r="N1889" s="37"/>
      <c r="O1889" s="37"/>
      <c r="P1889" s="3"/>
      <c r="Q1889" s="3"/>
      <c r="R1889" s="3"/>
      <c r="S1889" s="3"/>
      <c r="T1889" s="3"/>
      <c r="U1889" s="3"/>
      <c r="V1889" s="3"/>
      <c r="W1889" s="3"/>
      <c r="X1889" s="3"/>
      <c r="Y1889" s="4"/>
      <c r="Z1889"/>
      <c r="AA1889"/>
    </row>
    <row r="1890" spans="1:27" s="49" customFormat="1" x14ac:dyDescent="0.15">
      <c r="A1890" s="165"/>
      <c r="B1890" s="93"/>
      <c r="C1890" s="102"/>
      <c r="D1890" s="62"/>
      <c r="E1890" s="102"/>
      <c r="F1890" s="102"/>
      <c r="G1890" s="102"/>
      <c r="H1890" s="85"/>
      <c r="I1890" s="104"/>
      <c r="J1890" s="144"/>
      <c r="K1890" s="61"/>
      <c r="M1890" s="37"/>
      <c r="N1890" s="37"/>
      <c r="O1890" s="37"/>
      <c r="P1890" s="3"/>
      <c r="Q1890" s="3"/>
      <c r="R1890" s="3"/>
      <c r="S1890" s="3"/>
      <c r="T1890" s="3"/>
      <c r="U1890" s="3"/>
      <c r="V1890" s="3"/>
      <c r="W1890" s="3"/>
      <c r="X1890" s="3"/>
      <c r="Y1890" s="4"/>
      <c r="Z1890"/>
      <c r="AA1890"/>
    </row>
    <row r="1891" spans="1:27" s="49" customFormat="1" x14ac:dyDescent="0.15">
      <c r="A1891" s="165"/>
      <c r="B1891" s="93"/>
      <c r="C1891" s="102"/>
      <c r="D1891" s="62"/>
      <c r="E1891" s="102"/>
      <c r="F1891" s="102"/>
      <c r="G1891" s="102"/>
      <c r="H1891" s="85"/>
      <c r="I1891" s="104"/>
      <c r="J1891" s="144"/>
      <c r="K1891" s="61"/>
      <c r="M1891" s="37"/>
      <c r="N1891" s="37"/>
      <c r="O1891" s="37"/>
      <c r="P1891" s="3"/>
      <c r="Q1891" s="3"/>
      <c r="R1891" s="3"/>
      <c r="S1891" s="3"/>
      <c r="T1891" s="3"/>
      <c r="U1891" s="3"/>
      <c r="V1891" s="3"/>
      <c r="W1891" s="3"/>
      <c r="X1891" s="3"/>
      <c r="Y1891" s="4"/>
      <c r="Z1891"/>
      <c r="AA1891"/>
    </row>
    <row r="1892" spans="1:27" s="49" customFormat="1" x14ac:dyDescent="0.15">
      <c r="A1892" s="165"/>
      <c r="B1892" s="93"/>
      <c r="C1892" s="102"/>
      <c r="D1892" s="62"/>
      <c r="E1892" s="102"/>
      <c r="F1892" s="102"/>
      <c r="G1892" s="102"/>
      <c r="H1892" s="85"/>
      <c r="I1892" s="104"/>
      <c r="J1892" s="144"/>
      <c r="K1892" s="61"/>
      <c r="M1892" s="37"/>
      <c r="N1892" s="37"/>
      <c r="O1892" s="37"/>
      <c r="P1892" s="3"/>
      <c r="Q1892" s="3"/>
      <c r="R1892" s="3"/>
      <c r="S1892" s="3"/>
      <c r="T1892" s="3"/>
      <c r="U1892" s="3"/>
      <c r="V1892" s="3"/>
      <c r="W1892" s="3"/>
      <c r="X1892" s="3"/>
      <c r="Y1892" s="4"/>
      <c r="Z1892"/>
      <c r="AA1892"/>
    </row>
    <row r="1893" spans="1:27" s="49" customFormat="1" x14ac:dyDescent="0.15">
      <c r="A1893" s="165"/>
      <c r="B1893" s="93"/>
      <c r="C1893" s="102"/>
      <c r="D1893" s="62"/>
      <c r="E1893" s="102"/>
      <c r="F1893" s="102"/>
      <c r="G1893" s="102"/>
      <c r="H1893" s="98"/>
      <c r="I1893" s="98"/>
      <c r="J1893" s="135"/>
      <c r="K1893" s="61"/>
      <c r="M1893" s="37"/>
      <c r="N1893" s="37"/>
      <c r="O1893" s="37"/>
      <c r="P1893" s="3"/>
      <c r="Q1893" s="3"/>
      <c r="R1893" s="3"/>
      <c r="S1893" s="3"/>
      <c r="T1893" s="3"/>
      <c r="U1893" s="3"/>
      <c r="V1893" s="3"/>
      <c r="W1893" s="3"/>
      <c r="X1893" s="3"/>
      <c r="Y1893" s="4"/>
      <c r="Z1893"/>
      <c r="AA1893"/>
    </row>
    <row r="1894" spans="1:27" s="49" customFormat="1" x14ac:dyDescent="0.15">
      <c r="A1894" s="165"/>
      <c r="B1894" s="93"/>
      <c r="C1894" s="102"/>
      <c r="D1894" s="62"/>
      <c r="E1894" s="102"/>
      <c r="F1894" s="102"/>
      <c r="G1894" s="102"/>
      <c r="H1894" s="85"/>
      <c r="I1894" s="104"/>
      <c r="J1894" s="144"/>
      <c r="K1894" s="61"/>
      <c r="M1894" s="37"/>
      <c r="N1894" s="37"/>
      <c r="O1894" s="37"/>
      <c r="P1894" s="3"/>
      <c r="Q1894" s="3"/>
      <c r="R1894" s="3"/>
      <c r="S1894" s="3"/>
      <c r="T1894" s="3"/>
      <c r="U1894" s="3"/>
      <c r="V1894" s="3"/>
      <c r="W1894" s="3"/>
      <c r="X1894" s="3"/>
      <c r="Y1894" s="4"/>
      <c r="Z1894"/>
      <c r="AA1894"/>
    </row>
    <row r="1895" spans="1:27" s="49" customFormat="1" x14ac:dyDescent="0.15">
      <c r="A1895" s="165"/>
      <c r="B1895" s="93"/>
      <c r="C1895" s="102"/>
      <c r="D1895" s="62"/>
      <c r="E1895" s="102"/>
      <c r="F1895" s="102"/>
      <c r="G1895" s="102"/>
      <c r="H1895" s="85"/>
      <c r="I1895" s="104"/>
      <c r="J1895" s="144"/>
      <c r="K1895" s="61"/>
      <c r="M1895" s="37"/>
      <c r="N1895" s="37"/>
      <c r="O1895" s="37"/>
      <c r="P1895" s="3"/>
      <c r="Q1895" s="3"/>
      <c r="R1895" s="3"/>
      <c r="S1895" s="3"/>
      <c r="T1895" s="3"/>
      <c r="U1895" s="3"/>
      <c r="V1895" s="3"/>
      <c r="W1895" s="3"/>
      <c r="X1895" s="3"/>
      <c r="Y1895" s="4"/>
      <c r="Z1895"/>
      <c r="AA1895"/>
    </row>
    <row r="1896" spans="1:27" s="49" customFormat="1" x14ac:dyDescent="0.15">
      <c r="A1896" s="165"/>
      <c r="B1896" s="93"/>
      <c r="C1896" s="102"/>
      <c r="D1896" s="62"/>
      <c r="E1896" s="102"/>
      <c r="F1896" s="102"/>
      <c r="G1896" s="102"/>
      <c r="H1896" s="85"/>
      <c r="I1896" s="104"/>
      <c r="J1896" s="144"/>
      <c r="K1896" s="61"/>
      <c r="M1896" s="37"/>
      <c r="N1896" s="37"/>
      <c r="O1896" s="37"/>
      <c r="P1896" s="3"/>
      <c r="Q1896" s="3"/>
      <c r="R1896" s="3"/>
      <c r="S1896" s="3"/>
      <c r="T1896" s="3"/>
      <c r="U1896" s="3"/>
      <c r="V1896" s="3"/>
      <c r="W1896" s="3"/>
      <c r="X1896" s="3"/>
      <c r="Y1896" s="4"/>
      <c r="Z1896"/>
      <c r="AA1896"/>
    </row>
    <row r="1897" spans="1:27" s="49" customFormat="1" x14ac:dyDescent="0.15">
      <c r="A1897" s="165"/>
      <c r="B1897" s="93"/>
      <c r="C1897" s="102"/>
      <c r="D1897" s="62"/>
      <c r="E1897" s="102"/>
      <c r="F1897" s="102"/>
      <c r="G1897" s="102"/>
      <c r="H1897" s="85"/>
      <c r="I1897" s="104"/>
      <c r="J1897" s="144"/>
      <c r="K1897" s="61"/>
      <c r="M1897" s="37"/>
      <c r="N1897" s="37"/>
      <c r="O1897" s="37"/>
      <c r="P1897" s="3"/>
      <c r="Q1897" s="3"/>
      <c r="R1897" s="3"/>
      <c r="S1897" s="3"/>
      <c r="T1897" s="3"/>
      <c r="U1897" s="3"/>
      <c r="V1897" s="3"/>
      <c r="W1897" s="3"/>
      <c r="X1897" s="3"/>
      <c r="Y1897" s="4"/>
      <c r="Z1897"/>
      <c r="AA1897"/>
    </row>
    <row r="1898" spans="1:27" s="49" customFormat="1" x14ac:dyDescent="0.15">
      <c r="A1898" s="165"/>
      <c r="B1898" s="93"/>
      <c r="C1898" s="102"/>
      <c r="D1898" s="62"/>
      <c r="E1898" s="102"/>
      <c r="F1898" s="102"/>
      <c r="G1898" s="102"/>
      <c r="H1898" s="85"/>
      <c r="I1898" s="104"/>
      <c r="J1898" s="144"/>
      <c r="K1898" s="61"/>
      <c r="M1898" s="37"/>
      <c r="N1898" s="37"/>
      <c r="O1898" s="37"/>
      <c r="P1898" s="3"/>
      <c r="Q1898" s="3"/>
      <c r="R1898" s="3"/>
      <c r="S1898" s="3"/>
      <c r="T1898" s="3"/>
      <c r="U1898" s="3"/>
      <c r="V1898" s="3"/>
      <c r="W1898" s="3"/>
      <c r="X1898" s="3"/>
      <c r="Y1898" s="4"/>
      <c r="Z1898"/>
      <c r="AA1898"/>
    </row>
    <row r="1899" spans="1:27" s="49" customFormat="1" x14ac:dyDescent="0.15">
      <c r="A1899" s="165"/>
      <c r="B1899" s="93"/>
      <c r="C1899" s="102"/>
      <c r="D1899" s="62"/>
      <c r="E1899" s="102"/>
      <c r="F1899" s="102"/>
      <c r="G1899" s="102"/>
      <c r="H1899" s="85"/>
      <c r="I1899" s="104"/>
      <c r="J1899" s="144"/>
      <c r="K1899" s="61"/>
      <c r="M1899" s="37"/>
      <c r="N1899" s="37"/>
      <c r="O1899" s="37"/>
      <c r="P1899" s="3"/>
      <c r="Q1899" s="3"/>
      <c r="R1899" s="3"/>
      <c r="S1899" s="3"/>
      <c r="T1899" s="3"/>
      <c r="U1899" s="3"/>
      <c r="V1899" s="3"/>
      <c r="W1899" s="3"/>
      <c r="X1899" s="3"/>
      <c r="Y1899" s="4"/>
      <c r="Z1899"/>
      <c r="AA1899"/>
    </row>
    <row r="1900" spans="1:27" s="49" customFormat="1" x14ac:dyDescent="0.15">
      <c r="A1900" s="165"/>
      <c r="B1900" s="93"/>
      <c r="C1900" s="102"/>
      <c r="D1900" s="62"/>
      <c r="E1900" s="102"/>
      <c r="F1900" s="102"/>
      <c r="G1900" s="102"/>
      <c r="H1900" s="98"/>
      <c r="I1900" s="98"/>
      <c r="J1900" s="135"/>
      <c r="K1900" s="62"/>
      <c r="M1900" s="37"/>
      <c r="N1900" s="37"/>
      <c r="O1900" s="37"/>
      <c r="P1900" s="3"/>
      <c r="Q1900" s="3"/>
      <c r="R1900" s="3"/>
      <c r="S1900" s="3"/>
      <c r="T1900" s="3"/>
      <c r="U1900" s="3"/>
      <c r="V1900" s="3"/>
      <c r="W1900" s="3"/>
      <c r="X1900" s="3"/>
      <c r="Y1900" s="4"/>
      <c r="Z1900"/>
      <c r="AA1900"/>
    </row>
    <row r="1901" spans="1:27" s="49" customFormat="1" x14ac:dyDescent="0.15">
      <c r="A1901" s="165"/>
      <c r="B1901" s="93"/>
      <c r="C1901" s="102"/>
      <c r="D1901" s="62"/>
      <c r="E1901" s="102"/>
      <c r="F1901" s="102"/>
      <c r="G1901" s="102"/>
      <c r="H1901" s="98"/>
      <c r="I1901" s="98"/>
      <c r="J1901" s="135"/>
      <c r="K1901" s="62"/>
      <c r="M1901" s="37"/>
      <c r="N1901" s="37"/>
      <c r="O1901" s="37"/>
      <c r="P1901" s="3"/>
      <c r="Q1901" s="3"/>
      <c r="R1901" s="3"/>
      <c r="S1901" s="3"/>
      <c r="T1901" s="3"/>
      <c r="U1901" s="3"/>
      <c r="V1901" s="3"/>
      <c r="W1901" s="3"/>
      <c r="X1901" s="3"/>
      <c r="Y1901" s="4"/>
      <c r="Z1901"/>
      <c r="AA1901"/>
    </row>
    <row r="1902" spans="1:27" s="49" customFormat="1" x14ac:dyDescent="0.15">
      <c r="A1902" s="165"/>
      <c r="B1902" s="93"/>
      <c r="C1902" s="102"/>
      <c r="D1902" s="62"/>
      <c r="E1902" s="102"/>
      <c r="F1902" s="102"/>
      <c r="G1902" s="102"/>
      <c r="H1902" s="98"/>
      <c r="I1902" s="98"/>
      <c r="J1902" s="135"/>
      <c r="K1902" s="62"/>
      <c r="M1902" s="37"/>
      <c r="N1902" s="37"/>
      <c r="O1902" s="37"/>
      <c r="P1902" s="3"/>
      <c r="Q1902" s="3"/>
      <c r="R1902" s="3"/>
      <c r="S1902" s="3"/>
      <c r="T1902" s="3"/>
      <c r="U1902" s="3"/>
      <c r="V1902" s="3"/>
      <c r="W1902" s="3"/>
      <c r="X1902" s="3"/>
      <c r="Y1902" s="4"/>
      <c r="Z1902"/>
      <c r="AA1902"/>
    </row>
    <row r="1903" spans="1:27" s="49" customFormat="1" x14ac:dyDescent="0.15">
      <c r="A1903" s="165"/>
      <c r="B1903" s="93"/>
      <c r="C1903" s="102"/>
      <c r="D1903" s="62"/>
      <c r="E1903" s="102"/>
      <c r="F1903" s="102"/>
      <c r="G1903" s="102"/>
      <c r="H1903" s="98"/>
      <c r="I1903" s="98"/>
      <c r="J1903" s="135"/>
      <c r="K1903" s="62"/>
      <c r="M1903" s="37"/>
      <c r="N1903" s="37"/>
      <c r="O1903" s="37"/>
      <c r="P1903" s="3"/>
      <c r="Q1903" s="3"/>
      <c r="R1903" s="3"/>
      <c r="S1903" s="3"/>
      <c r="T1903" s="3"/>
      <c r="U1903" s="3"/>
      <c r="V1903" s="3"/>
      <c r="W1903" s="3"/>
      <c r="X1903" s="3"/>
      <c r="Y1903" s="4"/>
      <c r="Z1903"/>
      <c r="AA1903"/>
    </row>
    <row r="1904" spans="1:27" s="49" customFormat="1" x14ac:dyDescent="0.15">
      <c r="A1904" s="165"/>
      <c r="B1904" s="93"/>
      <c r="C1904" s="102"/>
      <c r="D1904" s="62"/>
      <c r="E1904" s="102"/>
      <c r="F1904" s="102"/>
      <c r="G1904" s="102"/>
      <c r="H1904" s="85"/>
      <c r="I1904" s="104"/>
      <c r="J1904" s="144"/>
      <c r="K1904" s="62"/>
      <c r="M1904" s="37"/>
      <c r="N1904" s="37"/>
      <c r="O1904" s="37"/>
      <c r="P1904" s="3"/>
      <c r="Q1904" s="3"/>
      <c r="R1904" s="3"/>
      <c r="S1904" s="3"/>
      <c r="T1904" s="3"/>
      <c r="U1904" s="3"/>
      <c r="V1904" s="3"/>
      <c r="W1904" s="3"/>
      <c r="X1904" s="3"/>
      <c r="Y1904" s="4"/>
      <c r="Z1904"/>
      <c r="AA1904"/>
    </row>
    <row r="1905" spans="1:27" s="49" customFormat="1" x14ac:dyDescent="0.15">
      <c r="A1905" s="165"/>
      <c r="B1905" s="93"/>
      <c r="C1905" s="102"/>
      <c r="D1905" s="62"/>
      <c r="E1905" s="102"/>
      <c r="F1905" s="102"/>
      <c r="G1905" s="102"/>
      <c r="H1905" s="85"/>
      <c r="I1905" s="104"/>
      <c r="J1905" s="144"/>
      <c r="K1905" s="62"/>
      <c r="M1905" s="37"/>
      <c r="N1905" s="37"/>
      <c r="O1905" s="37"/>
      <c r="P1905" s="3"/>
      <c r="Q1905" s="3"/>
      <c r="R1905" s="3"/>
      <c r="S1905" s="3"/>
      <c r="T1905" s="3"/>
      <c r="U1905" s="3"/>
      <c r="V1905" s="3"/>
      <c r="W1905" s="3"/>
      <c r="X1905" s="3"/>
      <c r="Y1905" s="4"/>
      <c r="Z1905"/>
      <c r="AA1905"/>
    </row>
    <row r="1906" spans="1:27" x14ac:dyDescent="0.15">
      <c r="A1906" s="165"/>
      <c r="B1906" s="93"/>
      <c r="C1906" s="102"/>
      <c r="D1906" s="62"/>
      <c r="E1906" s="102"/>
      <c r="F1906" s="102"/>
      <c r="G1906" s="102"/>
      <c r="H1906" s="85"/>
      <c r="I1906" s="104"/>
      <c r="J1906" s="144"/>
      <c r="K1906" s="62"/>
    </row>
    <row r="1907" spans="1:27" x14ac:dyDescent="0.15">
      <c r="A1907" s="165"/>
      <c r="B1907" s="93"/>
      <c r="C1907" s="102"/>
      <c r="D1907" s="62"/>
      <c r="E1907" s="102"/>
      <c r="F1907" s="102"/>
      <c r="G1907" s="102"/>
      <c r="H1907" s="85"/>
      <c r="I1907" s="104"/>
      <c r="J1907" s="144"/>
      <c r="K1907" s="62"/>
      <c r="P1907" s="14"/>
      <c r="Q1907" s="14"/>
    </row>
    <row r="1908" spans="1:27" x14ac:dyDescent="0.15">
      <c r="A1908" s="165"/>
      <c r="B1908" s="93"/>
      <c r="C1908" s="102"/>
      <c r="D1908" s="62"/>
      <c r="E1908" s="102"/>
      <c r="F1908" s="102"/>
      <c r="G1908" s="102"/>
      <c r="H1908" s="85"/>
      <c r="I1908" s="104"/>
      <c r="J1908" s="144"/>
      <c r="K1908" s="62"/>
      <c r="P1908" s="14"/>
      <c r="Q1908" s="14"/>
    </row>
    <row r="1909" spans="1:27" x14ac:dyDescent="0.15">
      <c r="A1909" s="165"/>
      <c r="B1909" s="93"/>
      <c r="C1909" s="102"/>
      <c r="D1909" s="62"/>
      <c r="E1909" s="102"/>
      <c r="F1909" s="102"/>
      <c r="G1909" s="102"/>
      <c r="H1909" s="85"/>
      <c r="I1909" s="104"/>
      <c r="J1909" s="144"/>
      <c r="K1909" s="62"/>
    </row>
    <row r="1910" spans="1:27" s="15" customFormat="1" x14ac:dyDescent="0.15">
      <c r="A1910" s="165"/>
      <c r="B1910" s="93"/>
      <c r="C1910" s="102"/>
      <c r="D1910" s="62"/>
      <c r="E1910" s="102"/>
      <c r="F1910" s="102"/>
      <c r="G1910" s="102"/>
      <c r="H1910" s="85"/>
      <c r="I1910" s="104"/>
      <c r="J1910" s="144"/>
      <c r="K1910" s="62"/>
      <c r="L1910" s="49"/>
      <c r="M1910" s="37"/>
      <c r="N1910" s="37"/>
      <c r="O1910" s="37"/>
      <c r="P1910" s="3"/>
      <c r="Q1910" s="3"/>
      <c r="R1910" s="3"/>
      <c r="S1910" s="3"/>
      <c r="T1910" s="3"/>
      <c r="U1910" s="3"/>
      <c r="V1910" s="3"/>
      <c r="W1910" s="3"/>
      <c r="X1910" s="3"/>
      <c r="Y1910" s="4"/>
      <c r="Z1910"/>
      <c r="AA1910"/>
    </row>
    <row r="1911" spans="1:27" x14ac:dyDescent="0.15">
      <c r="A1911" s="165"/>
      <c r="B1911" s="93"/>
      <c r="C1911" s="102"/>
      <c r="D1911" s="62"/>
      <c r="E1911" s="102"/>
      <c r="F1911" s="102"/>
      <c r="G1911" s="102"/>
      <c r="H1911" s="85"/>
      <c r="I1911" s="104"/>
      <c r="J1911" s="144"/>
      <c r="K1911" s="62"/>
    </row>
    <row r="1912" spans="1:27" x14ac:dyDescent="0.15">
      <c r="A1912" s="165"/>
      <c r="B1912" s="93"/>
      <c r="C1912" s="102"/>
      <c r="D1912" s="62"/>
      <c r="E1912" s="102"/>
      <c r="F1912" s="102"/>
      <c r="G1912" s="102"/>
      <c r="H1912" s="85"/>
      <c r="I1912" s="104"/>
      <c r="J1912" s="144"/>
      <c r="K1912" s="62"/>
    </row>
    <row r="1913" spans="1:27" x14ac:dyDescent="0.15">
      <c r="A1913" s="165"/>
      <c r="B1913" s="93"/>
      <c r="C1913" s="102"/>
      <c r="D1913" s="62"/>
      <c r="E1913" s="102"/>
      <c r="F1913" s="102"/>
      <c r="G1913" s="102"/>
      <c r="H1913" s="85"/>
      <c r="I1913" s="104"/>
      <c r="J1913" s="144"/>
      <c r="K1913" s="62"/>
    </row>
    <row r="1914" spans="1:27" x14ac:dyDescent="0.15">
      <c r="A1914" s="165"/>
      <c r="B1914" s="93"/>
      <c r="C1914" s="102"/>
      <c r="D1914" s="62"/>
      <c r="E1914" s="102"/>
      <c r="F1914" s="102"/>
      <c r="G1914" s="102"/>
      <c r="H1914" s="85"/>
      <c r="I1914" s="104"/>
      <c r="J1914" s="144"/>
      <c r="K1914" s="62"/>
    </row>
    <row r="1915" spans="1:27" s="15" customFormat="1" x14ac:dyDescent="0.15">
      <c r="A1915" s="165"/>
      <c r="B1915" s="93"/>
      <c r="C1915" s="102"/>
      <c r="D1915" s="62"/>
      <c r="E1915" s="102"/>
      <c r="F1915" s="102"/>
      <c r="G1915" s="102"/>
      <c r="H1915" s="85"/>
      <c r="I1915" s="104"/>
      <c r="J1915" s="144"/>
      <c r="K1915" s="62"/>
      <c r="L1915" s="49"/>
      <c r="M1915" s="37"/>
      <c r="N1915" s="37"/>
      <c r="O1915" s="37"/>
      <c r="P1915" s="3"/>
      <c r="Q1915" s="3"/>
      <c r="R1915" s="3"/>
      <c r="S1915" s="3"/>
      <c r="T1915" s="3"/>
      <c r="U1915" s="3"/>
      <c r="V1915" s="3"/>
      <c r="W1915" s="3"/>
      <c r="X1915" s="3"/>
      <c r="Y1915" s="4"/>
      <c r="Z1915"/>
      <c r="AA1915"/>
    </row>
    <row r="1916" spans="1:27" x14ac:dyDescent="0.15">
      <c r="A1916" s="165"/>
      <c r="B1916" s="93"/>
      <c r="C1916" s="102"/>
      <c r="D1916" s="62"/>
      <c r="E1916" s="102"/>
      <c r="F1916" s="102"/>
      <c r="G1916" s="102"/>
      <c r="H1916" s="85"/>
      <c r="I1916" s="104"/>
      <c r="J1916" s="144"/>
      <c r="K1916" s="62"/>
    </row>
    <row r="1917" spans="1:27" x14ac:dyDescent="0.15">
      <c r="A1917" s="165"/>
      <c r="B1917" s="93"/>
      <c r="C1917" s="102"/>
      <c r="D1917" s="62"/>
      <c r="E1917" s="100"/>
      <c r="F1917" s="102"/>
      <c r="G1917" s="102"/>
      <c r="H1917" s="85"/>
      <c r="I1917" s="104"/>
      <c r="J1917" s="144"/>
      <c r="K1917" s="62"/>
    </row>
    <row r="1918" spans="1:27" x14ac:dyDescent="0.15">
      <c r="A1918" s="165"/>
      <c r="B1918" s="93"/>
      <c r="C1918" s="102"/>
      <c r="D1918" s="62"/>
      <c r="E1918" s="102"/>
      <c r="F1918" s="102"/>
      <c r="G1918" s="102"/>
      <c r="H1918" s="85"/>
      <c r="I1918" s="104"/>
      <c r="J1918" s="144"/>
      <c r="K1918" s="62"/>
    </row>
    <row r="1919" spans="1:27" s="49" customFormat="1" x14ac:dyDescent="0.15">
      <c r="A1919" s="165"/>
      <c r="B1919" s="93"/>
      <c r="C1919" s="102"/>
      <c r="D1919" s="62"/>
      <c r="E1919" s="102"/>
      <c r="F1919" s="102"/>
      <c r="G1919" s="102"/>
      <c r="H1919" s="85"/>
      <c r="I1919" s="104"/>
      <c r="J1919" s="144"/>
      <c r="K1919" s="62"/>
      <c r="M1919" s="37"/>
      <c r="N1919" s="37"/>
      <c r="O1919" s="37"/>
      <c r="P1919" s="3"/>
      <c r="Q1919" s="3"/>
      <c r="R1919" s="3"/>
      <c r="S1919" s="3"/>
      <c r="T1919" s="3"/>
      <c r="U1919" s="3"/>
      <c r="V1919" s="3"/>
      <c r="W1919" s="3"/>
      <c r="X1919" s="3"/>
      <c r="Y1919" s="4"/>
      <c r="Z1919"/>
      <c r="AA1919"/>
    </row>
    <row r="1920" spans="1:27" s="49" customFormat="1" x14ac:dyDescent="0.15">
      <c r="A1920" s="165"/>
      <c r="B1920" s="93"/>
      <c r="C1920" s="102"/>
      <c r="D1920" s="62"/>
      <c r="E1920" s="102"/>
      <c r="F1920" s="102"/>
      <c r="G1920" s="102"/>
      <c r="H1920" s="85"/>
      <c r="I1920" s="104"/>
      <c r="J1920" s="144"/>
      <c r="K1920" s="62"/>
      <c r="M1920" s="37"/>
      <c r="N1920" s="37"/>
      <c r="O1920" s="37"/>
      <c r="P1920" s="3"/>
      <c r="Q1920" s="3"/>
      <c r="R1920" s="3"/>
      <c r="S1920" s="3"/>
      <c r="T1920" s="3"/>
      <c r="U1920" s="3"/>
      <c r="V1920" s="3"/>
      <c r="W1920" s="3"/>
      <c r="X1920" s="3"/>
      <c r="Y1920" s="4"/>
      <c r="Z1920"/>
      <c r="AA1920"/>
    </row>
    <row r="1921" spans="1:27" s="49" customFormat="1" x14ac:dyDescent="0.15">
      <c r="A1921" s="165"/>
      <c r="B1921" s="93"/>
      <c r="C1921" s="102"/>
      <c r="D1921" s="62"/>
      <c r="E1921" s="102"/>
      <c r="F1921" s="102"/>
      <c r="G1921" s="102"/>
      <c r="H1921" s="85"/>
      <c r="I1921" s="104"/>
      <c r="J1921" s="144"/>
      <c r="K1921" s="62"/>
      <c r="M1921" s="37"/>
      <c r="N1921" s="37"/>
      <c r="O1921" s="37"/>
      <c r="P1921" s="3"/>
      <c r="Q1921" s="3"/>
      <c r="R1921" s="3"/>
      <c r="S1921" s="3"/>
      <c r="T1921" s="3"/>
      <c r="U1921" s="3"/>
      <c r="V1921" s="3"/>
      <c r="W1921" s="3"/>
      <c r="X1921" s="3"/>
      <c r="Y1921" s="4"/>
      <c r="Z1921"/>
      <c r="AA1921"/>
    </row>
    <row r="1922" spans="1:27" s="49" customFormat="1" x14ac:dyDescent="0.15">
      <c r="A1922" s="165"/>
      <c r="B1922" s="93"/>
      <c r="C1922" s="102"/>
      <c r="D1922" s="62"/>
      <c r="E1922" s="102"/>
      <c r="F1922" s="102"/>
      <c r="G1922" s="102"/>
      <c r="H1922" s="85"/>
      <c r="I1922" s="104"/>
      <c r="J1922" s="144"/>
      <c r="K1922" s="62"/>
      <c r="M1922" s="37"/>
      <c r="N1922" s="37"/>
      <c r="O1922" s="37"/>
      <c r="P1922" s="3"/>
      <c r="Q1922" s="3"/>
      <c r="R1922" s="3"/>
      <c r="S1922" s="3"/>
      <c r="T1922" s="3"/>
      <c r="U1922" s="3"/>
      <c r="V1922" s="3"/>
      <c r="W1922" s="3"/>
      <c r="X1922" s="3"/>
      <c r="Y1922" s="4"/>
      <c r="Z1922"/>
      <c r="AA1922"/>
    </row>
    <row r="1923" spans="1:27" s="49" customFormat="1" x14ac:dyDescent="0.15">
      <c r="A1923" s="165"/>
      <c r="B1923" s="93"/>
      <c r="C1923" s="102"/>
      <c r="D1923" s="62"/>
      <c r="E1923" s="102"/>
      <c r="F1923" s="102"/>
      <c r="G1923" s="102"/>
      <c r="H1923" s="85"/>
      <c r="I1923" s="104"/>
      <c r="J1923" s="144"/>
      <c r="K1923" s="62"/>
      <c r="M1923" s="37"/>
      <c r="N1923" s="37"/>
      <c r="O1923" s="37"/>
      <c r="P1923" s="3"/>
      <c r="Q1923" s="3"/>
      <c r="R1923" s="3"/>
      <c r="S1923" s="3"/>
      <c r="T1923" s="3"/>
      <c r="U1923" s="3"/>
      <c r="V1923" s="3"/>
      <c r="W1923" s="3"/>
      <c r="X1923" s="3"/>
      <c r="Y1923" s="4"/>
      <c r="Z1923"/>
      <c r="AA1923"/>
    </row>
    <row r="1924" spans="1:27" s="49" customFormat="1" x14ac:dyDescent="0.15">
      <c r="A1924" s="165"/>
      <c r="B1924" s="93"/>
      <c r="C1924" s="102"/>
      <c r="D1924" s="62"/>
      <c r="E1924" s="102"/>
      <c r="F1924" s="102"/>
      <c r="G1924" s="102"/>
      <c r="H1924" s="85"/>
      <c r="I1924" s="104"/>
      <c r="J1924" s="144"/>
      <c r="K1924" s="62"/>
      <c r="M1924" s="37"/>
      <c r="N1924" s="37"/>
      <c r="O1924" s="37"/>
      <c r="P1924" s="3"/>
      <c r="Q1924" s="3"/>
      <c r="R1924" s="3"/>
      <c r="S1924" s="3"/>
      <c r="T1924" s="3"/>
      <c r="U1924" s="3"/>
      <c r="V1924" s="3"/>
      <c r="W1924" s="3"/>
      <c r="X1924" s="3"/>
      <c r="Y1924" s="4"/>
      <c r="Z1924"/>
      <c r="AA1924"/>
    </row>
    <row r="1925" spans="1:27" s="49" customFormat="1" x14ac:dyDescent="0.15">
      <c r="A1925" s="165"/>
      <c r="B1925" s="93"/>
      <c r="C1925" s="102"/>
      <c r="D1925" s="62"/>
      <c r="E1925" s="100"/>
      <c r="F1925" s="102"/>
      <c r="G1925" s="102"/>
      <c r="H1925" s="85"/>
      <c r="I1925" s="104"/>
      <c r="J1925" s="144"/>
      <c r="K1925" s="62"/>
      <c r="M1925" s="37"/>
      <c r="N1925" s="37"/>
      <c r="O1925" s="37"/>
      <c r="P1925" s="3"/>
      <c r="Q1925" s="3"/>
      <c r="R1925" s="3"/>
      <c r="S1925" s="3"/>
      <c r="T1925" s="3"/>
      <c r="U1925" s="3"/>
      <c r="V1925" s="3"/>
      <c r="W1925" s="3"/>
      <c r="X1925" s="3"/>
      <c r="Y1925" s="4"/>
      <c r="Z1925"/>
      <c r="AA1925"/>
    </row>
    <row r="1926" spans="1:27" s="49" customFormat="1" x14ac:dyDescent="0.15">
      <c r="A1926" s="165"/>
      <c r="B1926" s="93"/>
      <c r="C1926" s="102"/>
      <c r="D1926" s="62"/>
      <c r="E1926" s="102"/>
      <c r="F1926" s="102"/>
      <c r="G1926" s="102"/>
      <c r="H1926" s="85"/>
      <c r="I1926" s="104"/>
      <c r="J1926" s="144"/>
      <c r="K1926" s="62"/>
      <c r="M1926" s="37"/>
      <c r="N1926" s="37"/>
      <c r="O1926" s="37"/>
      <c r="P1926" s="3"/>
      <c r="Q1926" s="3"/>
      <c r="R1926" s="3"/>
      <c r="S1926" s="3"/>
      <c r="T1926" s="3"/>
      <c r="U1926" s="3"/>
      <c r="V1926" s="3"/>
      <c r="W1926" s="3"/>
      <c r="X1926" s="3"/>
      <c r="Y1926" s="4"/>
      <c r="Z1926"/>
      <c r="AA1926"/>
    </row>
    <row r="1927" spans="1:27" s="49" customFormat="1" x14ac:dyDescent="0.15">
      <c r="A1927" s="165"/>
      <c r="B1927" s="93"/>
      <c r="C1927" s="102"/>
      <c r="D1927" s="62"/>
      <c r="E1927" s="102"/>
      <c r="F1927" s="102"/>
      <c r="G1927" s="102"/>
      <c r="H1927" s="85"/>
      <c r="I1927" s="104"/>
      <c r="J1927" s="144"/>
      <c r="K1927" s="62"/>
      <c r="M1927" s="37"/>
      <c r="N1927" s="37"/>
      <c r="O1927" s="37"/>
      <c r="P1927" s="3"/>
      <c r="Q1927" s="3"/>
      <c r="R1927" s="3"/>
      <c r="S1927" s="3"/>
      <c r="T1927" s="3"/>
      <c r="U1927" s="3"/>
      <c r="V1927" s="3"/>
      <c r="W1927" s="3"/>
      <c r="X1927" s="3"/>
      <c r="Y1927" s="4"/>
      <c r="Z1927"/>
      <c r="AA1927"/>
    </row>
    <row r="1928" spans="1:27" s="49" customFormat="1" x14ac:dyDescent="0.15">
      <c r="A1928" s="165"/>
      <c r="B1928" s="93"/>
      <c r="C1928" s="102"/>
      <c r="D1928" s="62"/>
      <c r="E1928" s="102"/>
      <c r="F1928" s="102"/>
      <c r="G1928" s="102"/>
      <c r="H1928" s="85"/>
      <c r="I1928" s="104"/>
      <c r="J1928" s="144"/>
      <c r="K1928" s="62"/>
      <c r="M1928" s="37"/>
      <c r="N1928" s="37"/>
      <c r="O1928" s="37"/>
      <c r="P1928" s="3"/>
      <c r="Q1928" s="3"/>
      <c r="R1928" s="3"/>
      <c r="S1928" s="3"/>
      <c r="T1928" s="3"/>
      <c r="U1928" s="3"/>
      <c r="V1928" s="3"/>
      <c r="W1928" s="3"/>
      <c r="X1928" s="3"/>
      <c r="Y1928" s="4"/>
      <c r="Z1928"/>
      <c r="AA1928"/>
    </row>
    <row r="1929" spans="1:27" s="49" customFormat="1" x14ac:dyDescent="0.15">
      <c r="A1929" s="165"/>
      <c r="B1929" s="93"/>
      <c r="C1929" s="102"/>
      <c r="D1929" s="62"/>
      <c r="E1929" s="102"/>
      <c r="F1929" s="102"/>
      <c r="G1929" s="102"/>
      <c r="H1929" s="85"/>
      <c r="I1929" s="104"/>
      <c r="J1929" s="144"/>
      <c r="K1929" s="62"/>
      <c r="M1929" s="37"/>
      <c r="N1929" s="37"/>
      <c r="O1929" s="37"/>
      <c r="P1929" s="3"/>
      <c r="Q1929" s="3"/>
      <c r="R1929" s="3"/>
      <c r="S1929" s="3"/>
      <c r="T1929" s="3"/>
      <c r="U1929" s="3"/>
      <c r="V1929" s="3"/>
      <c r="W1929" s="3"/>
      <c r="X1929" s="3"/>
      <c r="Y1929" s="4"/>
      <c r="Z1929"/>
      <c r="AA1929"/>
    </row>
    <row r="1930" spans="1:27" s="49" customFormat="1" x14ac:dyDescent="0.15">
      <c r="A1930" s="165"/>
      <c r="B1930" s="93"/>
      <c r="C1930" s="102"/>
      <c r="D1930" s="62"/>
      <c r="E1930" s="102"/>
      <c r="F1930" s="102"/>
      <c r="G1930" s="102"/>
      <c r="H1930" s="85"/>
      <c r="I1930" s="104"/>
      <c r="J1930" s="144"/>
      <c r="K1930" s="62"/>
      <c r="M1930" s="37"/>
      <c r="N1930" s="37"/>
      <c r="O1930" s="37"/>
      <c r="P1930" s="3"/>
      <c r="Q1930" s="3"/>
      <c r="R1930" s="3"/>
      <c r="S1930" s="3"/>
      <c r="T1930" s="3"/>
      <c r="U1930" s="3"/>
      <c r="V1930" s="3"/>
      <c r="W1930" s="3"/>
      <c r="X1930" s="3"/>
      <c r="Y1930" s="4"/>
      <c r="Z1930"/>
      <c r="AA1930"/>
    </row>
    <row r="1931" spans="1:27" s="49" customFormat="1" x14ac:dyDescent="0.15">
      <c r="A1931" s="165"/>
      <c r="B1931" s="93"/>
      <c r="C1931" s="102"/>
      <c r="D1931" s="62"/>
      <c r="E1931" s="102"/>
      <c r="F1931" s="102"/>
      <c r="G1931" s="102"/>
      <c r="H1931" s="98"/>
      <c r="I1931" s="98"/>
      <c r="J1931" s="135"/>
      <c r="K1931" s="62"/>
      <c r="M1931" s="37"/>
      <c r="N1931" s="37"/>
      <c r="O1931" s="37"/>
      <c r="P1931" s="3"/>
      <c r="Q1931" s="3"/>
      <c r="R1931" s="3"/>
      <c r="S1931" s="3"/>
      <c r="T1931" s="3"/>
      <c r="U1931" s="3"/>
      <c r="V1931" s="3"/>
      <c r="W1931" s="3"/>
      <c r="X1931" s="3"/>
      <c r="Y1931" s="4"/>
      <c r="Z1931"/>
      <c r="AA1931"/>
    </row>
    <row r="1932" spans="1:27" s="49" customFormat="1" x14ac:dyDescent="0.15">
      <c r="A1932" s="165"/>
      <c r="B1932" s="93"/>
      <c r="C1932" s="102"/>
      <c r="D1932" s="62"/>
      <c r="E1932" s="102"/>
      <c r="F1932" s="102"/>
      <c r="G1932" s="102"/>
      <c r="H1932" s="98"/>
      <c r="I1932" s="98"/>
      <c r="J1932" s="135"/>
      <c r="K1932" s="62"/>
      <c r="M1932" s="37"/>
      <c r="N1932" s="37"/>
      <c r="O1932" s="37"/>
      <c r="P1932" s="3"/>
      <c r="Q1932" s="3"/>
      <c r="R1932" s="3"/>
      <c r="S1932" s="3"/>
      <c r="T1932" s="3"/>
      <c r="U1932" s="3"/>
      <c r="V1932" s="3"/>
      <c r="W1932" s="3"/>
      <c r="X1932" s="3"/>
      <c r="Y1932" s="4"/>
      <c r="Z1932"/>
      <c r="AA1932"/>
    </row>
    <row r="1933" spans="1:27" s="49" customFormat="1" x14ac:dyDescent="0.15">
      <c r="A1933" s="165"/>
      <c r="B1933" s="93"/>
      <c r="C1933" s="102"/>
      <c r="D1933" s="62"/>
      <c r="E1933" s="102"/>
      <c r="F1933" s="102"/>
      <c r="G1933" s="102"/>
      <c r="H1933" s="98"/>
      <c r="I1933" s="98"/>
      <c r="J1933" s="135"/>
      <c r="K1933" s="62"/>
      <c r="M1933" s="37"/>
      <c r="N1933" s="37"/>
      <c r="O1933" s="37"/>
      <c r="P1933" s="3"/>
      <c r="Q1933" s="3"/>
      <c r="R1933" s="3"/>
      <c r="S1933" s="3"/>
      <c r="T1933" s="3"/>
      <c r="U1933" s="3"/>
      <c r="V1933" s="3"/>
      <c r="W1933" s="3"/>
      <c r="X1933" s="3"/>
      <c r="Y1933" s="4"/>
      <c r="Z1933"/>
      <c r="AA1933"/>
    </row>
    <row r="1934" spans="1:27" s="49" customFormat="1" x14ac:dyDescent="0.15">
      <c r="A1934" s="165"/>
      <c r="B1934" s="93"/>
      <c r="C1934" s="102"/>
      <c r="D1934" s="62"/>
      <c r="E1934" s="102"/>
      <c r="F1934" s="102"/>
      <c r="G1934" s="102"/>
      <c r="H1934" s="98"/>
      <c r="I1934" s="98"/>
      <c r="J1934" s="135"/>
      <c r="K1934" s="62"/>
      <c r="M1934" s="37"/>
      <c r="N1934" s="37"/>
      <c r="O1934" s="37"/>
      <c r="P1934" s="3"/>
      <c r="Q1934" s="3"/>
      <c r="R1934" s="3"/>
      <c r="S1934" s="3"/>
      <c r="T1934" s="3"/>
      <c r="U1934" s="3"/>
      <c r="V1934" s="3"/>
      <c r="W1934" s="3"/>
      <c r="X1934" s="3"/>
      <c r="Y1934" s="4"/>
      <c r="Z1934"/>
      <c r="AA1934"/>
    </row>
    <row r="1935" spans="1:27" s="37" customFormat="1" x14ac:dyDescent="0.15">
      <c r="A1935" s="165"/>
      <c r="B1935" s="93"/>
      <c r="C1935" s="102"/>
      <c r="D1935" s="62"/>
      <c r="E1935" s="102"/>
      <c r="F1935" s="102"/>
      <c r="G1935" s="102"/>
      <c r="H1935" s="85"/>
      <c r="I1935" s="104"/>
      <c r="J1935" s="144"/>
      <c r="K1935" s="62"/>
      <c r="L1935" s="49"/>
      <c r="P1935" s="3"/>
      <c r="Q1935" s="3"/>
      <c r="R1935" s="3"/>
      <c r="S1935" s="3"/>
      <c r="T1935" s="3"/>
      <c r="U1935" s="3"/>
      <c r="V1935" s="3"/>
      <c r="W1935" s="3"/>
      <c r="X1935" s="3"/>
      <c r="Y1935" s="4"/>
      <c r="Z1935"/>
      <c r="AA1935"/>
    </row>
    <row r="1936" spans="1:27" s="37" customFormat="1" x14ac:dyDescent="0.15">
      <c r="A1936" s="165"/>
      <c r="B1936" s="82"/>
      <c r="C1936" s="107"/>
      <c r="D1936" s="62"/>
      <c r="E1936" s="107"/>
      <c r="F1936" s="107"/>
      <c r="G1936" s="107"/>
      <c r="H1936" s="85"/>
      <c r="I1936" s="104"/>
      <c r="J1936" s="144"/>
      <c r="K1936" s="62"/>
      <c r="L1936" s="49"/>
      <c r="P1936" s="3"/>
      <c r="Q1936" s="3"/>
      <c r="R1936" s="3"/>
      <c r="S1936" s="3"/>
      <c r="T1936" s="3"/>
      <c r="U1936" s="3"/>
      <c r="V1936" s="3"/>
      <c r="W1936" s="3"/>
      <c r="X1936" s="3"/>
      <c r="Y1936" s="4"/>
      <c r="Z1936"/>
      <c r="AA1936"/>
    </row>
    <row r="1937" spans="1:27" s="37" customFormat="1" x14ac:dyDescent="0.15">
      <c r="A1937" s="165"/>
      <c r="B1937" s="93"/>
      <c r="C1937" s="100"/>
      <c r="D1937" s="61"/>
      <c r="E1937" s="102"/>
      <c r="F1937" s="100"/>
      <c r="G1937" s="100"/>
      <c r="H1937" s="103"/>
      <c r="I1937" s="103"/>
      <c r="J1937" s="135"/>
      <c r="K1937" s="62"/>
      <c r="L1937" s="50"/>
      <c r="M1937" s="51"/>
      <c r="N1937" s="35"/>
      <c r="P1937" s="3"/>
      <c r="Q1937" s="3"/>
      <c r="R1937" s="3"/>
      <c r="S1937" s="3"/>
      <c r="T1937" s="3"/>
      <c r="U1937" s="3"/>
      <c r="V1937" s="3"/>
      <c r="W1937" s="3"/>
      <c r="X1937" s="3"/>
      <c r="Y1937" s="4"/>
      <c r="Z1937"/>
      <c r="AA1937"/>
    </row>
    <row r="1938" spans="1:27" s="37" customFormat="1" x14ac:dyDescent="0.15">
      <c r="A1938" s="165"/>
      <c r="B1938" s="93"/>
      <c r="C1938" s="102"/>
      <c r="D1938" s="62"/>
      <c r="E1938" s="102"/>
      <c r="F1938" s="102"/>
      <c r="G1938" s="102"/>
      <c r="H1938" s="85"/>
      <c r="I1938" s="104"/>
      <c r="J1938" s="144"/>
      <c r="K1938" s="62"/>
      <c r="L1938" s="50"/>
      <c r="M1938" s="51"/>
      <c r="P1938" s="3"/>
      <c r="Q1938" s="3"/>
      <c r="R1938" s="3"/>
      <c r="S1938" s="3"/>
      <c r="T1938" s="3"/>
      <c r="U1938" s="3"/>
      <c r="V1938" s="3"/>
      <c r="W1938" s="3"/>
      <c r="X1938" s="3"/>
      <c r="Y1938" s="4"/>
      <c r="Z1938"/>
      <c r="AA1938"/>
    </row>
    <row r="1939" spans="1:27" s="37" customFormat="1" x14ac:dyDescent="0.15">
      <c r="A1939" s="165"/>
      <c r="B1939" s="93"/>
      <c r="C1939" s="102"/>
      <c r="D1939" s="62"/>
      <c r="E1939" s="102"/>
      <c r="F1939" s="102"/>
      <c r="G1939" s="102"/>
      <c r="H1939" s="85"/>
      <c r="I1939" s="103"/>
      <c r="J1939" s="135"/>
      <c r="K1939" s="62"/>
      <c r="L1939" s="50"/>
      <c r="M1939" s="35"/>
      <c r="N1939" s="35"/>
      <c r="P1939" s="3"/>
      <c r="Q1939" s="3"/>
      <c r="R1939" s="3"/>
      <c r="S1939" s="3"/>
      <c r="T1939" s="3"/>
      <c r="U1939" s="3"/>
      <c r="V1939" s="3"/>
      <c r="W1939" s="3"/>
      <c r="X1939" s="3"/>
      <c r="Y1939" s="4"/>
      <c r="Z1939"/>
      <c r="AA1939"/>
    </row>
    <row r="1940" spans="1:27" s="37" customFormat="1" x14ac:dyDescent="0.15">
      <c r="A1940" s="165"/>
      <c r="B1940" s="93"/>
      <c r="C1940" s="102"/>
      <c r="D1940" s="62"/>
      <c r="E1940" s="102"/>
      <c r="F1940" s="102"/>
      <c r="G1940" s="102"/>
      <c r="H1940" s="85"/>
      <c r="I1940" s="104"/>
      <c r="J1940" s="144"/>
      <c r="K1940" s="62"/>
      <c r="L1940" s="50"/>
      <c r="M1940" s="35"/>
      <c r="P1940" s="3"/>
      <c r="Q1940" s="3"/>
      <c r="R1940" s="3"/>
      <c r="S1940" s="3"/>
      <c r="T1940" s="3"/>
      <c r="U1940" s="3"/>
      <c r="V1940" s="3"/>
      <c r="W1940" s="3"/>
      <c r="X1940" s="3"/>
      <c r="Y1940" s="4"/>
      <c r="Z1940"/>
      <c r="AA1940"/>
    </row>
    <row r="1941" spans="1:27" s="37" customFormat="1" x14ac:dyDescent="0.15">
      <c r="A1941" s="165"/>
      <c r="B1941" s="93"/>
      <c r="C1941" s="102"/>
      <c r="D1941" s="62"/>
      <c r="E1941" s="102"/>
      <c r="F1941" s="102"/>
      <c r="G1941" s="102"/>
      <c r="H1941" s="85"/>
      <c r="I1941" s="104"/>
      <c r="J1941" s="144"/>
      <c r="K1941" s="62"/>
      <c r="L1941" s="50"/>
      <c r="M1941" s="35"/>
      <c r="P1941" s="3"/>
      <c r="Q1941" s="3"/>
      <c r="R1941" s="3"/>
      <c r="S1941" s="3"/>
      <c r="T1941" s="3"/>
      <c r="U1941" s="3"/>
      <c r="V1941" s="3"/>
      <c r="W1941" s="3"/>
      <c r="X1941" s="3"/>
      <c r="Y1941" s="4"/>
      <c r="Z1941"/>
      <c r="AA1941"/>
    </row>
    <row r="1942" spans="1:27" s="37" customFormat="1" x14ac:dyDescent="0.15">
      <c r="A1942" s="165"/>
      <c r="B1942" s="93"/>
      <c r="C1942" s="102"/>
      <c r="D1942" s="62"/>
      <c r="E1942" s="102"/>
      <c r="F1942" s="102"/>
      <c r="G1942" s="102"/>
      <c r="H1942" s="85"/>
      <c r="I1942" s="104"/>
      <c r="J1942" s="144"/>
      <c r="K1942" s="62"/>
      <c r="L1942" s="50"/>
      <c r="M1942" s="35"/>
      <c r="N1942" s="35"/>
      <c r="P1942" s="3"/>
      <c r="Q1942" s="3"/>
      <c r="R1942" s="3"/>
      <c r="S1942" s="3"/>
      <c r="T1942" s="3"/>
      <c r="U1942" s="3"/>
      <c r="V1942" s="3"/>
      <c r="W1942" s="3"/>
      <c r="X1942" s="3"/>
      <c r="Y1942" s="4"/>
      <c r="Z1942"/>
      <c r="AA1942"/>
    </row>
    <row r="1943" spans="1:27" s="37" customFormat="1" x14ac:dyDescent="0.15">
      <c r="A1943" s="165"/>
      <c r="B1943" s="93"/>
      <c r="C1943" s="102"/>
      <c r="D1943" s="62"/>
      <c r="E1943" s="102"/>
      <c r="F1943" s="102"/>
      <c r="G1943" s="102"/>
      <c r="H1943" s="85"/>
      <c r="I1943" s="104"/>
      <c r="J1943" s="144"/>
      <c r="K1943" s="62"/>
      <c r="L1943" s="50"/>
      <c r="M1943" s="35"/>
      <c r="N1943" s="35"/>
      <c r="P1943" s="3"/>
      <c r="Q1943" s="3"/>
      <c r="R1943" s="3"/>
      <c r="S1943" s="3"/>
      <c r="T1943" s="3"/>
      <c r="U1943" s="3"/>
      <c r="V1943" s="3"/>
      <c r="W1943" s="3"/>
      <c r="X1943" s="3"/>
      <c r="Y1943" s="4"/>
      <c r="Z1943"/>
      <c r="AA1943"/>
    </row>
    <row r="1944" spans="1:27" s="37" customFormat="1" x14ac:dyDescent="0.15">
      <c r="A1944" s="165"/>
      <c r="B1944" s="93"/>
      <c r="C1944" s="102"/>
      <c r="D1944" s="62"/>
      <c r="E1944" s="100"/>
      <c r="F1944" s="102"/>
      <c r="G1944" s="102"/>
      <c r="H1944" s="85"/>
      <c r="I1944" s="104"/>
      <c r="J1944" s="144"/>
      <c r="K1944" s="62"/>
      <c r="L1944" s="50"/>
      <c r="M1944" s="35"/>
      <c r="N1944" s="51"/>
      <c r="P1944" s="3"/>
      <c r="Q1944" s="3"/>
      <c r="R1944" s="3"/>
      <c r="S1944" s="3"/>
      <c r="T1944" s="3"/>
      <c r="U1944" s="3"/>
      <c r="V1944" s="3"/>
      <c r="W1944" s="3"/>
      <c r="X1944" s="3"/>
      <c r="Y1944" s="4"/>
      <c r="Z1944"/>
      <c r="AA1944"/>
    </row>
    <row r="1945" spans="1:27" s="37" customFormat="1" x14ac:dyDescent="0.15">
      <c r="A1945" s="165"/>
      <c r="B1945" s="93"/>
      <c r="C1945" s="102"/>
      <c r="D1945" s="62"/>
      <c r="E1945" s="102"/>
      <c r="F1945" s="102"/>
      <c r="G1945" s="102"/>
      <c r="H1945" s="85"/>
      <c r="I1945" s="98"/>
      <c r="J1945" s="135"/>
      <c r="K1945" s="62"/>
      <c r="L1945" s="50"/>
      <c r="M1945" s="35"/>
      <c r="P1945" s="3"/>
      <c r="Q1945" s="3"/>
      <c r="R1945" s="3"/>
      <c r="S1945" s="3"/>
      <c r="T1945" s="3"/>
      <c r="U1945" s="3"/>
      <c r="V1945" s="3"/>
      <c r="W1945" s="3"/>
      <c r="X1945" s="3"/>
      <c r="Y1945" s="4"/>
      <c r="Z1945"/>
      <c r="AA1945"/>
    </row>
    <row r="1946" spans="1:27" s="37" customFormat="1" x14ac:dyDescent="0.15">
      <c r="A1946" s="165"/>
      <c r="B1946" s="93"/>
      <c r="C1946" s="102"/>
      <c r="D1946" s="62"/>
      <c r="E1946" s="102"/>
      <c r="F1946" s="102"/>
      <c r="G1946" s="102"/>
      <c r="H1946" s="85"/>
      <c r="I1946" s="104"/>
      <c r="J1946" s="144"/>
      <c r="K1946" s="62"/>
      <c r="L1946" s="50"/>
      <c r="N1946" s="51"/>
      <c r="P1946" s="3"/>
      <c r="Q1946" s="3"/>
      <c r="R1946" s="3"/>
      <c r="S1946" s="3"/>
      <c r="T1946" s="3"/>
      <c r="U1946" s="3"/>
      <c r="V1946" s="3"/>
      <c r="W1946" s="3"/>
      <c r="X1946" s="3"/>
      <c r="Y1946" s="4"/>
      <c r="Z1946"/>
      <c r="AA1946"/>
    </row>
    <row r="1947" spans="1:27" s="37" customFormat="1" x14ac:dyDescent="0.15">
      <c r="A1947" s="165"/>
      <c r="B1947" s="93"/>
      <c r="C1947" s="102"/>
      <c r="D1947" s="62"/>
      <c r="E1947" s="102"/>
      <c r="F1947" s="102"/>
      <c r="G1947" s="102"/>
      <c r="H1947" s="103"/>
      <c r="I1947" s="98"/>
      <c r="J1947" s="135"/>
      <c r="K1947" s="62"/>
      <c r="L1947" s="50"/>
      <c r="P1947" s="3"/>
      <c r="Q1947" s="3"/>
      <c r="R1947" s="3"/>
      <c r="S1947" s="3"/>
      <c r="T1947" s="3"/>
      <c r="U1947" s="3"/>
      <c r="V1947" s="3"/>
      <c r="W1947" s="3"/>
      <c r="X1947" s="3"/>
      <c r="Y1947" s="4"/>
      <c r="Z1947"/>
      <c r="AA1947"/>
    </row>
    <row r="1948" spans="1:27" s="37" customFormat="1" x14ac:dyDescent="0.15">
      <c r="A1948" s="165"/>
      <c r="B1948" s="93"/>
      <c r="C1948" s="102"/>
      <c r="D1948" s="62"/>
      <c r="E1948" s="102"/>
      <c r="F1948" s="102"/>
      <c r="G1948" s="102"/>
      <c r="H1948" s="85"/>
      <c r="I1948" s="104"/>
      <c r="J1948" s="144"/>
      <c r="K1948" s="62"/>
      <c r="L1948" s="50"/>
      <c r="N1948" s="35"/>
      <c r="P1948" s="3"/>
      <c r="Q1948" s="3"/>
      <c r="R1948" s="3"/>
      <c r="S1948" s="3"/>
      <c r="T1948" s="3"/>
      <c r="U1948" s="3"/>
      <c r="V1948" s="3"/>
      <c r="W1948" s="3"/>
      <c r="X1948" s="3"/>
      <c r="Y1948" s="4"/>
      <c r="Z1948"/>
      <c r="AA1948"/>
    </row>
    <row r="1949" spans="1:27" s="37" customFormat="1" x14ac:dyDescent="0.15">
      <c r="A1949" s="165"/>
      <c r="B1949" s="93"/>
      <c r="C1949" s="102"/>
      <c r="D1949" s="62"/>
      <c r="E1949" s="102"/>
      <c r="F1949" s="102"/>
      <c r="G1949" s="102"/>
      <c r="H1949" s="85"/>
      <c r="I1949" s="104"/>
      <c r="J1949" s="144"/>
      <c r="K1949" s="62"/>
      <c r="L1949" s="50"/>
      <c r="P1949" s="3"/>
      <c r="Q1949" s="3"/>
      <c r="R1949" s="3"/>
      <c r="S1949" s="3"/>
      <c r="T1949" s="3"/>
      <c r="U1949" s="3"/>
      <c r="V1949" s="3"/>
      <c r="W1949" s="3"/>
      <c r="X1949" s="3"/>
      <c r="Y1949" s="4"/>
      <c r="Z1949"/>
      <c r="AA1949"/>
    </row>
    <row r="1950" spans="1:27" s="37" customFormat="1" x14ac:dyDescent="0.15">
      <c r="A1950" s="165"/>
      <c r="B1950" s="93"/>
      <c r="C1950" s="102"/>
      <c r="D1950" s="62"/>
      <c r="E1950" s="102"/>
      <c r="F1950" s="102"/>
      <c r="G1950" s="102"/>
      <c r="H1950" s="103"/>
      <c r="I1950" s="98"/>
      <c r="J1950" s="135"/>
      <c r="K1950" s="62"/>
      <c r="L1950" s="35"/>
      <c r="P1950" s="3"/>
      <c r="Q1950" s="3"/>
      <c r="R1950" s="3"/>
      <c r="S1950" s="3"/>
      <c r="T1950" s="3"/>
      <c r="U1950" s="3"/>
      <c r="V1950" s="3"/>
      <c r="W1950" s="3"/>
      <c r="X1950" s="3"/>
      <c r="Y1950" s="4"/>
      <c r="Z1950"/>
      <c r="AA1950"/>
    </row>
    <row r="1951" spans="1:27" s="37" customFormat="1" x14ac:dyDescent="0.15">
      <c r="A1951" s="165"/>
      <c r="B1951" s="93"/>
      <c r="C1951" s="102"/>
      <c r="D1951" s="62"/>
      <c r="E1951" s="102"/>
      <c r="F1951" s="102"/>
      <c r="G1951" s="102"/>
      <c r="H1951" s="85"/>
      <c r="I1951" s="104"/>
      <c r="J1951" s="144"/>
      <c r="K1951" s="62"/>
      <c r="L1951" s="35"/>
      <c r="P1951" s="3"/>
      <c r="Q1951" s="3"/>
      <c r="R1951" s="3"/>
      <c r="S1951" s="3"/>
      <c r="T1951" s="3"/>
      <c r="U1951" s="3"/>
      <c r="V1951" s="3"/>
      <c r="W1951" s="3"/>
      <c r="X1951" s="3"/>
      <c r="Y1951" s="4"/>
      <c r="Z1951"/>
      <c r="AA1951"/>
    </row>
    <row r="1952" spans="1:27" s="37" customFormat="1" x14ac:dyDescent="0.15">
      <c r="A1952" s="165"/>
      <c r="B1952" s="93"/>
      <c r="C1952" s="102"/>
      <c r="D1952" s="62"/>
      <c r="E1952" s="102"/>
      <c r="F1952" s="102"/>
      <c r="G1952" s="102"/>
      <c r="H1952" s="85"/>
      <c r="I1952" s="104"/>
      <c r="J1952" s="144"/>
      <c r="K1952" s="62"/>
      <c r="L1952" s="35"/>
      <c r="N1952" s="35"/>
      <c r="P1952" s="3"/>
      <c r="Q1952" s="3"/>
      <c r="R1952" s="3"/>
      <c r="S1952" s="3"/>
      <c r="T1952" s="3"/>
      <c r="U1952" s="3"/>
      <c r="V1952" s="3"/>
      <c r="W1952" s="3"/>
      <c r="X1952" s="3"/>
      <c r="Y1952" s="4"/>
      <c r="Z1952"/>
      <c r="AA1952"/>
    </row>
    <row r="1953" spans="1:27" s="37" customFormat="1" x14ac:dyDescent="0.15">
      <c r="A1953" s="165"/>
      <c r="B1953" s="93"/>
      <c r="C1953" s="102"/>
      <c r="D1953" s="62"/>
      <c r="E1953" s="102"/>
      <c r="F1953" s="102"/>
      <c r="G1953" s="102"/>
      <c r="H1953" s="85"/>
      <c r="I1953" s="104"/>
      <c r="J1953" s="144"/>
      <c r="K1953" s="62"/>
      <c r="L1953" s="35"/>
      <c r="N1953" s="35"/>
      <c r="P1953" s="3"/>
      <c r="Q1953" s="3"/>
      <c r="R1953" s="3"/>
      <c r="S1953" s="3"/>
      <c r="T1953" s="3"/>
      <c r="U1953" s="3"/>
      <c r="V1953" s="3"/>
      <c r="W1953" s="3"/>
      <c r="X1953" s="3"/>
      <c r="Y1953" s="4"/>
      <c r="Z1953"/>
      <c r="AA1953"/>
    </row>
    <row r="1954" spans="1:27" s="37" customFormat="1" x14ac:dyDescent="0.15">
      <c r="A1954" s="165"/>
      <c r="B1954" s="93"/>
      <c r="C1954" s="102"/>
      <c r="D1954" s="62"/>
      <c r="E1954" s="102"/>
      <c r="F1954" s="102"/>
      <c r="G1954" s="102"/>
      <c r="H1954" s="103"/>
      <c r="I1954" s="98"/>
      <c r="J1954" s="135"/>
      <c r="K1954" s="62"/>
      <c r="L1954" s="50"/>
      <c r="M1954" s="51"/>
      <c r="N1954" s="51"/>
      <c r="P1954" s="3"/>
      <c r="Q1954" s="3"/>
      <c r="R1954" s="3"/>
      <c r="S1954" s="3"/>
      <c r="T1954" s="3"/>
      <c r="U1954" s="3"/>
      <c r="V1954" s="3"/>
      <c r="W1954" s="3"/>
      <c r="X1954" s="3"/>
      <c r="Y1954" s="4"/>
      <c r="Z1954"/>
      <c r="AA1954"/>
    </row>
    <row r="1955" spans="1:27" s="37" customFormat="1" x14ac:dyDescent="0.15">
      <c r="A1955" s="165"/>
      <c r="B1955" s="93"/>
      <c r="C1955" s="102"/>
      <c r="D1955" s="62"/>
      <c r="E1955" s="102"/>
      <c r="F1955" s="102"/>
      <c r="G1955" s="102"/>
      <c r="H1955" s="85"/>
      <c r="I1955" s="104"/>
      <c r="J1955" s="144"/>
      <c r="K1955" s="62"/>
      <c r="L1955" s="50"/>
      <c r="M1955" s="51"/>
      <c r="P1955" s="3"/>
      <c r="Q1955" s="3"/>
      <c r="R1955" s="3"/>
      <c r="S1955" s="3"/>
      <c r="T1955" s="3"/>
      <c r="U1955" s="3"/>
      <c r="V1955" s="3"/>
      <c r="W1955" s="3"/>
      <c r="X1955" s="3"/>
      <c r="Y1955" s="4"/>
      <c r="Z1955"/>
      <c r="AA1955"/>
    </row>
    <row r="1956" spans="1:27" s="37" customFormat="1" x14ac:dyDescent="0.15">
      <c r="A1956" s="165"/>
      <c r="B1956" s="93"/>
      <c r="C1956" s="102"/>
      <c r="D1956" s="62"/>
      <c r="E1956" s="102"/>
      <c r="F1956" s="102"/>
      <c r="G1956" s="102"/>
      <c r="H1956" s="103"/>
      <c r="I1956" s="98"/>
      <c r="J1956" s="135"/>
      <c r="K1956" s="62"/>
      <c r="L1956" s="49"/>
      <c r="P1956" s="3"/>
      <c r="Q1956" s="3"/>
      <c r="R1956" s="3"/>
      <c r="S1956" s="3"/>
      <c r="T1956" s="3"/>
      <c r="U1956" s="3"/>
      <c r="V1956" s="3"/>
      <c r="W1956" s="3"/>
      <c r="X1956" s="3"/>
      <c r="Y1956" s="4"/>
      <c r="Z1956"/>
      <c r="AA1956"/>
    </row>
    <row r="1957" spans="1:27" s="37" customFormat="1" x14ac:dyDescent="0.15">
      <c r="A1957" s="165"/>
      <c r="B1957" s="93"/>
      <c r="C1957" s="102"/>
      <c r="D1957" s="62"/>
      <c r="E1957" s="102"/>
      <c r="F1957" s="102"/>
      <c r="G1957" s="102"/>
      <c r="H1957" s="85"/>
      <c r="I1957" s="104"/>
      <c r="J1957" s="144"/>
      <c r="K1957" s="62"/>
      <c r="L1957" s="49"/>
      <c r="P1957" s="3"/>
      <c r="Q1957" s="3"/>
      <c r="R1957" s="3"/>
      <c r="S1957" s="3"/>
      <c r="T1957" s="3"/>
      <c r="U1957" s="3"/>
      <c r="V1957" s="3"/>
      <c r="W1957" s="3"/>
      <c r="X1957" s="3"/>
      <c r="Y1957" s="4"/>
      <c r="Z1957"/>
      <c r="AA1957"/>
    </row>
    <row r="1958" spans="1:27" s="37" customFormat="1" x14ac:dyDescent="0.15">
      <c r="A1958" s="165"/>
      <c r="B1958" s="93"/>
      <c r="C1958" s="102"/>
      <c r="D1958" s="62"/>
      <c r="E1958" s="102"/>
      <c r="F1958" s="102"/>
      <c r="G1958" s="102"/>
      <c r="H1958" s="85"/>
      <c r="I1958" s="104"/>
      <c r="J1958" s="144"/>
      <c r="K1958" s="62"/>
      <c r="L1958" s="49"/>
      <c r="P1958" s="3"/>
      <c r="Q1958" s="3"/>
      <c r="R1958" s="3"/>
      <c r="S1958" s="3"/>
      <c r="T1958" s="3"/>
      <c r="U1958" s="3"/>
      <c r="V1958" s="3"/>
      <c r="W1958" s="3"/>
      <c r="X1958" s="3"/>
      <c r="Y1958" s="4"/>
      <c r="Z1958"/>
      <c r="AA1958"/>
    </row>
    <row r="1959" spans="1:27" s="37" customFormat="1" x14ac:dyDescent="0.15">
      <c r="A1959" s="165"/>
      <c r="B1959" s="93"/>
      <c r="C1959" s="102"/>
      <c r="D1959" s="62"/>
      <c r="E1959" s="102"/>
      <c r="F1959" s="102"/>
      <c r="G1959" s="102"/>
      <c r="H1959" s="85"/>
      <c r="I1959" s="104"/>
      <c r="J1959" s="144"/>
      <c r="K1959" s="62"/>
      <c r="L1959" s="49"/>
      <c r="P1959" s="3"/>
      <c r="Q1959" s="3"/>
      <c r="R1959" s="3"/>
      <c r="S1959" s="3"/>
      <c r="T1959" s="3"/>
      <c r="U1959" s="3"/>
      <c r="V1959" s="3"/>
      <c r="W1959" s="3"/>
      <c r="X1959" s="3"/>
      <c r="Y1959" s="4"/>
      <c r="Z1959"/>
      <c r="AA1959"/>
    </row>
    <row r="1960" spans="1:27" s="37" customFormat="1" x14ac:dyDescent="0.15">
      <c r="A1960" s="165"/>
      <c r="B1960" s="93"/>
      <c r="C1960" s="102"/>
      <c r="D1960" s="62"/>
      <c r="E1960" s="102"/>
      <c r="F1960" s="102"/>
      <c r="G1960" s="102"/>
      <c r="H1960" s="85"/>
      <c r="I1960" s="104"/>
      <c r="J1960" s="144"/>
      <c r="K1960" s="62"/>
      <c r="L1960" s="49"/>
      <c r="P1960" s="3"/>
      <c r="Q1960" s="3"/>
      <c r="R1960" s="3"/>
      <c r="S1960" s="3"/>
      <c r="T1960" s="3"/>
      <c r="U1960" s="3"/>
      <c r="V1960" s="3"/>
      <c r="W1960" s="3"/>
      <c r="X1960" s="3"/>
      <c r="Y1960" s="4"/>
      <c r="Z1960"/>
      <c r="AA1960"/>
    </row>
    <row r="1961" spans="1:27" s="37" customFormat="1" x14ac:dyDescent="0.15">
      <c r="A1961" s="165"/>
      <c r="B1961" s="93"/>
      <c r="C1961" s="102"/>
      <c r="D1961" s="62"/>
      <c r="E1961" s="102"/>
      <c r="F1961" s="102"/>
      <c r="G1961" s="102"/>
      <c r="H1961" s="85"/>
      <c r="I1961" s="104"/>
      <c r="J1961" s="144"/>
      <c r="K1961" s="62"/>
      <c r="L1961" s="49"/>
      <c r="P1961" s="3"/>
      <c r="Q1961" s="3"/>
      <c r="R1961" s="3"/>
      <c r="S1961" s="3"/>
      <c r="T1961" s="3"/>
      <c r="U1961" s="3"/>
      <c r="V1961" s="3"/>
      <c r="W1961" s="3"/>
      <c r="X1961" s="3"/>
      <c r="Y1961" s="4"/>
      <c r="Z1961"/>
      <c r="AA1961"/>
    </row>
    <row r="1962" spans="1:27" s="37" customFormat="1" x14ac:dyDescent="0.15">
      <c r="A1962" s="165"/>
      <c r="B1962" s="93"/>
      <c r="C1962" s="102"/>
      <c r="D1962" s="62"/>
      <c r="E1962" s="102"/>
      <c r="F1962" s="102"/>
      <c r="G1962" s="102"/>
      <c r="H1962" s="85"/>
      <c r="I1962" s="104"/>
      <c r="J1962" s="144"/>
      <c r="K1962" s="62"/>
      <c r="L1962" s="49"/>
      <c r="P1962" s="3"/>
      <c r="Q1962" s="3"/>
      <c r="R1962" s="3"/>
      <c r="S1962" s="3"/>
      <c r="T1962" s="3"/>
      <c r="U1962" s="3"/>
      <c r="V1962" s="3"/>
      <c r="W1962" s="3"/>
      <c r="X1962" s="3"/>
      <c r="Y1962" s="4"/>
      <c r="Z1962"/>
      <c r="AA1962"/>
    </row>
    <row r="1963" spans="1:27" s="37" customFormat="1" x14ac:dyDescent="0.15">
      <c r="A1963" s="165"/>
      <c r="B1963" s="93"/>
      <c r="C1963" s="102"/>
      <c r="D1963" s="62"/>
      <c r="E1963" s="102"/>
      <c r="F1963" s="102"/>
      <c r="G1963" s="102"/>
      <c r="H1963" s="103"/>
      <c r="I1963" s="98"/>
      <c r="J1963" s="135"/>
      <c r="K1963" s="62"/>
      <c r="L1963" s="49"/>
      <c r="P1963" s="3"/>
      <c r="Q1963" s="3"/>
      <c r="R1963" s="3"/>
      <c r="S1963" s="3"/>
      <c r="T1963" s="3"/>
      <c r="U1963" s="3"/>
      <c r="V1963" s="3"/>
      <c r="W1963" s="3"/>
      <c r="X1963" s="3"/>
      <c r="Y1963" s="4"/>
      <c r="Z1963"/>
      <c r="AA1963"/>
    </row>
    <row r="1964" spans="1:27" s="37" customFormat="1" x14ac:dyDescent="0.15">
      <c r="A1964" s="165"/>
      <c r="B1964" s="93"/>
      <c r="C1964" s="102"/>
      <c r="D1964" s="62"/>
      <c r="E1964" s="102"/>
      <c r="F1964" s="102"/>
      <c r="G1964" s="102"/>
      <c r="H1964" s="85"/>
      <c r="I1964" s="104"/>
      <c r="J1964" s="144"/>
      <c r="K1964" s="62"/>
      <c r="L1964" s="49"/>
      <c r="P1964" s="3"/>
      <c r="Q1964" s="3"/>
      <c r="R1964" s="3"/>
      <c r="S1964" s="3"/>
      <c r="T1964" s="3"/>
      <c r="U1964" s="3"/>
      <c r="V1964" s="3"/>
      <c r="W1964" s="3"/>
      <c r="X1964" s="3"/>
      <c r="Y1964" s="4"/>
      <c r="Z1964"/>
      <c r="AA1964"/>
    </row>
    <row r="1965" spans="1:27" s="37" customFormat="1" x14ac:dyDescent="0.15">
      <c r="A1965" s="165"/>
      <c r="B1965" s="93"/>
      <c r="C1965" s="102"/>
      <c r="D1965" s="62"/>
      <c r="E1965" s="102"/>
      <c r="F1965" s="102"/>
      <c r="G1965" s="102"/>
      <c r="H1965" s="85"/>
      <c r="I1965" s="104"/>
      <c r="J1965" s="144"/>
      <c r="K1965" s="62"/>
      <c r="L1965" s="49"/>
      <c r="P1965" s="3"/>
      <c r="Q1965" s="3"/>
      <c r="R1965" s="3"/>
      <c r="S1965" s="3"/>
      <c r="T1965" s="3"/>
      <c r="U1965" s="3"/>
      <c r="V1965" s="3"/>
      <c r="W1965" s="3"/>
      <c r="X1965" s="3"/>
      <c r="Y1965" s="4"/>
      <c r="Z1965"/>
      <c r="AA1965"/>
    </row>
    <row r="1966" spans="1:27" s="37" customFormat="1" x14ac:dyDescent="0.15">
      <c r="A1966" s="165"/>
      <c r="B1966" s="93"/>
      <c r="C1966" s="102"/>
      <c r="D1966" s="62"/>
      <c r="E1966" s="102"/>
      <c r="F1966" s="102"/>
      <c r="G1966" s="102"/>
      <c r="H1966" s="103"/>
      <c r="I1966" s="98"/>
      <c r="J1966" s="135"/>
      <c r="K1966" s="62"/>
      <c r="L1966" s="49"/>
      <c r="P1966" s="3"/>
      <c r="Q1966" s="3"/>
      <c r="R1966" s="3"/>
      <c r="S1966" s="3"/>
      <c r="T1966" s="3"/>
      <c r="U1966" s="3"/>
      <c r="V1966" s="3"/>
      <c r="W1966" s="3"/>
      <c r="X1966" s="3"/>
      <c r="Y1966" s="4"/>
      <c r="Z1966"/>
      <c r="AA1966"/>
    </row>
    <row r="1967" spans="1:27" x14ac:dyDescent="0.15">
      <c r="A1967" s="165"/>
      <c r="B1967" s="93"/>
      <c r="C1967" s="102"/>
      <c r="D1967" s="62"/>
      <c r="E1967" s="102"/>
      <c r="F1967" s="102"/>
      <c r="G1967" s="102"/>
      <c r="H1967" s="85"/>
      <c r="I1967" s="104"/>
      <c r="J1967" s="144"/>
      <c r="K1967" s="62"/>
    </row>
    <row r="1968" spans="1:27" x14ac:dyDescent="0.15">
      <c r="A1968" s="165"/>
      <c r="B1968" s="93"/>
      <c r="C1968" s="102"/>
      <c r="D1968" s="62"/>
      <c r="E1968" s="102"/>
      <c r="F1968" s="102"/>
      <c r="G1968" s="102"/>
      <c r="H1968" s="85"/>
      <c r="I1968" s="104"/>
      <c r="J1968" s="144"/>
      <c r="K1968" s="62"/>
    </row>
    <row r="1969" spans="1:27" x14ac:dyDescent="0.15">
      <c r="A1969" s="165"/>
      <c r="B1969" s="93"/>
      <c r="C1969" s="102"/>
      <c r="D1969" s="62"/>
      <c r="E1969" s="102"/>
      <c r="F1969" s="102"/>
      <c r="G1969" s="102"/>
      <c r="H1969" s="85"/>
      <c r="I1969" s="104"/>
      <c r="J1969" s="144"/>
      <c r="K1969" s="62"/>
    </row>
    <row r="1970" spans="1:27" x14ac:dyDescent="0.15">
      <c r="A1970" s="165"/>
      <c r="B1970" s="93"/>
      <c r="C1970" s="102"/>
      <c r="D1970" s="62"/>
      <c r="E1970" s="102"/>
      <c r="F1970" s="102"/>
      <c r="G1970" s="102"/>
      <c r="H1970" s="85"/>
      <c r="I1970" s="104"/>
      <c r="J1970" s="144"/>
      <c r="K1970" s="62"/>
    </row>
    <row r="1971" spans="1:27" x14ac:dyDescent="0.15">
      <c r="A1971" s="165"/>
      <c r="B1971" s="93"/>
      <c r="C1971" s="102"/>
      <c r="D1971" s="62"/>
      <c r="E1971" s="102"/>
      <c r="F1971" s="102"/>
      <c r="G1971" s="102"/>
      <c r="H1971" s="85"/>
      <c r="I1971" s="104"/>
      <c r="J1971" s="144"/>
      <c r="K1971" s="62"/>
    </row>
    <row r="1972" spans="1:27" x14ac:dyDescent="0.15">
      <c r="A1972" s="165"/>
      <c r="B1972" s="93"/>
      <c r="C1972" s="102"/>
      <c r="D1972" s="62"/>
      <c r="E1972" s="102"/>
      <c r="F1972" s="102"/>
      <c r="G1972" s="102"/>
      <c r="H1972" s="85"/>
      <c r="I1972" s="104"/>
      <c r="J1972" s="144"/>
      <c r="K1972" s="62"/>
    </row>
    <row r="1973" spans="1:27" s="15" customFormat="1" x14ac:dyDescent="0.15">
      <c r="A1973" s="165"/>
      <c r="B1973" s="93"/>
      <c r="C1973" s="102"/>
      <c r="D1973" s="62"/>
      <c r="E1973" s="102"/>
      <c r="F1973" s="102"/>
      <c r="G1973" s="102"/>
      <c r="H1973" s="103"/>
      <c r="I1973" s="98"/>
      <c r="J1973" s="135"/>
      <c r="K1973" s="62"/>
      <c r="L1973" s="49"/>
      <c r="M1973" s="37"/>
      <c r="N1973" s="37"/>
      <c r="O1973" s="37"/>
      <c r="P1973" s="3"/>
      <c r="Q1973" s="3"/>
      <c r="R1973" s="3"/>
      <c r="S1973" s="3"/>
      <c r="T1973" s="3"/>
      <c r="U1973" s="3"/>
      <c r="V1973" s="3"/>
      <c r="W1973" s="3"/>
      <c r="X1973" s="3"/>
      <c r="Y1973" s="4"/>
      <c r="Z1973"/>
      <c r="AA1973"/>
    </row>
    <row r="1974" spans="1:27" x14ac:dyDescent="0.15">
      <c r="A1974" s="165"/>
      <c r="B1974" s="93"/>
      <c r="C1974" s="102"/>
      <c r="D1974" s="62"/>
      <c r="E1974" s="102"/>
      <c r="F1974" s="102"/>
      <c r="G1974" s="102"/>
      <c r="H1974" s="85"/>
      <c r="I1974" s="104"/>
      <c r="J1974" s="144"/>
      <c r="K1974" s="62"/>
    </row>
    <row r="1975" spans="1:27" x14ac:dyDescent="0.15">
      <c r="A1975" s="165"/>
      <c r="B1975" s="93"/>
      <c r="C1975" s="102"/>
      <c r="D1975" s="62"/>
      <c r="E1975" s="102"/>
      <c r="F1975" s="102"/>
      <c r="G1975" s="102"/>
      <c r="H1975" s="103"/>
      <c r="I1975" s="98"/>
      <c r="J1975" s="135"/>
      <c r="K1975" s="62"/>
    </row>
    <row r="1976" spans="1:27" x14ac:dyDescent="0.15">
      <c r="A1976" s="165"/>
      <c r="B1976" s="93"/>
      <c r="C1976" s="102"/>
      <c r="D1976" s="62"/>
      <c r="E1976" s="102"/>
      <c r="F1976" s="102"/>
      <c r="G1976" s="102"/>
      <c r="H1976" s="103"/>
      <c r="I1976" s="98"/>
      <c r="J1976" s="135"/>
      <c r="K1976" s="62"/>
    </row>
    <row r="1977" spans="1:27" x14ac:dyDescent="0.15">
      <c r="A1977" s="165"/>
      <c r="B1977" s="93"/>
      <c r="C1977" s="102"/>
      <c r="D1977" s="62"/>
      <c r="E1977" s="102"/>
      <c r="F1977" s="102"/>
      <c r="G1977" s="102"/>
      <c r="H1977" s="85"/>
      <c r="I1977" s="104"/>
      <c r="J1977" s="144"/>
      <c r="K1977" s="62"/>
    </row>
    <row r="1978" spans="1:27" x14ac:dyDescent="0.15">
      <c r="A1978" s="165"/>
      <c r="B1978" s="93"/>
      <c r="C1978" s="102"/>
      <c r="D1978" s="62"/>
      <c r="E1978" s="102"/>
      <c r="F1978" s="102"/>
      <c r="G1978" s="102"/>
      <c r="H1978" s="85"/>
      <c r="I1978" s="104"/>
      <c r="J1978" s="144"/>
      <c r="K1978" s="62"/>
    </row>
    <row r="1979" spans="1:27" x14ac:dyDescent="0.15">
      <c r="A1979" s="165"/>
      <c r="B1979" s="82"/>
      <c r="C1979" s="107"/>
      <c r="D1979" s="62"/>
      <c r="E1979" s="107"/>
      <c r="F1979" s="107"/>
      <c r="G1979" s="107"/>
      <c r="H1979" s="85"/>
      <c r="I1979" s="104"/>
      <c r="J1979" s="144"/>
      <c r="K1979" s="62"/>
    </row>
    <row r="1980" spans="1:27" x14ac:dyDescent="0.15">
      <c r="A1980" s="165"/>
      <c r="B1980" s="93"/>
      <c r="C1980" s="102"/>
      <c r="D1980" s="62"/>
      <c r="E1980" s="100"/>
      <c r="F1980" s="102"/>
      <c r="G1980" s="102"/>
      <c r="H1980" s="85"/>
      <c r="I1980" s="104"/>
      <c r="J1980" s="143"/>
      <c r="K1980" s="61"/>
    </row>
    <row r="1981" spans="1:27" x14ac:dyDescent="0.15">
      <c r="A1981" s="165"/>
      <c r="B1981" s="93"/>
      <c r="C1981" s="102"/>
      <c r="D1981" s="62"/>
      <c r="E1981" s="102"/>
      <c r="F1981" s="102"/>
      <c r="G1981" s="102"/>
      <c r="H1981" s="85"/>
      <c r="I1981" s="104"/>
      <c r="J1981" s="144"/>
      <c r="K1981" s="62"/>
    </row>
    <row r="1982" spans="1:27" x14ac:dyDescent="0.15">
      <c r="A1982" s="165"/>
      <c r="B1982" s="93"/>
      <c r="C1982" s="102"/>
      <c r="D1982" s="62"/>
      <c r="E1982" s="102"/>
      <c r="F1982" s="102"/>
      <c r="G1982" s="102"/>
      <c r="H1982" s="103"/>
      <c r="I1982" s="98"/>
      <c r="J1982" s="135"/>
      <c r="K1982" s="62"/>
    </row>
    <row r="1983" spans="1:27" s="49" customFormat="1" x14ac:dyDescent="0.15">
      <c r="A1983" s="165"/>
      <c r="B1983" s="93"/>
      <c r="C1983" s="102"/>
      <c r="D1983" s="62"/>
      <c r="E1983" s="102"/>
      <c r="F1983" s="102"/>
      <c r="G1983" s="102"/>
      <c r="H1983" s="85"/>
      <c r="I1983" s="104"/>
      <c r="J1983" s="144"/>
      <c r="K1983" s="62"/>
      <c r="M1983" s="37"/>
      <c r="N1983" s="37"/>
      <c r="O1983" s="37"/>
      <c r="P1983" s="3"/>
      <c r="Q1983" s="3"/>
      <c r="R1983" s="3"/>
      <c r="S1983" s="3"/>
      <c r="T1983" s="3"/>
      <c r="U1983" s="3"/>
      <c r="V1983" s="3"/>
      <c r="W1983" s="3"/>
      <c r="X1983" s="3"/>
      <c r="Y1983" s="4"/>
      <c r="Z1983"/>
      <c r="AA1983"/>
    </row>
    <row r="1984" spans="1:27" s="49" customFormat="1" x14ac:dyDescent="0.15">
      <c r="A1984" s="165"/>
      <c r="B1984" s="93"/>
      <c r="C1984" s="102"/>
      <c r="D1984" s="62"/>
      <c r="E1984" s="102"/>
      <c r="F1984" s="102"/>
      <c r="G1984" s="102"/>
      <c r="H1984" s="85"/>
      <c r="I1984" s="104"/>
      <c r="J1984" s="144"/>
      <c r="K1984" s="62"/>
      <c r="M1984" s="37"/>
      <c r="N1984" s="37"/>
      <c r="O1984" s="37"/>
      <c r="P1984" s="3"/>
      <c r="Q1984" s="3"/>
      <c r="R1984" s="3"/>
      <c r="S1984" s="3"/>
      <c r="T1984" s="3"/>
      <c r="U1984" s="3"/>
      <c r="V1984" s="3"/>
      <c r="W1984" s="3"/>
      <c r="X1984" s="3"/>
      <c r="Y1984" s="4"/>
      <c r="Z1984"/>
      <c r="AA1984"/>
    </row>
    <row r="1985" spans="1:27" s="49" customFormat="1" x14ac:dyDescent="0.15">
      <c r="A1985" s="165"/>
      <c r="B1985" s="93"/>
      <c r="C1985" s="102"/>
      <c r="D1985" s="62"/>
      <c r="E1985" s="102"/>
      <c r="F1985" s="102"/>
      <c r="G1985" s="102"/>
      <c r="H1985" s="85"/>
      <c r="I1985" s="104"/>
      <c r="J1985" s="144"/>
      <c r="K1985" s="62"/>
      <c r="M1985" s="37"/>
      <c r="N1985" s="37"/>
      <c r="O1985" s="37"/>
      <c r="P1985" s="3"/>
      <c r="Q1985" s="3"/>
      <c r="R1985" s="3"/>
      <c r="S1985" s="3"/>
      <c r="T1985" s="3"/>
      <c r="U1985" s="3"/>
      <c r="V1985" s="3"/>
      <c r="W1985" s="3"/>
      <c r="X1985" s="3"/>
      <c r="Y1985" s="4"/>
      <c r="Z1985"/>
      <c r="AA1985"/>
    </row>
    <row r="1986" spans="1:27" s="49" customFormat="1" x14ac:dyDescent="0.15">
      <c r="A1986" s="165"/>
      <c r="B1986" s="93"/>
      <c r="C1986" s="102"/>
      <c r="D1986" s="62"/>
      <c r="E1986" s="102"/>
      <c r="F1986" s="102"/>
      <c r="G1986" s="102"/>
      <c r="H1986" s="85"/>
      <c r="I1986" s="104"/>
      <c r="J1986" s="144"/>
      <c r="K1986" s="62"/>
      <c r="M1986" s="37"/>
      <c r="N1986" s="37"/>
      <c r="O1986" s="37"/>
      <c r="P1986" s="3"/>
      <c r="Q1986" s="3"/>
      <c r="R1986" s="3"/>
      <c r="S1986" s="3"/>
      <c r="T1986" s="3"/>
      <c r="U1986" s="3"/>
      <c r="V1986" s="3"/>
      <c r="W1986" s="3"/>
      <c r="X1986" s="3"/>
      <c r="Y1986" s="4"/>
      <c r="Z1986"/>
      <c r="AA1986"/>
    </row>
    <row r="1987" spans="1:27" s="49" customFormat="1" x14ac:dyDescent="0.15">
      <c r="A1987" s="165"/>
      <c r="B1987" s="93"/>
      <c r="C1987" s="102"/>
      <c r="D1987" s="62"/>
      <c r="E1987" s="102"/>
      <c r="F1987" s="102"/>
      <c r="G1987" s="102"/>
      <c r="H1987" s="85"/>
      <c r="I1987" s="104"/>
      <c r="J1987" s="144"/>
      <c r="K1987" s="62"/>
      <c r="M1987" s="37"/>
      <c r="N1987" s="37"/>
      <c r="O1987" s="37"/>
      <c r="P1987" s="3"/>
      <c r="Q1987" s="3"/>
      <c r="R1987" s="3"/>
      <c r="S1987" s="3"/>
      <c r="T1987" s="3"/>
      <c r="U1987" s="3"/>
      <c r="V1987" s="3"/>
      <c r="W1987" s="3"/>
      <c r="X1987" s="3"/>
      <c r="Y1987" s="4"/>
      <c r="Z1987"/>
      <c r="AA1987"/>
    </row>
    <row r="1988" spans="1:27" s="49" customFormat="1" x14ac:dyDescent="0.15">
      <c r="A1988" s="165"/>
      <c r="B1988" s="93"/>
      <c r="C1988" s="102"/>
      <c r="D1988" s="62"/>
      <c r="E1988" s="102"/>
      <c r="F1988" s="102"/>
      <c r="G1988" s="102"/>
      <c r="H1988" s="85"/>
      <c r="I1988" s="104"/>
      <c r="J1988" s="144"/>
      <c r="K1988" s="62"/>
      <c r="M1988" s="37"/>
      <c r="N1988" s="37"/>
      <c r="O1988" s="37"/>
      <c r="P1988" s="3"/>
      <c r="Q1988" s="3"/>
      <c r="R1988" s="3"/>
      <c r="S1988" s="3"/>
      <c r="T1988" s="3"/>
      <c r="U1988" s="3"/>
      <c r="V1988" s="3"/>
      <c r="W1988" s="3"/>
      <c r="X1988" s="3"/>
      <c r="Y1988" s="4"/>
      <c r="Z1988"/>
      <c r="AA1988"/>
    </row>
    <row r="1989" spans="1:27" s="49" customFormat="1" x14ac:dyDescent="0.15">
      <c r="A1989" s="165"/>
      <c r="B1989" s="93"/>
      <c r="C1989" s="102"/>
      <c r="D1989" s="62"/>
      <c r="E1989" s="102"/>
      <c r="F1989" s="102"/>
      <c r="G1989" s="102"/>
      <c r="H1989" s="85"/>
      <c r="I1989" s="104"/>
      <c r="J1989" s="144"/>
      <c r="K1989" s="62"/>
      <c r="M1989" s="37"/>
      <c r="N1989" s="37"/>
      <c r="O1989" s="37"/>
      <c r="P1989" s="3"/>
      <c r="Q1989" s="3"/>
      <c r="R1989" s="3"/>
      <c r="S1989" s="3"/>
      <c r="T1989" s="3"/>
      <c r="U1989" s="3"/>
      <c r="V1989" s="3"/>
      <c r="W1989" s="3"/>
      <c r="X1989" s="3"/>
      <c r="Y1989" s="4"/>
      <c r="Z1989"/>
      <c r="AA1989"/>
    </row>
    <row r="1990" spans="1:27" s="49" customFormat="1" x14ac:dyDescent="0.15">
      <c r="A1990" s="165"/>
      <c r="B1990" s="93"/>
      <c r="C1990" s="102"/>
      <c r="D1990" s="62"/>
      <c r="E1990" s="102"/>
      <c r="F1990" s="102"/>
      <c r="G1990" s="102"/>
      <c r="H1990" s="85"/>
      <c r="I1990" s="104"/>
      <c r="J1990" s="144"/>
      <c r="K1990" s="62"/>
      <c r="M1990" s="37"/>
      <c r="N1990" s="37"/>
      <c r="O1990" s="37"/>
      <c r="P1990" s="3"/>
      <c r="Q1990" s="3"/>
      <c r="R1990" s="3"/>
      <c r="S1990" s="3"/>
      <c r="T1990" s="3"/>
      <c r="U1990" s="3"/>
      <c r="V1990" s="3"/>
      <c r="W1990" s="3"/>
      <c r="X1990" s="3"/>
      <c r="Y1990" s="4"/>
      <c r="Z1990"/>
      <c r="AA1990"/>
    </row>
    <row r="1991" spans="1:27" s="49" customFormat="1" x14ac:dyDescent="0.15">
      <c r="A1991" s="165"/>
      <c r="B1991" s="93"/>
      <c r="C1991" s="102"/>
      <c r="D1991" s="62"/>
      <c r="E1991" s="102"/>
      <c r="F1991" s="102"/>
      <c r="G1991" s="102"/>
      <c r="H1991" s="85"/>
      <c r="I1991" s="104"/>
      <c r="J1991" s="144"/>
      <c r="K1991" s="62"/>
      <c r="M1991" s="37"/>
      <c r="N1991" s="37"/>
      <c r="O1991" s="37"/>
      <c r="P1991" s="3"/>
      <c r="Q1991" s="3"/>
      <c r="R1991" s="3"/>
      <c r="S1991" s="3"/>
      <c r="T1991" s="3"/>
      <c r="U1991" s="3"/>
      <c r="V1991" s="3"/>
      <c r="W1991" s="3"/>
      <c r="X1991" s="3"/>
      <c r="Y1991" s="4"/>
      <c r="Z1991"/>
      <c r="AA1991"/>
    </row>
    <row r="1992" spans="1:27" s="49" customFormat="1" x14ac:dyDescent="0.15">
      <c r="A1992" s="165"/>
      <c r="B1992" s="93"/>
      <c r="C1992" s="102"/>
      <c r="D1992" s="62"/>
      <c r="E1992" s="102"/>
      <c r="F1992" s="102"/>
      <c r="G1992" s="102"/>
      <c r="H1992" s="85"/>
      <c r="I1992" s="104"/>
      <c r="J1992" s="144"/>
      <c r="K1992" s="62"/>
      <c r="M1992" s="37"/>
      <c r="N1992" s="37"/>
      <c r="O1992" s="37"/>
      <c r="P1992" s="3"/>
      <c r="Q1992" s="3"/>
      <c r="R1992" s="3"/>
      <c r="S1992" s="3"/>
      <c r="T1992" s="3"/>
      <c r="U1992" s="3"/>
      <c r="V1992" s="3"/>
      <c r="W1992" s="3"/>
      <c r="X1992" s="3"/>
      <c r="Y1992" s="4"/>
      <c r="Z1992"/>
      <c r="AA1992"/>
    </row>
    <row r="1993" spans="1:27" s="49" customFormat="1" x14ac:dyDescent="0.15">
      <c r="A1993" s="165"/>
      <c r="B1993" s="93"/>
      <c r="C1993" s="102"/>
      <c r="D1993" s="62"/>
      <c r="E1993" s="102"/>
      <c r="F1993" s="102"/>
      <c r="G1993" s="102"/>
      <c r="H1993" s="85"/>
      <c r="I1993" s="104"/>
      <c r="J1993" s="144"/>
      <c r="K1993" s="62"/>
      <c r="M1993" s="37"/>
      <c r="N1993" s="37"/>
      <c r="O1993" s="37"/>
      <c r="P1993" s="3"/>
      <c r="Q1993" s="3"/>
      <c r="R1993" s="3"/>
      <c r="S1993" s="3"/>
      <c r="T1993" s="3"/>
      <c r="U1993" s="3"/>
      <c r="V1993" s="3"/>
      <c r="W1993" s="3"/>
      <c r="X1993" s="3"/>
      <c r="Y1993" s="4"/>
      <c r="Z1993"/>
      <c r="AA1993"/>
    </row>
    <row r="1994" spans="1:27" s="49" customFormat="1" x14ac:dyDescent="0.15">
      <c r="A1994" s="165"/>
      <c r="B1994" s="93"/>
      <c r="C1994" s="102"/>
      <c r="D1994" s="62"/>
      <c r="E1994" s="100"/>
      <c r="F1994" s="102"/>
      <c r="G1994" s="102"/>
      <c r="H1994" s="85"/>
      <c r="I1994" s="104"/>
      <c r="J1994" s="143"/>
      <c r="K1994" s="61"/>
      <c r="M1994" s="37"/>
      <c r="N1994" s="37"/>
      <c r="O1994" s="37"/>
      <c r="P1994" s="3"/>
      <c r="Q1994" s="3"/>
      <c r="R1994" s="3"/>
      <c r="S1994" s="3"/>
      <c r="T1994" s="3"/>
      <c r="U1994" s="3"/>
      <c r="V1994" s="3"/>
      <c r="W1994" s="3"/>
      <c r="X1994" s="3"/>
      <c r="Y1994" s="4"/>
      <c r="Z1994"/>
      <c r="AA1994"/>
    </row>
    <row r="1995" spans="1:27" s="49" customFormat="1" x14ac:dyDescent="0.15">
      <c r="A1995" s="165"/>
      <c r="B1995" s="93"/>
      <c r="C1995" s="102"/>
      <c r="D1995" s="62"/>
      <c r="E1995" s="102"/>
      <c r="F1995" s="102"/>
      <c r="G1995" s="102"/>
      <c r="H1995" s="85"/>
      <c r="I1995" s="104"/>
      <c r="J1995" s="144"/>
      <c r="K1995" s="62"/>
      <c r="M1995" s="37"/>
      <c r="N1995" s="37"/>
      <c r="O1995" s="37"/>
      <c r="P1995" s="3"/>
      <c r="Q1995" s="3"/>
      <c r="R1995" s="3"/>
      <c r="S1995" s="3"/>
      <c r="T1995" s="3"/>
      <c r="U1995" s="3"/>
      <c r="V1995" s="3"/>
      <c r="W1995" s="3"/>
      <c r="X1995" s="3"/>
      <c r="Y1995" s="4"/>
      <c r="Z1995"/>
      <c r="AA1995"/>
    </row>
    <row r="1996" spans="1:27" s="49" customFormat="1" x14ac:dyDescent="0.15">
      <c r="A1996" s="165"/>
      <c r="B1996" s="93"/>
      <c r="C1996" s="102"/>
      <c r="D1996" s="62"/>
      <c r="E1996" s="102"/>
      <c r="F1996" s="102"/>
      <c r="G1996" s="102"/>
      <c r="H1996" s="85"/>
      <c r="I1996" s="104"/>
      <c r="J1996" s="144"/>
      <c r="K1996" s="62"/>
      <c r="M1996" s="37"/>
      <c r="N1996" s="37"/>
      <c r="O1996" s="37"/>
      <c r="P1996" s="3"/>
      <c r="Q1996" s="3"/>
      <c r="R1996" s="3"/>
      <c r="S1996" s="3"/>
      <c r="T1996" s="3"/>
      <c r="U1996" s="3"/>
      <c r="V1996" s="3"/>
      <c r="W1996" s="3"/>
      <c r="X1996" s="3"/>
      <c r="Y1996" s="4"/>
      <c r="Z1996"/>
      <c r="AA1996"/>
    </row>
    <row r="1997" spans="1:27" s="49" customFormat="1" x14ac:dyDescent="0.15">
      <c r="A1997" s="165"/>
      <c r="B1997" s="93"/>
      <c r="C1997" s="102"/>
      <c r="D1997" s="62"/>
      <c r="E1997" s="102"/>
      <c r="F1997" s="102"/>
      <c r="G1997" s="102"/>
      <c r="H1997" s="103"/>
      <c r="I1997" s="98"/>
      <c r="J1997" s="135"/>
      <c r="K1997" s="62"/>
      <c r="M1997" s="37"/>
      <c r="N1997" s="37"/>
      <c r="O1997" s="37"/>
      <c r="P1997" s="3"/>
      <c r="Q1997" s="3"/>
      <c r="R1997" s="3"/>
      <c r="S1997" s="3"/>
      <c r="T1997" s="3"/>
      <c r="U1997" s="3"/>
      <c r="V1997" s="3"/>
      <c r="W1997" s="3"/>
      <c r="X1997" s="3"/>
      <c r="Y1997" s="4"/>
      <c r="Z1997"/>
      <c r="AA1997"/>
    </row>
    <row r="1998" spans="1:27" s="49" customFormat="1" x14ac:dyDescent="0.15">
      <c r="A1998" s="165"/>
      <c r="B1998" s="93"/>
      <c r="C1998" s="102"/>
      <c r="D1998" s="62"/>
      <c r="E1998" s="102"/>
      <c r="F1998" s="102"/>
      <c r="G1998" s="102"/>
      <c r="H1998" s="85"/>
      <c r="I1998" s="104"/>
      <c r="J1998" s="144"/>
      <c r="K1998" s="62"/>
      <c r="M1998" s="37"/>
      <c r="N1998" s="37"/>
      <c r="O1998" s="37"/>
      <c r="P1998" s="3"/>
      <c r="Q1998" s="3"/>
      <c r="R1998" s="3"/>
      <c r="S1998" s="3"/>
      <c r="T1998" s="3"/>
      <c r="U1998" s="3"/>
      <c r="V1998" s="3"/>
      <c r="W1998" s="3"/>
      <c r="X1998" s="3"/>
      <c r="Y1998" s="4"/>
      <c r="Z1998"/>
      <c r="AA1998"/>
    </row>
    <row r="1999" spans="1:27" s="49" customFormat="1" x14ac:dyDescent="0.15">
      <c r="A1999" s="165"/>
      <c r="B1999" s="93"/>
      <c r="C1999" s="102"/>
      <c r="D1999" s="62"/>
      <c r="E1999" s="102"/>
      <c r="F1999" s="102"/>
      <c r="G1999" s="102"/>
      <c r="H1999" s="85"/>
      <c r="I1999" s="104"/>
      <c r="J1999" s="144"/>
      <c r="K1999" s="62"/>
      <c r="M1999" s="37"/>
      <c r="N1999" s="37"/>
      <c r="O1999" s="37"/>
      <c r="P1999" s="3"/>
      <c r="Q1999" s="3"/>
      <c r="R1999" s="3"/>
      <c r="S1999" s="3"/>
      <c r="T1999" s="3"/>
      <c r="U1999" s="3"/>
      <c r="V1999" s="3"/>
      <c r="W1999" s="3"/>
      <c r="X1999" s="3"/>
      <c r="Y1999" s="4"/>
      <c r="Z1999"/>
      <c r="AA1999"/>
    </row>
    <row r="2000" spans="1:27" s="49" customFormat="1" x14ac:dyDescent="0.15">
      <c r="A2000" s="165"/>
      <c r="B2000" s="93"/>
      <c r="C2000" s="102"/>
      <c r="D2000" s="62"/>
      <c r="E2000" s="102"/>
      <c r="F2000" s="102"/>
      <c r="G2000" s="102"/>
      <c r="H2000" s="85"/>
      <c r="I2000" s="104"/>
      <c r="J2000" s="144"/>
      <c r="K2000" s="62"/>
      <c r="M2000" s="37"/>
      <c r="N2000" s="37"/>
      <c r="O2000" s="37"/>
      <c r="P2000" s="3"/>
      <c r="Q2000" s="3"/>
      <c r="R2000" s="3"/>
      <c r="S2000" s="3"/>
      <c r="T2000" s="3"/>
      <c r="U2000" s="3"/>
      <c r="V2000" s="3"/>
      <c r="W2000" s="3"/>
      <c r="X2000" s="3"/>
      <c r="Y2000" s="4"/>
      <c r="Z2000"/>
      <c r="AA2000"/>
    </row>
    <row r="2001" spans="1:27" s="49" customFormat="1" x14ac:dyDescent="0.15">
      <c r="A2001" s="165"/>
      <c r="B2001" s="93"/>
      <c r="C2001" s="102"/>
      <c r="D2001" s="62"/>
      <c r="E2001" s="102"/>
      <c r="F2001" s="102"/>
      <c r="G2001" s="102"/>
      <c r="H2001" s="85"/>
      <c r="I2001" s="104"/>
      <c r="J2001" s="144"/>
      <c r="K2001" s="62"/>
      <c r="M2001" s="37"/>
      <c r="N2001" s="37"/>
      <c r="O2001" s="37"/>
      <c r="P2001" s="3"/>
      <c r="Q2001" s="3"/>
      <c r="R2001" s="3"/>
      <c r="S2001" s="3"/>
      <c r="T2001" s="3"/>
      <c r="U2001" s="3"/>
      <c r="V2001" s="3"/>
      <c r="W2001" s="3"/>
      <c r="X2001" s="3"/>
      <c r="Y2001" s="4"/>
      <c r="Z2001"/>
      <c r="AA2001"/>
    </row>
    <row r="2002" spans="1:27" s="49" customFormat="1" x14ac:dyDescent="0.15">
      <c r="A2002" s="165"/>
      <c r="B2002" s="93"/>
      <c r="C2002" s="102"/>
      <c r="D2002" s="62"/>
      <c r="E2002" s="102"/>
      <c r="F2002" s="102"/>
      <c r="G2002" s="102"/>
      <c r="H2002" s="85"/>
      <c r="I2002" s="104"/>
      <c r="J2002" s="144"/>
      <c r="K2002" s="62"/>
      <c r="M2002" s="37"/>
      <c r="N2002" s="37"/>
      <c r="O2002" s="37"/>
      <c r="P2002" s="3"/>
      <c r="Q2002" s="3"/>
      <c r="R2002" s="3"/>
      <c r="S2002" s="3"/>
      <c r="T2002" s="3"/>
      <c r="U2002" s="3"/>
      <c r="V2002" s="3"/>
      <c r="W2002" s="3"/>
      <c r="X2002" s="3"/>
      <c r="Y2002" s="4"/>
      <c r="Z2002"/>
      <c r="AA2002"/>
    </row>
    <row r="2003" spans="1:27" s="49" customFormat="1" x14ac:dyDescent="0.15">
      <c r="A2003" s="165"/>
      <c r="B2003" s="93"/>
      <c r="C2003" s="102"/>
      <c r="D2003" s="62"/>
      <c r="E2003" s="102"/>
      <c r="F2003" s="102"/>
      <c r="G2003" s="102"/>
      <c r="H2003" s="85"/>
      <c r="I2003" s="104"/>
      <c r="J2003" s="144"/>
      <c r="K2003" s="62"/>
      <c r="M2003" s="37"/>
      <c r="N2003" s="37"/>
      <c r="O2003" s="37"/>
      <c r="P2003" s="3"/>
      <c r="Q2003" s="3"/>
      <c r="R2003" s="3"/>
      <c r="S2003" s="3"/>
      <c r="T2003" s="3"/>
      <c r="U2003" s="3"/>
      <c r="V2003" s="3"/>
      <c r="W2003" s="3"/>
      <c r="X2003" s="3"/>
      <c r="Y2003" s="4"/>
      <c r="Z2003"/>
      <c r="AA2003"/>
    </row>
    <row r="2004" spans="1:27" s="49" customFormat="1" x14ac:dyDescent="0.15">
      <c r="A2004" s="165"/>
      <c r="B2004" s="93"/>
      <c r="C2004" s="102"/>
      <c r="D2004" s="62"/>
      <c r="E2004" s="102"/>
      <c r="F2004" s="102"/>
      <c r="G2004" s="102"/>
      <c r="H2004" s="85"/>
      <c r="I2004" s="104"/>
      <c r="J2004" s="144"/>
      <c r="K2004" s="62"/>
      <c r="M2004" s="37"/>
      <c r="N2004" s="37"/>
      <c r="O2004" s="37"/>
      <c r="P2004" s="3"/>
      <c r="Q2004" s="3"/>
      <c r="R2004" s="3"/>
      <c r="S2004" s="3"/>
      <c r="T2004" s="3"/>
      <c r="U2004" s="3"/>
      <c r="V2004" s="3"/>
      <c r="W2004" s="3"/>
      <c r="X2004" s="3"/>
      <c r="Y2004" s="4"/>
      <c r="Z2004"/>
      <c r="AA2004"/>
    </row>
    <row r="2005" spans="1:27" s="49" customFormat="1" x14ac:dyDescent="0.15">
      <c r="A2005" s="165"/>
      <c r="B2005" s="93"/>
      <c r="C2005" s="102"/>
      <c r="D2005" s="62"/>
      <c r="E2005" s="102"/>
      <c r="F2005" s="102"/>
      <c r="G2005" s="102"/>
      <c r="H2005" s="85"/>
      <c r="I2005" s="104"/>
      <c r="J2005" s="144"/>
      <c r="K2005" s="62"/>
      <c r="M2005" s="37"/>
      <c r="N2005" s="37"/>
      <c r="O2005" s="37"/>
      <c r="P2005" s="3"/>
      <c r="Q2005" s="3"/>
      <c r="R2005" s="3"/>
      <c r="S2005" s="3"/>
      <c r="T2005" s="3"/>
      <c r="U2005" s="3"/>
      <c r="V2005" s="3"/>
      <c r="W2005" s="3"/>
      <c r="X2005" s="3"/>
      <c r="Y2005" s="4"/>
      <c r="Z2005"/>
      <c r="AA2005"/>
    </row>
    <row r="2006" spans="1:27" s="49" customFormat="1" x14ac:dyDescent="0.15">
      <c r="A2006" s="165"/>
      <c r="B2006" s="93"/>
      <c r="C2006" s="102"/>
      <c r="D2006" s="62"/>
      <c r="E2006" s="102"/>
      <c r="F2006" s="102"/>
      <c r="G2006" s="102"/>
      <c r="H2006" s="85"/>
      <c r="I2006" s="104"/>
      <c r="J2006" s="144"/>
      <c r="K2006" s="62"/>
      <c r="M2006" s="37"/>
      <c r="N2006" s="37"/>
      <c r="O2006" s="37"/>
      <c r="P2006" s="3"/>
      <c r="Q2006" s="3"/>
      <c r="R2006" s="3"/>
      <c r="S2006" s="3"/>
      <c r="T2006" s="3"/>
      <c r="U2006" s="3"/>
      <c r="V2006" s="3"/>
      <c r="W2006" s="3"/>
      <c r="X2006" s="3"/>
      <c r="Y2006" s="4"/>
      <c r="Z2006"/>
      <c r="AA2006"/>
    </row>
    <row r="2007" spans="1:27" s="49" customFormat="1" x14ac:dyDescent="0.15">
      <c r="A2007" s="165"/>
      <c r="B2007" s="93"/>
      <c r="C2007" s="102"/>
      <c r="D2007" s="62"/>
      <c r="E2007" s="102"/>
      <c r="F2007" s="102"/>
      <c r="G2007" s="102"/>
      <c r="H2007" s="85"/>
      <c r="I2007" s="104"/>
      <c r="J2007" s="144"/>
      <c r="K2007" s="62"/>
      <c r="M2007" s="37"/>
      <c r="N2007" s="37"/>
      <c r="O2007" s="37"/>
      <c r="P2007" s="3"/>
      <c r="Q2007" s="3"/>
      <c r="R2007" s="3"/>
      <c r="S2007" s="3"/>
      <c r="T2007" s="3"/>
      <c r="U2007" s="3"/>
      <c r="V2007" s="3"/>
      <c r="W2007" s="3"/>
      <c r="X2007" s="3"/>
      <c r="Y2007" s="4"/>
      <c r="Z2007"/>
      <c r="AA2007"/>
    </row>
    <row r="2008" spans="1:27" s="49" customFormat="1" x14ac:dyDescent="0.15">
      <c r="A2008" s="165"/>
      <c r="B2008" s="93"/>
      <c r="C2008" s="102"/>
      <c r="D2008" s="62"/>
      <c r="E2008" s="102"/>
      <c r="F2008" s="102"/>
      <c r="G2008" s="102"/>
      <c r="H2008" s="85"/>
      <c r="I2008" s="104"/>
      <c r="J2008" s="144"/>
      <c r="K2008" s="62"/>
      <c r="M2008" s="37"/>
      <c r="N2008" s="37"/>
      <c r="O2008" s="37"/>
      <c r="P2008" s="3"/>
      <c r="Q2008" s="3"/>
      <c r="R2008" s="3"/>
      <c r="S2008" s="3"/>
      <c r="T2008" s="3"/>
      <c r="U2008" s="3"/>
      <c r="V2008" s="3"/>
      <c r="W2008" s="3"/>
      <c r="X2008" s="3"/>
      <c r="Y2008" s="4"/>
      <c r="Z2008"/>
      <c r="AA2008"/>
    </row>
    <row r="2009" spans="1:27" s="49" customFormat="1" x14ac:dyDescent="0.15">
      <c r="A2009" s="165"/>
      <c r="B2009" s="93"/>
      <c r="C2009" s="102"/>
      <c r="D2009" s="62"/>
      <c r="E2009" s="102"/>
      <c r="F2009" s="102"/>
      <c r="G2009" s="102"/>
      <c r="H2009" s="85"/>
      <c r="I2009" s="104"/>
      <c r="J2009" s="144"/>
      <c r="K2009" s="62"/>
      <c r="M2009" s="37"/>
      <c r="N2009" s="37"/>
      <c r="O2009" s="37"/>
      <c r="P2009" s="3"/>
      <c r="Q2009" s="3"/>
      <c r="R2009" s="3"/>
      <c r="S2009" s="3"/>
      <c r="T2009" s="3"/>
      <c r="U2009" s="3"/>
      <c r="V2009" s="3"/>
      <c r="W2009" s="3"/>
      <c r="X2009" s="3"/>
      <c r="Y2009" s="4"/>
      <c r="Z2009"/>
      <c r="AA2009"/>
    </row>
    <row r="2010" spans="1:27" s="49" customFormat="1" x14ac:dyDescent="0.15">
      <c r="A2010" s="165"/>
      <c r="B2010" s="93"/>
      <c r="C2010" s="102"/>
      <c r="D2010" s="62"/>
      <c r="E2010" s="102"/>
      <c r="F2010" s="102"/>
      <c r="G2010" s="102"/>
      <c r="H2010" s="85"/>
      <c r="I2010" s="104"/>
      <c r="J2010" s="144"/>
      <c r="K2010" s="62"/>
      <c r="M2010" s="37"/>
      <c r="N2010" s="37"/>
      <c r="O2010" s="37"/>
      <c r="P2010" s="3"/>
      <c r="Q2010" s="3"/>
      <c r="R2010" s="3"/>
      <c r="S2010" s="3"/>
      <c r="T2010" s="3"/>
      <c r="U2010" s="3"/>
      <c r="V2010" s="3"/>
      <c r="W2010" s="3"/>
      <c r="X2010" s="3"/>
      <c r="Y2010" s="4"/>
      <c r="Z2010"/>
      <c r="AA2010"/>
    </row>
    <row r="2011" spans="1:27" s="49" customFormat="1" x14ac:dyDescent="0.15">
      <c r="A2011" s="165"/>
      <c r="B2011" s="93"/>
      <c r="C2011" s="102"/>
      <c r="D2011" s="62"/>
      <c r="E2011" s="102"/>
      <c r="F2011" s="102"/>
      <c r="G2011" s="102"/>
      <c r="H2011" s="85"/>
      <c r="I2011" s="104"/>
      <c r="J2011" s="144"/>
      <c r="K2011" s="62"/>
      <c r="M2011" s="37"/>
      <c r="N2011" s="37"/>
      <c r="O2011" s="37"/>
      <c r="P2011" s="3"/>
      <c r="Q2011" s="3"/>
      <c r="R2011" s="3"/>
      <c r="S2011" s="3"/>
      <c r="T2011" s="3"/>
      <c r="U2011" s="3"/>
      <c r="V2011" s="3"/>
      <c r="W2011" s="3"/>
      <c r="X2011" s="3"/>
      <c r="Y2011" s="4"/>
      <c r="Z2011"/>
      <c r="AA2011"/>
    </row>
    <row r="2012" spans="1:27" s="49" customFormat="1" x14ac:dyDescent="0.15">
      <c r="A2012" s="165"/>
      <c r="B2012" s="93"/>
      <c r="C2012" s="102"/>
      <c r="D2012" s="62"/>
      <c r="E2012" s="102"/>
      <c r="F2012" s="102"/>
      <c r="G2012" s="102"/>
      <c r="H2012" s="85"/>
      <c r="I2012" s="104"/>
      <c r="J2012" s="144"/>
      <c r="K2012" s="62"/>
      <c r="M2012" s="37"/>
      <c r="N2012" s="37"/>
      <c r="O2012" s="37"/>
      <c r="P2012" s="3"/>
      <c r="Q2012" s="3"/>
      <c r="R2012" s="3"/>
      <c r="S2012" s="3"/>
      <c r="T2012" s="3"/>
      <c r="U2012" s="3"/>
      <c r="V2012" s="3"/>
      <c r="W2012" s="3"/>
      <c r="X2012" s="3"/>
      <c r="Y2012" s="4"/>
      <c r="Z2012"/>
      <c r="AA2012"/>
    </row>
    <row r="2013" spans="1:27" s="49" customFormat="1" x14ac:dyDescent="0.15">
      <c r="A2013" s="165"/>
      <c r="B2013" s="93"/>
      <c r="C2013" s="102"/>
      <c r="D2013" s="62"/>
      <c r="E2013" s="102"/>
      <c r="F2013" s="102"/>
      <c r="G2013" s="102"/>
      <c r="H2013" s="85"/>
      <c r="I2013" s="104"/>
      <c r="J2013" s="144"/>
      <c r="K2013" s="62"/>
      <c r="M2013" s="37"/>
      <c r="N2013" s="37"/>
      <c r="O2013" s="37"/>
      <c r="P2013" s="3"/>
      <c r="Q2013" s="3"/>
      <c r="R2013" s="3"/>
      <c r="S2013" s="3"/>
      <c r="T2013" s="3"/>
      <c r="U2013" s="3"/>
      <c r="V2013" s="3"/>
      <c r="W2013" s="3"/>
      <c r="X2013" s="3"/>
      <c r="Y2013" s="4"/>
      <c r="Z2013"/>
      <c r="AA2013"/>
    </row>
    <row r="2014" spans="1:27" s="49" customFormat="1" x14ac:dyDescent="0.15">
      <c r="A2014" s="165"/>
      <c r="B2014" s="93"/>
      <c r="C2014" s="102"/>
      <c r="D2014" s="62"/>
      <c r="E2014" s="102"/>
      <c r="F2014" s="102"/>
      <c r="G2014" s="102"/>
      <c r="H2014" s="85"/>
      <c r="I2014" s="104"/>
      <c r="J2014" s="144"/>
      <c r="K2014" s="62"/>
      <c r="M2014" s="37"/>
      <c r="N2014" s="37"/>
      <c r="O2014" s="37"/>
      <c r="P2014" s="3"/>
      <c r="Q2014" s="3"/>
      <c r="R2014" s="3"/>
      <c r="S2014" s="3"/>
      <c r="T2014" s="3"/>
      <c r="U2014" s="3"/>
      <c r="V2014" s="3"/>
      <c r="W2014" s="3"/>
      <c r="X2014" s="3"/>
      <c r="Y2014" s="4"/>
      <c r="Z2014"/>
      <c r="AA2014"/>
    </row>
    <row r="2015" spans="1:27" s="49" customFormat="1" x14ac:dyDescent="0.15">
      <c r="A2015" s="165"/>
      <c r="B2015" s="93"/>
      <c r="C2015" s="102"/>
      <c r="D2015" s="62"/>
      <c r="E2015" s="102"/>
      <c r="F2015" s="102"/>
      <c r="G2015" s="102"/>
      <c r="H2015" s="85"/>
      <c r="I2015" s="104"/>
      <c r="J2015" s="144"/>
      <c r="K2015" s="62"/>
      <c r="M2015" s="37"/>
      <c r="N2015" s="37"/>
      <c r="O2015" s="37"/>
      <c r="P2015" s="3"/>
      <c r="Q2015" s="3"/>
      <c r="R2015" s="3"/>
      <c r="S2015" s="3"/>
      <c r="T2015" s="3"/>
      <c r="U2015" s="3"/>
      <c r="V2015" s="3"/>
      <c r="W2015" s="3"/>
      <c r="X2015" s="3"/>
      <c r="Y2015" s="4"/>
      <c r="Z2015"/>
      <c r="AA2015"/>
    </row>
    <row r="2016" spans="1:27" s="49" customFormat="1" x14ac:dyDescent="0.15">
      <c r="A2016" s="165"/>
      <c r="B2016" s="93"/>
      <c r="C2016" s="102"/>
      <c r="D2016" s="62"/>
      <c r="E2016" s="102"/>
      <c r="F2016" s="102"/>
      <c r="G2016" s="102"/>
      <c r="H2016" s="85"/>
      <c r="I2016" s="104"/>
      <c r="J2016" s="144"/>
      <c r="K2016" s="62"/>
      <c r="M2016" s="37"/>
      <c r="N2016" s="37"/>
      <c r="O2016" s="37"/>
      <c r="P2016" s="3"/>
      <c r="Q2016" s="3"/>
      <c r="R2016" s="3"/>
      <c r="S2016" s="3"/>
      <c r="T2016" s="3"/>
      <c r="U2016" s="3"/>
      <c r="V2016" s="3"/>
      <c r="W2016" s="3"/>
      <c r="X2016" s="3"/>
      <c r="Y2016" s="4"/>
      <c r="Z2016"/>
      <c r="AA2016"/>
    </row>
    <row r="2017" spans="1:27" s="49" customFormat="1" x14ac:dyDescent="0.15">
      <c r="A2017" s="165"/>
      <c r="B2017" s="93"/>
      <c r="C2017" s="102"/>
      <c r="D2017" s="62"/>
      <c r="E2017" s="100"/>
      <c r="F2017" s="102"/>
      <c r="G2017" s="102"/>
      <c r="H2017" s="85"/>
      <c r="I2017" s="104"/>
      <c r="J2017" s="144"/>
      <c r="K2017" s="62"/>
      <c r="M2017" s="37"/>
      <c r="N2017" s="37"/>
      <c r="O2017" s="37"/>
      <c r="P2017" s="3"/>
      <c r="Q2017" s="3"/>
      <c r="R2017" s="3"/>
      <c r="S2017" s="3"/>
      <c r="T2017" s="3"/>
      <c r="U2017" s="3"/>
      <c r="V2017" s="3"/>
      <c r="W2017" s="3"/>
      <c r="X2017" s="3"/>
      <c r="Y2017" s="4"/>
      <c r="Z2017"/>
      <c r="AA2017"/>
    </row>
    <row r="2018" spans="1:27" s="49" customFormat="1" x14ac:dyDescent="0.15">
      <c r="A2018" s="165"/>
      <c r="B2018" s="93"/>
      <c r="C2018" s="102"/>
      <c r="D2018" s="62"/>
      <c r="E2018" s="102"/>
      <c r="F2018" s="102"/>
      <c r="G2018" s="102"/>
      <c r="H2018" s="85"/>
      <c r="I2018" s="104"/>
      <c r="J2018" s="144"/>
      <c r="K2018" s="62"/>
      <c r="M2018" s="37"/>
      <c r="N2018" s="37"/>
      <c r="O2018" s="37"/>
      <c r="P2018" s="3"/>
      <c r="Q2018" s="3"/>
      <c r="R2018" s="3"/>
      <c r="S2018" s="3"/>
      <c r="T2018" s="3"/>
      <c r="U2018" s="3"/>
      <c r="V2018" s="3"/>
      <c r="W2018" s="3"/>
      <c r="X2018" s="3"/>
      <c r="Y2018" s="4"/>
      <c r="Z2018"/>
      <c r="AA2018"/>
    </row>
    <row r="2019" spans="1:27" s="49" customFormat="1" x14ac:dyDescent="0.15">
      <c r="A2019" s="165"/>
      <c r="B2019" s="93"/>
      <c r="C2019" s="102"/>
      <c r="D2019" s="62"/>
      <c r="E2019" s="100"/>
      <c r="F2019" s="102"/>
      <c r="G2019" s="102"/>
      <c r="H2019" s="103"/>
      <c r="I2019" s="98"/>
      <c r="J2019" s="141"/>
      <c r="K2019" s="61"/>
      <c r="M2019" s="37"/>
      <c r="N2019" s="37"/>
      <c r="O2019" s="37"/>
      <c r="P2019" s="3"/>
      <c r="Q2019" s="3"/>
      <c r="R2019" s="3"/>
      <c r="S2019" s="3"/>
      <c r="T2019" s="3"/>
      <c r="U2019" s="3"/>
      <c r="V2019" s="3"/>
      <c r="W2019" s="3"/>
      <c r="X2019" s="3"/>
      <c r="Y2019" s="4"/>
      <c r="Z2019"/>
      <c r="AA2019"/>
    </row>
    <row r="2020" spans="1:27" s="49" customFormat="1" x14ac:dyDescent="0.15">
      <c r="A2020" s="165"/>
      <c r="B2020" s="93"/>
      <c r="C2020" s="102"/>
      <c r="D2020" s="62"/>
      <c r="E2020" s="102"/>
      <c r="F2020" s="102"/>
      <c r="G2020" s="102"/>
      <c r="H2020" s="85"/>
      <c r="I2020" s="104"/>
      <c r="J2020" s="144"/>
      <c r="K2020" s="62"/>
      <c r="M2020" s="37"/>
      <c r="N2020" s="37"/>
      <c r="O2020" s="37"/>
      <c r="P2020" s="3"/>
      <c r="Q2020" s="3"/>
      <c r="R2020" s="3"/>
      <c r="S2020" s="3"/>
      <c r="T2020" s="3"/>
      <c r="U2020" s="3"/>
      <c r="V2020" s="3"/>
      <c r="W2020" s="3"/>
      <c r="X2020" s="3"/>
      <c r="Y2020" s="4"/>
      <c r="Z2020"/>
      <c r="AA2020"/>
    </row>
    <row r="2021" spans="1:27" s="49" customFormat="1" x14ac:dyDescent="0.15">
      <c r="A2021" s="165"/>
      <c r="B2021" s="93"/>
      <c r="C2021" s="102"/>
      <c r="D2021" s="62"/>
      <c r="E2021" s="102"/>
      <c r="F2021" s="102"/>
      <c r="G2021" s="102"/>
      <c r="H2021" s="85"/>
      <c r="I2021" s="104"/>
      <c r="J2021" s="144"/>
      <c r="K2021" s="62"/>
      <c r="M2021" s="37"/>
      <c r="N2021" s="37"/>
      <c r="O2021" s="37"/>
      <c r="P2021" s="3"/>
      <c r="Q2021" s="3"/>
      <c r="R2021" s="3"/>
      <c r="S2021" s="3"/>
      <c r="T2021" s="3"/>
      <c r="U2021" s="3"/>
      <c r="V2021" s="3"/>
      <c r="W2021" s="3"/>
      <c r="X2021" s="3"/>
      <c r="Y2021" s="4"/>
      <c r="Z2021"/>
      <c r="AA2021"/>
    </row>
    <row r="2022" spans="1:27" s="49" customFormat="1" x14ac:dyDescent="0.15">
      <c r="A2022" s="165"/>
      <c r="B2022" s="93"/>
      <c r="C2022" s="102"/>
      <c r="D2022" s="62"/>
      <c r="E2022" s="100"/>
      <c r="F2022" s="102"/>
      <c r="G2022" s="102"/>
      <c r="H2022" s="85"/>
      <c r="I2022" s="104"/>
      <c r="J2022" s="143"/>
      <c r="K2022" s="61"/>
      <c r="M2022" s="37"/>
      <c r="N2022" s="37"/>
      <c r="O2022" s="37"/>
      <c r="P2022" s="3"/>
      <c r="Q2022" s="3"/>
      <c r="R2022" s="3"/>
      <c r="S2022" s="3"/>
      <c r="T2022" s="3"/>
      <c r="U2022" s="3"/>
      <c r="V2022" s="3"/>
      <c r="W2022" s="3"/>
      <c r="X2022" s="3"/>
      <c r="Y2022" s="4"/>
      <c r="Z2022"/>
      <c r="AA2022"/>
    </row>
    <row r="2023" spans="1:27" s="49" customFormat="1" x14ac:dyDescent="0.15">
      <c r="A2023" s="165"/>
      <c r="B2023" s="93"/>
      <c r="C2023" s="102"/>
      <c r="D2023" s="62"/>
      <c r="E2023" s="102"/>
      <c r="F2023" s="102"/>
      <c r="G2023" s="102"/>
      <c r="H2023" s="85"/>
      <c r="I2023" s="104"/>
      <c r="J2023" s="144"/>
      <c r="K2023" s="62"/>
      <c r="M2023" s="37"/>
      <c r="N2023" s="37"/>
      <c r="O2023" s="37"/>
      <c r="P2023" s="3"/>
      <c r="Q2023" s="3"/>
      <c r="R2023" s="3"/>
      <c r="S2023" s="3"/>
      <c r="T2023" s="3"/>
      <c r="U2023" s="3"/>
      <c r="V2023" s="3"/>
      <c r="W2023" s="3"/>
      <c r="X2023" s="3"/>
      <c r="Y2023" s="4"/>
      <c r="Z2023"/>
      <c r="AA2023"/>
    </row>
    <row r="2024" spans="1:27" s="49" customFormat="1" x14ac:dyDescent="0.15">
      <c r="A2024" s="165"/>
      <c r="B2024" s="93"/>
      <c r="C2024" s="102"/>
      <c r="D2024" s="62"/>
      <c r="E2024" s="102"/>
      <c r="F2024" s="102"/>
      <c r="G2024" s="102"/>
      <c r="H2024" s="85"/>
      <c r="I2024" s="104"/>
      <c r="J2024" s="144"/>
      <c r="K2024" s="62"/>
      <c r="M2024" s="37"/>
      <c r="N2024" s="37"/>
      <c r="O2024" s="37"/>
      <c r="P2024" s="3"/>
      <c r="Q2024" s="3"/>
      <c r="R2024" s="3"/>
      <c r="S2024" s="3"/>
      <c r="T2024" s="3"/>
      <c r="U2024" s="3"/>
      <c r="V2024" s="3"/>
      <c r="W2024" s="3"/>
      <c r="X2024" s="3"/>
      <c r="Y2024" s="4"/>
      <c r="Z2024"/>
      <c r="AA2024"/>
    </row>
    <row r="2025" spans="1:27" s="49" customFormat="1" x14ac:dyDescent="0.15">
      <c r="A2025" s="165"/>
      <c r="B2025" s="93"/>
      <c r="C2025" s="102"/>
      <c r="D2025" s="62"/>
      <c r="E2025" s="102"/>
      <c r="F2025" s="102"/>
      <c r="G2025" s="102"/>
      <c r="H2025" s="85"/>
      <c r="I2025" s="104"/>
      <c r="J2025" s="144"/>
      <c r="K2025" s="62"/>
      <c r="M2025" s="37"/>
      <c r="N2025" s="37"/>
      <c r="O2025" s="37"/>
      <c r="P2025" s="3"/>
      <c r="Q2025" s="3"/>
      <c r="R2025" s="3"/>
      <c r="S2025" s="3"/>
      <c r="T2025" s="3"/>
      <c r="U2025" s="3"/>
      <c r="V2025" s="3"/>
      <c r="W2025" s="3"/>
      <c r="X2025" s="3"/>
      <c r="Y2025" s="4"/>
      <c r="Z2025"/>
      <c r="AA2025"/>
    </row>
    <row r="2026" spans="1:27" s="49" customFormat="1" x14ac:dyDescent="0.15">
      <c r="A2026" s="165"/>
      <c r="B2026" s="93"/>
      <c r="C2026" s="102"/>
      <c r="D2026" s="62"/>
      <c r="E2026" s="102"/>
      <c r="F2026" s="102"/>
      <c r="G2026" s="102"/>
      <c r="H2026" s="85"/>
      <c r="I2026" s="104"/>
      <c r="J2026" s="144"/>
      <c r="K2026" s="62"/>
      <c r="M2026" s="37"/>
      <c r="N2026" s="37"/>
      <c r="O2026" s="37"/>
      <c r="P2026" s="3"/>
      <c r="Q2026" s="3"/>
      <c r="R2026" s="3"/>
      <c r="S2026" s="3"/>
      <c r="T2026" s="3"/>
      <c r="U2026" s="3"/>
      <c r="V2026" s="3"/>
      <c r="W2026" s="3"/>
      <c r="X2026" s="3"/>
      <c r="Y2026" s="4"/>
      <c r="Z2026"/>
      <c r="AA2026"/>
    </row>
    <row r="2027" spans="1:27" s="49" customFormat="1" x14ac:dyDescent="0.15">
      <c r="A2027" s="165"/>
      <c r="B2027" s="93"/>
      <c r="C2027" s="102"/>
      <c r="D2027" s="62"/>
      <c r="E2027" s="102"/>
      <c r="F2027" s="102"/>
      <c r="G2027" s="102"/>
      <c r="H2027" s="85"/>
      <c r="I2027" s="104"/>
      <c r="J2027" s="144"/>
      <c r="K2027" s="62"/>
      <c r="M2027" s="37"/>
      <c r="N2027" s="37"/>
      <c r="O2027" s="37"/>
      <c r="P2027" s="3"/>
      <c r="Q2027" s="3"/>
      <c r="R2027" s="3"/>
      <c r="S2027" s="3"/>
      <c r="T2027" s="3"/>
      <c r="U2027" s="3"/>
      <c r="V2027" s="3"/>
      <c r="W2027" s="3"/>
      <c r="X2027" s="3"/>
      <c r="Y2027" s="4"/>
      <c r="Z2027"/>
      <c r="AA2027"/>
    </row>
    <row r="2028" spans="1:27" s="49" customFormat="1" x14ac:dyDescent="0.15">
      <c r="A2028" s="165"/>
      <c r="B2028" s="93"/>
      <c r="C2028" s="102"/>
      <c r="D2028" s="62"/>
      <c r="E2028" s="102"/>
      <c r="F2028" s="102"/>
      <c r="G2028" s="102"/>
      <c r="H2028" s="85"/>
      <c r="I2028" s="104"/>
      <c r="J2028" s="144"/>
      <c r="K2028" s="62"/>
      <c r="M2028" s="37"/>
      <c r="N2028" s="37"/>
      <c r="O2028" s="37"/>
      <c r="P2028" s="3"/>
      <c r="Q2028" s="3"/>
      <c r="R2028" s="3"/>
      <c r="S2028" s="3"/>
      <c r="T2028" s="3"/>
      <c r="U2028" s="3"/>
      <c r="V2028" s="3"/>
      <c r="W2028" s="3"/>
      <c r="X2028" s="3"/>
      <c r="Y2028" s="4"/>
      <c r="Z2028"/>
      <c r="AA2028"/>
    </row>
    <row r="2029" spans="1:27" s="49" customFormat="1" x14ac:dyDescent="0.15">
      <c r="A2029" s="165"/>
      <c r="B2029" s="93"/>
      <c r="C2029" s="102"/>
      <c r="D2029" s="62"/>
      <c r="E2029" s="102"/>
      <c r="F2029" s="102"/>
      <c r="G2029" s="102"/>
      <c r="H2029" s="85"/>
      <c r="I2029" s="104"/>
      <c r="J2029" s="144"/>
      <c r="K2029" s="62"/>
      <c r="M2029" s="37"/>
      <c r="N2029" s="37"/>
      <c r="O2029" s="37"/>
      <c r="P2029" s="3"/>
      <c r="Q2029" s="3"/>
      <c r="R2029" s="3"/>
      <c r="S2029" s="3"/>
      <c r="T2029" s="3"/>
      <c r="U2029" s="3"/>
      <c r="V2029" s="3"/>
      <c r="W2029" s="3"/>
      <c r="X2029" s="3"/>
      <c r="Y2029" s="4"/>
      <c r="Z2029"/>
      <c r="AA2029"/>
    </row>
    <row r="2030" spans="1:27" s="49" customFormat="1" x14ac:dyDescent="0.15">
      <c r="A2030" s="165"/>
      <c r="B2030" s="93"/>
      <c r="C2030" s="102"/>
      <c r="D2030" s="62"/>
      <c r="E2030" s="102"/>
      <c r="F2030" s="102"/>
      <c r="G2030" s="102"/>
      <c r="H2030" s="85"/>
      <c r="I2030" s="104"/>
      <c r="J2030" s="144"/>
      <c r="K2030" s="62"/>
      <c r="M2030" s="37"/>
      <c r="N2030" s="37"/>
      <c r="O2030" s="37"/>
      <c r="P2030" s="3"/>
      <c r="Q2030" s="3"/>
      <c r="R2030" s="3"/>
      <c r="S2030" s="3"/>
      <c r="T2030" s="3"/>
      <c r="U2030" s="3"/>
      <c r="V2030" s="3"/>
      <c r="W2030" s="3"/>
      <c r="X2030" s="3"/>
      <c r="Y2030" s="4"/>
      <c r="Z2030"/>
      <c r="AA2030"/>
    </row>
    <row r="2031" spans="1:27" s="49" customFormat="1" x14ac:dyDescent="0.15">
      <c r="A2031" s="165"/>
      <c r="B2031" s="93"/>
      <c r="C2031" s="102"/>
      <c r="D2031" s="62"/>
      <c r="E2031" s="102"/>
      <c r="F2031" s="102"/>
      <c r="G2031" s="102"/>
      <c r="H2031" s="85"/>
      <c r="I2031" s="104"/>
      <c r="J2031" s="144"/>
      <c r="K2031" s="62"/>
      <c r="M2031" s="37"/>
      <c r="N2031" s="37"/>
      <c r="O2031" s="37"/>
      <c r="P2031" s="3"/>
      <c r="Q2031" s="3"/>
      <c r="R2031" s="3"/>
      <c r="S2031" s="3"/>
      <c r="T2031" s="3"/>
      <c r="U2031" s="3"/>
      <c r="V2031" s="3"/>
      <c r="W2031" s="3"/>
      <c r="X2031" s="3"/>
      <c r="Y2031" s="4"/>
      <c r="Z2031"/>
      <c r="AA2031"/>
    </row>
    <row r="2032" spans="1:27" s="49" customFormat="1" x14ac:dyDescent="0.15">
      <c r="A2032" s="165"/>
      <c r="B2032" s="93"/>
      <c r="C2032" s="102"/>
      <c r="D2032" s="62"/>
      <c r="E2032" s="102"/>
      <c r="F2032" s="102"/>
      <c r="G2032" s="102"/>
      <c r="H2032" s="85"/>
      <c r="I2032" s="104"/>
      <c r="J2032" s="144"/>
      <c r="K2032" s="62"/>
      <c r="M2032" s="37"/>
      <c r="N2032" s="37"/>
      <c r="O2032" s="37"/>
      <c r="P2032" s="3"/>
      <c r="Q2032" s="3"/>
      <c r="R2032" s="3"/>
      <c r="S2032" s="3"/>
      <c r="T2032" s="3"/>
      <c r="U2032" s="3"/>
      <c r="V2032" s="3"/>
      <c r="W2032" s="3"/>
      <c r="X2032" s="3"/>
      <c r="Y2032" s="4"/>
      <c r="Z2032"/>
      <c r="AA2032"/>
    </row>
    <row r="2033" spans="1:27" s="49" customFormat="1" x14ac:dyDescent="0.15">
      <c r="A2033" s="165"/>
      <c r="B2033" s="93"/>
      <c r="C2033" s="102"/>
      <c r="D2033" s="62"/>
      <c r="E2033" s="102"/>
      <c r="F2033" s="102"/>
      <c r="G2033" s="102"/>
      <c r="H2033" s="85"/>
      <c r="I2033" s="104"/>
      <c r="J2033" s="144"/>
      <c r="K2033" s="62"/>
      <c r="M2033" s="37"/>
      <c r="N2033" s="37"/>
      <c r="O2033" s="37"/>
      <c r="P2033" s="3"/>
      <c r="Q2033" s="3"/>
      <c r="R2033" s="3"/>
      <c r="S2033" s="3"/>
      <c r="T2033" s="3"/>
      <c r="U2033" s="3"/>
      <c r="V2033" s="3"/>
      <c r="W2033" s="3"/>
      <c r="X2033" s="3"/>
      <c r="Y2033" s="4"/>
      <c r="Z2033"/>
      <c r="AA2033"/>
    </row>
    <row r="2034" spans="1:27" s="49" customFormat="1" x14ac:dyDescent="0.15">
      <c r="A2034" s="165"/>
      <c r="B2034" s="93"/>
      <c r="C2034" s="102"/>
      <c r="D2034" s="62"/>
      <c r="E2034" s="102"/>
      <c r="F2034" s="102"/>
      <c r="G2034" s="102"/>
      <c r="H2034" s="103"/>
      <c r="I2034" s="98"/>
      <c r="J2034" s="135"/>
      <c r="K2034" s="62"/>
      <c r="M2034" s="37"/>
      <c r="N2034" s="37"/>
      <c r="O2034" s="37"/>
      <c r="P2034" s="3"/>
      <c r="Q2034" s="3"/>
      <c r="R2034" s="3"/>
      <c r="S2034" s="3"/>
      <c r="T2034" s="3"/>
      <c r="U2034" s="3"/>
      <c r="V2034" s="3"/>
      <c r="W2034" s="3"/>
      <c r="X2034" s="3"/>
      <c r="Y2034" s="4"/>
      <c r="Z2034"/>
      <c r="AA2034"/>
    </row>
    <row r="2035" spans="1:27" s="49" customFormat="1" x14ac:dyDescent="0.15">
      <c r="A2035" s="165"/>
      <c r="B2035" s="93"/>
      <c r="C2035" s="102"/>
      <c r="D2035" s="62"/>
      <c r="E2035" s="102"/>
      <c r="F2035" s="102"/>
      <c r="G2035" s="102"/>
      <c r="H2035" s="103"/>
      <c r="I2035" s="98"/>
      <c r="J2035" s="135"/>
      <c r="K2035" s="62"/>
      <c r="M2035" s="37"/>
      <c r="N2035" s="37"/>
      <c r="O2035" s="37"/>
      <c r="P2035" s="3"/>
      <c r="Q2035" s="3"/>
      <c r="R2035" s="3"/>
      <c r="S2035" s="3"/>
      <c r="T2035" s="3"/>
      <c r="U2035" s="3"/>
      <c r="V2035" s="3"/>
      <c r="W2035" s="3"/>
      <c r="X2035" s="3"/>
      <c r="Y2035" s="4"/>
      <c r="Z2035"/>
      <c r="AA2035"/>
    </row>
    <row r="2036" spans="1:27" s="49" customFormat="1" x14ac:dyDescent="0.15">
      <c r="A2036" s="165"/>
      <c r="B2036" s="93"/>
      <c r="C2036" s="102"/>
      <c r="D2036" s="62"/>
      <c r="E2036" s="100"/>
      <c r="F2036" s="102"/>
      <c r="G2036" s="102"/>
      <c r="H2036" s="103"/>
      <c r="I2036" s="98"/>
      <c r="J2036" s="135"/>
      <c r="K2036" s="62"/>
      <c r="M2036" s="37"/>
      <c r="N2036" s="37"/>
      <c r="O2036" s="37"/>
      <c r="P2036" s="3"/>
      <c r="Q2036" s="3"/>
      <c r="R2036" s="3"/>
      <c r="S2036" s="3"/>
      <c r="T2036" s="3"/>
      <c r="U2036" s="3"/>
      <c r="V2036" s="3"/>
      <c r="W2036" s="3"/>
      <c r="X2036" s="3"/>
      <c r="Y2036" s="4"/>
      <c r="Z2036"/>
      <c r="AA2036"/>
    </row>
    <row r="2037" spans="1:27" s="49" customFormat="1" x14ac:dyDescent="0.15">
      <c r="A2037" s="165"/>
      <c r="B2037" s="93"/>
      <c r="C2037" s="102"/>
      <c r="D2037" s="62"/>
      <c r="E2037" s="102"/>
      <c r="F2037" s="102"/>
      <c r="G2037" s="102"/>
      <c r="H2037" s="85"/>
      <c r="I2037" s="104"/>
      <c r="J2037" s="144"/>
      <c r="K2037" s="62"/>
      <c r="M2037" s="37"/>
      <c r="N2037" s="37"/>
      <c r="O2037" s="37"/>
      <c r="P2037" s="3"/>
      <c r="Q2037" s="3"/>
      <c r="R2037" s="3"/>
      <c r="S2037" s="3"/>
      <c r="T2037" s="3"/>
      <c r="U2037" s="3"/>
      <c r="V2037" s="3"/>
      <c r="W2037" s="3"/>
      <c r="X2037" s="3"/>
      <c r="Y2037" s="4"/>
      <c r="Z2037"/>
      <c r="AA2037"/>
    </row>
    <row r="2038" spans="1:27" s="49" customFormat="1" x14ac:dyDescent="0.15">
      <c r="A2038" s="165"/>
      <c r="B2038" s="93"/>
      <c r="C2038" s="102"/>
      <c r="D2038" s="62"/>
      <c r="E2038" s="102"/>
      <c r="F2038" s="102"/>
      <c r="G2038" s="102"/>
      <c r="H2038" s="85"/>
      <c r="I2038" s="104"/>
      <c r="J2038" s="144"/>
      <c r="K2038" s="62"/>
      <c r="M2038" s="37"/>
      <c r="N2038" s="37"/>
      <c r="O2038" s="37"/>
      <c r="P2038" s="3"/>
      <c r="Q2038" s="3"/>
      <c r="R2038" s="3"/>
      <c r="S2038" s="3"/>
      <c r="T2038" s="3"/>
      <c r="U2038" s="3"/>
      <c r="V2038" s="3"/>
      <c r="W2038" s="3"/>
      <c r="X2038" s="3"/>
      <c r="Y2038" s="4"/>
      <c r="Z2038"/>
      <c r="AA2038"/>
    </row>
    <row r="2039" spans="1:27" s="49" customFormat="1" x14ac:dyDescent="0.15">
      <c r="A2039" s="165"/>
      <c r="B2039" s="93"/>
      <c r="C2039" s="102"/>
      <c r="D2039" s="62"/>
      <c r="E2039" s="102"/>
      <c r="F2039" s="102"/>
      <c r="G2039" s="102"/>
      <c r="H2039" s="85"/>
      <c r="I2039" s="104"/>
      <c r="J2039" s="144"/>
      <c r="K2039" s="62"/>
      <c r="M2039" s="37"/>
      <c r="N2039" s="37"/>
      <c r="O2039" s="37"/>
      <c r="P2039" s="3"/>
      <c r="Q2039" s="3"/>
      <c r="R2039" s="3"/>
      <c r="S2039" s="3"/>
      <c r="T2039" s="3"/>
      <c r="U2039" s="3"/>
      <c r="V2039" s="3"/>
      <c r="W2039" s="3"/>
      <c r="X2039" s="3"/>
      <c r="Y2039" s="4"/>
      <c r="Z2039"/>
      <c r="AA2039"/>
    </row>
    <row r="2040" spans="1:27" s="49" customFormat="1" x14ac:dyDescent="0.15">
      <c r="A2040" s="165"/>
      <c r="B2040" s="93"/>
      <c r="C2040" s="102"/>
      <c r="D2040" s="62"/>
      <c r="E2040" s="102"/>
      <c r="F2040" s="102"/>
      <c r="G2040" s="102"/>
      <c r="H2040" s="103"/>
      <c r="I2040" s="98"/>
      <c r="J2040" s="135"/>
      <c r="K2040" s="62"/>
      <c r="M2040" s="37"/>
      <c r="N2040" s="37"/>
      <c r="O2040" s="37"/>
      <c r="P2040" s="3"/>
      <c r="Q2040" s="3"/>
      <c r="R2040" s="3"/>
      <c r="S2040" s="3"/>
      <c r="T2040" s="3"/>
      <c r="U2040" s="3"/>
      <c r="V2040" s="3"/>
      <c r="W2040" s="3"/>
      <c r="X2040" s="3"/>
      <c r="Y2040" s="4"/>
      <c r="Z2040"/>
      <c r="AA2040"/>
    </row>
    <row r="2041" spans="1:27" s="49" customFormat="1" x14ac:dyDescent="0.15">
      <c r="A2041" s="165"/>
      <c r="B2041" s="93"/>
      <c r="C2041" s="102"/>
      <c r="D2041" s="62"/>
      <c r="E2041" s="102"/>
      <c r="F2041" s="102"/>
      <c r="G2041" s="102"/>
      <c r="H2041" s="103"/>
      <c r="I2041" s="98"/>
      <c r="J2041" s="135"/>
      <c r="K2041" s="62"/>
      <c r="M2041" s="37"/>
      <c r="N2041" s="37"/>
      <c r="O2041" s="37"/>
      <c r="P2041" s="3"/>
      <c r="Q2041" s="3"/>
      <c r="R2041" s="3"/>
      <c r="S2041" s="3"/>
      <c r="T2041" s="3"/>
      <c r="U2041" s="3"/>
      <c r="V2041" s="3"/>
      <c r="W2041" s="3"/>
      <c r="X2041" s="3"/>
      <c r="Y2041" s="4"/>
      <c r="Z2041"/>
      <c r="AA2041"/>
    </row>
    <row r="2042" spans="1:27" s="49" customFormat="1" x14ac:dyDescent="0.15">
      <c r="A2042" s="165"/>
      <c r="B2042" s="93"/>
      <c r="C2042" s="102"/>
      <c r="D2042" s="62"/>
      <c r="E2042" s="102"/>
      <c r="F2042" s="102"/>
      <c r="G2042" s="102"/>
      <c r="H2042" s="85"/>
      <c r="I2042" s="104"/>
      <c r="J2042" s="144"/>
      <c r="K2042" s="62"/>
      <c r="M2042" s="37"/>
      <c r="N2042" s="37"/>
      <c r="O2042" s="37"/>
      <c r="P2042" s="3"/>
      <c r="Q2042" s="3"/>
      <c r="R2042" s="3"/>
      <c r="S2042" s="3"/>
      <c r="T2042" s="3"/>
      <c r="U2042" s="3"/>
      <c r="V2042" s="3"/>
      <c r="W2042" s="3"/>
      <c r="X2042" s="3"/>
      <c r="Y2042" s="4"/>
      <c r="Z2042"/>
      <c r="AA2042"/>
    </row>
    <row r="2043" spans="1:27" s="49" customFormat="1" x14ac:dyDescent="0.15">
      <c r="A2043" s="165"/>
      <c r="B2043" s="82"/>
      <c r="C2043" s="107"/>
      <c r="D2043" s="62"/>
      <c r="E2043" s="107"/>
      <c r="F2043" s="107"/>
      <c r="G2043" s="107"/>
      <c r="H2043" s="85"/>
      <c r="I2043" s="104"/>
      <c r="J2043" s="144"/>
      <c r="K2043" s="62"/>
      <c r="M2043" s="37"/>
      <c r="N2043" s="37"/>
      <c r="O2043" s="37"/>
      <c r="P2043" s="3"/>
      <c r="Q2043" s="3"/>
      <c r="R2043" s="3"/>
      <c r="S2043" s="3"/>
      <c r="T2043" s="3"/>
      <c r="U2043" s="3"/>
      <c r="V2043" s="3"/>
      <c r="W2043" s="3"/>
      <c r="X2043" s="3"/>
      <c r="Y2043" s="4"/>
      <c r="Z2043"/>
      <c r="AA2043"/>
    </row>
    <row r="2044" spans="1:27" s="49" customFormat="1" x14ac:dyDescent="0.15">
      <c r="A2044" s="165"/>
      <c r="B2044" s="93"/>
      <c r="C2044" s="102"/>
      <c r="D2044" s="62"/>
      <c r="E2044" s="102"/>
      <c r="F2044" s="102"/>
      <c r="G2044" s="102"/>
      <c r="H2044" s="85"/>
      <c r="I2044" s="104"/>
      <c r="J2044" s="144"/>
      <c r="K2044" s="62"/>
      <c r="M2044" s="37"/>
      <c r="N2044" s="37"/>
      <c r="O2044" s="37"/>
      <c r="P2044" s="3"/>
      <c r="Q2044" s="3"/>
      <c r="R2044" s="3"/>
      <c r="S2044" s="3"/>
      <c r="T2044" s="3"/>
      <c r="U2044" s="3"/>
      <c r="V2044" s="3"/>
      <c r="W2044" s="3"/>
      <c r="X2044" s="3"/>
      <c r="Y2044" s="4"/>
      <c r="Z2044"/>
      <c r="AA2044"/>
    </row>
    <row r="2045" spans="1:27" s="49" customFormat="1" x14ac:dyDescent="0.15">
      <c r="A2045" s="165"/>
      <c r="B2045" s="93"/>
      <c r="C2045" s="102"/>
      <c r="D2045" s="62"/>
      <c r="E2045" s="102"/>
      <c r="F2045" s="102"/>
      <c r="G2045" s="102"/>
      <c r="H2045" s="85"/>
      <c r="I2045" s="104"/>
      <c r="J2045" s="144"/>
      <c r="K2045" s="62"/>
      <c r="M2045" s="37"/>
      <c r="N2045" s="37"/>
      <c r="O2045" s="37"/>
      <c r="P2045" s="3"/>
      <c r="Q2045" s="3"/>
      <c r="R2045" s="3"/>
      <c r="S2045" s="3"/>
      <c r="T2045" s="3"/>
      <c r="U2045" s="3"/>
      <c r="V2045" s="3"/>
      <c r="W2045" s="3"/>
      <c r="X2045" s="3"/>
      <c r="Y2045" s="4"/>
      <c r="Z2045"/>
      <c r="AA2045"/>
    </row>
    <row r="2046" spans="1:27" s="49" customFormat="1" x14ac:dyDescent="0.15">
      <c r="A2046" s="165"/>
      <c r="B2046" s="82"/>
      <c r="C2046" s="107"/>
      <c r="D2046" s="62"/>
      <c r="E2046" s="107"/>
      <c r="F2046" s="107"/>
      <c r="G2046" s="107"/>
      <c r="H2046" s="85"/>
      <c r="I2046" s="104"/>
      <c r="J2046" s="144"/>
      <c r="K2046" s="62"/>
      <c r="M2046" s="37"/>
      <c r="N2046" s="37"/>
      <c r="O2046" s="37"/>
      <c r="P2046" s="3"/>
      <c r="Q2046" s="3"/>
      <c r="R2046" s="3"/>
      <c r="S2046" s="3"/>
      <c r="T2046" s="3"/>
      <c r="U2046" s="3"/>
      <c r="V2046" s="3"/>
      <c r="W2046" s="3"/>
      <c r="X2046" s="3"/>
      <c r="Y2046" s="4"/>
      <c r="Z2046"/>
      <c r="AA2046"/>
    </row>
    <row r="2047" spans="1:27" s="49" customFormat="1" x14ac:dyDescent="0.15">
      <c r="A2047" s="165"/>
      <c r="B2047" s="93"/>
      <c r="C2047" s="102"/>
      <c r="D2047" s="62"/>
      <c r="E2047" s="102"/>
      <c r="F2047" s="102"/>
      <c r="G2047" s="102"/>
      <c r="H2047" s="103"/>
      <c r="I2047" s="98"/>
      <c r="J2047" s="135"/>
      <c r="K2047" s="62"/>
      <c r="M2047" s="37"/>
      <c r="N2047" s="37"/>
      <c r="O2047" s="37"/>
      <c r="P2047" s="3"/>
      <c r="Q2047" s="3"/>
      <c r="R2047" s="3"/>
      <c r="S2047" s="3"/>
      <c r="T2047" s="3"/>
      <c r="U2047" s="3"/>
      <c r="V2047" s="3"/>
      <c r="W2047" s="3"/>
      <c r="X2047" s="3"/>
      <c r="Y2047" s="4"/>
      <c r="Z2047"/>
      <c r="AA2047"/>
    </row>
    <row r="2048" spans="1:27" s="49" customFormat="1" x14ac:dyDescent="0.15">
      <c r="A2048" s="165"/>
      <c r="B2048" s="93"/>
      <c r="C2048" s="102"/>
      <c r="D2048" s="62"/>
      <c r="E2048" s="102"/>
      <c r="F2048" s="102"/>
      <c r="G2048" s="102"/>
      <c r="H2048" s="103"/>
      <c r="I2048" s="98"/>
      <c r="J2048" s="135"/>
      <c r="K2048" s="62"/>
      <c r="M2048" s="37"/>
      <c r="N2048" s="37"/>
      <c r="O2048" s="37"/>
      <c r="P2048" s="3"/>
      <c r="Q2048" s="3"/>
      <c r="R2048" s="3"/>
      <c r="S2048" s="3"/>
      <c r="T2048" s="3"/>
      <c r="U2048" s="3"/>
      <c r="V2048" s="3"/>
      <c r="W2048" s="3"/>
      <c r="X2048" s="3"/>
      <c r="Y2048" s="4"/>
      <c r="Z2048"/>
      <c r="AA2048"/>
    </row>
    <row r="2049" spans="1:27" s="49" customFormat="1" x14ac:dyDescent="0.15">
      <c r="A2049" s="165"/>
      <c r="B2049" s="93"/>
      <c r="C2049" s="102"/>
      <c r="D2049" s="62"/>
      <c r="E2049" s="102"/>
      <c r="F2049" s="102"/>
      <c r="G2049" s="102"/>
      <c r="H2049" s="85"/>
      <c r="I2049" s="104"/>
      <c r="J2049" s="144"/>
      <c r="K2049" s="62"/>
      <c r="M2049" s="37"/>
      <c r="N2049" s="37"/>
      <c r="O2049" s="37"/>
      <c r="P2049" s="3"/>
      <c r="Q2049" s="3"/>
      <c r="R2049" s="3"/>
      <c r="S2049" s="3"/>
      <c r="T2049" s="3"/>
      <c r="U2049" s="3"/>
      <c r="V2049" s="3"/>
      <c r="W2049" s="3"/>
      <c r="X2049" s="3"/>
      <c r="Y2049" s="4"/>
      <c r="Z2049"/>
      <c r="AA2049"/>
    </row>
    <row r="2050" spans="1:27" s="49" customFormat="1" x14ac:dyDescent="0.15">
      <c r="A2050" s="165"/>
      <c r="B2050" s="93"/>
      <c r="C2050" s="102"/>
      <c r="D2050" s="62"/>
      <c r="E2050" s="102"/>
      <c r="F2050" s="102"/>
      <c r="G2050" s="102"/>
      <c r="H2050" s="85"/>
      <c r="I2050" s="104"/>
      <c r="J2050" s="144"/>
      <c r="K2050" s="62"/>
      <c r="M2050" s="37"/>
      <c r="N2050" s="37"/>
      <c r="O2050" s="37"/>
      <c r="P2050" s="3"/>
      <c r="Q2050" s="3"/>
      <c r="R2050" s="3"/>
      <c r="S2050" s="3"/>
      <c r="T2050" s="3"/>
      <c r="U2050" s="3"/>
      <c r="V2050" s="3"/>
      <c r="W2050" s="3"/>
      <c r="X2050" s="3"/>
      <c r="Y2050" s="4"/>
      <c r="Z2050"/>
      <c r="AA2050"/>
    </row>
    <row r="2051" spans="1:27" s="49" customFormat="1" x14ac:dyDescent="0.15">
      <c r="A2051" s="165"/>
      <c r="B2051" s="93"/>
      <c r="C2051" s="102"/>
      <c r="D2051" s="62"/>
      <c r="E2051" s="102"/>
      <c r="F2051" s="102"/>
      <c r="G2051" s="102"/>
      <c r="H2051" s="85"/>
      <c r="I2051" s="104"/>
      <c r="J2051" s="144"/>
      <c r="K2051" s="62"/>
      <c r="M2051" s="37"/>
      <c r="N2051" s="37"/>
      <c r="O2051" s="37"/>
      <c r="P2051" s="3"/>
      <c r="Q2051" s="3"/>
      <c r="R2051" s="3"/>
      <c r="S2051" s="3"/>
      <c r="T2051" s="3"/>
      <c r="U2051" s="3"/>
      <c r="V2051" s="3"/>
      <c r="W2051" s="3"/>
      <c r="X2051" s="3"/>
      <c r="Y2051" s="4"/>
      <c r="Z2051"/>
      <c r="AA2051"/>
    </row>
    <row r="2052" spans="1:27" s="49" customFormat="1" x14ac:dyDescent="0.15">
      <c r="A2052" s="165"/>
      <c r="B2052" s="93"/>
      <c r="C2052" s="102"/>
      <c r="D2052" s="62"/>
      <c r="E2052" s="102"/>
      <c r="F2052" s="102"/>
      <c r="G2052" s="102"/>
      <c r="H2052" s="85"/>
      <c r="I2052" s="104"/>
      <c r="J2052" s="144"/>
      <c r="K2052" s="62"/>
      <c r="M2052" s="37"/>
      <c r="N2052" s="37"/>
      <c r="O2052" s="37"/>
      <c r="P2052" s="3"/>
      <c r="Q2052" s="3"/>
      <c r="R2052" s="3"/>
      <c r="S2052" s="3"/>
      <c r="T2052" s="3"/>
      <c r="U2052" s="3"/>
      <c r="V2052" s="3"/>
      <c r="W2052" s="3"/>
      <c r="X2052" s="3"/>
      <c r="Y2052" s="4"/>
      <c r="Z2052"/>
      <c r="AA2052"/>
    </row>
    <row r="2053" spans="1:27" s="49" customFormat="1" x14ac:dyDescent="0.15">
      <c r="A2053" s="165"/>
      <c r="B2053" s="93"/>
      <c r="C2053" s="102"/>
      <c r="D2053" s="62"/>
      <c r="E2053" s="102"/>
      <c r="F2053" s="102"/>
      <c r="G2053" s="102"/>
      <c r="H2053" s="85"/>
      <c r="I2053" s="104"/>
      <c r="J2053" s="144"/>
      <c r="K2053" s="62"/>
      <c r="M2053" s="37"/>
      <c r="N2053" s="37"/>
      <c r="O2053" s="37"/>
      <c r="P2053" s="3"/>
      <c r="Q2053" s="3"/>
      <c r="R2053" s="3"/>
      <c r="S2053" s="3"/>
      <c r="T2053" s="3"/>
      <c r="U2053" s="3"/>
      <c r="V2053" s="3"/>
      <c r="W2053" s="3"/>
      <c r="X2053" s="3"/>
      <c r="Y2053" s="4"/>
      <c r="Z2053"/>
      <c r="AA2053"/>
    </row>
    <row r="2054" spans="1:27" s="49" customFormat="1" x14ac:dyDescent="0.15">
      <c r="A2054" s="165"/>
      <c r="B2054" s="82"/>
      <c r="C2054" s="107"/>
      <c r="D2054" s="62"/>
      <c r="E2054" s="107"/>
      <c r="F2054" s="107"/>
      <c r="G2054" s="107"/>
      <c r="H2054" s="85"/>
      <c r="I2054" s="104"/>
      <c r="J2054" s="144"/>
      <c r="K2054" s="62"/>
      <c r="M2054" s="37"/>
      <c r="N2054" s="37"/>
      <c r="O2054" s="37"/>
      <c r="P2054" s="3"/>
      <c r="Q2054" s="3"/>
      <c r="R2054" s="3"/>
      <c r="S2054" s="3"/>
      <c r="T2054" s="3"/>
      <c r="U2054" s="3"/>
      <c r="V2054" s="3"/>
      <c r="W2054" s="3"/>
      <c r="X2054" s="3"/>
      <c r="Y2054" s="4"/>
      <c r="Z2054"/>
      <c r="AA2054"/>
    </row>
    <row r="2055" spans="1:27" s="49" customFormat="1" x14ac:dyDescent="0.15">
      <c r="A2055" s="165"/>
      <c r="B2055" s="93"/>
      <c r="C2055" s="102"/>
      <c r="D2055" s="62"/>
      <c r="E2055" s="102"/>
      <c r="F2055" s="102"/>
      <c r="G2055" s="102"/>
      <c r="H2055" s="85"/>
      <c r="I2055" s="104"/>
      <c r="J2055" s="144"/>
      <c r="K2055" s="62"/>
      <c r="M2055" s="37"/>
      <c r="N2055" s="37"/>
      <c r="O2055" s="37"/>
      <c r="P2055" s="3"/>
      <c r="Q2055" s="3"/>
      <c r="R2055" s="3"/>
      <c r="S2055" s="3"/>
      <c r="T2055" s="3"/>
      <c r="U2055" s="3"/>
      <c r="V2055" s="3"/>
      <c r="W2055" s="3"/>
      <c r="X2055" s="3"/>
      <c r="Y2055" s="4"/>
      <c r="Z2055"/>
      <c r="AA2055"/>
    </row>
    <row r="2056" spans="1:27" s="49" customFormat="1" x14ac:dyDescent="0.15">
      <c r="A2056" s="165"/>
      <c r="B2056" s="93"/>
      <c r="C2056" s="102"/>
      <c r="D2056" s="62"/>
      <c r="E2056" s="102"/>
      <c r="F2056" s="102"/>
      <c r="G2056" s="102"/>
      <c r="H2056" s="85"/>
      <c r="I2056" s="104"/>
      <c r="J2056" s="144"/>
      <c r="K2056" s="62"/>
      <c r="M2056" s="37"/>
      <c r="N2056" s="37"/>
      <c r="O2056" s="37"/>
      <c r="P2056" s="3"/>
      <c r="Q2056" s="3"/>
      <c r="R2056" s="3"/>
      <c r="S2056" s="3"/>
      <c r="T2056" s="3"/>
      <c r="U2056" s="3"/>
      <c r="V2056" s="3"/>
      <c r="W2056" s="3"/>
      <c r="X2056" s="3"/>
      <c r="Y2056" s="4"/>
      <c r="Z2056"/>
      <c r="AA2056"/>
    </row>
    <row r="2057" spans="1:27" s="49" customFormat="1" x14ac:dyDescent="0.15">
      <c r="A2057" s="165"/>
      <c r="B2057" s="93"/>
      <c r="C2057" s="102"/>
      <c r="D2057" s="62"/>
      <c r="E2057" s="102"/>
      <c r="F2057" s="102"/>
      <c r="G2057" s="102"/>
      <c r="H2057" s="85"/>
      <c r="I2057" s="104"/>
      <c r="J2057" s="144"/>
      <c r="K2057" s="62"/>
      <c r="M2057" s="37"/>
      <c r="N2057" s="37"/>
      <c r="O2057" s="37"/>
      <c r="P2057" s="3"/>
      <c r="Q2057" s="3"/>
      <c r="R2057" s="3"/>
      <c r="S2057" s="3"/>
      <c r="T2057" s="3"/>
      <c r="U2057" s="3"/>
      <c r="V2057" s="3"/>
      <c r="W2057" s="3"/>
      <c r="X2057" s="3"/>
      <c r="Y2057" s="4"/>
      <c r="Z2057"/>
      <c r="AA2057"/>
    </row>
    <row r="2058" spans="1:27" s="49" customFormat="1" x14ac:dyDescent="0.15">
      <c r="A2058" s="165"/>
      <c r="B2058" s="93"/>
      <c r="C2058" s="102"/>
      <c r="D2058" s="62"/>
      <c r="E2058" s="102"/>
      <c r="F2058" s="102"/>
      <c r="G2058" s="102"/>
      <c r="H2058" s="85"/>
      <c r="I2058" s="98"/>
      <c r="J2058" s="135"/>
      <c r="K2058" s="61"/>
      <c r="M2058" s="37"/>
      <c r="N2058" s="37"/>
      <c r="O2058" s="37"/>
      <c r="P2058" s="3"/>
      <c r="Q2058" s="3"/>
      <c r="R2058" s="3"/>
      <c r="S2058" s="3"/>
      <c r="T2058" s="3"/>
      <c r="U2058" s="3"/>
      <c r="V2058" s="3"/>
      <c r="W2058" s="3"/>
      <c r="X2058" s="3"/>
      <c r="Y2058" s="4"/>
      <c r="Z2058"/>
      <c r="AA2058"/>
    </row>
    <row r="2059" spans="1:27" s="49" customFormat="1" x14ac:dyDescent="0.15">
      <c r="A2059" s="165"/>
      <c r="B2059" s="93"/>
      <c r="C2059" s="102"/>
      <c r="D2059" s="62"/>
      <c r="E2059" s="102"/>
      <c r="F2059" s="102"/>
      <c r="G2059" s="102"/>
      <c r="H2059" s="85"/>
      <c r="I2059" s="104"/>
      <c r="J2059" s="144"/>
      <c r="K2059" s="62"/>
      <c r="M2059" s="37"/>
      <c r="N2059" s="37"/>
      <c r="O2059" s="37"/>
      <c r="P2059" s="3"/>
      <c r="Q2059" s="3"/>
      <c r="R2059" s="3"/>
      <c r="S2059" s="3"/>
      <c r="T2059" s="3"/>
      <c r="U2059" s="3"/>
      <c r="V2059" s="3"/>
      <c r="W2059" s="3"/>
      <c r="X2059" s="3"/>
      <c r="Y2059" s="4"/>
      <c r="Z2059"/>
      <c r="AA2059"/>
    </row>
    <row r="2060" spans="1:27" s="49" customFormat="1" x14ac:dyDescent="0.15">
      <c r="A2060" s="165"/>
      <c r="B2060" s="93"/>
      <c r="C2060" s="102"/>
      <c r="D2060" s="62"/>
      <c r="E2060" s="102"/>
      <c r="F2060" s="102"/>
      <c r="G2060" s="102"/>
      <c r="H2060" s="85"/>
      <c r="I2060" s="104"/>
      <c r="J2060" s="144"/>
      <c r="K2060" s="62"/>
      <c r="M2060" s="37"/>
      <c r="N2060" s="37"/>
      <c r="O2060" s="37"/>
      <c r="P2060" s="3"/>
      <c r="Q2060" s="3"/>
      <c r="R2060" s="3"/>
      <c r="S2060" s="3"/>
      <c r="T2060" s="3"/>
      <c r="U2060" s="3"/>
      <c r="V2060" s="3"/>
      <c r="W2060" s="3"/>
      <c r="X2060" s="3"/>
      <c r="Y2060" s="4"/>
      <c r="Z2060"/>
      <c r="AA2060"/>
    </row>
    <row r="2061" spans="1:27" s="49" customFormat="1" x14ac:dyDescent="0.15">
      <c r="A2061" s="165"/>
      <c r="B2061" s="93"/>
      <c r="C2061" s="102"/>
      <c r="D2061" s="62"/>
      <c r="E2061" s="102"/>
      <c r="F2061" s="102"/>
      <c r="G2061" s="102"/>
      <c r="H2061" s="85"/>
      <c r="I2061" s="104"/>
      <c r="J2061" s="144"/>
      <c r="K2061" s="62"/>
      <c r="M2061" s="37"/>
      <c r="N2061" s="37"/>
      <c r="O2061" s="37"/>
      <c r="P2061" s="3"/>
      <c r="Q2061" s="3"/>
      <c r="R2061" s="3"/>
      <c r="S2061" s="3"/>
      <c r="T2061" s="3"/>
      <c r="U2061" s="3"/>
      <c r="V2061" s="3"/>
      <c r="W2061" s="3"/>
      <c r="X2061" s="3"/>
      <c r="Y2061" s="4"/>
      <c r="Z2061"/>
      <c r="AA2061"/>
    </row>
    <row r="2062" spans="1:27" s="49" customFormat="1" x14ac:dyDescent="0.15">
      <c r="A2062" s="165"/>
      <c r="B2062" s="93"/>
      <c r="C2062" s="102"/>
      <c r="D2062" s="62"/>
      <c r="E2062" s="102"/>
      <c r="F2062" s="102"/>
      <c r="G2062" s="102"/>
      <c r="H2062" s="85"/>
      <c r="I2062" s="104"/>
      <c r="J2062" s="144"/>
      <c r="K2062" s="62"/>
      <c r="M2062" s="37"/>
      <c r="N2062" s="37"/>
      <c r="O2062" s="37"/>
      <c r="P2062" s="3"/>
      <c r="Q2062" s="3"/>
      <c r="R2062" s="3"/>
      <c r="S2062" s="3"/>
      <c r="T2062" s="3"/>
      <c r="U2062" s="3"/>
      <c r="V2062" s="3"/>
      <c r="W2062" s="3"/>
      <c r="X2062" s="3"/>
      <c r="Y2062" s="4"/>
      <c r="Z2062"/>
      <c r="AA2062"/>
    </row>
    <row r="2063" spans="1:27" s="49" customFormat="1" x14ac:dyDescent="0.15">
      <c r="A2063" s="165"/>
      <c r="B2063" s="93"/>
      <c r="C2063" s="102"/>
      <c r="D2063" s="62"/>
      <c r="E2063" s="102"/>
      <c r="F2063" s="102"/>
      <c r="G2063" s="102"/>
      <c r="H2063" s="85"/>
      <c r="I2063" s="98"/>
      <c r="J2063" s="135"/>
      <c r="K2063" s="62"/>
      <c r="M2063" s="37"/>
      <c r="N2063" s="37"/>
      <c r="O2063" s="37"/>
      <c r="P2063" s="3"/>
      <c r="Q2063" s="3"/>
      <c r="R2063" s="3"/>
      <c r="S2063" s="3"/>
      <c r="T2063" s="3"/>
      <c r="U2063" s="3"/>
      <c r="V2063" s="3"/>
      <c r="W2063" s="3"/>
      <c r="X2063" s="3"/>
      <c r="Y2063" s="4"/>
      <c r="Z2063"/>
      <c r="AA2063"/>
    </row>
    <row r="2064" spans="1:27" s="49" customFormat="1" x14ac:dyDescent="0.15">
      <c r="A2064" s="165"/>
      <c r="B2064" s="93"/>
      <c r="C2064" s="102"/>
      <c r="D2064" s="62"/>
      <c r="E2064" s="100"/>
      <c r="F2064" s="102"/>
      <c r="G2064" s="102"/>
      <c r="H2064" s="103"/>
      <c r="I2064" s="98"/>
      <c r="J2064" s="135"/>
      <c r="K2064" s="62"/>
      <c r="M2064" s="37"/>
      <c r="N2064" s="37"/>
      <c r="O2064" s="37"/>
      <c r="P2064" s="3"/>
      <c r="Q2064" s="3"/>
      <c r="R2064" s="3"/>
      <c r="S2064" s="3"/>
      <c r="T2064" s="3"/>
      <c r="U2064" s="3"/>
      <c r="V2064" s="3"/>
      <c r="W2064" s="3"/>
      <c r="X2064" s="3"/>
      <c r="Y2064" s="4"/>
      <c r="Z2064"/>
      <c r="AA2064"/>
    </row>
    <row r="2065" spans="1:27" s="49" customFormat="1" x14ac:dyDescent="0.15">
      <c r="A2065" s="165"/>
      <c r="B2065" s="93"/>
      <c r="C2065" s="102"/>
      <c r="D2065" s="62"/>
      <c r="E2065" s="102"/>
      <c r="F2065" s="102"/>
      <c r="G2065" s="102"/>
      <c r="H2065" s="103"/>
      <c r="I2065" s="98"/>
      <c r="J2065" s="135"/>
      <c r="K2065" s="62"/>
      <c r="M2065" s="37"/>
      <c r="N2065" s="37"/>
      <c r="O2065" s="37"/>
      <c r="P2065" s="3"/>
      <c r="Q2065" s="3"/>
      <c r="R2065" s="3"/>
      <c r="S2065" s="3"/>
      <c r="T2065" s="3"/>
      <c r="U2065" s="3"/>
      <c r="V2065" s="3"/>
      <c r="W2065" s="3"/>
      <c r="X2065" s="3"/>
      <c r="Y2065" s="4"/>
      <c r="Z2065"/>
      <c r="AA2065"/>
    </row>
    <row r="2066" spans="1:27" s="49" customFormat="1" x14ac:dyDescent="0.15">
      <c r="A2066" s="165"/>
      <c r="B2066" s="93"/>
      <c r="C2066" s="102"/>
      <c r="D2066" s="62"/>
      <c r="E2066" s="102"/>
      <c r="F2066" s="102"/>
      <c r="G2066" s="102"/>
      <c r="H2066" s="103"/>
      <c r="I2066" s="98"/>
      <c r="J2066" s="135"/>
      <c r="K2066" s="62"/>
      <c r="M2066" s="37"/>
      <c r="N2066" s="37"/>
      <c r="O2066" s="37"/>
      <c r="P2066" s="3"/>
      <c r="Q2066" s="3"/>
      <c r="R2066" s="3"/>
      <c r="S2066" s="3"/>
      <c r="T2066" s="3"/>
      <c r="U2066" s="3"/>
      <c r="V2066" s="3"/>
      <c r="W2066" s="3"/>
      <c r="X2066" s="3"/>
      <c r="Y2066" s="4"/>
      <c r="Z2066"/>
      <c r="AA2066"/>
    </row>
    <row r="2067" spans="1:27" s="49" customFormat="1" x14ac:dyDescent="0.15">
      <c r="A2067" s="165"/>
      <c r="B2067" s="93"/>
      <c r="C2067" s="102"/>
      <c r="D2067" s="62"/>
      <c r="E2067" s="102"/>
      <c r="F2067" s="102"/>
      <c r="G2067" s="102"/>
      <c r="H2067" s="85"/>
      <c r="I2067" s="104"/>
      <c r="J2067" s="144"/>
      <c r="K2067" s="62"/>
      <c r="M2067" s="37"/>
      <c r="N2067" s="37"/>
      <c r="O2067" s="37"/>
      <c r="P2067" s="3"/>
      <c r="Q2067" s="3"/>
      <c r="R2067" s="3"/>
      <c r="S2067" s="3"/>
      <c r="T2067" s="3"/>
      <c r="U2067" s="3"/>
      <c r="V2067" s="3"/>
      <c r="W2067" s="3"/>
      <c r="X2067" s="3"/>
      <c r="Y2067" s="4"/>
      <c r="Z2067"/>
      <c r="AA2067"/>
    </row>
    <row r="2068" spans="1:27" s="49" customFormat="1" x14ac:dyDescent="0.15">
      <c r="A2068" s="165"/>
      <c r="B2068" s="93"/>
      <c r="C2068" s="102"/>
      <c r="D2068" s="62"/>
      <c r="E2068" s="100"/>
      <c r="F2068" s="102"/>
      <c r="G2068" s="102"/>
      <c r="H2068" s="85"/>
      <c r="I2068" s="104"/>
      <c r="J2068" s="144"/>
      <c r="K2068" s="62"/>
      <c r="M2068" s="37"/>
      <c r="N2068" s="37"/>
      <c r="O2068" s="37"/>
      <c r="P2068" s="3"/>
      <c r="Q2068" s="3"/>
      <c r="R2068" s="3"/>
      <c r="S2068" s="3"/>
      <c r="T2068" s="3"/>
      <c r="U2068" s="3"/>
      <c r="V2068" s="3"/>
      <c r="W2068" s="3"/>
      <c r="X2068" s="3"/>
      <c r="Y2068" s="4"/>
      <c r="Z2068"/>
      <c r="AA2068"/>
    </row>
    <row r="2069" spans="1:27" s="49" customFormat="1" x14ac:dyDescent="0.15">
      <c r="A2069" s="165"/>
      <c r="B2069" s="93"/>
      <c r="C2069" s="102"/>
      <c r="D2069" s="62"/>
      <c r="E2069" s="102"/>
      <c r="F2069" s="102"/>
      <c r="G2069" s="102"/>
      <c r="H2069" s="85"/>
      <c r="I2069" s="104"/>
      <c r="J2069" s="144"/>
      <c r="K2069" s="62"/>
      <c r="M2069" s="37"/>
      <c r="N2069" s="37"/>
      <c r="O2069" s="37"/>
      <c r="P2069" s="3"/>
      <c r="Q2069" s="3"/>
      <c r="R2069" s="3"/>
      <c r="S2069" s="3"/>
      <c r="T2069" s="3"/>
      <c r="U2069" s="3"/>
      <c r="V2069" s="3"/>
      <c r="W2069" s="3"/>
      <c r="X2069" s="3"/>
      <c r="Y2069" s="4"/>
      <c r="Z2069"/>
      <c r="AA2069"/>
    </row>
    <row r="2070" spans="1:27" s="49" customFormat="1" x14ac:dyDescent="0.15">
      <c r="A2070" s="165"/>
      <c r="B2070" s="93"/>
      <c r="C2070" s="102"/>
      <c r="D2070" s="62"/>
      <c r="E2070" s="102"/>
      <c r="F2070" s="102"/>
      <c r="G2070" s="102"/>
      <c r="H2070" s="85"/>
      <c r="I2070" s="104"/>
      <c r="J2070" s="144"/>
      <c r="K2070" s="62"/>
      <c r="M2070" s="37"/>
      <c r="N2070" s="37"/>
      <c r="O2070" s="37"/>
      <c r="P2070" s="3"/>
      <c r="Q2070" s="3"/>
      <c r="R2070" s="3"/>
      <c r="S2070" s="3"/>
      <c r="T2070" s="3"/>
      <c r="U2070" s="3"/>
      <c r="V2070" s="3"/>
      <c r="W2070" s="3"/>
      <c r="X2070" s="3"/>
      <c r="Y2070" s="4"/>
      <c r="Z2070"/>
      <c r="AA2070"/>
    </row>
    <row r="2071" spans="1:27" s="49" customFormat="1" x14ac:dyDescent="0.15">
      <c r="A2071" s="165"/>
      <c r="B2071" s="93"/>
      <c r="C2071" s="102"/>
      <c r="D2071" s="62"/>
      <c r="E2071" s="100"/>
      <c r="F2071" s="102"/>
      <c r="G2071" s="102"/>
      <c r="H2071" s="85"/>
      <c r="I2071" s="104"/>
      <c r="J2071" s="144"/>
      <c r="K2071" s="62"/>
      <c r="M2071" s="37"/>
      <c r="N2071" s="37"/>
      <c r="O2071" s="37"/>
      <c r="P2071" s="3"/>
      <c r="Q2071" s="3"/>
      <c r="R2071" s="3"/>
      <c r="S2071" s="3"/>
      <c r="T2071" s="3"/>
      <c r="U2071" s="3"/>
      <c r="V2071" s="3"/>
      <c r="W2071" s="3"/>
      <c r="X2071" s="3"/>
      <c r="Y2071" s="4"/>
      <c r="Z2071"/>
      <c r="AA2071"/>
    </row>
    <row r="2072" spans="1:27" s="49" customFormat="1" x14ac:dyDescent="0.15">
      <c r="A2072" s="165"/>
      <c r="B2072" s="93"/>
      <c r="C2072" s="102"/>
      <c r="D2072" s="62"/>
      <c r="E2072" s="102"/>
      <c r="F2072" s="102"/>
      <c r="G2072" s="102"/>
      <c r="H2072" s="85"/>
      <c r="I2072" s="104"/>
      <c r="J2072" s="144"/>
      <c r="K2072" s="62"/>
      <c r="M2072" s="37"/>
      <c r="N2072" s="37"/>
      <c r="O2072" s="37"/>
      <c r="P2072" s="3"/>
      <c r="Q2072" s="3"/>
      <c r="R2072" s="3"/>
      <c r="S2072" s="3"/>
      <c r="T2072" s="3"/>
      <c r="U2072" s="3"/>
      <c r="V2072" s="3"/>
      <c r="W2072" s="3"/>
      <c r="X2072" s="3"/>
      <c r="Y2072" s="4"/>
      <c r="Z2072"/>
      <c r="AA2072"/>
    </row>
    <row r="2073" spans="1:27" s="49" customFormat="1" x14ac:dyDescent="0.15">
      <c r="A2073" s="165"/>
      <c r="B2073" s="93"/>
      <c r="C2073" s="102"/>
      <c r="D2073" s="62"/>
      <c r="E2073" s="102"/>
      <c r="F2073" s="102"/>
      <c r="G2073" s="102"/>
      <c r="H2073" s="85"/>
      <c r="I2073" s="104"/>
      <c r="J2073" s="144"/>
      <c r="K2073" s="62"/>
      <c r="M2073" s="37"/>
      <c r="N2073" s="37"/>
      <c r="O2073" s="37"/>
      <c r="P2073" s="3"/>
      <c r="Q2073" s="3"/>
      <c r="R2073" s="3"/>
      <c r="S2073" s="3"/>
      <c r="T2073" s="3"/>
      <c r="U2073" s="3"/>
      <c r="V2073" s="3"/>
      <c r="W2073" s="3"/>
      <c r="X2073" s="3"/>
      <c r="Y2073" s="4"/>
      <c r="Z2073"/>
      <c r="AA2073"/>
    </row>
    <row r="2074" spans="1:27" s="49" customFormat="1" x14ac:dyDescent="0.15">
      <c r="A2074" s="165"/>
      <c r="B2074" s="93"/>
      <c r="C2074" s="102"/>
      <c r="D2074" s="62"/>
      <c r="E2074" s="102"/>
      <c r="F2074" s="102"/>
      <c r="G2074" s="102"/>
      <c r="H2074" s="85"/>
      <c r="I2074" s="104"/>
      <c r="J2074" s="144"/>
      <c r="K2074" s="61"/>
      <c r="M2074" s="37"/>
      <c r="N2074" s="37"/>
      <c r="O2074" s="37"/>
      <c r="P2074" s="3"/>
      <c r="Q2074" s="3"/>
      <c r="R2074" s="3"/>
      <c r="S2074" s="3"/>
      <c r="T2074" s="3"/>
      <c r="U2074" s="3"/>
      <c r="V2074" s="3"/>
      <c r="W2074" s="3"/>
      <c r="X2074" s="3"/>
      <c r="Y2074" s="4"/>
      <c r="Z2074"/>
      <c r="AA2074"/>
    </row>
    <row r="2075" spans="1:27" s="49" customFormat="1" x14ac:dyDescent="0.15">
      <c r="A2075" s="165"/>
      <c r="B2075" s="93"/>
      <c r="C2075" s="102"/>
      <c r="D2075" s="62"/>
      <c r="E2075" s="102"/>
      <c r="F2075" s="102"/>
      <c r="G2075" s="102"/>
      <c r="H2075" s="85"/>
      <c r="I2075" s="104"/>
      <c r="J2075" s="144"/>
      <c r="K2075" s="62"/>
      <c r="M2075" s="37"/>
      <c r="N2075" s="37"/>
      <c r="O2075" s="37"/>
      <c r="P2075" s="3"/>
      <c r="Q2075" s="3"/>
      <c r="R2075" s="3"/>
      <c r="S2075" s="3"/>
      <c r="T2075" s="3"/>
      <c r="U2075" s="3"/>
      <c r="V2075" s="3"/>
      <c r="W2075" s="3"/>
      <c r="X2075" s="3"/>
      <c r="Y2075" s="4"/>
      <c r="Z2075"/>
      <c r="AA2075"/>
    </row>
    <row r="2076" spans="1:27" s="49" customFormat="1" x14ac:dyDescent="0.15">
      <c r="A2076" s="165"/>
      <c r="B2076" s="93"/>
      <c r="C2076" s="102"/>
      <c r="D2076" s="62"/>
      <c r="E2076" s="102"/>
      <c r="F2076" s="102"/>
      <c r="G2076" s="102"/>
      <c r="H2076" s="103"/>
      <c r="I2076" s="98"/>
      <c r="J2076" s="135"/>
      <c r="K2076" s="62"/>
      <c r="M2076" s="37"/>
      <c r="N2076" s="37"/>
      <c r="O2076" s="37"/>
      <c r="P2076" s="3"/>
      <c r="Q2076" s="3"/>
      <c r="R2076" s="3"/>
      <c r="S2076" s="3"/>
      <c r="T2076" s="3"/>
      <c r="U2076" s="3"/>
      <c r="V2076" s="3"/>
      <c r="W2076" s="3"/>
      <c r="X2076" s="3"/>
      <c r="Y2076" s="4"/>
      <c r="Z2076"/>
      <c r="AA2076"/>
    </row>
    <row r="2077" spans="1:27" s="49" customFormat="1" x14ac:dyDescent="0.15">
      <c r="A2077" s="165"/>
      <c r="B2077" s="93"/>
      <c r="C2077" s="102"/>
      <c r="D2077" s="62"/>
      <c r="E2077" s="102"/>
      <c r="F2077" s="102"/>
      <c r="G2077" s="102"/>
      <c r="H2077" s="103"/>
      <c r="I2077" s="98"/>
      <c r="J2077" s="135"/>
      <c r="K2077" s="62"/>
      <c r="M2077" s="37"/>
      <c r="N2077" s="37"/>
      <c r="O2077" s="37"/>
      <c r="P2077" s="3"/>
      <c r="Q2077" s="3"/>
      <c r="R2077" s="3"/>
      <c r="S2077" s="3"/>
      <c r="T2077" s="3"/>
      <c r="U2077" s="3"/>
      <c r="V2077" s="3"/>
      <c r="W2077" s="3"/>
      <c r="X2077" s="3"/>
      <c r="Y2077" s="4"/>
      <c r="Z2077"/>
      <c r="AA2077"/>
    </row>
    <row r="2078" spans="1:27" s="49" customFormat="1" x14ac:dyDescent="0.15">
      <c r="A2078" s="165"/>
      <c r="B2078" s="93"/>
      <c r="C2078" s="102"/>
      <c r="D2078" s="62"/>
      <c r="E2078" s="100"/>
      <c r="F2078" s="102"/>
      <c r="G2078" s="102"/>
      <c r="H2078" s="85"/>
      <c r="I2078" s="104"/>
      <c r="J2078" s="144"/>
      <c r="K2078" s="62"/>
      <c r="M2078" s="37"/>
      <c r="N2078" s="37"/>
      <c r="O2078" s="37"/>
      <c r="P2078" s="3"/>
      <c r="Q2078" s="3"/>
      <c r="R2078" s="3"/>
      <c r="S2078" s="3"/>
      <c r="T2078" s="3"/>
      <c r="U2078" s="3"/>
      <c r="V2078" s="3"/>
      <c r="W2078" s="3"/>
      <c r="X2078" s="3"/>
      <c r="Y2078" s="4"/>
      <c r="Z2078"/>
      <c r="AA2078"/>
    </row>
    <row r="2079" spans="1:27" s="49" customFormat="1" x14ac:dyDescent="0.15">
      <c r="A2079" s="165"/>
      <c r="B2079" s="93"/>
      <c r="C2079" s="102"/>
      <c r="D2079" s="62"/>
      <c r="E2079" s="102"/>
      <c r="F2079" s="102"/>
      <c r="G2079" s="102"/>
      <c r="H2079" s="85"/>
      <c r="I2079" s="98"/>
      <c r="J2079" s="135"/>
      <c r="K2079" s="62"/>
      <c r="M2079" s="37"/>
      <c r="N2079" s="37"/>
      <c r="O2079" s="37"/>
      <c r="P2079" s="3"/>
      <c r="Q2079" s="3"/>
      <c r="R2079" s="3"/>
      <c r="S2079" s="3"/>
      <c r="T2079" s="3"/>
      <c r="U2079" s="3"/>
      <c r="V2079" s="3"/>
      <c r="W2079" s="3"/>
      <c r="X2079" s="3"/>
      <c r="Y2079" s="4"/>
      <c r="Z2079"/>
      <c r="AA2079"/>
    </row>
    <row r="2080" spans="1:27" s="49" customFormat="1" x14ac:dyDescent="0.15">
      <c r="A2080" s="165"/>
      <c r="B2080" s="93"/>
      <c r="C2080" s="102"/>
      <c r="D2080" s="62"/>
      <c r="E2080" s="102"/>
      <c r="F2080" s="102"/>
      <c r="G2080" s="102"/>
      <c r="H2080" s="85"/>
      <c r="I2080" s="104"/>
      <c r="J2080" s="144"/>
      <c r="K2080" s="62"/>
      <c r="M2080" s="37"/>
      <c r="N2080" s="37"/>
      <c r="O2080" s="37"/>
      <c r="P2080" s="3"/>
      <c r="Q2080" s="3"/>
      <c r="R2080" s="3"/>
      <c r="S2080" s="3"/>
      <c r="T2080" s="3"/>
      <c r="U2080" s="3"/>
      <c r="V2080" s="3"/>
      <c r="W2080" s="3"/>
      <c r="X2080" s="3"/>
      <c r="Y2080" s="4"/>
      <c r="Z2080"/>
      <c r="AA2080"/>
    </row>
    <row r="2081" spans="1:27" s="49" customFormat="1" x14ac:dyDescent="0.15">
      <c r="A2081" s="165"/>
      <c r="B2081" s="93"/>
      <c r="C2081" s="102"/>
      <c r="D2081" s="62"/>
      <c r="E2081" s="102"/>
      <c r="F2081" s="102"/>
      <c r="G2081" s="102"/>
      <c r="H2081" s="103"/>
      <c r="I2081" s="98"/>
      <c r="J2081" s="135"/>
      <c r="K2081" s="62"/>
      <c r="M2081" s="37"/>
      <c r="N2081" s="37"/>
      <c r="O2081" s="37"/>
      <c r="P2081" s="3"/>
      <c r="Q2081" s="3"/>
      <c r="R2081" s="3"/>
      <c r="S2081" s="3"/>
      <c r="T2081" s="3"/>
      <c r="U2081" s="3"/>
      <c r="V2081" s="3"/>
      <c r="W2081" s="3"/>
      <c r="X2081" s="3"/>
      <c r="Y2081" s="4"/>
      <c r="Z2081"/>
      <c r="AA2081"/>
    </row>
    <row r="2082" spans="1:27" s="49" customFormat="1" x14ac:dyDescent="0.15">
      <c r="A2082" s="165"/>
      <c r="B2082" s="93"/>
      <c r="C2082" s="102"/>
      <c r="D2082" s="62"/>
      <c r="E2082" s="102"/>
      <c r="F2082" s="102"/>
      <c r="G2082" s="102"/>
      <c r="H2082" s="103"/>
      <c r="I2082" s="98"/>
      <c r="J2082" s="135"/>
      <c r="K2082" s="62"/>
      <c r="M2082" s="37"/>
      <c r="N2082" s="37"/>
      <c r="O2082" s="37"/>
      <c r="P2082" s="3"/>
      <c r="Q2082" s="3"/>
      <c r="R2082" s="3"/>
      <c r="S2082" s="3"/>
      <c r="T2082" s="3"/>
      <c r="U2082" s="3"/>
      <c r="V2082" s="3"/>
      <c r="W2082" s="3"/>
      <c r="X2082" s="3"/>
      <c r="Y2082" s="4"/>
      <c r="Z2082"/>
      <c r="AA2082"/>
    </row>
    <row r="2083" spans="1:27" s="49" customFormat="1" x14ac:dyDescent="0.15">
      <c r="A2083" s="165"/>
      <c r="B2083" s="93"/>
      <c r="C2083" s="102"/>
      <c r="D2083" s="62"/>
      <c r="E2083" s="102"/>
      <c r="F2083" s="102"/>
      <c r="G2083" s="102"/>
      <c r="H2083" s="103"/>
      <c r="I2083" s="98"/>
      <c r="J2083" s="135"/>
      <c r="K2083" s="62"/>
      <c r="M2083" s="37"/>
      <c r="N2083" s="37"/>
      <c r="O2083" s="37"/>
      <c r="P2083" s="3"/>
      <c r="Q2083" s="3"/>
      <c r="R2083" s="3"/>
      <c r="S2083" s="3"/>
      <c r="T2083" s="3"/>
      <c r="U2083" s="3"/>
      <c r="V2083" s="3"/>
      <c r="W2083" s="3"/>
      <c r="X2083" s="3"/>
      <c r="Y2083" s="4"/>
      <c r="Z2083"/>
      <c r="AA2083"/>
    </row>
    <row r="2084" spans="1:27" s="49" customFormat="1" x14ac:dyDescent="0.15">
      <c r="A2084" s="165"/>
      <c r="B2084" s="93"/>
      <c r="C2084" s="102"/>
      <c r="D2084" s="62"/>
      <c r="E2084" s="102"/>
      <c r="F2084" s="102"/>
      <c r="G2084" s="102"/>
      <c r="H2084" s="85"/>
      <c r="I2084" s="104"/>
      <c r="J2084" s="144"/>
      <c r="K2084" s="62"/>
      <c r="M2084" s="37"/>
      <c r="N2084" s="37"/>
      <c r="O2084" s="37"/>
      <c r="P2084" s="3"/>
      <c r="Q2084" s="3"/>
      <c r="R2084" s="3"/>
      <c r="S2084" s="3"/>
      <c r="T2084" s="3"/>
      <c r="U2084" s="3"/>
      <c r="V2084" s="3"/>
      <c r="W2084" s="3"/>
      <c r="X2084" s="3"/>
      <c r="Y2084" s="4"/>
      <c r="Z2084"/>
      <c r="AA2084"/>
    </row>
    <row r="2085" spans="1:27" s="49" customFormat="1" x14ac:dyDescent="0.15">
      <c r="A2085" s="165"/>
      <c r="B2085" s="93"/>
      <c r="C2085" s="102"/>
      <c r="D2085" s="62"/>
      <c r="E2085" s="102"/>
      <c r="F2085" s="102"/>
      <c r="G2085" s="102"/>
      <c r="H2085" s="85"/>
      <c r="I2085" s="104"/>
      <c r="J2085" s="144"/>
      <c r="K2085" s="62"/>
      <c r="M2085" s="37"/>
      <c r="N2085" s="37"/>
      <c r="O2085" s="37"/>
      <c r="P2085" s="3"/>
      <c r="Q2085" s="3"/>
      <c r="R2085" s="3"/>
      <c r="S2085" s="3"/>
      <c r="T2085" s="3"/>
      <c r="U2085" s="3"/>
      <c r="V2085" s="3"/>
      <c r="W2085" s="3"/>
      <c r="X2085" s="3"/>
      <c r="Y2085" s="4"/>
      <c r="Z2085"/>
      <c r="AA2085"/>
    </row>
    <row r="2086" spans="1:27" s="49" customFormat="1" x14ac:dyDescent="0.15">
      <c r="A2086" s="165"/>
      <c r="B2086" s="93"/>
      <c r="C2086" s="102"/>
      <c r="D2086" s="62"/>
      <c r="E2086" s="102"/>
      <c r="F2086" s="102"/>
      <c r="G2086" s="102"/>
      <c r="H2086" s="85"/>
      <c r="I2086" s="104"/>
      <c r="J2086" s="144"/>
      <c r="K2086" s="62"/>
      <c r="M2086" s="37"/>
      <c r="N2086" s="37"/>
      <c r="O2086" s="37"/>
      <c r="P2086" s="3"/>
      <c r="Q2086" s="3"/>
      <c r="R2086" s="3"/>
      <c r="S2086" s="3"/>
      <c r="T2086" s="3"/>
      <c r="U2086" s="3"/>
      <c r="V2086" s="3"/>
      <c r="W2086" s="3"/>
      <c r="X2086" s="3"/>
      <c r="Y2086" s="4"/>
      <c r="Z2086"/>
      <c r="AA2086"/>
    </row>
    <row r="2087" spans="1:27" s="49" customFormat="1" x14ac:dyDescent="0.15">
      <c r="A2087" s="165"/>
      <c r="B2087" s="93"/>
      <c r="C2087" s="102"/>
      <c r="D2087" s="62"/>
      <c r="E2087" s="102"/>
      <c r="F2087" s="102"/>
      <c r="G2087" s="102"/>
      <c r="H2087" s="85"/>
      <c r="I2087" s="104"/>
      <c r="J2087" s="144"/>
      <c r="K2087" s="62"/>
      <c r="M2087" s="37"/>
      <c r="N2087" s="37"/>
      <c r="O2087" s="37"/>
      <c r="P2087" s="3"/>
      <c r="Q2087" s="3"/>
      <c r="R2087" s="3"/>
      <c r="S2087" s="3"/>
      <c r="T2087" s="3"/>
      <c r="U2087" s="3"/>
      <c r="V2087" s="3"/>
      <c r="W2087" s="3"/>
      <c r="X2087" s="3"/>
      <c r="Y2087" s="4"/>
      <c r="Z2087"/>
      <c r="AA2087"/>
    </row>
    <row r="2088" spans="1:27" s="49" customFormat="1" x14ac:dyDescent="0.15">
      <c r="A2088" s="165"/>
      <c r="B2088" s="93"/>
      <c r="C2088" s="102"/>
      <c r="D2088" s="62"/>
      <c r="E2088" s="102"/>
      <c r="F2088" s="102"/>
      <c r="G2088" s="102"/>
      <c r="H2088" s="85"/>
      <c r="I2088" s="104"/>
      <c r="J2088" s="144"/>
      <c r="K2088" s="62"/>
      <c r="M2088" s="37"/>
      <c r="N2088" s="37"/>
      <c r="O2088" s="37"/>
      <c r="P2088" s="3"/>
      <c r="Q2088" s="3"/>
      <c r="R2088" s="3"/>
      <c r="S2088" s="3"/>
      <c r="T2088" s="3"/>
      <c r="U2088" s="3"/>
      <c r="V2088" s="3"/>
      <c r="W2088" s="3"/>
      <c r="X2088" s="3"/>
      <c r="Y2088" s="4"/>
      <c r="Z2088"/>
      <c r="AA2088"/>
    </row>
    <row r="2089" spans="1:27" s="49" customFormat="1" x14ac:dyDescent="0.15">
      <c r="A2089" s="165"/>
      <c r="B2089" s="93"/>
      <c r="C2089" s="102"/>
      <c r="D2089" s="62"/>
      <c r="E2089" s="102"/>
      <c r="F2089" s="102"/>
      <c r="G2089" s="102"/>
      <c r="H2089" s="85"/>
      <c r="I2089" s="104"/>
      <c r="J2089" s="144"/>
      <c r="K2089" s="62"/>
      <c r="M2089" s="37"/>
      <c r="N2089" s="37"/>
      <c r="O2089" s="37"/>
      <c r="P2089" s="3"/>
      <c r="Q2089" s="3"/>
      <c r="R2089" s="3"/>
      <c r="S2089" s="3"/>
      <c r="T2089" s="3"/>
      <c r="U2089" s="3"/>
      <c r="V2089" s="3"/>
      <c r="W2089" s="3"/>
      <c r="X2089" s="3"/>
      <c r="Y2089" s="4"/>
      <c r="Z2089"/>
      <c r="AA2089"/>
    </row>
    <row r="2090" spans="1:27" s="49" customFormat="1" x14ac:dyDescent="0.15">
      <c r="A2090" s="165"/>
      <c r="B2090" s="93"/>
      <c r="C2090" s="102"/>
      <c r="D2090" s="62"/>
      <c r="E2090" s="102"/>
      <c r="F2090" s="102"/>
      <c r="G2090" s="102"/>
      <c r="H2090" s="85"/>
      <c r="I2090" s="104"/>
      <c r="J2090" s="144"/>
      <c r="K2090" s="62"/>
      <c r="M2090" s="37"/>
      <c r="N2090" s="37"/>
      <c r="O2090" s="37"/>
      <c r="P2090" s="3"/>
      <c r="Q2090" s="3"/>
      <c r="R2090" s="3"/>
      <c r="S2090" s="3"/>
      <c r="T2090" s="3"/>
      <c r="U2090" s="3"/>
      <c r="V2090" s="3"/>
      <c r="W2090" s="3"/>
      <c r="X2090" s="3"/>
      <c r="Y2090" s="4"/>
      <c r="Z2090"/>
      <c r="AA2090"/>
    </row>
    <row r="2091" spans="1:27" s="49" customFormat="1" x14ac:dyDescent="0.15">
      <c r="A2091" s="165"/>
      <c r="B2091" s="93"/>
      <c r="C2091" s="102"/>
      <c r="D2091" s="62"/>
      <c r="E2091" s="102"/>
      <c r="F2091" s="102"/>
      <c r="G2091" s="102"/>
      <c r="H2091" s="85"/>
      <c r="I2091" s="104"/>
      <c r="J2091" s="144"/>
      <c r="K2091" s="62"/>
      <c r="M2091" s="37"/>
      <c r="N2091" s="37"/>
      <c r="O2091" s="37"/>
      <c r="P2091" s="3"/>
      <c r="Q2091" s="3"/>
      <c r="R2091" s="3"/>
      <c r="S2091" s="3"/>
      <c r="T2091" s="3"/>
      <c r="U2091" s="3"/>
      <c r="V2091" s="3"/>
      <c r="W2091" s="3"/>
      <c r="X2091" s="3"/>
      <c r="Y2091" s="4"/>
      <c r="Z2091"/>
      <c r="AA2091"/>
    </row>
    <row r="2092" spans="1:27" s="49" customFormat="1" x14ac:dyDescent="0.15">
      <c r="A2092" s="165"/>
      <c r="B2092" s="93"/>
      <c r="C2092" s="102"/>
      <c r="D2092" s="62"/>
      <c r="E2092" s="102"/>
      <c r="F2092" s="102"/>
      <c r="G2092" s="102"/>
      <c r="H2092" s="85"/>
      <c r="I2092" s="104"/>
      <c r="J2092" s="144"/>
      <c r="K2092" s="62"/>
      <c r="M2092" s="37"/>
      <c r="N2092" s="37"/>
      <c r="O2092" s="37"/>
      <c r="P2092" s="3"/>
      <c r="Q2092" s="3"/>
      <c r="R2092" s="3"/>
      <c r="S2092" s="3"/>
      <c r="T2092" s="3"/>
      <c r="U2092" s="3"/>
      <c r="V2092" s="3"/>
      <c r="W2092" s="3"/>
      <c r="X2092" s="3"/>
      <c r="Y2092" s="4"/>
      <c r="Z2092"/>
      <c r="AA2092"/>
    </row>
    <row r="2093" spans="1:27" s="49" customFormat="1" x14ac:dyDescent="0.15">
      <c r="A2093" s="165"/>
      <c r="B2093" s="93"/>
      <c r="C2093" s="102"/>
      <c r="D2093" s="62"/>
      <c r="E2093" s="102"/>
      <c r="F2093" s="102"/>
      <c r="G2093" s="102"/>
      <c r="H2093" s="85"/>
      <c r="I2093" s="104"/>
      <c r="J2093" s="144"/>
      <c r="K2093" s="62"/>
      <c r="M2093" s="37"/>
      <c r="N2093" s="37"/>
      <c r="O2093" s="37"/>
      <c r="P2093" s="3"/>
      <c r="Q2093" s="3"/>
      <c r="R2093" s="3"/>
      <c r="S2093" s="3"/>
      <c r="T2093" s="3"/>
      <c r="U2093" s="3"/>
      <c r="V2093" s="3"/>
      <c r="W2093" s="3"/>
      <c r="X2093" s="3"/>
      <c r="Y2093" s="4"/>
      <c r="Z2093"/>
      <c r="AA2093"/>
    </row>
    <row r="2094" spans="1:27" s="49" customFormat="1" x14ac:dyDescent="0.15">
      <c r="A2094" s="165"/>
      <c r="B2094" s="93"/>
      <c r="C2094" s="102"/>
      <c r="D2094" s="62"/>
      <c r="E2094" s="102"/>
      <c r="F2094" s="102"/>
      <c r="G2094" s="102"/>
      <c r="H2094" s="85"/>
      <c r="I2094" s="104"/>
      <c r="J2094" s="144"/>
      <c r="K2094" s="62"/>
      <c r="M2094" s="37"/>
      <c r="N2094" s="37"/>
      <c r="O2094" s="37"/>
      <c r="P2094" s="3"/>
      <c r="Q2094" s="3"/>
      <c r="R2094" s="3"/>
      <c r="S2094" s="3"/>
      <c r="T2094" s="3"/>
      <c r="U2094" s="3"/>
      <c r="V2094" s="3"/>
      <c r="W2094" s="3"/>
      <c r="X2094" s="3"/>
      <c r="Y2094" s="4"/>
      <c r="Z2094"/>
      <c r="AA2094"/>
    </row>
    <row r="2095" spans="1:27" s="49" customFormat="1" x14ac:dyDescent="0.15">
      <c r="A2095" s="165"/>
      <c r="B2095" s="93"/>
      <c r="C2095" s="102"/>
      <c r="D2095" s="62"/>
      <c r="E2095" s="102"/>
      <c r="F2095" s="102"/>
      <c r="G2095" s="102"/>
      <c r="H2095" s="85"/>
      <c r="I2095" s="104"/>
      <c r="J2095" s="144"/>
      <c r="K2095" s="62"/>
      <c r="M2095" s="37"/>
      <c r="N2095" s="37"/>
      <c r="O2095" s="37"/>
      <c r="P2095" s="3"/>
      <c r="Q2095" s="3"/>
      <c r="R2095" s="3"/>
      <c r="S2095" s="3"/>
      <c r="T2095" s="3"/>
      <c r="U2095" s="3"/>
      <c r="V2095" s="3"/>
      <c r="W2095" s="3"/>
      <c r="X2095" s="3"/>
      <c r="Y2095" s="4"/>
      <c r="Z2095"/>
      <c r="AA2095"/>
    </row>
    <row r="2096" spans="1:27" s="49" customFormat="1" x14ac:dyDescent="0.15">
      <c r="A2096" s="165"/>
      <c r="B2096" s="93"/>
      <c r="C2096" s="102"/>
      <c r="D2096" s="62"/>
      <c r="E2096" s="102"/>
      <c r="F2096" s="102"/>
      <c r="G2096" s="102"/>
      <c r="H2096" s="85"/>
      <c r="I2096" s="104"/>
      <c r="J2096" s="144"/>
      <c r="K2096" s="62"/>
      <c r="M2096" s="37"/>
      <c r="N2096" s="37"/>
      <c r="O2096" s="37"/>
      <c r="P2096" s="3"/>
      <c r="Q2096" s="3"/>
      <c r="R2096" s="3"/>
      <c r="S2096" s="3"/>
      <c r="T2096" s="3"/>
      <c r="U2096" s="3"/>
      <c r="V2096" s="3"/>
      <c r="W2096" s="3"/>
      <c r="X2096" s="3"/>
      <c r="Y2096" s="4"/>
      <c r="Z2096"/>
      <c r="AA2096"/>
    </row>
    <row r="2097" spans="1:27" s="49" customFormat="1" x14ac:dyDescent="0.15">
      <c r="A2097" s="165"/>
      <c r="B2097" s="93"/>
      <c r="C2097" s="102"/>
      <c r="D2097" s="62"/>
      <c r="E2097" s="102"/>
      <c r="F2097" s="102"/>
      <c r="G2097" s="102"/>
      <c r="H2097" s="85"/>
      <c r="I2097" s="104"/>
      <c r="J2097" s="144"/>
      <c r="K2097" s="62"/>
      <c r="M2097" s="37"/>
      <c r="N2097" s="37"/>
      <c r="O2097" s="37"/>
      <c r="P2097" s="3"/>
      <c r="Q2097" s="3"/>
      <c r="R2097" s="3"/>
      <c r="S2097" s="3"/>
      <c r="T2097" s="3"/>
      <c r="U2097" s="3"/>
      <c r="V2097" s="3"/>
      <c r="W2097" s="3"/>
      <c r="X2097" s="3"/>
      <c r="Y2097" s="4"/>
      <c r="Z2097"/>
      <c r="AA2097"/>
    </row>
    <row r="2098" spans="1:27" s="49" customFormat="1" x14ac:dyDescent="0.15">
      <c r="A2098" s="165"/>
      <c r="B2098" s="93"/>
      <c r="C2098" s="102"/>
      <c r="D2098" s="62"/>
      <c r="E2098" s="102"/>
      <c r="F2098" s="102"/>
      <c r="G2098" s="102"/>
      <c r="H2098" s="85"/>
      <c r="I2098" s="104"/>
      <c r="J2098" s="144"/>
      <c r="K2098" s="62"/>
      <c r="M2098" s="37"/>
      <c r="N2098" s="37"/>
      <c r="O2098" s="37"/>
      <c r="P2098" s="3"/>
      <c r="Q2098" s="3"/>
      <c r="R2098" s="3"/>
      <c r="S2098" s="3"/>
      <c r="T2098" s="3"/>
      <c r="U2098" s="3"/>
      <c r="V2098" s="3"/>
      <c r="W2098" s="3"/>
      <c r="X2098" s="3"/>
      <c r="Y2098" s="4"/>
      <c r="Z2098"/>
      <c r="AA2098"/>
    </row>
    <row r="2099" spans="1:27" s="49" customFormat="1" x14ac:dyDescent="0.15">
      <c r="A2099" s="165"/>
      <c r="B2099" s="93"/>
      <c r="C2099" s="102"/>
      <c r="D2099" s="62"/>
      <c r="E2099" s="102"/>
      <c r="F2099" s="102"/>
      <c r="G2099" s="102"/>
      <c r="H2099" s="85"/>
      <c r="I2099" s="104"/>
      <c r="J2099" s="144"/>
      <c r="K2099" s="62"/>
      <c r="M2099" s="37"/>
      <c r="N2099" s="37"/>
      <c r="O2099" s="37"/>
      <c r="P2099" s="3"/>
      <c r="Q2099" s="3"/>
      <c r="R2099" s="3"/>
      <c r="S2099" s="3"/>
      <c r="T2099" s="3"/>
      <c r="U2099" s="3"/>
      <c r="V2099" s="3"/>
      <c r="W2099" s="3"/>
      <c r="X2099" s="3"/>
      <c r="Y2099" s="4"/>
      <c r="Z2099"/>
      <c r="AA2099"/>
    </row>
    <row r="2100" spans="1:27" s="49" customFormat="1" x14ac:dyDescent="0.15">
      <c r="A2100" s="165"/>
      <c r="B2100" s="93"/>
      <c r="C2100" s="102"/>
      <c r="D2100" s="62"/>
      <c r="E2100" s="102"/>
      <c r="F2100" s="102"/>
      <c r="G2100" s="102"/>
      <c r="H2100" s="85"/>
      <c r="I2100" s="98"/>
      <c r="J2100" s="135"/>
      <c r="K2100" s="62"/>
      <c r="M2100" s="37"/>
      <c r="N2100" s="37"/>
      <c r="O2100" s="37"/>
      <c r="P2100" s="3"/>
      <c r="Q2100" s="3"/>
      <c r="R2100" s="3"/>
      <c r="S2100" s="3"/>
      <c r="T2100" s="3"/>
      <c r="U2100" s="3"/>
      <c r="V2100" s="3"/>
      <c r="W2100" s="3"/>
      <c r="X2100" s="3"/>
      <c r="Y2100" s="4"/>
      <c r="Z2100"/>
      <c r="AA2100"/>
    </row>
    <row r="2101" spans="1:27" s="49" customFormat="1" x14ac:dyDescent="0.15">
      <c r="A2101" s="165"/>
      <c r="B2101" s="93"/>
      <c r="C2101" s="102"/>
      <c r="D2101" s="62"/>
      <c r="E2101" s="102"/>
      <c r="F2101" s="102"/>
      <c r="G2101" s="102"/>
      <c r="H2101" s="85"/>
      <c r="I2101" s="104"/>
      <c r="J2101" s="144"/>
      <c r="K2101" s="62"/>
      <c r="M2101" s="37"/>
      <c r="N2101" s="37"/>
      <c r="O2101" s="37"/>
      <c r="P2101" s="3"/>
      <c r="Q2101" s="3"/>
      <c r="R2101" s="3"/>
      <c r="S2101" s="3"/>
      <c r="T2101" s="3"/>
      <c r="U2101" s="3"/>
      <c r="V2101" s="3"/>
      <c r="W2101" s="3"/>
      <c r="X2101" s="3"/>
      <c r="Y2101" s="4"/>
      <c r="Z2101"/>
      <c r="AA2101"/>
    </row>
    <row r="2102" spans="1:27" s="49" customFormat="1" x14ac:dyDescent="0.15">
      <c r="A2102" s="165"/>
      <c r="B2102" s="93"/>
      <c r="C2102" s="102"/>
      <c r="D2102" s="62"/>
      <c r="E2102" s="102"/>
      <c r="F2102" s="102"/>
      <c r="G2102" s="102"/>
      <c r="H2102" s="85"/>
      <c r="I2102" s="98"/>
      <c r="J2102" s="135"/>
      <c r="K2102" s="62"/>
      <c r="M2102" s="37"/>
      <c r="N2102" s="37"/>
      <c r="O2102" s="37"/>
      <c r="P2102" s="3"/>
      <c r="Q2102" s="3"/>
      <c r="R2102" s="3"/>
      <c r="S2102" s="3"/>
      <c r="T2102" s="3"/>
      <c r="U2102" s="3"/>
      <c r="V2102" s="3"/>
      <c r="W2102" s="3"/>
      <c r="X2102" s="3"/>
      <c r="Y2102" s="4"/>
      <c r="Z2102"/>
      <c r="AA2102"/>
    </row>
    <row r="2103" spans="1:27" s="49" customFormat="1" x14ac:dyDescent="0.15">
      <c r="A2103" s="165"/>
      <c r="B2103" s="93"/>
      <c r="C2103" s="102"/>
      <c r="D2103" s="62"/>
      <c r="E2103" s="102"/>
      <c r="F2103" s="102"/>
      <c r="G2103" s="102"/>
      <c r="H2103" s="85"/>
      <c r="I2103" s="104"/>
      <c r="J2103" s="144"/>
      <c r="K2103" s="62"/>
      <c r="M2103" s="37"/>
      <c r="N2103" s="37"/>
      <c r="O2103" s="37"/>
      <c r="P2103" s="3"/>
      <c r="Q2103" s="3"/>
      <c r="R2103" s="3"/>
      <c r="S2103" s="3"/>
      <c r="T2103" s="3"/>
      <c r="U2103" s="3"/>
      <c r="V2103" s="3"/>
      <c r="W2103" s="3"/>
      <c r="X2103" s="3"/>
      <c r="Y2103" s="4"/>
      <c r="Z2103"/>
      <c r="AA2103"/>
    </row>
    <row r="2104" spans="1:27" s="49" customFormat="1" x14ac:dyDescent="0.15">
      <c r="A2104" s="165"/>
      <c r="B2104" s="93"/>
      <c r="C2104" s="102"/>
      <c r="D2104" s="62"/>
      <c r="E2104" s="102"/>
      <c r="F2104" s="102"/>
      <c r="G2104" s="102"/>
      <c r="H2104" s="85"/>
      <c r="I2104" s="104"/>
      <c r="J2104" s="144"/>
      <c r="K2104" s="62"/>
      <c r="M2104" s="37"/>
      <c r="N2104" s="37"/>
      <c r="O2104" s="37"/>
      <c r="P2104" s="3"/>
      <c r="Q2104" s="3"/>
      <c r="R2104" s="3"/>
      <c r="S2104" s="3"/>
      <c r="T2104" s="3"/>
      <c r="U2104" s="3"/>
      <c r="V2104" s="3"/>
      <c r="W2104" s="3"/>
      <c r="X2104" s="3"/>
      <c r="Y2104" s="4"/>
      <c r="Z2104"/>
      <c r="AA2104"/>
    </row>
    <row r="2105" spans="1:27" s="49" customFormat="1" x14ac:dyDescent="0.15">
      <c r="A2105" s="165"/>
      <c r="B2105" s="93"/>
      <c r="C2105" s="102"/>
      <c r="D2105" s="62"/>
      <c r="E2105" s="100"/>
      <c r="F2105" s="102"/>
      <c r="G2105" s="102"/>
      <c r="H2105" s="85"/>
      <c r="I2105" s="104"/>
      <c r="J2105" s="144"/>
      <c r="K2105" s="62"/>
      <c r="M2105" s="37"/>
      <c r="N2105" s="37"/>
      <c r="O2105" s="37"/>
      <c r="P2105" s="3"/>
      <c r="Q2105" s="3"/>
      <c r="R2105" s="3"/>
      <c r="S2105" s="3"/>
      <c r="T2105" s="3"/>
      <c r="U2105" s="3"/>
      <c r="V2105" s="3"/>
      <c r="W2105" s="3"/>
      <c r="X2105" s="3"/>
      <c r="Y2105" s="4"/>
      <c r="Z2105"/>
      <c r="AA2105"/>
    </row>
    <row r="2106" spans="1:27" s="49" customFormat="1" x14ac:dyDescent="0.15">
      <c r="A2106" s="165"/>
      <c r="B2106" s="93"/>
      <c r="C2106" s="102"/>
      <c r="D2106" s="62"/>
      <c r="E2106" s="102"/>
      <c r="F2106" s="102"/>
      <c r="G2106" s="102"/>
      <c r="H2106" s="85"/>
      <c r="I2106" s="104"/>
      <c r="J2106" s="144"/>
      <c r="K2106" s="62"/>
      <c r="M2106" s="37"/>
      <c r="N2106" s="37"/>
      <c r="O2106" s="37"/>
      <c r="P2106" s="3"/>
      <c r="Q2106" s="3"/>
      <c r="R2106" s="3"/>
      <c r="S2106" s="3"/>
      <c r="T2106" s="3"/>
      <c r="U2106" s="3"/>
      <c r="V2106" s="3"/>
      <c r="W2106" s="3"/>
      <c r="X2106" s="3"/>
      <c r="Y2106" s="4"/>
      <c r="Z2106"/>
      <c r="AA2106"/>
    </row>
    <row r="2107" spans="1:27" s="49" customFormat="1" x14ac:dyDescent="0.15">
      <c r="A2107" s="165"/>
      <c r="B2107" s="93"/>
      <c r="C2107" s="102"/>
      <c r="D2107" s="62"/>
      <c r="E2107" s="102"/>
      <c r="F2107" s="102"/>
      <c r="G2107" s="102"/>
      <c r="H2107" s="85"/>
      <c r="I2107" s="104"/>
      <c r="J2107" s="144"/>
      <c r="K2107" s="62"/>
      <c r="M2107" s="37"/>
      <c r="N2107" s="37"/>
      <c r="O2107" s="37"/>
      <c r="P2107" s="3"/>
      <c r="Q2107" s="3"/>
      <c r="R2107" s="3"/>
      <c r="S2107" s="3"/>
      <c r="T2107" s="3"/>
      <c r="U2107" s="3"/>
      <c r="V2107" s="3"/>
      <c r="W2107" s="3"/>
      <c r="X2107" s="3"/>
      <c r="Y2107" s="4"/>
      <c r="Z2107"/>
      <c r="AA2107"/>
    </row>
    <row r="2108" spans="1:27" s="49" customFormat="1" x14ac:dyDescent="0.15">
      <c r="A2108" s="165"/>
      <c r="B2108" s="93"/>
      <c r="C2108" s="102"/>
      <c r="D2108" s="62"/>
      <c r="E2108" s="102"/>
      <c r="F2108" s="102"/>
      <c r="G2108" s="102"/>
      <c r="H2108" s="85"/>
      <c r="I2108" s="104"/>
      <c r="J2108" s="144"/>
      <c r="K2108" s="62"/>
      <c r="M2108" s="37"/>
      <c r="N2108" s="37"/>
      <c r="O2108" s="37"/>
      <c r="P2108" s="3"/>
      <c r="Q2108" s="3"/>
      <c r="R2108" s="3"/>
      <c r="S2108" s="3"/>
      <c r="T2108" s="3"/>
      <c r="U2108" s="3"/>
      <c r="V2108" s="3"/>
      <c r="W2108" s="3"/>
      <c r="X2108" s="3"/>
      <c r="Y2108" s="4"/>
      <c r="Z2108"/>
      <c r="AA2108"/>
    </row>
    <row r="2109" spans="1:27" s="49" customFormat="1" x14ac:dyDescent="0.15">
      <c r="A2109" s="165"/>
      <c r="B2109" s="93"/>
      <c r="C2109" s="102"/>
      <c r="D2109" s="62"/>
      <c r="E2109" s="102"/>
      <c r="F2109" s="102"/>
      <c r="G2109" s="102"/>
      <c r="H2109" s="98"/>
      <c r="I2109" s="98"/>
      <c r="J2109" s="135"/>
      <c r="K2109" s="62"/>
      <c r="M2109" s="37"/>
      <c r="N2109" s="37"/>
      <c r="O2109" s="37"/>
      <c r="P2109" s="3"/>
      <c r="Q2109" s="3"/>
      <c r="R2109" s="3"/>
      <c r="S2109" s="3"/>
      <c r="T2109" s="3"/>
      <c r="U2109" s="3"/>
      <c r="V2109" s="3"/>
      <c r="W2109" s="3"/>
      <c r="X2109" s="3"/>
      <c r="Y2109" s="4"/>
      <c r="Z2109"/>
      <c r="AA2109"/>
    </row>
    <row r="2110" spans="1:27" s="49" customFormat="1" x14ac:dyDescent="0.15">
      <c r="A2110" s="165"/>
      <c r="B2110" s="93"/>
      <c r="C2110" s="102"/>
      <c r="D2110" s="62"/>
      <c r="E2110" s="102"/>
      <c r="F2110" s="102"/>
      <c r="G2110" s="102"/>
      <c r="H2110" s="85"/>
      <c r="I2110" s="104"/>
      <c r="J2110" s="144"/>
      <c r="K2110" s="62"/>
      <c r="M2110" s="37"/>
      <c r="N2110" s="37"/>
      <c r="O2110" s="37"/>
      <c r="P2110" s="3"/>
      <c r="Q2110" s="3"/>
      <c r="R2110" s="3"/>
      <c r="S2110" s="3"/>
      <c r="T2110" s="3"/>
      <c r="U2110" s="3"/>
      <c r="V2110" s="3"/>
      <c r="W2110" s="3"/>
      <c r="X2110" s="3"/>
      <c r="Y2110" s="4"/>
      <c r="Z2110"/>
      <c r="AA2110"/>
    </row>
    <row r="2111" spans="1:27" s="49" customFormat="1" x14ac:dyDescent="0.15">
      <c r="A2111" s="165"/>
      <c r="B2111" s="93"/>
      <c r="C2111" s="102"/>
      <c r="D2111" s="62"/>
      <c r="E2111" s="102"/>
      <c r="F2111" s="102"/>
      <c r="G2111" s="102"/>
      <c r="H2111" s="85"/>
      <c r="I2111" s="104"/>
      <c r="J2111" s="144"/>
      <c r="K2111" s="62"/>
      <c r="M2111" s="37"/>
      <c r="N2111" s="37"/>
      <c r="O2111" s="37"/>
      <c r="P2111" s="3"/>
      <c r="Q2111" s="3"/>
      <c r="R2111" s="3"/>
      <c r="S2111" s="3"/>
      <c r="T2111" s="3"/>
      <c r="U2111" s="3"/>
      <c r="V2111" s="3"/>
      <c r="W2111" s="3"/>
      <c r="X2111" s="3"/>
      <c r="Y2111" s="4"/>
      <c r="Z2111"/>
      <c r="AA2111"/>
    </row>
    <row r="2112" spans="1:27" s="49" customFormat="1" x14ac:dyDescent="0.15">
      <c r="A2112" s="165"/>
      <c r="B2112" s="93"/>
      <c r="C2112" s="102"/>
      <c r="D2112" s="62"/>
      <c r="E2112" s="102"/>
      <c r="F2112" s="102"/>
      <c r="G2112" s="102"/>
      <c r="H2112" s="85"/>
      <c r="I2112" s="104"/>
      <c r="J2112" s="144"/>
      <c r="K2112" s="62"/>
      <c r="M2112" s="37"/>
      <c r="N2112" s="37"/>
      <c r="O2112" s="37"/>
      <c r="P2112" s="3"/>
      <c r="Q2112" s="3"/>
      <c r="R2112" s="3"/>
      <c r="S2112" s="3"/>
      <c r="T2112" s="3"/>
      <c r="U2112" s="3"/>
      <c r="V2112" s="3"/>
      <c r="W2112" s="3"/>
      <c r="X2112" s="3"/>
      <c r="Y2112" s="4"/>
      <c r="Z2112"/>
      <c r="AA2112"/>
    </row>
    <row r="2113" spans="1:27" s="49" customFormat="1" x14ac:dyDescent="0.15">
      <c r="A2113" s="165"/>
      <c r="B2113" s="93"/>
      <c r="C2113" s="102"/>
      <c r="D2113" s="62"/>
      <c r="E2113" s="102"/>
      <c r="F2113" s="102"/>
      <c r="G2113" s="102"/>
      <c r="H2113" s="85"/>
      <c r="I2113" s="104"/>
      <c r="J2113" s="144"/>
      <c r="K2113" s="62"/>
      <c r="M2113" s="37"/>
      <c r="N2113" s="37"/>
      <c r="O2113" s="37"/>
      <c r="P2113" s="3"/>
      <c r="Q2113" s="3"/>
      <c r="R2113" s="3"/>
      <c r="S2113" s="3"/>
      <c r="T2113" s="3"/>
      <c r="U2113" s="3"/>
      <c r="V2113" s="3"/>
      <c r="W2113" s="3"/>
      <c r="X2113" s="3"/>
      <c r="Y2113" s="4"/>
      <c r="Z2113"/>
      <c r="AA2113"/>
    </row>
    <row r="2114" spans="1:27" s="49" customFormat="1" x14ac:dyDescent="0.15">
      <c r="A2114" s="165"/>
      <c r="B2114" s="93"/>
      <c r="C2114" s="102"/>
      <c r="D2114" s="62"/>
      <c r="E2114" s="102"/>
      <c r="F2114" s="102"/>
      <c r="G2114" s="102"/>
      <c r="H2114" s="98"/>
      <c r="I2114" s="98"/>
      <c r="J2114" s="135"/>
      <c r="K2114" s="62"/>
      <c r="M2114" s="37"/>
      <c r="N2114" s="37"/>
      <c r="O2114" s="37"/>
      <c r="P2114" s="3"/>
      <c r="Q2114" s="3"/>
      <c r="R2114" s="3"/>
      <c r="S2114" s="3"/>
      <c r="T2114" s="3"/>
      <c r="U2114" s="3"/>
      <c r="V2114" s="3"/>
      <c r="W2114" s="3"/>
      <c r="X2114" s="3"/>
      <c r="Y2114" s="4"/>
      <c r="Z2114"/>
      <c r="AA2114"/>
    </row>
    <row r="2115" spans="1:27" s="49" customFormat="1" x14ac:dyDescent="0.15">
      <c r="A2115" s="165"/>
      <c r="B2115" s="93"/>
      <c r="C2115" s="102"/>
      <c r="D2115" s="62"/>
      <c r="E2115" s="102"/>
      <c r="F2115" s="102"/>
      <c r="G2115" s="102"/>
      <c r="H2115" s="98"/>
      <c r="I2115" s="98"/>
      <c r="J2115" s="135"/>
      <c r="K2115" s="62"/>
      <c r="M2115" s="37"/>
      <c r="N2115" s="37"/>
      <c r="O2115" s="37"/>
      <c r="P2115" s="3"/>
      <c r="Q2115" s="3"/>
      <c r="R2115" s="3"/>
      <c r="S2115" s="3"/>
      <c r="T2115" s="3"/>
      <c r="U2115" s="3"/>
      <c r="V2115" s="3"/>
      <c r="W2115" s="3"/>
      <c r="X2115" s="3"/>
      <c r="Y2115" s="4"/>
      <c r="Z2115"/>
      <c r="AA2115"/>
    </row>
    <row r="2116" spans="1:27" s="49" customFormat="1" x14ac:dyDescent="0.15">
      <c r="A2116" s="165"/>
      <c r="B2116" s="93"/>
      <c r="C2116" s="102"/>
      <c r="D2116" s="62"/>
      <c r="E2116" s="102"/>
      <c r="F2116" s="102"/>
      <c r="G2116" s="102"/>
      <c r="H2116" s="85"/>
      <c r="I2116" s="104"/>
      <c r="J2116" s="144"/>
      <c r="K2116" s="62"/>
      <c r="M2116" s="37"/>
      <c r="N2116" s="37"/>
      <c r="O2116" s="37"/>
      <c r="P2116" s="3"/>
      <c r="Q2116" s="3"/>
      <c r="R2116" s="3"/>
      <c r="S2116" s="3"/>
      <c r="T2116" s="3"/>
      <c r="U2116" s="3"/>
      <c r="V2116" s="3"/>
      <c r="W2116" s="3"/>
      <c r="X2116" s="3"/>
      <c r="Y2116" s="4"/>
      <c r="Z2116"/>
      <c r="AA2116"/>
    </row>
    <row r="2117" spans="1:27" s="49" customFormat="1" x14ac:dyDescent="0.15">
      <c r="A2117" s="165"/>
      <c r="B2117" s="93"/>
      <c r="C2117" s="102"/>
      <c r="D2117" s="62"/>
      <c r="E2117" s="102"/>
      <c r="F2117" s="102"/>
      <c r="G2117" s="102"/>
      <c r="H2117" s="85"/>
      <c r="I2117" s="104"/>
      <c r="J2117" s="144"/>
      <c r="K2117" s="62"/>
      <c r="M2117" s="37"/>
      <c r="N2117" s="37"/>
      <c r="O2117" s="37"/>
      <c r="P2117" s="3"/>
      <c r="Q2117" s="3"/>
      <c r="R2117" s="3"/>
      <c r="S2117" s="3"/>
      <c r="T2117" s="3"/>
      <c r="U2117" s="3"/>
      <c r="V2117" s="3"/>
      <c r="W2117" s="3"/>
      <c r="X2117" s="3"/>
      <c r="Y2117" s="4"/>
      <c r="Z2117"/>
      <c r="AA2117"/>
    </row>
    <row r="2118" spans="1:27" s="49" customFormat="1" x14ac:dyDescent="0.15">
      <c r="A2118" s="165"/>
      <c r="B2118" s="93"/>
      <c r="C2118" s="102"/>
      <c r="D2118" s="62"/>
      <c r="E2118" s="102"/>
      <c r="F2118" s="102"/>
      <c r="G2118" s="102"/>
      <c r="H2118" s="98"/>
      <c r="I2118" s="98"/>
      <c r="J2118" s="135"/>
      <c r="K2118" s="62"/>
      <c r="M2118" s="37"/>
      <c r="N2118" s="37"/>
      <c r="O2118" s="37"/>
      <c r="P2118" s="3"/>
      <c r="Q2118" s="3"/>
      <c r="R2118" s="3"/>
      <c r="S2118" s="3"/>
      <c r="T2118" s="3"/>
      <c r="U2118" s="3"/>
      <c r="V2118" s="3"/>
      <c r="W2118" s="3"/>
      <c r="X2118" s="3"/>
      <c r="Y2118" s="4"/>
      <c r="Z2118"/>
      <c r="AA2118"/>
    </row>
    <row r="2119" spans="1:27" s="49" customFormat="1" x14ac:dyDescent="0.15">
      <c r="A2119" s="165"/>
      <c r="B2119" s="93"/>
      <c r="C2119" s="102"/>
      <c r="D2119" s="62"/>
      <c r="E2119" s="102"/>
      <c r="F2119" s="102"/>
      <c r="G2119" s="102"/>
      <c r="H2119" s="85"/>
      <c r="I2119" s="104"/>
      <c r="J2119" s="144"/>
      <c r="K2119" s="62"/>
      <c r="M2119" s="37"/>
      <c r="N2119" s="37"/>
      <c r="O2119" s="37"/>
      <c r="P2119" s="3"/>
      <c r="Q2119" s="3"/>
      <c r="R2119" s="3"/>
      <c r="S2119" s="3"/>
      <c r="T2119" s="3"/>
      <c r="U2119" s="3"/>
      <c r="V2119" s="3"/>
      <c r="W2119" s="3"/>
      <c r="X2119" s="3"/>
      <c r="Y2119" s="4"/>
      <c r="Z2119"/>
      <c r="AA2119"/>
    </row>
    <row r="2120" spans="1:27" s="49" customFormat="1" x14ac:dyDescent="0.15">
      <c r="A2120" s="165"/>
      <c r="B2120" s="93"/>
      <c r="C2120" s="102"/>
      <c r="D2120" s="62"/>
      <c r="E2120" s="102"/>
      <c r="F2120" s="102"/>
      <c r="G2120" s="102"/>
      <c r="H2120" s="85"/>
      <c r="I2120" s="104"/>
      <c r="J2120" s="144"/>
      <c r="K2120" s="62"/>
      <c r="M2120" s="37"/>
      <c r="N2120" s="37"/>
      <c r="O2120" s="37"/>
      <c r="P2120" s="3"/>
      <c r="Q2120" s="3"/>
      <c r="R2120" s="3"/>
      <c r="S2120" s="3"/>
      <c r="T2120" s="3"/>
      <c r="U2120" s="3"/>
      <c r="V2120" s="3"/>
      <c r="W2120" s="3"/>
      <c r="X2120" s="3"/>
      <c r="Y2120" s="4"/>
      <c r="Z2120"/>
      <c r="AA2120"/>
    </row>
    <row r="2121" spans="1:27" s="49" customFormat="1" x14ac:dyDescent="0.15">
      <c r="A2121" s="165"/>
      <c r="B2121" s="93"/>
      <c r="C2121" s="102"/>
      <c r="D2121" s="62"/>
      <c r="E2121" s="102"/>
      <c r="F2121" s="102"/>
      <c r="G2121" s="102"/>
      <c r="H2121" s="85"/>
      <c r="I2121" s="104"/>
      <c r="J2121" s="144"/>
      <c r="K2121" s="62"/>
      <c r="M2121" s="37"/>
      <c r="N2121" s="37"/>
      <c r="O2121" s="37"/>
      <c r="P2121" s="3"/>
      <c r="Q2121" s="3"/>
      <c r="R2121" s="3"/>
      <c r="S2121" s="3"/>
      <c r="T2121" s="3"/>
      <c r="U2121" s="3"/>
      <c r="V2121" s="3"/>
      <c r="W2121" s="3"/>
      <c r="X2121" s="3"/>
      <c r="Y2121" s="4"/>
      <c r="Z2121"/>
      <c r="AA2121"/>
    </row>
    <row r="2122" spans="1:27" s="49" customFormat="1" x14ac:dyDescent="0.15">
      <c r="A2122" s="165"/>
      <c r="B2122" s="93"/>
      <c r="C2122" s="102"/>
      <c r="D2122" s="62"/>
      <c r="E2122" s="102"/>
      <c r="F2122" s="102"/>
      <c r="G2122" s="102"/>
      <c r="H2122" s="98"/>
      <c r="I2122" s="98"/>
      <c r="J2122" s="135"/>
      <c r="K2122" s="62"/>
      <c r="M2122" s="37"/>
      <c r="N2122" s="37"/>
      <c r="O2122" s="37"/>
      <c r="P2122" s="3"/>
      <c r="Q2122" s="3"/>
      <c r="R2122" s="3"/>
      <c r="S2122" s="3"/>
      <c r="T2122" s="3"/>
      <c r="U2122" s="3"/>
      <c r="V2122" s="3"/>
      <c r="W2122" s="3"/>
      <c r="X2122" s="3"/>
      <c r="Y2122" s="4"/>
      <c r="Z2122"/>
      <c r="AA2122"/>
    </row>
    <row r="2123" spans="1:27" s="49" customFormat="1" x14ac:dyDescent="0.15">
      <c r="A2123" s="165"/>
      <c r="B2123" s="93"/>
      <c r="C2123" s="102"/>
      <c r="D2123" s="62"/>
      <c r="E2123" s="102"/>
      <c r="F2123" s="102"/>
      <c r="G2123" s="102"/>
      <c r="H2123" s="98"/>
      <c r="I2123" s="98"/>
      <c r="J2123" s="135"/>
      <c r="K2123" s="62"/>
      <c r="M2123" s="37"/>
      <c r="N2123" s="37"/>
      <c r="O2123" s="37"/>
      <c r="P2123" s="3"/>
      <c r="Q2123" s="3"/>
      <c r="R2123" s="3"/>
      <c r="S2123" s="3"/>
      <c r="T2123" s="3"/>
      <c r="U2123" s="3"/>
      <c r="V2123" s="3"/>
      <c r="W2123" s="3"/>
      <c r="X2123" s="3"/>
      <c r="Y2123" s="4"/>
      <c r="Z2123"/>
      <c r="AA2123"/>
    </row>
    <row r="2124" spans="1:27" s="49" customFormat="1" x14ac:dyDescent="0.15">
      <c r="A2124" s="165"/>
      <c r="B2124" s="93"/>
      <c r="C2124" s="102"/>
      <c r="D2124" s="62"/>
      <c r="E2124" s="102"/>
      <c r="F2124" s="102"/>
      <c r="G2124" s="102"/>
      <c r="H2124" s="85"/>
      <c r="I2124" s="104"/>
      <c r="J2124" s="144"/>
      <c r="K2124" s="62"/>
      <c r="M2124" s="37"/>
      <c r="N2124" s="37"/>
      <c r="O2124" s="37"/>
      <c r="P2124" s="3"/>
      <c r="Q2124" s="3"/>
      <c r="R2124" s="3"/>
      <c r="S2124" s="3"/>
      <c r="T2124" s="3"/>
      <c r="U2124" s="3"/>
      <c r="V2124" s="3"/>
      <c r="W2124" s="3"/>
      <c r="X2124" s="3"/>
      <c r="Y2124" s="4"/>
      <c r="Z2124"/>
      <c r="AA2124"/>
    </row>
    <row r="2125" spans="1:27" s="49" customFormat="1" x14ac:dyDescent="0.15">
      <c r="A2125" s="165"/>
      <c r="B2125" s="93"/>
      <c r="C2125" s="102"/>
      <c r="D2125" s="62"/>
      <c r="E2125" s="102"/>
      <c r="F2125" s="102"/>
      <c r="G2125" s="102"/>
      <c r="H2125" s="85"/>
      <c r="I2125" s="104"/>
      <c r="J2125" s="144"/>
      <c r="K2125" s="62"/>
      <c r="M2125" s="37"/>
      <c r="N2125" s="37"/>
      <c r="O2125" s="37"/>
      <c r="P2125" s="3"/>
      <c r="Q2125" s="3"/>
      <c r="R2125" s="3"/>
      <c r="S2125" s="3"/>
      <c r="T2125" s="3"/>
      <c r="U2125" s="3"/>
      <c r="V2125" s="3"/>
      <c r="W2125" s="3"/>
      <c r="X2125" s="3"/>
      <c r="Y2125" s="4"/>
      <c r="Z2125"/>
      <c r="AA2125"/>
    </row>
    <row r="2126" spans="1:27" s="49" customFormat="1" x14ac:dyDescent="0.15">
      <c r="A2126" s="165"/>
      <c r="B2126" s="93"/>
      <c r="C2126" s="102"/>
      <c r="D2126" s="62"/>
      <c r="E2126" s="102"/>
      <c r="F2126" s="102"/>
      <c r="G2126" s="102"/>
      <c r="H2126" s="85"/>
      <c r="I2126" s="104"/>
      <c r="J2126" s="144"/>
      <c r="K2126" s="62"/>
      <c r="M2126" s="37"/>
      <c r="N2126" s="37"/>
      <c r="O2126" s="37"/>
      <c r="P2126" s="3"/>
      <c r="Q2126" s="3"/>
      <c r="R2126" s="3"/>
      <c r="S2126" s="3"/>
      <c r="T2126" s="3"/>
      <c r="U2126" s="3"/>
      <c r="V2126" s="3"/>
      <c r="W2126" s="3"/>
      <c r="X2126" s="3"/>
      <c r="Y2126" s="4"/>
      <c r="Z2126"/>
      <c r="AA2126"/>
    </row>
    <row r="2127" spans="1:27" s="3" customFormat="1" x14ac:dyDescent="0.15">
      <c r="A2127" s="165"/>
      <c r="B2127" s="93"/>
      <c r="C2127" s="102"/>
      <c r="D2127" s="62"/>
      <c r="E2127" s="102"/>
      <c r="F2127" s="102"/>
      <c r="G2127" s="102"/>
      <c r="H2127" s="85"/>
      <c r="I2127" s="104"/>
      <c r="J2127" s="144"/>
      <c r="K2127" s="62"/>
      <c r="L2127" s="49"/>
      <c r="M2127" s="37"/>
      <c r="N2127" s="37"/>
      <c r="O2127" s="37"/>
      <c r="Y2127" s="4"/>
      <c r="Z2127"/>
      <c r="AA2127"/>
    </row>
    <row r="2128" spans="1:27" s="3" customFormat="1" x14ac:dyDescent="0.15">
      <c r="A2128" s="165"/>
      <c r="B2128" s="93"/>
      <c r="C2128" s="102"/>
      <c r="D2128" s="62"/>
      <c r="E2128" s="102"/>
      <c r="F2128" s="102"/>
      <c r="G2128" s="102"/>
      <c r="H2128" s="85"/>
      <c r="I2128" s="104"/>
      <c r="J2128" s="144"/>
      <c r="K2128" s="62"/>
      <c r="L2128" s="49"/>
      <c r="M2128" s="37"/>
      <c r="N2128" s="37"/>
      <c r="O2128" s="37"/>
      <c r="Y2128" s="4"/>
      <c r="Z2128"/>
      <c r="AA2128"/>
    </row>
    <row r="2129" spans="1:27" s="3" customFormat="1" x14ac:dyDescent="0.15">
      <c r="A2129" s="165"/>
      <c r="B2129" s="93"/>
      <c r="C2129" s="102"/>
      <c r="D2129" s="62"/>
      <c r="E2129" s="102"/>
      <c r="F2129" s="102"/>
      <c r="G2129" s="102"/>
      <c r="H2129" s="85"/>
      <c r="I2129" s="104"/>
      <c r="J2129" s="144"/>
      <c r="K2129" s="62"/>
      <c r="L2129" s="49"/>
      <c r="M2129" s="37"/>
      <c r="N2129" s="37"/>
      <c r="O2129" s="37"/>
      <c r="Y2129" s="4"/>
      <c r="Z2129"/>
      <c r="AA2129"/>
    </row>
    <row r="2130" spans="1:27" s="3" customFormat="1" x14ac:dyDescent="0.15">
      <c r="A2130" s="165"/>
      <c r="B2130" s="93"/>
      <c r="C2130" s="102"/>
      <c r="D2130" s="62"/>
      <c r="E2130" s="102"/>
      <c r="F2130" s="102"/>
      <c r="G2130" s="102"/>
      <c r="H2130" s="85"/>
      <c r="I2130" s="104"/>
      <c r="J2130" s="144"/>
      <c r="K2130" s="62"/>
      <c r="L2130" s="49"/>
      <c r="M2130" s="37"/>
      <c r="N2130" s="37"/>
      <c r="O2130" s="37"/>
      <c r="Y2130" s="4"/>
      <c r="Z2130"/>
      <c r="AA2130"/>
    </row>
    <row r="2131" spans="1:27" s="3" customFormat="1" x14ac:dyDescent="0.15">
      <c r="A2131" s="165"/>
      <c r="B2131" s="97"/>
      <c r="C2131" s="107"/>
      <c r="D2131" s="62"/>
      <c r="E2131" s="107"/>
      <c r="F2131" s="107"/>
      <c r="G2131" s="107"/>
      <c r="H2131" s="103"/>
      <c r="I2131" s="104"/>
      <c r="J2131" s="143"/>
      <c r="K2131" s="61"/>
      <c r="L2131" s="35"/>
      <c r="M2131" s="35"/>
      <c r="N2131" s="35"/>
      <c r="O2131" s="35"/>
      <c r="Y2131" s="4"/>
      <c r="Z2131"/>
      <c r="AA2131"/>
    </row>
    <row r="2132" spans="1:27" s="3" customFormat="1" x14ac:dyDescent="0.15">
      <c r="A2132" s="165"/>
      <c r="B2132" s="93"/>
      <c r="C2132" s="102"/>
      <c r="D2132" s="62"/>
      <c r="E2132" s="102"/>
      <c r="F2132" s="102"/>
      <c r="G2132" s="102"/>
      <c r="H2132" s="98"/>
      <c r="I2132" s="98"/>
      <c r="J2132" s="135"/>
      <c r="K2132" s="62"/>
      <c r="L2132" s="49"/>
      <c r="M2132" s="37"/>
      <c r="N2132" s="37"/>
      <c r="O2132" s="37"/>
      <c r="Y2132" s="4"/>
      <c r="Z2132"/>
      <c r="AA2132"/>
    </row>
    <row r="2133" spans="1:27" s="3" customFormat="1" x14ac:dyDescent="0.15">
      <c r="A2133" s="165"/>
      <c r="B2133" s="93"/>
      <c r="C2133" s="102"/>
      <c r="D2133" s="62"/>
      <c r="E2133" s="102"/>
      <c r="F2133" s="102"/>
      <c r="G2133" s="102"/>
      <c r="H2133" s="98"/>
      <c r="I2133" s="98"/>
      <c r="J2133" s="135"/>
      <c r="K2133" s="62"/>
      <c r="L2133" s="49"/>
      <c r="M2133" s="37"/>
      <c r="N2133" s="37"/>
      <c r="O2133" s="37"/>
      <c r="Y2133" s="4"/>
      <c r="Z2133"/>
      <c r="AA2133"/>
    </row>
    <row r="2134" spans="1:27" s="3" customFormat="1" x14ac:dyDescent="0.15">
      <c r="A2134" s="165"/>
      <c r="B2134" s="93"/>
      <c r="C2134" s="102"/>
      <c r="D2134" s="62"/>
      <c r="E2134" s="102"/>
      <c r="F2134" s="102"/>
      <c r="G2134" s="102"/>
      <c r="H2134" s="85"/>
      <c r="I2134" s="104"/>
      <c r="J2134" s="144"/>
      <c r="K2134" s="62"/>
      <c r="L2134" s="49"/>
      <c r="M2134" s="37"/>
      <c r="N2134" s="37"/>
      <c r="O2134" s="37"/>
      <c r="Y2134" s="4"/>
      <c r="Z2134"/>
      <c r="AA2134"/>
    </row>
    <row r="2135" spans="1:27" s="3" customFormat="1" x14ac:dyDescent="0.15">
      <c r="A2135" s="165"/>
      <c r="B2135" s="93"/>
      <c r="C2135" s="102"/>
      <c r="D2135" s="62"/>
      <c r="E2135" s="102"/>
      <c r="F2135" s="102"/>
      <c r="G2135" s="102"/>
      <c r="H2135" s="85"/>
      <c r="I2135" s="104"/>
      <c r="J2135" s="144"/>
      <c r="K2135" s="62"/>
      <c r="L2135" s="49"/>
      <c r="M2135" s="37"/>
      <c r="N2135" s="37"/>
      <c r="O2135" s="37"/>
      <c r="Y2135" s="4"/>
      <c r="Z2135"/>
      <c r="AA2135"/>
    </row>
    <row r="2136" spans="1:27" s="3" customFormat="1" x14ac:dyDescent="0.15">
      <c r="A2136" s="165"/>
      <c r="B2136" s="93"/>
      <c r="C2136" s="102"/>
      <c r="D2136" s="62"/>
      <c r="E2136" s="102"/>
      <c r="F2136" s="102"/>
      <c r="G2136" s="102"/>
      <c r="H2136" s="98"/>
      <c r="I2136" s="98"/>
      <c r="J2136" s="135"/>
      <c r="K2136" s="62"/>
      <c r="L2136" s="49"/>
      <c r="M2136" s="37"/>
      <c r="N2136" s="37"/>
      <c r="O2136" s="37"/>
      <c r="Y2136" s="4"/>
      <c r="Z2136"/>
      <c r="AA2136"/>
    </row>
    <row r="2137" spans="1:27" s="3" customFormat="1" x14ac:dyDescent="0.15">
      <c r="A2137" s="167"/>
      <c r="B2137" s="87"/>
      <c r="C2137" s="88"/>
      <c r="D2137" s="86"/>
      <c r="E2137" s="86"/>
      <c r="F2137" s="86"/>
      <c r="G2137" s="86"/>
      <c r="H2137" s="85"/>
      <c r="I2137" s="89"/>
      <c r="J2137" s="132"/>
      <c r="K2137" s="68"/>
      <c r="L2137" s="49"/>
      <c r="M2137" s="37"/>
      <c r="N2137" s="37"/>
      <c r="O2137" s="37"/>
      <c r="Y2137" s="4"/>
      <c r="Z2137"/>
      <c r="AA2137"/>
    </row>
    <row r="2138" spans="1:27" s="3" customFormat="1" x14ac:dyDescent="0.15">
      <c r="A2138" s="167"/>
      <c r="B2138" s="87"/>
      <c r="C2138" s="88"/>
      <c r="D2138" s="86"/>
      <c r="E2138" s="86"/>
      <c r="F2138" s="86"/>
      <c r="G2138" s="86"/>
      <c r="H2138" s="85"/>
      <c r="I2138" s="89"/>
      <c r="J2138" s="132"/>
      <c r="K2138" s="68"/>
      <c r="L2138" s="49"/>
      <c r="M2138" s="37"/>
      <c r="N2138" s="37"/>
      <c r="O2138" s="37"/>
      <c r="Y2138" s="4"/>
      <c r="Z2138"/>
      <c r="AA2138"/>
    </row>
    <row r="2139" spans="1:27" s="3" customFormat="1" x14ac:dyDescent="0.15">
      <c r="A2139" s="167"/>
      <c r="B2139" s="87"/>
      <c r="C2139" s="88"/>
      <c r="D2139" s="86"/>
      <c r="E2139" s="86"/>
      <c r="F2139" s="86"/>
      <c r="G2139" s="86"/>
      <c r="H2139" s="85"/>
      <c r="I2139" s="89"/>
      <c r="J2139" s="135"/>
      <c r="K2139" s="61"/>
      <c r="L2139" s="49"/>
      <c r="M2139" s="37"/>
      <c r="N2139" s="37"/>
      <c r="O2139" s="37"/>
      <c r="Y2139" s="4"/>
      <c r="Z2139"/>
      <c r="AA2139"/>
    </row>
    <row r="2140" spans="1:27" s="3" customFormat="1" x14ac:dyDescent="0.15">
      <c r="A2140" s="167"/>
      <c r="B2140" s="87"/>
      <c r="C2140" s="88"/>
      <c r="D2140" s="86"/>
      <c r="E2140" s="86"/>
      <c r="F2140" s="86"/>
      <c r="G2140" s="86"/>
      <c r="H2140" s="85"/>
      <c r="I2140" s="89"/>
      <c r="J2140" s="132"/>
      <c r="K2140" s="61"/>
      <c r="L2140" s="49"/>
      <c r="M2140" s="37"/>
      <c r="N2140" s="37"/>
      <c r="O2140" s="37"/>
      <c r="Y2140" s="4"/>
      <c r="Z2140"/>
      <c r="AA2140"/>
    </row>
    <row r="2141" spans="1:27" s="3" customFormat="1" x14ac:dyDescent="0.15">
      <c r="A2141" s="167"/>
      <c r="B2141" s="93"/>
      <c r="C2141" s="70"/>
      <c r="D2141" s="86"/>
      <c r="E2141" s="70"/>
      <c r="F2141" s="70"/>
      <c r="G2141" s="70"/>
      <c r="H2141" s="85"/>
      <c r="I2141" s="85"/>
      <c r="J2141" s="131"/>
      <c r="K2141" s="61"/>
      <c r="L2141" s="35"/>
      <c r="M2141" s="37"/>
      <c r="N2141" s="37"/>
      <c r="O2141" s="37"/>
      <c r="Y2141" s="4"/>
      <c r="Z2141"/>
      <c r="AA2141"/>
    </row>
    <row r="2142" spans="1:27" s="3" customFormat="1" x14ac:dyDescent="0.15">
      <c r="A2142" s="166"/>
      <c r="B2142" s="82"/>
      <c r="C2142" s="70"/>
      <c r="D2142" s="70"/>
      <c r="E2142" s="70"/>
      <c r="F2142" s="70"/>
      <c r="G2142" s="70"/>
      <c r="H2142" s="85"/>
      <c r="I2142" s="85"/>
      <c r="J2142" s="131"/>
      <c r="K2142" s="60"/>
      <c r="L2142" s="49"/>
      <c r="M2142" s="37"/>
      <c r="N2142" s="37"/>
      <c r="O2142" s="37"/>
      <c r="Y2142" s="4"/>
      <c r="Z2142"/>
      <c r="AA2142"/>
    </row>
    <row r="2143" spans="1:27" s="3" customFormat="1" x14ac:dyDescent="0.15">
      <c r="A2143" s="166"/>
      <c r="B2143" s="82"/>
      <c r="C2143" s="70"/>
      <c r="D2143" s="70"/>
      <c r="E2143" s="70"/>
      <c r="F2143" s="70"/>
      <c r="G2143" s="70"/>
      <c r="H2143" s="85"/>
      <c r="I2143" s="85"/>
      <c r="J2143" s="131"/>
      <c r="K2143" s="60"/>
      <c r="L2143" s="49"/>
      <c r="M2143" s="35"/>
      <c r="N2143" s="37"/>
      <c r="O2143" s="37"/>
      <c r="Y2143" s="4"/>
      <c r="Z2143"/>
      <c r="AA2143"/>
    </row>
    <row r="2144" spans="1:27" s="3" customFormat="1" x14ac:dyDescent="0.15">
      <c r="A2144" s="166"/>
      <c r="B2144" s="82"/>
      <c r="C2144" s="70"/>
      <c r="D2144" s="70"/>
      <c r="E2144" s="70"/>
      <c r="F2144" s="70"/>
      <c r="G2144" s="70"/>
      <c r="H2144" s="85"/>
      <c r="I2144" s="85"/>
      <c r="J2144" s="131"/>
      <c r="K2144" s="60"/>
      <c r="L2144" s="49"/>
      <c r="M2144" s="35"/>
      <c r="N2144" s="37"/>
      <c r="O2144" s="37"/>
      <c r="Y2144" s="4"/>
      <c r="Z2144"/>
      <c r="AA2144"/>
    </row>
    <row r="2145" spans="1:27" s="3" customFormat="1" x14ac:dyDescent="0.15">
      <c r="A2145" s="166"/>
      <c r="B2145" s="82"/>
      <c r="C2145" s="70"/>
      <c r="D2145" s="70"/>
      <c r="E2145" s="70"/>
      <c r="F2145" s="70"/>
      <c r="G2145" s="70"/>
      <c r="H2145" s="85"/>
      <c r="I2145" s="85"/>
      <c r="J2145" s="131"/>
      <c r="K2145" s="60"/>
      <c r="L2145" s="49"/>
      <c r="M2145" s="37"/>
      <c r="N2145" s="37"/>
      <c r="O2145" s="37"/>
      <c r="Y2145" s="4"/>
      <c r="Z2145"/>
      <c r="AA2145"/>
    </row>
    <row r="2146" spans="1:27" s="3" customFormat="1" x14ac:dyDescent="0.15">
      <c r="A2146" s="166"/>
      <c r="B2146" s="82"/>
      <c r="C2146" s="70"/>
      <c r="D2146" s="70"/>
      <c r="E2146" s="70"/>
      <c r="F2146" s="70"/>
      <c r="G2146" s="70"/>
      <c r="H2146" s="85"/>
      <c r="I2146" s="85"/>
      <c r="J2146" s="131"/>
      <c r="K2146" s="60"/>
      <c r="L2146" s="49"/>
      <c r="M2146" s="37"/>
      <c r="N2146" s="37"/>
      <c r="O2146" s="37"/>
      <c r="Y2146" s="4"/>
      <c r="Z2146"/>
      <c r="AA2146"/>
    </row>
    <row r="2147" spans="1:27" s="3" customFormat="1" x14ac:dyDescent="0.15">
      <c r="A2147" s="166"/>
      <c r="B2147" s="82"/>
      <c r="C2147" s="70"/>
      <c r="D2147" s="70"/>
      <c r="E2147" s="70"/>
      <c r="F2147" s="70"/>
      <c r="G2147" s="70"/>
      <c r="H2147" s="85"/>
      <c r="I2147" s="85"/>
      <c r="J2147" s="131"/>
      <c r="K2147" s="60"/>
      <c r="L2147" s="49"/>
      <c r="M2147" s="37"/>
      <c r="N2147" s="37"/>
      <c r="O2147" s="37"/>
      <c r="Y2147" s="4"/>
      <c r="Z2147"/>
      <c r="AA2147"/>
    </row>
    <row r="2148" spans="1:27" s="3" customFormat="1" x14ac:dyDescent="0.15">
      <c r="A2148" s="166"/>
      <c r="B2148" s="82"/>
      <c r="C2148" s="70"/>
      <c r="D2148" s="70"/>
      <c r="E2148" s="70"/>
      <c r="F2148" s="70"/>
      <c r="G2148" s="70"/>
      <c r="H2148" s="85"/>
      <c r="I2148" s="85"/>
      <c r="J2148" s="131"/>
      <c r="K2148" s="60"/>
      <c r="L2148" s="49"/>
      <c r="M2148" s="37"/>
      <c r="N2148" s="37"/>
      <c r="O2148" s="37"/>
      <c r="Y2148" s="4"/>
      <c r="Z2148"/>
      <c r="AA2148"/>
    </row>
    <row r="2149" spans="1:27" s="3" customFormat="1" x14ac:dyDescent="0.15">
      <c r="A2149" s="166"/>
      <c r="B2149" s="82"/>
      <c r="C2149" s="70"/>
      <c r="D2149" s="70"/>
      <c r="E2149" s="70"/>
      <c r="F2149" s="70"/>
      <c r="G2149" s="70"/>
      <c r="H2149" s="85"/>
      <c r="I2149" s="85"/>
      <c r="J2149" s="131"/>
      <c r="K2149" s="60"/>
      <c r="L2149" s="49"/>
      <c r="M2149" s="37"/>
      <c r="N2149" s="37"/>
      <c r="O2149" s="37"/>
      <c r="Y2149" s="4"/>
      <c r="Z2149"/>
      <c r="AA2149"/>
    </row>
    <row r="2150" spans="1:27" s="3" customFormat="1" x14ac:dyDescent="0.15">
      <c r="A2150" s="166"/>
      <c r="B2150" s="82"/>
      <c r="C2150" s="70"/>
      <c r="D2150" s="70"/>
      <c r="E2150" s="70"/>
      <c r="F2150" s="70"/>
      <c r="G2150" s="70"/>
      <c r="H2150" s="85"/>
      <c r="I2150" s="85"/>
      <c r="J2150" s="131"/>
      <c r="K2150" s="60"/>
      <c r="L2150" s="49"/>
      <c r="M2150" s="37"/>
      <c r="N2150" s="37"/>
      <c r="O2150" s="35"/>
      <c r="Y2150" s="4"/>
      <c r="Z2150"/>
      <c r="AA2150"/>
    </row>
    <row r="2151" spans="1:27" s="3" customFormat="1" x14ac:dyDescent="0.15">
      <c r="A2151" s="166"/>
      <c r="B2151" s="82"/>
      <c r="C2151" s="70"/>
      <c r="D2151" s="70"/>
      <c r="E2151" s="70"/>
      <c r="F2151" s="70"/>
      <c r="G2151" s="70"/>
      <c r="H2151" s="85"/>
      <c r="I2151" s="85"/>
      <c r="J2151" s="131"/>
      <c r="K2151" s="60"/>
      <c r="L2151" s="49"/>
      <c r="M2151" s="37"/>
      <c r="N2151" s="37"/>
      <c r="O2151" s="37"/>
      <c r="Y2151" s="4"/>
      <c r="Z2151"/>
      <c r="AA2151"/>
    </row>
    <row r="2152" spans="1:27" s="3" customFormat="1" x14ac:dyDescent="0.15">
      <c r="A2152" s="166"/>
      <c r="B2152" s="82"/>
      <c r="C2152" s="70"/>
      <c r="D2152" s="70"/>
      <c r="E2152" s="70"/>
      <c r="F2152" s="70"/>
      <c r="G2152" s="70"/>
      <c r="H2152" s="85"/>
      <c r="I2152" s="85"/>
      <c r="J2152" s="131"/>
      <c r="K2152" s="60"/>
      <c r="L2152" s="49"/>
      <c r="M2152" s="37"/>
      <c r="N2152" s="37"/>
      <c r="O2152" s="37"/>
      <c r="Y2152" s="4"/>
      <c r="Z2152"/>
      <c r="AA2152"/>
    </row>
    <row r="2153" spans="1:27" s="3" customFormat="1" x14ac:dyDescent="0.15">
      <c r="A2153" s="166"/>
      <c r="B2153" s="82"/>
      <c r="C2153" s="70"/>
      <c r="D2153" s="70"/>
      <c r="E2153" s="70"/>
      <c r="F2153" s="70"/>
      <c r="G2153" s="70"/>
      <c r="H2153" s="85"/>
      <c r="I2153" s="85"/>
      <c r="J2153" s="131"/>
      <c r="K2153" s="60"/>
      <c r="L2153" s="49"/>
      <c r="M2153" s="37"/>
      <c r="N2153" s="37"/>
      <c r="O2153" s="37"/>
      <c r="Y2153" s="4"/>
      <c r="Z2153"/>
      <c r="AA2153"/>
    </row>
    <row r="2154" spans="1:27" s="3" customFormat="1" x14ac:dyDescent="0.15">
      <c r="A2154" s="166"/>
      <c r="B2154" s="82"/>
      <c r="C2154" s="70"/>
      <c r="D2154" s="70"/>
      <c r="E2154" s="70"/>
      <c r="F2154" s="70"/>
      <c r="G2154" s="70"/>
      <c r="H2154" s="85"/>
      <c r="I2154" s="85"/>
      <c r="J2154" s="131"/>
      <c r="K2154" s="60"/>
      <c r="L2154" s="49"/>
      <c r="M2154" s="37"/>
      <c r="N2154" s="37"/>
      <c r="O2154" s="37"/>
      <c r="Y2154" s="4"/>
      <c r="Z2154"/>
      <c r="AA2154"/>
    </row>
    <row r="2155" spans="1:27" s="3" customFormat="1" x14ac:dyDescent="0.15">
      <c r="A2155" s="166"/>
      <c r="B2155" s="82"/>
      <c r="C2155" s="70"/>
      <c r="D2155" s="70"/>
      <c r="E2155" s="70"/>
      <c r="F2155" s="70"/>
      <c r="G2155" s="70"/>
      <c r="H2155" s="85"/>
      <c r="I2155" s="85"/>
      <c r="J2155" s="131"/>
      <c r="K2155" s="60"/>
      <c r="L2155" s="49"/>
      <c r="M2155" s="37"/>
      <c r="N2155" s="37"/>
      <c r="O2155" s="37"/>
      <c r="Y2155" s="4"/>
      <c r="Z2155"/>
      <c r="AA2155"/>
    </row>
    <row r="2156" spans="1:27" s="3" customFormat="1" x14ac:dyDescent="0.15">
      <c r="A2156" s="166"/>
      <c r="B2156" s="82"/>
      <c r="C2156" s="70"/>
      <c r="D2156" s="70"/>
      <c r="E2156" s="70"/>
      <c r="F2156" s="70"/>
      <c r="G2156" s="70"/>
      <c r="H2156" s="85"/>
      <c r="I2156" s="85"/>
      <c r="J2156" s="131"/>
      <c r="K2156" s="60"/>
      <c r="L2156" s="49"/>
      <c r="M2156" s="37"/>
      <c r="N2156" s="37"/>
      <c r="O2156" s="37"/>
      <c r="Y2156" s="4"/>
      <c r="Z2156"/>
      <c r="AA2156"/>
    </row>
    <row r="2157" spans="1:27" s="3" customFormat="1" x14ac:dyDescent="0.15">
      <c r="A2157" s="166"/>
      <c r="B2157" s="82"/>
      <c r="C2157" s="70"/>
      <c r="D2157" s="70"/>
      <c r="E2157" s="70"/>
      <c r="F2157" s="70"/>
      <c r="G2157" s="70"/>
      <c r="H2157" s="85"/>
      <c r="I2157" s="85"/>
      <c r="J2157" s="131"/>
      <c r="K2157" s="60"/>
      <c r="L2157" s="49"/>
      <c r="M2157" s="37"/>
      <c r="N2157" s="37"/>
      <c r="O2157" s="37"/>
      <c r="Y2157" s="4"/>
      <c r="Z2157"/>
      <c r="AA2157"/>
    </row>
    <row r="2158" spans="1:27" s="3" customFormat="1" x14ac:dyDescent="0.15">
      <c r="A2158" s="166"/>
      <c r="B2158" s="82"/>
      <c r="C2158" s="70"/>
      <c r="D2158" s="70"/>
      <c r="E2158" s="70"/>
      <c r="F2158" s="70"/>
      <c r="G2158" s="70"/>
      <c r="H2158" s="85"/>
      <c r="I2158" s="85"/>
      <c r="J2158" s="131"/>
      <c r="K2158" s="60"/>
      <c r="L2158" s="49"/>
      <c r="M2158" s="37"/>
      <c r="N2158" s="37"/>
      <c r="O2158" s="37"/>
      <c r="Y2158" s="4"/>
      <c r="Z2158"/>
      <c r="AA2158"/>
    </row>
    <row r="2159" spans="1:27" s="3" customFormat="1" x14ac:dyDescent="0.15">
      <c r="A2159" s="166"/>
      <c r="B2159" s="82"/>
      <c r="C2159" s="70"/>
      <c r="D2159" s="70"/>
      <c r="E2159" s="70"/>
      <c r="F2159" s="70"/>
      <c r="G2159" s="70"/>
      <c r="H2159" s="85"/>
      <c r="I2159" s="85"/>
      <c r="J2159" s="131"/>
      <c r="K2159" s="60"/>
      <c r="L2159" s="49"/>
      <c r="M2159" s="37"/>
      <c r="N2159" s="37"/>
      <c r="O2159" s="37"/>
      <c r="Y2159" s="4"/>
      <c r="Z2159"/>
      <c r="AA2159"/>
    </row>
    <row r="2160" spans="1:27" s="3" customFormat="1" x14ac:dyDescent="0.15">
      <c r="A2160" s="166"/>
      <c r="B2160" s="82"/>
      <c r="C2160" s="70"/>
      <c r="D2160" s="70"/>
      <c r="E2160" s="70"/>
      <c r="F2160" s="70"/>
      <c r="G2160" s="70"/>
      <c r="H2160" s="85"/>
      <c r="I2160" s="85"/>
      <c r="J2160" s="131"/>
      <c r="K2160" s="60"/>
      <c r="L2160" s="49"/>
      <c r="M2160" s="37"/>
      <c r="N2160" s="37"/>
      <c r="O2160" s="35"/>
      <c r="Y2160" s="4"/>
      <c r="Z2160"/>
      <c r="AA2160"/>
    </row>
    <row r="2161" spans="1:27" s="3" customFormat="1" ht="16" x14ac:dyDescent="0.2">
      <c r="A2161" s="166"/>
      <c r="B2161" s="82"/>
      <c r="C2161" s="70"/>
      <c r="D2161" s="70"/>
      <c r="E2161" s="70"/>
      <c r="F2161" s="70"/>
      <c r="G2161" s="70"/>
      <c r="H2161" s="85"/>
      <c r="I2161" s="85"/>
      <c r="J2161" s="131"/>
      <c r="K2161" s="60"/>
      <c r="L2161" s="49"/>
      <c r="M2161" s="48"/>
      <c r="N2161" s="37"/>
      <c r="O2161" s="37"/>
      <c r="Y2161" s="4"/>
      <c r="Z2161"/>
      <c r="AA2161"/>
    </row>
    <row r="2162" spans="1:27" s="3" customFormat="1" x14ac:dyDescent="0.15">
      <c r="A2162" s="166"/>
      <c r="B2162" s="82"/>
      <c r="C2162" s="70"/>
      <c r="D2162" s="70"/>
      <c r="E2162" s="70"/>
      <c r="F2162" s="70"/>
      <c r="G2162" s="70"/>
      <c r="H2162" s="85"/>
      <c r="I2162" s="85"/>
      <c r="J2162" s="131"/>
      <c r="K2162" s="60"/>
      <c r="L2162" s="49"/>
      <c r="M2162" s="37"/>
      <c r="N2162" s="37"/>
      <c r="O2162" s="37"/>
      <c r="Y2162" s="4"/>
      <c r="Z2162"/>
      <c r="AA2162"/>
    </row>
    <row r="2163" spans="1:27" s="3" customFormat="1" x14ac:dyDescent="0.15">
      <c r="A2163" s="166"/>
      <c r="B2163" s="82"/>
      <c r="C2163" s="70"/>
      <c r="D2163" s="70"/>
      <c r="E2163" s="70"/>
      <c r="F2163" s="70"/>
      <c r="G2163" s="70"/>
      <c r="H2163" s="85"/>
      <c r="I2163" s="85"/>
      <c r="J2163" s="131"/>
      <c r="K2163" s="60"/>
      <c r="L2163" s="49"/>
      <c r="M2163" s="37"/>
      <c r="N2163" s="37"/>
      <c r="O2163" s="37"/>
      <c r="Y2163" s="4"/>
      <c r="Z2163"/>
      <c r="AA2163"/>
    </row>
    <row r="2164" spans="1:27" s="3" customFormat="1" x14ac:dyDescent="0.15">
      <c r="A2164" s="166"/>
      <c r="B2164" s="82"/>
      <c r="C2164" s="70"/>
      <c r="D2164" s="70"/>
      <c r="E2164" s="70"/>
      <c r="F2164" s="70"/>
      <c r="G2164" s="70"/>
      <c r="H2164" s="85"/>
      <c r="I2164" s="85"/>
      <c r="J2164" s="131"/>
      <c r="K2164" s="60"/>
      <c r="L2164" s="49"/>
      <c r="M2164" s="37"/>
      <c r="N2164" s="37"/>
      <c r="O2164" s="37"/>
      <c r="Y2164" s="4"/>
      <c r="Z2164"/>
      <c r="AA2164"/>
    </row>
    <row r="2165" spans="1:27" s="3" customFormat="1" x14ac:dyDescent="0.15">
      <c r="A2165" s="166"/>
      <c r="B2165" s="82"/>
      <c r="C2165" s="70"/>
      <c r="D2165" s="70"/>
      <c r="E2165" s="70"/>
      <c r="F2165" s="70"/>
      <c r="G2165" s="70"/>
      <c r="H2165" s="85"/>
      <c r="I2165" s="85"/>
      <c r="J2165" s="131"/>
      <c r="K2165" s="60"/>
      <c r="L2165" s="49"/>
      <c r="M2165" s="37"/>
      <c r="N2165" s="37"/>
      <c r="O2165" s="37"/>
      <c r="Y2165" s="4"/>
      <c r="Z2165"/>
      <c r="AA2165"/>
    </row>
    <row r="2166" spans="1:27" s="3" customFormat="1" ht="16" x14ac:dyDescent="0.2">
      <c r="A2166" s="166"/>
      <c r="B2166" s="82"/>
      <c r="C2166" s="70"/>
      <c r="D2166" s="70"/>
      <c r="E2166" s="70"/>
      <c r="F2166" s="70"/>
      <c r="G2166" s="70"/>
      <c r="H2166" s="85"/>
      <c r="I2166" s="85"/>
      <c r="J2166" s="131"/>
      <c r="K2166" s="60"/>
      <c r="L2166" s="49"/>
      <c r="M2166" s="48"/>
      <c r="N2166" s="37"/>
      <c r="O2166" s="37"/>
      <c r="Y2166" s="4"/>
      <c r="Z2166"/>
      <c r="AA2166"/>
    </row>
    <row r="2167" spans="1:27" s="3" customFormat="1" ht="16" x14ac:dyDescent="0.2">
      <c r="A2167" s="166"/>
      <c r="B2167" s="82"/>
      <c r="C2167" s="70"/>
      <c r="D2167" s="70"/>
      <c r="E2167" s="70"/>
      <c r="F2167" s="70"/>
      <c r="G2167" s="70"/>
      <c r="H2167" s="85"/>
      <c r="I2167" s="85"/>
      <c r="J2167" s="131"/>
      <c r="K2167" s="60"/>
      <c r="L2167" s="49"/>
      <c r="M2167" s="48"/>
      <c r="N2167" s="37"/>
      <c r="O2167" s="37"/>
      <c r="Y2167" s="4"/>
      <c r="Z2167"/>
      <c r="AA2167"/>
    </row>
    <row r="2168" spans="1:27" s="3" customFormat="1" x14ac:dyDescent="0.15">
      <c r="A2168" s="166"/>
      <c r="B2168" s="82"/>
      <c r="C2168" s="70"/>
      <c r="D2168" s="70"/>
      <c r="E2168" s="70"/>
      <c r="F2168" s="70"/>
      <c r="G2168" s="70"/>
      <c r="H2168" s="85"/>
      <c r="I2168" s="85"/>
      <c r="J2168" s="131"/>
      <c r="K2168" s="60"/>
      <c r="L2168" s="49"/>
      <c r="M2168" s="37"/>
      <c r="N2168" s="37"/>
      <c r="O2168" s="37"/>
      <c r="Y2168" s="4"/>
      <c r="Z2168"/>
      <c r="AA2168"/>
    </row>
    <row r="2169" spans="1:27" s="3" customFormat="1" x14ac:dyDescent="0.15">
      <c r="A2169" s="166"/>
      <c r="B2169" s="82"/>
      <c r="C2169" s="70"/>
      <c r="D2169" s="70"/>
      <c r="E2169" s="70"/>
      <c r="F2169" s="70"/>
      <c r="G2169" s="70"/>
      <c r="H2169" s="85"/>
      <c r="I2169" s="85"/>
      <c r="J2169" s="131"/>
      <c r="K2169" s="60"/>
      <c r="L2169" s="49"/>
      <c r="M2169" s="37"/>
      <c r="N2169" s="37"/>
      <c r="O2169" s="37"/>
      <c r="Y2169" s="4"/>
      <c r="Z2169"/>
      <c r="AA2169"/>
    </row>
    <row r="2170" spans="1:27" s="3" customFormat="1" x14ac:dyDescent="0.15">
      <c r="A2170" s="166"/>
      <c r="B2170" s="93"/>
      <c r="C2170" s="70"/>
      <c r="D2170" s="70"/>
      <c r="E2170" s="70"/>
      <c r="F2170" s="70"/>
      <c r="G2170" s="70"/>
      <c r="H2170" s="85"/>
      <c r="I2170" s="85"/>
      <c r="J2170" s="131"/>
      <c r="K2170" s="60"/>
      <c r="L2170" s="33"/>
      <c r="M2170" s="37"/>
      <c r="N2170" s="37"/>
      <c r="O2170" s="37"/>
      <c r="Y2170" s="4"/>
      <c r="Z2170"/>
      <c r="AA2170"/>
    </row>
    <row r="2171" spans="1:27" s="3" customFormat="1" x14ac:dyDescent="0.15">
      <c r="A2171" s="166"/>
      <c r="B2171" s="82"/>
      <c r="C2171" s="70"/>
      <c r="D2171" s="70"/>
      <c r="E2171" s="70"/>
      <c r="F2171" s="70"/>
      <c r="G2171" s="70"/>
      <c r="H2171" s="85"/>
      <c r="I2171" s="85"/>
      <c r="J2171" s="131"/>
      <c r="K2171" s="60"/>
      <c r="L2171" s="49"/>
      <c r="M2171" s="37"/>
      <c r="N2171" s="37"/>
      <c r="O2171" s="37"/>
      <c r="Y2171" s="4"/>
      <c r="Z2171"/>
      <c r="AA2171"/>
    </row>
    <row r="2172" spans="1:27" s="3" customFormat="1" x14ac:dyDescent="0.15">
      <c r="A2172" s="166"/>
      <c r="B2172" s="82"/>
      <c r="C2172" s="70"/>
      <c r="D2172" s="70"/>
      <c r="E2172" s="70"/>
      <c r="F2172" s="70"/>
      <c r="G2172" s="70"/>
      <c r="H2172" s="85"/>
      <c r="I2172" s="95"/>
      <c r="J2172" s="131"/>
      <c r="K2172" s="60"/>
      <c r="L2172" s="49"/>
      <c r="M2172" s="37"/>
      <c r="N2172" s="37"/>
      <c r="O2172" s="37"/>
      <c r="Y2172" s="4"/>
      <c r="Z2172"/>
      <c r="AA2172"/>
    </row>
    <row r="2173" spans="1:27" s="3" customFormat="1" x14ac:dyDescent="0.15">
      <c r="A2173" s="166"/>
      <c r="B2173" s="82"/>
      <c r="C2173" s="70"/>
      <c r="D2173" s="70"/>
      <c r="E2173" s="70"/>
      <c r="F2173" s="70"/>
      <c r="G2173" s="70"/>
      <c r="H2173" s="85"/>
      <c r="I2173" s="85"/>
      <c r="J2173" s="131"/>
      <c r="K2173" s="60"/>
      <c r="L2173" s="49"/>
      <c r="M2173" s="37"/>
      <c r="N2173" s="37"/>
      <c r="O2173" s="37"/>
      <c r="Y2173" s="4"/>
      <c r="Z2173"/>
      <c r="AA2173"/>
    </row>
    <row r="2174" spans="1:27" s="3" customFormat="1" ht="16" x14ac:dyDescent="0.2">
      <c r="A2174" s="166"/>
      <c r="B2174" s="82"/>
      <c r="C2174" s="70"/>
      <c r="D2174" s="70"/>
      <c r="E2174" s="70"/>
      <c r="F2174" s="70"/>
      <c r="G2174" s="70"/>
      <c r="H2174" s="85"/>
      <c r="I2174" s="85"/>
      <c r="J2174" s="131"/>
      <c r="K2174" s="60"/>
      <c r="L2174" s="49"/>
      <c r="M2174" s="48"/>
      <c r="N2174" s="37"/>
      <c r="O2174" s="37"/>
      <c r="Y2174" s="4"/>
      <c r="Z2174"/>
      <c r="AA2174"/>
    </row>
    <row r="2175" spans="1:27" s="37" customFormat="1" x14ac:dyDescent="0.15">
      <c r="A2175" s="166"/>
      <c r="B2175" s="82"/>
      <c r="C2175" s="70"/>
      <c r="D2175" s="70"/>
      <c r="E2175" s="70"/>
      <c r="F2175" s="70"/>
      <c r="G2175" s="70"/>
      <c r="H2175" s="85"/>
      <c r="I2175" s="85"/>
      <c r="J2175" s="131"/>
      <c r="K2175" s="60"/>
      <c r="L2175" s="49"/>
      <c r="P2175" s="3"/>
      <c r="Q2175" s="3"/>
      <c r="R2175" s="3"/>
      <c r="S2175" s="3"/>
      <c r="T2175" s="3"/>
      <c r="U2175" s="3"/>
      <c r="V2175" s="3"/>
      <c r="W2175" s="3"/>
      <c r="X2175" s="3"/>
      <c r="Y2175" s="4"/>
      <c r="Z2175"/>
      <c r="AA2175"/>
    </row>
    <row r="2176" spans="1:27" s="37" customFormat="1" ht="16" x14ac:dyDescent="0.2">
      <c r="A2176" s="166"/>
      <c r="B2176" s="82"/>
      <c r="C2176" s="70"/>
      <c r="D2176" s="70"/>
      <c r="E2176" s="70"/>
      <c r="F2176" s="70"/>
      <c r="G2176" s="70"/>
      <c r="H2176" s="85"/>
      <c r="I2176" s="85"/>
      <c r="J2176" s="131"/>
      <c r="K2176" s="60"/>
      <c r="L2176" s="49"/>
      <c r="M2176" s="48"/>
      <c r="P2176" s="3"/>
      <c r="Q2176" s="3"/>
      <c r="R2176" s="3"/>
      <c r="S2176" s="3"/>
      <c r="T2176" s="3"/>
      <c r="U2176" s="3"/>
      <c r="V2176" s="3"/>
      <c r="W2176" s="3"/>
      <c r="X2176" s="3"/>
      <c r="Y2176" s="4"/>
      <c r="Z2176"/>
      <c r="AA2176"/>
    </row>
    <row r="2177" spans="1:27" s="37" customFormat="1" x14ac:dyDescent="0.15">
      <c r="A2177" s="166"/>
      <c r="B2177" s="82"/>
      <c r="C2177" s="70"/>
      <c r="D2177" s="70"/>
      <c r="E2177" s="70"/>
      <c r="F2177" s="70"/>
      <c r="G2177" s="70"/>
      <c r="H2177" s="85"/>
      <c r="I2177" s="85"/>
      <c r="J2177" s="131"/>
      <c r="K2177" s="60"/>
      <c r="L2177" s="49"/>
      <c r="P2177" s="3"/>
      <c r="Q2177" s="3"/>
      <c r="R2177" s="3"/>
      <c r="S2177" s="3"/>
      <c r="T2177" s="3"/>
      <c r="U2177" s="3"/>
      <c r="V2177" s="3"/>
      <c r="W2177" s="3"/>
      <c r="X2177" s="3"/>
      <c r="Y2177" s="4"/>
      <c r="Z2177"/>
      <c r="AA2177"/>
    </row>
    <row r="2178" spans="1:27" s="37" customFormat="1" x14ac:dyDescent="0.15">
      <c r="A2178" s="166"/>
      <c r="B2178" s="82"/>
      <c r="C2178" s="73"/>
      <c r="D2178" s="73"/>
      <c r="E2178" s="70"/>
      <c r="F2178" s="73"/>
      <c r="G2178" s="73"/>
      <c r="H2178" s="85"/>
      <c r="I2178" s="95"/>
      <c r="J2178" s="131"/>
      <c r="K2178" s="60"/>
      <c r="L2178" s="49"/>
      <c r="P2178" s="3"/>
      <c r="Q2178" s="3"/>
      <c r="R2178" s="3"/>
      <c r="S2178" s="3"/>
      <c r="T2178" s="3"/>
      <c r="U2178" s="3"/>
      <c r="V2178" s="3"/>
      <c r="W2178" s="3"/>
      <c r="X2178" s="3"/>
      <c r="Y2178" s="4"/>
      <c r="Z2178"/>
      <c r="AA2178"/>
    </row>
    <row r="2179" spans="1:27" s="37" customFormat="1" x14ac:dyDescent="0.15">
      <c r="A2179" s="166"/>
      <c r="B2179" s="82"/>
      <c r="C2179" s="70"/>
      <c r="D2179" s="70"/>
      <c r="E2179" s="70"/>
      <c r="F2179" s="70"/>
      <c r="G2179" s="70"/>
      <c r="H2179" s="85"/>
      <c r="I2179" s="85"/>
      <c r="J2179" s="131"/>
      <c r="K2179" s="60"/>
      <c r="L2179" s="49"/>
      <c r="P2179" s="3"/>
      <c r="Q2179" s="3"/>
      <c r="R2179" s="3"/>
      <c r="S2179" s="3"/>
      <c r="T2179" s="3"/>
      <c r="U2179" s="3"/>
      <c r="V2179" s="3"/>
      <c r="W2179" s="3"/>
      <c r="X2179" s="3"/>
      <c r="Y2179" s="4"/>
      <c r="Z2179"/>
      <c r="AA2179"/>
    </row>
    <row r="2180" spans="1:27" s="37" customFormat="1" x14ac:dyDescent="0.15">
      <c r="A2180" s="166"/>
      <c r="B2180" s="82"/>
      <c r="C2180" s="70"/>
      <c r="D2180" s="70"/>
      <c r="E2180" s="70"/>
      <c r="F2180" s="70"/>
      <c r="G2180" s="70"/>
      <c r="H2180" s="85"/>
      <c r="I2180" s="85"/>
      <c r="J2180" s="131"/>
      <c r="K2180" s="60"/>
      <c r="L2180" s="49"/>
      <c r="P2180" s="3"/>
      <c r="Q2180" s="3"/>
      <c r="R2180" s="3"/>
      <c r="S2180" s="3"/>
      <c r="T2180" s="3"/>
      <c r="U2180" s="3"/>
      <c r="V2180" s="3"/>
      <c r="W2180" s="3"/>
      <c r="X2180" s="3"/>
      <c r="Y2180" s="4"/>
      <c r="Z2180"/>
      <c r="AA2180"/>
    </row>
    <row r="2181" spans="1:27" s="37" customFormat="1" x14ac:dyDescent="0.15">
      <c r="A2181" s="166"/>
      <c r="B2181" s="82"/>
      <c r="C2181" s="70"/>
      <c r="D2181" s="70"/>
      <c r="E2181" s="70"/>
      <c r="F2181" s="70"/>
      <c r="G2181" s="70"/>
      <c r="H2181" s="85"/>
      <c r="I2181" s="85"/>
      <c r="J2181" s="131"/>
      <c r="K2181" s="60"/>
      <c r="L2181" s="49"/>
      <c r="P2181" s="3"/>
      <c r="Q2181" s="3"/>
      <c r="R2181" s="3"/>
      <c r="S2181" s="3"/>
      <c r="T2181" s="3"/>
      <c r="U2181" s="3"/>
      <c r="V2181" s="3"/>
      <c r="W2181" s="3"/>
      <c r="X2181" s="3"/>
      <c r="Y2181" s="4"/>
      <c r="Z2181"/>
      <c r="AA2181"/>
    </row>
    <row r="2182" spans="1:27" s="37" customFormat="1" x14ac:dyDescent="0.15">
      <c r="A2182" s="166"/>
      <c r="B2182" s="82"/>
      <c r="C2182" s="70"/>
      <c r="D2182" s="70"/>
      <c r="E2182" s="70"/>
      <c r="F2182" s="70"/>
      <c r="G2182" s="70"/>
      <c r="H2182" s="85"/>
      <c r="I2182" s="85"/>
      <c r="J2182" s="131"/>
      <c r="K2182" s="60"/>
      <c r="L2182" s="49"/>
      <c r="P2182" s="3"/>
      <c r="Q2182" s="3"/>
      <c r="R2182" s="3"/>
      <c r="S2182" s="3"/>
      <c r="T2182" s="3"/>
      <c r="U2182" s="3"/>
      <c r="V2182" s="3"/>
      <c r="W2182" s="3"/>
      <c r="X2182" s="3"/>
      <c r="Y2182" s="4"/>
      <c r="Z2182"/>
      <c r="AA2182"/>
    </row>
    <row r="2183" spans="1:27" s="37" customFormat="1" x14ac:dyDescent="0.15">
      <c r="A2183" s="169"/>
      <c r="B2183" s="90"/>
      <c r="C2183" s="91"/>
      <c r="D2183" s="91"/>
      <c r="E2183" s="91"/>
      <c r="F2183" s="91"/>
      <c r="G2183" s="91"/>
      <c r="H2183" s="85"/>
      <c r="I2183" s="92"/>
      <c r="J2183" s="133"/>
      <c r="K2183" s="65"/>
      <c r="L2183" s="49"/>
      <c r="P2183" s="3"/>
      <c r="Q2183" s="3"/>
      <c r="R2183" s="3"/>
      <c r="S2183" s="3"/>
      <c r="T2183" s="3"/>
      <c r="U2183" s="3"/>
      <c r="V2183" s="3"/>
      <c r="W2183" s="3"/>
      <c r="X2183" s="3"/>
      <c r="Y2183" s="4"/>
      <c r="Z2183"/>
      <c r="AA2183"/>
    </row>
    <row r="2184" spans="1:27" s="37" customFormat="1" x14ac:dyDescent="0.15">
      <c r="A2184" s="166"/>
      <c r="B2184" s="82"/>
      <c r="C2184" s="70"/>
      <c r="D2184" s="70"/>
      <c r="E2184" s="70"/>
      <c r="F2184" s="70"/>
      <c r="G2184" s="70"/>
      <c r="H2184" s="85"/>
      <c r="I2184" s="85"/>
      <c r="J2184" s="131"/>
      <c r="K2184" s="60"/>
      <c r="L2184" s="49"/>
      <c r="P2184" s="3"/>
      <c r="Q2184" s="3"/>
      <c r="R2184" s="3"/>
      <c r="S2184" s="3"/>
      <c r="T2184" s="3"/>
      <c r="U2184" s="3"/>
      <c r="V2184" s="3"/>
      <c r="W2184" s="3"/>
      <c r="X2184" s="3"/>
      <c r="Y2184" s="4"/>
      <c r="Z2184"/>
      <c r="AA2184"/>
    </row>
    <row r="2185" spans="1:27" s="37" customFormat="1" x14ac:dyDescent="0.15">
      <c r="A2185" s="166"/>
      <c r="B2185" s="82"/>
      <c r="C2185" s="70"/>
      <c r="D2185" s="70"/>
      <c r="E2185" s="70"/>
      <c r="F2185" s="70"/>
      <c r="G2185" s="70"/>
      <c r="H2185" s="85"/>
      <c r="I2185" s="85"/>
      <c r="J2185" s="131"/>
      <c r="K2185" s="60"/>
      <c r="L2185" s="49"/>
      <c r="P2185" s="3"/>
      <c r="Q2185" s="3"/>
      <c r="R2185" s="3"/>
      <c r="S2185" s="3"/>
      <c r="T2185" s="3"/>
      <c r="U2185" s="3"/>
      <c r="V2185" s="3"/>
      <c r="W2185" s="3"/>
      <c r="X2185" s="3"/>
      <c r="Y2185" s="4"/>
      <c r="Z2185"/>
      <c r="AA2185"/>
    </row>
    <row r="2186" spans="1:27" s="37" customFormat="1" x14ac:dyDescent="0.15">
      <c r="A2186" s="166"/>
      <c r="B2186" s="82"/>
      <c r="C2186" s="70"/>
      <c r="D2186" s="70"/>
      <c r="E2186" s="70"/>
      <c r="F2186" s="70"/>
      <c r="G2186" s="70"/>
      <c r="H2186" s="85"/>
      <c r="I2186" s="85"/>
      <c r="J2186" s="131"/>
      <c r="K2186" s="60"/>
      <c r="L2186" s="49"/>
      <c r="P2186" s="3"/>
      <c r="Q2186" s="3"/>
      <c r="R2186" s="3"/>
      <c r="S2186" s="3"/>
      <c r="T2186" s="3"/>
      <c r="U2186" s="3"/>
      <c r="V2186" s="3"/>
      <c r="W2186" s="3"/>
      <c r="X2186" s="3"/>
      <c r="Y2186" s="4"/>
      <c r="Z2186"/>
      <c r="AA2186"/>
    </row>
    <row r="2187" spans="1:27" s="37" customFormat="1" x14ac:dyDescent="0.15">
      <c r="A2187" s="166"/>
      <c r="B2187" s="82"/>
      <c r="C2187" s="70"/>
      <c r="D2187" s="70"/>
      <c r="E2187" s="70"/>
      <c r="F2187" s="70"/>
      <c r="G2187" s="70"/>
      <c r="H2187" s="85"/>
      <c r="I2187" s="85"/>
      <c r="J2187" s="131"/>
      <c r="K2187" s="60"/>
      <c r="L2187" s="49"/>
      <c r="P2187" s="3"/>
      <c r="Q2187" s="3"/>
      <c r="R2187" s="3"/>
      <c r="S2187" s="3"/>
      <c r="T2187" s="3"/>
      <c r="U2187" s="3"/>
      <c r="V2187" s="3"/>
      <c r="W2187" s="3"/>
      <c r="X2187" s="3"/>
      <c r="Y2187" s="4"/>
      <c r="Z2187"/>
      <c r="AA2187"/>
    </row>
    <row r="2188" spans="1:27" s="37" customFormat="1" x14ac:dyDescent="0.15">
      <c r="A2188" s="166"/>
      <c r="B2188" s="82"/>
      <c r="C2188" s="70"/>
      <c r="D2188" s="70"/>
      <c r="E2188" s="70"/>
      <c r="F2188" s="70"/>
      <c r="G2188" s="70"/>
      <c r="H2188" s="85"/>
      <c r="I2188" s="85"/>
      <c r="J2188" s="131"/>
      <c r="K2188" s="60"/>
      <c r="L2188" s="49"/>
      <c r="P2188" s="3"/>
      <c r="Q2188" s="3"/>
      <c r="R2188" s="3"/>
      <c r="S2188" s="3"/>
      <c r="T2188" s="3"/>
      <c r="U2188" s="3"/>
      <c r="V2188" s="3"/>
      <c r="W2188" s="3"/>
      <c r="X2188" s="3"/>
      <c r="Y2188" s="4"/>
      <c r="Z2188"/>
      <c r="AA2188"/>
    </row>
    <row r="2189" spans="1:27" s="37" customFormat="1" x14ac:dyDescent="0.15">
      <c r="A2189" s="166"/>
      <c r="B2189" s="82"/>
      <c r="C2189" s="73"/>
      <c r="D2189" s="73"/>
      <c r="E2189" s="70"/>
      <c r="F2189" s="73"/>
      <c r="G2189" s="73"/>
      <c r="H2189" s="85"/>
      <c r="I2189" s="95"/>
      <c r="J2189" s="131"/>
      <c r="K2189" s="60"/>
      <c r="L2189" s="49"/>
      <c r="P2189" s="3"/>
      <c r="Q2189" s="3"/>
      <c r="R2189" s="3"/>
      <c r="S2189" s="3"/>
      <c r="T2189" s="3"/>
      <c r="U2189" s="3"/>
      <c r="V2189" s="3"/>
      <c r="W2189" s="3"/>
      <c r="X2189" s="3"/>
      <c r="Y2189" s="4"/>
      <c r="Z2189"/>
      <c r="AA2189"/>
    </row>
    <row r="2190" spans="1:27" s="37" customFormat="1" x14ac:dyDescent="0.15">
      <c r="A2190" s="166"/>
      <c r="B2190" s="82"/>
      <c r="C2190" s="70"/>
      <c r="D2190" s="70"/>
      <c r="E2190" s="70"/>
      <c r="F2190" s="70"/>
      <c r="G2190" s="70"/>
      <c r="H2190" s="85"/>
      <c r="I2190" s="85"/>
      <c r="J2190" s="131"/>
      <c r="K2190" s="60"/>
      <c r="L2190" s="49"/>
      <c r="P2190" s="3"/>
      <c r="Q2190" s="3"/>
      <c r="R2190" s="3"/>
      <c r="S2190" s="3"/>
      <c r="T2190" s="3"/>
      <c r="U2190" s="3"/>
      <c r="V2190" s="3"/>
      <c r="W2190" s="3"/>
      <c r="X2190" s="3"/>
      <c r="Y2190" s="4"/>
      <c r="Z2190"/>
      <c r="AA2190"/>
    </row>
    <row r="2191" spans="1:27" s="37" customFormat="1" x14ac:dyDescent="0.15">
      <c r="A2191" s="166"/>
      <c r="B2191" s="93"/>
      <c r="C2191" s="70"/>
      <c r="D2191" s="70"/>
      <c r="E2191" s="70"/>
      <c r="F2191" s="70"/>
      <c r="G2191" s="70"/>
      <c r="H2191" s="85"/>
      <c r="I2191" s="85"/>
      <c r="J2191" s="131"/>
      <c r="K2191" s="60"/>
      <c r="M2191" s="32"/>
      <c r="P2191" s="3"/>
      <c r="Q2191" s="3"/>
      <c r="R2191" s="3"/>
      <c r="S2191" s="3"/>
      <c r="T2191" s="3"/>
      <c r="U2191" s="3"/>
      <c r="V2191" s="3"/>
      <c r="W2191" s="3"/>
      <c r="X2191" s="3"/>
      <c r="Y2191" s="4"/>
      <c r="Z2191"/>
      <c r="AA2191"/>
    </row>
    <row r="2192" spans="1:27" s="37" customFormat="1" x14ac:dyDescent="0.15">
      <c r="A2192" s="166"/>
      <c r="B2192" s="93"/>
      <c r="C2192" s="70"/>
      <c r="D2192" s="70"/>
      <c r="E2192" s="70"/>
      <c r="F2192" s="70"/>
      <c r="G2192" s="70"/>
      <c r="H2192" s="85"/>
      <c r="I2192" s="85"/>
      <c r="J2192" s="131"/>
      <c r="K2192" s="60"/>
      <c r="P2192" s="3"/>
      <c r="Q2192" s="3"/>
      <c r="R2192" s="3"/>
      <c r="S2192" s="3"/>
      <c r="T2192" s="3"/>
      <c r="U2192" s="3"/>
      <c r="V2192" s="3"/>
      <c r="W2192" s="3"/>
      <c r="X2192" s="3"/>
      <c r="Y2192" s="4"/>
      <c r="Z2192"/>
      <c r="AA2192"/>
    </row>
    <row r="2193" spans="1:27" s="37" customFormat="1" x14ac:dyDescent="0.15">
      <c r="A2193" s="166"/>
      <c r="B2193" s="93"/>
      <c r="C2193" s="70"/>
      <c r="D2193" s="70"/>
      <c r="E2193" s="70"/>
      <c r="F2193" s="70"/>
      <c r="G2193" s="70"/>
      <c r="H2193" s="85"/>
      <c r="I2193" s="85"/>
      <c r="J2193" s="131"/>
      <c r="K2193" s="60"/>
      <c r="M2193" s="32"/>
      <c r="P2193" s="3"/>
      <c r="Q2193" s="3"/>
      <c r="R2193" s="3"/>
      <c r="S2193" s="3"/>
      <c r="T2193" s="3"/>
      <c r="U2193" s="3"/>
      <c r="V2193" s="3"/>
      <c r="W2193" s="3"/>
      <c r="X2193" s="3"/>
      <c r="Y2193" s="4"/>
      <c r="Z2193"/>
      <c r="AA2193"/>
    </row>
    <row r="2194" spans="1:27" s="37" customFormat="1" x14ac:dyDescent="0.15">
      <c r="A2194" s="166"/>
      <c r="B2194" s="93"/>
      <c r="C2194" s="70"/>
      <c r="D2194" s="70"/>
      <c r="E2194" s="70"/>
      <c r="F2194" s="70"/>
      <c r="G2194" s="70"/>
      <c r="H2194" s="85"/>
      <c r="I2194" s="85"/>
      <c r="J2194" s="131"/>
      <c r="K2194" s="60"/>
      <c r="P2194" s="3"/>
      <c r="Q2194" s="3"/>
      <c r="R2194" s="3"/>
      <c r="S2194" s="3"/>
      <c r="T2194" s="3"/>
      <c r="U2194" s="3"/>
      <c r="V2194" s="3"/>
      <c r="W2194" s="3"/>
      <c r="X2194" s="3"/>
      <c r="Y2194" s="4"/>
      <c r="Z2194"/>
      <c r="AA2194"/>
    </row>
    <row r="2195" spans="1:27" s="37" customFormat="1" x14ac:dyDescent="0.15">
      <c r="A2195" s="166"/>
      <c r="B2195" s="93"/>
      <c r="C2195" s="70"/>
      <c r="D2195" s="70"/>
      <c r="E2195" s="70"/>
      <c r="F2195" s="70"/>
      <c r="G2195" s="70"/>
      <c r="H2195" s="85"/>
      <c r="I2195" s="85"/>
      <c r="J2195" s="131"/>
      <c r="K2195" s="60"/>
      <c r="M2195" s="32"/>
      <c r="P2195" s="3"/>
      <c r="Q2195" s="3"/>
      <c r="R2195" s="3"/>
      <c r="S2195" s="3"/>
      <c r="T2195" s="3"/>
      <c r="U2195" s="3"/>
      <c r="V2195" s="3"/>
      <c r="W2195" s="3"/>
      <c r="X2195" s="3"/>
      <c r="Y2195" s="4"/>
      <c r="Z2195"/>
      <c r="AA2195"/>
    </row>
    <row r="2196" spans="1:27" s="37" customFormat="1" x14ac:dyDescent="0.15">
      <c r="A2196" s="166"/>
      <c r="B2196" s="93"/>
      <c r="C2196" s="70"/>
      <c r="D2196" s="70"/>
      <c r="E2196" s="70"/>
      <c r="F2196" s="70"/>
      <c r="G2196" s="70"/>
      <c r="H2196" s="85"/>
      <c r="I2196" s="85"/>
      <c r="J2196" s="131"/>
      <c r="K2196" s="60"/>
      <c r="P2196" s="3"/>
      <c r="Q2196" s="3"/>
      <c r="R2196" s="3"/>
      <c r="S2196" s="3"/>
      <c r="T2196" s="3"/>
      <c r="U2196" s="3"/>
      <c r="V2196" s="3"/>
      <c r="W2196" s="3"/>
      <c r="X2196" s="3"/>
      <c r="Y2196" s="4"/>
      <c r="Z2196"/>
      <c r="AA2196"/>
    </row>
    <row r="2197" spans="1:27" s="37" customFormat="1" ht="16" x14ac:dyDescent="0.2">
      <c r="A2197" s="166"/>
      <c r="B2197" s="93"/>
      <c r="C2197" s="70"/>
      <c r="D2197" s="70"/>
      <c r="E2197" s="70"/>
      <c r="F2197" s="70"/>
      <c r="G2197" s="70"/>
      <c r="H2197" s="85"/>
      <c r="I2197" s="85"/>
      <c r="J2197" s="131"/>
      <c r="K2197" s="60"/>
      <c r="L2197" s="33"/>
      <c r="M2197" s="48"/>
      <c r="P2197" s="3"/>
      <c r="Q2197" s="3"/>
      <c r="R2197" s="3"/>
      <c r="S2197" s="3"/>
      <c r="T2197" s="3"/>
      <c r="U2197" s="3"/>
      <c r="V2197" s="3"/>
      <c r="W2197" s="3"/>
      <c r="X2197" s="3"/>
      <c r="Y2197" s="4"/>
      <c r="Z2197"/>
      <c r="AA2197"/>
    </row>
    <row r="2198" spans="1:27" s="37" customFormat="1" x14ac:dyDescent="0.15">
      <c r="A2198" s="166"/>
      <c r="B2198" s="93"/>
      <c r="C2198" s="70"/>
      <c r="D2198" s="70"/>
      <c r="E2198" s="70"/>
      <c r="F2198" s="70"/>
      <c r="G2198" s="70"/>
      <c r="H2198" s="85"/>
      <c r="I2198" s="85"/>
      <c r="J2198" s="131"/>
      <c r="K2198" s="60"/>
      <c r="L2198" s="33"/>
      <c r="P2198" s="3"/>
      <c r="Q2198" s="3"/>
      <c r="R2198" s="3"/>
      <c r="S2198" s="3"/>
      <c r="T2198" s="3"/>
      <c r="U2198" s="3"/>
      <c r="V2198" s="3"/>
      <c r="W2198" s="3"/>
      <c r="X2198" s="3"/>
      <c r="Y2198" s="4"/>
      <c r="Z2198"/>
      <c r="AA2198"/>
    </row>
    <row r="2199" spans="1:27" s="37" customFormat="1" x14ac:dyDescent="0.15">
      <c r="A2199" s="166"/>
      <c r="B2199" s="93"/>
      <c r="C2199" s="70"/>
      <c r="D2199" s="70"/>
      <c r="E2199" s="70"/>
      <c r="F2199" s="70"/>
      <c r="G2199" s="70"/>
      <c r="H2199" s="85"/>
      <c r="I2199" s="85"/>
      <c r="J2199" s="131"/>
      <c r="K2199" s="70"/>
      <c r="L2199" s="33"/>
      <c r="P2199" s="3"/>
      <c r="Q2199" s="3"/>
      <c r="R2199" s="3"/>
      <c r="S2199" s="3"/>
      <c r="T2199" s="3"/>
      <c r="U2199" s="3"/>
      <c r="V2199" s="3"/>
      <c r="W2199" s="3"/>
      <c r="X2199" s="3"/>
      <c r="Y2199" s="4"/>
      <c r="Z2199"/>
      <c r="AA2199"/>
    </row>
    <row r="2200" spans="1:27" s="37" customFormat="1" x14ac:dyDescent="0.15">
      <c r="A2200" s="166"/>
      <c r="B2200" s="93"/>
      <c r="C2200" s="70"/>
      <c r="D2200" s="70"/>
      <c r="E2200" s="70"/>
      <c r="F2200" s="70"/>
      <c r="G2200" s="70"/>
      <c r="H2200" s="85"/>
      <c r="I2200" s="85"/>
      <c r="J2200" s="131"/>
      <c r="K2200" s="60"/>
      <c r="L2200" s="33"/>
      <c r="P2200" s="3"/>
      <c r="Q2200" s="3"/>
      <c r="R2200" s="3"/>
      <c r="S2200" s="3"/>
      <c r="T2200" s="3"/>
      <c r="U2200" s="3"/>
      <c r="V2200" s="3"/>
      <c r="W2200" s="3"/>
      <c r="X2200" s="3"/>
      <c r="Y2200" s="4"/>
      <c r="Z2200"/>
      <c r="AA2200"/>
    </row>
    <row r="2201" spans="1:27" s="37" customFormat="1" x14ac:dyDescent="0.15">
      <c r="A2201" s="166"/>
      <c r="B2201" s="93"/>
      <c r="C2201" s="70"/>
      <c r="D2201" s="70"/>
      <c r="E2201" s="70"/>
      <c r="F2201" s="70"/>
      <c r="G2201" s="70"/>
      <c r="H2201" s="85"/>
      <c r="I2201" s="85"/>
      <c r="J2201" s="131"/>
      <c r="K2201" s="60"/>
      <c r="L2201" s="33"/>
      <c r="P2201" s="3"/>
      <c r="Q2201" s="3"/>
      <c r="R2201" s="3"/>
      <c r="S2201" s="3"/>
      <c r="T2201" s="3"/>
      <c r="U2201" s="3"/>
      <c r="V2201" s="3"/>
      <c r="W2201" s="3"/>
      <c r="X2201" s="3"/>
      <c r="Y2201" s="4"/>
      <c r="Z2201"/>
      <c r="AA2201"/>
    </row>
    <row r="2202" spans="1:27" s="37" customFormat="1" x14ac:dyDescent="0.15">
      <c r="A2202" s="166"/>
      <c r="B2202" s="93"/>
      <c r="C2202" s="70"/>
      <c r="D2202" s="70"/>
      <c r="E2202" s="70"/>
      <c r="F2202" s="70"/>
      <c r="G2202" s="70"/>
      <c r="H2202" s="85"/>
      <c r="I2202" s="85"/>
      <c r="J2202" s="131"/>
      <c r="K2202" s="60"/>
      <c r="P2202" s="3"/>
      <c r="Q2202" s="3"/>
      <c r="R2202" s="3"/>
      <c r="S2202" s="3"/>
      <c r="T2202" s="3"/>
      <c r="U2202" s="3"/>
      <c r="V2202" s="3"/>
      <c r="W2202" s="3"/>
      <c r="X2202" s="3"/>
      <c r="Y2202" s="4"/>
      <c r="Z2202"/>
      <c r="AA2202"/>
    </row>
    <row r="2203" spans="1:27" s="37" customFormat="1" x14ac:dyDescent="0.15">
      <c r="A2203" s="166"/>
      <c r="B2203" s="93"/>
      <c r="C2203" s="70"/>
      <c r="D2203" s="70"/>
      <c r="E2203" s="70"/>
      <c r="F2203" s="70"/>
      <c r="G2203" s="70"/>
      <c r="H2203" s="85"/>
      <c r="I2203" s="85"/>
      <c r="J2203" s="131"/>
      <c r="K2203" s="60"/>
      <c r="P2203" s="3"/>
      <c r="Q2203" s="3"/>
      <c r="R2203" s="3"/>
      <c r="S2203" s="3"/>
      <c r="T2203" s="3"/>
      <c r="U2203" s="3"/>
      <c r="V2203" s="3"/>
      <c r="W2203" s="3"/>
      <c r="X2203" s="3"/>
      <c r="Y2203" s="4"/>
      <c r="Z2203"/>
      <c r="AA2203"/>
    </row>
    <row r="2204" spans="1:27" s="37" customFormat="1" x14ac:dyDescent="0.15">
      <c r="A2204" s="166"/>
      <c r="B2204" s="93"/>
      <c r="C2204" s="70"/>
      <c r="D2204" s="70"/>
      <c r="E2204" s="70"/>
      <c r="F2204" s="70"/>
      <c r="G2204" s="70"/>
      <c r="H2204" s="85"/>
      <c r="I2204" s="85"/>
      <c r="J2204" s="131"/>
      <c r="K2204" s="60"/>
      <c r="P2204" s="3"/>
      <c r="Q2204" s="3"/>
      <c r="R2204" s="3"/>
      <c r="S2204" s="3"/>
      <c r="T2204" s="3"/>
      <c r="U2204" s="3"/>
      <c r="V2204" s="3"/>
      <c r="W2204" s="3"/>
      <c r="X2204" s="3"/>
      <c r="Y2204" s="4"/>
      <c r="Z2204"/>
      <c r="AA2204"/>
    </row>
    <row r="2205" spans="1:27" s="37" customFormat="1" x14ac:dyDescent="0.15">
      <c r="A2205" s="166"/>
      <c r="B2205" s="93"/>
      <c r="C2205" s="70"/>
      <c r="D2205" s="70"/>
      <c r="E2205" s="70"/>
      <c r="F2205" s="70"/>
      <c r="G2205" s="70"/>
      <c r="H2205" s="85"/>
      <c r="I2205" s="85"/>
      <c r="J2205" s="131"/>
      <c r="K2205" s="60"/>
      <c r="L2205" s="49"/>
      <c r="M2205" s="32"/>
      <c r="P2205" s="3"/>
      <c r="Q2205" s="3"/>
      <c r="R2205" s="3"/>
      <c r="S2205" s="3"/>
      <c r="T2205" s="3"/>
      <c r="U2205" s="3"/>
      <c r="V2205" s="3"/>
      <c r="W2205" s="3"/>
      <c r="X2205" s="3"/>
      <c r="Y2205" s="4"/>
      <c r="Z2205"/>
      <c r="AA2205"/>
    </row>
    <row r="2206" spans="1:27" s="37" customFormat="1" x14ac:dyDescent="0.15">
      <c r="A2206" s="166"/>
      <c r="B2206" s="93"/>
      <c r="C2206" s="70"/>
      <c r="D2206" s="70"/>
      <c r="E2206" s="70"/>
      <c r="F2206" s="70"/>
      <c r="G2206" s="70"/>
      <c r="H2206" s="85"/>
      <c r="I2206" s="85"/>
      <c r="J2206" s="131"/>
      <c r="K2206" s="60"/>
      <c r="P2206" s="3"/>
      <c r="Q2206" s="3"/>
      <c r="R2206" s="3"/>
      <c r="S2206" s="3"/>
      <c r="T2206" s="3"/>
      <c r="U2206" s="3"/>
      <c r="V2206" s="3"/>
      <c r="W2206" s="3"/>
      <c r="X2206" s="3"/>
      <c r="Y2206" s="4"/>
      <c r="Z2206"/>
      <c r="AA2206"/>
    </row>
    <row r="2207" spans="1:27" s="37" customFormat="1" x14ac:dyDescent="0.15">
      <c r="A2207" s="166"/>
      <c r="B2207" s="93"/>
      <c r="C2207" s="70"/>
      <c r="D2207" s="70"/>
      <c r="E2207" s="70"/>
      <c r="F2207" s="70"/>
      <c r="G2207" s="70"/>
      <c r="H2207" s="85"/>
      <c r="I2207" s="85"/>
      <c r="J2207" s="131"/>
      <c r="K2207" s="60"/>
      <c r="P2207" s="3"/>
      <c r="Q2207" s="3"/>
      <c r="R2207" s="3"/>
      <c r="S2207" s="3"/>
      <c r="T2207" s="3"/>
      <c r="U2207" s="3"/>
      <c r="V2207" s="3"/>
      <c r="W2207" s="3"/>
      <c r="X2207" s="3"/>
      <c r="Y2207" s="4"/>
      <c r="Z2207"/>
      <c r="AA2207"/>
    </row>
    <row r="2208" spans="1:27" s="37" customFormat="1" x14ac:dyDescent="0.15">
      <c r="A2208" s="166"/>
      <c r="B2208" s="93"/>
      <c r="C2208" s="70"/>
      <c r="D2208" s="70"/>
      <c r="E2208" s="70"/>
      <c r="F2208" s="70"/>
      <c r="G2208" s="70"/>
      <c r="H2208" s="85"/>
      <c r="I2208" s="85"/>
      <c r="J2208" s="131"/>
      <c r="K2208" s="60"/>
      <c r="P2208" s="3"/>
      <c r="Q2208" s="3"/>
      <c r="R2208" s="3"/>
      <c r="S2208" s="3"/>
      <c r="T2208" s="3"/>
      <c r="U2208" s="3"/>
      <c r="V2208" s="3"/>
      <c r="W2208" s="3"/>
      <c r="X2208" s="3"/>
      <c r="Y2208" s="4"/>
      <c r="Z2208"/>
      <c r="AA2208"/>
    </row>
    <row r="2209" spans="1:27" s="37" customFormat="1" x14ac:dyDescent="0.15">
      <c r="A2209" s="166"/>
      <c r="B2209" s="82"/>
      <c r="C2209" s="70"/>
      <c r="D2209" s="70"/>
      <c r="E2209" s="70"/>
      <c r="F2209" s="70"/>
      <c r="G2209" s="70"/>
      <c r="H2209" s="85"/>
      <c r="I2209" s="85"/>
      <c r="J2209" s="131"/>
      <c r="K2209" s="60"/>
      <c r="L2209" s="49"/>
      <c r="P2209" s="3"/>
      <c r="Q2209" s="3"/>
      <c r="R2209" s="3"/>
      <c r="S2209" s="3"/>
      <c r="T2209" s="3"/>
      <c r="U2209" s="3"/>
      <c r="V2209" s="3"/>
      <c r="W2209" s="3"/>
      <c r="X2209" s="3"/>
      <c r="Y2209" s="4"/>
      <c r="Z2209"/>
      <c r="AA2209"/>
    </row>
    <row r="2210" spans="1:27" s="37" customFormat="1" x14ac:dyDescent="0.15">
      <c r="A2210" s="166"/>
      <c r="B2210" s="82"/>
      <c r="C2210" s="70"/>
      <c r="D2210" s="70"/>
      <c r="E2210" s="70"/>
      <c r="F2210" s="70"/>
      <c r="G2210" s="70"/>
      <c r="H2210" s="85"/>
      <c r="I2210" s="85"/>
      <c r="J2210" s="131"/>
      <c r="K2210" s="60"/>
      <c r="L2210" s="49"/>
      <c r="P2210" s="3"/>
      <c r="Q2210" s="3"/>
      <c r="R2210" s="3"/>
      <c r="S2210" s="3"/>
      <c r="T2210" s="3"/>
      <c r="U2210" s="3"/>
      <c r="V2210" s="3"/>
      <c r="W2210" s="3"/>
      <c r="X2210" s="3"/>
      <c r="Y2210" s="4"/>
      <c r="Z2210"/>
      <c r="AA2210"/>
    </row>
    <row r="2211" spans="1:27" s="37" customFormat="1" x14ac:dyDescent="0.15">
      <c r="A2211" s="166"/>
      <c r="B2211" s="82"/>
      <c r="C2211" s="70"/>
      <c r="D2211" s="70"/>
      <c r="E2211" s="70"/>
      <c r="F2211" s="70"/>
      <c r="G2211" s="70"/>
      <c r="H2211" s="85"/>
      <c r="I2211" s="85"/>
      <c r="J2211" s="131"/>
      <c r="K2211" s="60"/>
      <c r="L2211" s="33"/>
      <c r="P2211" s="3"/>
      <c r="Q2211" s="3"/>
      <c r="R2211" s="3"/>
      <c r="S2211" s="3"/>
      <c r="T2211" s="3"/>
      <c r="U2211" s="3"/>
      <c r="V2211" s="3"/>
      <c r="W2211" s="3"/>
      <c r="X2211" s="3"/>
      <c r="Y2211" s="4"/>
      <c r="Z2211"/>
      <c r="AA2211"/>
    </row>
    <row r="2212" spans="1:27" s="37" customFormat="1" x14ac:dyDescent="0.15">
      <c r="A2212" s="166"/>
      <c r="B2212" s="93"/>
      <c r="C2212" s="70"/>
      <c r="D2212" s="70"/>
      <c r="E2212" s="70"/>
      <c r="F2212" s="70"/>
      <c r="G2212" s="70"/>
      <c r="H2212" s="85"/>
      <c r="I2212" s="85"/>
      <c r="J2212" s="131"/>
      <c r="K2212" s="60"/>
      <c r="L2212" s="33"/>
      <c r="P2212" s="3"/>
      <c r="Q2212" s="3"/>
      <c r="R2212" s="3"/>
      <c r="S2212" s="3"/>
      <c r="T2212" s="3"/>
      <c r="U2212" s="3"/>
      <c r="V2212" s="3"/>
      <c r="W2212" s="3"/>
      <c r="X2212" s="3"/>
      <c r="Y2212" s="4"/>
      <c r="Z2212"/>
      <c r="AA2212"/>
    </row>
    <row r="2213" spans="1:27" s="37" customFormat="1" ht="16" x14ac:dyDescent="0.2">
      <c r="A2213" s="166"/>
      <c r="B2213" s="82"/>
      <c r="C2213" s="70"/>
      <c r="D2213" s="70"/>
      <c r="E2213" s="70"/>
      <c r="F2213" s="70"/>
      <c r="G2213" s="70"/>
      <c r="H2213" s="85"/>
      <c r="I2213" s="85"/>
      <c r="J2213" s="131"/>
      <c r="K2213" s="60"/>
      <c r="L2213" s="47"/>
      <c r="P2213" s="3"/>
      <c r="Q2213" s="3"/>
      <c r="R2213" s="3"/>
      <c r="S2213" s="3"/>
      <c r="T2213" s="3"/>
      <c r="U2213" s="3"/>
      <c r="V2213" s="3"/>
      <c r="W2213" s="3"/>
      <c r="X2213" s="3"/>
      <c r="Y2213" s="4"/>
      <c r="Z2213"/>
      <c r="AA2213"/>
    </row>
    <row r="2214" spans="1:27" s="37" customFormat="1" x14ac:dyDescent="0.15">
      <c r="A2214" s="166"/>
      <c r="B2214" s="82"/>
      <c r="C2214" s="70"/>
      <c r="D2214" s="70"/>
      <c r="E2214" s="70"/>
      <c r="F2214" s="70"/>
      <c r="G2214" s="70"/>
      <c r="H2214" s="85"/>
      <c r="I2214" s="85"/>
      <c r="J2214" s="131"/>
      <c r="K2214" s="69"/>
      <c r="L2214" s="49"/>
      <c r="P2214" s="3"/>
      <c r="Q2214" s="3"/>
      <c r="R2214" s="3"/>
      <c r="S2214" s="3"/>
      <c r="T2214" s="3"/>
      <c r="U2214" s="3"/>
      <c r="V2214" s="3"/>
      <c r="W2214" s="3"/>
      <c r="X2214" s="3"/>
      <c r="Y2214" s="4"/>
      <c r="Z2214"/>
      <c r="AA2214"/>
    </row>
    <row r="2215" spans="1:27" s="37" customFormat="1" x14ac:dyDescent="0.15">
      <c r="A2215" s="166"/>
      <c r="B2215" s="82"/>
      <c r="C2215" s="70"/>
      <c r="D2215" s="70"/>
      <c r="E2215" s="70"/>
      <c r="F2215" s="70"/>
      <c r="G2215" s="70"/>
      <c r="H2215" s="85"/>
      <c r="I2215" s="85"/>
      <c r="J2215" s="131"/>
      <c r="K2215" s="60"/>
      <c r="L2215" s="49"/>
      <c r="P2215" s="3"/>
      <c r="Q2215" s="3"/>
      <c r="R2215" s="3"/>
      <c r="S2215" s="3"/>
      <c r="T2215" s="3"/>
      <c r="U2215" s="3"/>
      <c r="V2215" s="3"/>
      <c r="W2215" s="3"/>
      <c r="X2215" s="3"/>
      <c r="Y2215" s="4"/>
      <c r="Z2215"/>
      <c r="AA2215"/>
    </row>
    <row r="2216" spans="1:27" s="37" customFormat="1" x14ac:dyDescent="0.15">
      <c r="A2216" s="166"/>
      <c r="B2216" s="82"/>
      <c r="C2216" s="70"/>
      <c r="D2216" s="70"/>
      <c r="E2216" s="70"/>
      <c r="F2216" s="70"/>
      <c r="G2216" s="70"/>
      <c r="H2216" s="85"/>
      <c r="I2216" s="85"/>
      <c r="J2216" s="131"/>
      <c r="K2216" s="60"/>
      <c r="L2216" s="49"/>
      <c r="P2216" s="3"/>
      <c r="Q2216" s="3"/>
      <c r="R2216" s="3"/>
      <c r="S2216" s="3"/>
      <c r="T2216" s="3"/>
      <c r="U2216" s="3"/>
      <c r="V2216" s="3"/>
      <c r="W2216" s="3"/>
      <c r="X2216" s="3"/>
      <c r="Y2216" s="4"/>
      <c r="Z2216"/>
      <c r="AA2216"/>
    </row>
    <row r="2217" spans="1:27" s="37" customFormat="1" x14ac:dyDescent="0.15">
      <c r="A2217" s="166"/>
      <c r="B2217" s="82"/>
      <c r="C2217" s="70"/>
      <c r="D2217" s="70"/>
      <c r="E2217" s="70"/>
      <c r="F2217" s="70"/>
      <c r="G2217" s="70"/>
      <c r="H2217" s="85"/>
      <c r="I2217" s="85"/>
      <c r="J2217" s="131"/>
      <c r="K2217" s="60"/>
      <c r="L2217" s="49"/>
      <c r="P2217" s="3"/>
      <c r="Q2217" s="3"/>
      <c r="R2217" s="3"/>
      <c r="S2217" s="3"/>
      <c r="T2217" s="3"/>
      <c r="U2217" s="3"/>
      <c r="V2217" s="3"/>
      <c r="W2217" s="3"/>
      <c r="X2217" s="3"/>
      <c r="Y2217" s="4"/>
      <c r="Z2217"/>
      <c r="AA2217"/>
    </row>
    <row r="2218" spans="1:27" s="37" customFormat="1" x14ac:dyDescent="0.15">
      <c r="A2218" s="166"/>
      <c r="B2218" s="82"/>
      <c r="C2218" s="70"/>
      <c r="D2218" s="70"/>
      <c r="E2218" s="70"/>
      <c r="F2218" s="70"/>
      <c r="G2218" s="70"/>
      <c r="H2218" s="85"/>
      <c r="I2218" s="85"/>
      <c r="J2218" s="131"/>
      <c r="K2218" s="69"/>
      <c r="L2218" s="49"/>
      <c r="P2218" s="3"/>
      <c r="Q2218" s="3"/>
      <c r="R2218" s="3"/>
      <c r="S2218" s="3"/>
      <c r="T2218" s="3"/>
      <c r="U2218" s="3"/>
      <c r="V2218" s="3"/>
      <c r="W2218" s="3"/>
      <c r="X2218" s="3"/>
      <c r="Y2218" s="4"/>
      <c r="Z2218"/>
      <c r="AA2218"/>
    </row>
    <row r="2219" spans="1:27" s="37" customFormat="1" x14ac:dyDescent="0.15">
      <c r="A2219" s="166"/>
      <c r="B2219" s="82"/>
      <c r="C2219" s="70"/>
      <c r="D2219" s="70"/>
      <c r="E2219" s="70"/>
      <c r="F2219" s="70"/>
      <c r="G2219" s="70"/>
      <c r="H2219" s="85"/>
      <c r="I2219" s="85"/>
      <c r="J2219" s="131"/>
      <c r="K2219" s="69"/>
      <c r="L2219" s="49"/>
      <c r="P2219" s="3"/>
      <c r="Q2219" s="3"/>
      <c r="R2219" s="3"/>
      <c r="S2219" s="3"/>
      <c r="T2219" s="3"/>
      <c r="U2219" s="3"/>
      <c r="V2219" s="3"/>
      <c r="W2219" s="3"/>
      <c r="X2219" s="3"/>
      <c r="Y2219" s="4"/>
      <c r="Z2219"/>
      <c r="AA2219"/>
    </row>
    <row r="2220" spans="1:27" s="37" customFormat="1" x14ac:dyDescent="0.15">
      <c r="A2220" s="166"/>
      <c r="B2220" s="82"/>
      <c r="C2220" s="70"/>
      <c r="D2220" s="70"/>
      <c r="E2220" s="70"/>
      <c r="F2220" s="70"/>
      <c r="G2220" s="70"/>
      <c r="H2220" s="85"/>
      <c r="I2220" s="85"/>
      <c r="J2220" s="131"/>
      <c r="K2220" s="60"/>
      <c r="L2220" s="49"/>
      <c r="P2220" s="3"/>
      <c r="Q2220" s="3"/>
      <c r="R2220" s="3"/>
      <c r="S2220" s="3"/>
      <c r="T2220" s="3"/>
      <c r="U2220" s="3"/>
      <c r="V2220" s="3"/>
      <c r="W2220" s="3"/>
      <c r="X2220" s="3"/>
      <c r="Y2220" s="4"/>
      <c r="Z2220"/>
      <c r="AA2220"/>
    </row>
    <row r="2221" spans="1:27" s="37" customFormat="1" x14ac:dyDescent="0.15">
      <c r="A2221" s="166"/>
      <c r="B2221" s="82"/>
      <c r="C2221" s="70"/>
      <c r="D2221" s="70"/>
      <c r="E2221" s="70"/>
      <c r="F2221" s="70"/>
      <c r="G2221" s="70"/>
      <c r="H2221" s="85"/>
      <c r="I2221" s="85"/>
      <c r="J2221" s="131"/>
      <c r="K2221" s="60"/>
      <c r="L2221" s="49"/>
      <c r="P2221" s="3"/>
      <c r="Q2221" s="3"/>
      <c r="R2221" s="3"/>
      <c r="S2221" s="3"/>
      <c r="T2221" s="3"/>
      <c r="U2221" s="3"/>
      <c r="V2221" s="3"/>
      <c r="W2221" s="3"/>
      <c r="X2221" s="3"/>
      <c r="Y2221" s="4"/>
      <c r="Z2221"/>
      <c r="AA2221"/>
    </row>
    <row r="2222" spans="1:27" s="37" customFormat="1" x14ac:dyDescent="0.15">
      <c r="A2222" s="166"/>
      <c r="B2222" s="82"/>
      <c r="C2222" s="70"/>
      <c r="D2222" s="70"/>
      <c r="E2222" s="70"/>
      <c r="F2222" s="70"/>
      <c r="G2222" s="70"/>
      <c r="H2222" s="85"/>
      <c r="I2222" s="85"/>
      <c r="J2222" s="131"/>
      <c r="K2222" s="60"/>
      <c r="L2222" s="49"/>
      <c r="P2222" s="3"/>
      <c r="Q2222" s="3"/>
      <c r="R2222" s="3"/>
      <c r="S2222" s="3"/>
      <c r="T2222" s="3"/>
      <c r="U2222" s="3"/>
      <c r="V2222" s="3"/>
      <c r="W2222" s="3"/>
      <c r="X2222" s="3"/>
      <c r="Y2222" s="4"/>
      <c r="Z2222"/>
      <c r="AA2222"/>
    </row>
    <row r="2223" spans="1:27" s="37" customFormat="1" x14ac:dyDescent="0.15">
      <c r="A2223" s="166"/>
      <c r="B2223" s="82"/>
      <c r="C2223" s="70"/>
      <c r="D2223" s="70"/>
      <c r="E2223" s="70"/>
      <c r="F2223" s="70"/>
      <c r="G2223" s="70"/>
      <c r="H2223" s="85"/>
      <c r="I2223" s="85"/>
      <c r="J2223" s="131"/>
      <c r="K2223" s="60"/>
      <c r="L2223" s="49"/>
      <c r="P2223" s="3"/>
      <c r="Q2223" s="3"/>
      <c r="R2223" s="3"/>
      <c r="S2223" s="3"/>
      <c r="T2223" s="3"/>
      <c r="U2223" s="3"/>
      <c r="V2223" s="3"/>
      <c r="W2223" s="3"/>
      <c r="X2223" s="3"/>
      <c r="Y2223" s="4"/>
      <c r="Z2223"/>
      <c r="AA2223"/>
    </row>
    <row r="2224" spans="1:27" s="37" customFormat="1" x14ac:dyDescent="0.15">
      <c r="A2224" s="166"/>
      <c r="B2224" s="82"/>
      <c r="C2224" s="70"/>
      <c r="D2224" s="70"/>
      <c r="E2224" s="70"/>
      <c r="F2224" s="70"/>
      <c r="G2224" s="70"/>
      <c r="H2224" s="85"/>
      <c r="I2224" s="85"/>
      <c r="J2224" s="131"/>
      <c r="K2224" s="60"/>
      <c r="L2224" s="49"/>
      <c r="P2224" s="3"/>
      <c r="Q2224" s="3"/>
      <c r="R2224" s="3"/>
      <c r="S2224" s="3"/>
      <c r="T2224" s="3"/>
      <c r="U2224" s="3"/>
      <c r="V2224" s="3"/>
      <c r="W2224" s="3"/>
      <c r="X2224" s="3"/>
      <c r="Y2224" s="4"/>
      <c r="Z2224"/>
      <c r="AA2224"/>
    </row>
    <row r="2225" spans="1:27" s="37" customFormat="1" x14ac:dyDescent="0.15">
      <c r="A2225" s="166"/>
      <c r="B2225" s="82"/>
      <c r="C2225" s="70"/>
      <c r="D2225" s="70"/>
      <c r="E2225" s="70"/>
      <c r="F2225" s="70"/>
      <c r="G2225" s="70"/>
      <c r="H2225" s="85"/>
      <c r="I2225" s="85"/>
      <c r="J2225" s="131"/>
      <c r="K2225" s="60"/>
      <c r="L2225" s="50"/>
      <c r="P2225" s="3"/>
      <c r="Q2225" s="3"/>
      <c r="R2225" s="3"/>
      <c r="S2225" s="3"/>
      <c r="T2225" s="3"/>
      <c r="U2225" s="3"/>
      <c r="V2225" s="3"/>
      <c r="W2225" s="3"/>
      <c r="X2225" s="3"/>
      <c r="Y2225" s="4"/>
      <c r="Z2225"/>
      <c r="AA2225"/>
    </row>
    <row r="2226" spans="1:27" s="37" customFormat="1" x14ac:dyDescent="0.15">
      <c r="A2226" s="166"/>
      <c r="B2226" s="82"/>
      <c r="C2226" s="70"/>
      <c r="D2226" s="70"/>
      <c r="E2226" s="70"/>
      <c r="F2226" s="70"/>
      <c r="G2226" s="70"/>
      <c r="H2226" s="85"/>
      <c r="I2226" s="85"/>
      <c r="J2226" s="131"/>
      <c r="K2226" s="60"/>
      <c r="L2226" s="50"/>
      <c r="P2226" s="3"/>
      <c r="Q2226" s="3"/>
      <c r="R2226" s="3"/>
      <c r="S2226" s="3"/>
      <c r="T2226" s="3"/>
      <c r="U2226" s="3"/>
      <c r="V2226" s="3"/>
      <c r="W2226" s="3"/>
      <c r="X2226" s="3"/>
      <c r="Y2226" s="4"/>
      <c r="Z2226"/>
      <c r="AA2226"/>
    </row>
    <row r="2227" spans="1:27" s="37" customFormat="1" x14ac:dyDescent="0.15">
      <c r="A2227" s="166"/>
      <c r="B2227" s="82"/>
      <c r="C2227" s="70"/>
      <c r="D2227" s="70"/>
      <c r="E2227" s="70"/>
      <c r="F2227" s="70"/>
      <c r="G2227" s="70"/>
      <c r="H2227" s="85"/>
      <c r="I2227" s="85"/>
      <c r="J2227" s="131"/>
      <c r="K2227" s="60"/>
      <c r="L2227" s="50"/>
      <c r="P2227" s="3"/>
      <c r="Q2227" s="3"/>
      <c r="R2227" s="3"/>
      <c r="S2227" s="3"/>
      <c r="T2227" s="3"/>
      <c r="U2227" s="3"/>
      <c r="V2227" s="3"/>
      <c r="W2227" s="3"/>
      <c r="X2227" s="3"/>
      <c r="Y2227" s="4"/>
      <c r="Z2227"/>
      <c r="AA2227"/>
    </row>
    <row r="2228" spans="1:27" s="37" customFormat="1" x14ac:dyDescent="0.15">
      <c r="A2228" s="166"/>
      <c r="B2228" s="82"/>
      <c r="C2228" s="70"/>
      <c r="D2228" s="70"/>
      <c r="E2228" s="70"/>
      <c r="F2228" s="70"/>
      <c r="G2228" s="70"/>
      <c r="H2228" s="85"/>
      <c r="I2228" s="85"/>
      <c r="J2228" s="131"/>
      <c r="K2228" s="69"/>
      <c r="L2228" s="50"/>
      <c r="P2228" s="3"/>
      <c r="Q2228" s="3"/>
      <c r="R2228" s="3"/>
      <c r="S2228" s="3"/>
      <c r="T2228" s="3"/>
      <c r="U2228" s="3"/>
      <c r="V2228" s="3"/>
      <c r="W2228" s="3"/>
      <c r="X2228" s="3"/>
      <c r="Y2228" s="4"/>
      <c r="Z2228"/>
      <c r="AA2228"/>
    </row>
    <row r="2229" spans="1:27" s="37" customFormat="1" x14ac:dyDescent="0.15">
      <c r="A2229" s="166"/>
      <c r="B2229" s="82"/>
      <c r="C2229" s="70"/>
      <c r="D2229" s="70"/>
      <c r="E2229" s="70"/>
      <c r="F2229" s="70"/>
      <c r="G2229" s="70"/>
      <c r="H2229" s="85"/>
      <c r="I2229" s="85"/>
      <c r="J2229" s="131"/>
      <c r="K2229" s="69"/>
      <c r="L2229" s="50"/>
      <c r="P2229" s="3"/>
      <c r="Q2229" s="3"/>
      <c r="R2229" s="3"/>
      <c r="S2229" s="3"/>
      <c r="T2229" s="3"/>
      <c r="U2229" s="3"/>
      <c r="V2229" s="3"/>
      <c r="W2229" s="3"/>
      <c r="X2229" s="3"/>
      <c r="Y2229" s="4"/>
      <c r="Z2229"/>
      <c r="AA2229"/>
    </row>
    <row r="2230" spans="1:27" s="37" customFormat="1" x14ac:dyDescent="0.15">
      <c r="A2230" s="166"/>
      <c r="B2230" s="82"/>
      <c r="C2230" s="70"/>
      <c r="D2230" s="70"/>
      <c r="E2230" s="70"/>
      <c r="F2230" s="70"/>
      <c r="G2230" s="70"/>
      <c r="H2230" s="85"/>
      <c r="I2230" s="85"/>
      <c r="J2230" s="131"/>
      <c r="K2230" s="69"/>
      <c r="L2230" s="50"/>
      <c r="P2230" s="3"/>
      <c r="Q2230" s="3"/>
      <c r="R2230" s="3"/>
      <c r="S2230" s="3"/>
      <c r="T2230" s="3"/>
      <c r="U2230" s="3"/>
      <c r="V2230" s="3"/>
      <c r="W2230" s="3"/>
      <c r="X2230" s="3"/>
      <c r="Y2230" s="4"/>
      <c r="Z2230"/>
      <c r="AA2230"/>
    </row>
    <row r="2231" spans="1:27" s="37" customFormat="1" x14ac:dyDescent="0.15">
      <c r="A2231" s="166"/>
      <c r="B2231" s="82"/>
      <c r="C2231" s="70"/>
      <c r="D2231" s="70"/>
      <c r="E2231" s="70"/>
      <c r="F2231" s="70"/>
      <c r="G2231" s="70"/>
      <c r="H2231" s="85"/>
      <c r="I2231" s="85"/>
      <c r="J2231" s="131"/>
      <c r="K2231" s="69"/>
      <c r="L2231" s="50"/>
      <c r="P2231" s="3"/>
      <c r="Q2231" s="3"/>
      <c r="R2231" s="3"/>
      <c r="S2231" s="3"/>
      <c r="T2231" s="3"/>
      <c r="U2231" s="3"/>
      <c r="V2231" s="3"/>
      <c r="W2231" s="3"/>
      <c r="X2231" s="3"/>
      <c r="Y2231" s="4"/>
      <c r="Z2231"/>
      <c r="AA2231"/>
    </row>
    <row r="2232" spans="1:27" s="37" customFormat="1" x14ac:dyDescent="0.15">
      <c r="A2232" s="166"/>
      <c r="B2232" s="82"/>
      <c r="C2232" s="70"/>
      <c r="D2232" s="70"/>
      <c r="E2232" s="70"/>
      <c r="F2232" s="70"/>
      <c r="G2232" s="70"/>
      <c r="H2232" s="85"/>
      <c r="I2232" s="85"/>
      <c r="J2232" s="131"/>
      <c r="K2232" s="69"/>
      <c r="L2232" s="50"/>
      <c r="N2232" s="51"/>
      <c r="P2232" s="3"/>
      <c r="Q2232" s="3"/>
      <c r="R2232" s="3"/>
      <c r="S2232" s="3"/>
      <c r="T2232" s="3"/>
      <c r="U2232" s="3"/>
      <c r="V2232" s="3"/>
      <c r="W2232" s="3"/>
      <c r="X2232" s="3"/>
      <c r="Y2232" s="4"/>
      <c r="Z2232"/>
      <c r="AA2232"/>
    </row>
    <row r="2233" spans="1:27" s="37" customFormat="1" x14ac:dyDescent="0.15">
      <c r="A2233" s="166"/>
      <c r="B2233" s="82"/>
      <c r="C2233" s="70"/>
      <c r="D2233" s="70"/>
      <c r="E2233" s="70"/>
      <c r="F2233" s="70"/>
      <c r="G2233" s="70"/>
      <c r="H2233" s="85"/>
      <c r="I2233" s="85"/>
      <c r="J2233" s="131"/>
      <c r="K2233" s="69"/>
      <c r="L2233" s="50"/>
      <c r="P2233" s="3"/>
      <c r="Q2233" s="3"/>
      <c r="R2233" s="3"/>
      <c r="S2233" s="3"/>
      <c r="T2233" s="3"/>
      <c r="U2233" s="3"/>
      <c r="V2233" s="3"/>
      <c r="W2233" s="3"/>
      <c r="X2233" s="3"/>
      <c r="Y2233" s="4"/>
      <c r="Z2233"/>
      <c r="AA2233"/>
    </row>
    <row r="2234" spans="1:27" s="37" customFormat="1" x14ac:dyDescent="0.15">
      <c r="A2234" s="166"/>
      <c r="B2234" s="82"/>
      <c r="C2234" s="70"/>
      <c r="D2234" s="70"/>
      <c r="E2234" s="70"/>
      <c r="F2234" s="70"/>
      <c r="G2234" s="70"/>
      <c r="H2234" s="85"/>
      <c r="I2234" s="85"/>
      <c r="J2234" s="131"/>
      <c r="K2234" s="69"/>
      <c r="L2234" s="50"/>
      <c r="P2234" s="3"/>
      <c r="Q2234" s="3"/>
      <c r="R2234" s="3"/>
      <c r="S2234" s="3"/>
      <c r="T2234" s="3"/>
      <c r="U2234" s="3"/>
      <c r="V2234" s="3"/>
      <c r="W2234" s="3"/>
      <c r="X2234" s="3"/>
      <c r="Y2234" s="4"/>
      <c r="Z2234"/>
      <c r="AA2234"/>
    </row>
    <row r="2235" spans="1:27" s="37" customFormat="1" x14ac:dyDescent="0.15">
      <c r="A2235" s="166"/>
      <c r="B2235" s="82"/>
      <c r="C2235" s="70"/>
      <c r="D2235" s="70"/>
      <c r="E2235" s="70"/>
      <c r="F2235" s="70"/>
      <c r="G2235" s="70"/>
      <c r="H2235" s="85"/>
      <c r="I2235" s="85"/>
      <c r="J2235" s="131"/>
      <c r="K2235" s="69"/>
      <c r="L2235" s="50"/>
      <c r="M2235" s="35"/>
      <c r="P2235" s="3"/>
      <c r="Q2235" s="3"/>
      <c r="R2235" s="3"/>
      <c r="S2235" s="3"/>
      <c r="T2235" s="3"/>
      <c r="U2235" s="3"/>
      <c r="V2235" s="3"/>
      <c r="W2235" s="3"/>
      <c r="X2235" s="3"/>
      <c r="Y2235" s="4"/>
      <c r="Z2235"/>
      <c r="AA2235"/>
    </row>
    <row r="2236" spans="1:27" s="37" customFormat="1" x14ac:dyDescent="0.15">
      <c r="A2236" s="166"/>
      <c r="B2236" s="82"/>
      <c r="C2236" s="70"/>
      <c r="D2236" s="70"/>
      <c r="E2236" s="70"/>
      <c r="F2236" s="70"/>
      <c r="G2236" s="70"/>
      <c r="H2236" s="85"/>
      <c r="I2236" s="85"/>
      <c r="J2236" s="131"/>
      <c r="K2236" s="69"/>
      <c r="L2236" s="50"/>
      <c r="P2236" s="3"/>
      <c r="Q2236" s="3"/>
      <c r="R2236" s="3"/>
      <c r="S2236" s="3"/>
      <c r="T2236" s="3"/>
      <c r="U2236" s="3"/>
      <c r="V2236" s="3"/>
      <c r="W2236" s="3"/>
      <c r="X2236" s="3"/>
      <c r="Y2236" s="4"/>
      <c r="Z2236"/>
      <c r="AA2236"/>
    </row>
    <row r="2237" spans="1:27" s="37" customFormat="1" x14ac:dyDescent="0.15">
      <c r="A2237" s="166"/>
      <c r="B2237" s="82"/>
      <c r="C2237" s="70"/>
      <c r="D2237" s="70"/>
      <c r="E2237" s="70"/>
      <c r="F2237" s="70"/>
      <c r="G2237" s="70"/>
      <c r="H2237" s="85"/>
      <c r="I2237" s="85"/>
      <c r="J2237" s="131"/>
      <c r="K2237" s="69"/>
      <c r="L2237" s="50"/>
      <c r="P2237" s="3"/>
      <c r="Q2237" s="3"/>
      <c r="R2237" s="3"/>
      <c r="S2237" s="3"/>
      <c r="T2237" s="3"/>
      <c r="U2237" s="3"/>
      <c r="V2237" s="3"/>
      <c r="W2237" s="3"/>
      <c r="X2237" s="3"/>
      <c r="Y2237" s="4"/>
      <c r="Z2237"/>
      <c r="AA2237"/>
    </row>
    <row r="2238" spans="1:27" s="37" customFormat="1" x14ac:dyDescent="0.15">
      <c r="A2238" s="166"/>
      <c r="B2238" s="82"/>
      <c r="C2238" s="70"/>
      <c r="D2238" s="70"/>
      <c r="E2238" s="70"/>
      <c r="F2238" s="70"/>
      <c r="G2238" s="70"/>
      <c r="H2238" s="85"/>
      <c r="I2238" s="85"/>
      <c r="J2238" s="131"/>
      <c r="K2238" s="60"/>
      <c r="L2238" s="50"/>
      <c r="N2238" s="51"/>
      <c r="P2238" s="3"/>
      <c r="Q2238" s="3"/>
      <c r="R2238" s="3"/>
      <c r="S2238" s="3"/>
      <c r="T2238" s="3"/>
      <c r="U2238" s="3"/>
      <c r="V2238" s="3"/>
      <c r="W2238" s="3"/>
      <c r="X2238" s="3"/>
      <c r="Y2238" s="4"/>
      <c r="Z2238"/>
      <c r="AA2238"/>
    </row>
    <row r="2239" spans="1:27" s="37" customFormat="1" ht="16" x14ac:dyDescent="0.2">
      <c r="A2239" s="166"/>
      <c r="B2239" s="82"/>
      <c r="C2239" s="70"/>
      <c r="D2239" s="70"/>
      <c r="E2239" s="70"/>
      <c r="F2239" s="70"/>
      <c r="G2239" s="70"/>
      <c r="H2239" s="85"/>
      <c r="I2239" s="85"/>
      <c r="J2239" s="131"/>
      <c r="K2239" s="69"/>
      <c r="L2239" s="50"/>
      <c r="M2239" s="48"/>
      <c r="N2239" s="51"/>
      <c r="P2239" s="3"/>
      <c r="Q2239" s="3"/>
      <c r="R2239" s="3"/>
      <c r="S2239" s="3"/>
      <c r="T2239" s="3"/>
      <c r="U2239" s="3"/>
      <c r="V2239" s="3"/>
      <c r="W2239" s="3"/>
      <c r="X2239" s="3"/>
      <c r="Y2239" s="4"/>
      <c r="Z2239"/>
      <c r="AA2239"/>
    </row>
    <row r="2240" spans="1:27" s="37" customFormat="1" x14ac:dyDescent="0.15">
      <c r="A2240" s="166"/>
      <c r="B2240" s="82"/>
      <c r="C2240" s="70"/>
      <c r="D2240" s="70"/>
      <c r="E2240" s="70"/>
      <c r="F2240" s="70"/>
      <c r="G2240" s="70"/>
      <c r="H2240" s="85"/>
      <c r="I2240" s="85"/>
      <c r="J2240" s="131"/>
      <c r="K2240" s="69"/>
      <c r="L2240" s="50"/>
      <c r="P2240" s="3"/>
      <c r="Q2240" s="3"/>
      <c r="R2240" s="3"/>
      <c r="S2240" s="3"/>
      <c r="T2240" s="3"/>
      <c r="U2240" s="3"/>
      <c r="V2240" s="3"/>
      <c r="W2240" s="3"/>
      <c r="X2240" s="3"/>
      <c r="Y2240" s="4"/>
      <c r="Z2240"/>
      <c r="AA2240"/>
    </row>
    <row r="2241" spans="1:27" s="37" customFormat="1" x14ac:dyDescent="0.15">
      <c r="A2241" s="166"/>
      <c r="B2241" s="82"/>
      <c r="C2241" s="70"/>
      <c r="D2241" s="70"/>
      <c r="E2241" s="70"/>
      <c r="F2241" s="70"/>
      <c r="G2241" s="70"/>
      <c r="H2241" s="85"/>
      <c r="I2241" s="85"/>
      <c r="J2241" s="131"/>
      <c r="K2241" s="69"/>
      <c r="L2241" s="50"/>
      <c r="P2241" s="3"/>
      <c r="Q2241" s="3"/>
      <c r="R2241" s="3"/>
      <c r="S2241" s="3"/>
      <c r="T2241" s="3"/>
      <c r="U2241" s="3"/>
      <c r="V2241" s="3"/>
      <c r="W2241" s="3"/>
      <c r="X2241" s="3"/>
      <c r="Y2241" s="4"/>
      <c r="Z2241"/>
      <c r="AA2241"/>
    </row>
    <row r="2242" spans="1:27" s="37" customFormat="1" x14ac:dyDescent="0.15">
      <c r="A2242" s="166"/>
      <c r="B2242" s="82"/>
      <c r="C2242" s="70"/>
      <c r="D2242" s="70"/>
      <c r="E2242" s="70"/>
      <c r="F2242" s="70"/>
      <c r="G2242" s="70"/>
      <c r="H2242" s="85"/>
      <c r="I2242" s="85"/>
      <c r="J2242" s="131"/>
      <c r="K2242" s="69"/>
      <c r="L2242" s="50"/>
      <c r="P2242" s="3"/>
      <c r="Q2242" s="3"/>
      <c r="R2242" s="3"/>
      <c r="S2242" s="3"/>
      <c r="T2242" s="3"/>
      <c r="U2242" s="3"/>
      <c r="V2242" s="3"/>
      <c r="W2242" s="3"/>
      <c r="X2242" s="3"/>
      <c r="Y2242" s="4"/>
      <c r="Z2242"/>
      <c r="AA2242"/>
    </row>
    <row r="2243" spans="1:27" s="37" customFormat="1" ht="16" x14ac:dyDescent="0.2">
      <c r="A2243" s="166"/>
      <c r="B2243" s="82"/>
      <c r="C2243" s="70"/>
      <c r="D2243" s="70"/>
      <c r="E2243" s="70"/>
      <c r="F2243" s="70"/>
      <c r="G2243" s="70"/>
      <c r="H2243" s="85"/>
      <c r="I2243" s="85"/>
      <c r="J2243" s="131"/>
      <c r="K2243" s="60"/>
      <c r="L2243" s="50"/>
      <c r="M2243" s="48"/>
      <c r="P2243" s="3"/>
      <c r="Q2243" s="3"/>
      <c r="R2243" s="3"/>
      <c r="S2243" s="3"/>
      <c r="T2243" s="3"/>
      <c r="U2243" s="3"/>
      <c r="V2243" s="3"/>
      <c r="W2243" s="3"/>
      <c r="X2243" s="3"/>
      <c r="Y2243" s="4"/>
      <c r="Z2243"/>
      <c r="AA2243"/>
    </row>
    <row r="2244" spans="1:27" s="37" customFormat="1" x14ac:dyDescent="0.15">
      <c r="A2244" s="166"/>
      <c r="B2244" s="82"/>
      <c r="C2244" s="70"/>
      <c r="D2244" s="70"/>
      <c r="E2244" s="70"/>
      <c r="F2244" s="70"/>
      <c r="G2244" s="70"/>
      <c r="H2244" s="85"/>
      <c r="I2244" s="85"/>
      <c r="J2244" s="131"/>
      <c r="K2244" s="60"/>
      <c r="L2244" s="50"/>
      <c r="P2244" s="3"/>
      <c r="Q2244" s="3"/>
      <c r="R2244" s="3"/>
      <c r="S2244" s="3"/>
      <c r="T2244" s="3"/>
      <c r="U2244" s="3"/>
      <c r="V2244" s="3"/>
      <c r="W2244" s="3"/>
      <c r="X2244" s="3"/>
      <c r="Y2244" s="4"/>
      <c r="Z2244"/>
      <c r="AA2244"/>
    </row>
    <row r="2245" spans="1:27" s="37" customFormat="1" x14ac:dyDescent="0.15">
      <c r="A2245" s="166"/>
      <c r="B2245" s="82"/>
      <c r="C2245" s="70"/>
      <c r="D2245" s="70"/>
      <c r="E2245" s="70"/>
      <c r="F2245" s="70"/>
      <c r="G2245" s="70"/>
      <c r="H2245" s="85"/>
      <c r="I2245" s="85"/>
      <c r="J2245" s="131"/>
      <c r="K2245" s="69"/>
      <c r="L2245" s="50"/>
      <c r="P2245" s="3"/>
      <c r="Q2245" s="3"/>
      <c r="R2245" s="3"/>
      <c r="S2245" s="3"/>
      <c r="T2245" s="3"/>
      <c r="U2245" s="3"/>
      <c r="V2245" s="3"/>
      <c r="W2245" s="3"/>
      <c r="X2245" s="3"/>
      <c r="Y2245" s="4"/>
      <c r="Z2245"/>
      <c r="AA2245"/>
    </row>
    <row r="2246" spans="1:27" s="37" customFormat="1" x14ac:dyDescent="0.15">
      <c r="A2246" s="166"/>
      <c r="B2246" s="82"/>
      <c r="C2246" s="70"/>
      <c r="D2246" s="70"/>
      <c r="E2246" s="70"/>
      <c r="F2246" s="70"/>
      <c r="G2246" s="70"/>
      <c r="H2246" s="85"/>
      <c r="I2246" s="85"/>
      <c r="J2246" s="131"/>
      <c r="K2246" s="60"/>
      <c r="L2246" s="50"/>
      <c r="P2246" s="3"/>
      <c r="Q2246" s="3"/>
      <c r="R2246" s="3"/>
      <c r="S2246" s="3"/>
      <c r="T2246" s="3"/>
      <c r="U2246" s="3"/>
      <c r="V2246" s="3"/>
      <c r="W2246" s="3"/>
      <c r="X2246" s="3"/>
      <c r="Y2246" s="4"/>
      <c r="Z2246"/>
      <c r="AA2246"/>
    </row>
    <row r="2247" spans="1:27" s="37" customFormat="1" x14ac:dyDescent="0.15">
      <c r="A2247" s="166"/>
      <c r="B2247" s="82"/>
      <c r="C2247" s="70"/>
      <c r="D2247" s="70"/>
      <c r="E2247" s="70"/>
      <c r="F2247" s="70"/>
      <c r="G2247" s="70"/>
      <c r="H2247" s="85"/>
      <c r="I2247" s="85"/>
      <c r="J2247" s="131"/>
      <c r="K2247" s="69"/>
      <c r="L2247" s="49"/>
      <c r="P2247" s="3"/>
      <c r="Q2247" s="3"/>
      <c r="R2247" s="3"/>
      <c r="S2247" s="3"/>
      <c r="T2247" s="3"/>
      <c r="U2247" s="3"/>
      <c r="V2247" s="3"/>
      <c r="W2247" s="3"/>
      <c r="X2247" s="3"/>
      <c r="Y2247" s="4"/>
      <c r="Z2247"/>
      <c r="AA2247"/>
    </row>
    <row r="2248" spans="1:27" s="37" customFormat="1" ht="16" x14ac:dyDescent="0.2">
      <c r="A2248" s="166"/>
      <c r="B2248" s="82"/>
      <c r="C2248" s="70"/>
      <c r="D2248" s="70"/>
      <c r="E2248" s="70"/>
      <c r="F2248" s="70"/>
      <c r="G2248" s="70"/>
      <c r="H2248" s="85"/>
      <c r="I2248" s="85"/>
      <c r="J2248" s="131"/>
      <c r="K2248" s="69"/>
      <c r="L2248" s="50"/>
      <c r="M2248" s="48"/>
      <c r="P2248" s="3"/>
      <c r="Q2248" s="3"/>
      <c r="R2248" s="3"/>
      <c r="S2248" s="3"/>
      <c r="T2248" s="3"/>
      <c r="U2248" s="3"/>
      <c r="V2248" s="3"/>
      <c r="W2248" s="3"/>
      <c r="X2248" s="3"/>
      <c r="Y2248" s="4"/>
      <c r="Z2248"/>
      <c r="AA2248"/>
    </row>
    <row r="2249" spans="1:27" s="37" customFormat="1" x14ac:dyDescent="0.15">
      <c r="A2249" s="166"/>
      <c r="B2249" s="82"/>
      <c r="C2249" s="70"/>
      <c r="D2249" s="70"/>
      <c r="E2249" s="70"/>
      <c r="F2249" s="70"/>
      <c r="G2249" s="70"/>
      <c r="H2249" s="85"/>
      <c r="I2249" s="85"/>
      <c r="J2249" s="131"/>
      <c r="K2249" s="69"/>
      <c r="L2249" s="49"/>
      <c r="P2249" s="3"/>
      <c r="Q2249" s="3"/>
      <c r="R2249" s="3"/>
      <c r="S2249" s="3"/>
      <c r="T2249" s="3"/>
      <c r="U2249" s="3"/>
      <c r="V2249" s="3"/>
      <c r="W2249" s="3"/>
      <c r="X2249" s="3"/>
      <c r="Y2249" s="4"/>
      <c r="Z2249"/>
      <c r="AA2249"/>
    </row>
    <row r="2250" spans="1:27" s="37" customFormat="1" x14ac:dyDescent="0.15">
      <c r="A2250" s="166"/>
      <c r="B2250" s="82"/>
      <c r="C2250" s="70"/>
      <c r="D2250" s="70"/>
      <c r="E2250" s="70"/>
      <c r="F2250" s="70"/>
      <c r="G2250" s="70"/>
      <c r="H2250" s="85"/>
      <c r="I2250" s="85"/>
      <c r="J2250" s="131"/>
      <c r="K2250" s="69"/>
      <c r="L2250" s="50"/>
      <c r="P2250" s="3"/>
      <c r="Q2250" s="3"/>
      <c r="R2250" s="3"/>
      <c r="S2250" s="3"/>
      <c r="T2250" s="3"/>
      <c r="U2250" s="3"/>
      <c r="V2250" s="3"/>
      <c r="W2250" s="3"/>
      <c r="X2250" s="3"/>
      <c r="Y2250" s="4"/>
      <c r="Z2250"/>
      <c r="AA2250"/>
    </row>
    <row r="2251" spans="1:27" s="37" customFormat="1" x14ac:dyDescent="0.15">
      <c r="A2251" s="166"/>
      <c r="B2251" s="82"/>
      <c r="C2251" s="70"/>
      <c r="D2251" s="70"/>
      <c r="E2251" s="70"/>
      <c r="F2251" s="70"/>
      <c r="G2251" s="70"/>
      <c r="H2251" s="85"/>
      <c r="I2251" s="85"/>
      <c r="J2251" s="131"/>
      <c r="K2251" s="69"/>
      <c r="L2251" s="50"/>
      <c r="P2251" s="3"/>
      <c r="Q2251" s="3"/>
      <c r="R2251" s="3"/>
      <c r="S2251" s="3"/>
      <c r="T2251" s="3"/>
      <c r="U2251" s="3"/>
      <c r="V2251" s="3"/>
      <c r="W2251" s="3"/>
      <c r="X2251" s="3"/>
      <c r="Y2251" s="4"/>
      <c r="Z2251"/>
      <c r="AA2251"/>
    </row>
    <row r="2252" spans="1:27" s="37" customFormat="1" x14ac:dyDescent="0.15">
      <c r="A2252" s="166"/>
      <c r="B2252" s="82"/>
      <c r="C2252" s="70"/>
      <c r="D2252" s="70"/>
      <c r="E2252" s="70"/>
      <c r="F2252" s="70"/>
      <c r="G2252" s="70"/>
      <c r="H2252" s="85"/>
      <c r="I2252" s="85"/>
      <c r="J2252" s="131"/>
      <c r="K2252" s="69"/>
      <c r="L2252" s="50"/>
      <c r="N2252" s="51"/>
      <c r="P2252" s="3"/>
      <c r="Q2252" s="3"/>
      <c r="R2252" s="3"/>
      <c r="S2252" s="3"/>
      <c r="T2252" s="3"/>
      <c r="U2252" s="3"/>
      <c r="V2252" s="3"/>
      <c r="W2252" s="3"/>
      <c r="X2252" s="3"/>
      <c r="Y2252" s="4"/>
      <c r="Z2252"/>
      <c r="AA2252"/>
    </row>
    <row r="2253" spans="1:27" s="37" customFormat="1" x14ac:dyDescent="0.15">
      <c r="A2253" s="166"/>
      <c r="B2253" s="82"/>
      <c r="C2253" s="70"/>
      <c r="D2253" s="70"/>
      <c r="E2253" s="70"/>
      <c r="F2253" s="70"/>
      <c r="G2253" s="70"/>
      <c r="H2253" s="85"/>
      <c r="I2253" s="85"/>
      <c r="J2253" s="131"/>
      <c r="K2253" s="60"/>
      <c r="L2253" s="50"/>
      <c r="P2253" s="3"/>
      <c r="Q2253" s="3"/>
      <c r="R2253" s="3"/>
      <c r="S2253" s="3"/>
      <c r="T2253" s="3"/>
      <c r="U2253" s="3"/>
      <c r="V2253" s="3"/>
      <c r="W2253" s="3"/>
      <c r="X2253" s="3"/>
      <c r="Y2253" s="4"/>
      <c r="Z2253"/>
      <c r="AA2253"/>
    </row>
    <row r="2254" spans="1:27" s="37" customFormat="1" x14ac:dyDescent="0.15">
      <c r="A2254" s="166"/>
      <c r="B2254" s="82"/>
      <c r="C2254" s="70"/>
      <c r="D2254" s="70"/>
      <c r="E2254" s="70"/>
      <c r="F2254" s="70"/>
      <c r="G2254" s="70"/>
      <c r="H2254" s="85"/>
      <c r="I2254" s="85"/>
      <c r="J2254" s="131"/>
      <c r="K2254" s="60"/>
      <c r="L2254" s="50"/>
      <c r="P2254" s="3"/>
      <c r="Q2254" s="3"/>
      <c r="R2254" s="3"/>
      <c r="S2254" s="3"/>
      <c r="T2254" s="3"/>
      <c r="U2254" s="3"/>
      <c r="V2254" s="3"/>
      <c r="W2254" s="3"/>
      <c r="X2254" s="3"/>
      <c r="Y2254" s="4"/>
      <c r="Z2254"/>
      <c r="AA2254"/>
    </row>
    <row r="2255" spans="1:27" s="49" customFormat="1" x14ac:dyDescent="0.15">
      <c r="A2255" s="166"/>
      <c r="B2255" s="82"/>
      <c r="C2255" s="70"/>
      <c r="D2255" s="70"/>
      <c r="E2255" s="70"/>
      <c r="F2255" s="70"/>
      <c r="G2255" s="70"/>
      <c r="H2255" s="85"/>
      <c r="I2255" s="85"/>
      <c r="J2255" s="131"/>
      <c r="K2255" s="69"/>
      <c r="M2255" s="37"/>
      <c r="N2255" s="37"/>
      <c r="O2255" s="37"/>
      <c r="P2255" s="3"/>
      <c r="Q2255" s="3"/>
      <c r="R2255" s="3"/>
      <c r="S2255" s="3"/>
      <c r="T2255" s="3"/>
      <c r="U2255" s="3"/>
      <c r="V2255" s="3"/>
      <c r="W2255" s="3"/>
      <c r="X2255" s="3"/>
      <c r="Y2255" s="4"/>
      <c r="Z2255"/>
      <c r="AA2255"/>
    </row>
    <row r="2256" spans="1:27" s="49" customFormat="1" x14ac:dyDescent="0.15">
      <c r="A2256" s="166"/>
      <c r="B2256" s="82"/>
      <c r="C2256" s="70"/>
      <c r="D2256" s="70"/>
      <c r="E2256" s="70"/>
      <c r="F2256" s="70"/>
      <c r="G2256" s="70"/>
      <c r="H2256" s="85"/>
      <c r="I2256" s="85"/>
      <c r="J2256" s="131"/>
      <c r="K2256" s="69"/>
      <c r="M2256" s="37"/>
      <c r="N2256" s="37"/>
      <c r="O2256" s="37"/>
      <c r="P2256" s="3"/>
      <c r="Q2256" s="3"/>
      <c r="R2256" s="3"/>
      <c r="S2256" s="3"/>
      <c r="T2256" s="3"/>
      <c r="U2256" s="3"/>
      <c r="V2256" s="3"/>
      <c r="W2256" s="3"/>
      <c r="X2256" s="3"/>
      <c r="Y2256" s="4"/>
      <c r="Z2256"/>
      <c r="AA2256"/>
    </row>
    <row r="2257" spans="1:27" s="49" customFormat="1" x14ac:dyDescent="0.15">
      <c r="A2257" s="166"/>
      <c r="B2257" s="82"/>
      <c r="C2257" s="70"/>
      <c r="D2257" s="70"/>
      <c r="E2257" s="70"/>
      <c r="F2257" s="70"/>
      <c r="G2257" s="70"/>
      <c r="H2257" s="85"/>
      <c r="I2257" s="85"/>
      <c r="J2257" s="131"/>
      <c r="K2257" s="69"/>
      <c r="M2257" s="37"/>
      <c r="N2257" s="37"/>
      <c r="O2257" s="37"/>
      <c r="P2257" s="3"/>
      <c r="Q2257" s="3"/>
      <c r="R2257" s="3"/>
      <c r="S2257" s="3"/>
      <c r="T2257" s="3"/>
      <c r="U2257" s="3"/>
      <c r="V2257" s="3"/>
      <c r="W2257" s="3"/>
      <c r="X2257" s="3"/>
      <c r="Y2257" s="4"/>
      <c r="Z2257"/>
      <c r="AA2257"/>
    </row>
    <row r="2258" spans="1:27" s="49" customFormat="1" x14ac:dyDescent="0.15">
      <c r="A2258" s="166"/>
      <c r="B2258" s="82"/>
      <c r="C2258" s="70"/>
      <c r="D2258" s="70"/>
      <c r="E2258" s="70"/>
      <c r="F2258" s="70"/>
      <c r="G2258" s="70"/>
      <c r="H2258" s="85"/>
      <c r="I2258" s="85"/>
      <c r="J2258" s="131"/>
      <c r="K2258" s="69"/>
      <c r="M2258" s="37"/>
      <c r="N2258" s="37"/>
      <c r="O2258" s="37"/>
      <c r="P2258" s="3"/>
      <c r="Q2258" s="3"/>
      <c r="R2258" s="3"/>
      <c r="S2258" s="3"/>
      <c r="T2258" s="3"/>
      <c r="U2258" s="3"/>
      <c r="V2258" s="3"/>
      <c r="W2258" s="3"/>
      <c r="X2258" s="3"/>
      <c r="Y2258" s="4"/>
      <c r="Z2258"/>
      <c r="AA2258"/>
    </row>
    <row r="2259" spans="1:27" s="49" customFormat="1" x14ac:dyDescent="0.15">
      <c r="A2259" s="166"/>
      <c r="B2259" s="82"/>
      <c r="C2259" s="70"/>
      <c r="D2259" s="70"/>
      <c r="E2259" s="70"/>
      <c r="F2259" s="70"/>
      <c r="G2259" s="70"/>
      <c r="H2259" s="85"/>
      <c r="I2259" s="85"/>
      <c r="J2259" s="131"/>
      <c r="K2259" s="69"/>
      <c r="M2259" s="37"/>
      <c r="N2259" s="37"/>
      <c r="O2259" s="37"/>
      <c r="P2259" s="3"/>
      <c r="Q2259" s="3"/>
      <c r="R2259" s="3"/>
      <c r="S2259" s="3"/>
      <c r="T2259" s="3"/>
      <c r="U2259" s="3"/>
      <c r="V2259" s="3"/>
      <c r="W2259" s="3"/>
      <c r="X2259" s="3"/>
      <c r="Y2259" s="4"/>
      <c r="Z2259"/>
      <c r="AA2259"/>
    </row>
    <row r="2260" spans="1:27" s="49" customFormat="1" x14ac:dyDescent="0.15">
      <c r="A2260" s="166"/>
      <c r="B2260" s="82"/>
      <c r="C2260" s="70"/>
      <c r="D2260" s="70"/>
      <c r="E2260" s="70"/>
      <c r="F2260" s="70"/>
      <c r="G2260" s="70"/>
      <c r="H2260" s="85"/>
      <c r="I2260" s="85"/>
      <c r="J2260" s="131"/>
      <c r="K2260" s="69"/>
      <c r="M2260" s="37"/>
      <c r="N2260" s="37"/>
      <c r="O2260" s="37"/>
      <c r="P2260" s="3"/>
      <c r="Q2260" s="3"/>
      <c r="R2260" s="3"/>
      <c r="S2260" s="3"/>
      <c r="T2260" s="3"/>
      <c r="U2260" s="3"/>
      <c r="V2260" s="3"/>
      <c r="W2260" s="3"/>
      <c r="X2260" s="3"/>
      <c r="Y2260" s="4"/>
      <c r="Z2260"/>
      <c r="AA2260"/>
    </row>
    <row r="2261" spans="1:27" s="49" customFormat="1" x14ac:dyDescent="0.15">
      <c r="A2261" s="166"/>
      <c r="B2261" s="82"/>
      <c r="C2261" s="70"/>
      <c r="D2261" s="70"/>
      <c r="E2261" s="70"/>
      <c r="F2261" s="70"/>
      <c r="G2261" s="70"/>
      <c r="H2261" s="85"/>
      <c r="I2261" s="85"/>
      <c r="J2261" s="131"/>
      <c r="K2261" s="60"/>
      <c r="M2261" s="37"/>
      <c r="N2261" s="37"/>
      <c r="O2261" s="37"/>
      <c r="P2261" s="3"/>
      <c r="Q2261" s="3"/>
      <c r="R2261" s="3"/>
      <c r="S2261" s="3"/>
      <c r="T2261" s="3"/>
      <c r="U2261" s="3"/>
      <c r="V2261" s="3"/>
      <c r="W2261" s="3"/>
      <c r="X2261" s="3"/>
      <c r="Y2261" s="4"/>
      <c r="Z2261"/>
      <c r="AA2261"/>
    </row>
    <row r="2262" spans="1:27" s="49" customFormat="1" x14ac:dyDescent="0.15">
      <c r="A2262" s="166"/>
      <c r="B2262" s="82"/>
      <c r="C2262" s="70"/>
      <c r="D2262" s="70"/>
      <c r="E2262" s="70"/>
      <c r="F2262" s="70"/>
      <c r="G2262" s="70"/>
      <c r="H2262" s="85"/>
      <c r="I2262" s="85"/>
      <c r="J2262" s="131"/>
      <c r="K2262" s="69"/>
      <c r="M2262" s="37"/>
      <c r="N2262" s="37"/>
      <c r="O2262" s="37"/>
      <c r="P2262" s="3"/>
      <c r="Q2262" s="3"/>
      <c r="R2262" s="3"/>
      <c r="S2262" s="3"/>
      <c r="T2262" s="3"/>
      <c r="U2262" s="3"/>
      <c r="V2262" s="3"/>
      <c r="W2262" s="3"/>
      <c r="X2262" s="3"/>
      <c r="Y2262" s="4"/>
      <c r="Z2262"/>
      <c r="AA2262"/>
    </row>
    <row r="2263" spans="1:27" s="49" customFormat="1" x14ac:dyDescent="0.15">
      <c r="A2263" s="166"/>
      <c r="B2263" s="82"/>
      <c r="C2263" s="70"/>
      <c r="D2263" s="70"/>
      <c r="E2263" s="70"/>
      <c r="F2263" s="70"/>
      <c r="G2263" s="70"/>
      <c r="H2263" s="85"/>
      <c r="I2263" s="85"/>
      <c r="J2263" s="131"/>
      <c r="K2263" s="60"/>
      <c r="M2263" s="37"/>
      <c r="N2263" s="37"/>
      <c r="O2263" s="37"/>
      <c r="P2263" s="3"/>
      <c r="Q2263" s="3"/>
      <c r="R2263" s="3"/>
      <c r="S2263" s="3"/>
      <c r="T2263" s="3"/>
      <c r="U2263" s="3"/>
      <c r="V2263" s="3"/>
      <c r="W2263" s="3"/>
      <c r="X2263" s="3"/>
      <c r="Y2263" s="4"/>
      <c r="Z2263"/>
      <c r="AA2263"/>
    </row>
    <row r="2264" spans="1:27" s="49" customFormat="1" x14ac:dyDescent="0.15">
      <c r="A2264" s="166"/>
      <c r="B2264" s="82"/>
      <c r="C2264" s="70"/>
      <c r="D2264" s="70"/>
      <c r="E2264" s="70"/>
      <c r="F2264" s="70"/>
      <c r="G2264" s="70"/>
      <c r="H2264" s="85"/>
      <c r="I2264" s="85"/>
      <c r="J2264" s="131"/>
      <c r="K2264" s="69"/>
      <c r="M2264" s="37"/>
      <c r="N2264" s="37"/>
      <c r="O2264" s="37"/>
      <c r="P2264" s="3"/>
      <c r="Q2264" s="3"/>
      <c r="R2264" s="3"/>
      <c r="S2264" s="3"/>
      <c r="T2264" s="3"/>
      <c r="U2264" s="3"/>
      <c r="V2264" s="3"/>
      <c r="W2264" s="3"/>
      <c r="X2264" s="3"/>
      <c r="Y2264" s="4"/>
      <c r="Z2264"/>
      <c r="AA2264"/>
    </row>
    <row r="2265" spans="1:27" s="49" customFormat="1" x14ac:dyDescent="0.15">
      <c r="A2265" s="166"/>
      <c r="B2265" s="82"/>
      <c r="C2265" s="70"/>
      <c r="D2265" s="70"/>
      <c r="E2265" s="70"/>
      <c r="F2265" s="70"/>
      <c r="G2265" s="70"/>
      <c r="H2265" s="85"/>
      <c r="I2265" s="85"/>
      <c r="J2265" s="131"/>
      <c r="K2265" s="69"/>
      <c r="M2265" s="37"/>
      <c r="N2265" s="37"/>
      <c r="O2265" s="37"/>
      <c r="P2265" s="3"/>
      <c r="Q2265" s="3"/>
      <c r="R2265" s="3"/>
      <c r="S2265" s="3"/>
      <c r="T2265" s="3"/>
      <c r="U2265" s="3"/>
      <c r="V2265" s="3"/>
      <c r="W2265" s="3"/>
      <c r="X2265" s="3"/>
      <c r="Y2265" s="4"/>
      <c r="Z2265"/>
      <c r="AA2265"/>
    </row>
    <row r="2266" spans="1:27" s="49" customFormat="1" x14ac:dyDescent="0.15">
      <c r="A2266" s="166"/>
      <c r="B2266" s="82"/>
      <c r="C2266" s="70"/>
      <c r="D2266" s="70"/>
      <c r="E2266" s="70"/>
      <c r="F2266" s="70"/>
      <c r="G2266" s="70"/>
      <c r="H2266" s="85"/>
      <c r="I2266" s="85"/>
      <c r="J2266" s="131"/>
      <c r="K2266" s="69"/>
      <c r="M2266" s="37"/>
      <c r="N2266" s="37"/>
      <c r="O2266" s="37"/>
      <c r="P2266" s="3"/>
      <c r="Q2266" s="3"/>
      <c r="R2266" s="3"/>
      <c r="S2266" s="3"/>
      <c r="T2266" s="3"/>
      <c r="U2266" s="3"/>
      <c r="V2266" s="3"/>
      <c r="W2266" s="3"/>
      <c r="X2266" s="3"/>
      <c r="Y2266" s="4"/>
      <c r="Z2266"/>
      <c r="AA2266"/>
    </row>
    <row r="2267" spans="1:27" s="49" customFormat="1" x14ac:dyDescent="0.15">
      <c r="A2267" s="166"/>
      <c r="B2267" s="82"/>
      <c r="C2267" s="70"/>
      <c r="D2267" s="70"/>
      <c r="E2267" s="70"/>
      <c r="F2267" s="70"/>
      <c r="G2267" s="70"/>
      <c r="H2267" s="85"/>
      <c r="I2267" s="85"/>
      <c r="J2267" s="131"/>
      <c r="K2267" s="60"/>
      <c r="M2267" s="37"/>
      <c r="N2267" s="37"/>
      <c r="O2267" s="37"/>
      <c r="P2267" s="3"/>
      <c r="Q2267" s="3"/>
      <c r="R2267" s="3"/>
      <c r="S2267" s="3"/>
      <c r="T2267" s="3"/>
      <c r="U2267" s="3"/>
      <c r="V2267" s="3"/>
      <c r="W2267" s="3"/>
      <c r="X2267" s="3"/>
      <c r="Y2267" s="4"/>
      <c r="Z2267"/>
      <c r="AA2267"/>
    </row>
    <row r="2268" spans="1:27" s="49" customFormat="1" x14ac:dyDescent="0.15">
      <c r="A2268" s="166"/>
      <c r="B2268" s="82"/>
      <c r="C2268" s="70"/>
      <c r="D2268" s="70"/>
      <c r="E2268" s="70"/>
      <c r="F2268" s="70"/>
      <c r="G2268" s="70"/>
      <c r="H2268" s="85"/>
      <c r="I2268" s="85"/>
      <c r="J2268" s="131"/>
      <c r="K2268" s="60"/>
      <c r="M2268" s="37"/>
      <c r="N2268" s="37"/>
      <c r="O2268" s="37"/>
      <c r="P2268" s="3"/>
      <c r="Q2268" s="3"/>
      <c r="R2268" s="3"/>
      <c r="S2268" s="3"/>
      <c r="T2268" s="3"/>
      <c r="U2268" s="3"/>
      <c r="V2268" s="3"/>
      <c r="W2268" s="3"/>
      <c r="X2268" s="3"/>
      <c r="Y2268" s="4"/>
      <c r="Z2268"/>
      <c r="AA2268"/>
    </row>
    <row r="2269" spans="1:27" s="49" customFormat="1" x14ac:dyDescent="0.15">
      <c r="A2269" s="166"/>
      <c r="B2269" s="82"/>
      <c r="C2269" s="70"/>
      <c r="D2269" s="70"/>
      <c r="E2269" s="70"/>
      <c r="F2269" s="70"/>
      <c r="G2269" s="70"/>
      <c r="H2269" s="85"/>
      <c r="I2269" s="85"/>
      <c r="J2269" s="131"/>
      <c r="K2269" s="69"/>
      <c r="M2269" s="37"/>
      <c r="N2269" s="37"/>
      <c r="O2269" s="37"/>
      <c r="P2269" s="3"/>
      <c r="Q2269" s="3"/>
      <c r="R2269" s="3"/>
      <c r="S2269" s="3"/>
      <c r="T2269" s="3"/>
      <c r="U2269" s="3"/>
      <c r="V2269" s="3"/>
      <c r="W2269" s="3"/>
      <c r="X2269" s="3"/>
      <c r="Y2269" s="4"/>
      <c r="Z2269"/>
      <c r="AA2269"/>
    </row>
    <row r="2270" spans="1:27" s="49" customFormat="1" x14ac:dyDescent="0.15">
      <c r="A2270" s="166"/>
      <c r="B2270" s="82"/>
      <c r="C2270" s="70"/>
      <c r="D2270" s="70"/>
      <c r="E2270" s="70"/>
      <c r="F2270" s="70"/>
      <c r="G2270" s="70"/>
      <c r="H2270" s="85"/>
      <c r="I2270" s="85"/>
      <c r="J2270" s="131"/>
      <c r="K2270" s="69"/>
      <c r="M2270" s="37"/>
      <c r="N2270" s="37"/>
      <c r="O2270" s="37"/>
      <c r="P2270" s="3"/>
      <c r="Q2270" s="3"/>
      <c r="R2270" s="3"/>
      <c r="S2270" s="3"/>
      <c r="T2270" s="3"/>
      <c r="U2270" s="3"/>
      <c r="V2270" s="3"/>
      <c r="W2270" s="3"/>
      <c r="X2270" s="3"/>
      <c r="Y2270" s="4"/>
      <c r="Z2270"/>
      <c r="AA2270"/>
    </row>
    <row r="2271" spans="1:27" x14ac:dyDescent="0.15">
      <c r="A2271" s="166"/>
      <c r="B2271" s="82"/>
      <c r="C2271" s="70"/>
      <c r="D2271" s="70"/>
      <c r="E2271" s="70"/>
      <c r="F2271" s="70"/>
      <c r="G2271" s="70"/>
      <c r="H2271" s="85"/>
      <c r="I2271" s="85"/>
      <c r="J2271" s="131"/>
      <c r="K2271" s="69"/>
    </row>
    <row r="2272" spans="1:27" x14ac:dyDescent="0.15">
      <c r="A2272" s="166"/>
      <c r="B2272" s="82"/>
      <c r="C2272" s="70"/>
      <c r="D2272" s="70"/>
      <c r="E2272" s="70"/>
      <c r="F2272" s="70"/>
      <c r="G2272" s="70"/>
      <c r="H2272" s="85"/>
      <c r="I2272" s="85"/>
      <c r="J2272" s="131"/>
      <c r="K2272" s="69"/>
    </row>
    <row r="2273" spans="1:27" x14ac:dyDescent="0.15">
      <c r="A2273" s="166"/>
      <c r="B2273" s="82"/>
      <c r="C2273" s="70"/>
      <c r="D2273" s="70"/>
      <c r="E2273" s="70"/>
      <c r="F2273" s="70"/>
      <c r="G2273" s="70"/>
      <c r="H2273" s="85"/>
      <c r="I2273" s="85"/>
      <c r="J2273" s="131"/>
      <c r="K2273" s="69"/>
    </row>
    <row r="2274" spans="1:27" x14ac:dyDescent="0.15">
      <c r="A2274" s="166"/>
      <c r="B2274" s="82"/>
      <c r="C2274" s="70"/>
      <c r="D2274" s="70"/>
      <c r="E2274" s="70"/>
      <c r="F2274" s="70"/>
      <c r="G2274" s="70"/>
      <c r="H2274" s="85"/>
      <c r="I2274" s="85"/>
      <c r="J2274" s="131"/>
      <c r="K2274" s="69"/>
    </row>
    <row r="2275" spans="1:27" x14ac:dyDescent="0.15">
      <c r="A2275" s="166"/>
      <c r="B2275" s="82"/>
      <c r="C2275" s="70"/>
      <c r="D2275" s="70"/>
      <c r="E2275" s="70"/>
      <c r="F2275" s="70"/>
      <c r="G2275" s="70"/>
      <c r="H2275" s="85"/>
      <c r="I2275" s="85"/>
      <c r="J2275" s="131"/>
      <c r="K2275" s="69"/>
    </row>
    <row r="2276" spans="1:27" x14ac:dyDescent="0.15">
      <c r="A2276" s="166"/>
      <c r="B2276" s="82"/>
      <c r="C2276" s="70"/>
      <c r="D2276" s="70"/>
      <c r="E2276" s="70"/>
      <c r="F2276" s="70"/>
      <c r="G2276" s="70"/>
      <c r="H2276" s="85"/>
      <c r="I2276" s="85"/>
      <c r="J2276" s="131"/>
      <c r="K2276" s="69"/>
    </row>
    <row r="2277" spans="1:27" x14ac:dyDescent="0.15">
      <c r="A2277" s="166"/>
      <c r="B2277" s="82"/>
      <c r="C2277" s="70"/>
      <c r="D2277" s="70"/>
      <c r="E2277" s="70"/>
      <c r="F2277" s="70"/>
      <c r="G2277" s="70"/>
      <c r="H2277" s="85"/>
      <c r="I2277" s="85"/>
      <c r="J2277" s="131"/>
      <c r="K2277" s="69"/>
    </row>
    <row r="2278" spans="1:27" x14ac:dyDescent="0.15">
      <c r="A2278" s="166"/>
      <c r="B2278" s="82"/>
      <c r="C2278" s="70"/>
      <c r="D2278" s="70"/>
      <c r="E2278" s="70"/>
      <c r="F2278" s="70"/>
      <c r="G2278" s="70"/>
      <c r="H2278" s="85"/>
      <c r="I2278" s="85"/>
      <c r="J2278" s="131"/>
      <c r="K2278" s="69"/>
      <c r="N2278" s="51"/>
    </row>
    <row r="2279" spans="1:27" ht="16" x14ac:dyDescent="0.2">
      <c r="A2279" s="166"/>
      <c r="B2279" s="82"/>
      <c r="C2279" s="70"/>
      <c r="D2279" s="70"/>
      <c r="E2279" s="70"/>
      <c r="F2279" s="70"/>
      <c r="G2279" s="70"/>
      <c r="H2279" s="85"/>
      <c r="I2279" s="85"/>
      <c r="J2279" s="131"/>
      <c r="K2279" s="69"/>
      <c r="M2279" s="48"/>
    </row>
    <row r="2280" spans="1:27" x14ac:dyDescent="0.15">
      <c r="A2280" s="166"/>
      <c r="B2280" s="82"/>
      <c r="C2280" s="70"/>
      <c r="D2280" s="70"/>
      <c r="E2280" s="70"/>
      <c r="F2280" s="70"/>
      <c r="G2280" s="70"/>
      <c r="H2280" s="85"/>
      <c r="I2280" s="85"/>
      <c r="J2280" s="131"/>
      <c r="K2280" s="69"/>
    </row>
    <row r="2281" spans="1:27" x14ac:dyDescent="0.15">
      <c r="A2281" s="167"/>
      <c r="B2281" s="87"/>
      <c r="C2281" s="88"/>
      <c r="D2281" s="86"/>
      <c r="E2281" s="86"/>
      <c r="F2281" s="86"/>
      <c r="G2281" s="86"/>
      <c r="H2281" s="85"/>
      <c r="I2281" s="89"/>
      <c r="J2281" s="132"/>
      <c r="K2281" s="68"/>
    </row>
    <row r="2282" spans="1:27" x14ac:dyDescent="0.15">
      <c r="A2282" s="167"/>
      <c r="B2282" s="87"/>
      <c r="C2282" s="88"/>
      <c r="D2282" s="86"/>
      <c r="E2282" s="86"/>
      <c r="F2282" s="86"/>
      <c r="G2282" s="86"/>
      <c r="H2282" s="85"/>
      <c r="I2282" s="89"/>
      <c r="J2282" s="132"/>
      <c r="K2282" s="68"/>
    </row>
    <row r="2283" spans="1:27" x14ac:dyDescent="0.15">
      <c r="A2283" s="166"/>
      <c r="B2283" s="82"/>
      <c r="C2283" s="70"/>
      <c r="D2283" s="70"/>
      <c r="E2283" s="70"/>
      <c r="F2283" s="70"/>
      <c r="G2283" s="70"/>
      <c r="H2283" s="85"/>
      <c r="I2283" s="85"/>
      <c r="J2283" s="131"/>
      <c r="K2283" s="60"/>
      <c r="R2283" s="187"/>
      <c r="S2283" s="187"/>
      <c r="T2283" s="187"/>
      <c r="U2283" s="187"/>
      <c r="V2283" s="187"/>
      <c r="W2283" s="187"/>
      <c r="X2283" s="187"/>
      <c r="Y2283" s="188"/>
      <c r="Z2283" s="189"/>
      <c r="AA2283" s="189"/>
    </row>
    <row r="2284" spans="1:27" x14ac:dyDescent="0.15">
      <c r="A2284" s="167"/>
      <c r="B2284" s="87"/>
      <c r="C2284" s="88"/>
      <c r="D2284" s="86"/>
      <c r="E2284" s="86"/>
      <c r="F2284" s="86"/>
      <c r="G2284" s="86"/>
      <c r="H2284" s="85"/>
      <c r="I2284" s="89"/>
      <c r="J2284" s="132"/>
      <c r="K2284" s="68"/>
    </row>
    <row r="2285" spans="1:27" x14ac:dyDescent="0.15">
      <c r="A2285" s="167"/>
      <c r="B2285" s="87"/>
      <c r="C2285" s="88"/>
      <c r="D2285" s="86"/>
      <c r="E2285" s="86"/>
      <c r="F2285" s="86"/>
      <c r="G2285" s="86"/>
      <c r="H2285" s="85"/>
      <c r="I2285" s="89"/>
      <c r="J2285" s="132"/>
      <c r="K2285" s="68"/>
    </row>
    <row r="2286" spans="1:27" x14ac:dyDescent="0.15">
      <c r="A2286" s="167"/>
      <c r="B2286" s="87"/>
      <c r="C2286" s="88"/>
      <c r="D2286" s="86"/>
      <c r="E2286" s="86"/>
      <c r="F2286" s="86"/>
      <c r="G2286" s="86"/>
      <c r="H2286" s="85"/>
      <c r="I2286" s="89"/>
      <c r="J2286" s="132"/>
      <c r="K2286" s="68"/>
    </row>
    <row r="2287" spans="1:27" s="3" customFormat="1" x14ac:dyDescent="0.15">
      <c r="A2287" s="167"/>
      <c r="B2287" s="87"/>
      <c r="C2287" s="88"/>
      <c r="D2287" s="86"/>
      <c r="E2287" s="86"/>
      <c r="F2287" s="86"/>
      <c r="G2287" s="86"/>
      <c r="H2287" s="85"/>
      <c r="I2287" s="89"/>
      <c r="J2287" s="132"/>
      <c r="K2287" s="62"/>
      <c r="L2287" s="49"/>
      <c r="M2287" s="37"/>
      <c r="N2287" s="37"/>
      <c r="O2287" s="37"/>
      <c r="Y2287" s="4"/>
      <c r="Z2287"/>
      <c r="AA2287"/>
    </row>
    <row r="2288" spans="1:27" s="3" customFormat="1" x14ac:dyDescent="0.15">
      <c r="A2288" s="167"/>
      <c r="B2288" s="87"/>
      <c r="C2288" s="88"/>
      <c r="D2288" s="86"/>
      <c r="E2288" s="86"/>
      <c r="F2288" s="86"/>
      <c r="G2288" s="86"/>
      <c r="H2288" s="85"/>
      <c r="I2288" s="89"/>
      <c r="J2288" s="132"/>
      <c r="K2288" s="62"/>
      <c r="L2288" s="49"/>
      <c r="M2288" s="37"/>
      <c r="N2288" s="37"/>
      <c r="O2288" s="37"/>
      <c r="Y2288" s="4"/>
      <c r="Z2288"/>
      <c r="AA2288"/>
    </row>
    <row r="2289" spans="1:27" s="3" customFormat="1" x14ac:dyDescent="0.15">
      <c r="A2289" s="167"/>
      <c r="B2289" s="87"/>
      <c r="C2289" s="88"/>
      <c r="D2289" s="86"/>
      <c r="E2289" s="86"/>
      <c r="F2289" s="86"/>
      <c r="G2289" s="86"/>
      <c r="H2289" s="85"/>
      <c r="I2289" s="89"/>
      <c r="J2289" s="132"/>
      <c r="K2289" s="61"/>
      <c r="L2289" s="49"/>
      <c r="M2289" s="37"/>
      <c r="N2289" s="37"/>
      <c r="O2289" s="37"/>
      <c r="Y2289" s="4"/>
      <c r="Z2289"/>
      <c r="AA2289"/>
    </row>
    <row r="2290" spans="1:27" s="3" customFormat="1" x14ac:dyDescent="0.15">
      <c r="A2290" s="167"/>
      <c r="B2290" s="87"/>
      <c r="C2290" s="88"/>
      <c r="D2290" s="86"/>
      <c r="E2290" s="86"/>
      <c r="F2290" s="86"/>
      <c r="G2290" s="86"/>
      <c r="H2290" s="85"/>
      <c r="I2290" s="89"/>
      <c r="J2290" s="132"/>
      <c r="K2290" s="61"/>
      <c r="L2290" s="49"/>
      <c r="M2290" s="37"/>
      <c r="N2290" s="37"/>
      <c r="O2290" s="37"/>
      <c r="Y2290" s="4"/>
      <c r="Z2290"/>
      <c r="AA2290"/>
    </row>
    <row r="2291" spans="1:27" s="3" customFormat="1" x14ac:dyDescent="0.15">
      <c r="A2291" s="167"/>
      <c r="B2291" s="87"/>
      <c r="C2291" s="88"/>
      <c r="D2291" s="86"/>
      <c r="E2291" s="86"/>
      <c r="F2291" s="86"/>
      <c r="G2291" s="86"/>
      <c r="H2291" s="85"/>
      <c r="I2291" s="89"/>
      <c r="J2291" s="132"/>
      <c r="K2291" s="61"/>
      <c r="L2291" s="49"/>
      <c r="M2291" s="37"/>
      <c r="N2291" s="37"/>
      <c r="O2291" s="37"/>
      <c r="Y2291" s="4"/>
      <c r="Z2291"/>
      <c r="AA2291"/>
    </row>
    <row r="2292" spans="1:27" s="3" customFormat="1" x14ac:dyDescent="0.15">
      <c r="A2292" s="167"/>
      <c r="B2292" s="87"/>
      <c r="C2292" s="88"/>
      <c r="D2292" s="86"/>
      <c r="E2292" s="86"/>
      <c r="F2292" s="86"/>
      <c r="G2292" s="86"/>
      <c r="H2292" s="85"/>
      <c r="I2292" s="89"/>
      <c r="J2292" s="132"/>
      <c r="K2292" s="61"/>
      <c r="L2292" s="49"/>
      <c r="M2292" s="37"/>
      <c r="N2292" s="37"/>
      <c r="O2292" s="37"/>
      <c r="Y2292" s="4"/>
      <c r="Z2292"/>
      <c r="AA2292"/>
    </row>
    <row r="2293" spans="1:27" s="3" customFormat="1" x14ac:dyDescent="0.15">
      <c r="A2293" s="167"/>
      <c r="B2293" s="87"/>
      <c r="C2293" s="88"/>
      <c r="D2293" s="86"/>
      <c r="E2293" s="86"/>
      <c r="F2293" s="86"/>
      <c r="G2293" s="86"/>
      <c r="H2293" s="85"/>
      <c r="I2293" s="89"/>
      <c r="J2293" s="132"/>
      <c r="K2293" s="61"/>
      <c r="L2293" s="49"/>
      <c r="M2293" s="37"/>
      <c r="N2293" s="37"/>
      <c r="O2293" s="37"/>
      <c r="Y2293" s="4"/>
      <c r="Z2293"/>
      <c r="AA2293"/>
    </row>
    <row r="2294" spans="1:27" s="3" customFormat="1" x14ac:dyDescent="0.15">
      <c r="A2294" s="167"/>
      <c r="B2294" s="87"/>
      <c r="C2294" s="88"/>
      <c r="D2294" s="86"/>
      <c r="E2294" s="86"/>
      <c r="F2294" s="86"/>
      <c r="G2294" s="86"/>
      <c r="H2294" s="85"/>
      <c r="I2294" s="89"/>
      <c r="J2294" s="132"/>
      <c r="K2294" s="62"/>
      <c r="L2294" s="49"/>
      <c r="M2294" s="37"/>
      <c r="N2294" s="37"/>
      <c r="O2294" s="37"/>
      <c r="Y2294" s="4"/>
      <c r="Z2294"/>
      <c r="AA2294"/>
    </row>
    <row r="2295" spans="1:27" s="3" customFormat="1" x14ac:dyDescent="0.15">
      <c r="A2295" s="167"/>
      <c r="B2295" s="87"/>
      <c r="C2295" s="88"/>
      <c r="D2295" s="86"/>
      <c r="E2295" s="86"/>
      <c r="F2295" s="86"/>
      <c r="G2295" s="86"/>
      <c r="H2295" s="85"/>
      <c r="I2295" s="89"/>
      <c r="J2295" s="132"/>
      <c r="K2295" s="61"/>
      <c r="L2295" s="49"/>
      <c r="M2295" s="37"/>
      <c r="N2295" s="37"/>
      <c r="O2295" s="37"/>
      <c r="Y2295" s="4"/>
      <c r="Z2295"/>
      <c r="AA2295"/>
    </row>
    <row r="2296" spans="1:27" s="3" customFormat="1" x14ac:dyDescent="0.15">
      <c r="A2296" s="167"/>
      <c r="B2296" s="87"/>
      <c r="C2296" s="88"/>
      <c r="D2296" s="86"/>
      <c r="E2296" s="86"/>
      <c r="F2296" s="86"/>
      <c r="G2296" s="86"/>
      <c r="H2296" s="85"/>
      <c r="I2296" s="89"/>
      <c r="J2296" s="132"/>
      <c r="K2296" s="61"/>
      <c r="L2296" s="49"/>
      <c r="M2296" s="37"/>
      <c r="N2296" s="37"/>
      <c r="O2296" s="37"/>
      <c r="Y2296" s="4"/>
      <c r="Z2296"/>
      <c r="AA2296"/>
    </row>
    <row r="2297" spans="1:27" s="3" customFormat="1" x14ac:dyDescent="0.15">
      <c r="A2297" s="167"/>
      <c r="B2297" s="87"/>
      <c r="C2297" s="88"/>
      <c r="D2297" s="86"/>
      <c r="E2297" s="86"/>
      <c r="F2297" s="86"/>
      <c r="G2297" s="86"/>
      <c r="H2297" s="85"/>
      <c r="I2297" s="89"/>
      <c r="J2297" s="132"/>
      <c r="K2297" s="61"/>
      <c r="L2297" s="49"/>
      <c r="M2297" s="37"/>
      <c r="N2297" s="37"/>
      <c r="O2297" s="37"/>
      <c r="Y2297" s="4"/>
      <c r="Z2297"/>
      <c r="AA2297"/>
    </row>
    <row r="2298" spans="1:27" s="3" customFormat="1" x14ac:dyDescent="0.15">
      <c r="A2298" s="167"/>
      <c r="B2298" s="87"/>
      <c r="C2298" s="88"/>
      <c r="D2298" s="86"/>
      <c r="E2298" s="86"/>
      <c r="F2298" s="86"/>
      <c r="G2298" s="86"/>
      <c r="H2298" s="85"/>
      <c r="I2298" s="89"/>
      <c r="J2298" s="132"/>
      <c r="K2298" s="61"/>
      <c r="L2298" s="49"/>
      <c r="M2298" s="37"/>
      <c r="N2298" s="37"/>
      <c r="O2298" s="37"/>
      <c r="Y2298" s="4"/>
      <c r="Z2298"/>
      <c r="AA2298"/>
    </row>
    <row r="2299" spans="1:27" s="3" customFormat="1" x14ac:dyDescent="0.15">
      <c r="A2299" s="167"/>
      <c r="B2299" s="87"/>
      <c r="C2299" s="88"/>
      <c r="D2299" s="86"/>
      <c r="E2299" s="86"/>
      <c r="F2299" s="86"/>
      <c r="G2299" s="86"/>
      <c r="H2299" s="85"/>
      <c r="I2299" s="89"/>
      <c r="J2299" s="132"/>
      <c r="K2299" s="61"/>
      <c r="L2299" s="49"/>
      <c r="M2299" s="37"/>
      <c r="N2299" s="37"/>
      <c r="O2299" s="37"/>
      <c r="Y2299" s="4"/>
      <c r="Z2299"/>
      <c r="AA2299"/>
    </row>
    <row r="2300" spans="1:27" s="3" customFormat="1" x14ac:dyDescent="0.15">
      <c r="A2300" s="167"/>
      <c r="B2300" s="87"/>
      <c r="C2300" s="88"/>
      <c r="D2300" s="86"/>
      <c r="E2300" s="86"/>
      <c r="F2300" s="86"/>
      <c r="G2300" s="86"/>
      <c r="H2300" s="85"/>
      <c r="I2300" s="89"/>
      <c r="J2300" s="132"/>
      <c r="K2300" s="61"/>
      <c r="L2300" s="49"/>
      <c r="M2300" s="37"/>
      <c r="N2300" s="37"/>
      <c r="O2300" s="33"/>
      <c r="Y2300" s="4"/>
      <c r="Z2300"/>
      <c r="AA2300"/>
    </row>
    <row r="2301" spans="1:27" s="3" customFormat="1" x14ac:dyDescent="0.15">
      <c r="A2301" s="167"/>
      <c r="B2301" s="87"/>
      <c r="C2301" s="88"/>
      <c r="D2301" s="86"/>
      <c r="E2301" s="86"/>
      <c r="F2301" s="86"/>
      <c r="G2301" s="86"/>
      <c r="H2301" s="85"/>
      <c r="I2301" s="89"/>
      <c r="J2301" s="132"/>
      <c r="K2301" s="61"/>
      <c r="L2301" s="49"/>
      <c r="M2301" s="37"/>
      <c r="N2301" s="37"/>
      <c r="O2301" s="37"/>
      <c r="Y2301" s="4"/>
      <c r="Z2301"/>
      <c r="AA2301"/>
    </row>
    <row r="2302" spans="1:27" s="3" customFormat="1" x14ac:dyDescent="0.15">
      <c r="A2302" s="167"/>
      <c r="B2302" s="87"/>
      <c r="C2302" s="88"/>
      <c r="D2302" s="86"/>
      <c r="E2302" s="86"/>
      <c r="F2302" s="86"/>
      <c r="G2302" s="86"/>
      <c r="H2302" s="85"/>
      <c r="I2302" s="89"/>
      <c r="J2302" s="132"/>
      <c r="K2302" s="61"/>
      <c r="L2302" s="49"/>
      <c r="M2302" s="37"/>
      <c r="N2302" s="37"/>
      <c r="O2302" s="37"/>
      <c r="Y2302" s="4"/>
      <c r="Z2302"/>
      <c r="AA2302"/>
    </row>
    <row r="2303" spans="1:27" s="49" customFormat="1" x14ac:dyDescent="0.15">
      <c r="A2303" s="167"/>
      <c r="B2303" s="87"/>
      <c r="C2303" s="88"/>
      <c r="D2303" s="86"/>
      <c r="E2303" s="86"/>
      <c r="F2303" s="86"/>
      <c r="G2303" s="86"/>
      <c r="H2303" s="85"/>
      <c r="I2303" s="89"/>
      <c r="J2303" s="132"/>
      <c r="K2303" s="61"/>
      <c r="M2303" s="37"/>
      <c r="N2303" s="37"/>
      <c r="O2303" s="37"/>
      <c r="P2303" s="3"/>
      <c r="Q2303" s="3"/>
      <c r="R2303" s="3"/>
      <c r="S2303" s="3"/>
      <c r="T2303" s="3"/>
      <c r="U2303" s="3"/>
      <c r="V2303" s="3"/>
      <c r="W2303" s="3"/>
      <c r="X2303" s="3"/>
      <c r="Y2303" s="4"/>
      <c r="Z2303"/>
      <c r="AA2303"/>
    </row>
    <row r="2304" spans="1:27" s="49" customFormat="1" x14ac:dyDescent="0.15">
      <c r="A2304" s="167"/>
      <c r="B2304" s="87"/>
      <c r="C2304" s="88"/>
      <c r="D2304" s="86"/>
      <c r="E2304" s="86"/>
      <c r="F2304" s="86"/>
      <c r="G2304" s="86"/>
      <c r="H2304" s="85"/>
      <c r="I2304" s="89"/>
      <c r="J2304" s="132"/>
      <c r="K2304" s="61"/>
      <c r="M2304" s="37"/>
      <c r="N2304" s="37"/>
      <c r="O2304" s="37"/>
      <c r="P2304" s="3"/>
      <c r="Q2304" s="3"/>
      <c r="R2304" s="3"/>
      <c r="S2304" s="3"/>
      <c r="T2304" s="3"/>
      <c r="U2304" s="3"/>
      <c r="V2304" s="3"/>
      <c r="W2304" s="3"/>
      <c r="X2304" s="3"/>
      <c r="Y2304" s="4"/>
      <c r="Z2304"/>
      <c r="AA2304"/>
    </row>
    <row r="2305" spans="1:27" s="49" customFormat="1" x14ac:dyDescent="0.15">
      <c r="A2305" s="167"/>
      <c r="B2305" s="87"/>
      <c r="C2305" s="88"/>
      <c r="D2305" s="86"/>
      <c r="E2305" s="86"/>
      <c r="F2305" s="86"/>
      <c r="G2305" s="86"/>
      <c r="H2305" s="85"/>
      <c r="I2305" s="89"/>
      <c r="J2305" s="132"/>
      <c r="K2305" s="61"/>
      <c r="M2305" s="37"/>
      <c r="N2305" s="37"/>
      <c r="O2305" s="37"/>
      <c r="P2305" s="3"/>
      <c r="Q2305" s="3"/>
      <c r="R2305" s="3"/>
      <c r="S2305" s="3"/>
      <c r="T2305" s="3"/>
      <c r="U2305" s="3"/>
      <c r="V2305" s="3"/>
      <c r="W2305" s="3"/>
      <c r="X2305" s="3"/>
      <c r="Y2305" s="4"/>
      <c r="Z2305"/>
      <c r="AA2305"/>
    </row>
    <row r="2306" spans="1:27" s="49" customFormat="1" x14ac:dyDescent="0.15">
      <c r="A2306" s="167"/>
      <c r="B2306" s="87"/>
      <c r="C2306" s="88"/>
      <c r="D2306" s="86"/>
      <c r="E2306" s="86"/>
      <c r="F2306" s="86"/>
      <c r="G2306" s="86"/>
      <c r="H2306" s="85"/>
      <c r="I2306" s="89"/>
      <c r="J2306" s="132"/>
      <c r="K2306" s="61"/>
      <c r="M2306" s="37"/>
      <c r="N2306" s="37"/>
      <c r="O2306" s="37"/>
      <c r="P2306" s="3"/>
      <c r="Q2306" s="3"/>
      <c r="R2306" s="3"/>
      <c r="S2306" s="3"/>
      <c r="T2306" s="3"/>
      <c r="U2306" s="3"/>
      <c r="V2306" s="3"/>
      <c r="W2306" s="3"/>
      <c r="X2306" s="3"/>
      <c r="Y2306" s="4"/>
      <c r="Z2306"/>
      <c r="AA2306"/>
    </row>
    <row r="2307" spans="1:27" s="49" customFormat="1" x14ac:dyDescent="0.15">
      <c r="A2307" s="167"/>
      <c r="B2307" s="87"/>
      <c r="C2307" s="88"/>
      <c r="D2307" s="86"/>
      <c r="E2307" s="86"/>
      <c r="F2307" s="86"/>
      <c r="G2307" s="86"/>
      <c r="H2307" s="85"/>
      <c r="I2307" s="89"/>
      <c r="J2307" s="132"/>
      <c r="K2307" s="61"/>
      <c r="M2307" s="37"/>
      <c r="N2307" s="37"/>
      <c r="O2307" s="37"/>
      <c r="P2307" s="3"/>
      <c r="Q2307" s="3"/>
      <c r="R2307" s="3"/>
      <c r="S2307" s="3"/>
      <c r="T2307" s="3"/>
      <c r="U2307" s="3"/>
      <c r="V2307" s="3"/>
      <c r="W2307" s="3"/>
      <c r="X2307" s="3"/>
      <c r="Y2307" s="4"/>
      <c r="Z2307"/>
      <c r="AA2307"/>
    </row>
    <row r="2308" spans="1:27" s="49" customFormat="1" x14ac:dyDescent="0.15">
      <c r="A2308" s="167"/>
      <c r="B2308" s="87"/>
      <c r="C2308" s="88"/>
      <c r="D2308" s="86"/>
      <c r="E2308" s="86"/>
      <c r="F2308" s="86"/>
      <c r="G2308" s="86"/>
      <c r="H2308" s="85"/>
      <c r="I2308" s="89"/>
      <c r="J2308" s="132"/>
      <c r="K2308" s="61"/>
      <c r="M2308" s="37"/>
      <c r="N2308" s="37"/>
      <c r="O2308" s="37"/>
      <c r="P2308" s="3"/>
      <c r="Q2308" s="3"/>
      <c r="R2308" s="3"/>
      <c r="S2308" s="3"/>
      <c r="T2308" s="3"/>
      <c r="U2308" s="3"/>
      <c r="V2308" s="3"/>
      <c r="W2308" s="3"/>
      <c r="X2308" s="3"/>
      <c r="Y2308" s="4"/>
      <c r="Z2308"/>
      <c r="AA2308"/>
    </row>
    <row r="2309" spans="1:27" s="49" customFormat="1" x14ac:dyDescent="0.15">
      <c r="A2309" s="167"/>
      <c r="B2309" s="87"/>
      <c r="C2309" s="88"/>
      <c r="D2309" s="86"/>
      <c r="E2309" s="86"/>
      <c r="F2309" s="86"/>
      <c r="G2309" s="86"/>
      <c r="H2309" s="85"/>
      <c r="I2309" s="89"/>
      <c r="J2309" s="132"/>
      <c r="K2309" s="61"/>
      <c r="M2309" s="37"/>
      <c r="N2309" s="37"/>
      <c r="O2309" s="37"/>
      <c r="P2309" s="3"/>
      <c r="Q2309" s="3"/>
      <c r="R2309" s="3"/>
      <c r="S2309" s="3"/>
      <c r="T2309" s="3"/>
      <c r="U2309" s="3"/>
      <c r="V2309" s="3"/>
      <c r="W2309" s="3"/>
      <c r="X2309" s="3"/>
      <c r="Y2309" s="4"/>
      <c r="Z2309"/>
      <c r="AA2309"/>
    </row>
    <row r="2310" spans="1:27" s="49" customFormat="1" x14ac:dyDescent="0.15">
      <c r="A2310" s="167"/>
      <c r="B2310" s="87"/>
      <c r="C2310" s="88"/>
      <c r="D2310" s="86"/>
      <c r="E2310" s="86"/>
      <c r="F2310" s="86"/>
      <c r="G2310" s="86"/>
      <c r="H2310" s="85"/>
      <c r="I2310" s="89"/>
      <c r="J2310" s="132"/>
      <c r="K2310" s="61"/>
      <c r="M2310" s="37"/>
      <c r="N2310" s="37"/>
      <c r="O2310" s="37"/>
      <c r="P2310" s="3"/>
      <c r="Q2310" s="3"/>
      <c r="R2310" s="3"/>
      <c r="S2310" s="3"/>
      <c r="T2310" s="3"/>
      <c r="U2310" s="3"/>
      <c r="V2310" s="3"/>
      <c r="W2310" s="3"/>
      <c r="X2310" s="3"/>
      <c r="Y2310" s="4"/>
      <c r="Z2310"/>
      <c r="AA2310"/>
    </row>
    <row r="2311" spans="1:27" s="49" customFormat="1" x14ac:dyDescent="0.15">
      <c r="A2311" s="167"/>
      <c r="B2311" s="87"/>
      <c r="C2311" s="88"/>
      <c r="D2311" s="86"/>
      <c r="E2311" s="86"/>
      <c r="F2311" s="86"/>
      <c r="G2311" s="86"/>
      <c r="H2311" s="85"/>
      <c r="I2311" s="89"/>
      <c r="J2311" s="132"/>
      <c r="K2311" s="61"/>
      <c r="M2311" s="37"/>
      <c r="N2311" s="37"/>
      <c r="O2311" s="37"/>
      <c r="P2311" s="3"/>
      <c r="Q2311" s="3"/>
      <c r="R2311" s="3"/>
      <c r="S2311" s="3"/>
      <c r="T2311" s="3"/>
      <c r="U2311" s="3"/>
      <c r="V2311" s="3"/>
      <c r="W2311" s="3"/>
      <c r="X2311" s="3"/>
      <c r="Y2311" s="4"/>
      <c r="Z2311"/>
      <c r="AA2311"/>
    </row>
    <row r="2312" spans="1:27" s="49" customFormat="1" x14ac:dyDescent="0.15">
      <c r="A2312" s="167"/>
      <c r="B2312" s="87"/>
      <c r="C2312" s="88"/>
      <c r="D2312" s="86"/>
      <c r="E2312" s="86"/>
      <c r="F2312" s="86"/>
      <c r="G2312" s="86"/>
      <c r="H2312" s="85"/>
      <c r="I2312" s="89"/>
      <c r="J2312" s="132"/>
      <c r="K2312" s="61"/>
      <c r="M2312" s="37"/>
      <c r="N2312" s="37"/>
      <c r="O2312" s="37"/>
      <c r="P2312" s="3"/>
      <c r="Q2312" s="3"/>
      <c r="R2312" s="3"/>
      <c r="S2312" s="3"/>
      <c r="T2312" s="3"/>
      <c r="U2312" s="3"/>
      <c r="V2312" s="3"/>
      <c r="W2312" s="3"/>
      <c r="X2312" s="3"/>
      <c r="Y2312" s="4"/>
      <c r="Z2312"/>
      <c r="AA2312"/>
    </row>
    <row r="2313" spans="1:27" s="49" customFormat="1" x14ac:dyDescent="0.15">
      <c r="A2313" s="167"/>
      <c r="B2313" s="87"/>
      <c r="C2313" s="88"/>
      <c r="D2313" s="86"/>
      <c r="E2313" s="86"/>
      <c r="F2313" s="86"/>
      <c r="G2313" s="86"/>
      <c r="H2313" s="85"/>
      <c r="I2313" s="89"/>
      <c r="J2313" s="132"/>
      <c r="K2313" s="61"/>
      <c r="M2313" s="37"/>
      <c r="N2313" s="37"/>
      <c r="O2313" s="37"/>
      <c r="P2313" s="3"/>
      <c r="Q2313" s="3"/>
      <c r="R2313" s="3"/>
      <c r="S2313" s="3"/>
      <c r="T2313" s="3"/>
      <c r="U2313" s="3"/>
      <c r="V2313" s="3"/>
      <c r="W2313" s="3"/>
      <c r="X2313" s="3"/>
      <c r="Y2313" s="4"/>
      <c r="Z2313"/>
      <c r="AA2313"/>
    </row>
    <row r="2314" spans="1:27" s="49" customFormat="1" x14ac:dyDescent="0.15">
      <c r="A2314" s="167"/>
      <c r="B2314" s="87"/>
      <c r="C2314" s="88"/>
      <c r="D2314" s="86"/>
      <c r="E2314" s="86"/>
      <c r="F2314" s="86"/>
      <c r="G2314" s="86"/>
      <c r="H2314" s="85"/>
      <c r="I2314" s="89"/>
      <c r="J2314" s="132"/>
      <c r="K2314" s="61"/>
      <c r="M2314" s="37"/>
      <c r="N2314" s="37"/>
      <c r="O2314" s="37"/>
      <c r="P2314" s="3"/>
      <c r="Q2314" s="3"/>
      <c r="R2314" s="3"/>
      <c r="S2314" s="3"/>
      <c r="T2314" s="3"/>
      <c r="U2314" s="3"/>
      <c r="V2314" s="3"/>
      <c r="W2314" s="3"/>
      <c r="X2314" s="3"/>
      <c r="Y2314" s="4"/>
      <c r="Z2314"/>
      <c r="AA2314"/>
    </row>
    <row r="2315" spans="1:27" s="49" customFormat="1" x14ac:dyDescent="0.15">
      <c r="A2315" s="167"/>
      <c r="B2315" s="87"/>
      <c r="C2315" s="88"/>
      <c r="D2315" s="86"/>
      <c r="E2315" s="86"/>
      <c r="F2315" s="86"/>
      <c r="G2315" s="86"/>
      <c r="H2315" s="85"/>
      <c r="I2315" s="89"/>
      <c r="J2315" s="132"/>
      <c r="K2315" s="61"/>
      <c r="M2315" s="37"/>
      <c r="N2315" s="37"/>
      <c r="O2315" s="37"/>
      <c r="P2315" s="3"/>
      <c r="Q2315" s="3"/>
      <c r="R2315" s="3"/>
      <c r="S2315" s="3"/>
      <c r="T2315" s="3"/>
      <c r="U2315" s="3"/>
      <c r="V2315" s="3"/>
      <c r="W2315" s="3"/>
      <c r="X2315" s="3"/>
      <c r="Y2315" s="4"/>
      <c r="Z2315"/>
      <c r="AA2315"/>
    </row>
    <row r="2316" spans="1:27" s="49" customFormat="1" x14ac:dyDescent="0.15">
      <c r="A2316" s="167"/>
      <c r="B2316" s="87"/>
      <c r="C2316" s="88"/>
      <c r="D2316" s="86"/>
      <c r="E2316" s="86"/>
      <c r="F2316" s="86"/>
      <c r="G2316" s="86"/>
      <c r="H2316" s="85"/>
      <c r="I2316" s="89"/>
      <c r="J2316" s="132"/>
      <c r="K2316" s="61"/>
      <c r="M2316" s="37"/>
      <c r="N2316" s="37"/>
      <c r="O2316" s="37"/>
      <c r="P2316" s="3"/>
      <c r="Q2316" s="3"/>
      <c r="R2316" s="3"/>
      <c r="S2316" s="3"/>
      <c r="T2316" s="3"/>
      <c r="U2316" s="3"/>
      <c r="V2316" s="3"/>
      <c r="W2316" s="3"/>
      <c r="X2316" s="3"/>
      <c r="Y2316" s="4"/>
      <c r="Z2316"/>
      <c r="AA2316"/>
    </row>
    <row r="2317" spans="1:27" s="49" customFormat="1" x14ac:dyDescent="0.15">
      <c r="A2317" s="167"/>
      <c r="B2317" s="87"/>
      <c r="C2317" s="88"/>
      <c r="D2317" s="86"/>
      <c r="E2317" s="86"/>
      <c r="F2317" s="86"/>
      <c r="G2317" s="86"/>
      <c r="H2317" s="85"/>
      <c r="I2317" s="89"/>
      <c r="J2317" s="132"/>
      <c r="K2317" s="61"/>
      <c r="M2317" s="37"/>
      <c r="N2317" s="37"/>
      <c r="O2317" s="37"/>
      <c r="P2317" s="3"/>
      <c r="Q2317" s="3"/>
      <c r="R2317" s="3"/>
      <c r="S2317" s="3"/>
      <c r="T2317" s="3"/>
      <c r="U2317" s="3"/>
      <c r="V2317" s="3"/>
      <c r="W2317" s="3"/>
      <c r="X2317" s="3"/>
      <c r="Y2317" s="4"/>
      <c r="Z2317"/>
      <c r="AA2317"/>
    </row>
    <row r="2318" spans="1:27" s="49" customFormat="1" x14ac:dyDescent="0.15">
      <c r="A2318" s="167"/>
      <c r="B2318" s="87"/>
      <c r="C2318" s="88"/>
      <c r="D2318" s="86"/>
      <c r="E2318" s="86"/>
      <c r="F2318" s="86"/>
      <c r="G2318" s="86"/>
      <c r="H2318" s="85"/>
      <c r="I2318" s="89"/>
      <c r="J2318" s="132"/>
      <c r="K2318" s="61"/>
      <c r="M2318" s="37"/>
      <c r="N2318" s="37"/>
      <c r="O2318" s="37"/>
      <c r="P2318" s="3"/>
      <c r="Q2318" s="3"/>
      <c r="R2318" s="3"/>
      <c r="S2318" s="3"/>
      <c r="T2318" s="3"/>
      <c r="U2318" s="3"/>
      <c r="V2318" s="3"/>
      <c r="W2318" s="3"/>
      <c r="X2318" s="3"/>
      <c r="Y2318" s="4"/>
      <c r="Z2318"/>
      <c r="AA2318"/>
    </row>
    <row r="2319" spans="1:27" x14ac:dyDescent="0.15">
      <c r="A2319" s="167"/>
      <c r="B2319" s="87"/>
      <c r="C2319" s="88"/>
      <c r="D2319" s="86"/>
      <c r="E2319" s="86"/>
      <c r="F2319" s="86"/>
      <c r="G2319" s="86"/>
      <c r="H2319" s="85"/>
      <c r="I2319" s="89"/>
      <c r="J2319" s="132"/>
      <c r="K2319" s="61"/>
    </row>
    <row r="2320" spans="1:27" x14ac:dyDescent="0.15">
      <c r="A2320" s="167"/>
      <c r="B2320" s="87"/>
      <c r="C2320" s="88"/>
      <c r="D2320" s="86"/>
      <c r="E2320" s="86"/>
      <c r="F2320" s="86"/>
      <c r="G2320" s="86"/>
      <c r="H2320" s="85"/>
      <c r="I2320" s="89"/>
      <c r="J2320" s="132"/>
      <c r="K2320" s="61"/>
    </row>
    <row r="2321" spans="1:27" x14ac:dyDescent="0.15">
      <c r="A2321" s="167"/>
      <c r="B2321" s="87"/>
      <c r="C2321" s="88"/>
      <c r="D2321" s="86"/>
      <c r="E2321" s="86"/>
      <c r="F2321" s="86"/>
      <c r="G2321" s="86"/>
      <c r="H2321" s="85"/>
      <c r="I2321" s="89"/>
      <c r="J2321" s="132"/>
      <c r="K2321" s="61"/>
    </row>
    <row r="2322" spans="1:27" x14ac:dyDescent="0.15">
      <c r="A2322" s="167"/>
      <c r="B2322" s="87"/>
      <c r="C2322" s="88"/>
      <c r="D2322" s="86"/>
      <c r="E2322" s="86"/>
      <c r="F2322" s="86"/>
      <c r="G2322" s="86"/>
      <c r="H2322" s="85"/>
      <c r="I2322" s="89"/>
      <c r="J2322" s="132"/>
      <c r="K2322" s="62"/>
      <c r="R2322"/>
      <c r="S2322"/>
      <c r="T2322"/>
      <c r="U2322"/>
      <c r="V2322"/>
      <c r="W2322"/>
      <c r="X2322"/>
      <c r="Y2322"/>
    </row>
    <row r="2323" spans="1:27" x14ac:dyDescent="0.15">
      <c r="A2323" s="167"/>
      <c r="B2323" s="87"/>
      <c r="C2323" s="88"/>
      <c r="D2323" s="86"/>
      <c r="E2323" s="86"/>
      <c r="F2323" s="86"/>
      <c r="G2323" s="86"/>
      <c r="H2323" s="85"/>
      <c r="I2323" s="89"/>
      <c r="J2323" s="132"/>
      <c r="K2323" s="62"/>
      <c r="R2323"/>
      <c r="S2323"/>
      <c r="T2323"/>
      <c r="U2323"/>
      <c r="V2323"/>
      <c r="W2323"/>
      <c r="X2323"/>
      <c r="Y2323"/>
    </row>
    <row r="2324" spans="1:27" x14ac:dyDescent="0.15">
      <c r="A2324" s="167"/>
      <c r="B2324" s="87"/>
      <c r="C2324" s="88"/>
      <c r="D2324" s="86"/>
      <c r="E2324" s="86"/>
      <c r="F2324" s="86"/>
      <c r="G2324" s="86"/>
      <c r="H2324" s="85"/>
      <c r="I2324" s="89"/>
      <c r="J2324" s="132"/>
      <c r="K2324" s="61"/>
    </row>
    <row r="2325" spans="1:27" x14ac:dyDescent="0.15">
      <c r="A2325" s="167"/>
      <c r="B2325" s="87"/>
      <c r="C2325" s="88"/>
      <c r="D2325" s="86"/>
      <c r="E2325" s="86"/>
      <c r="F2325" s="86"/>
      <c r="G2325" s="86"/>
      <c r="H2325" s="85"/>
      <c r="I2325" s="89"/>
      <c r="J2325" s="132"/>
      <c r="K2325" s="62"/>
    </row>
    <row r="2326" spans="1:27" x14ac:dyDescent="0.15">
      <c r="A2326" s="167"/>
      <c r="B2326" s="87"/>
      <c r="C2326" s="88"/>
      <c r="D2326" s="86"/>
      <c r="E2326" s="86"/>
      <c r="F2326" s="86"/>
      <c r="G2326" s="86"/>
      <c r="H2326" s="85"/>
      <c r="I2326" s="89"/>
      <c r="J2326" s="132"/>
      <c r="K2326" s="62"/>
    </row>
    <row r="2327" spans="1:27" ht="16" x14ac:dyDescent="0.2">
      <c r="A2327" s="227"/>
      <c r="B2327" s="93"/>
      <c r="C2327" s="62"/>
      <c r="D2327" s="62"/>
      <c r="E2327" s="62"/>
      <c r="F2327" s="70"/>
      <c r="G2327" s="70"/>
      <c r="H2327" s="85"/>
      <c r="I2327" s="85"/>
      <c r="J2327" s="131"/>
      <c r="K2327" s="61"/>
      <c r="L2327" s="35"/>
      <c r="M2327" s="48"/>
    </row>
    <row r="2328" spans="1:27" x14ac:dyDescent="0.15">
      <c r="A2328" s="227"/>
      <c r="B2328" s="93"/>
      <c r="C2328" s="62"/>
      <c r="D2328" s="62"/>
      <c r="E2328" s="62"/>
      <c r="F2328" s="70"/>
      <c r="G2328" s="70"/>
      <c r="H2328" s="85"/>
      <c r="I2328" s="85"/>
      <c r="J2328" s="131"/>
      <c r="K2328" s="61"/>
      <c r="L2328" s="35"/>
    </row>
    <row r="2329" spans="1:27" x14ac:dyDescent="0.15">
      <c r="A2329" s="227"/>
      <c r="B2329" s="93"/>
      <c r="C2329" s="62"/>
      <c r="D2329" s="62"/>
      <c r="E2329" s="62"/>
      <c r="F2329" s="70"/>
      <c r="G2329" s="70"/>
      <c r="H2329" s="85"/>
      <c r="I2329" s="85"/>
      <c r="J2329" s="131"/>
      <c r="K2329" s="61"/>
      <c r="L2329" s="35"/>
    </row>
    <row r="2330" spans="1:27" x14ac:dyDescent="0.15">
      <c r="A2330" s="227"/>
      <c r="B2330" s="93"/>
      <c r="C2330" s="62"/>
      <c r="D2330" s="62"/>
      <c r="E2330" s="62"/>
      <c r="F2330" s="70"/>
      <c r="G2330" s="70"/>
      <c r="H2330" s="85"/>
      <c r="I2330" s="85"/>
      <c r="J2330" s="131"/>
      <c r="K2330" s="61"/>
      <c r="L2330" s="35"/>
    </row>
    <row r="2331" spans="1:27" x14ac:dyDescent="0.15">
      <c r="A2331" s="167"/>
      <c r="B2331" s="93"/>
      <c r="C2331" s="70"/>
      <c r="D2331" s="70"/>
      <c r="E2331" s="70"/>
      <c r="F2331" s="70"/>
      <c r="G2331" s="70"/>
      <c r="H2331" s="85"/>
      <c r="I2331" s="85"/>
      <c r="J2331" s="131"/>
      <c r="K2331" s="61"/>
      <c r="L2331" s="35"/>
    </row>
    <row r="2332" spans="1:27" x14ac:dyDescent="0.15">
      <c r="A2332" s="167"/>
      <c r="B2332" s="93"/>
      <c r="C2332" s="70"/>
      <c r="D2332" s="70"/>
      <c r="E2332" s="70"/>
      <c r="F2332" s="70"/>
      <c r="G2332" s="70"/>
      <c r="H2332" s="85"/>
      <c r="I2332" s="85"/>
      <c r="J2332" s="131"/>
      <c r="K2332" s="61"/>
      <c r="L2332" s="35"/>
    </row>
    <row r="2333" spans="1:27" x14ac:dyDescent="0.15">
      <c r="A2333" s="227"/>
      <c r="B2333" s="93"/>
      <c r="C2333" s="62"/>
      <c r="D2333" s="62"/>
      <c r="E2333" s="62"/>
      <c r="F2333" s="70"/>
      <c r="G2333" s="70"/>
      <c r="H2333" s="85"/>
      <c r="I2333" s="85"/>
      <c r="J2333" s="131"/>
      <c r="K2333" s="61"/>
      <c r="L2333" s="35"/>
    </row>
    <row r="2334" spans="1:27" x14ac:dyDescent="0.15">
      <c r="A2334" s="227"/>
      <c r="B2334" s="93"/>
      <c r="C2334" s="62"/>
      <c r="D2334" s="62"/>
      <c r="E2334" s="62"/>
      <c r="F2334" s="70"/>
      <c r="G2334" s="70"/>
      <c r="H2334" s="85"/>
      <c r="I2334" s="98"/>
      <c r="J2334" s="131"/>
      <c r="K2334" s="61"/>
      <c r="L2334" s="35"/>
    </row>
    <row r="2335" spans="1:27" s="37" customFormat="1" x14ac:dyDescent="0.15">
      <c r="A2335" s="227"/>
      <c r="B2335" s="93"/>
      <c r="C2335" s="62"/>
      <c r="D2335" s="62"/>
      <c r="E2335" s="62"/>
      <c r="F2335" s="70"/>
      <c r="G2335" s="70"/>
      <c r="H2335" s="85"/>
      <c r="I2335" s="85"/>
      <c r="J2335" s="131"/>
      <c r="K2335" s="61"/>
      <c r="L2335" s="35"/>
      <c r="P2335" s="3"/>
      <c r="Q2335" s="3"/>
      <c r="R2335" s="3"/>
      <c r="S2335" s="3"/>
      <c r="T2335" s="3"/>
      <c r="U2335" s="3"/>
      <c r="V2335" s="3"/>
      <c r="W2335" s="3"/>
      <c r="X2335" s="3"/>
      <c r="Y2335" s="4"/>
      <c r="Z2335"/>
      <c r="AA2335"/>
    </row>
    <row r="2336" spans="1:27" s="37" customFormat="1" x14ac:dyDescent="0.15">
      <c r="A2336" s="166"/>
      <c r="B2336" s="82"/>
      <c r="C2336" s="70"/>
      <c r="D2336" s="70"/>
      <c r="E2336" s="70"/>
      <c r="F2336" s="70"/>
      <c r="G2336" s="70"/>
      <c r="H2336" s="85"/>
      <c r="I2336" s="85"/>
      <c r="J2336" s="131"/>
      <c r="K2336" s="60"/>
      <c r="L2336" s="49"/>
      <c r="P2336" s="3"/>
      <c r="Q2336" s="3"/>
      <c r="R2336" s="3"/>
      <c r="S2336" s="3"/>
      <c r="T2336" s="3"/>
      <c r="U2336" s="3"/>
      <c r="V2336" s="3"/>
      <c r="W2336" s="3"/>
      <c r="X2336" s="3"/>
      <c r="Y2336" s="4"/>
      <c r="Z2336"/>
      <c r="AA2336"/>
    </row>
    <row r="2337" spans="1:27" s="37" customFormat="1" x14ac:dyDescent="0.15">
      <c r="A2337" s="166"/>
      <c r="B2337" s="82"/>
      <c r="C2337" s="70"/>
      <c r="D2337" s="70"/>
      <c r="E2337" s="70"/>
      <c r="F2337" s="70"/>
      <c r="G2337" s="70"/>
      <c r="H2337" s="85"/>
      <c r="I2337" s="85"/>
      <c r="J2337" s="131"/>
      <c r="K2337" s="60"/>
      <c r="L2337" s="49"/>
      <c r="P2337" s="3"/>
      <c r="Q2337" s="3"/>
      <c r="R2337" s="3"/>
      <c r="S2337" s="3"/>
      <c r="T2337" s="3"/>
      <c r="U2337" s="3"/>
      <c r="V2337" s="3"/>
      <c r="W2337" s="3"/>
      <c r="X2337" s="3"/>
      <c r="Y2337" s="4"/>
      <c r="Z2337"/>
      <c r="AA2337"/>
    </row>
    <row r="2338" spans="1:27" s="37" customFormat="1" x14ac:dyDescent="0.15">
      <c r="A2338" s="166"/>
      <c r="B2338" s="82"/>
      <c r="C2338" s="70"/>
      <c r="D2338" s="70"/>
      <c r="E2338" s="70"/>
      <c r="F2338" s="70"/>
      <c r="G2338" s="70"/>
      <c r="H2338" s="85"/>
      <c r="I2338" s="85"/>
      <c r="J2338" s="131"/>
      <c r="K2338" s="60"/>
      <c r="L2338" s="49"/>
      <c r="P2338" s="3"/>
      <c r="Q2338" s="3"/>
      <c r="R2338" s="3"/>
      <c r="S2338" s="3"/>
      <c r="T2338" s="3"/>
      <c r="U2338" s="3"/>
      <c r="V2338" s="3"/>
      <c r="W2338" s="3"/>
      <c r="X2338" s="3"/>
      <c r="Y2338" s="4"/>
      <c r="Z2338"/>
      <c r="AA2338"/>
    </row>
    <row r="2339" spans="1:27" s="37" customFormat="1" x14ac:dyDescent="0.15">
      <c r="A2339" s="166"/>
      <c r="B2339" s="82"/>
      <c r="C2339" s="70"/>
      <c r="D2339" s="70"/>
      <c r="E2339" s="70"/>
      <c r="F2339" s="70"/>
      <c r="G2339" s="70"/>
      <c r="H2339" s="85"/>
      <c r="I2339" s="85"/>
      <c r="J2339" s="131"/>
      <c r="K2339" s="60"/>
      <c r="L2339" s="49"/>
      <c r="P2339" s="3"/>
      <c r="Q2339" s="3"/>
      <c r="R2339" s="3"/>
      <c r="S2339" s="3"/>
      <c r="T2339" s="3"/>
      <c r="U2339" s="3"/>
      <c r="V2339" s="3"/>
      <c r="W2339" s="3"/>
      <c r="X2339" s="3"/>
      <c r="Y2339" s="4"/>
      <c r="Z2339"/>
      <c r="AA2339"/>
    </row>
    <row r="2340" spans="1:27" s="37" customFormat="1" x14ac:dyDescent="0.15">
      <c r="A2340" s="166"/>
      <c r="B2340" s="82"/>
      <c r="C2340" s="70"/>
      <c r="D2340" s="70"/>
      <c r="E2340" s="70"/>
      <c r="F2340" s="70"/>
      <c r="G2340" s="70"/>
      <c r="H2340" s="85"/>
      <c r="I2340" s="85"/>
      <c r="J2340" s="131"/>
      <c r="K2340" s="60"/>
      <c r="L2340" s="49"/>
      <c r="P2340" s="3"/>
      <c r="Q2340" s="3"/>
      <c r="R2340" s="3"/>
      <c r="S2340" s="3"/>
      <c r="T2340" s="3"/>
      <c r="U2340" s="3"/>
      <c r="V2340" s="3"/>
      <c r="W2340" s="3"/>
      <c r="X2340" s="3"/>
      <c r="Y2340" s="4"/>
      <c r="Z2340"/>
      <c r="AA2340"/>
    </row>
    <row r="2341" spans="1:27" s="37" customFormat="1" x14ac:dyDescent="0.15">
      <c r="A2341" s="166"/>
      <c r="B2341" s="82"/>
      <c r="C2341" s="70"/>
      <c r="D2341" s="70"/>
      <c r="E2341" s="70"/>
      <c r="F2341" s="70"/>
      <c r="G2341" s="70"/>
      <c r="H2341" s="85"/>
      <c r="I2341" s="85"/>
      <c r="J2341" s="131"/>
      <c r="K2341" s="60"/>
      <c r="L2341" s="49"/>
      <c r="P2341" s="3"/>
      <c r="Q2341" s="3"/>
      <c r="R2341" s="3"/>
      <c r="S2341" s="3"/>
      <c r="T2341" s="3"/>
      <c r="U2341" s="3"/>
      <c r="V2341" s="3"/>
      <c r="W2341" s="3"/>
      <c r="X2341" s="3"/>
      <c r="Y2341" s="4"/>
      <c r="Z2341"/>
      <c r="AA2341"/>
    </row>
    <row r="2342" spans="1:27" s="37" customFormat="1" x14ac:dyDescent="0.15">
      <c r="A2342" s="166"/>
      <c r="B2342" s="82"/>
      <c r="C2342" s="70"/>
      <c r="D2342" s="70"/>
      <c r="E2342" s="70"/>
      <c r="F2342" s="70"/>
      <c r="G2342" s="70"/>
      <c r="H2342" s="85"/>
      <c r="I2342" s="85"/>
      <c r="J2342" s="131"/>
      <c r="K2342" s="60"/>
      <c r="L2342" s="49"/>
      <c r="P2342" s="3"/>
      <c r="Q2342" s="3"/>
      <c r="R2342" s="3"/>
      <c r="S2342" s="3"/>
      <c r="T2342" s="3"/>
      <c r="U2342" s="3"/>
      <c r="V2342" s="3"/>
      <c r="W2342" s="3"/>
      <c r="X2342" s="3"/>
      <c r="Y2342" s="4"/>
      <c r="Z2342"/>
      <c r="AA2342"/>
    </row>
    <row r="2343" spans="1:27" s="37" customFormat="1" x14ac:dyDescent="0.15">
      <c r="A2343" s="166"/>
      <c r="B2343" s="82"/>
      <c r="C2343" s="70"/>
      <c r="D2343" s="70"/>
      <c r="E2343" s="70"/>
      <c r="F2343" s="70"/>
      <c r="G2343" s="70"/>
      <c r="H2343" s="85"/>
      <c r="I2343" s="85"/>
      <c r="J2343" s="131"/>
      <c r="K2343" s="60"/>
      <c r="L2343" s="49"/>
      <c r="P2343" s="3"/>
      <c r="Q2343" s="3"/>
      <c r="R2343" s="3"/>
      <c r="S2343" s="3"/>
      <c r="T2343" s="3"/>
      <c r="U2343" s="3"/>
      <c r="V2343" s="3"/>
      <c r="W2343" s="3"/>
      <c r="X2343" s="3"/>
      <c r="Y2343" s="4"/>
      <c r="Z2343"/>
      <c r="AA2343"/>
    </row>
    <row r="2344" spans="1:27" s="37" customFormat="1" x14ac:dyDescent="0.15">
      <c r="A2344" s="166"/>
      <c r="B2344" s="82"/>
      <c r="C2344" s="70"/>
      <c r="D2344" s="70"/>
      <c r="E2344" s="70"/>
      <c r="F2344" s="70"/>
      <c r="G2344" s="70"/>
      <c r="H2344" s="85"/>
      <c r="I2344" s="85"/>
      <c r="J2344" s="131"/>
      <c r="K2344" s="60"/>
      <c r="L2344" s="49"/>
      <c r="P2344" s="3"/>
      <c r="Q2344" s="3"/>
      <c r="R2344" s="3"/>
      <c r="S2344" s="3"/>
      <c r="T2344" s="3"/>
      <c r="U2344" s="3"/>
      <c r="V2344" s="3"/>
      <c r="W2344" s="3"/>
      <c r="X2344" s="3"/>
      <c r="Y2344" s="4"/>
      <c r="Z2344"/>
      <c r="AA2344"/>
    </row>
    <row r="2345" spans="1:27" s="37" customFormat="1" x14ac:dyDescent="0.15">
      <c r="A2345" s="166"/>
      <c r="B2345" s="82"/>
      <c r="C2345" s="70"/>
      <c r="D2345" s="70"/>
      <c r="E2345" s="70"/>
      <c r="F2345" s="70"/>
      <c r="G2345" s="70"/>
      <c r="H2345" s="85"/>
      <c r="I2345" s="85"/>
      <c r="J2345" s="131"/>
      <c r="K2345" s="60"/>
      <c r="L2345" s="49"/>
      <c r="P2345" s="3"/>
      <c r="Q2345" s="3"/>
      <c r="R2345" s="3"/>
      <c r="S2345" s="3"/>
      <c r="T2345" s="3"/>
      <c r="U2345" s="3"/>
      <c r="V2345" s="3"/>
      <c r="W2345" s="3"/>
      <c r="X2345" s="3"/>
      <c r="Y2345" s="4"/>
      <c r="Z2345"/>
      <c r="AA2345"/>
    </row>
    <row r="2346" spans="1:27" s="37" customFormat="1" x14ac:dyDescent="0.15">
      <c r="A2346" s="166"/>
      <c r="B2346" s="82"/>
      <c r="C2346" s="70"/>
      <c r="D2346" s="70"/>
      <c r="E2346" s="70"/>
      <c r="F2346" s="70"/>
      <c r="G2346" s="70"/>
      <c r="H2346" s="85"/>
      <c r="I2346" s="85"/>
      <c r="J2346" s="131"/>
      <c r="K2346" s="60"/>
      <c r="L2346" s="49"/>
      <c r="P2346" s="3"/>
      <c r="Q2346" s="3"/>
      <c r="R2346" s="3"/>
      <c r="S2346" s="3"/>
      <c r="T2346" s="3"/>
      <c r="U2346" s="3"/>
      <c r="V2346" s="3"/>
      <c r="W2346" s="3"/>
      <c r="X2346" s="3"/>
      <c r="Y2346" s="4"/>
      <c r="Z2346"/>
      <c r="AA2346"/>
    </row>
    <row r="2347" spans="1:27" s="37" customFormat="1" x14ac:dyDescent="0.15">
      <c r="A2347" s="166"/>
      <c r="B2347" s="82"/>
      <c r="C2347" s="70"/>
      <c r="D2347" s="70"/>
      <c r="E2347" s="70"/>
      <c r="F2347" s="70"/>
      <c r="G2347" s="70"/>
      <c r="H2347" s="85"/>
      <c r="I2347" s="85"/>
      <c r="J2347" s="131"/>
      <c r="K2347" s="60"/>
      <c r="L2347" s="49"/>
      <c r="P2347" s="3"/>
      <c r="Q2347" s="3"/>
      <c r="R2347" s="3"/>
      <c r="S2347" s="3"/>
      <c r="T2347" s="3"/>
      <c r="U2347" s="3"/>
      <c r="V2347" s="3"/>
      <c r="W2347" s="3"/>
      <c r="X2347" s="3"/>
      <c r="Y2347" s="4"/>
      <c r="Z2347"/>
      <c r="AA2347"/>
    </row>
    <row r="2348" spans="1:27" s="37" customFormat="1" x14ac:dyDescent="0.15">
      <c r="A2348" s="166"/>
      <c r="B2348" s="82"/>
      <c r="C2348" s="70"/>
      <c r="D2348" s="70"/>
      <c r="E2348" s="70"/>
      <c r="F2348" s="70"/>
      <c r="G2348" s="70"/>
      <c r="H2348" s="85"/>
      <c r="I2348" s="85"/>
      <c r="J2348" s="131"/>
      <c r="K2348" s="60"/>
      <c r="L2348" s="49"/>
      <c r="P2348" s="3"/>
      <c r="Q2348" s="3"/>
      <c r="R2348" s="3"/>
      <c r="S2348" s="3"/>
      <c r="T2348" s="3"/>
      <c r="U2348" s="3"/>
      <c r="V2348" s="3"/>
      <c r="W2348" s="3"/>
      <c r="X2348" s="3"/>
      <c r="Y2348" s="4"/>
      <c r="Z2348"/>
      <c r="AA2348"/>
    </row>
    <row r="2349" spans="1:27" s="37" customFormat="1" x14ac:dyDescent="0.15">
      <c r="A2349" s="166"/>
      <c r="B2349" s="82"/>
      <c r="C2349" s="70"/>
      <c r="D2349" s="70"/>
      <c r="E2349" s="70"/>
      <c r="F2349" s="70"/>
      <c r="G2349" s="70"/>
      <c r="H2349" s="85"/>
      <c r="I2349" s="85"/>
      <c r="J2349" s="131"/>
      <c r="K2349" s="60"/>
      <c r="L2349" s="49"/>
      <c r="P2349" s="3"/>
      <c r="Q2349" s="3"/>
      <c r="R2349" s="3"/>
      <c r="S2349" s="3"/>
      <c r="T2349" s="3"/>
      <c r="U2349" s="3"/>
      <c r="V2349" s="3"/>
      <c r="W2349" s="3"/>
      <c r="X2349" s="3"/>
      <c r="Y2349" s="4"/>
      <c r="Z2349"/>
      <c r="AA2349"/>
    </row>
    <row r="2350" spans="1:27" s="37" customFormat="1" x14ac:dyDescent="0.15">
      <c r="A2350" s="166"/>
      <c r="B2350" s="82"/>
      <c r="C2350" s="70"/>
      <c r="D2350" s="70"/>
      <c r="E2350" s="70"/>
      <c r="F2350" s="70"/>
      <c r="G2350" s="70"/>
      <c r="H2350" s="85"/>
      <c r="I2350" s="85"/>
      <c r="J2350" s="131"/>
      <c r="K2350" s="60"/>
      <c r="L2350" s="49"/>
      <c r="P2350" s="3"/>
      <c r="Q2350" s="3"/>
      <c r="R2350" s="3"/>
      <c r="S2350" s="3"/>
      <c r="T2350" s="3"/>
      <c r="U2350" s="3"/>
      <c r="V2350" s="3"/>
      <c r="W2350" s="3"/>
      <c r="X2350" s="3"/>
      <c r="Y2350" s="4"/>
      <c r="Z2350"/>
      <c r="AA2350"/>
    </row>
    <row r="2351" spans="1:27" s="49" customFormat="1" x14ac:dyDescent="0.15">
      <c r="A2351" s="166"/>
      <c r="B2351" s="82"/>
      <c r="C2351" s="70"/>
      <c r="D2351" s="70"/>
      <c r="E2351" s="70"/>
      <c r="F2351" s="70"/>
      <c r="G2351" s="70"/>
      <c r="H2351" s="85"/>
      <c r="I2351" s="85"/>
      <c r="J2351" s="131"/>
      <c r="K2351" s="60"/>
      <c r="M2351" s="37"/>
      <c r="N2351" s="37"/>
      <c r="O2351" s="37"/>
      <c r="P2351" s="3"/>
      <c r="Q2351" s="3"/>
      <c r="R2351" s="3"/>
      <c r="S2351" s="3"/>
      <c r="T2351" s="3"/>
      <c r="U2351" s="3"/>
      <c r="V2351" s="3"/>
      <c r="W2351" s="3"/>
      <c r="X2351" s="3"/>
      <c r="Y2351" s="4"/>
      <c r="Z2351"/>
      <c r="AA2351"/>
    </row>
    <row r="2352" spans="1:27" s="49" customFormat="1" x14ac:dyDescent="0.15">
      <c r="A2352" s="166"/>
      <c r="B2352" s="82"/>
      <c r="C2352" s="70"/>
      <c r="D2352" s="70"/>
      <c r="E2352" s="70"/>
      <c r="F2352" s="70"/>
      <c r="G2352" s="70"/>
      <c r="H2352" s="85"/>
      <c r="I2352" s="85"/>
      <c r="J2352" s="131"/>
      <c r="K2352" s="60"/>
      <c r="M2352" s="37"/>
      <c r="N2352" s="37"/>
      <c r="O2352" s="37"/>
      <c r="P2352" s="3"/>
      <c r="Q2352" s="3"/>
      <c r="R2352" s="3"/>
      <c r="S2352" s="3"/>
      <c r="T2352" s="3"/>
      <c r="U2352" s="3"/>
      <c r="V2352" s="3"/>
      <c r="W2352" s="3"/>
      <c r="X2352" s="3"/>
      <c r="Y2352" s="4"/>
      <c r="Z2352"/>
      <c r="AA2352"/>
    </row>
    <row r="2353" spans="1:27" s="49" customFormat="1" x14ac:dyDescent="0.15">
      <c r="A2353" s="166"/>
      <c r="B2353" s="82"/>
      <c r="C2353" s="70"/>
      <c r="D2353" s="70"/>
      <c r="E2353" s="73"/>
      <c r="F2353" s="70"/>
      <c r="G2353" s="70"/>
      <c r="H2353" s="85"/>
      <c r="I2353" s="85"/>
      <c r="J2353" s="131"/>
      <c r="K2353" s="60"/>
      <c r="M2353" s="37"/>
      <c r="N2353" s="37"/>
      <c r="O2353" s="37"/>
      <c r="P2353" s="3"/>
      <c r="Q2353" s="3"/>
      <c r="R2353" s="3"/>
      <c r="S2353" s="3"/>
      <c r="T2353" s="3"/>
      <c r="U2353" s="3"/>
      <c r="V2353" s="3"/>
      <c r="W2353" s="3"/>
      <c r="X2353" s="3"/>
      <c r="Y2353" s="4"/>
      <c r="Z2353"/>
      <c r="AA2353"/>
    </row>
    <row r="2354" spans="1:27" s="49" customFormat="1" x14ac:dyDescent="0.15">
      <c r="A2354" s="166"/>
      <c r="B2354" s="82"/>
      <c r="C2354" s="70"/>
      <c r="D2354" s="70"/>
      <c r="E2354" s="70"/>
      <c r="F2354" s="70"/>
      <c r="G2354" s="70"/>
      <c r="H2354" s="85"/>
      <c r="I2354" s="85"/>
      <c r="J2354" s="131"/>
      <c r="K2354" s="60"/>
      <c r="M2354" s="37"/>
      <c r="N2354" s="37"/>
      <c r="O2354" s="37"/>
      <c r="P2354" s="3"/>
      <c r="Q2354" s="3"/>
      <c r="R2354" s="3"/>
      <c r="S2354" s="3"/>
      <c r="T2354" s="3"/>
      <c r="U2354" s="3"/>
      <c r="V2354" s="3"/>
      <c r="W2354" s="3"/>
      <c r="X2354" s="3"/>
      <c r="Y2354" s="4"/>
      <c r="Z2354"/>
      <c r="AA2354"/>
    </row>
    <row r="2355" spans="1:27" s="49" customFormat="1" x14ac:dyDescent="0.15">
      <c r="A2355" s="166"/>
      <c r="B2355" s="82"/>
      <c r="C2355" s="70"/>
      <c r="D2355" s="70"/>
      <c r="E2355" s="70"/>
      <c r="F2355" s="70"/>
      <c r="G2355" s="70"/>
      <c r="H2355" s="85"/>
      <c r="I2355" s="85"/>
      <c r="J2355" s="131"/>
      <c r="K2355" s="60"/>
      <c r="M2355" s="37"/>
      <c r="N2355" s="37"/>
      <c r="O2355" s="37"/>
      <c r="P2355" s="3"/>
      <c r="Q2355" s="3"/>
      <c r="R2355" s="3"/>
      <c r="S2355" s="3"/>
      <c r="T2355" s="3"/>
      <c r="U2355" s="3"/>
      <c r="V2355" s="3"/>
      <c r="W2355" s="3"/>
      <c r="X2355" s="3"/>
      <c r="Y2355" s="4"/>
      <c r="Z2355"/>
      <c r="AA2355"/>
    </row>
    <row r="2356" spans="1:27" s="49" customFormat="1" x14ac:dyDescent="0.15">
      <c r="A2356" s="166"/>
      <c r="B2356" s="82"/>
      <c r="C2356" s="70"/>
      <c r="D2356" s="70"/>
      <c r="E2356" s="70"/>
      <c r="F2356" s="70"/>
      <c r="G2356" s="70"/>
      <c r="H2356" s="85"/>
      <c r="I2356" s="85"/>
      <c r="J2356" s="131"/>
      <c r="K2356" s="60"/>
      <c r="M2356" s="37"/>
      <c r="N2356" s="37"/>
      <c r="O2356" s="37"/>
      <c r="P2356" s="3"/>
      <c r="Q2356" s="3"/>
      <c r="R2356" s="3"/>
      <c r="S2356" s="3"/>
      <c r="T2356" s="3"/>
      <c r="U2356" s="3"/>
      <c r="V2356" s="3"/>
      <c r="W2356" s="3"/>
      <c r="X2356" s="3"/>
      <c r="Y2356" s="4"/>
      <c r="Z2356"/>
      <c r="AA2356"/>
    </row>
    <row r="2357" spans="1:27" s="49" customFormat="1" x14ac:dyDescent="0.15">
      <c r="A2357" s="166"/>
      <c r="B2357" s="82"/>
      <c r="C2357" s="70"/>
      <c r="D2357" s="70"/>
      <c r="E2357" s="70"/>
      <c r="F2357" s="70"/>
      <c r="G2357" s="70"/>
      <c r="H2357" s="85"/>
      <c r="I2357" s="85"/>
      <c r="J2357" s="131"/>
      <c r="K2357" s="60"/>
      <c r="M2357" s="37"/>
      <c r="N2357" s="37"/>
      <c r="O2357" s="37"/>
      <c r="P2357" s="3"/>
      <c r="Q2357" s="3"/>
      <c r="R2357" s="3"/>
      <c r="S2357" s="3"/>
      <c r="T2357" s="3"/>
      <c r="U2357" s="3"/>
      <c r="V2357" s="3"/>
      <c r="W2357" s="3"/>
      <c r="X2357" s="3"/>
      <c r="Y2357" s="4"/>
      <c r="Z2357"/>
      <c r="AA2357"/>
    </row>
    <row r="2358" spans="1:27" s="49" customFormat="1" x14ac:dyDescent="0.15">
      <c r="A2358" s="166"/>
      <c r="B2358" s="82"/>
      <c r="C2358" s="70"/>
      <c r="D2358" s="70"/>
      <c r="E2358" s="70"/>
      <c r="F2358" s="70"/>
      <c r="G2358" s="70"/>
      <c r="H2358" s="85"/>
      <c r="I2358" s="85"/>
      <c r="J2358" s="131"/>
      <c r="K2358" s="60"/>
      <c r="M2358" s="37"/>
      <c r="N2358" s="37"/>
      <c r="O2358" s="37"/>
      <c r="P2358" s="3"/>
      <c r="Q2358" s="3"/>
      <c r="R2358" s="3"/>
      <c r="S2358" s="3"/>
      <c r="T2358" s="3"/>
      <c r="U2358" s="3"/>
      <c r="V2358" s="3"/>
      <c r="W2358" s="3"/>
      <c r="X2358" s="3"/>
      <c r="Y2358" s="4"/>
      <c r="Z2358"/>
      <c r="AA2358"/>
    </row>
    <row r="2359" spans="1:27" s="49" customFormat="1" x14ac:dyDescent="0.15">
      <c r="A2359" s="166"/>
      <c r="B2359" s="82"/>
      <c r="C2359" s="70"/>
      <c r="D2359" s="70"/>
      <c r="E2359" s="70"/>
      <c r="F2359" s="70"/>
      <c r="G2359" s="70"/>
      <c r="H2359" s="85"/>
      <c r="I2359" s="85"/>
      <c r="J2359" s="131"/>
      <c r="K2359" s="60"/>
      <c r="M2359" s="37"/>
      <c r="N2359" s="37"/>
      <c r="O2359" s="37"/>
      <c r="P2359" s="3"/>
      <c r="Q2359" s="3"/>
      <c r="R2359" s="3"/>
      <c r="S2359" s="3"/>
      <c r="T2359" s="3"/>
      <c r="U2359" s="3"/>
      <c r="V2359" s="3"/>
      <c r="W2359" s="3"/>
      <c r="X2359" s="3"/>
      <c r="Y2359" s="4"/>
      <c r="Z2359"/>
      <c r="AA2359"/>
    </row>
    <row r="2360" spans="1:27" s="49" customFormat="1" x14ac:dyDescent="0.15">
      <c r="A2360" s="166"/>
      <c r="B2360" s="82"/>
      <c r="C2360" s="70"/>
      <c r="D2360" s="70"/>
      <c r="E2360" s="70"/>
      <c r="F2360" s="70"/>
      <c r="G2360" s="70"/>
      <c r="H2360" s="85"/>
      <c r="I2360" s="85"/>
      <c r="J2360" s="146"/>
      <c r="K2360" s="60"/>
      <c r="M2360" s="37"/>
      <c r="N2360" s="37"/>
      <c r="O2360" s="37"/>
      <c r="P2360" s="3"/>
      <c r="Q2360" s="3"/>
      <c r="R2360" s="3"/>
      <c r="S2360" s="3"/>
      <c r="T2360" s="3"/>
      <c r="U2360" s="3"/>
      <c r="V2360" s="3"/>
      <c r="W2360" s="3"/>
      <c r="X2360" s="3"/>
      <c r="Y2360" s="4"/>
      <c r="Z2360"/>
      <c r="AA2360"/>
    </row>
    <row r="2361" spans="1:27" s="49" customFormat="1" x14ac:dyDescent="0.15">
      <c r="A2361" s="166"/>
      <c r="B2361" s="82"/>
      <c r="C2361" s="70"/>
      <c r="D2361" s="70"/>
      <c r="E2361" s="70"/>
      <c r="F2361" s="70"/>
      <c r="G2361" s="70"/>
      <c r="H2361" s="85"/>
      <c r="I2361" s="85"/>
      <c r="J2361" s="131"/>
      <c r="K2361" s="60"/>
      <c r="M2361" s="37"/>
      <c r="N2361" s="37"/>
      <c r="O2361" s="37"/>
      <c r="P2361" s="3"/>
      <c r="Q2361" s="3"/>
      <c r="R2361" s="3"/>
      <c r="S2361" s="3"/>
      <c r="T2361" s="3"/>
      <c r="U2361" s="3"/>
      <c r="V2361" s="3"/>
      <c r="W2361" s="3"/>
      <c r="X2361" s="3"/>
      <c r="Y2361" s="4"/>
      <c r="Z2361"/>
      <c r="AA2361"/>
    </row>
    <row r="2362" spans="1:27" s="49" customFormat="1" x14ac:dyDescent="0.15">
      <c r="A2362" s="166"/>
      <c r="B2362" s="82"/>
      <c r="C2362" s="70"/>
      <c r="D2362" s="70"/>
      <c r="E2362" s="70"/>
      <c r="F2362" s="70"/>
      <c r="G2362" s="70"/>
      <c r="H2362" s="85"/>
      <c r="I2362" s="85"/>
      <c r="J2362" s="131"/>
      <c r="K2362" s="60"/>
      <c r="M2362" s="37"/>
      <c r="N2362" s="37"/>
      <c r="O2362" s="37"/>
      <c r="P2362" s="3"/>
      <c r="Q2362" s="3"/>
      <c r="R2362" s="3"/>
      <c r="S2362" s="3"/>
      <c r="T2362" s="3"/>
      <c r="U2362" s="3"/>
      <c r="V2362" s="3"/>
      <c r="W2362" s="3"/>
      <c r="X2362" s="3"/>
      <c r="Y2362" s="4"/>
      <c r="Z2362"/>
      <c r="AA2362"/>
    </row>
    <row r="2363" spans="1:27" s="49" customFormat="1" x14ac:dyDescent="0.15">
      <c r="A2363" s="166"/>
      <c r="B2363" s="82"/>
      <c r="C2363" s="70"/>
      <c r="D2363" s="70"/>
      <c r="E2363" s="70"/>
      <c r="F2363" s="70"/>
      <c r="G2363" s="70"/>
      <c r="H2363" s="85"/>
      <c r="I2363" s="85"/>
      <c r="J2363" s="131"/>
      <c r="K2363" s="60"/>
      <c r="M2363" s="37"/>
      <c r="N2363" s="37"/>
      <c r="O2363" s="37"/>
      <c r="P2363" s="3"/>
      <c r="Q2363" s="3"/>
      <c r="R2363" s="3"/>
      <c r="S2363" s="3"/>
      <c r="T2363" s="3"/>
      <c r="U2363" s="3"/>
      <c r="V2363" s="3"/>
      <c r="W2363" s="3"/>
      <c r="X2363" s="3"/>
      <c r="Y2363" s="4"/>
      <c r="Z2363"/>
      <c r="AA2363"/>
    </row>
    <row r="2364" spans="1:27" s="49" customFormat="1" x14ac:dyDescent="0.15">
      <c r="A2364" s="166"/>
      <c r="B2364" s="82"/>
      <c r="C2364" s="70"/>
      <c r="D2364" s="70"/>
      <c r="E2364" s="70"/>
      <c r="F2364" s="70"/>
      <c r="G2364" s="70"/>
      <c r="H2364" s="85"/>
      <c r="I2364" s="85"/>
      <c r="J2364" s="131"/>
      <c r="K2364" s="60"/>
      <c r="M2364" s="37"/>
      <c r="N2364" s="37"/>
      <c r="O2364" s="37"/>
      <c r="P2364" s="3"/>
      <c r="Q2364" s="3"/>
      <c r="R2364" s="3"/>
      <c r="S2364" s="3"/>
      <c r="T2364" s="3"/>
      <c r="U2364" s="3"/>
      <c r="V2364" s="3"/>
      <c r="W2364" s="3"/>
      <c r="X2364" s="3"/>
      <c r="Y2364" s="4"/>
      <c r="Z2364"/>
      <c r="AA2364"/>
    </row>
    <row r="2365" spans="1:27" s="49" customFormat="1" x14ac:dyDescent="0.15">
      <c r="A2365" s="166"/>
      <c r="B2365" s="82"/>
      <c r="C2365" s="70"/>
      <c r="D2365" s="70"/>
      <c r="E2365" s="70"/>
      <c r="F2365" s="70"/>
      <c r="G2365" s="70"/>
      <c r="H2365" s="85"/>
      <c r="I2365" s="85"/>
      <c r="J2365" s="131"/>
      <c r="K2365" s="60"/>
      <c r="M2365" s="37"/>
      <c r="N2365" s="37"/>
      <c r="O2365" s="37"/>
      <c r="P2365" s="3"/>
      <c r="Q2365" s="3"/>
      <c r="R2365" s="3"/>
      <c r="S2365" s="3"/>
      <c r="T2365" s="3"/>
      <c r="U2365" s="3"/>
      <c r="V2365" s="3"/>
      <c r="W2365" s="3"/>
      <c r="X2365" s="3"/>
      <c r="Y2365" s="4"/>
      <c r="Z2365"/>
      <c r="AA2365"/>
    </row>
    <row r="2366" spans="1:27" s="49" customFormat="1" x14ac:dyDescent="0.15">
      <c r="A2366" s="166"/>
      <c r="B2366" s="82"/>
      <c r="C2366" s="70"/>
      <c r="D2366" s="70"/>
      <c r="E2366" s="70"/>
      <c r="F2366" s="70"/>
      <c r="G2366" s="70"/>
      <c r="H2366" s="85"/>
      <c r="I2366" s="85"/>
      <c r="J2366" s="131"/>
      <c r="K2366" s="60"/>
      <c r="M2366" s="37"/>
      <c r="N2366" s="37"/>
      <c r="O2366" s="37"/>
      <c r="P2366" s="3"/>
      <c r="Q2366" s="3"/>
      <c r="R2366" s="3"/>
      <c r="S2366" s="3"/>
      <c r="T2366" s="3"/>
      <c r="U2366" s="3"/>
      <c r="V2366" s="3"/>
      <c r="W2366" s="3"/>
      <c r="X2366" s="3"/>
      <c r="Y2366" s="4"/>
      <c r="Z2366"/>
      <c r="AA2366"/>
    </row>
    <row r="2367" spans="1:27" s="49" customFormat="1" x14ac:dyDescent="0.15">
      <c r="A2367" s="166"/>
      <c r="B2367" s="82"/>
      <c r="C2367" s="70"/>
      <c r="D2367" s="70"/>
      <c r="E2367" s="70"/>
      <c r="F2367" s="70"/>
      <c r="G2367" s="70"/>
      <c r="H2367" s="85"/>
      <c r="I2367" s="85"/>
      <c r="J2367" s="131"/>
      <c r="K2367" s="60"/>
      <c r="M2367" s="37"/>
      <c r="N2367" s="37"/>
      <c r="O2367" s="37"/>
      <c r="P2367" s="3"/>
      <c r="Q2367" s="3"/>
      <c r="R2367" s="3"/>
      <c r="S2367" s="3"/>
      <c r="T2367" s="3"/>
      <c r="U2367" s="3"/>
      <c r="V2367" s="3"/>
      <c r="W2367" s="3"/>
      <c r="X2367" s="3"/>
      <c r="Y2367" s="4"/>
      <c r="Z2367"/>
      <c r="AA2367"/>
    </row>
    <row r="2368" spans="1:27" s="49" customFormat="1" x14ac:dyDescent="0.15">
      <c r="A2368" s="166"/>
      <c r="B2368" s="82"/>
      <c r="C2368" s="70"/>
      <c r="D2368" s="70"/>
      <c r="E2368" s="70"/>
      <c r="F2368" s="70"/>
      <c r="G2368" s="70"/>
      <c r="H2368" s="85"/>
      <c r="I2368" s="85"/>
      <c r="J2368" s="131"/>
      <c r="K2368" s="60"/>
      <c r="M2368" s="37"/>
      <c r="N2368" s="37"/>
      <c r="O2368" s="37"/>
      <c r="P2368" s="3"/>
      <c r="Q2368" s="3"/>
      <c r="R2368" s="3"/>
      <c r="S2368" s="3"/>
      <c r="T2368" s="3"/>
      <c r="U2368" s="3"/>
      <c r="V2368" s="3"/>
      <c r="W2368" s="3"/>
      <c r="X2368" s="3"/>
      <c r="Y2368" s="4"/>
      <c r="Z2368"/>
      <c r="AA2368"/>
    </row>
    <row r="2369" spans="1:27" s="49" customFormat="1" x14ac:dyDescent="0.15">
      <c r="A2369" s="166"/>
      <c r="B2369" s="82"/>
      <c r="C2369" s="70"/>
      <c r="D2369" s="70"/>
      <c r="E2369" s="70"/>
      <c r="F2369" s="70"/>
      <c r="G2369" s="70"/>
      <c r="H2369" s="85"/>
      <c r="I2369" s="85"/>
      <c r="J2369" s="131"/>
      <c r="K2369" s="60"/>
      <c r="M2369" s="37"/>
      <c r="N2369" s="37"/>
      <c r="O2369" s="37"/>
      <c r="P2369" s="3"/>
      <c r="Q2369" s="3"/>
      <c r="R2369" s="3"/>
      <c r="S2369" s="3"/>
      <c r="T2369" s="3"/>
      <c r="U2369" s="3"/>
      <c r="V2369" s="3"/>
      <c r="W2369" s="3"/>
      <c r="X2369" s="3"/>
      <c r="Y2369" s="4"/>
      <c r="Z2369"/>
      <c r="AA2369"/>
    </row>
    <row r="2370" spans="1:27" s="49" customFormat="1" x14ac:dyDescent="0.15">
      <c r="A2370" s="166"/>
      <c r="B2370" s="82"/>
      <c r="C2370" s="70"/>
      <c r="D2370" s="70"/>
      <c r="E2370" s="70"/>
      <c r="F2370" s="70"/>
      <c r="G2370" s="70"/>
      <c r="H2370" s="85"/>
      <c r="I2370" s="85"/>
      <c r="J2370" s="131"/>
      <c r="K2370" s="60"/>
      <c r="M2370" s="37"/>
      <c r="N2370" s="37"/>
      <c r="O2370" s="37"/>
      <c r="P2370" s="3"/>
      <c r="Q2370" s="3"/>
      <c r="R2370" s="3"/>
      <c r="S2370" s="3"/>
      <c r="T2370" s="3"/>
      <c r="U2370" s="3"/>
      <c r="V2370" s="3"/>
      <c r="W2370" s="3"/>
      <c r="X2370" s="3"/>
      <c r="Y2370" s="4"/>
      <c r="Z2370"/>
      <c r="AA2370"/>
    </row>
    <row r="2371" spans="1:27" s="49" customFormat="1" x14ac:dyDescent="0.15">
      <c r="A2371" s="166"/>
      <c r="B2371" s="82"/>
      <c r="C2371" s="70"/>
      <c r="D2371" s="70"/>
      <c r="E2371" s="70"/>
      <c r="F2371" s="70"/>
      <c r="G2371" s="70"/>
      <c r="H2371" s="85"/>
      <c r="I2371" s="85"/>
      <c r="J2371" s="131"/>
      <c r="K2371" s="60"/>
      <c r="M2371" s="37"/>
      <c r="N2371" s="37"/>
      <c r="O2371" s="37"/>
      <c r="P2371" s="3"/>
      <c r="Q2371" s="3"/>
      <c r="R2371" s="3"/>
      <c r="S2371" s="3"/>
      <c r="T2371" s="3"/>
      <c r="U2371" s="3"/>
      <c r="V2371" s="3"/>
      <c r="W2371" s="3"/>
      <c r="X2371" s="3"/>
      <c r="Y2371" s="4"/>
      <c r="Z2371"/>
      <c r="AA2371"/>
    </row>
    <row r="2372" spans="1:27" s="49" customFormat="1" x14ac:dyDescent="0.15">
      <c r="A2372" s="166"/>
      <c r="B2372" s="82"/>
      <c r="C2372" s="70"/>
      <c r="D2372" s="70"/>
      <c r="E2372" s="70"/>
      <c r="F2372" s="70"/>
      <c r="G2372" s="70"/>
      <c r="H2372" s="85"/>
      <c r="I2372" s="85"/>
      <c r="J2372" s="131"/>
      <c r="K2372" s="60"/>
      <c r="M2372" s="37"/>
      <c r="N2372" s="37"/>
      <c r="O2372" s="37"/>
      <c r="P2372" s="3"/>
      <c r="Q2372" s="3"/>
      <c r="R2372" s="3"/>
      <c r="S2372" s="3"/>
      <c r="T2372" s="3"/>
      <c r="U2372" s="3"/>
      <c r="V2372" s="3"/>
      <c r="W2372" s="3"/>
      <c r="X2372" s="3"/>
      <c r="Y2372" s="4"/>
      <c r="Z2372"/>
      <c r="AA2372"/>
    </row>
    <row r="2373" spans="1:27" s="49" customFormat="1" x14ac:dyDescent="0.15">
      <c r="A2373" s="166"/>
      <c r="B2373" s="82"/>
      <c r="C2373" s="70"/>
      <c r="D2373" s="70"/>
      <c r="E2373" s="70"/>
      <c r="F2373" s="70"/>
      <c r="G2373" s="70"/>
      <c r="H2373" s="85"/>
      <c r="I2373" s="85"/>
      <c r="J2373" s="131"/>
      <c r="K2373" s="60"/>
      <c r="M2373" s="37"/>
      <c r="N2373" s="37"/>
      <c r="O2373" s="37"/>
      <c r="P2373" s="3"/>
      <c r="Q2373" s="3"/>
      <c r="R2373" s="3"/>
      <c r="S2373" s="3"/>
      <c r="T2373" s="3"/>
      <c r="U2373" s="3"/>
      <c r="V2373" s="3"/>
      <c r="W2373" s="3"/>
      <c r="X2373" s="3"/>
      <c r="Y2373" s="4"/>
      <c r="Z2373"/>
      <c r="AA2373"/>
    </row>
    <row r="2374" spans="1:27" s="49" customFormat="1" x14ac:dyDescent="0.15">
      <c r="A2374" s="166"/>
      <c r="B2374" s="82"/>
      <c r="C2374" s="70"/>
      <c r="D2374" s="70"/>
      <c r="E2374" s="70"/>
      <c r="F2374" s="70"/>
      <c r="G2374" s="70"/>
      <c r="H2374" s="85"/>
      <c r="I2374" s="85"/>
      <c r="J2374" s="131"/>
      <c r="K2374" s="60"/>
      <c r="M2374" s="37"/>
      <c r="N2374" s="37"/>
      <c r="O2374" s="37"/>
      <c r="P2374" s="3"/>
      <c r="Q2374" s="3"/>
      <c r="R2374" s="3"/>
      <c r="S2374" s="3"/>
      <c r="T2374" s="3"/>
      <c r="U2374" s="3"/>
      <c r="V2374" s="3"/>
      <c r="W2374" s="3"/>
      <c r="X2374" s="3"/>
      <c r="Y2374" s="4"/>
      <c r="Z2374"/>
      <c r="AA2374"/>
    </row>
    <row r="2375" spans="1:27" s="49" customFormat="1" x14ac:dyDescent="0.15">
      <c r="A2375" s="166"/>
      <c r="B2375" s="82"/>
      <c r="C2375" s="70"/>
      <c r="D2375" s="70"/>
      <c r="E2375" s="70"/>
      <c r="F2375" s="70"/>
      <c r="G2375" s="70"/>
      <c r="H2375" s="85"/>
      <c r="I2375" s="85"/>
      <c r="J2375" s="131"/>
      <c r="K2375" s="60"/>
      <c r="M2375" s="37"/>
      <c r="N2375" s="37"/>
      <c r="O2375" s="37"/>
      <c r="P2375" s="3"/>
      <c r="Q2375" s="3"/>
      <c r="R2375" s="3"/>
      <c r="S2375" s="3"/>
      <c r="T2375" s="3"/>
      <c r="U2375" s="3"/>
      <c r="V2375" s="3"/>
      <c r="W2375" s="3"/>
      <c r="X2375" s="3"/>
      <c r="Y2375" s="4"/>
      <c r="Z2375"/>
      <c r="AA2375"/>
    </row>
    <row r="2376" spans="1:27" s="49" customFormat="1" x14ac:dyDescent="0.15">
      <c r="A2376" s="166"/>
      <c r="B2376" s="82"/>
      <c r="C2376" s="70"/>
      <c r="D2376" s="70"/>
      <c r="E2376" s="70"/>
      <c r="F2376" s="70"/>
      <c r="G2376" s="70"/>
      <c r="H2376" s="85"/>
      <c r="I2376" s="85"/>
      <c r="J2376" s="131"/>
      <c r="K2376" s="60"/>
      <c r="M2376" s="37"/>
      <c r="N2376" s="37"/>
      <c r="O2376" s="37"/>
      <c r="P2376" s="3"/>
      <c r="Q2376" s="3"/>
      <c r="R2376" s="3"/>
      <c r="S2376" s="3"/>
      <c r="T2376" s="3"/>
      <c r="U2376" s="3"/>
      <c r="V2376" s="3"/>
      <c r="W2376" s="3"/>
      <c r="X2376" s="3"/>
      <c r="Y2376" s="4"/>
      <c r="Z2376"/>
      <c r="AA2376"/>
    </row>
    <row r="2377" spans="1:27" s="49" customFormat="1" x14ac:dyDescent="0.15">
      <c r="A2377" s="166"/>
      <c r="B2377" s="82"/>
      <c r="C2377" s="70"/>
      <c r="D2377" s="70"/>
      <c r="E2377" s="70"/>
      <c r="F2377" s="70"/>
      <c r="G2377" s="70"/>
      <c r="H2377" s="85"/>
      <c r="I2377" s="85"/>
      <c r="J2377" s="131"/>
      <c r="K2377" s="60"/>
      <c r="M2377" s="37"/>
      <c r="N2377" s="37"/>
      <c r="O2377" s="37"/>
      <c r="P2377" s="3"/>
      <c r="Q2377" s="3"/>
      <c r="R2377" s="3"/>
      <c r="S2377" s="3"/>
      <c r="T2377" s="3"/>
      <c r="U2377" s="3"/>
      <c r="V2377" s="3"/>
      <c r="W2377" s="3"/>
      <c r="X2377" s="3"/>
      <c r="Y2377" s="4"/>
      <c r="Z2377"/>
      <c r="AA2377"/>
    </row>
    <row r="2378" spans="1:27" s="49" customFormat="1" x14ac:dyDescent="0.15">
      <c r="A2378" s="166"/>
      <c r="B2378" s="82"/>
      <c r="C2378" s="70"/>
      <c r="D2378" s="70"/>
      <c r="E2378" s="70"/>
      <c r="F2378" s="70"/>
      <c r="G2378" s="70"/>
      <c r="H2378" s="85"/>
      <c r="I2378" s="85"/>
      <c r="J2378" s="131"/>
      <c r="K2378" s="60"/>
      <c r="M2378" s="37"/>
      <c r="N2378" s="37"/>
      <c r="O2378" s="37"/>
      <c r="P2378" s="3"/>
      <c r="Q2378" s="3"/>
      <c r="R2378" s="3"/>
      <c r="S2378" s="3"/>
      <c r="T2378" s="3"/>
      <c r="U2378" s="3"/>
      <c r="V2378" s="3"/>
      <c r="W2378" s="3"/>
      <c r="X2378" s="3"/>
      <c r="Y2378" s="4"/>
      <c r="Z2378"/>
      <c r="AA2378"/>
    </row>
    <row r="2379" spans="1:27" s="49" customFormat="1" x14ac:dyDescent="0.15">
      <c r="A2379" s="166"/>
      <c r="B2379" s="82"/>
      <c r="C2379" s="70"/>
      <c r="D2379" s="70"/>
      <c r="E2379" s="70"/>
      <c r="F2379" s="70"/>
      <c r="G2379" s="70"/>
      <c r="H2379" s="85"/>
      <c r="I2379" s="85"/>
      <c r="J2379" s="131"/>
      <c r="K2379" s="60"/>
      <c r="M2379" s="37"/>
      <c r="N2379" s="37"/>
      <c r="O2379" s="37"/>
      <c r="P2379" s="3"/>
      <c r="Q2379" s="3"/>
      <c r="R2379" s="3"/>
      <c r="S2379" s="3"/>
      <c r="T2379" s="3"/>
      <c r="U2379" s="3"/>
      <c r="V2379" s="3"/>
      <c r="W2379" s="3"/>
      <c r="X2379" s="3"/>
      <c r="Y2379" s="4"/>
      <c r="Z2379"/>
      <c r="AA2379"/>
    </row>
    <row r="2380" spans="1:27" s="49" customFormat="1" x14ac:dyDescent="0.15">
      <c r="A2380" s="166"/>
      <c r="B2380" s="82"/>
      <c r="C2380" s="70"/>
      <c r="D2380" s="70"/>
      <c r="E2380" s="70"/>
      <c r="F2380" s="70"/>
      <c r="G2380" s="70"/>
      <c r="H2380" s="85"/>
      <c r="I2380" s="85"/>
      <c r="J2380" s="131"/>
      <c r="K2380" s="60"/>
      <c r="M2380" s="37"/>
      <c r="N2380" s="37"/>
      <c r="O2380" s="37"/>
      <c r="P2380" s="3"/>
      <c r="Q2380" s="3"/>
      <c r="R2380" s="3"/>
      <c r="S2380" s="3"/>
      <c r="T2380" s="3"/>
      <c r="U2380" s="3"/>
      <c r="V2380" s="3"/>
      <c r="W2380" s="3"/>
      <c r="X2380" s="3"/>
      <c r="Y2380" s="4"/>
      <c r="Z2380"/>
      <c r="AA2380"/>
    </row>
    <row r="2381" spans="1:27" s="49" customFormat="1" x14ac:dyDescent="0.15">
      <c r="A2381" s="166"/>
      <c r="B2381" s="82"/>
      <c r="C2381" s="70"/>
      <c r="D2381" s="70"/>
      <c r="E2381" s="70"/>
      <c r="F2381" s="70"/>
      <c r="G2381" s="70"/>
      <c r="H2381" s="85"/>
      <c r="I2381" s="85"/>
      <c r="J2381" s="131"/>
      <c r="K2381" s="60"/>
      <c r="M2381" s="37"/>
      <c r="N2381" s="37"/>
      <c r="O2381" s="37"/>
      <c r="P2381" s="3"/>
      <c r="Q2381" s="3"/>
      <c r="R2381" s="3"/>
      <c r="S2381" s="3"/>
      <c r="T2381" s="3"/>
      <c r="U2381" s="3"/>
      <c r="V2381" s="3"/>
      <c r="W2381" s="3"/>
      <c r="X2381" s="3"/>
      <c r="Y2381" s="4"/>
      <c r="Z2381"/>
      <c r="AA2381"/>
    </row>
    <row r="2382" spans="1:27" s="49" customFormat="1" x14ac:dyDescent="0.15">
      <c r="A2382" s="166"/>
      <c r="B2382" s="82"/>
      <c r="C2382" s="70"/>
      <c r="D2382" s="70"/>
      <c r="E2382" s="70"/>
      <c r="F2382" s="70"/>
      <c r="G2382" s="70"/>
      <c r="H2382" s="85"/>
      <c r="I2382" s="85"/>
      <c r="J2382" s="131"/>
      <c r="K2382" s="60"/>
      <c r="M2382" s="37"/>
      <c r="N2382" s="37"/>
      <c r="O2382" s="37"/>
      <c r="P2382" s="3"/>
      <c r="Q2382" s="3"/>
      <c r="R2382" s="3"/>
      <c r="S2382" s="3"/>
      <c r="T2382" s="3"/>
      <c r="U2382" s="3"/>
      <c r="V2382" s="3"/>
      <c r="W2382" s="3"/>
      <c r="X2382" s="3"/>
      <c r="Y2382" s="4"/>
      <c r="Z2382"/>
      <c r="AA2382"/>
    </row>
    <row r="2383" spans="1:27" s="37" customFormat="1" x14ac:dyDescent="0.15">
      <c r="A2383" s="166"/>
      <c r="B2383" s="82"/>
      <c r="C2383" s="70"/>
      <c r="D2383" s="70"/>
      <c r="E2383" s="70"/>
      <c r="F2383" s="70"/>
      <c r="G2383" s="70"/>
      <c r="H2383" s="85"/>
      <c r="I2383" s="85"/>
      <c r="J2383" s="131"/>
      <c r="K2383" s="60"/>
      <c r="L2383" s="49"/>
      <c r="P2383" s="3"/>
      <c r="Q2383" s="3"/>
      <c r="R2383" s="3"/>
      <c r="S2383" s="3"/>
      <c r="T2383" s="3"/>
      <c r="U2383" s="3"/>
      <c r="V2383" s="3"/>
      <c r="W2383" s="3"/>
      <c r="X2383" s="3"/>
      <c r="Y2383" s="4"/>
      <c r="Z2383"/>
      <c r="AA2383"/>
    </row>
    <row r="2384" spans="1:27" s="37" customFormat="1" x14ac:dyDescent="0.15">
      <c r="A2384" s="166"/>
      <c r="B2384" s="82"/>
      <c r="C2384" s="70"/>
      <c r="D2384" s="70"/>
      <c r="E2384" s="70"/>
      <c r="F2384" s="70"/>
      <c r="G2384" s="70"/>
      <c r="H2384" s="85"/>
      <c r="I2384" s="85"/>
      <c r="J2384" s="131"/>
      <c r="K2384" s="60"/>
      <c r="L2384" s="49"/>
      <c r="P2384" s="3"/>
      <c r="Q2384" s="3"/>
      <c r="R2384" s="3"/>
      <c r="S2384" s="3"/>
      <c r="T2384" s="3"/>
      <c r="U2384" s="3"/>
      <c r="V2384" s="3"/>
      <c r="W2384" s="3"/>
      <c r="X2384" s="3"/>
      <c r="Y2384" s="4"/>
      <c r="Z2384"/>
      <c r="AA2384"/>
    </row>
    <row r="2385" spans="1:27" s="37" customFormat="1" x14ac:dyDescent="0.15">
      <c r="A2385" s="166"/>
      <c r="B2385" s="82"/>
      <c r="C2385" s="70"/>
      <c r="D2385" s="70"/>
      <c r="E2385" s="70"/>
      <c r="F2385" s="70"/>
      <c r="G2385" s="70"/>
      <c r="H2385" s="85"/>
      <c r="I2385" s="85"/>
      <c r="J2385" s="131"/>
      <c r="K2385" s="60"/>
      <c r="L2385" s="49"/>
      <c r="P2385" s="3"/>
      <c r="Q2385" s="3"/>
      <c r="R2385" s="3"/>
      <c r="S2385" s="3"/>
      <c r="T2385" s="3"/>
      <c r="U2385" s="3"/>
      <c r="V2385" s="3"/>
      <c r="W2385" s="3"/>
      <c r="X2385" s="3"/>
      <c r="Y2385" s="4"/>
      <c r="Z2385"/>
      <c r="AA2385"/>
    </row>
    <row r="2386" spans="1:27" s="37" customFormat="1" x14ac:dyDescent="0.15">
      <c r="A2386" s="166"/>
      <c r="B2386" s="93"/>
      <c r="C2386" s="70"/>
      <c r="D2386" s="70"/>
      <c r="E2386" s="70"/>
      <c r="F2386" s="70"/>
      <c r="G2386" s="70"/>
      <c r="H2386" s="85"/>
      <c r="I2386" s="85"/>
      <c r="J2386" s="131"/>
      <c r="K2386" s="60"/>
      <c r="L2386" s="54"/>
      <c r="P2386" s="3"/>
      <c r="Q2386" s="3"/>
      <c r="R2386" s="3"/>
      <c r="S2386" s="3"/>
      <c r="T2386" s="3"/>
      <c r="U2386" s="3"/>
      <c r="V2386" s="3"/>
      <c r="W2386" s="3"/>
      <c r="X2386" s="3"/>
      <c r="Y2386" s="4"/>
      <c r="Z2386"/>
      <c r="AA2386"/>
    </row>
    <row r="2387" spans="1:27" s="37" customFormat="1" x14ac:dyDescent="0.15">
      <c r="A2387" s="166"/>
      <c r="B2387" s="82"/>
      <c r="C2387" s="70"/>
      <c r="D2387" s="70"/>
      <c r="E2387" s="70"/>
      <c r="F2387" s="70"/>
      <c r="G2387" s="70"/>
      <c r="H2387" s="85"/>
      <c r="I2387" s="85"/>
      <c r="J2387" s="131"/>
      <c r="K2387" s="60"/>
      <c r="L2387" s="49"/>
      <c r="P2387" s="3"/>
      <c r="Q2387" s="3"/>
      <c r="R2387" s="3"/>
      <c r="S2387" s="3"/>
      <c r="T2387" s="3"/>
      <c r="U2387" s="3"/>
      <c r="V2387" s="3"/>
      <c r="W2387" s="3"/>
      <c r="X2387" s="3"/>
      <c r="Y2387" s="4"/>
      <c r="Z2387"/>
      <c r="AA2387"/>
    </row>
    <row r="2388" spans="1:27" s="37" customFormat="1" x14ac:dyDescent="0.15">
      <c r="A2388" s="166"/>
      <c r="B2388" s="82"/>
      <c r="C2388" s="70"/>
      <c r="D2388" s="70"/>
      <c r="E2388" s="70"/>
      <c r="F2388" s="70"/>
      <c r="G2388" s="70"/>
      <c r="H2388" s="85"/>
      <c r="I2388" s="85"/>
      <c r="J2388" s="131"/>
      <c r="K2388" s="60"/>
      <c r="L2388" s="49"/>
      <c r="P2388" s="3"/>
      <c r="Q2388" s="3"/>
      <c r="R2388" s="3"/>
      <c r="S2388" s="3"/>
      <c r="T2388" s="3"/>
      <c r="U2388" s="3"/>
      <c r="V2388" s="3"/>
      <c r="W2388" s="3"/>
      <c r="X2388" s="3"/>
      <c r="Y2388" s="4"/>
      <c r="Z2388"/>
      <c r="AA2388"/>
    </row>
    <row r="2389" spans="1:27" s="37" customFormat="1" x14ac:dyDescent="0.15">
      <c r="A2389" s="166"/>
      <c r="B2389" s="82"/>
      <c r="C2389" s="70"/>
      <c r="D2389" s="70"/>
      <c r="E2389" s="70"/>
      <c r="F2389" s="70"/>
      <c r="G2389" s="70"/>
      <c r="H2389" s="85"/>
      <c r="I2389" s="85"/>
      <c r="J2389" s="131"/>
      <c r="K2389" s="60"/>
      <c r="L2389" s="49"/>
      <c r="P2389" s="3"/>
      <c r="Q2389" s="3"/>
      <c r="R2389" s="3"/>
      <c r="S2389" s="3"/>
      <c r="T2389" s="3"/>
      <c r="U2389" s="3"/>
      <c r="V2389" s="3"/>
      <c r="W2389" s="3"/>
      <c r="X2389" s="3"/>
      <c r="Y2389" s="4"/>
      <c r="Z2389"/>
      <c r="AA2389"/>
    </row>
    <row r="2390" spans="1:27" s="37" customFormat="1" x14ac:dyDescent="0.15">
      <c r="A2390" s="166"/>
      <c r="B2390" s="82"/>
      <c r="C2390" s="70"/>
      <c r="D2390" s="70"/>
      <c r="E2390" s="70"/>
      <c r="F2390" s="70"/>
      <c r="G2390" s="70"/>
      <c r="H2390" s="85"/>
      <c r="I2390" s="85"/>
      <c r="J2390" s="131"/>
      <c r="K2390" s="60"/>
      <c r="L2390" s="49"/>
      <c r="P2390" s="3"/>
      <c r="Q2390" s="3"/>
      <c r="R2390" s="3"/>
      <c r="S2390" s="3"/>
      <c r="T2390" s="3"/>
      <c r="U2390" s="3"/>
      <c r="V2390" s="3"/>
      <c r="W2390" s="3"/>
      <c r="X2390" s="3"/>
      <c r="Y2390" s="4"/>
      <c r="Z2390"/>
      <c r="AA2390"/>
    </row>
    <row r="2391" spans="1:27" s="37" customFormat="1" x14ac:dyDescent="0.15">
      <c r="A2391" s="166"/>
      <c r="B2391" s="82"/>
      <c r="C2391" s="70"/>
      <c r="D2391" s="70"/>
      <c r="E2391" s="70"/>
      <c r="F2391" s="70"/>
      <c r="G2391" s="70"/>
      <c r="H2391" s="85"/>
      <c r="I2391" s="85"/>
      <c r="J2391" s="131"/>
      <c r="K2391" s="60"/>
      <c r="L2391" s="49"/>
      <c r="P2391" s="3"/>
      <c r="Q2391" s="3"/>
      <c r="R2391" s="3"/>
      <c r="S2391" s="3"/>
      <c r="T2391" s="3"/>
      <c r="U2391" s="3"/>
      <c r="V2391" s="3"/>
      <c r="W2391" s="3"/>
      <c r="X2391" s="3"/>
      <c r="Y2391" s="4"/>
      <c r="Z2391"/>
      <c r="AA2391"/>
    </row>
    <row r="2392" spans="1:27" s="37" customFormat="1" x14ac:dyDescent="0.15">
      <c r="A2392" s="166"/>
      <c r="B2392" s="82"/>
      <c r="C2392" s="70"/>
      <c r="D2392" s="70"/>
      <c r="E2392" s="70"/>
      <c r="F2392" s="70"/>
      <c r="G2392" s="70"/>
      <c r="H2392" s="85"/>
      <c r="I2392" s="85"/>
      <c r="J2392" s="131"/>
      <c r="K2392" s="60"/>
      <c r="L2392" s="49"/>
      <c r="P2392" s="3"/>
      <c r="Q2392" s="3"/>
      <c r="R2392" s="3"/>
      <c r="S2392" s="3"/>
      <c r="T2392" s="3"/>
      <c r="U2392" s="3"/>
      <c r="V2392" s="3"/>
      <c r="W2392" s="3"/>
      <c r="X2392" s="3"/>
      <c r="Y2392" s="4"/>
      <c r="Z2392"/>
      <c r="AA2392"/>
    </row>
    <row r="2393" spans="1:27" s="37" customFormat="1" x14ac:dyDescent="0.15">
      <c r="A2393" s="166"/>
      <c r="B2393" s="82"/>
      <c r="C2393" s="70"/>
      <c r="D2393" s="70"/>
      <c r="E2393" s="70"/>
      <c r="F2393" s="70"/>
      <c r="G2393" s="70"/>
      <c r="H2393" s="85"/>
      <c r="I2393" s="85"/>
      <c r="J2393" s="131"/>
      <c r="K2393" s="60"/>
      <c r="L2393" s="49"/>
      <c r="P2393" s="3"/>
      <c r="Q2393" s="3"/>
      <c r="R2393" s="3"/>
      <c r="S2393" s="3"/>
      <c r="T2393" s="3"/>
      <c r="U2393" s="3"/>
      <c r="V2393" s="3"/>
      <c r="W2393" s="3"/>
      <c r="X2393" s="3"/>
      <c r="Y2393" s="4"/>
      <c r="Z2393"/>
      <c r="AA2393"/>
    </row>
    <row r="2394" spans="1:27" s="37" customFormat="1" x14ac:dyDescent="0.15">
      <c r="A2394" s="166"/>
      <c r="B2394" s="82"/>
      <c r="C2394" s="70"/>
      <c r="D2394" s="70"/>
      <c r="E2394" s="70"/>
      <c r="F2394" s="70"/>
      <c r="G2394" s="70"/>
      <c r="H2394" s="85"/>
      <c r="I2394" s="85"/>
      <c r="J2394" s="131"/>
      <c r="K2394" s="60"/>
      <c r="L2394" s="49"/>
      <c r="P2394" s="3"/>
      <c r="Q2394" s="3"/>
      <c r="R2394" s="3"/>
      <c r="S2394" s="3"/>
      <c r="T2394" s="3"/>
      <c r="U2394" s="3"/>
      <c r="V2394" s="3"/>
      <c r="W2394" s="3"/>
      <c r="X2394" s="3"/>
      <c r="Y2394" s="4"/>
      <c r="Z2394"/>
      <c r="AA2394"/>
    </row>
    <row r="2395" spans="1:27" s="37" customFormat="1" x14ac:dyDescent="0.15">
      <c r="A2395" s="166"/>
      <c r="B2395" s="82"/>
      <c r="C2395" s="70"/>
      <c r="D2395" s="70"/>
      <c r="E2395" s="70"/>
      <c r="F2395" s="70"/>
      <c r="G2395" s="70"/>
      <c r="H2395" s="85"/>
      <c r="I2395" s="85"/>
      <c r="J2395" s="131"/>
      <c r="K2395" s="60"/>
      <c r="L2395" s="49"/>
      <c r="P2395" s="3"/>
      <c r="Q2395" s="3"/>
      <c r="R2395" s="3"/>
      <c r="S2395" s="3"/>
      <c r="T2395" s="3"/>
      <c r="U2395" s="3"/>
      <c r="V2395" s="3"/>
      <c r="W2395" s="3"/>
      <c r="X2395" s="3"/>
      <c r="Y2395" s="4"/>
      <c r="Z2395"/>
      <c r="AA2395"/>
    </row>
    <row r="2396" spans="1:27" s="37" customFormat="1" x14ac:dyDescent="0.15">
      <c r="A2396" s="166"/>
      <c r="B2396" s="82"/>
      <c r="C2396" s="70"/>
      <c r="D2396" s="70"/>
      <c r="E2396" s="70"/>
      <c r="F2396" s="70"/>
      <c r="G2396" s="70"/>
      <c r="H2396" s="85"/>
      <c r="I2396" s="85"/>
      <c r="J2396" s="131"/>
      <c r="K2396" s="60"/>
      <c r="L2396" s="49"/>
      <c r="P2396" s="3"/>
      <c r="Q2396" s="3"/>
      <c r="R2396" s="3"/>
      <c r="S2396" s="3"/>
      <c r="T2396" s="3"/>
      <c r="U2396" s="3"/>
      <c r="V2396" s="3"/>
      <c r="W2396" s="3"/>
      <c r="X2396" s="3"/>
      <c r="Y2396" s="4"/>
      <c r="Z2396"/>
      <c r="AA2396"/>
    </row>
    <row r="2397" spans="1:27" s="37" customFormat="1" x14ac:dyDescent="0.15">
      <c r="A2397" s="166"/>
      <c r="B2397" s="82"/>
      <c r="C2397" s="70"/>
      <c r="D2397" s="70"/>
      <c r="E2397" s="70"/>
      <c r="F2397" s="70"/>
      <c r="G2397" s="70"/>
      <c r="H2397" s="85"/>
      <c r="I2397" s="85"/>
      <c r="J2397" s="131"/>
      <c r="K2397" s="60"/>
      <c r="L2397" s="49"/>
      <c r="P2397" s="3"/>
      <c r="Q2397" s="3"/>
      <c r="R2397" s="3"/>
      <c r="S2397" s="3"/>
      <c r="T2397" s="3"/>
      <c r="U2397" s="3"/>
      <c r="V2397" s="3"/>
      <c r="W2397" s="3"/>
      <c r="X2397" s="3"/>
      <c r="Y2397" s="4"/>
      <c r="Z2397"/>
      <c r="AA2397"/>
    </row>
    <row r="2398" spans="1:27" s="37" customFormat="1" x14ac:dyDescent="0.15">
      <c r="A2398" s="166"/>
      <c r="B2398" s="82"/>
      <c r="C2398" s="70"/>
      <c r="D2398" s="70"/>
      <c r="E2398" s="70"/>
      <c r="F2398" s="70"/>
      <c r="G2398" s="70"/>
      <c r="H2398" s="85"/>
      <c r="I2398" s="85"/>
      <c r="J2398" s="131"/>
      <c r="K2398" s="60"/>
      <c r="L2398" s="49"/>
      <c r="P2398" s="3"/>
      <c r="Q2398" s="3"/>
      <c r="R2398" s="3"/>
      <c r="S2398" s="3"/>
      <c r="T2398" s="3"/>
      <c r="U2398" s="3"/>
      <c r="V2398" s="3"/>
      <c r="W2398" s="3"/>
      <c r="X2398" s="3"/>
      <c r="Y2398" s="4"/>
      <c r="Z2398"/>
      <c r="AA2398"/>
    </row>
    <row r="2399" spans="1:27" s="37" customFormat="1" x14ac:dyDescent="0.15">
      <c r="A2399" s="166"/>
      <c r="B2399" s="82"/>
      <c r="C2399" s="70"/>
      <c r="D2399" s="70"/>
      <c r="E2399" s="70"/>
      <c r="F2399" s="70"/>
      <c r="G2399" s="70"/>
      <c r="H2399" s="85"/>
      <c r="I2399" s="85"/>
      <c r="J2399" s="131"/>
      <c r="K2399" s="60"/>
      <c r="L2399" s="49"/>
      <c r="P2399" s="3"/>
      <c r="Q2399" s="3"/>
      <c r="R2399" s="3"/>
      <c r="S2399" s="3"/>
      <c r="T2399" s="3"/>
      <c r="U2399" s="3"/>
      <c r="V2399" s="3"/>
      <c r="W2399" s="3"/>
      <c r="X2399" s="3"/>
      <c r="Y2399" s="4"/>
      <c r="Z2399"/>
      <c r="AA2399"/>
    </row>
    <row r="2400" spans="1:27" s="37" customFormat="1" x14ac:dyDescent="0.15">
      <c r="A2400" s="166"/>
      <c r="B2400" s="82"/>
      <c r="C2400" s="70"/>
      <c r="D2400" s="70"/>
      <c r="E2400" s="70"/>
      <c r="F2400" s="70"/>
      <c r="G2400" s="70"/>
      <c r="H2400" s="85"/>
      <c r="I2400" s="85"/>
      <c r="J2400" s="131"/>
      <c r="K2400" s="60"/>
      <c r="L2400" s="49"/>
      <c r="P2400" s="3"/>
      <c r="Q2400" s="3"/>
      <c r="R2400" s="3"/>
      <c r="S2400" s="3"/>
      <c r="T2400" s="3"/>
      <c r="U2400" s="3"/>
      <c r="V2400" s="3"/>
      <c r="W2400" s="3"/>
      <c r="X2400" s="3"/>
      <c r="Y2400" s="4"/>
      <c r="Z2400"/>
      <c r="AA2400"/>
    </row>
    <row r="2401" spans="1:27" s="37" customFormat="1" x14ac:dyDescent="0.15">
      <c r="A2401" s="166"/>
      <c r="B2401" s="82"/>
      <c r="C2401" s="70"/>
      <c r="D2401" s="70"/>
      <c r="E2401" s="70"/>
      <c r="F2401" s="70"/>
      <c r="G2401" s="70"/>
      <c r="H2401" s="85"/>
      <c r="I2401" s="85"/>
      <c r="J2401" s="131"/>
      <c r="K2401" s="60"/>
      <c r="L2401" s="49"/>
      <c r="P2401" s="3"/>
      <c r="Q2401" s="3"/>
      <c r="R2401" s="3"/>
      <c r="S2401" s="3"/>
      <c r="T2401" s="3"/>
      <c r="U2401" s="3"/>
      <c r="V2401" s="3"/>
      <c r="W2401" s="3"/>
      <c r="X2401" s="3"/>
      <c r="Y2401" s="4"/>
      <c r="Z2401"/>
      <c r="AA2401"/>
    </row>
    <row r="2402" spans="1:27" s="37" customFormat="1" x14ac:dyDescent="0.15">
      <c r="A2402" s="166"/>
      <c r="B2402" s="82"/>
      <c r="C2402" s="70"/>
      <c r="D2402" s="70"/>
      <c r="E2402" s="70"/>
      <c r="F2402" s="70"/>
      <c r="G2402" s="70"/>
      <c r="H2402" s="85"/>
      <c r="I2402" s="85"/>
      <c r="J2402" s="131"/>
      <c r="K2402" s="60"/>
      <c r="L2402" s="49"/>
      <c r="P2402" s="3"/>
      <c r="Q2402" s="3"/>
      <c r="R2402" s="3"/>
      <c r="S2402" s="3"/>
      <c r="T2402" s="3"/>
      <c r="U2402" s="3"/>
      <c r="V2402" s="3"/>
      <c r="W2402" s="3"/>
      <c r="X2402" s="3"/>
      <c r="Y2402" s="4"/>
      <c r="Z2402"/>
      <c r="AA2402"/>
    </row>
    <row r="2403" spans="1:27" s="37" customFormat="1" x14ac:dyDescent="0.15">
      <c r="A2403" s="166"/>
      <c r="B2403" s="82"/>
      <c r="C2403" s="70"/>
      <c r="D2403" s="70"/>
      <c r="E2403" s="70"/>
      <c r="F2403" s="70"/>
      <c r="G2403" s="70"/>
      <c r="H2403" s="85"/>
      <c r="I2403" s="85"/>
      <c r="J2403" s="131"/>
      <c r="K2403" s="60"/>
      <c r="L2403" s="49"/>
      <c r="P2403" s="3"/>
      <c r="Q2403" s="3"/>
      <c r="R2403" s="3"/>
      <c r="S2403" s="3"/>
      <c r="T2403" s="3"/>
      <c r="U2403" s="3"/>
      <c r="V2403" s="3"/>
      <c r="W2403" s="3"/>
      <c r="X2403" s="3"/>
      <c r="Y2403" s="4"/>
      <c r="Z2403"/>
      <c r="AA2403"/>
    </row>
    <row r="2404" spans="1:27" s="37" customFormat="1" x14ac:dyDescent="0.15">
      <c r="A2404" s="166"/>
      <c r="B2404" s="82"/>
      <c r="C2404" s="70"/>
      <c r="D2404" s="70"/>
      <c r="E2404" s="70"/>
      <c r="F2404" s="70"/>
      <c r="G2404" s="70"/>
      <c r="H2404" s="85"/>
      <c r="I2404" s="85"/>
      <c r="J2404" s="131"/>
      <c r="K2404" s="60"/>
      <c r="L2404" s="49"/>
      <c r="P2404" s="3"/>
      <c r="Q2404" s="3"/>
      <c r="R2404" s="3"/>
      <c r="S2404" s="3"/>
      <c r="T2404" s="3"/>
      <c r="U2404" s="3"/>
      <c r="V2404" s="3"/>
      <c r="W2404" s="3"/>
      <c r="X2404" s="3"/>
      <c r="Y2404" s="4"/>
      <c r="Z2404"/>
      <c r="AA2404"/>
    </row>
    <row r="2405" spans="1:27" s="37" customFormat="1" x14ac:dyDescent="0.15">
      <c r="A2405" s="166"/>
      <c r="B2405" s="82"/>
      <c r="C2405" s="70"/>
      <c r="D2405" s="70"/>
      <c r="E2405" s="70"/>
      <c r="F2405" s="70"/>
      <c r="G2405" s="70"/>
      <c r="H2405" s="85"/>
      <c r="I2405" s="85"/>
      <c r="J2405" s="131"/>
      <c r="K2405" s="60"/>
      <c r="L2405" s="49"/>
      <c r="P2405" s="3"/>
      <c r="Q2405" s="3"/>
      <c r="R2405" s="3"/>
      <c r="S2405" s="3"/>
      <c r="T2405" s="3"/>
      <c r="U2405" s="3"/>
      <c r="V2405" s="3"/>
      <c r="W2405" s="3"/>
      <c r="X2405" s="3"/>
      <c r="Y2405" s="4"/>
      <c r="Z2405"/>
      <c r="AA2405"/>
    </row>
    <row r="2406" spans="1:27" s="37" customFormat="1" x14ac:dyDescent="0.15">
      <c r="A2406" s="166"/>
      <c r="B2406" s="82"/>
      <c r="C2406" s="70"/>
      <c r="D2406" s="70"/>
      <c r="E2406" s="70"/>
      <c r="F2406" s="70"/>
      <c r="G2406" s="70"/>
      <c r="H2406" s="85"/>
      <c r="I2406" s="85"/>
      <c r="J2406" s="131"/>
      <c r="K2406" s="60"/>
      <c r="L2406" s="49"/>
      <c r="P2406" s="3"/>
      <c r="Q2406" s="3"/>
      <c r="R2406" s="3"/>
      <c r="S2406" s="3"/>
      <c r="T2406" s="3"/>
      <c r="U2406" s="3"/>
      <c r="V2406" s="3"/>
      <c r="W2406" s="3"/>
      <c r="X2406" s="3"/>
      <c r="Y2406" s="4"/>
      <c r="Z2406"/>
      <c r="AA2406"/>
    </row>
    <row r="2407" spans="1:27" s="37" customFormat="1" x14ac:dyDescent="0.15">
      <c r="A2407" s="166"/>
      <c r="B2407" s="82"/>
      <c r="C2407" s="70"/>
      <c r="D2407" s="70"/>
      <c r="E2407" s="70"/>
      <c r="F2407" s="70"/>
      <c r="G2407" s="70"/>
      <c r="H2407" s="85"/>
      <c r="I2407" s="85"/>
      <c r="J2407" s="131"/>
      <c r="K2407" s="60"/>
      <c r="L2407" s="49"/>
      <c r="P2407" s="3"/>
      <c r="Q2407" s="3"/>
      <c r="R2407" s="3"/>
      <c r="S2407" s="3"/>
      <c r="T2407" s="3"/>
      <c r="U2407" s="3"/>
      <c r="V2407" s="3"/>
      <c r="W2407" s="3"/>
      <c r="X2407" s="3"/>
      <c r="Y2407" s="4"/>
      <c r="Z2407"/>
      <c r="AA2407"/>
    </row>
    <row r="2408" spans="1:27" s="37" customFormat="1" x14ac:dyDescent="0.15">
      <c r="A2408" s="166"/>
      <c r="B2408" s="93"/>
      <c r="C2408" s="70"/>
      <c r="D2408" s="70"/>
      <c r="E2408" s="70"/>
      <c r="F2408" s="70"/>
      <c r="G2408" s="70"/>
      <c r="H2408" s="85"/>
      <c r="I2408" s="85"/>
      <c r="J2408" s="131"/>
      <c r="K2408" s="60"/>
      <c r="P2408" s="3"/>
      <c r="Q2408" s="3"/>
      <c r="R2408" s="3"/>
      <c r="S2408" s="3"/>
      <c r="T2408" s="3"/>
      <c r="U2408" s="3"/>
      <c r="V2408" s="3"/>
      <c r="W2408" s="3"/>
      <c r="X2408" s="3"/>
      <c r="Y2408" s="4"/>
      <c r="Z2408"/>
      <c r="AA2408"/>
    </row>
    <row r="2409" spans="1:27" s="37" customFormat="1" x14ac:dyDescent="0.15">
      <c r="A2409" s="165"/>
      <c r="B2409" s="93"/>
      <c r="C2409" s="61"/>
      <c r="D2409" s="61"/>
      <c r="E2409" s="61"/>
      <c r="F2409" s="61"/>
      <c r="G2409" s="61"/>
      <c r="H2409" s="85"/>
      <c r="I2409" s="103"/>
      <c r="J2409" s="141"/>
      <c r="K2409" s="67"/>
      <c r="L2409" s="35"/>
      <c r="P2409" s="3"/>
      <c r="Q2409" s="3"/>
      <c r="R2409" s="3"/>
      <c r="S2409" s="3"/>
      <c r="T2409" s="3"/>
      <c r="U2409" s="3"/>
      <c r="V2409" s="3"/>
      <c r="W2409" s="3"/>
      <c r="X2409" s="3"/>
      <c r="Y2409" s="4"/>
      <c r="Z2409"/>
      <c r="AA2409"/>
    </row>
    <row r="2410" spans="1:27" s="37" customFormat="1" x14ac:dyDescent="0.15">
      <c r="A2410" s="165"/>
      <c r="B2410" s="93"/>
      <c r="C2410" s="62"/>
      <c r="D2410" s="62"/>
      <c r="E2410" s="61"/>
      <c r="F2410" s="62"/>
      <c r="G2410" s="62"/>
      <c r="H2410" s="85"/>
      <c r="I2410" s="98"/>
      <c r="J2410" s="141"/>
      <c r="K2410" s="67"/>
      <c r="L2410" s="35"/>
      <c r="P2410" s="3"/>
      <c r="Q2410" s="3"/>
      <c r="R2410" s="3"/>
      <c r="S2410" s="3"/>
      <c r="T2410" s="3"/>
      <c r="U2410" s="3"/>
      <c r="V2410" s="3"/>
      <c r="W2410" s="3"/>
      <c r="X2410" s="3"/>
      <c r="Y2410" s="4"/>
      <c r="Z2410"/>
      <c r="AA2410"/>
    </row>
    <row r="2411" spans="1:27" s="37" customFormat="1" x14ac:dyDescent="0.15">
      <c r="A2411" s="165"/>
      <c r="B2411" s="93"/>
      <c r="C2411" s="62"/>
      <c r="D2411" s="62"/>
      <c r="E2411" s="61"/>
      <c r="F2411" s="62"/>
      <c r="G2411" s="62"/>
      <c r="H2411" s="85"/>
      <c r="I2411" s="98"/>
      <c r="J2411" s="131"/>
      <c r="K2411" s="67"/>
      <c r="L2411" s="53"/>
      <c r="M2411" s="32"/>
      <c r="P2411" s="3"/>
      <c r="Q2411" s="3"/>
      <c r="R2411" s="3"/>
      <c r="S2411" s="3"/>
      <c r="T2411" s="3"/>
      <c r="U2411" s="3"/>
      <c r="V2411" s="3"/>
      <c r="W2411" s="3"/>
      <c r="X2411" s="3"/>
      <c r="Y2411" s="4"/>
      <c r="Z2411"/>
      <c r="AA2411"/>
    </row>
    <row r="2412" spans="1:27" s="37" customFormat="1" x14ac:dyDescent="0.15">
      <c r="A2412" s="166"/>
      <c r="B2412" s="93"/>
      <c r="C2412" s="70"/>
      <c r="D2412" s="70"/>
      <c r="E2412" s="70"/>
      <c r="F2412" s="70"/>
      <c r="G2412" s="70"/>
      <c r="H2412" s="85"/>
      <c r="I2412" s="85"/>
      <c r="J2412" s="131"/>
      <c r="K2412" s="60"/>
      <c r="P2412" s="3"/>
      <c r="Q2412" s="3"/>
      <c r="R2412" s="3"/>
      <c r="S2412" s="3"/>
      <c r="T2412" s="3"/>
      <c r="U2412" s="3"/>
      <c r="V2412" s="3"/>
      <c r="W2412" s="3"/>
      <c r="X2412" s="3"/>
      <c r="Y2412" s="4"/>
      <c r="Z2412"/>
      <c r="AA2412"/>
    </row>
    <row r="2413" spans="1:27" s="37" customFormat="1" x14ac:dyDescent="0.15">
      <c r="A2413" s="166"/>
      <c r="B2413" s="93"/>
      <c r="C2413" s="70"/>
      <c r="D2413" s="70"/>
      <c r="E2413" s="70"/>
      <c r="F2413" s="70"/>
      <c r="G2413" s="70"/>
      <c r="H2413" s="85"/>
      <c r="I2413" s="85"/>
      <c r="J2413" s="131"/>
      <c r="K2413" s="60"/>
      <c r="P2413" s="3"/>
      <c r="Q2413" s="3"/>
      <c r="R2413" s="3"/>
      <c r="S2413" s="3"/>
      <c r="T2413" s="3"/>
      <c r="U2413" s="3"/>
      <c r="V2413" s="3"/>
      <c r="W2413" s="3"/>
      <c r="X2413" s="3"/>
      <c r="Y2413" s="4"/>
      <c r="Z2413"/>
      <c r="AA2413"/>
    </row>
    <row r="2414" spans="1:27" s="37" customFormat="1" x14ac:dyDescent="0.15">
      <c r="A2414" s="166"/>
      <c r="B2414" s="93"/>
      <c r="C2414" s="70"/>
      <c r="D2414" s="70"/>
      <c r="E2414" s="70"/>
      <c r="F2414" s="70"/>
      <c r="G2414" s="70"/>
      <c r="H2414" s="85"/>
      <c r="I2414" s="85"/>
      <c r="J2414" s="131"/>
      <c r="K2414" s="60"/>
      <c r="L2414" s="53"/>
      <c r="M2414" s="32"/>
      <c r="P2414" s="3"/>
      <c r="Q2414" s="3"/>
      <c r="R2414" s="3"/>
      <c r="S2414" s="3"/>
      <c r="T2414" s="3"/>
      <c r="U2414" s="3"/>
      <c r="V2414" s="3"/>
      <c r="W2414" s="3"/>
      <c r="X2414" s="3"/>
      <c r="Y2414" s="4"/>
      <c r="Z2414"/>
      <c r="AA2414"/>
    </row>
    <row r="2415" spans="1:27" s="37" customFormat="1" ht="16" x14ac:dyDescent="0.2">
      <c r="A2415" s="166"/>
      <c r="B2415" s="93"/>
      <c r="C2415" s="70"/>
      <c r="D2415" s="70"/>
      <c r="E2415" s="70"/>
      <c r="F2415" s="70"/>
      <c r="G2415" s="70"/>
      <c r="H2415" s="85"/>
      <c r="I2415" s="85"/>
      <c r="J2415" s="131"/>
      <c r="K2415" s="60"/>
      <c r="M2415" s="48"/>
      <c r="P2415" s="3"/>
      <c r="Q2415" s="3"/>
      <c r="R2415" s="3"/>
      <c r="S2415" s="3"/>
      <c r="T2415" s="3"/>
      <c r="U2415" s="3"/>
      <c r="V2415" s="3"/>
      <c r="W2415" s="3"/>
      <c r="X2415" s="3"/>
      <c r="Y2415" s="4"/>
      <c r="Z2415"/>
      <c r="AA2415"/>
    </row>
    <row r="2416" spans="1:27" s="37" customFormat="1" x14ac:dyDescent="0.15">
      <c r="A2416" s="166"/>
      <c r="B2416" s="93"/>
      <c r="C2416" s="70"/>
      <c r="D2416" s="70"/>
      <c r="E2416" s="70"/>
      <c r="F2416" s="70"/>
      <c r="G2416" s="70"/>
      <c r="H2416" s="85"/>
      <c r="I2416" s="85"/>
      <c r="J2416" s="131"/>
      <c r="K2416" s="60"/>
      <c r="L2416" s="33"/>
      <c r="P2416" s="3"/>
      <c r="Q2416" s="3"/>
      <c r="R2416" s="3"/>
      <c r="S2416" s="3"/>
      <c r="T2416" s="3"/>
      <c r="U2416" s="3"/>
      <c r="V2416" s="3"/>
      <c r="W2416" s="3"/>
      <c r="X2416" s="3"/>
      <c r="Y2416" s="4"/>
      <c r="Z2416"/>
      <c r="AA2416"/>
    </row>
    <row r="2417" spans="1:27" s="37" customFormat="1" x14ac:dyDescent="0.15">
      <c r="A2417" s="166"/>
      <c r="B2417" s="93"/>
      <c r="C2417" s="70"/>
      <c r="D2417" s="70"/>
      <c r="E2417" s="70"/>
      <c r="F2417" s="70"/>
      <c r="G2417" s="70"/>
      <c r="H2417" s="85"/>
      <c r="I2417" s="85"/>
      <c r="J2417" s="131"/>
      <c r="K2417" s="60"/>
      <c r="P2417" s="3"/>
      <c r="Q2417" s="3"/>
      <c r="R2417" s="3"/>
      <c r="S2417" s="3"/>
      <c r="T2417" s="3"/>
      <c r="U2417" s="3"/>
      <c r="V2417" s="3"/>
      <c r="W2417" s="3"/>
      <c r="X2417" s="3"/>
      <c r="Y2417" s="4"/>
      <c r="Z2417"/>
      <c r="AA2417"/>
    </row>
    <row r="2418" spans="1:27" s="37" customFormat="1" x14ac:dyDescent="0.15">
      <c r="A2418" s="166"/>
      <c r="B2418" s="93"/>
      <c r="C2418" s="70"/>
      <c r="D2418" s="70"/>
      <c r="E2418" s="70"/>
      <c r="F2418" s="70"/>
      <c r="G2418" s="70"/>
      <c r="H2418" s="85"/>
      <c r="I2418" s="85"/>
      <c r="J2418" s="131"/>
      <c r="K2418" s="60"/>
      <c r="L2418" s="33"/>
      <c r="M2418" s="32"/>
      <c r="P2418" s="3"/>
      <c r="Q2418" s="3"/>
      <c r="R2418" s="3"/>
      <c r="S2418" s="3"/>
      <c r="T2418" s="3"/>
      <c r="U2418" s="3"/>
      <c r="V2418" s="3"/>
      <c r="W2418" s="3"/>
      <c r="X2418" s="3"/>
      <c r="Y2418" s="4"/>
      <c r="Z2418"/>
      <c r="AA2418"/>
    </row>
    <row r="2419" spans="1:27" s="37" customFormat="1" ht="16" x14ac:dyDescent="0.2">
      <c r="A2419" s="166"/>
      <c r="B2419" s="93"/>
      <c r="C2419" s="70"/>
      <c r="D2419" s="70"/>
      <c r="E2419" s="70"/>
      <c r="F2419" s="70"/>
      <c r="G2419" s="70"/>
      <c r="H2419" s="85"/>
      <c r="I2419" s="85"/>
      <c r="J2419" s="131"/>
      <c r="K2419" s="60"/>
      <c r="M2419" s="48"/>
      <c r="P2419" s="3"/>
      <c r="Q2419" s="3"/>
      <c r="R2419" s="3"/>
      <c r="S2419" s="3"/>
      <c r="T2419" s="3"/>
      <c r="U2419" s="3"/>
      <c r="V2419" s="3"/>
      <c r="W2419" s="3"/>
      <c r="X2419" s="3"/>
      <c r="Y2419" s="4"/>
      <c r="Z2419"/>
      <c r="AA2419"/>
    </row>
    <row r="2420" spans="1:27" s="37" customFormat="1" x14ac:dyDescent="0.15">
      <c r="A2420" s="166"/>
      <c r="B2420" s="93"/>
      <c r="C2420" s="70"/>
      <c r="D2420" s="70"/>
      <c r="E2420" s="70"/>
      <c r="F2420" s="70"/>
      <c r="G2420" s="70"/>
      <c r="H2420" s="85"/>
      <c r="I2420" s="85"/>
      <c r="J2420" s="131"/>
      <c r="K2420" s="60"/>
      <c r="P2420" s="3"/>
      <c r="Q2420" s="3"/>
      <c r="R2420" s="3"/>
      <c r="S2420" s="3"/>
      <c r="T2420" s="3"/>
      <c r="U2420" s="3"/>
      <c r="V2420" s="3"/>
      <c r="W2420" s="3"/>
      <c r="X2420" s="3"/>
      <c r="Y2420" s="4"/>
      <c r="Z2420"/>
      <c r="AA2420"/>
    </row>
    <row r="2421" spans="1:27" s="37" customFormat="1" x14ac:dyDescent="0.15">
      <c r="A2421" s="166"/>
      <c r="B2421" s="93"/>
      <c r="C2421" s="70"/>
      <c r="D2421" s="70"/>
      <c r="E2421" s="70"/>
      <c r="F2421" s="70"/>
      <c r="G2421" s="70"/>
      <c r="H2421" s="85"/>
      <c r="I2421" s="85"/>
      <c r="J2421" s="131"/>
      <c r="K2421" s="60"/>
      <c r="L2421" s="33"/>
      <c r="P2421" s="3"/>
      <c r="Q2421" s="3"/>
      <c r="R2421" s="3"/>
      <c r="S2421" s="3"/>
      <c r="T2421" s="3"/>
      <c r="U2421" s="3"/>
      <c r="V2421" s="3"/>
      <c r="W2421" s="3"/>
      <c r="X2421" s="3"/>
      <c r="Y2421" s="4"/>
      <c r="Z2421"/>
      <c r="AA2421"/>
    </row>
    <row r="2422" spans="1:27" s="37" customFormat="1" x14ac:dyDescent="0.15">
      <c r="A2422" s="166"/>
      <c r="B2422" s="93"/>
      <c r="C2422" s="70"/>
      <c r="D2422" s="70"/>
      <c r="E2422" s="70"/>
      <c r="F2422" s="70"/>
      <c r="G2422" s="70"/>
      <c r="H2422" s="85"/>
      <c r="I2422" s="85"/>
      <c r="J2422" s="131"/>
      <c r="K2422" s="60"/>
      <c r="L2422" s="33"/>
      <c r="P2422" s="3"/>
      <c r="Q2422" s="3"/>
      <c r="R2422" s="3"/>
      <c r="S2422" s="3"/>
      <c r="T2422" s="3"/>
      <c r="U2422" s="3"/>
      <c r="V2422" s="3"/>
      <c r="W2422" s="3"/>
      <c r="X2422" s="3"/>
      <c r="Y2422" s="4"/>
      <c r="Z2422"/>
      <c r="AA2422"/>
    </row>
    <row r="2423" spans="1:27" s="37" customFormat="1" x14ac:dyDescent="0.15">
      <c r="A2423" s="166"/>
      <c r="B2423" s="93"/>
      <c r="C2423" s="70"/>
      <c r="D2423" s="70"/>
      <c r="E2423" s="70"/>
      <c r="F2423" s="70"/>
      <c r="G2423" s="70"/>
      <c r="H2423" s="85"/>
      <c r="I2423" s="85"/>
      <c r="J2423" s="131"/>
      <c r="K2423" s="60"/>
      <c r="L2423" s="33"/>
      <c r="P2423" s="3"/>
      <c r="Q2423" s="3"/>
      <c r="R2423" s="3"/>
      <c r="S2423" s="3"/>
      <c r="T2423" s="3"/>
      <c r="U2423" s="3"/>
      <c r="V2423" s="3"/>
      <c r="W2423" s="3"/>
      <c r="X2423" s="3"/>
      <c r="Y2423" s="4"/>
      <c r="Z2423"/>
      <c r="AA2423"/>
    </row>
    <row r="2424" spans="1:27" s="37" customFormat="1" x14ac:dyDescent="0.15">
      <c r="A2424" s="166"/>
      <c r="B2424" s="93"/>
      <c r="C2424" s="70"/>
      <c r="D2424" s="70"/>
      <c r="E2424" s="70"/>
      <c r="F2424" s="70"/>
      <c r="G2424" s="70"/>
      <c r="H2424" s="85"/>
      <c r="I2424" s="85"/>
      <c r="J2424" s="131"/>
      <c r="K2424" s="60"/>
      <c r="P2424" s="3"/>
      <c r="Q2424" s="3"/>
      <c r="R2424" s="3"/>
      <c r="S2424" s="3"/>
      <c r="T2424" s="3"/>
      <c r="U2424" s="3"/>
      <c r="V2424" s="3"/>
      <c r="W2424" s="3"/>
      <c r="X2424" s="3"/>
      <c r="Y2424" s="4"/>
      <c r="Z2424"/>
      <c r="AA2424"/>
    </row>
    <row r="2425" spans="1:27" s="37" customFormat="1" x14ac:dyDescent="0.15">
      <c r="A2425" s="166"/>
      <c r="B2425" s="93"/>
      <c r="C2425" s="70"/>
      <c r="D2425" s="70"/>
      <c r="E2425" s="70"/>
      <c r="F2425" s="70"/>
      <c r="G2425" s="70"/>
      <c r="H2425" s="85"/>
      <c r="I2425" s="85"/>
      <c r="J2425" s="131"/>
      <c r="K2425" s="60"/>
      <c r="L2425" s="33"/>
      <c r="N2425" s="32"/>
      <c r="P2425" s="3"/>
      <c r="Q2425" s="3"/>
      <c r="R2425" s="3"/>
      <c r="S2425" s="3"/>
      <c r="T2425" s="3"/>
      <c r="U2425" s="3"/>
      <c r="V2425" s="3"/>
      <c r="W2425" s="3"/>
      <c r="X2425" s="3"/>
      <c r="Y2425" s="4"/>
      <c r="Z2425"/>
      <c r="AA2425"/>
    </row>
    <row r="2426" spans="1:27" s="37" customFormat="1" x14ac:dyDescent="0.15">
      <c r="A2426" s="165"/>
      <c r="B2426" s="93"/>
      <c r="C2426" s="61"/>
      <c r="D2426" s="61"/>
      <c r="E2426" s="61"/>
      <c r="F2426" s="61"/>
      <c r="G2426" s="61"/>
      <c r="H2426" s="85"/>
      <c r="I2426" s="103"/>
      <c r="J2426" s="131"/>
      <c r="K2426" s="67"/>
      <c r="L2426" s="35"/>
      <c r="P2426" s="3"/>
      <c r="Q2426" s="3"/>
      <c r="R2426" s="3"/>
      <c r="S2426" s="3"/>
      <c r="T2426" s="3"/>
      <c r="U2426" s="3"/>
      <c r="V2426" s="3"/>
      <c r="W2426" s="3"/>
      <c r="X2426" s="3"/>
      <c r="Y2426" s="4"/>
      <c r="Z2426"/>
      <c r="AA2426"/>
    </row>
    <row r="2427" spans="1:27" s="37" customFormat="1" x14ac:dyDescent="0.15">
      <c r="A2427" s="166"/>
      <c r="B2427" s="93"/>
      <c r="C2427" s="70"/>
      <c r="D2427" s="70"/>
      <c r="E2427" s="70"/>
      <c r="F2427" s="70"/>
      <c r="G2427" s="70"/>
      <c r="H2427" s="85"/>
      <c r="I2427" s="85"/>
      <c r="J2427" s="131"/>
      <c r="K2427" s="60"/>
      <c r="P2427" s="3"/>
      <c r="Q2427" s="3"/>
      <c r="R2427" s="3"/>
      <c r="S2427" s="3"/>
      <c r="T2427" s="3"/>
      <c r="U2427" s="3"/>
      <c r="V2427" s="3"/>
      <c r="W2427" s="3"/>
      <c r="X2427" s="3"/>
      <c r="Y2427" s="4"/>
      <c r="Z2427"/>
      <c r="AA2427"/>
    </row>
    <row r="2428" spans="1:27" s="37" customFormat="1" x14ac:dyDescent="0.15">
      <c r="A2428" s="165"/>
      <c r="B2428" s="93"/>
      <c r="C2428" s="62"/>
      <c r="D2428" s="62"/>
      <c r="E2428" s="62"/>
      <c r="F2428" s="62"/>
      <c r="G2428" s="62"/>
      <c r="H2428" s="85"/>
      <c r="I2428" s="98"/>
      <c r="J2428" s="131"/>
      <c r="K2428" s="67"/>
      <c r="L2428" s="35"/>
      <c r="P2428" s="3"/>
      <c r="Q2428" s="3"/>
      <c r="R2428" s="3"/>
      <c r="S2428" s="3"/>
      <c r="T2428" s="3"/>
      <c r="U2428" s="3"/>
      <c r="V2428" s="3"/>
      <c r="W2428" s="3"/>
      <c r="X2428" s="3"/>
      <c r="Y2428" s="4"/>
      <c r="Z2428"/>
      <c r="AA2428"/>
    </row>
    <row r="2429" spans="1:27" s="37" customFormat="1" x14ac:dyDescent="0.15">
      <c r="A2429" s="166"/>
      <c r="B2429" s="93"/>
      <c r="C2429" s="70"/>
      <c r="D2429" s="70"/>
      <c r="E2429" s="70"/>
      <c r="F2429" s="70"/>
      <c r="G2429" s="70"/>
      <c r="H2429" s="85"/>
      <c r="I2429" s="98"/>
      <c r="J2429" s="131"/>
      <c r="K2429" s="60"/>
      <c r="L2429" s="32"/>
      <c r="M2429" s="32"/>
      <c r="P2429" s="3"/>
      <c r="Q2429" s="3"/>
      <c r="R2429" s="3"/>
      <c r="S2429" s="3"/>
      <c r="T2429" s="3"/>
      <c r="U2429" s="3"/>
      <c r="V2429" s="3"/>
      <c r="W2429" s="3"/>
      <c r="X2429" s="3"/>
      <c r="Y2429" s="4"/>
      <c r="Z2429"/>
      <c r="AA2429"/>
    </row>
    <row r="2430" spans="1:27" s="37" customFormat="1" x14ac:dyDescent="0.15">
      <c r="A2430" s="166"/>
      <c r="B2430" s="93"/>
      <c r="C2430" s="70"/>
      <c r="D2430" s="70"/>
      <c r="E2430" s="70"/>
      <c r="F2430" s="70"/>
      <c r="G2430" s="70"/>
      <c r="H2430" s="103"/>
      <c r="I2430" s="85"/>
      <c r="J2430" s="131"/>
      <c r="K2430" s="60"/>
      <c r="P2430" s="3"/>
      <c r="Q2430" s="3"/>
      <c r="R2430" s="3"/>
      <c r="S2430" s="3"/>
      <c r="T2430" s="3"/>
      <c r="U2430" s="3"/>
      <c r="V2430" s="3"/>
      <c r="W2430" s="3"/>
      <c r="X2430" s="3"/>
      <c r="Y2430" s="4"/>
      <c r="Z2430"/>
      <c r="AA2430"/>
    </row>
    <row r="2431" spans="1:27" s="37" customFormat="1" x14ac:dyDescent="0.15">
      <c r="A2431" s="166"/>
      <c r="B2431" s="93"/>
      <c r="C2431" s="70"/>
      <c r="D2431" s="70"/>
      <c r="E2431" s="70"/>
      <c r="F2431" s="70"/>
      <c r="G2431" s="70"/>
      <c r="H2431" s="85"/>
      <c r="I2431" s="85"/>
      <c r="J2431" s="131"/>
      <c r="K2431" s="60"/>
      <c r="P2431" s="3"/>
      <c r="Q2431" s="3"/>
      <c r="R2431" s="3"/>
      <c r="S2431" s="3"/>
      <c r="T2431" s="3"/>
      <c r="U2431" s="3"/>
      <c r="V2431" s="3"/>
      <c r="W2431" s="3"/>
      <c r="X2431" s="3"/>
      <c r="Y2431" s="4"/>
      <c r="Z2431"/>
      <c r="AA2431"/>
    </row>
    <row r="2432" spans="1:27" s="37" customFormat="1" x14ac:dyDescent="0.15">
      <c r="A2432" s="166"/>
      <c r="B2432" s="93"/>
      <c r="C2432" s="70"/>
      <c r="D2432" s="70"/>
      <c r="E2432" s="70"/>
      <c r="F2432" s="70"/>
      <c r="G2432" s="70"/>
      <c r="H2432" s="85"/>
      <c r="I2432" s="85"/>
      <c r="J2432" s="131"/>
      <c r="K2432" s="60"/>
      <c r="L2432" s="32"/>
      <c r="M2432" s="32"/>
      <c r="P2432" s="3"/>
      <c r="Q2432" s="3"/>
      <c r="R2432" s="3"/>
      <c r="S2432" s="3"/>
      <c r="T2432" s="3"/>
      <c r="U2432" s="3"/>
      <c r="V2432" s="3"/>
      <c r="W2432" s="3"/>
      <c r="X2432" s="3"/>
      <c r="Y2432" s="4"/>
      <c r="Z2432"/>
      <c r="AA2432"/>
    </row>
    <row r="2433" spans="1:27" s="37" customFormat="1" x14ac:dyDescent="0.15">
      <c r="A2433" s="166"/>
      <c r="B2433" s="93"/>
      <c r="C2433" s="70"/>
      <c r="D2433" s="70"/>
      <c r="E2433" s="70"/>
      <c r="F2433" s="70"/>
      <c r="G2433" s="70"/>
      <c r="H2433" s="85"/>
      <c r="I2433" s="85"/>
      <c r="J2433" s="131"/>
      <c r="K2433" s="60"/>
      <c r="M2433" s="32"/>
      <c r="P2433" s="3"/>
      <c r="Q2433" s="3"/>
      <c r="R2433" s="3"/>
      <c r="S2433" s="3"/>
      <c r="T2433" s="3"/>
      <c r="U2433" s="3"/>
      <c r="V2433" s="3"/>
      <c r="W2433" s="3"/>
      <c r="X2433" s="3"/>
      <c r="Y2433" s="4"/>
      <c r="Z2433"/>
      <c r="AA2433"/>
    </row>
    <row r="2434" spans="1:27" s="37" customFormat="1" x14ac:dyDescent="0.15">
      <c r="A2434" s="166"/>
      <c r="B2434" s="93"/>
      <c r="C2434" s="70"/>
      <c r="D2434" s="70"/>
      <c r="E2434" s="70"/>
      <c r="F2434" s="70"/>
      <c r="G2434" s="70"/>
      <c r="H2434" s="85"/>
      <c r="I2434" s="85"/>
      <c r="J2434" s="131"/>
      <c r="K2434" s="60"/>
      <c r="L2434" s="33"/>
      <c r="P2434" s="3"/>
      <c r="Q2434" s="3"/>
      <c r="R2434" s="3"/>
      <c r="S2434" s="3"/>
      <c r="T2434" s="3"/>
      <c r="U2434" s="3"/>
      <c r="V2434" s="3"/>
      <c r="W2434" s="3"/>
      <c r="X2434" s="3"/>
      <c r="Y2434" s="4"/>
      <c r="Z2434"/>
      <c r="AA2434"/>
    </row>
    <row r="2435" spans="1:27" s="37" customFormat="1" x14ac:dyDescent="0.15">
      <c r="A2435" s="166"/>
      <c r="B2435" s="93"/>
      <c r="C2435" s="70"/>
      <c r="D2435" s="70"/>
      <c r="E2435" s="70"/>
      <c r="F2435" s="70"/>
      <c r="G2435" s="70"/>
      <c r="H2435" s="85"/>
      <c r="I2435" s="85"/>
      <c r="J2435" s="131"/>
      <c r="K2435" s="60"/>
      <c r="P2435" s="3"/>
      <c r="Q2435" s="3"/>
      <c r="R2435" s="3"/>
      <c r="S2435" s="3"/>
      <c r="T2435" s="3"/>
      <c r="U2435" s="3"/>
      <c r="V2435" s="3"/>
      <c r="W2435" s="3"/>
      <c r="X2435" s="3"/>
      <c r="Y2435" s="4"/>
      <c r="Z2435"/>
      <c r="AA2435"/>
    </row>
    <row r="2436" spans="1:27" s="37" customFormat="1" x14ac:dyDescent="0.15">
      <c r="A2436" s="166"/>
      <c r="B2436" s="93"/>
      <c r="C2436" s="70"/>
      <c r="D2436" s="70"/>
      <c r="E2436" s="70"/>
      <c r="F2436" s="70"/>
      <c r="G2436" s="70"/>
      <c r="H2436" s="85"/>
      <c r="I2436" s="85"/>
      <c r="J2436" s="131"/>
      <c r="K2436" s="60"/>
      <c r="P2436" s="3"/>
      <c r="Q2436" s="3"/>
      <c r="R2436" s="3"/>
      <c r="S2436" s="3"/>
      <c r="T2436" s="3"/>
      <c r="U2436" s="3"/>
      <c r="V2436" s="3"/>
      <c r="W2436" s="3"/>
      <c r="X2436" s="3"/>
      <c r="Y2436" s="4"/>
      <c r="Z2436"/>
      <c r="AA2436"/>
    </row>
    <row r="2437" spans="1:27" s="37" customFormat="1" x14ac:dyDescent="0.15">
      <c r="A2437" s="165"/>
      <c r="B2437" s="93"/>
      <c r="C2437" s="61"/>
      <c r="D2437" s="61"/>
      <c r="E2437" s="61"/>
      <c r="F2437" s="61"/>
      <c r="G2437" s="61"/>
      <c r="H2437" s="85"/>
      <c r="I2437" s="103"/>
      <c r="J2437" s="131"/>
      <c r="K2437" s="67"/>
      <c r="L2437" s="35"/>
      <c r="P2437" s="3"/>
      <c r="Q2437" s="3"/>
      <c r="R2437" s="3"/>
      <c r="S2437" s="3"/>
      <c r="T2437" s="3"/>
      <c r="U2437" s="3"/>
      <c r="V2437" s="3"/>
      <c r="W2437" s="3"/>
      <c r="X2437" s="3"/>
      <c r="Y2437" s="4"/>
      <c r="Z2437"/>
      <c r="AA2437"/>
    </row>
    <row r="2438" spans="1:27" s="37" customFormat="1" x14ac:dyDescent="0.15">
      <c r="A2438" s="166"/>
      <c r="B2438" s="93"/>
      <c r="C2438" s="70"/>
      <c r="D2438" s="70"/>
      <c r="E2438" s="70"/>
      <c r="F2438" s="70"/>
      <c r="G2438" s="70"/>
      <c r="H2438" s="85"/>
      <c r="I2438" s="85"/>
      <c r="J2438" s="131"/>
      <c r="K2438" s="60"/>
      <c r="P2438" s="3"/>
      <c r="Q2438" s="3"/>
      <c r="R2438" s="3"/>
      <c r="S2438" s="3"/>
      <c r="T2438" s="3"/>
      <c r="U2438" s="3"/>
      <c r="V2438" s="3"/>
      <c r="W2438" s="3"/>
      <c r="X2438" s="3"/>
      <c r="Y2438" s="4"/>
      <c r="Z2438"/>
      <c r="AA2438"/>
    </row>
    <row r="2439" spans="1:27" s="37" customFormat="1" ht="16" x14ac:dyDescent="0.2">
      <c r="A2439" s="166"/>
      <c r="B2439" s="82"/>
      <c r="C2439" s="70"/>
      <c r="D2439" s="70"/>
      <c r="E2439" s="70"/>
      <c r="F2439" s="70"/>
      <c r="G2439" s="70"/>
      <c r="H2439" s="85"/>
      <c r="I2439" s="85"/>
      <c r="J2439" s="131"/>
      <c r="K2439" s="60"/>
      <c r="L2439" s="33"/>
      <c r="M2439" s="47"/>
      <c r="P2439" s="3"/>
      <c r="Q2439" s="3"/>
      <c r="R2439" s="3"/>
      <c r="S2439" s="3"/>
      <c r="T2439" s="3"/>
      <c r="U2439" s="3"/>
      <c r="V2439" s="3"/>
      <c r="W2439" s="3"/>
      <c r="X2439" s="3"/>
      <c r="Y2439" s="4"/>
      <c r="Z2439"/>
      <c r="AA2439"/>
    </row>
    <row r="2440" spans="1:27" s="37" customFormat="1" ht="16" x14ac:dyDescent="0.2">
      <c r="A2440" s="166"/>
      <c r="B2440" s="82"/>
      <c r="C2440" s="70"/>
      <c r="D2440" s="70"/>
      <c r="E2440" s="70"/>
      <c r="F2440" s="70"/>
      <c r="G2440" s="70"/>
      <c r="H2440" s="85"/>
      <c r="I2440" s="85"/>
      <c r="J2440" s="131"/>
      <c r="K2440" s="60"/>
      <c r="L2440" s="33"/>
      <c r="M2440" s="47"/>
      <c r="P2440" s="3"/>
      <c r="Q2440" s="3"/>
      <c r="R2440" s="3"/>
      <c r="S2440" s="3"/>
      <c r="T2440" s="3"/>
      <c r="U2440" s="3"/>
      <c r="V2440" s="3"/>
      <c r="W2440" s="3"/>
      <c r="X2440" s="3"/>
      <c r="Y2440" s="4"/>
      <c r="Z2440"/>
      <c r="AA2440"/>
    </row>
    <row r="2441" spans="1:27" s="37" customFormat="1" x14ac:dyDescent="0.15">
      <c r="A2441" s="166"/>
      <c r="B2441" s="93"/>
      <c r="C2441" s="70"/>
      <c r="D2441" s="70"/>
      <c r="E2441" s="70"/>
      <c r="F2441" s="70"/>
      <c r="G2441" s="70"/>
      <c r="H2441" s="85"/>
      <c r="I2441" s="85"/>
      <c r="J2441" s="131"/>
      <c r="K2441" s="60"/>
      <c r="L2441" s="33"/>
      <c r="P2441" s="3"/>
      <c r="Q2441" s="3"/>
      <c r="R2441" s="3"/>
      <c r="S2441" s="3"/>
      <c r="T2441" s="3"/>
      <c r="U2441" s="3"/>
      <c r="V2441" s="3"/>
      <c r="W2441" s="3"/>
      <c r="X2441" s="3"/>
      <c r="Y2441" s="4"/>
      <c r="Z2441"/>
      <c r="AA2441"/>
    </row>
    <row r="2442" spans="1:27" s="37" customFormat="1" x14ac:dyDescent="0.15">
      <c r="A2442" s="166"/>
      <c r="B2442" s="93"/>
      <c r="C2442" s="70"/>
      <c r="D2442" s="70"/>
      <c r="E2442" s="70"/>
      <c r="F2442" s="70"/>
      <c r="G2442" s="70"/>
      <c r="H2442" s="85"/>
      <c r="I2442" s="85"/>
      <c r="J2442" s="131"/>
      <c r="K2442" s="60"/>
      <c r="L2442" s="33"/>
      <c r="P2442" s="3"/>
      <c r="Q2442" s="3"/>
      <c r="R2442" s="3"/>
      <c r="S2442" s="3"/>
      <c r="T2442" s="3"/>
      <c r="U2442" s="3"/>
      <c r="V2442" s="3"/>
      <c r="W2442" s="3"/>
      <c r="X2442" s="3"/>
      <c r="Y2442" s="4"/>
      <c r="Z2442"/>
      <c r="AA2442"/>
    </row>
    <row r="2443" spans="1:27" s="37" customFormat="1" ht="16" x14ac:dyDescent="0.2">
      <c r="A2443" s="166"/>
      <c r="B2443" s="93"/>
      <c r="C2443" s="70"/>
      <c r="D2443" s="70"/>
      <c r="E2443" s="70"/>
      <c r="F2443" s="70"/>
      <c r="G2443" s="70"/>
      <c r="H2443" s="85"/>
      <c r="I2443" s="85"/>
      <c r="J2443" s="131"/>
      <c r="K2443" s="60"/>
      <c r="L2443" s="48"/>
      <c r="P2443" s="3"/>
      <c r="Q2443" s="3"/>
      <c r="R2443" s="3"/>
      <c r="S2443" s="3"/>
      <c r="T2443" s="3"/>
      <c r="U2443" s="3"/>
      <c r="V2443" s="3"/>
      <c r="W2443" s="3"/>
      <c r="X2443" s="3"/>
      <c r="Y2443" s="4"/>
      <c r="Z2443"/>
      <c r="AA2443"/>
    </row>
    <row r="2444" spans="1:27" s="37" customFormat="1" x14ac:dyDescent="0.15">
      <c r="A2444" s="166"/>
      <c r="B2444" s="93"/>
      <c r="C2444" s="70"/>
      <c r="D2444" s="70"/>
      <c r="E2444" s="70"/>
      <c r="F2444" s="70"/>
      <c r="G2444" s="70"/>
      <c r="H2444" s="85"/>
      <c r="I2444" s="85"/>
      <c r="J2444" s="131"/>
      <c r="K2444" s="60"/>
      <c r="L2444" s="49"/>
      <c r="P2444" s="3"/>
      <c r="Q2444" s="3"/>
      <c r="R2444" s="3"/>
      <c r="S2444" s="3"/>
      <c r="T2444" s="3"/>
      <c r="U2444" s="3"/>
      <c r="V2444" s="3"/>
      <c r="W2444" s="3"/>
      <c r="X2444" s="3"/>
      <c r="Y2444" s="4"/>
      <c r="Z2444"/>
      <c r="AA2444"/>
    </row>
    <row r="2445" spans="1:27" s="37" customFormat="1" ht="16" x14ac:dyDescent="0.2">
      <c r="A2445" s="166"/>
      <c r="B2445" s="93"/>
      <c r="C2445" s="70"/>
      <c r="D2445" s="70"/>
      <c r="E2445" s="70"/>
      <c r="F2445" s="70"/>
      <c r="G2445" s="70"/>
      <c r="H2445" s="85"/>
      <c r="I2445" s="85"/>
      <c r="J2445" s="131"/>
      <c r="K2445" s="60"/>
      <c r="L2445" s="48"/>
      <c r="P2445" s="3"/>
      <c r="Q2445" s="3"/>
      <c r="R2445" s="3"/>
      <c r="S2445" s="3"/>
      <c r="T2445" s="3"/>
      <c r="U2445" s="3"/>
      <c r="V2445" s="3"/>
      <c r="W2445" s="3"/>
      <c r="X2445" s="3"/>
      <c r="Y2445" s="4"/>
      <c r="Z2445"/>
      <c r="AA2445"/>
    </row>
    <row r="2446" spans="1:27" s="37" customFormat="1" x14ac:dyDescent="0.15">
      <c r="A2446" s="166"/>
      <c r="B2446" s="93"/>
      <c r="C2446" s="70"/>
      <c r="D2446" s="70"/>
      <c r="E2446" s="70"/>
      <c r="F2446" s="70"/>
      <c r="G2446" s="70"/>
      <c r="H2446" s="85"/>
      <c r="I2446" s="85"/>
      <c r="J2446" s="131"/>
      <c r="K2446" s="60"/>
      <c r="L2446" s="33"/>
      <c r="M2446" s="33"/>
      <c r="P2446" s="3"/>
      <c r="Q2446" s="3"/>
      <c r="R2446" s="3"/>
      <c r="S2446" s="3"/>
      <c r="T2446" s="3"/>
      <c r="U2446" s="3"/>
      <c r="V2446" s="3"/>
      <c r="W2446" s="3"/>
      <c r="X2446" s="3"/>
      <c r="Y2446" s="4"/>
      <c r="Z2446"/>
      <c r="AA2446"/>
    </row>
    <row r="2447" spans="1:27" s="37" customFormat="1" ht="16" x14ac:dyDescent="0.2">
      <c r="A2447" s="166"/>
      <c r="B2447" s="93"/>
      <c r="C2447" s="70"/>
      <c r="D2447" s="70"/>
      <c r="E2447" s="70"/>
      <c r="F2447" s="70"/>
      <c r="G2447" s="70"/>
      <c r="H2447" s="85"/>
      <c r="I2447" s="85"/>
      <c r="J2447" s="131"/>
      <c r="K2447" s="60"/>
      <c r="L2447" s="48"/>
      <c r="M2447" s="32"/>
      <c r="P2447" s="3"/>
      <c r="Q2447" s="3"/>
      <c r="R2447" s="3"/>
      <c r="S2447" s="3"/>
      <c r="T2447" s="3"/>
      <c r="U2447" s="3"/>
      <c r="V2447" s="3"/>
      <c r="W2447" s="3"/>
      <c r="X2447" s="3"/>
      <c r="Y2447" s="4"/>
      <c r="Z2447"/>
      <c r="AA2447"/>
    </row>
    <row r="2448" spans="1:27" s="37" customFormat="1" ht="16" x14ac:dyDescent="0.2">
      <c r="A2448" s="166"/>
      <c r="B2448" s="93"/>
      <c r="C2448" s="70"/>
      <c r="D2448" s="70"/>
      <c r="E2448" s="70"/>
      <c r="F2448" s="70"/>
      <c r="G2448" s="70"/>
      <c r="H2448" s="85"/>
      <c r="I2448" s="85"/>
      <c r="J2448" s="131"/>
      <c r="K2448" s="60"/>
      <c r="L2448" s="48"/>
      <c r="P2448" s="3"/>
      <c r="Q2448" s="3"/>
      <c r="R2448" s="3"/>
      <c r="S2448" s="3"/>
      <c r="T2448" s="3"/>
      <c r="U2448" s="3"/>
      <c r="V2448" s="3"/>
      <c r="W2448" s="3"/>
      <c r="X2448" s="3"/>
      <c r="Y2448" s="4"/>
      <c r="Z2448"/>
      <c r="AA2448"/>
    </row>
    <row r="2449" spans="1:27" s="37" customFormat="1" x14ac:dyDescent="0.15">
      <c r="A2449" s="166"/>
      <c r="B2449" s="93"/>
      <c r="C2449" s="70"/>
      <c r="D2449" s="70"/>
      <c r="E2449" s="70"/>
      <c r="F2449" s="70"/>
      <c r="G2449" s="70"/>
      <c r="H2449" s="85"/>
      <c r="I2449" s="85"/>
      <c r="J2449" s="131"/>
      <c r="K2449" s="60"/>
      <c r="P2449" s="3"/>
      <c r="Q2449" s="3"/>
      <c r="R2449" s="3"/>
      <c r="S2449" s="3"/>
      <c r="T2449" s="3"/>
      <c r="U2449" s="3"/>
      <c r="V2449" s="3"/>
      <c r="W2449" s="3"/>
      <c r="X2449" s="3"/>
      <c r="Y2449" s="4"/>
      <c r="Z2449"/>
      <c r="AA2449"/>
    </row>
    <row r="2450" spans="1:27" s="37" customFormat="1" ht="16" x14ac:dyDescent="0.2">
      <c r="A2450" s="166"/>
      <c r="B2450" s="93"/>
      <c r="C2450" s="70"/>
      <c r="D2450" s="70"/>
      <c r="E2450" s="70"/>
      <c r="F2450" s="70"/>
      <c r="G2450" s="70"/>
      <c r="H2450" s="85"/>
      <c r="I2450" s="85"/>
      <c r="J2450" s="131"/>
      <c r="K2450" s="60"/>
      <c r="L2450" s="48"/>
      <c r="P2450" s="3"/>
      <c r="Q2450" s="3"/>
      <c r="R2450" s="3"/>
      <c r="S2450" s="3"/>
      <c r="T2450" s="3"/>
      <c r="U2450" s="3"/>
      <c r="V2450" s="3"/>
      <c r="W2450" s="3"/>
      <c r="X2450" s="3"/>
      <c r="Y2450" s="4"/>
      <c r="Z2450"/>
      <c r="AA2450"/>
    </row>
    <row r="2451" spans="1:27" s="37" customFormat="1" ht="16" x14ac:dyDescent="0.2">
      <c r="A2451" s="166"/>
      <c r="B2451" s="93"/>
      <c r="C2451" s="70"/>
      <c r="D2451" s="70"/>
      <c r="E2451" s="70"/>
      <c r="F2451" s="70"/>
      <c r="G2451" s="70"/>
      <c r="H2451" s="85"/>
      <c r="I2451" s="85"/>
      <c r="J2451" s="131"/>
      <c r="K2451" s="60"/>
      <c r="L2451" s="48"/>
      <c r="P2451" s="3"/>
      <c r="Q2451" s="3"/>
      <c r="R2451" s="3"/>
      <c r="S2451" s="3"/>
      <c r="T2451" s="3"/>
      <c r="U2451" s="3"/>
      <c r="V2451" s="3"/>
      <c r="W2451" s="3"/>
      <c r="X2451" s="3"/>
      <c r="Y2451" s="4"/>
      <c r="Z2451"/>
      <c r="AA2451"/>
    </row>
    <row r="2452" spans="1:27" s="37" customFormat="1" ht="16" x14ac:dyDescent="0.2">
      <c r="A2452" s="166"/>
      <c r="B2452" s="93"/>
      <c r="C2452" s="70"/>
      <c r="D2452" s="70"/>
      <c r="E2452" s="70"/>
      <c r="F2452" s="70"/>
      <c r="G2452" s="70"/>
      <c r="H2452" s="85"/>
      <c r="I2452" s="85"/>
      <c r="J2452" s="131"/>
      <c r="K2452" s="60"/>
      <c r="L2452" s="48"/>
      <c r="M2452" s="32"/>
      <c r="P2452" s="3"/>
      <c r="Q2452" s="3"/>
      <c r="R2452" s="3"/>
      <c r="S2452" s="3"/>
      <c r="T2452" s="3"/>
      <c r="U2452" s="3"/>
      <c r="V2452" s="3"/>
      <c r="W2452" s="3"/>
      <c r="X2452" s="3"/>
      <c r="Y2452" s="4"/>
      <c r="Z2452"/>
      <c r="AA2452"/>
    </row>
    <row r="2453" spans="1:27" s="37" customFormat="1" x14ac:dyDescent="0.15">
      <c r="A2453" s="166"/>
      <c r="B2453" s="93"/>
      <c r="C2453" s="70"/>
      <c r="D2453" s="70"/>
      <c r="E2453" s="70"/>
      <c r="F2453" s="70"/>
      <c r="G2453" s="70"/>
      <c r="H2453" s="85"/>
      <c r="I2453" s="85"/>
      <c r="J2453" s="131"/>
      <c r="K2453" s="60"/>
      <c r="L2453" s="33"/>
      <c r="P2453" s="3"/>
      <c r="Q2453" s="3"/>
      <c r="R2453" s="3"/>
      <c r="S2453" s="3"/>
      <c r="T2453" s="3"/>
      <c r="U2453" s="3"/>
      <c r="V2453" s="3"/>
      <c r="W2453" s="3"/>
      <c r="X2453" s="3"/>
      <c r="Y2453" s="4"/>
      <c r="Z2453"/>
      <c r="AA2453"/>
    </row>
    <row r="2454" spans="1:27" s="37" customFormat="1" x14ac:dyDescent="0.15">
      <c r="A2454" s="166"/>
      <c r="B2454" s="93"/>
      <c r="C2454" s="70"/>
      <c r="D2454" s="70"/>
      <c r="E2454" s="70"/>
      <c r="F2454" s="70"/>
      <c r="G2454" s="70"/>
      <c r="H2454" s="85"/>
      <c r="I2454" s="85"/>
      <c r="J2454" s="131"/>
      <c r="K2454" s="60"/>
      <c r="L2454" s="33"/>
      <c r="P2454" s="3"/>
      <c r="Q2454" s="3"/>
      <c r="R2454" s="3"/>
      <c r="S2454" s="3"/>
      <c r="T2454" s="3"/>
      <c r="U2454" s="3"/>
      <c r="V2454" s="3"/>
      <c r="W2454" s="3"/>
      <c r="X2454" s="3"/>
      <c r="Y2454" s="4"/>
      <c r="Z2454"/>
      <c r="AA2454"/>
    </row>
    <row r="2455" spans="1:27" s="37" customFormat="1" x14ac:dyDescent="0.15">
      <c r="A2455" s="166"/>
      <c r="B2455" s="93"/>
      <c r="C2455" s="70"/>
      <c r="D2455" s="70"/>
      <c r="E2455" s="70"/>
      <c r="F2455" s="70"/>
      <c r="G2455" s="70"/>
      <c r="H2455" s="85"/>
      <c r="I2455" s="85"/>
      <c r="J2455" s="131"/>
      <c r="K2455" s="60"/>
      <c r="P2455" s="3"/>
      <c r="Q2455" s="3"/>
      <c r="R2455" s="3"/>
      <c r="S2455" s="3"/>
      <c r="T2455" s="3"/>
      <c r="U2455" s="3"/>
      <c r="V2455" s="3"/>
      <c r="W2455" s="3"/>
      <c r="X2455" s="3"/>
      <c r="Y2455" s="4"/>
      <c r="Z2455"/>
      <c r="AA2455"/>
    </row>
    <row r="2456" spans="1:27" s="37" customFormat="1" x14ac:dyDescent="0.15">
      <c r="A2456" s="166"/>
      <c r="B2456" s="93"/>
      <c r="C2456" s="70"/>
      <c r="D2456" s="70"/>
      <c r="E2456" s="70"/>
      <c r="F2456" s="70"/>
      <c r="G2456" s="70"/>
      <c r="H2456" s="85"/>
      <c r="I2456" s="85"/>
      <c r="J2456" s="131"/>
      <c r="K2456" s="60"/>
      <c r="L2456" s="49"/>
      <c r="P2456" s="3"/>
      <c r="Q2456" s="3"/>
      <c r="R2456" s="3"/>
      <c r="S2456" s="3"/>
      <c r="T2456" s="3"/>
      <c r="U2456" s="3"/>
      <c r="V2456" s="3"/>
      <c r="W2456" s="3"/>
      <c r="X2456" s="3"/>
      <c r="Y2456" s="4"/>
      <c r="Z2456"/>
      <c r="AA2456"/>
    </row>
    <row r="2457" spans="1:27" s="37" customFormat="1" x14ac:dyDescent="0.15">
      <c r="A2457" s="166"/>
      <c r="B2457" s="93"/>
      <c r="C2457" s="70"/>
      <c r="D2457" s="70"/>
      <c r="E2457" s="70"/>
      <c r="F2457" s="70"/>
      <c r="G2457" s="70"/>
      <c r="H2457" s="85"/>
      <c r="I2457" s="85"/>
      <c r="J2457" s="131"/>
      <c r="K2457" s="60"/>
      <c r="P2457" s="3"/>
      <c r="Q2457" s="3"/>
      <c r="R2457" s="3"/>
      <c r="S2457" s="3"/>
      <c r="T2457" s="3"/>
      <c r="U2457" s="3"/>
      <c r="V2457" s="3"/>
      <c r="W2457" s="3"/>
      <c r="X2457" s="3"/>
      <c r="Y2457" s="4"/>
      <c r="Z2457"/>
      <c r="AA2457"/>
    </row>
    <row r="2458" spans="1:27" s="37" customFormat="1" x14ac:dyDescent="0.15">
      <c r="A2458" s="166"/>
      <c r="B2458" s="93"/>
      <c r="C2458" s="70"/>
      <c r="D2458" s="70"/>
      <c r="E2458" s="70"/>
      <c r="F2458" s="70"/>
      <c r="G2458" s="70"/>
      <c r="H2458" s="85"/>
      <c r="I2458" s="85"/>
      <c r="J2458" s="131"/>
      <c r="K2458" s="60"/>
      <c r="M2458" s="32"/>
      <c r="P2458" s="3"/>
      <c r="Q2458" s="3"/>
      <c r="R2458" s="3"/>
      <c r="S2458" s="3"/>
      <c r="T2458" s="3"/>
      <c r="U2458" s="3"/>
      <c r="V2458" s="3"/>
      <c r="W2458" s="3"/>
      <c r="X2458" s="3"/>
      <c r="Y2458" s="4"/>
      <c r="Z2458"/>
      <c r="AA2458"/>
    </row>
    <row r="2459" spans="1:27" s="37" customFormat="1" x14ac:dyDescent="0.15">
      <c r="A2459" s="166"/>
      <c r="B2459" s="82"/>
      <c r="C2459" s="70"/>
      <c r="D2459" s="70"/>
      <c r="E2459" s="70"/>
      <c r="F2459" s="70"/>
      <c r="G2459" s="70"/>
      <c r="H2459" s="85"/>
      <c r="I2459" s="85"/>
      <c r="J2459" s="131"/>
      <c r="K2459" s="60"/>
      <c r="L2459" s="33"/>
      <c r="P2459" s="3"/>
      <c r="Q2459" s="3"/>
      <c r="R2459" s="3"/>
      <c r="S2459" s="3"/>
      <c r="T2459" s="3"/>
      <c r="U2459" s="3"/>
      <c r="V2459" s="3"/>
      <c r="W2459" s="3"/>
      <c r="X2459" s="3"/>
      <c r="Y2459" s="4"/>
      <c r="Z2459"/>
      <c r="AA2459"/>
    </row>
    <row r="2460" spans="1:27" s="37" customFormat="1" x14ac:dyDescent="0.15">
      <c r="A2460" s="166"/>
      <c r="B2460" s="93"/>
      <c r="C2460" s="70"/>
      <c r="D2460" s="70"/>
      <c r="E2460" s="70"/>
      <c r="F2460" s="70"/>
      <c r="G2460" s="70"/>
      <c r="H2460" s="85"/>
      <c r="I2460" s="85"/>
      <c r="J2460" s="131"/>
      <c r="K2460" s="60"/>
      <c r="P2460" s="3"/>
      <c r="Q2460" s="3"/>
      <c r="R2460" s="3"/>
      <c r="S2460" s="3"/>
      <c r="T2460" s="3"/>
      <c r="U2460" s="3"/>
      <c r="V2460" s="3"/>
      <c r="W2460" s="3"/>
      <c r="X2460" s="3"/>
      <c r="Y2460" s="4"/>
      <c r="Z2460"/>
      <c r="AA2460"/>
    </row>
    <row r="2461" spans="1:27" s="37" customFormat="1" x14ac:dyDescent="0.15">
      <c r="A2461" s="166"/>
      <c r="B2461" s="93"/>
      <c r="C2461" s="70"/>
      <c r="D2461" s="70"/>
      <c r="E2461" s="70"/>
      <c r="F2461" s="70"/>
      <c r="G2461" s="70"/>
      <c r="H2461" s="85"/>
      <c r="I2461" s="85"/>
      <c r="J2461" s="131"/>
      <c r="K2461" s="60"/>
      <c r="P2461" s="3"/>
      <c r="Q2461" s="3"/>
      <c r="R2461" s="3"/>
      <c r="S2461" s="3"/>
      <c r="T2461" s="3"/>
      <c r="U2461" s="3"/>
      <c r="V2461" s="3"/>
      <c r="W2461" s="3"/>
      <c r="X2461" s="3"/>
      <c r="Y2461" s="4"/>
      <c r="Z2461"/>
      <c r="AA2461"/>
    </row>
    <row r="2462" spans="1:27" s="37" customFormat="1" x14ac:dyDescent="0.15">
      <c r="A2462" s="166"/>
      <c r="B2462" s="93"/>
      <c r="C2462" s="70"/>
      <c r="D2462" s="70"/>
      <c r="E2462" s="70"/>
      <c r="F2462" s="70"/>
      <c r="G2462" s="70"/>
      <c r="H2462" s="85"/>
      <c r="I2462" s="85"/>
      <c r="J2462" s="131"/>
      <c r="K2462" s="60"/>
      <c r="P2462" s="3"/>
      <c r="Q2462" s="3"/>
      <c r="R2462" s="3"/>
      <c r="S2462" s="3"/>
      <c r="T2462" s="3"/>
      <c r="U2462" s="3"/>
      <c r="V2462" s="3"/>
      <c r="W2462" s="3"/>
      <c r="X2462" s="3"/>
      <c r="Y2462" s="4"/>
      <c r="Z2462"/>
      <c r="AA2462"/>
    </row>
    <row r="2463" spans="1:27" x14ac:dyDescent="0.15">
      <c r="A2463" s="166"/>
      <c r="B2463" s="93"/>
      <c r="C2463" s="70"/>
      <c r="D2463" s="70"/>
      <c r="E2463" s="70"/>
      <c r="F2463" s="70"/>
      <c r="G2463" s="70"/>
      <c r="H2463" s="85"/>
      <c r="I2463" s="85"/>
      <c r="J2463" s="131"/>
      <c r="K2463" s="60"/>
      <c r="L2463" s="33"/>
      <c r="M2463" s="32"/>
    </row>
    <row r="2464" spans="1:27" x14ac:dyDescent="0.15">
      <c r="A2464" s="166"/>
      <c r="B2464" s="93"/>
      <c r="C2464" s="70"/>
      <c r="D2464" s="70"/>
      <c r="E2464" s="70"/>
      <c r="F2464" s="70"/>
      <c r="G2464" s="70"/>
      <c r="H2464" s="85"/>
      <c r="I2464" s="85"/>
      <c r="J2464" s="131"/>
      <c r="K2464" s="60"/>
      <c r="L2464" s="37"/>
      <c r="M2464" s="32"/>
    </row>
    <row r="2465" spans="1:27" x14ac:dyDescent="0.15">
      <c r="A2465" s="166"/>
      <c r="B2465" s="93"/>
      <c r="C2465" s="70"/>
      <c r="D2465" s="70"/>
      <c r="E2465" s="70"/>
      <c r="F2465" s="70"/>
      <c r="G2465" s="70"/>
      <c r="H2465" s="85"/>
      <c r="I2465" s="85"/>
      <c r="J2465" s="131"/>
      <c r="K2465" s="60"/>
      <c r="L2465" s="37"/>
      <c r="M2465" s="32"/>
    </row>
    <row r="2466" spans="1:27" x14ac:dyDescent="0.15">
      <c r="A2466" s="166"/>
      <c r="B2466" s="93"/>
      <c r="C2466" s="70"/>
      <c r="D2466" s="70"/>
      <c r="E2466" s="70"/>
      <c r="F2466" s="70"/>
      <c r="G2466" s="70"/>
      <c r="H2466" s="85"/>
      <c r="I2466" s="85"/>
      <c r="J2466" s="131"/>
      <c r="K2466" s="60"/>
      <c r="L2466" s="37"/>
    </row>
    <row r="2467" spans="1:27" x14ac:dyDescent="0.15">
      <c r="A2467" s="166"/>
      <c r="B2467" s="93"/>
      <c r="C2467" s="70"/>
      <c r="D2467" s="70"/>
      <c r="E2467" s="70"/>
      <c r="F2467" s="70"/>
      <c r="G2467" s="70"/>
      <c r="H2467" s="85"/>
      <c r="I2467" s="85"/>
      <c r="J2467" s="131"/>
      <c r="K2467" s="60"/>
      <c r="L2467" s="37"/>
    </row>
    <row r="2468" spans="1:27" x14ac:dyDescent="0.15">
      <c r="A2468" s="166"/>
      <c r="B2468" s="82"/>
      <c r="C2468" s="70"/>
      <c r="D2468" s="70"/>
      <c r="E2468" s="70"/>
      <c r="F2468" s="70"/>
      <c r="G2468" s="70"/>
      <c r="H2468" s="85"/>
      <c r="I2468" s="85"/>
      <c r="J2468" s="131"/>
      <c r="K2468" s="60"/>
    </row>
    <row r="2469" spans="1:27" x14ac:dyDescent="0.15">
      <c r="A2469" s="166"/>
      <c r="B2469" s="82"/>
      <c r="C2469" s="70"/>
      <c r="D2469" s="70"/>
      <c r="E2469" s="70"/>
      <c r="F2469" s="70"/>
      <c r="G2469" s="70"/>
      <c r="H2469" s="85"/>
      <c r="I2469" s="85"/>
      <c r="J2469" s="131"/>
      <c r="K2469" s="60"/>
    </row>
    <row r="2470" spans="1:27" x14ac:dyDescent="0.15">
      <c r="A2470" s="166"/>
      <c r="B2470" s="82"/>
      <c r="C2470" s="70"/>
      <c r="D2470" s="70"/>
      <c r="E2470" s="70"/>
      <c r="F2470" s="70"/>
      <c r="G2470" s="70"/>
      <c r="H2470" s="85"/>
      <c r="I2470" s="85"/>
      <c r="J2470" s="131"/>
      <c r="K2470" s="60"/>
    </row>
    <row r="2471" spans="1:27" ht="16" x14ac:dyDescent="0.2">
      <c r="A2471" s="166"/>
      <c r="B2471" s="93"/>
      <c r="C2471" s="70"/>
      <c r="D2471" s="70"/>
      <c r="E2471" s="70"/>
      <c r="F2471" s="70"/>
      <c r="G2471" s="70"/>
      <c r="H2471" s="85"/>
      <c r="I2471" s="85"/>
      <c r="J2471" s="131"/>
      <c r="K2471" s="60"/>
      <c r="L2471" s="33"/>
      <c r="M2471" s="48"/>
    </row>
    <row r="2472" spans="1:27" x14ac:dyDescent="0.15">
      <c r="A2472" s="166"/>
      <c r="B2472" s="82"/>
      <c r="C2472" s="70"/>
      <c r="D2472" s="70"/>
      <c r="E2472" s="70"/>
      <c r="F2472" s="70"/>
      <c r="G2472" s="70"/>
      <c r="H2472" s="85"/>
      <c r="I2472" s="85"/>
      <c r="J2472" s="131"/>
      <c r="K2472" s="60"/>
    </row>
    <row r="2473" spans="1:27" x14ac:dyDescent="0.15">
      <c r="A2473" s="166"/>
      <c r="B2473" s="82"/>
      <c r="C2473" s="70"/>
      <c r="D2473" s="70"/>
      <c r="E2473" s="70"/>
      <c r="F2473" s="70"/>
      <c r="G2473" s="70"/>
      <c r="H2473" s="85"/>
      <c r="I2473" s="85"/>
      <c r="J2473" s="131"/>
      <c r="K2473" s="60"/>
    </row>
    <row r="2474" spans="1:27" x14ac:dyDescent="0.15">
      <c r="A2474" s="166"/>
      <c r="B2474" s="82"/>
      <c r="C2474" s="70"/>
      <c r="D2474" s="70"/>
      <c r="E2474" s="70"/>
      <c r="F2474" s="70"/>
      <c r="G2474" s="70"/>
      <c r="H2474" s="85"/>
      <c r="I2474" s="85"/>
      <c r="J2474" s="131"/>
      <c r="K2474" s="60"/>
    </row>
    <row r="2475" spans="1:27" x14ac:dyDescent="0.15">
      <c r="A2475" s="166"/>
      <c r="B2475" s="93"/>
      <c r="C2475" s="70"/>
      <c r="D2475" s="70"/>
      <c r="E2475" s="70"/>
      <c r="F2475" s="70"/>
      <c r="G2475" s="70"/>
      <c r="H2475" s="85"/>
      <c r="I2475" s="85"/>
      <c r="J2475" s="131"/>
      <c r="K2475" s="63"/>
      <c r="L2475" s="33"/>
    </row>
    <row r="2476" spans="1:27" s="15" customFormat="1" x14ac:dyDescent="0.15">
      <c r="A2476" s="166"/>
      <c r="B2476" s="93"/>
      <c r="C2476" s="70"/>
      <c r="D2476" s="70"/>
      <c r="E2476" s="70"/>
      <c r="F2476" s="70"/>
      <c r="G2476" s="70"/>
      <c r="H2476" s="85"/>
      <c r="I2476" s="85"/>
      <c r="J2476" s="131"/>
      <c r="K2476" s="60"/>
      <c r="L2476" s="33"/>
      <c r="M2476" s="37"/>
      <c r="N2476" s="37"/>
      <c r="O2476" s="37"/>
      <c r="P2476" s="3"/>
      <c r="Q2476" s="3"/>
      <c r="R2476" s="3"/>
      <c r="S2476" s="3"/>
      <c r="T2476" s="3"/>
      <c r="U2476" s="3"/>
      <c r="V2476" s="3"/>
      <c r="W2476" s="3"/>
      <c r="X2476" s="3"/>
      <c r="Y2476" s="4"/>
      <c r="Z2476"/>
      <c r="AA2476"/>
    </row>
    <row r="2477" spans="1:27" x14ac:dyDescent="0.15">
      <c r="A2477" s="166"/>
      <c r="B2477" s="93"/>
      <c r="C2477" s="70"/>
      <c r="D2477" s="70"/>
      <c r="E2477" s="70"/>
      <c r="F2477" s="70"/>
      <c r="G2477" s="70"/>
      <c r="H2477" s="85"/>
      <c r="I2477" s="85"/>
      <c r="J2477" s="131"/>
      <c r="K2477" s="60"/>
      <c r="L2477" s="33"/>
    </row>
    <row r="2478" spans="1:27" x14ac:dyDescent="0.15">
      <c r="A2478" s="166"/>
      <c r="B2478" s="93"/>
      <c r="C2478" s="70"/>
      <c r="D2478" s="70"/>
      <c r="E2478" s="70"/>
      <c r="F2478" s="70"/>
      <c r="G2478" s="70"/>
      <c r="H2478" s="85"/>
      <c r="I2478" s="85"/>
      <c r="J2478" s="131"/>
      <c r="K2478" s="63"/>
      <c r="L2478" s="33"/>
    </row>
    <row r="2479" spans="1:27" x14ac:dyDescent="0.15">
      <c r="A2479" s="166"/>
      <c r="B2479" s="93"/>
      <c r="C2479" s="70"/>
      <c r="D2479" s="70"/>
      <c r="E2479" s="70"/>
      <c r="F2479" s="70"/>
      <c r="G2479" s="70"/>
      <c r="H2479" s="85"/>
      <c r="I2479" s="85"/>
      <c r="J2479" s="131"/>
      <c r="K2479" s="60"/>
      <c r="L2479" s="33"/>
    </row>
    <row r="2480" spans="1:27" x14ac:dyDescent="0.15">
      <c r="A2480" s="166"/>
      <c r="B2480" s="93"/>
      <c r="C2480" s="70"/>
      <c r="D2480" s="70"/>
      <c r="E2480" s="70"/>
      <c r="F2480" s="70"/>
      <c r="G2480" s="70"/>
      <c r="H2480" s="85"/>
      <c r="I2480" s="85"/>
      <c r="J2480" s="131"/>
      <c r="K2480" s="63"/>
      <c r="L2480" s="33"/>
      <c r="R2480" s="187"/>
      <c r="S2480" s="187"/>
      <c r="T2480" s="187"/>
      <c r="U2480" s="187"/>
      <c r="V2480" s="187"/>
      <c r="W2480" s="187"/>
      <c r="X2480" s="187"/>
      <c r="Y2480" s="188"/>
      <c r="Z2480" s="189"/>
      <c r="AA2480" s="189"/>
    </row>
    <row r="2481" spans="1:27" x14ac:dyDescent="0.15">
      <c r="A2481" s="166"/>
      <c r="B2481" s="93"/>
      <c r="C2481" s="70"/>
      <c r="D2481" s="70"/>
      <c r="E2481" s="70"/>
      <c r="F2481" s="70"/>
      <c r="G2481" s="70"/>
      <c r="H2481" s="85"/>
      <c r="I2481" s="85"/>
      <c r="J2481" s="131"/>
      <c r="K2481" s="63"/>
      <c r="L2481" s="33"/>
      <c r="R2481" s="187"/>
      <c r="S2481" s="187"/>
      <c r="T2481" s="187"/>
      <c r="U2481" s="187"/>
      <c r="V2481" s="187"/>
      <c r="W2481" s="187"/>
      <c r="X2481" s="187"/>
      <c r="Y2481" s="188"/>
      <c r="Z2481" s="189"/>
      <c r="AA2481" s="189"/>
    </row>
    <row r="2482" spans="1:27" x14ac:dyDescent="0.15">
      <c r="A2482" s="166"/>
      <c r="B2482" s="93"/>
      <c r="C2482" s="70"/>
      <c r="D2482" s="70"/>
      <c r="E2482" s="70"/>
      <c r="F2482" s="70"/>
      <c r="G2482" s="70"/>
      <c r="H2482" s="85"/>
      <c r="I2482" s="85"/>
      <c r="J2482" s="131"/>
      <c r="K2482" s="60"/>
      <c r="L2482" s="33"/>
    </row>
    <row r="2483" spans="1:27" x14ac:dyDescent="0.15">
      <c r="A2483" s="166"/>
      <c r="B2483" s="93"/>
      <c r="C2483" s="70"/>
      <c r="D2483" s="70"/>
      <c r="E2483" s="70"/>
      <c r="F2483" s="70"/>
      <c r="G2483" s="70"/>
      <c r="H2483" s="85"/>
      <c r="I2483" s="85"/>
      <c r="J2483" s="131"/>
      <c r="K2483" s="60"/>
      <c r="L2483" s="33"/>
    </row>
    <row r="2484" spans="1:27" x14ac:dyDescent="0.15">
      <c r="A2484" s="166"/>
      <c r="B2484" s="82"/>
      <c r="C2484" s="70"/>
      <c r="D2484" s="70"/>
      <c r="E2484" s="70"/>
      <c r="F2484" s="70"/>
      <c r="G2484" s="70"/>
      <c r="H2484" s="85"/>
      <c r="I2484" s="85"/>
      <c r="J2484" s="131"/>
      <c r="K2484" s="60"/>
    </row>
    <row r="2485" spans="1:27" x14ac:dyDescent="0.15">
      <c r="A2485" s="166"/>
      <c r="B2485" s="82"/>
      <c r="C2485" s="70"/>
      <c r="D2485" s="70"/>
      <c r="E2485" s="70"/>
      <c r="F2485" s="70"/>
      <c r="G2485" s="70"/>
      <c r="H2485" s="85"/>
      <c r="I2485" s="85"/>
      <c r="J2485" s="131"/>
      <c r="K2485" s="60"/>
      <c r="L2485" s="33"/>
      <c r="P2485" s="14"/>
      <c r="Q2485" s="14"/>
    </row>
    <row r="2486" spans="1:27" x14ac:dyDescent="0.15">
      <c r="A2486" s="166"/>
      <c r="B2486" s="82"/>
      <c r="C2486" s="70"/>
      <c r="D2486" s="70"/>
      <c r="E2486" s="70"/>
      <c r="F2486" s="70"/>
      <c r="G2486" s="70"/>
      <c r="H2486" s="85"/>
      <c r="I2486" s="85"/>
      <c r="J2486" s="131"/>
      <c r="K2486" s="60"/>
    </row>
    <row r="2487" spans="1:27" x14ac:dyDescent="0.15">
      <c r="A2487" s="166"/>
      <c r="B2487" s="82"/>
      <c r="C2487" s="70"/>
      <c r="D2487" s="70"/>
      <c r="E2487" s="70"/>
      <c r="F2487" s="70"/>
      <c r="G2487" s="70"/>
      <c r="H2487" s="85"/>
      <c r="I2487" s="85"/>
      <c r="J2487" s="131"/>
      <c r="K2487" s="60"/>
    </row>
    <row r="2488" spans="1:27" x14ac:dyDescent="0.15">
      <c r="A2488" s="166"/>
      <c r="B2488" s="82"/>
      <c r="C2488" s="70"/>
      <c r="D2488" s="70"/>
      <c r="E2488" s="70"/>
      <c r="F2488" s="70"/>
      <c r="G2488" s="70"/>
      <c r="H2488" s="85"/>
      <c r="I2488" s="85"/>
      <c r="J2488" s="131"/>
      <c r="K2488" s="60"/>
    </row>
    <row r="2489" spans="1:27" x14ac:dyDescent="0.15">
      <c r="A2489" s="166"/>
      <c r="B2489" s="93"/>
      <c r="C2489" s="70"/>
      <c r="D2489" s="70"/>
      <c r="E2489" s="70"/>
      <c r="F2489" s="70"/>
      <c r="G2489" s="70"/>
      <c r="H2489" s="85"/>
      <c r="I2489" s="85"/>
      <c r="J2489" s="131"/>
      <c r="K2489" s="60"/>
      <c r="L2489" s="33"/>
    </row>
    <row r="2490" spans="1:27" x14ac:dyDescent="0.15">
      <c r="A2490" s="166"/>
      <c r="B2490" s="93"/>
      <c r="C2490" s="70"/>
      <c r="D2490" s="70"/>
      <c r="E2490" s="70"/>
      <c r="F2490" s="70"/>
      <c r="G2490" s="70"/>
      <c r="H2490" s="85"/>
      <c r="I2490" s="85"/>
      <c r="J2490" s="131"/>
      <c r="K2490" s="60"/>
      <c r="L2490" s="33"/>
    </row>
    <row r="2491" spans="1:27" x14ac:dyDescent="0.15">
      <c r="A2491" s="166"/>
      <c r="B2491" s="93"/>
      <c r="C2491" s="70"/>
      <c r="D2491" s="70"/>
      <c r="E2491" s="70"/>
      <c r="F2491" s="70"/>
      <c r="G2491" s="70"/>
      <c r="H2491" s="85"/>
      <c r="I2491" s="85"/>
      <c r="J2491" s="131"/>
      <c r="K2491" s="60"/>
      <c r="L2491" s="33"/>
    </row>
    <row r="2492" spans="1:27" x14ac:dyDescent="0.15">
      <c r="A2492" s="166"/>
      <c r="B2492" s="93"/>
      <c r="C2492" s="70"/>
      <c r="D2492" s="70"/>
      <c r="E2492" s="70"/>
      <c r="F2492" s="70"/>
      <c r="G2492" s="70"/>
      <c r="H2492" s="85"/>
      <c r="I2492" s="85"/>
      <c r="J2492" s="131"/>
      <c r="K2492" s="60"/>
      <c r="L2492" s="33"/>
    </row>
    <row r="2493" spans="1:27" x14ac:dyDescent="0.15">
      <c r="A2493" s="166"/>
      <c r="B2493" s="82"/>
      <c r="C2493" s="70"/>
      <c r="D2493" s="70"/>
      <c r="E2493" s="70"/>
      <c r="F2493" s="70"/>
      <c r="G2493" s="70"/>
      <c r="H2493" s="85"/>
      <c r="I2493" s="85"/>
      <c r="J2493" s="131"/>
      <c r="K2493" s="60"/>
    </row>
    <row r="2494" spans="1:27" x14ac:dyDescent="0.15">
      <c r="A2494" s="166"/>
      <c r="B2494" s="93"/>
      <c r="C2494" s="70"/>
      <c r="D2494" s="70"/>
      <c r="E2494" s="70"/>
      <c r="F2494" s="70"/>
      <c r="G2494" s="70"/>
      <c r="H2494" s="85"/>
      <c r="I2494" s="110"/>
      <c r="J2494" s="131"/>
      <c r="K2494" s="60"/>
      <c r="L2494" s="33"/>
    </row>
    <row r="2495" spans="1:27" s="37" customFormat="1" x14ac:dyDescent="0.15">
      <c r="A2495" s="166"/>
      <c r="B2495" s="82"/>
      <c r="C2495" s="70"/>
      <c r="D2495" s="70"/>
      <c r="E2495" s="70"/>
      <c r="F2495" s="70"/>
      <c r="G2495" s="70"/>
      <c r="H2495" s="85"/>
      <c r="I2495" s="85"/>
      <c r="J2495" s="131"/>
      <c r="K2495" s="60"/>
      <c r="L2495" s="49"/>
      <c r="P2495" s="3"/>
      <c r="Q2495" s="3"/>
      <c r="R2495" s="3"/>
      <c r="S2495" s="3"/>
      <c r="T2495" s="3"/>
      <c r="U2495" s="3"/>
      <c r="V2495" s="3"/>
      <c r="W2495" s="3"/>
      <c r="X2495" s="3"/>
      <c r="Y2495" s="4"/>
      <c r="Z2495"/>
      <c r="AA2495"/>
    </row>
    <row r="2496" spans="1:27" s="37" customFormat="1" x14ac:dyDescent="0.15">
      <c r="A2496" s="166"/>
      <c r="B2496" s="82"/>
      <c r="C2496" s="70"/>
      <c r="D2496" s="70"/>
      <c r="E2496" s="70"/>
      <c r="F2496" s="70"/>
      <c r="G2496" s="70"/>
      <c r="H2496" s="85"/>
      <c r="I2496" s="85"/>
      <c r="J2496" s="131"/>
      <c r="K2496" s="60"/>
      <c r="L2496" s="49"/>
      <c r="P2496" s="3"/>
      <c r="Q2496" s="3"/>
      <c r="R2496" s="3"/>
      <c r="S2496" s="3"/>
      <c r="T2496" s="3"/>
      <c r="U2496" s="3"/>
      <c r="V2496" s="3"/>
      <c r="W2496" s="3"/>
      <c r="X2496" s="3"/>
      <c r="Y2496" s="4"/>
      <c r="Z2496"/>
      <c r="AA2496"/>
    </row>
    <row r="2497" spans="1:27" s="37" customFormat="1" x14ac:dyDescent="0.15">
      <c r="A2497" s="166"/>
      <c r="B2497" s="82"/>
      <c r="C2497" s="70"/>
      <c r="D2497" s="70"/>
      <c r="E2497" s="70"/>
      <c r="F2497" s="70"/>
      <c r="G2497" s="70"/>
      <c r="H2497" s="85"/>
      <c r="I2497" s="85"/>
      <c r="J2497" s="131"/>
      <c r="K2497" s="60"/>
      <c r="L2497" s="49"/>
      <c r="P2497" s="3"/>
      <c r="Q2497" s="3"/>
      <c r="R2497" s="3"/>
      <c r="S2497" s="3"/>
      <c r="T2497" s="3"/>
      <c r="U2497" s="3"/>
      <c r="V2497" s="3"/>
      <c r="W2497" s="3"/>
      <c r="X2497" s="3"/>
      <c r="Y2497" s="4"/>
      <c r="Z2497"/>
      <c r="AA2497"/>
    </row>
    <row r="2498" spans="1:27" s="37" customFormat="1" x14ac:dyDescent="0.15">
      <c r="A2498" s="166"/>
      <c r="B2498" s="82"/>
      <c r="C2498" s="70"/>
      <c r="D2498" s="70"/>
      <c r="E2498" s="70"/>
      <c r="F2498" s="70"/>
      <c r="G2498" s="70"/>
      <c r="H2498" s="85"/>
      <c r="I2498" s="85"/>
      <c r="J2498" s="131"/>
      <c r="K2498" s="60"/>
      <c r="L2498" s="49"/>
      <c r="P2498" s="3"/>
      <c r="Q2498" s="3"/>
      <c r="R2498" s="3"/>
      <c r="S2498" s="3"/>
      <c r="T2498" s="3"/>
      <c r="U2498" s="3"/>
      <c r="V2498" s="3"/>
      <c r="W2498" s="3"/>
      <c r="X2498" s="3"/>
      <c r="Y2498" s="4"/>
      <c r="Z2498"/>
      <c r="AA2498"/>
    </row>
    <row r="2499" spans="1:27" s="37" customFormat="1" x14ac:dyDescent="0.15">
      <c r="A2499" s="166"/>
      <c r="B2499" s="93"/>
      <c r="C2499" s="70"/>
      <c r="D2499" s="70"/>
      <c r="E2499" s="70"/>
      <c r="F2499" s="70"/>
      <c r="G2499" s="70"/>
      <c r="H2499" s="85"/>
      <c r="I2499" s="85"/>
      <c r="J2499" s="131"/>
      <c r="K2499" s="60"/>
      <c r="L2499" s="33"/>
      <c r="P2499" s="3"/>
      <c r="Q2499" s="3"/>
      <c r="R2499" s="3"/>
      <c r="S2499" s="3"/>
      <c r="T2499" s="3"/>
      <c r="U2499" s="3"/>
      <c r="V2499" s="3"/>
      <c r="W2499" s="3"/>
      <c r="X2499" s="3"/>
      <c r="Y2499" s="4"/>
      <c r="Z2499"/>
      <c r="AA2499"/>
    </row>
    <row r="2500" spans="1:27" s="37" customFormat="1" x14ac:dyDescent="0.15">
      <c r="A2500" s="166"/>
      <c r="B2500" s="93"/>
      <c r="C2500" s="70"/>
      <c r="D2500" s="70"/>
      <c r="E2500" s="70"/>
      <c r="F2500" s="70"/>
      <c r="G2500" s="70"/>
      <c r="H2500" s="85"/>
      <c r="I2500" s="110"/>
      <c r="J2500" s="131"/>
      <c r="K2500" s="60"/>
      <c r="L2500" s="33"/>
      <c r="P2500" s="3"/>
      <c r="Q2500" s="3"/>
      <c r="R2500" s="3"/>
      <c r="S2500" s="3"/>
      <c r="T2500" s="3"/>
      <c r="U2500" s="3"/>
      <c r="V2500" s="3"/>
      <c r="W2500" s="3"/>
      <c r="X2500" s="3"/>
      <c r="Y2500" s="4"/>
      <c r="Z2500"/>
      <c r="AA2500"/>
    </row>
    <row r="2501" spans="1:27" s="37" customFormat="1" x14ac:dyDescent="0.15">
      <c r="A2501" s="166"/>
      <c r="B2501" s="82"/>
      <c r="C2501" s="70"/>
      <c r="D2501" s="70"/>
      <c r="E2501" s="70"/>
      <c r="F2501" s="70"/>
      <c r="G2501" s="70"/>
      <c r="H2501" s="85"/>
      <c r="I2501" s="85"/>
      <c r="J2501" s="131"/>
      <c r="K2501" s="60"/>
      <c r="L2501" s="49"/>
      <c r="P2501" s="3"/>
      <c r="Q2501" s="3"/>
      <c r="R2501" s="3"/>
      <c r="S2501" s="3"/>
      <c r="T2501" s="3"/>
      <c r="U2501" s="3"/>
      <c r="V2501" s="3"/>
      <c r="W2501" s="3"/>
      <c r="X2501" s="3"/>
      <c r="Y2501" s="4"/>
      <c r="Z2501"/>
      <c r="AA2501"/>
    </row>
    <row r="2502" spans="1:27" s="37" customFormat="1" x14ac:dyDescent="0.15">
      <c r="A2502" s="166"/>
      <c r="B2502" s="82"/>
      <c r="C2502" s="70"/>
      <c r="D2502" s="70"/>
      <c r="E2502" s="70"/>
      <c r="F2502" s="70"/>
      <c r="G2502" s="70"/>
      <c r="H2502" s="85"/>
      <c r="I2502" s="85"/>
      <c r="J2502" s="131"/>
      <c r="K2502" s="60"/>
      <c r="L2502" s="33"/>
      <c r="P2502" s="3"/>
      <c r="Q2502" s="3"/>
      <c r="R2502" s="3"/>
      <c r="S2502" s="3"/>
      <c r="T2502" s="3"/>
      <c r="U2502" s="3"/>
      <c r="V2502" s="3"/>
      <c r="W2502" s="3"/>
      <c r="X2502" s="3"/>
      <c r="Y2502" s="4"/>
      <c r="Z2502"/>
      <c r="AA2502"/>
    </row>
    <row r="2503" spans="1:27" s="37" customFormat="1" x14ac:dyDescent="0.15">
      <c r="A2503" s="166"/>
      <c r="B2503" s="82"/>
      <c r="C2503" s="70"/>
      <c r="D2503" s="70"/>
      <c r="E2503" s="70"/>
      <c r="F2503" s="70"/>
      <c r="G2503" s="70"/>
      <c r="H2503" s="85"/>
      <c r="I2503" s="85"/>
      <c r="J2503" s="131"/>
      <c r="K2503" s="60"/>
      <c r="L2503" s="49"/>
      <c r="P2503" s="3"/>
      <c r="Q2503" s="3"/>
      <c r="R2503" s="3"/>
      <c r="S2503" s="3"/>
      <c r="T2503" s="3"/>
      <c r="U2503" s="3"/>
      <c r="V2503" s="3"/>
      <c r="W2503" s="3"/>
      <c r="X2503" s="3"/>
      <c r="Y2503" s="4"/>
      <c r="Z2503"/>
      <c r="AA2503"/>
    </row>
    <row r="2504" spans="1:27" s="37" customFormat="1" x14ac:dyDescent="0.15">
      <c r="A2504" s="166"/>
      <c r="B2504" s="82"/>
      <c r="C2504" s="70"/>
      <c r="D2504" s="70"/>
      <c r="E2504" s="70"/>
      <c r="F2504" s="70"/>
      <c r="G2504" s="70"/>
      <c r="H2504" s="85"/>
      <c r="I2504" s="85"/>
      <c r="J2504" s="131"/>
      <c r="K2504" s="60"/>
      <c r="L2504" s="49"/>
      <c r="P2504" s="3"/>
      <c r="Q2504" s="3"/>
      <c r="R2504" s="3"/>
      <c r="S2504" s="3"/>
      <c r="T2504" s="3"/>
      <c r="U2504" s="3"/>
      <c r="V2504" s="3"/>
      <c r="W2504" s="3"/>
      <c r="X2504" s="3"/>
      <c r="Y2504" s="4"/>
      <c r="Z2504"/>
      <c r="AA2504"/>
    </row>
    <row r="2505" spans="1:27" s="37" customFormat="1" x14ac:dyDescent="0.15">
      <c r="A2505" s="166"/>
      <c r="B2505" s="82"/>
      <c r="C2505" s="70"/>
      <c r="D2505" s="70"/>
      <c r="E2505" s="70"/>
      <c r="F2505" s="70"/>
      <c r="G2505" s="70"/>
      <c r="H2505" s="85"/>
      <c r="I2505" s="85"/>
      <c r="J2505" s="131"/>
      <c r="K2505" s="60"/>
      <c r="L2505" s="49"/>
      <c r="P2505" s="3"/>
      <c r="Q2505" s="3"/>
      <c r="R2505" s="3"/>
      <c r="S2505" s="3"/>
      <c r="T2505" s="3"/>
      <c r="U2505" s="3"/>
      <c r="V2505" s="3"/>
      <c r="W2505" s="3"/>
      <c r="X2505" s="3"/>
      <c r="Y2505" s="4"/>
      <c r="Z2505"/>
      <c r="AA2505"/>
    </row>
    <row r="2506" spans="1:27" s="37" customFormat="1" x14ac:dyDescent="0.15">
      <c r="A2506" s="166"/>
      <c r="B2506" s="82"/>
      <c r="C2506" s="70"/>
      <c r="D2506" s="70"/>
      <c r="E2506" s="70"/>
      <c r="F2506" s="70"/>
      <c r="G2506" s="70"/>
      <c r="H2506" s="85"/>
      <c r="I2506" s="85"/>
      <c r="J2506" s="131"/>
      <c r="K2506" s="60"/>
      <c r="L2506" s="49"/>
      <c r="P2506" s="3"/>
      <c r="Q2506" s="3"/>
      <c r="R2506" s="3"/>
      <c r="S2506" s="3"/>
      <c r="T2506" s="3"/>
      <c r="U2506" s="3"/>
      <c r="V2506" s="3"/>
      <c r="W2506" s="3"/>
      <c r="X2506" s="3"/>
      <c r="Y2506" s="4"/>
      <c r="Z2506"/>
      <c r="AA2506"/>
    </row>
    <row r="2507" spans="1:27" s="37" customFormat="1" x14ac:dyDescent="0.15">
      <c r="A2507" s="166"/>
      <c r="B2507" s="93"/>
      <c r="C2507" s="70"/>
      <c r="D2507" s="70"/>
      <c r="E2507" s="70"/>
      <c r="F2507" s="70"/>
      <c r="G2507" s="70"/>
      <c r="H2507" s="85"/>
      <c r="I2507" s="85"/>
      <c r="J2507" s="131"/>
      <c r="K2507" s="60"/>
      <c r="L2507" s="33"/>
      <c r="P2507" s="3"/>
      <c r="Q2507" s="3"/>
      <c r="R2507" s="3"/>
      <c r="S2507" s="3"/>
      <c r="T2507" s="3"/>
      <c r="U2507" s="3"/>
      <c r="V2507" s="3"/>
      <c r="W2507" s="3"/>
      <c r="X2507" s="3"/>
      <c r="Y2507" s="4"/>
      <c r="Z2507"/>
      <c r="AA2507"/>
    </row>
    <row r="2508" spans="1:27" s="37" customFormat="1" ht="16" x14ac:dyDescent="0.2">
      <c r="A2508" s="166"/>
      <c r="B2508" s="82"/>
      <c r="C2508" s="70"/>
      <c r="D2508" s="70"/>
      <c r="E2508" s="70"/>
      <c r="F2508" s="70"/>
      <c r="G2508" s="70"/>
      <c r="H2508" s="85"/>
      <c r="I2508" s="85"/>
      <c r="J2508" s="131"/>
      <c r="K2508" s="60"/>
      <c r="L2508" s="33"/>
      <c r="M2508" s="48"/>
      <c r="P2508" s="3"/>
      <c r="Q2508" s="3"/>
      <c r="R2508" s="3"/>
      <c r="S2508" s="3"/>
      <c r="T2508" s="3"/>
      <c r="U2508" s="3"/>
      <c r="V2508" s="3"/>
      <c r="W2508" s="3"/>
      <c r="X2508" s="3"/>
      <c r="Y2508" s="4"/>
      <c r="Z2508"/>
      <c r="AA2508"/>
    </row>
    <row r="2509" spans="1:27" s="37" customFormat="1" x14ac:dyDescent="0.15">
      <c r="A2509" s="166"/>
      <c r="B2509" s="82"/>
      <c r="C2509" s="70"/>
      <c r="D2509" s="70"/>
      <c r="E2509" s="70"/>
      <c r="F2509" s="70"/>
      <c r="G2509" s="70"/>
      <c r="H2509" s="85"/>
      <c r="I2509" s="85"/>
      <c r="J2509" s="131"/>
      <c r="K2509" s="60"/>
      <c r="L2509" s="33"/>
      <c r="P2509" s="3"/>
      <c r="Q2509" s="3"/>
      <c r="R2509" s="3"/>
      <c r="S2509" s="3"/>
      <c r="T2509" s="3"/>
      <c r="U2509" s="3"/>
      <c r="V2509" s="3"/>
      <c r="W2509" s="3"/>
      <c r="X2509" s="3"/>
      <c r="Y2509" s="4"/>
      <c r="Z2509"/>
      <c r="AA2509"/>
    </row>
    <row r="2510" spans="1:27" s="37" customFormat="1" x14ac:dyDescent="0.15">
      <c r="A2510" s="166"/>
      <c r="B2510" s="82"/>
      <c r="C2510" s="70"/>
      <c r="D2510" s="70"/>
      <c r="E2510" s="70"/>
      <c r="F2510" s="70"/>
      <c r="G2510" s="70"/>
      <c r="H2510" s="85"/>
      <c r="I2510" s="85"/>
      <c r="J2510" s="131"/>
      <c r="K2510" s="60"/>
      <c r="L2510" s="33"/>
      <c r="P2510" s="3"/>
      <c r="Q2510" s="3"/>
      <c r="R2510" s="3"/>
      <c r="S2510" s="3"/>
      <c r="T2510" s="3"/>
      <c r="U2510" s="3"/>
      <c r="V2510" s="3"/>
      <c r="W2510" s="3"/>
      <c r="X2510" s="3"/>
      <c r="Y2510" s="4"/>
      <c r="Z2510"/>
      <c r="AA2510"/>
    </row>
    <row r="2511" spans="1:27" s="37" customFormat="1" ht="16" x14ac:dyDescent="0.2">
      <c r="A2511" s="166"/>
      <c r="B2511" s="82"/>
      <c r="C2511" s="70"/>
      <c r="D2511" s="70"/>
      <c r="E2511" s="70"/>
      <c r="F2511" s="70"/>
      <c r="G2511" s="70"/>
      <c r="H2511" s="85"/>
      <c r="I2511" s="85"/>
      <c r="J2511" s="131"/>
      <c r="K2511" s="60"/>
      <c r="L2511" s="33"/>
      <c r="M2511" s="48"/>
      <c r="P2511" s="3"/>
      <c r="Q2511" s="3"/>
      <c r="R2511" s="3"/>
      <c r="S2511" s="3"/>
      <c r="T2511" s="3"/>
      <c r="U2511" s="3"/>
      <c r="V2511" s="3"/>
      <c r="W2511" s="3"/>
      <c r="X2511" s="3"/>
      <c r="Y2511" s="4"/>
      <c r="Z2511"/>
      <c r="AA2511"/>
    </row>
    <row r="2512" spans="1:27" s="37" customFormat="1" x14ac:dyDescent="0.15">
      <c r="A2512" s="166"/>
      <c r="B2512" s="82"/>
      <c r="C2512" s="70"/>
      <c r="D2512" s="70"/>
      <c r="E2512" s="70"/>
      <c r="F2512" s="70"/>
      <c r="G2512" s="70"/>
      <c r="H2512" s="85"/>
      <c r="I2512" s="85"/>
      <c r="J2512" s="131"/>
      <c r="K2512" s="60"/>
      <c r="L2512" s="33"/>
      <c r="P2512" s="3"/>
      <c r="Q2512" s="3"/>
      <c r="R2512" s="3"/>
      <c r="S2512" s="3"/>
      <c r="T2512" s="3"/>
      <c r="U2512" s="3"/>
      <c r="V2512" s="3"/>
      <c r="W2512" s="3"/>
      <c r="X2512" s="3"/>
      <c r="Y2512" s="4"/>
      <c r="Z2512"/>
      <c r="AA2512"/>
    </row>
    <row r="2513" spans="1:27" s="37" customFormat="1" x14ac:dyDescent="0.15">
      <c r="A2513" s="166"/>
      <c r="B2513" s="93"/>
      <c r="C2513" s="70"/>
      <c r="D2513" s="70"/>
      <c r="E2513" s="70"/>
      <c r="F2513" s="70"/>
      <c r="G2513" s="70"/>
      <c r="H2513" s="85"/>
      <c r="I2513" s="85"/>
      <c r="J2513" s="141"/>
      <c r="K2513" s="60"/>
      <c r="L2513" s="33"/>
      <c r="P2513" s="3"/>
      <c r="Q2513" s="3"/>
      <c r="R2513" s="3"/>
      <c r="S2513" s="3"/>
      <c r="T2513" s="3"/>
      <c r="U2513" s="3"/>
      <c r="V2513" s="3"/>
      <c r="W2513" s="3"/>
      <c r="X2513" s="3"/>
      <c r="Y2513" s="4"/>
      <c r="Z2513"/>
      <c r="AA2513"/>
    </row>
    <row r="2514" spans="1:27" s="37" customFormat="1" x14ac:dyDescent="0.15">
      <c r="A2514" s="166"/>
      <c r="B2514" s="82"/>
      <c r="C2514" s="70"/>
      <c r="D2514" s="70"/>
      <c r="E2514" s="70"/>
      <c r="F2514" s="70"/>
      <c r="G2514" s="70"/>
      <c r="H2514" s="85"/>
      <c r="I2514" s="85"/>
      <c r="J2514" s="131"/>
      <c r="K2514" s="60"/>
      <c r="L2514" s="33"/>
      <c r="P2514" s="3"/>
      <c r="Q2514" s="3"/>
      <c r="R2514" s="3"/>
      <c r="S2514" s="3"/>
      <c r="T2514" s="3"/>
      <c r="U2514" s="3"/>
      <c r="V2514" s="3"/>
      <c r="W2514" s="3"/>
      <c r="X2514" s="3"/>
      <c r="Y2514" s="4"/>
      <c r="Z2514"/>
      <c r="AA2514"/>
    </row>
    <row r="2515" spans="1:27" s="37" customFormat="1" x14ac:dyDescent="0.15">
      <c r="A2515" s="166"/>
      <c r="B2515" s="82"/>
      <c r="C2515" s="70"/>
      <c r="D2515" s="70"/>
      <c r="E2515" s="70"/>
      <c r="F2515" s="70"/>
      <c r="G2515" s="70"/>
      <c r="H2515" s="85"/>
      <c r="I2515" s="85"/>
      <c r="J2515" s="141"/>
      <c r="K2515" s="60"/>
      <c r="L2515" s="33"/>
      <c r="P2515" s="3"/>
      <c r="Q2515" s="3"/>
      <c r="R2515" s="3"/>
      <c r="S2515" s="3"/>
      <c r="T2515" s="3"/>
      <c r="U2515" s="3"/>
      <c r="V2515" s="3"/>
      <c r="W2515" s="3"/>
      <c r="X2515" s="3"/>
      <c r="Y2515" s="4"/>
      <c r="Z2515"/>
      <c r="AA2515"/>
    </row>
    <row r="2516" spans="1:27" s="37" customFormat="1" x14ac:dyDescent="0.15">
      <c r="A2516" s="166"/>
      <c r="B2516" s="82"/>
      <c r="C2516" s="70"/>
      <c r="D2516" s="70"/>
      <c r="E2516" s="70"/>
      <c r="F2516" s="70"/>
      <c r="G2516" s="70"/>
      <c r="H2516" s="85"/>
      <c r="I2516" s="85"/>
      <c r="J2516" s="131"/>
      <c r="K2516" s="60"/>
      <c r="L2516" s="33"/>
      <c r="P2516" s="3"/>
      <c r="Q2516" s="3"/>
      <c r="R2516" s="3"/>
      <c r="S2516" s="3"/>
      <c r="T2516" s="3"/>
      <c r="U2516" s="3"/>
      <c r="V2516" s="3"/>
      <c r="W2516" s="3"/>
      <c r="X2516" s="3"/>
      <c r="Y2516" s="4"/>
      <c r="Z2516"/>
      <c r="AA2516"/>
    </row>
    <row r="2517" spans="1:27" s="37" customFormat="1" x14ac:dyDescent="0.15">
      <c r="A2517" s="166"/>
      <c r="B2517" s="82"/>
      <c r="C2517" s="70"/>
      <c r="D2517" s="70"/>
      <c r="E2517" s="70"/>
      <c r="F2517" s="70"/>
      <c r="G2517" s="70"/>
      <c r="H2517" s="85"/>
      <c r="I2517" s="85"/>
      <c r="J2517" s="141"/>
      <c r="K2517" s="60"/>
      <c r="L2517" s="33"/>
      <c r="P2517" s="3"/>
      <c r="Q2517" s="3"/>
      <c r="R2517" s="3"/>
      <c r="S2517" s="3"/>
      <c r="T2517" s="3"/>
      <c r="U2517" s="3"/>
      <c r="V2517" s="3"/>
      <c r="W2517" s="3"/>
      <c r="X2517" s="3"/>
      <c r="Y2517" s="4"/>
      <c r="Z2517"/>
      <c r="AA2517"/>
    </row>
    <row r="2518" spans="1:27" s="37" customFormat="1" ht="16" x14ac:dyDescent="0.2">
      <c r="A2518" s="166"/>
      <c r="B2518" s="93"/>
      <c r="C2518" s="70"/>
      <c r="D2518" s="70"/>
      <c r="E2518" s="70"/>
      <c r="F2518" s="70"/>
      <c r="G2518" s="70"/>
      <c r="H2518" s="85"/>
      <c r="I2518" s="85"/>
      <c r="J2518" s="141"/>
      <c r="K2518" s="60"/>
      <c r="L2518" s="33"/>
      <c r="M2518" s="48"/>
      <c r="P2518" s="3"/>
      <c r="Q2518" s="3"/>
      <c r="R2518" s="3"/>
      <c r="S2518" s="3"/>
      <c r="T2518" s="3"/>
      <c r="U2518" s="3"/>
      <c r="V2518" s="3"/>
      <c r="W2518" s="3"/>
      <c r="X2518" s="3"/>
      <c r="Y2518" s="4"/>
      <c r="Z2518"/>
      <c r="AA2518"/>
    </row>
    <row r="2519" spans="1:27" s="37" customFormat="1" ht="16" x14ac:dyDescent="0.2">
      <c r="A2519" s="166"/>
      <c r="B2519" s="82"/>
      <c r="C2519" s="70"/>
      <c r="D2519" s="70"/>
      <c r="E2519" s="70"/>
      <c r="F2519" s="70"/>
      <c r="G2519" s="70"/>
      <c r="H2519" s="85"/>
      <c r="I2519" s="85"/>
      <c r="J2519" s="141"/>
      <c r="K2519" s="60"/>
      <c r="L2519" s="33"/>
      <c r="M2519" s="48"/>
      <c r="P2519" s="3"/>
      <c r="Q2519" s="3"/>
      <c r="R2519" s="3"/>
      <c r="S2519" s="3"/>
      <c r="T2519" s="3"/>
      <c r="U2519" s="3"/>
      <c r="V2519" s="3"/>
      <c r="W2519" s="3"/>
      <c r="X2519" s="3"/>
      <c r="Y2519" s="4"/>
      <c r="Z2519"/>
      <c r="AA2519"/>
    </row>
    <row r="2520" spans="1:27" s="37" customFormat="1" ht="16" x14ac:dyDescent="0.2">
      <c r="A2520" s="166"/>
      <c r="B2520" s="82"/>
      <c r="C2520" s="70"/>
      <c r="D2520" s="70"/>
      <c r="E2520" s="70"/>
      <c r="F2520" s="70"/>
      <c r="G2520" s="70"/>
      <c r="H2520" s="85"/>
      <c r="I2520" s="85"/>
      <c r="J2520" s="141"/>
      <c r="K2520" s="60"/>
      <c r="L2520" s="33"/>
      <c r="M2520" s="48"/>
      <c r="P2520" s="3"/>
      <c r="Q2520" s="3"/>
      <c r="R2520" s="3"/>
      <c r="S2520" s="3"/>
      <c r="T2520" s="3"/>
      <c r="U2520" s="3"/>
      <c r="V2520" s="3"/>
      <c r="W2520" s="3"/>
      <c r="X2520" s="3"/>
      <c r="Y2520" s="4"/>
      <c r="Z2520"/>
      <c r="AA2520"/>
    </row>
    <row r="2521" spans="1:27" s="37" customFormat="1" ht="16" x14ac:dyDescent="0.2">
      <c r="A2521" s="166"/>
      <c r="B2521" s="82"/>
      <c r="C2521" s="70"/>
      <c r="D2521" s="70"/>
      <c r="E2521" s="70"/>
      <c r="F2521" s="70"/>
      <c r="G2521" s="70"/>
      <c r="H2521" s="85"/>
      <c r="I2521" s="85"/>
      <c r="J2521" s="141"/>
      <c r="K2521" s="60"/>
      <c r="L2521" s="33"/>
      <c r="M2521" s="48"/>
      <c r="P2521" s="3"/>
      <c r="Q2521" s="3"/>
      <c r="R2521" s="3"/>
      <c r="S2521" s="3"/>
      <c r="T2521" s="3"/>
      <c r="U2521" s="3"/>
      <c r="V2521" s="3"/>
      <c r="W2521" s="3"/>
      <c r="X2521" s="3"/>
      <c r="Y2521" s="4"/>
      <c r="Z2521"/>
      <c r="AA2521"/>
    </row>
    <row r="2522" spans="1:27" s="37" customFormat="1" ht="16" x14ac:dyDescent="0.2">
      <c r="A2522" s="166"/>
      <c r="B2522" s="82"/>
      <c r="C2522" s="70"/>
      <c r="D2522" s="70"/>
      <c r="E2522" s="70"/>
      <c r="F2522" s="70"/>
      <c r="G2522" s="70"/>
      <c r="H2522" s="85"/>
      <c r="I2522" s="85"/>
      <c r="J2522" s="141"/>
      <c r="K2522" s="60"/>
      <c r="L2522" s="33"/>
      <c r="M2522" s="48"/>
      <c r="P2522" s="3"/>
      <c r="Q2522" s="3"/>
      <c r="R2522" s="3"/>
      <c r="S2522" s="3"/>
      <c r="T2522" s="3"/>
      <c r="U2522" s="3"/>
      <c r="V2522" s="3"/>
      <c r="W2522" s="3"/>
      <c r="X2522" s="3"/>
      <c r="Y2522" s="4"/>
      <c r="Z2522"/>
      <c r="AA2522"/>
    </row>
    <row r="2523" spans="1:27" s="37" customFormat="1" x14ac:dyDescent="0.15">
      <c r="A2523" s="166"/>
      <c r="B2523" s="82"/>
      <c r="C2523" s="70"/>
      <c r="D2523" s="70"/>
      <c r="E2523" s="70"/>
      <c r="F2523" s="70"/>
      <c r="G2523" s="70"/>
      <c r="H2523" s="85"/>
      <c r="I2523" s="85"/>
      <c r="J2523" s="141"/>
      <c r="K2523" s="60"/>
      <c r="L2523" s="33"/>
      <c r="P2523" s="3"/>
      <c r="Q2523" s="3"/>
      <c r="R2523" s="3"/>
      <c r="S2523" s="3"/>
      <c r="T2523" s="3"/>
      <c r="U2523" s="3"/>
      <c r="V2523" s="3"/>
      <c r="W2523" s="3"/>
      <c r="X2523" s="3"/>
      <c r="Y2523" s="4"/>
      <c r="Z2523"/>
      <c r="AA2523"/>
    </row>
    <row r="2524" spans="1:27" s="37" customFormat="1" x14ac:dyDescent="0.15">
      <c r="A2524" s="166"/>
      <c r="B2524" s="82"/>
      <c r="C2524" s="70"/>
      <c r="D2524" s="70"/>
      <c r="E2524" s="70"/>
      <c r="F2524" s="70"/>
      <c r="G2524" s="70"/>
      <c r="H2524" s="85"/>
      <c r="I2524" s="85"/>
      <c r="J2524" s="141"/>
      <c r="K2524" s="60"/>
      <c r="L2524" s="33"/>
      <c r="P2524" s="3"/>
      <c r="Q2524" s="3"/>
      <c r="R2524" s="3"/>
      <c r="S2524" s="3"/>
      <c r="T2524" s="3"/>
      <c r="U2524" s="3"/>
      <c r="V2524" s="3"/>
      <c r="W2524" s="3"/>
      <c r="X2524" s="3"/>
      <c r="Y2524" s="4"/>
      <c r="Z2524"/>
      <c r="AA2524"/>
    </row>
    <row r="2525" spans="1:27" s="37" customFormat="1" ht="16" x14ac:dyDescent="0.2">
      <c r="A2525" s="166"/>
      <c r="B2525" s="93"/>
      <c r="C2525" s="70"/>
      <c r="D2525" s="70"/>
      <c r="E2525" s="70"/>
      <c r="F2525" s="70"/>
      <c r="G2525" s="70"/>
      <c r="H2525" s="85"/>
      <c r="I2525" s="85"/>
      <c r="J2525" s="141"/>
      <c r="K2525" s="60"/>
      <c r="L2525" s="33"/>
      <c r="M2525" s="48"/>
      <c r="P2525" s="3"/>
      <c r="Q2525" s="3"/>
      <c r="R2525" s="3"/>
      <c r="S2525" s="3"/>
      <c r="T2525" s="3"/>
      <c r="U2525" s="3"/>
      <c r="V2525" s="3"/>
      <c r="W2525" s="3"/>
      <c r="X2525" s="3"/>
      <c r="Y2525" s="4"/>
      <c r="Z2525"/>
      <c r="AA2525"/>
    </row>
    <row r="2526" spans="1:27" s="37" customFormat="1" ht="16" x14ac:dyDescent="0.2">
      <c r="A2526" s="166"/>
      <c r="B2526" s="82"/>
      <c r="C2526" s="70"/>
      <c r="D2526" s="70"/>
      <c r="E2526" s="70"/>
      <c r="F2526" s="70"/>
      <c r="G2526" s="70"/>
      <c r="H2526" s="85"/>
      <c r="I2526" s="85"/>
      <c r="J2526" s="141"/>
      <c r="K2526" s="60"/>
      <c r="L2526" s="33"/>
      <c r="M2526" s="48"/>
      <c r="P2526" s="3"/>
      <c r="Q2526" s="3"/>
      <c r="R2526" s="3"/>
      <c r="S2526" s="3"/>
      <c r="T2526" s="3"/>
      <c r="U2526" s="3"/>
      <c r="V2526" s="3"/>
      <c r="W2526" s="3"/>
      <c r="X2526" s="3"/>
      <c r="Y2526" s="4"/>
      <c r="Z2526"/>
      <c r="AA2526"/>
    </row>
    <row r="2527" spans="1:27" x14ac:dyDescent="0.15">
      <c r="A2527" s="166"/>
      <c r="B2527" s="82"/>
      <c r="C2527" s="70"/>
      <c r="D2527" s="70"/>
      <c r="E2527" s="70"/>
      <c r="F2527" s="70"/>
      <c r="G2527" s="70"/>
      <c r="H2527" s="85"/>
      <c r="I2527" s="85"/>
      <c r="J2527" s="131"/>
      <c r="K2527" s="60"/>
      <c r="L2527" s="33"/>
    </row>
    <row r="2528" spans="1:27" x14ac:dyDescent="0.15">
      <c r="A2528" s="166"/>
      <c r="B2528" s="82"/>
      <c r="C2528" s="70"/>
      <c r="D2528" s="70"/>
      <c r="E2528" s="70"/>
      <c r="F2528" s="70"/>
      <c r="G2528" s="70"/>
      <c r="H2528" s="85"/>
      <c r="I2528" s="85"/>
      <c r="J2528" s="141"/>
      <c r="K2528" s="60"/>
      <c r="L2528" s="33"/>
    </row>
    <row r="2529" spans="1:27" x14ac:dyDescent="0.15">
      <c r="A2529" s="166"/>
      <c r="B2529" s="82"/>
      <c r="C2529" s="70"/>
      <c r="D2529" s="70"/>
      <c r="E2529" s="70"/>
      <c r="F2529" s="70"/>
      <c r="G2529" s="70"/>
      <c r="H2529" s="85"/>
      <c r="I2529" s="85"/>
      <c r="J2529" s="141"/>
      <c r="K2529" s="60"/>
      <c r="L2529" s="33"/>
    </row>
    <row r="2530" spans="1:27" ht="16" x14ac:dyDescent="0.2">
      <c r="A2530" s="166"/>
      <c r="B2530" s="82"/>
      <c r="C2530" s="70"/>
      <c r="D2530" s="70"/>
      <c r="E2530" s="70"/>
      <c r="F2530" s="70"/>
      <c r="G2530" s="70"/>
      <c r="H2530" s="85"/>
      <c r="I2530" s="85"/>
      <c r="J2530" s="141"/>
      <c r="K2530" s="60"/>
      <c r="L2530" s="33"/>
      <c r="M2530" s="48"/>
    </row>
    <row r="2531" spans="1:27" x14ac:dyDescent="0.15">
      <c r="A2531" s="166"/>
      <c r="B2531" s="82"/>
      <c r="C2531" s="70"/>
      <c r="D2531" s="70"/>
      <c r="E2531" s="70"/>
      <c r="F2531" s="70"/>
      <c r="G2531" s="70"/>
      <c r="H2531" s="85"/>
      <c r="I2531" s="85"/>
      <c r="J2531" s="131"/>
      <c r="K2531" s="60"/>
      <c r="L2531" s="33"/>
    </row>
    <row r="2532" spans="1:27" x14ac:dyDescent="0.15">
      <c r="A2532" s="166"/>
      <c r="B2532" s="82"/>
      <c r="C2532" s="70"/>
      <c r="D2532" s="70"/>
      <c r="E2532" s="70"/>
      <c r="F2532" s="70"/>
      <c r="G2532" s="70"/>
      <c r="H2532" s="85"/>
      <c r="I2532" s="85"/>
      <c r="J2532" s="141"/>
      <c r="K2532" s="60"/>
      <c r="L2532" s="33"/>
    </row>
    <row r="2533" spans="1:27" x14ac:dyDescent="0.15">
      <c r="A2533" s="166"/>
      <c r="B2533" s="82"/>
      <c r="C2533" s="70"/>
      <c r="D2533" s="70"/>
      <c r="E2533" s="70"/>
      <c r="F2533" s="70"/>
      <c r="G2533" s="70"/>
      <c r="H2533" s="85"/>
      <c r="I2533" s="85"/>
      <c r="J2533" s="141"/>
      <c r="K2533" s="60"/>
      <c r="L2533" s="33"/>
    </row>
    <row r="2534" spans="1:27" x14ac:dyDescent="0.15">
      <c r="A2534" s="166"/>
      <c r="B2534" s="82"/>
      <c r="C2534" s="70"/>
      <c r="D2534" s="70"/>
      <c r="E2534" s="70"/>
      <c r="F2534" s="70"/>
      <c r="G2534" s="70"/>
      <c r="H2534" s="85"/>
      <c r="I2534" s="85"/>
      <c r="J2534" s="131"/>
      <c r="K2534" s="60"/>
      <c r="L2534" s="33"/>
    </row>
    <row r="2535" spans="1:27" x14ac:dyDescent="0.15">
      <c r="A2535" s="166"/>
      <c r="B2535" s="82"/>
      <c r="C2535" s="70"/>
      <c r="D2535" s="70"/>
      <c r="E2535" s="70"/>
      <c r="F2535" s="70"/>
      <c r="G2535" s="70"/>
      <c r="H2535" s="85"/>
      <c r="I2535" s="85"/>
      <c r="J2535" s="131"/>
      <c r="K2535" s="60"/>
      <c r="L2535" s="33"/>
    </row>
    <row r="2536" spans="1:27" x14ac:dyDescent="0.15">
      <c r="A2536" s="166"/>
      <c r="B2536" s="82"/>
      <c r="C2536" s="70"/>
      <c r="D2536" s="70"/>
      <c r="E2536" s="70"/>
      <c r="F2536" s="70"/>
      <c r="G2536" s="70"/>
      <c r="H2536" s="85"/>
      <c r="I2536" s="85"/>
      <c r="J2536" s="131"/>
      <c r="K2536" s="60"/>
      <c r="L2536" s="33"/>
      <c r="R2536"/>
      <c r="S2536"/>
      <c r="T2536"/>
      <c r="U2536"/>
      <c r="V2536"/>
      <c r="W2536"/>
      <c r="X2536"/>
      <c r="Y2536"/>
    </row>
    <row r="2537" spans="1:27" x14ac:dyDescent="0.15">
      <c r="A2537" s="166"/>
      <c r="B2537" s="82"/>
      <c r="C2537" s="70"/>
      <c r="D2537" s="70"/>
      <c r="E2537" s="70"/>
      <c r="F2537" s="70"/>
      <c r="G2537" s="70"/>
      <c r="H2537" s="85"/>
      <c r="I2537" s="85"/>
      <c r="J2537" s="131"/>
      <c r="K2537" s="60"/>
      <c r="L2537" s="33"/>
    </row>
    <row r="2538" spans="1:27" x14ac:dyDescent="0.15">
      <c r="A2538" s="166"/>
      <c r="B2538" s="82"/>
      <c r="C2538" s="70"/>
      <c r="D2538" s="70"/>
      <c r="E2538" s="70"/>
      <c r="F2538" s="70"/>
      <c r="G2538" s="70"/>
      <c r="H2538" s="85"/>
      <c r="I2538" s="85"/>
      <c r="J2538" s="131"/>
      <c r="K2538" s="60"/>
      <c r="L2538" s="33"/>
    </row>
    <row r="2539" spans="1:27" x14ac:dyDescent="0.15">
      <c r="A2539" s="166"/>
      <c r="B2539" s="82"/>
      <c r="C2539" s="70"/>
      <c r="D2539" s="70"/>
      <c r="E2539" s="70"/>
      <c r="F2539" s="70"/>
      <c r="G2539" s="70"/>
      <c r="H2539" s="85"/>
      <c r="I2539" s="85"/>
      <c r="J2539" s="131"/>
      <c r="K2539" s="60"/>
      <c r="L2539" s="33"/>
    </row>
    <row r="2540" spans="1:27" x14ac:dyDescent="0.15">
      <c r="A2540" s="166"/>
      <c r="B2540" s="82"/>
      <c r="C2540" s="70"/>
      <c r="D2540" s="70"/>
      <c r="E2540" s="70"/>
      <c r="F2540" s="70"/>
      <c r="G2540" s="70"/>
      <c r="H2540" s="85"/>
      <c r="I2540" s="85"/>
      <c r="J2540" s="131"/>
      <c r="K2540" s="60"/>
      <c r="L2540" s="33"/>
    </row>
    <row r="2541" spans="1:27" x14ac:dyDescent="0.15">
      <c r="A2541" s="166"/>
      <c r="B2541" s="82"/>
      <c r="C2541" s="70"/>
      <c r="D2541" s="70"/>
      <c r="E2541" s="70"/>
      <c r="F2541" s="70"/>
      <c r="G2541" s="70"/>
      <c r="H2541" s="85"/>
      <c r="I2541" s="85"/>
      <c r="J2541" s="141"/>
      <c r="K2541" s="60"/>
      <c r="L2541" s="33"/>
    </row>
    <row r="2542" spans="1:27" x14ac:dyDescent="0.15">
      <c r="A2542" s="166"/>
      <c r="B2542" s="82"/>
      <c r="C2542" s="70"/>
      <c r="D2542" s="70"/>
      <c r="E2542" s="70"/>
      <c r="F2542" s="70"/>
      <c r="G2542" s="70"/>
      <c r="H2542" s="85"/>
      <c r="I2542" s="85"/>
      <c r="J2542" s="141"/>
      <c r="K2542" s="60"/>
      <c r="L2542" s="33"/>
    </row>
    <row r="2543" spans="1:27" s="37" customFormat="1" x14ac:dyDescent="0.15">
      <c r="A2543" s="166"/>
      <c r="B2543" s="82"/>
      <c r="C2543" s="70"/>
      <c r="D2543" s="70"/>
      <c r="E2543" s="70"/>
      <c r="F2543" s="70"/>
      <c r="G2543" s="70"/>
      <c r="H2543" s="85"/>
      <c r="I2543" s="85"/>
      <c r="J2543" s="141"/>
      <c r="K2543" s="60"/>
      <c r="L2543" s="33"/>
      <c r="P2543" s="3"/>
      <c r="Q2543" s="3"/>
      <c r="R2543" s="3"/>
      <c r="S2543" s="3"/>
      <c r="T2543" s="3"/>
      <c r="U2543" s="3"/>
      <c r="V2543" s="3"/>
      <c r="W2543" s="3"/>
      <c r="X2543" s="3"/>
      <c r="Y2543" s="4"/>
      <c r="Z2543"/>
      <c r="AA2543"/>
    </row>
    <row r="2544" spans="1:27" s="37" customFormat="1" x14ac:dyDescent="0.15">
      <c r="A2544" s="166"/>
      <c r="B2544" s="93"/>
      <c r="C2544" s="70"/>
      <c r="D2544" s="70"/>
      <c r="E2544" s="70"/>
      <c r="F2544" s="70"/>
      <c r="G2544" s="70"/>
      <c r="H2544" s="85"/>
      <c r="I2544" s="85"/>
      <c r="J2544" s="141"/>
      <c r="K2544" s="60"/>
      <c r="L2544" s="33"/>
      <c r="P2544" s="3"/>
      <c r="Q2544" s="3"/>
      <c r="R2544" s="3"/>
      <c r="S2544" s="3"/>
      <c r="T2544" s="3"/>
      <c r="U2544" s="3"/>
      <c r="V2544" s="3"/>
      <c r="W2544" s="3"/>
      <c r="X2544" s="3"/>
      <c r="Y2544" s="4"/>
      <c r="Z2544"/>
      <c r="AA2544"/>
    </row>
    <row r="2545" spans="1:27" s="37" customFormat="1" x14ac:dyDescent="0.15">
      <c r="A2545" s="166"/>
      <c r="B2545" s="82"/>
      <c r="C2545" s="70"/>
      <c r="D2545" s="70"/>
      <c r="E2545" s="70"/>
      <c r="F2545" s="70"/>
      <c r="G2545" s="70"/>
      <c r="H2545" s="85"/>
      <c r="I2545" s="85"/>
      <c r="J2545" s="131"/>
      <c r="K2545" s="60"/>
      <c r="L2545" s="33"/>
      <c r="P2545" s="3"/>
      <c r="Q2545" s="3"/>
      <c r="R2545" s="3"/>
      <c r="S2545" s="3"/>
      <c r="T2545" s="3"/>
      <c r="U2545" s="3"/>
      <c r="V2545" s="3"/>
      <c r="W2545" s="3"/>
      <c r="X2545" s="3"/>
      <c r="Y2545" s="4"/>
      <c r="Z2545"/>
      <c r="AA2545"/>
    </row>
    <row r="2546" spans="1:27" s="37" customFormat="1" x14ac:dyDescent="0.15">
      <c r="A2546" s="166"/>
      <c r="B2546" s="82"/>
      <c r="C2546" s="70"/>
      <c r="D2546" s="70"/>
      <c r="E2546" s="70"/>
      <c r="F2546" s="70"/>
      <c r="G2546" s="70"/>
      <c r="H2546" s="85"/>
      <c r="I2546" s="85"/>
      <c r="J2546" s="141"/>
      <c r="K2546" s="60"/>
      <c r="L2546" s="33"/>
      <c r="P2546" s="3"/>
      <c r="Q2546" s="3"/>
      <c r="R2546" s="3"/>
      <c r="S2546" s="3"/>
      <c r="T2546" s="3"/>
      <c r="U2546" s="3"/>
      <c r="V2546" s="3"/>
      <c r="W2546" s="3"/>
      <c r="X2546" s="3"/>
      <c r="Y2546" s="4"/>
      <c r="Z2546"/>
      <c r="AA2546"/>
    </row>
    <row r="2547" spans="1:27" s="37" customFormat="1" x14ac:dyDescent="0.15">
      <c r="A2547" s="166"/>
      <c r="B2547" s="82"/>
      <c r="C2547" s="70"/>
      <c r="D2547" s="70"/>
      <c r="E2547" s="70"/>
      <c r="F2547" s="70"/>
      <c r="G2547" s="70"/>
      <c r="H2547" s="85"/>
      <c r="I2547" s="85"/>
      <c r="J2547" s="131"/>
      <c r="K2547" s="60"/>
      <c r="L2547" s="33"/>
      <c r="P2547" s="3"/>
      <c r="Q2547" s="3"/>
      <c r="R2547" s="3"/>
      <c r="S2547" s="3"/>
      <c r="T2547" s="3"/>
      <c r="U2547" s="3"/>
      <c r="V2547" s="3"/>
      <c r="W2547" s="3"/>
      <c r="X2547" s="3"/>
      <c r="Y2547" s="4"/>
      <c r="Z2547"/>
      <c r="AA2547"/>
    </row>
    <row r="2548" spans="1:27" s="37" customFormat="1" ht="16" x14ac:dyDescent="0.2">
      <c r="A2548" s="166"/>
      <c r="B2548" s="82"/>
      <c r="C2548" s="70"/>
      <c r="D2548" s="70"/>
      <c r="E2548" s="70"/>
      <c r="F2548" s="70"/>
      <c r="G2548" s="70"/>
      <c r="H2548" s="85"/>
      <c r="I2548" s="85"/>
      <c r="J2548" s="141"/>
      <c r="K2548" s="60"/>
      <c r="L2548" s="33"/>
      <c r="M2548" s="48"/>
      <c r="P2548" s="3"/>
      <c r="Q2548" s="3"/>
      <c r="R2548" s="3"/>
      <c r="S2548" s="3"/>
      <c r="T2548" s="3"/>
      <c r="U2548" s="3"/>
      <c r="V2548" s="3"/>
      <c r="W2548" s="3"/>
      <c r="X2548" s="3"/>
      <c r="Y2548" s="4"/>
      <c r="Z2548"/>
      <c r="AA2548"/>
    </row>
    <row r="2549" spans="1:27" s="37" customFormat="1" x14ac:dyDescent="0.15">
      <c r="A2549" s="166"/>
      <c r="B2549" s="82"/>
      <c r="C2549" s="70"/>
      <c r="D2549" s="70"/>
      <c r="E2549" s="70"/>
      <c r="F2549" s="70"/>
      <c r="G2549" s="70"/>
      <c r="H2549" s="85"/>
      <c r="I2549" s="85"/>
      <c r="J2549" s="141"/>
      <c r="K2549" s="60"/>
      <c r="L2549" s="33"/>
      <c r="P2549" s="3"/>
      <c r="Q2549" s="3"/>
      <c r="R2549" s="3"/>
      <c r="S2549" s="3"/>
      <c r="T2549" s="3"/>
      <c r="U2549" s="3"/>
      <c r="V2549" s="3"/>
      <c r="W2549" s="3"/>
      <c r="X2549" s="3"/>
      <c r="Y2549" s="4"/>
      <c r="Z2549"/>
      <c r="AA2549"/>
    </row>
    <row r="2550" spans="1:27" s="37" customFormat="1" x14ac:dyDescent="0.15">
      <c r="A2550" s="166"/>
      <c r="B2550" s="82"/>
      <c r="C2550" s="70"/>
      <c r="D2550" s="70"/>
      <c r="E2550" s="70"/>
      <c r="F2550" s="70"/>
      <c r="G2550" s="70"/>
      <c r="H2550" s="85"/>
      <c r="I2550" s="85"/>
      <c r="J2550" s="131"/>
      <c r="K2550" s="60"/>
      <c r="L2550" s="33"/>
      <c r="P2550" s="3"/>
      <c r="Q2550" s="3"/>
      <c r="R2550" s="3"/>
      <c r="S2550" s="3"/>
      <c r="T2550" s="3"/>
      <c r="U2550" s="3"/>
      <c r="V2550" s="3"/>
      <c r="W2550" s="3"/>
      <c r="X2550" s="3"/>
      <c r="Y2550" s="4"/>
      <c r="Z2550"/>
      <c r="AA2550"/>
    </row>
    <row r="2551" spans="1:27" s="37" customFormat="1" x14ac:dyDescent="0.15">
      <c r="A2551" s="166"/>
      <c r="B2551" s="82"/>
      <c r="C2551" s="70"/>
      <c r="D2551" s="70"/>
      <c r="E2551" s="70"/>
      <c r="F2551" s="70"/>
      <c r="G2551" s="70"/>
      <c r="H2551" s="85"/>
      <c r="I2551" s="85"/>
      <c r="J2551" s="141"/>
      <c r="K2551" s="60"/>
      <c r="L2551" s="33"/>
      <c r="P2551" s="3"/>
      <c r="Q2551" s="3"/>
      <c r="R2551" s="3"/>
      <c r="S2551" s="3"/>
      <c r="T2551" s="3"/>
      <c r="U2551" s="3"/>
      <c r="V2551" s="3"/>
      <c r="W2551" s="3"/>
      <c r="X2551" s="3"/>
      <c r="Y2551" s="4"/>
      <c r="Z2551"/>
      <c r="AA2551"/>
    </row>
    <row r="2552" spans="1:27" s="37" customFormat="1" x14ac:dyDescent="0.15">
      <c r="A2552" s="166"/>
      <c r="B2552" s="82"/>
      <c r="C2552" s="70"/>
      <c r="D2552" s="70"/>
      <c r="E2552" s="70"/>
      <c r="F2552" s="70"/>
      <c r="G2552" s="70"/>
      <c r="H2552" s="85"/>
      <c r="I2552" s="85"/>
      <c r="J2552" s="131"/>
      <c r="K2552" s="60"/>
      <c r="L2552" s="33"/>
      <c r="P2552" s="3"/>
      <c r="Q2552" s="3"/>
      <c r="R2552" s="3"/>
      <c r="S2552" s="3"/>
      <c r="T2552" s="3"/>
      <c r="U2552" s="3"/>
      <c r="V2552" s="3"/>
      <c r="W2552" s="3"/>
      <c r="X2552" s="3"/>
      <c r="Y2552" s="4"/>
      <c r="Z2552"/>
      <c r="AA2552"/>
    </row>
    <row r="2553" spans="1:27" s="37" customFormat="1" x14ac:dyDescent="0.15">
      <c r="A2553" s="166"/>
      <c r="B2553" s="82"/>
      <c r="C2553" s="70"/>
      <c r="D2553" s="70"/>
      <c r="E2553" s="70"/>
      <c r="F2553" s="70"/>
      <c r="G2553" s="70"/>
      <c r="H2553" s="85"/>
      <c r="I2553" s="85"/>
      <c r="J2553" s="141"/>
      <c r="K2553" s="60"/>
      <c r="L2553" s="33"/>
      <c r="P2553" s="3"/>
      <c r="Q2553" s="3"/>
      <c r="R2553" s="3"/>
      <c r="S2553" s="3"/>
      <c r="T2553" s="3"/>
      <c r="U2553" s="3"/>
      <c r="V2553" s="3"/>
      <c r="W2553" s="3"/>
      <c r="X2553" s="3"/>
      <c r="Y2553" s="4"/>
      <c r="Z2553"/>
      <c r="AA2553"/>
    </row>
    <row r="2554" spans="1:27" s="37" customFormat="1" x14ac:dyDescent="0.15">
      <c r="A2554" s="166"/>
      <c r="B2554" s="82"/>
      <c r="C2554" s="70"/>
      <c r="D2554" s="70"/>
      <c r="E2554" s="70"/>
      <c r="F2554" s="70"/>
      <c r="G2554" s="70"/>
      <c r="H2554" s="85"/>
      <c r="I2554" s="85"/>
      <c r="J2554" s="131"/>
      <c r="K2554" s="60"/>
      <c r="L2554" s="33"/>
      <c r="P2554" s="3"/>
      <c r="Q2554" s="3"/>
      <c r="R2554" s="3"/>
      <c r="S2554" s="3"/>
      <c r="T2554" s="3"/>
      <c r="U2554" s="3"/>
      <c r="V2554" s="3"/>
      <c r="W2554" s="3"/>
      <c r="X2554" s="3"/>
      <c r="Y2554" s="4"/>
      <c r="Z2554"/>
      <c r="AA2554"/>
    </row>
    <row r="2555" spans="1:27" s="37" customFormat="1" x14ac:dyDescent="0.15">
      <c r="A2555" s="166"/>
      <c r="B2555" s="82"/>
      <c r="C2555" s="70"/>
      <c r="D2555" s="70"/>
      <c r="E2555" s="70"/>
      <c r="F2555" s="70"/>
      <c r="G2555" s="70"/>
      <c r="H2555" s="85"/>
      <c r="I2555" s="85"/>
      <c r="J2555" s="141"/>
      <c r="K2555" s="60"/>
      <c r="L2555" s="33"/>
      <c r="P2555" s="3"/>
      <c r="Q2555" s="3"/>
      <c r="R2555" s="3"/>
      <c r="S2555" s="3"/>
      <c r="T2555" s="3"/>
      <c r="U2555" s="3"/>
      <c r="V2555" s="3"/>
      <c r="W2555" s="3"/>
      <c r="X2555" s="3"/>
      <c r="Y2555" s="4"/>
      <c r="Z2555"/>
      <c r="AA2555"/>
    </row>
    <row r="2556" spans="1:27" s="37" customFormat="1" x14ac:dyDescent="0.15">
      <c r="A2556" s="166"/>
      <c r="B2556" s="82"/>
      <c r="C2556" s="70"/>
      <c r="D2556" s="70"/>
      <c r="E2556" s="70"/>
      <c r="F2556" s="70"/>
      <c r="G2556" s="70"/>
      <c r="H2556" s="85"/>
      <c r="I2556" s="85"/>
      <c r="J2556" s="131"/>
      <c r="K2556" s="60"/>
      <c r="L2556" s="33"/>
      <c r="P2556" s="3"/>
      <c r="Q2556" s="3"/>
      <c r="R2556" s="3"/>
      <c r="S2556" s="3"/>
      <c r="T2556" s="3"/>
      <c r="U2556" s="3"/>
      <c r="V2556" s="3"/>
      <c r="W2556" s="3"/>
      <c r="X2556" s="3"/>
      <c r="Y2556" s="4"/>
      <c r="Z2556"/>
      <c r="AA2556"/>
    </row>
    <row r="2557" spans="1:27" s="37" customFormat="1" x14ac:dyDescent="0.15">
      <c r="A2557" s="166"/>
      <c r="B2557" s="82"/>
      <c r="C2557" s="70"/>
      <c r="D2557" s="70"/>
      <c r="E2557" s="70"/>
      <c r="F2557" s="70"/>
      <c r="G2557" s="70"/>
      <c r="H2557" s="85"/>
      <c r="I2557" s="85"/>
      <c r="J2557" s="131"/>
      <c r="K2557" s="60"/>
      <c r="L2557" s="49"/>
      <c r="P2557" s="3"/>
      <c r="Q2557" s="3"/>
      <c r="R2557" s="3"/>
      <c r="S2557" s="3"/>
      <c r="T2557" s="3"/>
      <c r="U2557" s="3"/>
      <c r="V2557" s="3"/>
      <c r="W2557" s="3"/>
      <c r="X2557" s="3"/>
      <c r="Y2557" s="4"/>
      <c r="Z2557"/>
      <c r="AA2557"/>
    </row>
    <row r="2558" spans="1:27" s="37" customFormat="1" x14ac:dyDescent="0.15">
      <c r="A2558" s="166"/>
      <c r="B2558" s="82"/>
      <c r="C2558" s="70"/>
      <c r="D2558" s="70"/>
      <c r="E2558" s="70"/>
      <c r="F2558" s="70"/>
      <c r="G2558" s="70"/>
      <c r="H2558" s="85"/>
      <c r="I2558" s="85"/>
      <c r="J2558" s="131"/>
      <c r="K2558" s="60"/>
      <c r="L2558" s="49"/>
      <c r="P2558" s="3"/>
      <c r="Q2558" s="3"/>
      <c r="R2558" s="3"/>
      <c r="S2558" s="3"/>
      <c r="T2558" s="3"/>
      <c r="U2558" s="3"/>
      <c r="V2558" s="3"/>
      <c r="W2558" s="3"/>
      <c r="X2558" s="3"/>
      <c r="Y2558" s="4"/>
      <c r="Z2558"/>
      <c r="AA2558"/>
    </row>
    <row r="2559" spans="1:27" s="37" customFormat="1" x14ac:dyDescent="0.15">
      <c r="A2559" s="166"/>
      <c r="B2559" s="82"/>
      <c r="C2559" s="70"/>
      <c r="D2559" s="70"/>
      <c r="E2559" s="70"/>
      <c r="F2559" s="70"/>
      <c r="G2559" s="70"/>
      <c r="H2559" s="85"/>
      <c r="I2559" s="85"/>
      <c r="J2559" s="131"/>
      <c r="K2559" s="60"/>
      <c r="L2559" s="49"/>
      <c r="P2559" s="3"/>
      <c r="Q2559" s="3"/>
      <c r="R2559" s="3"/>
      <c r="S2559" s="3"/>
      <c r="T2559" s="3"/>
      <c r="U2559" s="3"/>
      <c r="V2559" s="3"/>
      <c r="W2559" s="3"/>
      <c r="X2559" s="3"/>
      <c r="Y2559" s="4"/>
      <c r="Z2559"/>
      <c r="AA2559"/>
    </row>
    <row r="2560" spans="1:27" s="37" customFormat="1" x14ac:dyDescent="0.15">
      <c r="A2560" s="166"/>
      <c r="B2560" s="82"/>
      <c r="C2560" s="70"/>
      <c r="D2560" s="70"/>
      <c r="E2560" s="70"/>
      <c r="F2560" s="70"/>
      <c r="G2560" s="70"/>
      <c r="H2560" s="85"/>
      <c r="I2560" s="85"/>
      <c r="J2560" s="131"/>
      <c r="K2560" s="60"/>
      <c r="L2560" s="49"/>
      <c r="P2560" s="3"/>
      <c r="Q2560" s="3"/>
      <c r="R2560" s="3"/>
      <c r="S2560" s="3"/>
      <c r="T2560" s="3"/>
      <c r="U2560" s="3"/>
      <c r="V2560" s="3"/>
      <c r="W2560" s="3"/>
      <c r="X2560" s="3"/>
      <c r="Y2560" s="4"/>
      <c r="Z2560"/>
      <c r="AA2560"/>
    </row>
    <row r="2561" spans="1:27" s="37" customFormat="1" ht="16" x14ac:dyDescent="0.2">
      <c r="A2561" s="166"/>
      <c r="B2561" s="82"/>
      <c r="C2561" s="70"/>
      <c r="D2561" s="70"/>
      <c r="E2561" s="70"/>
      <c r="F2561" s="70"/>
      <c r="G2561" s="70"/>
      <c r="H2561" s="85"/>
      <c r="I2561" s="85"/>
      <c r="J2561" s="131"/>
      <c r="K2561" s="60"/>
      <c r="L2561" s="49"/>
      <c r="M2561" s="48"/>
      <c r="P2561" s="3"/>
      <c r="Q2561" s="3"/>
      <c r="R2561" s="3"/>
      <c r="S2561" s="3"/>
      <c r="T2561" s="3"/>
      <c r="U2561" s="3"/>
      <c r="V2561" s="3"/>
      <c r="W2561" s="3"/>
      <c r="X2561" s="3"/>
      <c r="Y2561" s="4"/>
      <c r="Z2561"/>
      <c r="AA2561"/>
    </row>
    <row r="2562" spans="1:27" s="37" customFormat="1" x14ac:dyDescent="0.15">
      <c r="A2562" s="166"/>
      <c r="B2562" s="82"/>
      <c r="C2562" s="70"/>
      <c r="D2562" s="70"/>
      <c r="E2562" s="70"/>
      <c r="F2562" s="70"/>
      <c r="G2562" s="70"/>
      <c r="H2562" s="85"/>
      <c r="I2562" s="85"/>
      <c r="J2562" s="131"/>
      <c r="K2562" s="67"/>
      <c r="L2562" s="49"/>
      <c r="P2562" s="3"/>
      <c r="Q2562" s="3"/>
      <c r="R2562" s="3"/>
      <c r="S2562" s="3"/>
      <c r="T2562" s="3"/>
      <c r="U2562" s="3"/>
      <c r="V2562" s="3"/>
      <c r="W2562" s="3"/>
      <c r="X2562" s="3"/>
      <c r="Y2562" s="4"/>
      <c r="Z2562"/>
      <c r="AA2562"/>
    </row>
    <row r="2563" spans="1:27" s="37" customFormat="1" x14ac:dyDescent="0.15">
      <c r="A2563" s="166"/>
      <c r="B2563" s="82"/>
      <c r="C2563" s="70"/>
      <c r="D2563" s="70"/>
      <c r="E2563" s="70"/>
      <c r="F2563" s="70"/>
      <c r="G2563" s="70"/>
      <c r="H2563" s="85"/>
      <c r="I2563" s="85"/>
      <c r="J2563" s="131"/>
      <c r="K2563" s="60"/>
      <c r="L2563" s="49"/>
      <c r="P2563" s="3"/>
      <c r="Q2563" s="3"/>
      <c r="R2563" s="3"/>
      <c r="S2563" s="3"/>
      <c r="T2563" s="3"/>
      <c r="U2563" s="3"/>
      <c r="V2563" s="3"/>
      <c r="W2563" s="3"/>
      <c r="X2563" s="3"/>
      <c r="Y2563" s="4"/>
      <c r="Z2563"/>
      <c r="AA2563"/>
    </row>
    <row r="2564" spans="1:27" s="37" customFormat="1" x14ac:dyDescent="0.15">
      <c r="A2564" s="166"/>
      <c r="B2564" s="82"/>
      <c r="C2564" s="70"/>
      <c r="D2564" s="70"/>
      <c r="E2564" s="70"/>
      <c r="F2564" s="70"/>
      <c r="G2564" s="70"/>
      <c r="H2564" s="85"/>
      <c r="I2564" s="85"/>
      <c r="J2564" s="131"/>
      <c r="K2564" s="60"/>
      <c r="L2564" s="49"/>
      <c r="P2564" s="3"/>
      <c r="Q2564" s="3"/>
      <c r="R2564" s="3"/>
      <c r="S2564" s="3"/>
      <c r="T2564" s="3"/>
      <c r="U2564" s="3"/>
      <c r="V2564" s="3"/>
      <c r="W2564" s="3"/>
      <c r="X2564" s="3"/>
      <c r="Y2564" s="4"/>
      <c r="Z2564"/>
      <c r="AA2564"/>
    </row>
    <row r="2565" spans="1:27" s="37" customFormat="1" x14ac:dyDescent="0.15">
      <c r="A2565" s="166"/>
      <c r="B2565" s="82"/>
      <c r="C2565" s="70"/>
      <c r="D2565" s="70"/>
      <c r="E2565" s="70"/>
      <c r="F2565" s="70"/>
      <c r="G2565" s="70"/>
      <c r="H2565" s="85"/>
      <c r="I2565" s="85"/>
      <c r="J2565" s="131"/>
      <c r="K2565" s="60"/>
      <c r="L2565" s="49"/>
      <c r="P2565" s="3"/>
      <c r="Q2565" s="3"/>
      <c r="R2565" s="3"/>
      <c r="S2565" s="3"/>
      <c r="T2565" s="3"/>
      <c r="U2565" s="3"/>
      <c r="V2565" s="3"/>
      <c r="W2565" s="3"/>
      <c r="X2565" s="3"/>
      <c r="Y2565" s="4"/>
      <c r="Z2565"/>
      <c r="AA2565"/>
    </row>
    <row r="2566" spans="1:27" s="37" customFormat="1" x14ac:dyDescent="0.15">
      <c r="A2566" s="166"/>
      <c r="B2566" s="82"/>
      <c r="C2566" s="70"/>
      <c r="D2566" s="70"/>
      <c r="E2566" s="70"/>
      <c r="F2566" s="70"/>
      <c r="G2566" s="70"/>
      <c r="H2566" s="85"/>
      <c r="I2566" s="85"/>
      <c r="J2566" s="131"/>
      <c r="K2566" s="60"/>
      <c r="L2566" s="49"/>
      <c r="P2566" s="3"/>
      <c r="Q2566" s="3"/>
      <c r="R2566" s="3"/>
      <c r="S2566" s="3"/>
      <c r="T2566" s="3"/>
      <c r="U2566" s="3"/>
      <c r="V2566" s="3"/>
      <c r="W2566" s="3"/>
      <c r="X2566" s="3"/>
      <c r="Y2566" s="4"/>
      <c r="Z2566"/>
      <c r="AA2566"/>
    </row>
    <row r="2567" spans="1:27" s="37" customFormat="1" ht="16" x14ac:dyDescent="0.2">
      <c r="A2567" s="166"/>
      <c r="B2567" s="82"/>
      <c r="C2567" s="70"/>
      <c r="D2567" s="70"/>
      <c r="E2567" s="70"/>
      <c r="F2567" s="70"/>
      <c r="G2567" s="70"/>
      <c r="H2567" s="85"/>
      <c r="I2567" s="85"/>
      <c r="J2567" s="131"/>
      <c r="K2567" s="60"/>
      <c r="L2567" s="49"/>
      <c r="M2567" s="48"/>
      <c r="P2567" s="3"/>
      <c r="Q2567" s="3"/>
      <c r="R2567" s="3"/>
      <c r="S2567" s="3"/>
      <c r="T2567" s="3"/>
      <c r="U2567" s="3"/>
      <c r="V2567" s="3"/>
      <c r="W2567" s="3"/>
      <c r="X2567" s="3"/>
      <c r="Y2567" s="4"/>
      <c r="Z2567"/>
      <c r="AA2567"/>
    </row>
    <row r="2568" spans="1:27" s="37" customFormat="1" x14ac:dyDescent="0.15">
      <c r="A2568" s="166"/>
      <c r="B2568" s="82"/>
      <c r="C2568" s="70"/>
      <c r="D2568" s="70"/>
      <c r="E2568" s="70"/>
      <c r="F2568" s="70"/>
      <c r="G2568" s="70"/>
      <c r="H2568" s="85"/>
      <c r="I2568" s="85"/>
      <c r="J2568" s="131"/>
      <c r="K2568" s="60"/>
      <c r="L2568" s="49"/>
      <c r="P2568" s="3"/>
      <c r="Q2568" s="3"/>
      <c r="R2568" s="3"/>
      <c r="S2568" s="3"/>
      <c r="T2568" s="3"/>
      <c r="U2568" s="3"/>
      <c r="V2568" s="3"/>
      <c r="W2568" s="3"/>
      <c r="X2568" s="3"/>
      <c r="Y2568" s="4"/>
      <c r="Z2568"/>
      <c r="AA2568"/>
    </row>
    <row r="2569" spans="1:27" s="37" customFormat="1" ht="16" x14ac:dyDescent="0.2">
      <c r="A2569" s="166"/>
      <c r="B2569" s="82"/>
      <c r="C2569" s="70"/>
      <c r="D2569" s="70"/>
      <c r="E2569" s="70"/>
      <c r="F2569" s="70"/>
      <c r="G2569" s="70"/>
      <c r="H2569" s="85"/>
      <c r="I2569" s="85"/>
      <c r="J2569" s="141"/>
      <c r="K2569" s="60"/>
      <c r="L2569" s="49"/>
      <c r="M2569" s="48"/>
      <c r="P2569" s="3"/>
      <c r="Q2569" s="3"/>
      <c r="R2569" s="3"/>
      <c r="S2569" s="3"/>
      <c r="T2569" s="3"/>
      <c r="U2569" s="3"/>
      <c r="V2569" s="3"/>
      <c r="W2569" s="3"/>
      <c r="X2569" s="3"/>
      <c r="Y2569" s="4"/>
      <c r="Z2569"/>
      <c r="AA2569"/>
    </row>
    <row r="2570" spans="1:27" s="37" customFormat="1" x14ac:dyDescent="0.15">
      <c r="A2570" s="166"/>
      <c r="B2570" s="82"/>
      <c r="C2570" s="70"/>
      <c r="D2570" s="70"/>
      <c r="E2570" s="70"/>
      <c r="F2570" s="70"/>
      <c r="G2570" s="70"/>
      <c r="H2570" s="85"/>
      <c r="I2570" s="85"/>
      <c r="J2570" s="131"/>
      <c r="K2570" s="60"/>
      <c r="L2570" s="49"/>
      <c r="P2570" s="3"/>
      <c r="Q2570" s="3"/>
      <c r="R2570" s="3"/>
      <c r="S2570" s="3"/>
      <c r="T2570" s="3"/>
      <c r="U2570" s="3"/>
      <c r="V2570" s="3"/>
      <c r="W2570" s="3"/>
      <c r="X2570" s="3"/>
      <c r="Y2570" s="4"/>
      <c r="Z2570"/>
      <c r="AA2570"/>
    </row>
    <row r="2571" spans="1:27" s="37" customFormat="1" ht="16" x14ac:dyDescent="0.2">
      <c r="A2571" s="166"/>
      <c r="B2571" s="82"/>
      <c r="C2571" s="70"/>
      <c r="D2571" s="70"/>
      <c r="E2571" s="70"/>
      <c r="F2571" s="70"/>
      <c r="G2571" s="70"/>
      <c r="H2571" s="85"/>
      <c r="I2571" s="85"/>
      <c r="J2571" s="131"/>
      <c r="K2571" s="60"/>
      <c r="L2571" s="49"/>
      <c r="M2571" s="48"/>
      <c r="P2571" s="3"/>
      <c r="Q2571" s="3"/>
      <c r="R2571" s="3"/>
      <c r="S2571" s="3"/>
      <c r="T2571" s="3"/>
      <c r="U2571" s="3"/>
      <c r="V2571" s="3"/>
      <c r="W2571" s="3"/>
      <c r="X2571" s="3"/>
      <c r="Y2571" s="4"/>
      <c r="Z2571"/>
      <c r="AA2571"/>
    </row>
    <row r="2572" spans="1:27" s="37" customFormat="1" x14ac:dyDescent="0.15">
      <c r="A2572" s="166"/>
      <c r="B2572" s="96"/>
      <c r="C2572" s="70"/>
      <c r="D2572" s="70"/>
      <c r="E2572" s="70"/>
      <c r="F2572" s="70"/>
      <c r="G2572" s="70"/>
      <c r="H2572" s="85"/>
      <c r="I2572" s="110"/>
      <c r="J2572" s="134"/>
      <c r="K2572" s="63"/>
      <c r="L2572" s="33"/>
      <c r="P2572" s="3"/>
      <c r="Q2572" s="3"/>
      <c r="R2572" s="3"/>
      <c r="S2572" s="3"/>
      <c r="T2572" s="3"/>
      <c r="U2572" s="3"/>
      <c r="V2572" s="3"/>
      <c r="W2572" s="3"/>
      <c r="X2572" s="3"/>
      <c r="Y2572" s="4"/>
      <c r="Z2572"/>
      <c r="AA2572"/>
    </row>
    <row r="2573" spans="1:27" s="37" customFormat="1" x14ac:dyDescent="0.15">
      <c r="A2573" s="166"/>
      <c r="B2573" s="82"/>
      <c r="C2573" s="70"/>
      <c r="D2573" s="70"/>
      <c r="E2573" s="70"/>
      <c r="F2573" s="70"/>
      <c r="G2573" s="70"/>
      <c r="H2573" s="85"/>
      <c r="I2573" s="85"/>
      <c r="J2573" s="141"/>
      <c r="K2573" s="60"/>
      <c r="L2573" s="49"/>
      <c r="P2573" s="3"/>
      <c r="Q2573" s="3"/>
      <c r="R2573" s="3"/>
      <c r="S2573" s="3"/>
      <c r="T2573" s="3"/>
      <c r="U2573" s="3"/>
      <c r="V2573" s="3"/>
      <c r="W2573" s="3"/>
      <c r="X2573" s="3"/>
      <c r="Y2573" s="4"/>
      <c r="Z2573"/>
      <c r="AA2573"/>
    </row>
    <row r="2574" spans="1:27" s="37" customFormat="1" x14ac:dyDescent="0.15">
      <c r="A2574" s="166"/>
      <c r="B2574" s="82"/>
      <c r="C2574" s="70"/>
      <c r="D2574" s="70"/>
      <c r="E2574" s="70"/>
      <c r="F2574" s="70"/>
      <c r="G2574" s="70"/>
      <c r="H2574" s="85"/>
      <c r="I2574" s="85"/>
      <c r="J2574" s="131"/>
      <c r="K2574" s="60"/>
      <c r="L2574" s="49"/>
      <c r="P2574" s="3"/>
      <c r="Q2574" s="3"/>
      <c r="R2574" s="3"/>
      <c r="S2574" s="3"/>
      <c r="T2574" s="3"/>
      <c r="U2574" s="3"/>
      <c r="V2574" s="3"/>
      <c r="W2574" s="3"/>
      <c r="X2574" s="3"/>
      <c r="Y2574" s="4"/>
      <c r="Z2574"/>
      <c r="AA2574"/>
    </row>
    <row r="2575" spans="1:27" s="37" customFormat="1" x14ac:dyDescent="0.15">
      <c r="A2575" s="166"/>
      <c r="B2575" s="82"/>
      <c r="C2575" s="70"/>
      <c r="D2575" s="70"/>
      <c r="E2575" s="70"/>
      <c r="F2575" s="70"/>
      <c r="G2575" s="70"/>
      <c r="H2575" s="85"/>
      <c r="I2575" s="85"/>
      <c r="J2575" s="131"/>
      <c r="K2575" s="60"/>
      <c r="L2575" s="49"/>
      <c r="P2575" s="3"/>
      <c r="Q2575" s="3"/>
      <c r="R2575" s="3"/>
      <c r="S2575" s="3"/>
      <c r="T2575" s="3"/>
      <c r="U2575" s="3"/>
      <c r="V2575" s="3"/>
      <c r="W2575" s="3"/>
      <c r="X2575" s="3"/>
      <c r="Y2575" s="4"/>
      <c r="Z2575"/>
      <c r="AA2575"/>
    </row>
    <row r="2576" spans="1:27" s="37" customFormat="1" x14ac:dyDescent="0.15">
      <c r="A2576" s="166"/>
      <c r="B2576" s="82"/>
      <c r="C2576" s="70"/>
      <c r="D2576" s="70"/>
      <c r="E2576" s="70"/>
      <c r="F2576" s="70"/>
      <c r="G2576" s="70"/>
      <c r="H2576" s="85"/>
      <c r="I2576" s="85"/>
      <c r="J2576" s="131"/>
      <c r="K2576" s="60"/>
      <c r="L2576" s="49"/>
      <c r="P2576" s="3"/>
      <c r="Q2576" s="3"/>
      <c r="R2576" s="3"/>
      <c r="S2576" s="3"/>
      <c r="T2576" s="3"/>
      <c r="U2576" s="3"/>
      <c r="V2576" s="3"/>
      <c r="W2576" s="3"/>
      <c r="X2576" s="3"/>
      <c r="Y2576" s="4"/>
      <c r="Z2576"/>
      <c r="AA2576"/>
    </row>
    <row r="2577" spans="1:27" s="37" customFormat="1" x14ac:dyDescent="0.15">
      <c r="A2577" s="166"/>
      <c r="B2577" s="82"/>
      <c r="C2577" s="70"/>
      <c r="D2577" s="70"/>
      <c r="E2577" s="70"/>
      <c r="F2577" s="70"/>
      <c r="G2577" s="70"/>
      <c r="H2577" s="85"/>
      <c r="I2577" s="85"/>
      <c r="J2577" s="131"/>
      <c r="K2577" s="60"/>
      <c r="L2577" s="49"/>
      <c r="P2577" s="3"/>
      <c r="Q2577" s="3"/>
      <c r="R2577" s="3"/>
      <c r="S2577" s="3"/>
      <c r="T2577" s="3"/>
      <c r="U2577" s="3"/>
      <c r="V2577" s="3"/>
      <c r="W2577" s="3"/>
      <c r="X2577" s="3"/>
      <c r="Y2577" s="4"/>
      <c r="Z2577"/>
      <c r="AA2577"/>
    </row>
    <row r="2578" spans="1:27" s="37" customFormat="1" x14ac:dyDescent="0.15">
      <c r="A2578" s="166"/>
      <c r="B2578" s="82"/>
      <c r="C2578" s="70"/>
      <c r="D2578" s="70"/>
      <c r="E2578" s="70"/>
      <c r="F2578" s="70"/>
      <c r="G2578" s="70"/>
      <c r="H2578" s="85"/>
      <c r="I2578" s="85"/>
      <c r="J2578" s="131"/>
      <c r="K2578" s="60"/>
      <c r="L2578" s="49"/>
      <c r="P2578" s="3"/>
      <c r="Q2578" s="3"/>
      <c r="R2578" s="3"/>
      <c r="S2578" s="3"/>
      <c r="T2578" s="3"/>
      <c r="U2578" s="3"/>
      <c r="V2578" s="3"/>
      <c r="W2578" s="3"/>
      <c r="X2578" s="3"/>
      <c r="Y2578" s="4"/>
      <c r="Z2578"/>
      <c r="AA2578"/>
    </row>
    <row r="2579" spans="1:27" s="37" customFormat="1" ht="16" x14ac:dyDescent="0.2">
      <c r="A2579" s="166"/>
      <c r="B2579" s="82"/>
      <c r="C2579" s="70"/>
      <c r="D2579" s="70"/>
      <c r="E2579" s="70"/>
      <c r="F2579" s="70"/>
      <c r="G2579" s="70"/>
      <c r="H2579" s="85"/>
      <c r="I2579" s="85"/>
      <c r="J2579" s="131"/>
      <c r="K2579" s="60"/>
      <c r="L2579" s="49"/>
      <c r="M2579" s="48"/>
      <c r="P2579" s="3"/>
      <c r="Q2579" s="3"/>
      <c r="R2579" s="3"/>
      <c r="S2579" s="3"/>
      <c r="T2579" s="3"/>
      <c r="U2579" s="3"/>
      <c r="V2579" s="3"/>
      <c r="W2579" s="3"/>
      <c r="X2579" s="3"/>
      <c r="Y2579" s="4"/>
      <c r="Z2579"/>
      <c r="AA2579"/>
    </row>
    <row r="2580" spans="1:27" s="37" customFormat="1" x14ac:dyDescent="0.15">
      <c r="A2580" s="166"/>
      <c r="B2580" s="82"/>
      <c r="C2580" s="70"/>
      <c r="D2580" s="70"/>
      <c r="E2580" s="70"/>
      <c r="F2580" s="70"/>
      <c r="G2580" s="70"/>
      <c r="H2580" s="85"/>
      <c r="I2580" s="85"/>
      <c r="J2580" s="131"/>
      <c r="K2580" s="60"/>
      <c r="L2580" s="49"/>
      <c r="P2580" s="3"/>
      <c r="Q2580" s="3"/>
      <c r="R2580" s="3"/>
      <c r="S2580" s="3"/>
      <c r="T2580" s="3"/>
      <c r="U2580" s="3"/>
      <c r="V2580" s="3"/>
      <c r="W2580" s="3"/>
      <c r="X2580" s="3"/>
      <c r="Y2580" s="4"/>
      <c r="Z2580"/>
      <c r="AA2580"/>
    </row>
    <row r="2581" spans="1:27" s="37" customFormat="1" x14ac:dyDescent="0.15">
      <c r="A2581" s="166"/>
      <c r="B2581" s="82"/>
      <c r="C2581" s="70"/>
      <c r="D2581" s="70"/>
      <c r="E2581" s="70"/>
      <c r="F2581" s="70"/>
      <c r="G2581" s="70"/>
      <c r="H2581" s="85"/>
      <c r="I2581" s="85"/>
      <c r="J2581" s="141"/>
      <c r="K2581" s="60"/>
      <c r="L2581" s="33"/>
      <c r="P2581" s="3"/>
      <c r="Q2581" s="3"/>
      <c r="R2581" s="3"/>
      <c r="S2581" s="3"/>
      <c r="T2581" s="3"/>
      <c r="U2581" s="3"/>
      <c r="V2581" s="3"/>
      <c r="W2581" s="3"/>
      <c r="X2581" s="3"/>
      <c r="Y2581" s="4"/>
      <c r="Z2581"/>
      <c r="AA2581"/>
    </row>
    <row r="2582" spans="1:27" s="37" customFormat="1" x14ac:dyDescent="0.15">
      <c r="A2582" s="166"/>
      <c r="B2582" s="82"/>
      <c r="C2582" s="70"/>
      <c r="D2582" s="70"/>
      <c r="E2582" s="70"/>
      <c r="F2582" s="70"/>
      <c r="G2582" s="70"/>
      <c r="H2582" s="85"/>
      <c r="I2582" s="85"/>
      <c r="J2582" s="131"/>
      <c r="K2582" s="60"/>
      <c r="L2582" s="49"/>
      <c r="P2582" s="3"/>
      <c r="Q2582" s="3"/>
      <c r="R2582" s="3"/>
      <c r="S2582" s="3"/>
      <c r="T2582" s="3"/>
      <c r="U2582" s="3"/>
      <c r="V2582" s="3"/>
      <c r="W2582" s="3"/>
      <c r="X2582" s="3"/>
      <c r="Y2582" s="4"/>
      <c r="Z2582"/>
      <c r="AA2582"/>
    </row>
    <row r="2583" spans="1:27" s="37" customFormat="1" x14ac:dyDescent="0.15">
      <c r="A2583" s="166"/>
      <c r="B2583" s="82"/>
      <c r="C2583" s="70"/>
      <c r="D2583" s="70"/>
      <c r="E2583" s="70"/>
      <c r="F2583" s="70"/>
      <c r="G2583" s="70"/>
      <c r="H2583" s="85"/>
      <c r="I2583" s="85"/>
      <c r="J2583" s="131"/>
      <c r="K2583" s="60"/>
      <c r="L2583" s="49"/>
      <c r="P2583" s="3"/>
      <c r="Q2583" s="3"/>
      <c r="R2583" s="3"/>
      <c r="S2583" s="3"/>
      <c r="T2583" s="3"/>
      <c r="U2583" s="3"/>
      <c r="V2583" s="3"/>
      <c r="W2583" s="3"/>
      <c r="X2583" s="3"/>
      <c r="Y2583" s="4"/>
      <c r="Z2583"/>
      <c r="AA2583"/>
    </row>
    <row r="2584" spans="1:27" s="37" customFormat="1" x14ac:dyDescent="0.15">
      <c r="A2584" s="166"/>
      <c r="B2584" s="82"/>
      <c r="C2584" s="70"/>
      <c r="D2584" s="70"/>
      <c r="E2584" s="70"/>
      <c r="F2584" s="70"/>
      <c r="G2584" s="70"/>
      <c r="H2584" s="85"/>
      <c r="I2584" s="85"/>
      <c r="J2584" s="131"/>
      <c r="K2584" s="60"/>
      <c r="L2584" s="49"/>
      <c r="P2584" s="3"/>
      <c r="Q2584" s="3"/>
      <c r="R2584" s="3"/>
      <c r="S2584" s="3"/>
      <c r="T2584" s="3"/>
      <c r="U2584" s="3"/>
      <c r="V2584" s="3"/>
      <c r="W2584" s="3"/>
      <c r="X2584" s="3"/>
      <c r="Y2584" s="4"/>
      <c r="Z2584"/>
      <c r="AA2584"/>
    </row>
    <row r="2585" spans="1:27" s="37" customFormat="1" x14ac:dyDescent="0.15">
      <c r="A2585" s="166"/>
      <c r="B2585" s="82"/>
      <c r="C2585" s="70"/>
      <c r="D2585" s="70"/>
      <c r="E2585" s="70"/>
      <c r="F2585" s="70"/>
      <c r="G2585" s="70"/>
      <c r="H2585" s="85"/>
      <c r="I2585" s="85"/>
      <c r="J2585" s="131"/>
      <c r="K2585" s="60"/>
      <c r="L2585" s="33"/>
      <c r="P2585" s="3"/>
      <c r="Q2585" s="3"/>
      <c r="R2585" s="3"/>
      <c r="S2585" s="3"/>
      <c r="T2585" s="3"/>
      <c r="U2585" s="3"/>
      <c r="V2585" s="3"/>
      <c r="W2585" s="3"/>
      <c r="X2585" s="3"/>
      <c r="Y2585" s="4"/>
      <c r="Z2585"/>
      <c r="AA2585"/>
    </row>
    <row r="2586" spans="1:27" s="37" customFormat="1" x14ac:dyDescent="0.15">
      <c r="A2586" s="166"/>
      <c r="B2586" s="82"/>
      <c r="C2586" s="70"/>
      <c r="D2586" s="70"/>
      <c r="E2586" s="70"/>
      <c r="F2586" s="70"/>
      <c r="G2586" s="70"/>
      <c r="H2586" s="85"/>
      <c r="I2586" s="85"/>
      <c r="J2586" s="131"/>
      <c r="K2586" s="60"/>
      <c r="L2586" s="33"/>
      <c r="P2586" s="3"/>
      <c r="Q2586" s="3"/>
      <c r="R2586" s="3"/>
      <c r="S2586" s="3"/>
      <c r="T2586" s="3"/>
      <c r="U2586" s="3"/>
      <c r="V2586" s="3"/>
      <c r="W2586" s="3"/>
      <c r="X2586" s="3"/>
      <c r="Y2586" s="4"/>
      <c r="Z2586"/>
      <c r="AA2586"/>
    </row>
    <row r="2587" spans="1:27" s="37" customFormat="1" x14ac:dyDescent="0.15">
      <c r="A2587" s="166"/>
      <c r="B2587" s="82"/>
      <c r="C2587" s="70"/>
      <c r="D2587" s="70"/>
      <c r="E2587" s="70"/>
      <c r="F2587" s="70"/>
      <c r="G2587" s="70"/>
      <c r="H2587" s="85"/>
      <c r="I2587" s="85"/>
      <c r="J2587" s="131"/>
      <c r="K2587" s="60"/>
      <c r="L2587" s="49"/>
      <c r="P2587" s="3"/>
      <c r="Q2587" s="3"/>
      <c r="R2587" s="3"/>
      <c r="S2587" s="3"/>
      <c r="T2587" s="3"/>
      <c r="U2587" s="3"/>
      <c r="V2587" s="3"/>
      <c r="W2587" s="3"/>
      <c r="X2587" s="3"/>
      <c r="Y2587" s="4"/>
      <c r="Z2587"/>
      <c r="AA2587"/>
    </row>
    <row r="2588" spans="1:27" s="37" customFormat="1" ht="16" x14ac:dyDescent="0.2">
      <c r="A2588" s="166"/>
      <c r="B2588" s="82"/>
      <c r="C2588" s="70"/>
      <c r="D2588" s="70"/>
      <c r="E2588" s="70"/>
      <c r="F2588" s="70"/>
      <c r="G2588" s="70"/>
      <c r="H2588" s="85"/>
      <c r="I2588" s="85"/>
      <c r="J2588" s="135"/>
      <c r="K2588" s="60"/>
      <c r="L2588" s="49"/>
      <c r="M2588" s="48"/>
      <c r="P2588" s="3"/>
      <c r="Q2588" s="3"/>
      <c r="R2588" s="3"/>
      <c r="S2588" s="3"/>
      <c r="T2588" s="3"/>
      <c r="U2588" s="3"/>
      <c r="V2588" s="3"/>
      <c r="W2588" s="3"/>
      <c r="X2588" s="3"/>
      <c r="Y2588" s="4"/>
      <c r="Z2588"/>
      <c r="AA2588"/>
    </row>
    <row r="2589" spans="1:27" s="37" customFormat="1" x14ac:dyDescent="0.15">
      <c r="A2589" s="166"/>
      <c r="B2589" s="82"/>
      <c r="C2589" s="70"/>
      <c r="D2589" s="70"/>
      <c r="E2589" s="70"/>
      <c r="F2589" s="70"/>
      <c r="G2589" s="70"/>
      <c r="H2589" s="85"/>
      <c r="I2589" s="85"/>
      <c r="J2589" s="131"/>
      <c r="K2589" s="60"/>
      <c r="L2589" s="49"/>
      <c r="P2589" s="3"/>
      <c r="Q2589" s="3"/>
      <c r="R2589" s="3"/>
      <c r="S2589" s="3"/>
      <c r="T2589" s="3"/>
      <c r="U2589" s="3"/>
      <c r="V2589" s="3"/>
      <c r="W2589" s="3"/>
      <c r="X2589" s="3"/>
      <c r="Y2589" s="4"/>
      <c r="Z2589"/>
      <c r="AA2589"/>
    </row>
    <row r="2590" spans="1:27" s="37" customFormat="1" x14ac:dyDescent="0.15">
      <c r="A2590" s="166"/>
      <c r="B2590" s="82"/>
      <c r="C2590" s="70"/>
      <c r="D2590" s="70"/>
      <c r="E2590" s="70"/>
      <c r="F2590" s="70"/>
      <c r="G2590" s="70"/>
      <c r="H2590" s="85"/>
      <c r="I2590" s="85"/>
      <c r="J2590" s="131"/>
      <c r="K2590" s="60"/>
      <c r="L2590" s="49"/>
      <c r="P2590" s="3"/>
      <c r="Q2590" s="3"/>
      <c r="R2590" s="3"/>
      <c r="S2590" s="3"/>
      <c r="T2590" s="3"/>
      <c r="U2590" s="3"/>
      <c r="V2590" s="3"/>
      <c r="W2590" s="3"/>
      <c r="X2590" s="3"/>
      <c r="Y2590" s="4"/>
      <c r="Z2590"/>
      <c r="AA2590"/>
    </row>
    <row r="2591" spans="1:27" s="37" customFormat="1" x14ac:dyDescent="0.15">
      <c r="A2591" s="166"/>
      <c r="B2591" s="82"/>
      <c r="C2591" s="70"/>
      <c r="D2591" s="70"/>
      <c r="E2591" s="70"/>
      <c r="F2591" s="70"/>
      <c r="G2591" s="70"/>
      <c r="H2591" s="85"/>
      <c r="I2591" s="85"/>
      <c r="J2591" s="141"/>
      <c r="K2591" s="60"/>
      <c r="L2591" s="49"/>
      <c r="P2591" s="3"/>
      <c r="Q2591" s="3"/>
      <c r="R2591" s="3"/>
      <c r="S2591" s="3"/>
      <c r="T2591" s="3"/>
      <c r="U2591" s="3"/>
      <c r="V2591" s="3"/>
      <c r="W2591" s="3"/>
      <c r="X2591" s="3"/>
      <c r="Y2591" s="4"/>
      <c r="Z2591"/>
      <c r="AA2591"/>
    </row>
    <row r="2592" spans="1:27" s="37" customFormat="1" x14ac:dyDescent="0.15">
      <c r="A2592" s="166"/>
      <c r="B2592" s="82"/>
      <c r="C2592" s="70"/>
      <c r="D2592" s="70"/>
      <c r="E2592" s="70"/>
      <c r="F2592" s="70"/>
      <c r="G2592" s="70"/>
      <c r="H2592" s="85"/>
      <c r="I2592" s="85"/>
      <c r="J2592" s="131"/>
      <c r="K2592" s="60"/>
      <c r="L2592" s="49"/>
      <c r="P2592" s="3"/>
      <c r="Q2592" s="3"/>
      <c r="R2592" s="3"/>
      <c r="S2592" s="3"/>
      <c r="T2592" s="3"/>
      <c r="U2592" s="3"/>
      <c r="V2592" s="3"/>
      <c r="W2592" s="3"/>
      <c r="X2592" s="3"/>
      <c r="Y2592" s="4"/>
      <c r="Z2592"/>
      <c r="AA2592"/>
    </row>
    <row r="2593" spans="1:27" s="37" customFormat="1" x14ac:dyDescent="0.15">
      <c r="A2593" s="166"/>
      <c r="B2593" s="82"/>
      <c r="C2593" s="70"/>
      <c r="D2593" s="70"/>
      <c r="E2593" s="70"/>
      <c r="F2593" s="70"/>
      <c r="G2593" s="70"/>
      <c r="H2593" s="85"/>
      <c r="I2593" s="85"/>
      <c r="J2593" s="141"/>
      <c r="K2593" s="60"/>
      <c r="L2593" s="49"/>
      <c r="P2593" s="3"/>
      <c r="Q2593" s="3"/>
      <c r="R2593" s="3"/>
      <c r="S2593" s="3"/>
      <c r="T2593" s="3"/>
      <c r="U2593" s="3"/>
      <c r="V2593" s="3"/>
      <c r="W2593" s="3"/>
      <c r="X2593" s="3"/>
      <c r="Y2593" s="4"/>
      <c r="Z2593"/>
      <c r="AA2593"/>
    </row>
    <row r="2594" spans="1:27" s="37" customFormat="1" ht="16" x14ac:dyDescent="0.2">
      <c r="A2594" s="166"/>
      <c r="B2594" s="96"/>
      <c r="C2594" s="70"/>
      <c r="D2594" s="70"/>
      <c r="E2594" s="70"/>
      <c r="F2594" s="70"/>
      <c r="G2594" s="70"/>
      <c r="H2594" s="85"/>
      <c r="I2594" s="110"/>
      <c r="J2594" s="131"/>
      <c r="K2594" s="60"/>
      <c r="L2594" s="33"/>
      <c r="M2594" s="48"/>
      <c r="P2594" s="3"/>
      <c r="Q2594" s="3"/>
      <c r="R2594" s="3"/>
      <c r="S2594" s="3"/>
      <c r="T2594" s="3"/>
      <c r="U2594" s="3"/>
      <c r="V2594" s="3"/>
      <c r="W2594" s="3"/>
      <c r="X2594" s="3"/>
      <c r="Y2594" s="4"/>
      <c r="Z2594"/>
      <c r="AA2594"/>
    </row>
    <row r="2595" spans="1:27" s="37" customFormat="1" x14ac:dyDescent="0.15">
      <c r="A2595" s="166"/>
      <c r="B2595" s="82"/>
      <c r="C2595" s="70"/>
      <c r="D2595" s="70"/>
      <c r="E2595" s="70"/>
      <c r="F2595" s="70"/>
      <c r="G2595" s="70"/>
      <c r="H2595" s="85"/>
      <c r="I2595" s="85"/>
      <c r="J2595" s="131"/>
      <c r="K2595" s="60"/>
      <c r="L2595" s="33"/>
      <c r="P2595" s="3"/>
      <c r="Q2595" s="3"/>
      <c r="R2595" s="3"/>
      <c r="S2595" s="3"/>
      <c r="T2595" s="3"/>
      <c r="U2595" s="3"/>
      <c r="V2595" s="3"/>
      <c r="W2595" s="3"/>
      <c r="X2595" s="3"/>
      <c r="Y2595" s="4"/>
      <c r="Z2595"/>
      <c r="AA2595"/>
    </row>
    <row r="2596" spans="1:27" s="37" customFormat="1" x14ac:dyDescent="0.15">
      <c r="A2596" s="166"/>
      <c r="B2596" s="82"/>
      <c r="C2596" s="70"/>
      <c r="D2596" s="70"/>
      <c r="E2596" s="70"/>
      <c r="F2596" s="70"/>
      <c r="G2596" s="70"/>
      <c r="H2596" s="85"/>
      <c r="I2596" s="85"/>
      <c r="J2596" s="134"/>
      <c r="K2596" s="60"/>
      <c r="L2596" s="49"/>
      <c r="P2596" s="3"/>
      <c r="Q2596" s="3"/>
      <c r="R2596" s="3"/>
      <c r="S2596" s="3"/>
      <c r="T2596" s="3"/>
      <c r="U2596" s="3"/>
      <c r="V2596" s="3"/>
      <c r="W2596" s="3"/>
      <c r="X2596" s="3"/>
      <c r="Y2596" s="4"/>
      <c r="Z2596"/>
      <c r="AA2596"/>
    </row>
    <row r="2597" spans="1:27" s="37" customFormat="1" x14ac:dyDescent="0.15">
      <c r="A2597" s="166"/>
      <c r="B2597" s="82"/>
      <c r="C2597" s="70"/>
      <c r="D2597" s="70"/>
      <c r="E2597" s="70"/>
      <c r="F2597" s="70"/>
      <c r="G2597" s="70"/>
      <c r="H2597" s="85"/>
      <c r="I2597" s="85"/>
      <c r="J2597" s="131"/>
      <c r="K2597" s="60"/>
      <c r="L2597" s="49"/>
      <c r="P2597" s="3"/>
      <c r="Q2597" s="3"/>
      <c r="R2597" s="3"/>
      <c r="S2597" s="3"/>
      <c r="T2597" s="3"/>
      <c r="U2597" s="3"/>
      <c r="V2597" s="3"/>
      <c r="W2597" s="3"/>
      <c r="X2597" s="3"/>
      <c r="Y2597" s="4"/>
      <c r="Z2597"/>
      <c r="AA2597"/>
    </row>
    <row r="2598" spans="1:27" s="37" customFormat="1" x14ac:dyDescent="0.15">
      <c r="A2598" s="166"/>
      <c r="B2598" s="82"/>
      <c r="C2598" s="70"/>
      <c r="D2598" s="70"/>
      <c r="E2598" s="70"/>
      <c r="F2598" s="70"/>
      <c r="G2598" s="70"/>
      <c r="H2598" s="85"/>
      <c r="I2598" s="85"/>
      <c r="J2598" s="141"/>
      <c r="K2598" s="60"/>
      <c r="L2598" s="49"/>
      <c r="P2598" s="3"/>
      <c r="Q2598" s="3"/>
      <c r="R2598" s="3"/>
      <c r="S2598" s="3"/>
      <c r="T2598" s="3"/>
      <c r="U2598" s="3"/>
      <c r="V2598" s="3"/>
      <c r="W2598" s="3"/>
      <c r="X2598" s="3"/>
      <c r="Y2598" s="4"/>
      <c r="Z2598"/>
      <c r="AA2598"/>
    </row>
    <row r="2599" spans="1:27" s="37" customFormat="1" ht="16" x14ac:dyDescent="0.2">
      <c r="A2599" s="166"/>
      <c r="B2599" s="82"/>
      <c r="C2599" s="70"/>
      <c r="D2599" s="70"/>
      <c r="E2599" s="70"/>
      <c r="F2599" s="70"/>
      <c r="G2599" s="70"/>
      <c r="H2599" s="85"/>
      <c r="I2599" s="85"/>
      <c r="J2599" s="131"/>
      <c r="K2599" s="60"/>
      <c r="L2599" s="49"/>
      <c r="M2599" s="48"/>
      <c r="P2599" s="3"/>
      <c r="Q2599" s="3"/>
      <c r="R2599" s="3"/>
      <c r="S2599" s="3"/>
      <c r="T2599" s="3"/>
      <c r="U2599" s="3"/>
      <c r="V2599" s="3"/>
      <c r="W2599" s="3"/>
      <c r="X2599" s="3"/>
      <c r="Y2599" s="4"/>
      <c r="Z2599"/>
      <c r="AA2599"/>
    </row>
    <row r="2600" spans="1:27" s="37" customFormat="1" ht="16" x14ac:dyDescent="0.2">
      <c r="A2600" s="166"/>
      <c r="B2600" s="82"/>
      <c r="C2600" s="70"/>
      <c r="D2600" s="70"/>
      <c r="E2600" s="70"/>
      <c r="F2600" s="70"/>
      <c r="G2600" s="70"/>
      <c r="H2600" s="85"/>
      <c r="I2600" s="85"/>
      <c r="J2600" s="141"/>
      <c r="K2600" s="60"/>
      <c r="L2600" s="49"/>
      <c r="M2600" s="48"/>
      <c r="P2600" s="3"/>
      <c r="Q2600" s="3"/>
      <c r="R2600" s="3"/>
      <c r="S2600" s="3"/>
      <c r="T2600" s="3"/>
      <c r="U2600" s="3"/>
      <c r="V2600" s="3"/>
      <c r="W2600" s="3"/>
      <c r="X2600" s="3"/>
      <c r="Y2600" s="4"/>
      <c r="Z2600"/>
      <c r="AA2600"/>
    </row>
    <row r="2601" spans="1:27" s="37" customFormat="1" x14ac:dyDescent="0.15">
      <c r="A2601" s="166"/>
      <c r="B2601" s="82"/>
      <c r="C2601" s="70"/>
      <c r="D2601" s="70"/>
      <c r="E2601" s="70"/>
      <c r="F2601" s="70"/>
      <c r="G2601" s="70"/>
      <c r="H2601" s="85"/>
      <c r="I2601" s="85"/>
      <c r="J2601" s="131"/>
      <c r="K2601" s="60"/>
      <c r="L2601" s="49"/>
      <c r="P2601" s="3"/>
      <c r="Q2601" s="3"/>
      <c r="R2601" s="3"/>
      <c r="S2601" s="3"/>
      <c r="T2601" s="3"/>
      <c r="U2601" s="3"/>
      <c r="V2601" s="3"/>
      <c r="W2601" s="3"/>
      <c r="X2601" s="3"/>
      <c r="Y2601" s="4"/>
      <c r="Z2601"/>
      <c r="AA2601"/>
    </row>
    <row r="2602" spans="1:27" s="37" customFormat="1" x14ac:dyDescent="0.15">
      <c r="A2602" s="166"/>
      <c r="B2602" s="82"/>
      <c r="C2602" s="70"/>
      <c r="D2602" s="70"/>
      <c r="E2602" s="70"/>
      <c r="F2602" s="70"/>
      <c r="G2602" s="70"/>
      <c r="H2602" s="85"/>
      <c r="I2602" s="85"/>
      <c r="J2602" s="131"/>
      <c r="K2602" s="60"/>
      <c r="L2602" s="49"/>
      <c r="P2602" s="3"/>
      <c r="Q2602" s="3"/>
      <c r="R2602" s="3"/>
      <c r="S2602" s="3"/>
      <c r="T2602" s="3"/>
      <c r="U2602" s="3"/>
      <c r="V2602" s="3"/>
      <c r="W2602" s="3"/>
      <c r="X2602" s="3"/>
      <c r="Y2602" s="4"/>
      <c r="Z2602"/>
      <c r="AA2602"/>
    </row>
    <row r="2603" spans="1:27" s="37" customFormat="1" ht="16" x14ac:dyDescent="0.2">
      <c r="A2603" s="166"/>
      <c r="B2603" s="82"/>
      <c r="C2603" s="70"/>
      <c r="D2603" s="70"/>
      <c r="E2603" s="70"/>
      <c r="F2603" s="70"/>
      <c r="G2603" s="70"/>
      <c r="H2603" s="85"/>
      <c r="I2603" s="85"/>
      <c r="J2603" s="131"/>
      <c r="K2603" s="60"/>
      <c r="L2603" s="49"/>
      <c r="M2603" s="48"/>
      <c r="P2603" s="3"/>
      <c r="Q2603" s="3"/>
      <c r="R2603" s="3"/>
      <c r="S2603" s="3"/>
      <c r="T2603" s="3"/>
      <c r="U2603" s="3"/>
      <c r="V2603" s="3"/>
      <c r="W2603" s="3"/>
      <c r="X2603" s="3"/>
      <c r="Y2603" s="4"/>
      <c r="Z2603"/>
      <c r="AA2603"/>
    </row>
    <row r="2604" spans="1:27" s="37" customFormat="1" ht="16" x14ac:dyDescent="0.2">
      <c r="A2604" s="166"/>
      <c r="B2604" s="82"/>
      <c r="C2604" s="70"/>
      <c r="D2604" s="70"/>
      <c r="E2604" s="70"/>
      <c r="F2604" s="70"/>
      <c r="G2604" s="70"/>
      <c r="H2604" s="85"/>
      <c r="I2604" s="85"/>
      <c r="J2604" s="141"/>
      <c r="K2604" s="60"/>
      <c r="L2604" s="49"/>
      <c r="M2604" s="48"/>
      <c r="P2604" s="3"/>
      <c r="Q2604" s="3"/>
      <c r="R2604" s="3"/>
      <c r="S2604" s="3"/>
      <c r="T2604" s="3"/>
      <c r="U2604" s="3"/>
      <c r="V2604" s="3"/>
      <c r="W2604" s="3"/>
      <c r="X2604" s="3"/>
      <c r="Y2604" s="4"/>
      <c r="Z2604"/>
      <c r="AA2604"/>
    </row>
    <row r="2605" spans="1:27" s="37" customFormat="1" x14ac:dyDescent="0.15">
      <c r="A2605" s="166"/>
      <c r="B2605" s="82"/>
      <c r="C2605" s="70"/>
      <c r="D2605" s="70"/>
      <c r="E2605" s="70"/>
      <c r="F2605" s="70"/>
      <c r="G2605" s="70"/>
      <c r="H2605" s="85"/>
      <c r="I2605" s="85"/>
      <c r="J2605" s="141"/>
      <c r="K2605" s="60"/>
      <c r="L2605" s="49"/>
      <c r="P2605" s="3"/>
      <c r="Q2605" s="3"/>
      <c r="R2605" s="3"/>
      <c r="S2605" s="3"/>
      <c r="T2605" s="3"/>
      <c r="U2605" s="3"/>
      <c r="V2605" s="3"/>
      <c r="W2605" s="3"/>
      <c r="X2605" s="3"/>
      <c r="Y2605" s="4"/>
      <c r="Z2605"/>
      <c r="AA2605"/>
    </row>
    <row r="2606" spans="1:27" s="37" customFormat="1" x14ac:dyDescent="0.15">
      <c r="A2606" s="166"/>
      <c r="B2606" s="82"/>
      <c r="C2606" s="70"/>
      <c r="D2606" s="70"/>
      <c r="E2606" s="70"/>
      <c r="F2606" s="70"/>
      <c r="G2606" s="70"/>
      <c r="H2606" s="85"/>
      <c r="I2606" s="85"/>
      <c r="J2606" s="131"/>
      <c r="K2606" s="60"/>
      <c r="L2606" s="49"/>
      <c r="P2606" s="3"/>
      <c r="Q2606" s="3"/>
      <c r="R2606" s="3"/>
      <c r="S2606" s="3"/>
      <c r="T2606" s="3"/>
      <c r="U2606" s="3"/>
      <c r="V2606" s="3"/>
      <c r="W2606" s="3"/>
      <c r="X2606" s="3"/>
      <c r="Y2606" s="4"/>
      <c r="Z2606"/>
      <c r="AA2606"/>
    </row>
    <row r="2607" spans="1:27" s="37" customFormat="1" x14ac:dyDescent="0.15">
      <c r="A2607" s="166"/>
      <c r="B2607" s="82"/>
      <c r="C2607" s="70"/>
      <c r="D2607" s="70"/>
      <c r="E2607" s="70"/>
      <c r="F2607" s="70"/>
      <c r="G2607" s="70"/>
      <c r="H2607" s="85"/>
      <c r="I2607" s="85"/>
      <c r="J2607" s="131"/>
      <c r="K2607" s="60"/>
      <c r="L2607" s="33"/>
      <c r="P2607" s="3"/>
      <c r="Q2607" s="3"/>
      <c r="R2607" s="3"/>
      <c r="S2607" s="3"/>
      <c r="T2607" s="3"/>
      <c r="U2607" s="3"/>
      <c r="V2607" s="3"/>
      <c r="W2607" s="3"/>
      <c r="X2607" s="3"/>
      <c r="Y2607" s="4"/>
      <c r="Z2607"/>
      <c r="AA2607"/>
    </row>
    <row r="2608" spans="1:27" s="37" customFormat="1" x14ac:dyDescent="0.15">
      <c r="A2608" s="166"/>
      <c r="B2608" s="82"/>
      <c r="C2608" s="70"/>
      <c r="D2608" s="70"/>
      <c r="E2608" s="70"/>
      <c r="F2608" s="70"/>
      <c r="G2608" s="70"/>
      <c r="H2608" s="85"/>
      <c r="I2608" s="85"/>
      <c r="J2608" s="131"/>
      <c r="K2608" s="60"/>
      <c r="L2608" s="33"/>
      <c r="P2608" s="3"/>
      <c r="Q2608" s="3"/>
      <c r="R2608" s="3"/>
      <c r="S2608" s="3"/>
      <c r="T2608" s="3"/>
      <c r="U2608" s="3"/>
      <c r="V2608" s="3"/>
      <c r="W2608" s="3"/>
      <c r="X2608" s="3"/>
      <c r="Y2608" s="4"/>
      <c r="Z2608"/>
      <c r="AA2608"/>
    </row>
    <row r="2609" spans="1:27" s="37" customFormat="1" x14ac:dyDescent="0.15">
      <c r="A2609" s="166"/>
      <c r="B2609" s="82"/>
      <c r="C2609" s="70"/>
      <c r="D2609" s="70"/>
      <c r="E2609" s="70"/>
      <c r="F2609" s="70"/>
      <c r="G2609" s="70"/>
      <c r="H2609" s="85"/>
      <c r="I2609" s="85"/>
      <c r="J2609" s="131"/>
      <c r="K2609" s="60"/>
      <c r="L2609" s="49"/>
      <c r="P2609" s="3"/>
      <c r="Q2609" s="3"/>
      <c r="R2609" s="3"/>
      <c r="S2609" s="3"/>
      <c r="T2609" s="3"/>
      <c r="U2609" s="3"/>
      <c r="V2609" s="3"/>
      <c r="W2609" s="3"/>
      <c r="X2609" s="3"/>
      <c r="Y2609" s="4"/>
      <c r="Z2609"/>
      <c r="AA2609"/>
    </row>
    <row r="2610" spans="1:27" s="37" customFormat="1" x14ac:dyDescent="0.15">
      <c r="A2610" s="166"/>
      <c r="B2610" s="82"/>
      <c r="C2610" s="70"/>
      <c r="D2610" s="70"/>
      <c r="E2610" s="70"/>
      <c r="F2610" s="70"/>
      <c r="G2610" s="70"/>
      <c r="H2610" s="85"/>
      <c r="I2610" s="85"/>
      <c r="J2610" s="141"/>
      <c r="K2610" s="60"/>
      <c r="L2610" s="49"/>
      <c r="P2610" s="3"/>
      <c r="Q2610" s="3"/>
      <c r="R2610" s="3"/>
      <c r="S2610" s="3"/>
      <c r="T2610" s="3"/>
      <c r="U2610" s="3"/>
      <c r="V2610" s="3"/>
      <c r="W2610" s="3"/>
      <c r="X2610" s="3"/>
      <c r="Y2610" s="4"/>
      <c r="Z2610"/>
      <c r="AA2610"/>
    </row>
    <row r="2611" spans="1:27" s="37" customFormat="1" x14ac:dyDescent="0.15">
      <c r="A2611" s="166"/>
      <c r="B2611" s="82"/>
      <c r="C2611" s="70"/>
      <c r="D2611" s="70"/>
      <c r="E2611" s="70"/>
      <c r="F2611" s="70"/>
      <c r="G2611" s="70"/>
      <c r="H2611" s="85"/>
      <c r="I2611" s="85"/>
      <c r="J2611" s="135"/>
      <c r="K2611" s="60"/>
      <c r="L2611" s="49"/>
      <c r="P2611" s="3"/>
      <c r="Q2611" s="3"/>
      <c r="R2611" s="3"/>
      <c r="S2611" s="3"/>
      <c r="T2611" s="3"/>
      <c r="U2611" s="3"/>
      <c r="V2611" s="3"/>
      <c r="W2611" s="3"/>
      <c r="X2611" s="3"/>
      <c r="Y2611" s="4"/>
      <c r="Z2611"/>
      <c r="AA2611"/>
    </row>
    <row r="2612" spans="1:27" s="37" customFormat="1" ht="16" x14ac:dyDescent="0.2">
      <c r="A2612" s="166"/>
      <c r="B2612" s="82"/>
      <c r="C2612" s="70"/>
      <c r="D2612" s="70"/>
      <c r="E2612" s="70"/>
      <c r="F2612" s="70"/>
      <c r="G2612" s="70"/>
      <c r="H2612" s="85"/>
      <c r="I2612" s="110"/>
      <c r="J2612" s="134"/>
      <c r="K2612" s="63"/>
      <c r="L2612" s="33"/>
      <c r="M2612" s="55"/>
      <c r="P2612" s="3"/>
      <c r="Q2612" s="3"/>
      <c r="R2612" s="3"/>
      <c r="S2612" s="3"/>
      <c r="T2612" s="3"/>
      <c r="U2612" s="3"/>
      <c r="V2612" s="3"/>
      <c r="W2612" s="3"/>
      <c r="X2612" s="3"/>
      <c r="Y2612" s="4"/>
      <c r="Z2612"/>
      <c r="AA2612"/>
    </row>
    <row r="2613" spans="1:27" s="37" customFormat="1" x14ac:dyDescent="0.15">
      <c r="A2613" s="166"/>
      <c r="B2613" s="82"/>
      <c r="C2613" s="70"/>
      <c r="D2613" s="70"/>
      <c r="E2613" s="70"/>
      <c r="F2613" s="70"/>
      <c r="G2613" s="70"/>
      <c r="H2613" s="85"/>
      <c r="I2613" s="85"/>
      <c r="J2613" s="131"/>
      <c r="K2613" s="60"/>
      <c r="L2613" s="49"/>
      <c r="P2613" s="3"/>
      <c r="Q2613" s="3"/>
      <c r="R2613" s="3"/>
      <c r="S2613" s="3"/>
      <c r="T2613" s="3"/>
      <c r="U2613" s="3"/>
      <c r="V2613" s="3"/>
      <c r="W2613" s="3"/>
      <c r="X2613" s="3"/>
      <c r="Y2613" s="4"/>
      <c r="Z2613"/>
      <c r="AA2613"/>
    </row>
    <row r="2614" spans="1:27" s="37" customFormat="1" x14ac:dyDescent="0.15">
      <c r="A2614" s="166"/>
      <c r="B2614" s="93"/>
      <c r="C2614" s="70"/>
      <c r="D2614" s="70"/>
      <c r="E2614" s="70"/>
      <c r="F2614" s="70"/>
      <c r="G2614" s="70"/>
      <c r="H2614" s="85"/>
      <c r="I2614" s="85"/>
      <c r="J2614" s="131"/>
      <c r="K2614" s="60"/>
      <c r="L2614" s="33"/>
      <c r="P2614" s="3"/>
      <c r="Q2614" s="3"/>
      <c r="R2614" s="3"/>
      <c r="S2614" s="3"/>
      <c r="T2614" s="3"/>
      <c r="U2614" s="3"/>
      <c r="V2614" s="3"/>
      <c r="W2614" s="3"/>
      <c r="X2614" s="3"/>
      <c r="Y2614" s="4"/>
      <c r="Z2614"/>
      <c r="AA2614"/>
    </row>
    <row r="2615" spans="1:27" s="37" customFormat="1" x14ac:dyDescent="0.15">
      <c r="A2615" s="166"/>
      <c r="B2615" s="93"/>
      <c r="C2615" s="70"/>
      <c r="D2615" s="70"/>
      <c r="E2615" s="70"/>
      <c r="F2615" s="70"/>
      <c r="G2615" s="70"/>
      <c r="H2615" s="85"/>
      <c r="I2615" s="85"/>
      <c r="J2615" s="131"/>
      <c r="K2615" s="60"/>
      <c r="L2615" s="33"/>
      <c r="P2615" s="3"/>
      <c r="Q2615" s="3"/>
      <c r="R2615" s="3"/>
      <c r="S2615" s="3"/>
      <c r="T2615" s="3"/>
      <c r="U2615" s="3"/>
      <c r="V2615" s="3"/>
      <c r="W2615" s="3"/>
      <c r="X2615" s="3"/>
      <c r="Y2615" s="4"/>
      <c r="Z2615"/>
      <c r="AA2615"/>
    </row>
    <row r="2616" spans="1:27" s="37" customFormat="1" ht="16" x14ac:dyDescent="0.2">
      <c r="A2616" s="166"/>
      <c r="B2616" s="93"/>
      <c r="C2616" s="70"/>
      <c r="D2616" s="70"/>
      <c r="E2616" s="70"/>
      <c r="F2616" s="70"/>
      <c r="G2616" s="70"/>
      <c r="H2616" s="85"/>
      <c r="I2616" s="85"/>
      <c r="J2616" s="131"/>
      <c r="K2616" s="60"/>
      <c r="L2616" s="47"/>
      <c r="P2616" s="3"/>
      <c r="Q2616" s="3"/>
      <c r="R2616" s="3"/>
      <c r="S2616" s="3"/>
      <c r="T2616" s="3"/>
      <c r="U2616" s="3"/>
      <c r="V2616" s="3"/>
      <c r="W2616" s="3"/>
      <c r="X2616" s="3"/>
      <c r="Y2616" s="4"/>
      <c r="Z2616"/>
      <c r="AA2616"/>
    </row>
    <row r="2617" spans="1:27" s="37" customFormat="1" ht="16" x14ac:dyDescent="0.2">
      <c r="A2617" s="166"/>
      <c r="B2617" s="93"/>
      <c r="C2617" s="70"/>
      <c r="D2617" s="70"/>
      <c r="E2617" s="70"/>
      <c r="F2617" s="70"/>
      <c r="G2617" s="70"/>
      <c r="H2617" s="85"/>
      <c r="I2617" s="85"/>
      <c r="J2617" s="135"/>
      <c r="K2617" s="60"/>
      <c r="L2617" s="33"/>
      <c r="M2617" s="48"/>
      <c r="P2617" s="3"/>
      <c r="Q2617" s="3"/>
      <c r="R2617" s="3"/>
      <c r="S2617" s="3"/>
      <c r="T2617" s="3"/>
      <c r="U2617" s="3"/>
      <c r="V2617" s="3"/>
      <c r="W2617" s="3"/>
      <c r="X2617" s="3"/>
      <c r="Y2617" s="4"/>
      <c r="Z2617"/>
      <c r="AA2617"/>
    </row>
    <row r="2618" spans="1:27" s="37" customFormat="1" x14ac:dyDescent="0.15">
      <c r="A2618" s="166"/>
      <c r="B2618" s="93"/>
      <c r="C2618" s="70"/>
      <c r="D2618" s="70"/>
      <c r="E2618" s="70"/>
      <c r="F2618" s="70"/>
      <c r="G2618" s="70"/>
      <c r="H2618" s="85"/>
      <c r="I2618" s="85"/>
      <c r="J2618" s="141"/>
      <c r="K2618" s="60"/>
      <c r="L2618" s="33"/>
      <c r="P2618" s="3"/>
      <c r="Q2618" s="3"/>
      <c r="R2618" s="3"/>
      <c r="S2618" s="3"/>
      <c r="T2618" s="3"/>
      <c r="U2618" s="3"/>
      <c r="V2618" s="3"/>
      <c r="W2618" s="3"/>
      <c r="X2618" s="3"/>
      <c r="Y2618" s="4"/>
      <c r="Z2618"/>
      <c r="AA2618"/>
    </row>
    <row r="2619" spans="1:27" s="37" customFormat="1" x14ac:dyDescent="0.15">
      <c r="A2619" s="166"/>
      <c r="B2619" s="93"/>
      <c r="C2619" s="70"/>
      <c r="D2619" s="70"/>
      <c r="E2619" s="70"/>
      <c r="F2619" s="70"/>
      <c r="G2619" s="70"/>
      <c r="H2619" s="85"/>
      <c r="I2619" s="85"/>
      <c r="J2619" s="141"/>
      <c r="K2619" s="60"/>
      <c r="L2619" s="33"/>
      <c r="P2619" s="3"/>
      <c r="Q2619" s="3"/>
      <c r="R2619" s="3"/>
      <c r="S2619" s="3"/>
      <c r="T2619" s="3"/>
      <c r="U2619" s="3"/>
      <c r="V2619" s="3"/>
      <c r="W2619" s="3"/>
      <c r="X2619" s="3"/>
      <c r="Y2619" s="4"/>
      <c r="Z2619"/>
      <c r="AA2619"/>
    </row>
    <row r="2620" spans="1:27" s="37" customFormat="1" x14ac:dyDescent="0.15">
      <c r="A2620" s="166"/>
      <c r="B2620" s="93"/>
      <c r="C2620" s="70"/>
      <c r="D2620" s="70"/>
      <c r="E2620" s="70"/>
      <c r="F2620" s="70"/>
      <c r="G2620" s="70"/>
      <c r="H2620" s="85"/>
      <c r="I2620" s="85"/>
      <c r="J2620" s="141"/>
      <c r="K2620" s="60"/>
      <c r="L2620" s="33"/>
      <c r="P2620" s="3"/>
      <c r="Q2620" s="3"/>
      <c r="R2620" s="3"/>
      <c r="S2620" s="3"/>
      <c r="T2620" s="3"/>
      <c r="U2620" s="3"/>
      <c r="V2620" s="3"/>
      <c r="W2620" s="3"/>
      <c r="X2620" s="3"/>
      <c r="Y2620" s="4"/>
      <c r="Z2620"/>
      <c r="AA2620"/>
    </row>
    <row r="2621" spans="1:27" s="37" customFormat="1" x14ac:dyDescent="0.15">
      <c r="A2621" s="166"/>
      <c r="B2621" s="93"/>
      <c r="C2621" s="70"/>
      <c r="D2621" s="70"/>
      <c r="E2621" s="70"/>
      <c r="F2621" s="70"/>
      <c r="G2621" s="70"/>
      <c r="H2621" s="85"/>
      <c r="I2621" s="85"/>
      <c r="J2621" s="135"/>
      <c r="K2621" s="60"/>
      <c r="L2621" s="33"/>
      <c r="P2621" s="3"/>
      <c r="Q2621" s="3"/>
      <c r="R2621" s="3"/>
      <c r="S2621" s="3"/>
      <c r="T2621" s="3"/>
      <c r="U2621" s="3"/>
      <c r="V2621" s="3"/>
      <c r="W2621" s="3"/>
      <c r="X2621" s="3"/>
      <c r="Y2621" s="4"/>
      <c r="Z2621"/>
      <c r="AA2621"/>
    </row>
    <row r="2622" spans="1:27" s="37" customFormat="1" x14ac:dyDescent="0.15">
      <c r="A2622" s="166"/>
      <c r="B2622" s="93"/>
      <c r="C2622" s="70"/>
      <c r="D2622" s="70"/>
      <c r="E2622" s="70"/>
      <c r="F2622" s="70"/>
      <c r="G2622" s="70"/>
      <c r="H2622" s="85"/>
      <c r="I2622" s="85"/>
      <c r="J2622" s="131"/>
      <c r="K2622" s="60"/>
      <c r="L2622" s="33"/>
      <c r="P2622" s="3"/>
      <c r="Q2622" s="3"/>
      <c r="R2622" s="3"/>
      <c r="S2622" s="3"/>
      <c r="T2622" s="3"/>
      <c r="U2622" s="3"/>
      <c r="V2622" s="3"/>
      <c r="W2622" s="3"/>
      <c r="X2622" s="3"/>
      <c r="Y2622" s="4"/>
      <c r="Z2622"/>
      <c r="AA2622"/>
    </row>
    <row r="2623" spans="1:27" s="37" customFormat="1" x14ac:dyDescent="0.15">
      <c r="A2623" s="166"/>
      <c r="B2623" s="93"/>
      <c r="C2623" s="70"/>
      <c r="D2623" s="70"/>
      <c r="E2623" s="70"/>
      <c r="F2623" s="70"/>
      <c r="G2623" s="70"/>
      <c r="H2623" s="85"/>
      <c r="I2623" s="85"/>
      <c r="J2623" s="141"/>
      <c r="K2623" s="60"/>
      <c r="L2623" s="33"/>
      <c r="P2623" s="3"/>
      <c r="Q2623" s="3"/>
      <c r="R2623" s="3"/>
      <c r="S2623" s="3"/>
      <c r="T2623" s="3"/>
      <c r="U2623" s="3"/>
      <c r="V2623" s="3"/>
      <c r="W2623" s="3"/>
      <c r="X2623" s="3"/>
      <c r="Y2623" s="4"/>
      <c r="Z2623"/>
      <c r="AA2623"/>
    </row>
    <row r="2624" spans="1:27" s="37" customFormat="1" x14ac:dyDescent="0.15">
      <c r="A2624" s="166"/>
      <c r="B2624" s="82"/>
      <c r="C2624" s="70"/>
      <c r="D2624" s="70"/>
      <c r="E2624" s="70"/>
      <c r="F2624" s="70"/>
      <c r="G2624" s="70"/>
      <c r="H2624" s="85"/>
      <c r="I2624" s="85"/>
      <c r="J2624" s="131"/>
      <c r="K2624" s="60"/>
      <c r="L2624" s="49"/>
      <c r="P2624" s="3"/>
      <c r="Q2624" s="3"/>
      <c r="R2624" s="3"/>
      <c r="S2624" s="3"/>
      <c r="T2624" s="3"/>
      <c r="U2624" s="3"/>
      <c r="V2624" s="3"/>
      <c r="W2624" s="3"/>
      <c r="X2624" s="3"/>
      <c r="Y2624" s="4"/>
      <c r="Z2624"/>
      <c r="AA2624"/>
    </row>
    <row r="2625" spans="1:27" s="37" customFormat="1" x14ac:dyDescent="0.15">
      <c r="A2625" s="166"/>
      <c r="B2625" s="82"/>
      <c r="C2625" s="70"/>
      <c r="D2625" s="70"/>
      <c r="E2625" s="70"/>
      <c r="F2625" s="70"/>
      <c r="G2625" s="70"/>
      <c r="H2625" s="85"/>
      <c r="I2625" s="85"/>
      <c r="J2625" s="131"/>
      <c r="K2625" s="60"/>
      <c r="L2625" s="49"/>
      <c r="P2625" s="3"/>
      <c r="Q2625" s="3"/>
      <c r="R2625" s="3"/>
      <c r="S2625" s="3"/>
      <c r="T2625" s="3"/>
      <c r="U2625" s="3"/>
      <c r="V2625" s="3"/>
      <c r="W2625" s="3"/>
      <c r="X2625" s="3"/>
      <c r="Y2625" s="4"/>
      <c r="Z2625"/>
      <c r="AA2625"/>
    </row>
    <row r="2626" spans="1:27" s="37" customFormat="1" ht="16" x14ac:dyDescent="0.2">
      <c r="A2626" s="166"/>
      <c r="B2626" s="93"/>
      <c r="C2626" s="70"/>
      <c r="D2626" s="70"/>
      <c r="E2626" s="70"/>
      <c r="F2626" s="70"/>
      <c r="G2626" s="70"/>
      <c r="H2626" s="85"/>
      <c r="I2626" s="85"/>
      <c r="J2626" s="131"/>
      <c r="K2626" s="60"/>
      <c r="L2626" s="33"/>
      <c r="M2626" s="48"/>
      <c r="P2626" s="3"/>
      <c r="Q2626" s="3"/>
      <c r="R2626" s="3"/>
      <c r="S2626" s="3"/>
      <c r="T2626" s="3"/>
      <c r="U2626" s="3"/>
      <c r="V2626" s="3"/>
      <c r="W2626" s="3"/>
      <c r="X2626" s="3"/>
      <c r="Y2626" s="4"/>
      <c r="Z2626"/>
      <c r="AA2626"/>
    </row>
    <row r="2627" spans="1:27" s="37" customFormat="1" x14ac:dyDescent="0.15">
      <c r="A2627" s="166"/>
      <c r="B2627" s="93"/>
      <c r="C2627" s="70"/>
      <c r="D2627" s="70"/>
      <c r="E2627" s="70"/>
      <c r="F2627" s="70"/>
      <c r="G2627" s="70"/>
      <c r="H2627" s="85"/>
      <c r="I2627" s="85"/>
      <c r="J2627" s="131"/>
      <c r="K2627" s="60"/>
      <c r="L2627" s="33"/>
      <c r="P2627" s="3"/>
      <c r="Q2627" s="3"/>
      <c r="R2627" s="3"/>
      <c r="S2627" s="3"/>
      <c r="T2627" s="3"/>
      <c r="U2627" s="3"/>
      <c r="V2627" s="3"/>
      <c r="W2627" s="3"/>
      <c r="X2627" s="3"/>
      <c r="Y2627" s="4"/>
      <c r="Z2627"/>
      <c r="AA2627"/>
    </row>
    <row r="2628" spans="1:27" s="37" customFormat="1" x14ac:dyDescent="0.15">
      <c r="A2628" s="166"/>
      <c r="B2628" s="93"/>
      <c r="C2628" s="70"/>
      <c r="D2628" s="70"/>
      <c r="E2628" s="70"/>
      <c r="F2628" s="70"/>
      <c r="G2628" s="70"/>
      <c r="H2628" s="85"/>
      <c r="I2628" s="85"/>
      <c r="J2628" s="131"/>
      <c r="K2628" s="60"/>
      <c r="L2628" s="33"/>
      <c r="P2628" s="3"/>
      <c r="Q2628" s="3"/>
      <c r="R2628" s="3"/>
      <c r="S2628" s="3"/>
      <c r="T2628" s="3"/>
      <c r="U2628" s="3"/>
      <c r="V2628" s="3"/>
      <c r="W2628" s="3"/>
      <c r="X2628" s="3"/>
      <c r="Y2628" s="4"/>
      <c r="Z2628"/>
      <c r="AA2628"/>
    </row>
    <row r="2629" spans="1:27" s="37" customFormat="1" ht="16" x14ac:dyDescent="0.2">
      <c r="A2629" s="166"/>
      <c r="B2629" s="82"/>
      <c r="C2629" s="70"/>
      <c r="D2629" s="70"/>
      <c r="E2629" s="70"/>
      <c r="F2629" s="70"/>
      <c r="G2629" s="70"/>
      <c r="H2629" s="85"/>
      <c r="I2629" s="85"/>
      <c r="J2629" s="131"/>
      <c r="K2629" s="60"/>
      <c r="L2629" s="49"/>
      <c r="M2629" s="48"/>
      <c r="P2629" s="3"/>
      <c r="Q2629" s="3"/>
      <c r="R2629" s="3"/>
      <c r="S2629" s="3"/>
      <c r="T2629" s="3"/>
      <c r="U2629" s="3"/>
      <c r="V2629" s="3"/>
      <c r="W2629" s="3"/>
      <c r="X2629" s="3"/>
      <c r="Y2629" s="4"/>
      <c r="Z2629"/>
      <c r="AA2629"/>
    </row>
    <row r="2630" spans="1:27" s="37" customFormat="1" x14ac:dyDescent="0.15">
      <c r="A2630" s="166"/>
      <c r="B2630" s="82"/>
      <c r="C2630" s="73"/>
      <c r="D2630" s="73"/>
      <c r="E2630" s="70"/>
      <c r="F2630" s="73"/>
      <c r="G2630" s="73"/>
      <c r="H2630" s="85"/>
      <c r="I2630" s="95"/>
      <c r="J2630" s="131"/>
      <c r="K2630" s="60"/>
      <c r="L2630" s="49"/>
      <c r="P2630" s="3"/>
      <c r="Q2630" s="3"/>
      <c r="R2630" s="3"/>
      <c r="S2630" s="3"/>
      <c r="T2630" s="3"/>
      <c r="U2630" s="3"/>
      <c r="V2630" s="3"/>
      <c r="W2630" s="3"/>
      <c r="X2630" s="3"/>
      <c r="Y2630" s="4"/>
      <c r="Z2630"/>
      <c r="AA2630"/>
    </row>
    <row r="2631" spans="1:27" s="37" customFormat="1" x14ac:dyDescent="0.15">
      <c r="A2631" s="166"/>
      <c r="B2631" s="82"/>
      <c r="C2631" s="70"/>
      <c r="D2631" s="70"/>
      <c r="E2631" s="70"/>
      <c r="F2631" s="70"/>
      <c r="G2631" s="70"/>
      <c r="H2631" s="85"/>
      <c r="I2631" s="85"/>
      <c r="J2631" s="131"/>
      <c r="K2631" s="60"/>
      <c r="L2631" s="49"/>
      <c r="P2631" s="3"/>
      <c r="Q2631" s="3"/>
      <c r="R2631" s="3"/>
      <c r="S2631" s="3"/>
      <c r="T2631" s="3"/>
      <c r="U2631" s="3"/>
      <c r="V2631" s="3"/>
      <c r="W2631" s="3"/>
      <c r="X2631" s="3"/>
      <c r="Y2631" s="4"/>
      <c r="Z2631"/>
      <c r="AA2631"/>
    </row>
    <row r="2632" spans="1:27" s="37" customFormat="1" x14ac:dyDescent="0.15">
      <c r="A2632" s="166"/>
      <c r="B2632" s="82"/>
      <c r="C2632" s="70"/>
      <c r="D2632" s="70"/>
      <c r="E2632" s="70"/>
      <c r="F2632" s="70"/>
      <c r="G2632" s="70"/>
      <c r="H2632" s="85"/>
      <c r="I2632" s="85"/>
      <c r="J2632" s="131"/>
      <c r="K2632" s="60"/>
      <c r="L2632" s="49"/>
      <c r="P2632" s="3"/>
      <c r="Q2632" s="3"/>
      <c r="R2632" s="3"/>
      <c r="S2632" s="3"/>
      <c r="T2632" s="3"/>
      <c r="U2632" s="3"/>
      <c r="V2632" s="3"/>
      <c r="W2632" s="3"/>
      <c r="X2632" s="3"/>
      <c r="Y2632" s="4"/>
      <c r="Z2632"/>
      <c r="AA2632"/>
    </row>
    <row r="2633" spans="1:27" s="37" customFormat="1" x14ac:dyDescent="0.15">
      <c r="A2633" s="166"/>
      <c r="B2633" s="82"/>
      <c r="C2633" s="70"/>
      <c r="D2633" s="70"/>
      <c r="E2633" s="70"/>
      <c r="F2633" s="70"/>
      <c r="G2633" s="70"/>
      <c r="H2633" s="85"/>
      <c r="I2633" s="85"/>
      <c r="J2633" s="131"/>
      <c r="K2633" s="60"/>
      <c r="L2633" s="49"/>
      <c r="P2633" s="3"/>
      <c r="Q2633" s="3"/>
      <c r="R2633" s="3"/>
      <c r="S2633" s="3"/>
      <c r="T2633" s="3"/>
      <c r="U2633" s="3"/>
      <c r="V2633" s="3"/>
      <c r="W2633" s="3"/>
      <c r="X2633" s="3"/>
      <c r="Y2633" s="4"/>
      <c r="Z2633"/>
      <c r="AA2633"/>
    </row>
    <row r="2634" spans="1:27" s="37" customFormat="1" x14ac:dyDescent="0.15">
      <c r="A2634" s="166"/>
      <c r="B2634" s="96"/>
      <c r="C2634" s="70"/>
      <c r="D2634" s="70"/>
      <c r="E2634" s="70"/>
      <c r="F2634" s="70"/>
      <c r="G2634" s="70"/>
      <c r="H2634" s="85"/>
      <c r="I2634" s="85"/>
      <c r="J2634" s="131"/>
      <c r="K2634" s="60"/>
      <c r="L2634" s="49"/>
      <c r="P2634" s="3"/>
      <c r="Q2634" s="3"/>
      <c r="R2634" s="3"/>
      <c r="S2634" s="3"/>
      <c r="T2634" s="3"/>
      <c r="U2634" s="3"/>
      <c r="V2634" s="3"/>
      <c r="W2634" s="3"/>
      <c r="X2634" s="3"/>
      <c r="Y2634" s="4"/>
      <c r="Z2634"/>
      <c r="AA2634"/>
    </row>
    <row r="2635" spans="1:27" s="37" customFormat="1" x14ac:dyDescent="0.15">
      <c r="A2635" s="166"/>
      <c r="B2635" s="82"/>
      <c r="C2635" s="70"/>
      <c r="D2635" s="70"/>
      <c r="E2635" s="70"/>
      <c r="F2635" s="70"/>
      <c r="G2635" s="70"/>
      <c r="H2635" s="85"/>
      <c r="I2635" s="85"/>
      <c r="J2635" s="131"/>
      <c r="K2635" s="60"/>
      <c r="L2635" s="49"/>
      <c r="P2635" s="3"/>
      <c r="Q2635" s="3"/>
      <c r="R2635" s="3"/>
      <c r="S2635" s="3"/>
      <c r="T2635" s="3"/>
      <c r="U2635" s="3"/>
      <c r="V2635" s="3"/>
      <c r="W2635" s="3"/>
      <c r="X2635" s="3"/>
      <c r="Y2635" s="4"/>
      <c r="Z2635"/>
      <c r="AA2635"/>
    </row>
    <row r="2636" spans="1:27" s="37" customFormat="1" x14ac:dyDescent="0.15">
      <c r="A2636" s="166"/>
      <c r="B2636" s="82"/>
      <c r="C2636" s="70"/>
      <c r="D2636" s="70"/>
      <c r="E2636" s="70"/>
      <c r="F2636" s="70"/>
      <c r="G2636" s="70"/>
      <c r="H2636" s="85"/>
      <c r="I2636" s="85"/>
      <c r="J2636" s="131"/>
      <c r="K2636" s="60"/>
      <c r="L2636" s="49"/>
      <c r="P2636" s="3"/>
      <c r="Q2636" s="3"/>
      <c r="R2636" s="3"/>
      <c r="S2636" s="3"/>
      <c r="T2636" s="3"/>
      <c r="U2636" s="3"/>
      <c r="V2636" s="3"/>
      <c r="W2636" s="3"/>
      <c r="X2636" s="3"/>
      <c r="Y2636" s="4"/>
      <c r="Z2636"/>
      <c r="AA2636"/>
    </row>
    <row r="2637" spans="1:27" s="37" customFormat="1" x14ac:dyDescent="0.15">
      <c r="A2637" s="166"/>
      <c r="B2637" s="93"/>
      <c r="C2637" s="70"/>
      <c r="D2637" s="70"/>
      <c r="E2637" s="73"/>
      <c r="F2637" s="70"/>
      <c r="G2637" s="70"/>
      <c r="H2637" s="85"/>
      <c r="I2637" s="85"/>
      <c r="J2637" s="131"/>
      <c r="K2637" s="60"/>
      <c r="L2637" s="49"/>
      <c r="P2637" s="3"/>
      <c r="Q2637" s="3"/>
      <c r="R2637" s="3"/>
      <c r="S2637" s="3"/>
      <c r="T2637" s="3"/>
      <c r="U2637" s="3"/>
      <c r="V2637" s="3"/>
      <c r="W2637" s="3"/>
      <c r="X2637" s="3"/>
      <c r="Y2637" s="4"/>
      <c r="Z2637"/>
      <c r="AA2637"/>
    </row>
    <row r="2638" spans="1:27" s="37" customFormat="1" x14ac:dyDescent="0.15">
      <c r="A2638" s="166"/>
      <c r="B2638" s="93"/>
      <c r="C2638" s="70"/>
      <c r="D2638" s="70"/>
      <c r="E2638" s="70"/>
      <c r="F2638" s="70"/>
      <c r="G2638" s="70"/>
      <c r="H2638" s="85"/>
      <c r="I2638" s="85"/>
      <c r="J2638" s="131"/>
      <c r="K2638" s="60"/>
      <c r="L2638" s="49"/>
      <c r="P2638" s="3"/>
      <c r="Q2638" s="3"/>
      <c r="R2638" s="3"/>
      <c r="S2638" s="3"/>
      <c r="T2638" s="3"/>
      <c r="U2638" s="3"/>
      <c r="V2638" s="3"/>
      <c r="W2638" s="3"/>
      <c r="X2638" s="3"/>
      <c r="Y2638" s="4"/>
      <c r="Z2638"/>
      <c r="AA2638"/>
    </row>
    <row r="2639" spans="1:27" s="37" customFormat="1" x14ac:dyDescent="0.15">
      <c r="A2639" s="166"/>
      <c r="B2639" s="93"/>
      <c r="C2639" s="70"/>
      <c r="D2639" s="70"/>
      <c r="E2639" s="70"/>
      <c r="F2639" s="70"/>
      <c r="G2639" s="70"/>
      <c r="H2639" s="85"/>
      <c r="I2639" s="85"/>
      <c r="J2639" s="131"/>
      <c r="K2639" s="60"/>
      <c r="L2639" s="33"/>
      <c r="P2639" s="3"/>
      <c r="Q2639" s="3"/>
      <c r="R2639" s="3"/>
      <c r="S2639" s="3"/>
      <c r="T2639" s="3"/>
      <c r="U2639" s="3"/>
      <c r="V2639" s="3"/>
      <c r="W2639" s="3"/>
      <c r="X2639" s="3"/>
      <c r="Y2639" s="4"/>
      <c r="Z2639"/>
      <c r="AA2639"/>
    </row>
    <row r="2640" spans="1:27" s="37" customFormat="1" x14ac:dyDescent="0.15">
      <c r="A2640" s="166"/>
      <c r="B2640" s="93"/>
      <c r="C2640" s="70"/>
      <c r="D2640" s="70"/>
      <c r="E2640" s="70"/>
      <c r="F2640" s="70"/>
      <c r="G2640" s="70"/>
      <c r="H2640" s="85"/>
      <c r="I2640" s="85"/>
      <c r="J2640" s="131"/>
      <c r="K2640" s="60"/>
      <c r="L2640" s="33"/>
      <c r="P2640" s="3"/>
      <c r="Q2640" s="3"/>
      <c r="R2640" s="3"/>
      <c r="S2640" s="3"/>
      <c r="T2640" s="3"/>
      <c r="U2640" s="3"/>
      <c r="V2640" s="3"/>
      <c r="W2640" s="3"/>
      <c r="X2640" s="3"/>
      <c r="Y2640" s="4"/>
      <c r="Z2640"/>
      <c r="AA2640"/>
    </row>
    <row r="2641" spans="1:27" s="37" customFormat="1" x14ac:dyDescent="0.15">
      <c r="A2641" s="166"/>
      <c r="B2641" s="93"/>
      <c r="C2641" s="70"/>
      <c r="D2641" s="70"/>
      <c r="E2641" s="70"/>
      <c r="F2641" s="70"/>
      <c r="G2641" s="70"/>
      <c r="H2641" s="85"/>
      <c r="I2641" s="85"/>
      <c r="J2641" s="131"/>
      <c r="K2641" s="60"/>
      <c r="L2641" s="33"/>
      <c r="P2641" s="3"/>
      <c r="Q2641" s="3"/>
      <c r="R2641" s="3"/>
      <c r="S2641" s="3"/>
      <c r="T2641" s="3"/>
      <c r="U2641" s="3"/>
      <c r="V2641" s="3"/>
      <c r="W2641" s="3"/>
      <c r="X2641" s="3"/>
      <c r="Y2641" s="4"/>
      <c r="Z2641"/>
      <c r="AA2641"/>
    </row>
    <row r="2642" spans="1:27" s="37" customFormat="1" x14ac:dyDescent="0.15">
      <c r="A2642" s="166"/>
      <c r="B2642" s="93"/>
      <c r="C2642" s="70"/>
      <c r="D2642" s="70"/>
      <c r="E2642" s="70"/>
      <c r="F2642" s="70"/>
      <c r="G2642" s="70"/>
      <c r="H2642" s="85"/>
      <c r="I2642" s="85"/>
      <c r="J2642" s="131"/>
      <c r="K2642" s="60"/>
      <c r="L2642" s="33"/>
      <c r="P2642" s="3"/>
      <c r="Q2642" s="3"/>
      <c r="R2642" s="3"/>
      <c r="S2642" s="3"/>
      <c r="T2642" s="3"/>
      <c r="U2642" s="3"/>
      <c r="V2642" s="3"/>
      <c r="W2642" s="3"/>
      <c r="X2642" s="3"/>
      <c r="Y2642" s="4"/>
      <c r="Z2642"/>
      <c r="AA2642"/>
    </row>
    <row r="2643" spans="1:27" s="37" customFormat="1" ht="14" x14ac:dyDescent="0.15">
      <c r="A2643" s="166"/>
      <c r="B2643" s="93"/>
      <c r="C2643" s="73"/>
      <c r="D2643" s="73"/>
      <c r="E2643" s="73"/>
      <c r="F2643" s="73"/>
      <c r="G2643" s="73"/>
      <c r="H2643" s="95"/>
      <c r="I2643" s="112"/>
      <c r="J2643" s="134"/>
      <c r="K2643" s="63"/>
      <c r="L2643" s="33"/>
      <c r="P2643" s="3"/>
      <c r="Q2643" s="3"/>
      <c r="R2643" s="3"/>
      <c r="S2643" s="3"/>
      <c r="T2643" s="3"/>
      <c r="U2643" s="3"/>
      <c r="V2643" s="3"/>
      <c r="W2643" s="3"/>
      <c r="X2643" s="3"/>
      <c r="Y2643" s="4"/>
      <c r="Z2643"/>
      <c r="AA2643"/>
    </row>
    <row r="2644" spans="1:27" s="37" customFormat="1" x14ac:dyDescent="0.15">
      <c r="A2644" s="166"/>
      <c r="B2644" s="82"/>
      <c r="C2644" s="70"/>
      <c r="D2644" s="70"/>
      <c r="E2644" s="70"/>
      <c r="F2644" s="70"/>
      <c r="G2644" s="70"/>
      <c r="H2644" s="85"/>
      <c r="I2644" s="85"/>
      <c r="J2644" s="131"/>
      <c r="K2644" s="60"/>
      <c r="L2644" s="49"/>
      <c r="P2644" s="3"/>
      <c r="Q2644" s="3"/>
      <c r="R2644" s="3"/>
      <c r="S2644" s="3"/>
      <c r="T2644" s="3"/>
      <c r="U2644" s="3"/>
      <c r="V2644" s="3"/>
      <c r="W2644" s="3"/>
      <c r="X2644" s="3"/>
      <c r="Y2644" s="4"/>
      <c r="Z2644"/>
      <c r="AA2644"/>
    </row>
    <row r="2645" spans="1:27" s="37" customFormat="1" ht="16" x14ac:dyDescent="0.2">
      <c r="A2645" s="166"/>
      <c r="B2645" s="93"/>
      <c r="C2645" s="70"/>
      <c r="D2645" s="70"/>
      <c r="E2645" s="70"/>
      <c r="F2645" s="70"/>
      <c r="G2645" s="70"/>
      <c r="H2645" s="85"/>
      <c r="I2645" s="85"/>
      <c r="J2645" s="131"/>
      <c r="K2645" s="60"/>
      <c r="L2645" s="33"/>
      <c r="M2645" s="48"/>
      <c r="P2645" s="3"/>
      <c r="Q2645" s="3"/>
      <c r="R2645" s="3"/>
      <c r="S2645" s="3"/>
      <c r="T2645" s="3"/>
      <c r="U2645" s="3"/>
      <c r="V2645" s="3"/>
      <c r="W2645" s="3"/>
      <c r="X2645" s="3"/>
      <c r="Y2645" s="4"/>
      <c r="Z2645"/>
      <c r="AA2645"/>
    </row>
    <row r="2646" spans="1:27" s="37" customFormat="1" x14ac:dyDescent="0.15">
      <c r="A2646" s="166"/>
      <c r="B2646" s="82"/>
      <c r="C2646" s="70"/>
      <c r="D2646" s="70"/>
      <c r="E2646" s="70"/>
      <c r="F2646" s="70"/>
      <c r="G2646" s="70"/>
      <c r="H2646" s="85"/>
      <c r="I2646" s="85"/>
      <c r="J2646" s="131"/>
      <c r="K2646" s="60"/>
      <c r="L2646" s="49"/>
      <c r="P2646" s="3"/>
      <c r="Q2646" s="3"/>
      <c r="R2646" s="3"/>
      <c r="S2646" s="3"/>
      <c r="T2646" s="3"/>
      <c r="U2646" s="3"/>
      <c r="V2646" s="3"/>
      <c r="W2646" s="3"/>
      <c r="X2646" s="3"/>
      <c r="Y2646" s="4"/>
      <c r="Z2646"/>
      <c r="AA2646"/>
    </row>
    <row r="2647" spans="1:27" s="37" customFormat="1" ht="14" x14ac:dyDescent="0.15">
      <c r="A2647" s="166"/>
      <c r="B2647" s="93"/>
      <c r="C2647" s="70"/>
      <c r="D2647" s="70"/>
      <c r="E2647" s="70"/>
      <c r="F2647" s="70"/>
      <c r="G2647" s="70"/>
      <c r="H2647" s="85"/>
      <c r="I2647" s="113"/>
      <c r="J2647" s="131"/>
      <c r="K2647" s="60"/>
      <c r="L2647" s="33"/>
      <c r="P2647" s="3"/>
      <c r="Q2647" s="3"/>
      <c r="R2647" s="3"/>
      <c r="S2647" s="3"/>
      <c r="T2647" s="3"/>
      <c r="U2647" s="3"/>
      <c r="V2647" s="3"/>
      <c r="W2647" s="3"/>
      <c r="X2647" s="3"/>
      <c r="Y2647" s="4"/>
      <c r="Z2647"/>
      <c r="AA2647"/>
    </row>
    <row r="2648" spans="1:27" s="37" customFormat="1" x14ac:dyDescent="0.15">
      <c r="A2648" s="166"/>
      <c r="B2648" s="82"/>
      <c r="C2648" s="70"/>
      <c r="D2648" s="70"/>
      <c r="E2648" s="70"/>
      <c r="F2648" s="70"/>
      <c r="G2648" s="70"/>
      <c r="H2648" s="85"/>
      <c r="I2648" s="85"/>
      <c r="J2648" s="131"/>
      <c r="K2648" s="60"/>
      <c r="L2648" s="49"/>
      <c r="P2648" s="3"/>
      <c r="Q2648" s="3"/>
      <c r="R2648" s="3"/>
      <c r="S2648" s="3"/>
      <c r="T2648" s="3"/>
      <c r="U2648" s="3"/>
      <c r="V2648" s="3"/>
      <c r="W2648" s="3"/>
      <c r="X2648" s="3"/>
      <c r="Y2648" s="4"/>
      <c r="Z2648"/>
      <c r="AA2648"/>
    </row>
    <row r="2649" spans="1:27" s="37" customFormat="1" x14ac:dyDescent="0.15">
      <c r="A2649" s="166"/>
      <c r="B2649" s="82"/>
      <c r="C2649" s="70"/>
      <c r="D2649" s="70"/>
      <c r="E2649" s="70"/>
      <c r="F2649" s="70"/>
      <c r="G2649" s="70"/>
      <c r="H2649" s="85"/>
      <c r="I2649" s="85"/>
      <c r="J2649" s="141"/>
      <c r="K2649" s="60"/>
      <c r="L2649" s="49"/>
      <c r="P2649" s="3"/>
      <c r="Q2649" s="3"/>
      <c r="R2649" s="3"/>
      <c r="S2649" s="3"/>
      <c r="T2649" s="3"/>
      <c r="U2649" s="3"/>
      <c r="V2649" s="3"/>
      <c r="W2649" s="3"/>
      <c r="X2649" s="3"/>
      <c r="Y2649" s="4"/>
      <c r="Z2649"/>
      <c r="AA2649"/>
    </row>
    <row r="2650" spans="1:27" s="37" customFormat="1" x14ac:dyDescent="0.15">
      <c r="A2650" s="166"/>
      <c r="B2650" s="82"/>
      <c r="C2650" s="70"/>
      <c r="D2650" s="70"/>
      <c r="E2650" s="70"/>
      <c r="F2650" s="70"/>
      <c r="G2650" s="70"/>
      <c r="H2650" s="85"/>
      <c r="I2650" s="85"/>
      <c r="J2650" s="141"/>
      <c r="K2650" s="60"/>
      <c r="L2650" s="49"/>
      <c r="P2650" s="3"/>
      <c r="Q2650" s="3"/>
      <c r="R2650" s="3"/>
      <c r="S2650" s="3"/>
      <c r="T2650" s="3"/>
      <c r="U2650" s="3"/>
      <c r="V2650" s="3"/>
      <c r="W2650" s="3"/>
      <c r="X2650" s="3"/>
      <c r="Y2650" s="4"/>
      <c r="Z2650"/>
      <c r="AA2650"/>
    </row>
    <row r="2651" spans="1:27" s="37" customFormat="1" x14ac:dyDescent="0.15">
      <c r="A2651" s="166"/>
      <c r="B2651" s="82"/>
      <c r="C2651" s="70"/>
      <c r="D2651" s="70"/>
      <c r="E2651" s="70"/>
      <c r="F2651" s="70"/>
      <c r="G2651" s="70"/>
      <c r="H2651" s="85"/>
      <c r="I2651" s="85"/>
      <c r="J2651" s="131"/>
      <c r="K2651" s="60"/>
      <c r="L2651" s="49"/>
      <c r="P2651" s="3"/>
      <c r="Q2651" s="3"/>
      <c r="R2651" s="3"/>
      <c r="S2651" s="3"/>
      <c r="T2651" s="3"/>
      <c r="U2651" s="3"/>
      <c r="V2651" s="3"/>
      <c r="W2651" s="3"/>
      <c r="X2651" s="3"/>
      <c r="Y2651" s="4"/>
      <c r="Z2651"/>
      <c r="AA2651"/>
    </row>
    <row r="2652" spans="1:27" s="37" customFormat="1" ht="16" x14ac:dyDescent="0.2">
      <c r="A2652" s="166"/>
      <c r="B2652" s="82"/>
      <c r="C2652" s="70"/>
      <c r="D2652" s="70"/>
      <c r="E2652" s="70"/>
      <c r="F2652" s="70"/>
      <c r="G2652" s="70"/>
      <c r="H2652" s="85"/>
      <c r="I2652" s="85"/>
      <c r="J2652" s="131"/>
      <c r="K2652" s="60"/>
      <c r="L2652" s="47"/>
      <c r="P2652" s="3"/>
      <c r="Q2652" s="3"/>
      <c r="R2652" s="3"/>
      <c r="S2652" s="3"/>
      <c r="T2652" s="3"/>
      <c r="U2652" s="3"/>
      <c r="V2652" s="3"/>
      <c r="W2652" s="3"/>
      <c r="X2652" s="3"/>
      <c r="Y2652" s="4"/>
      <c r="Z2652"/>
      <c r="AA2652"/>
    </row>
    <row r="2653" spans="1:27" s="37" customFormat="1" x14ac:dyDescent="0.15">
      <c r="A2653" s="166"/>
      <c r="B2653" s="82"/>
      <c r="C2653" s="70"/>
      <c r="D2653" s="70"/>
      <c r="E2653" s="70"/>
      <c r="F2653" s="70"/>
      <c r="G2653" s="70"/>
      <c r="H2653" s="85"/>
      <c r="I2653" s="85"/>
      <c r="J2653" s="131"/>
      <c r="K2653" s="60"/>
      <c r="L2653" s="33"/>
      <c r="P2653" s="3"/>
      <c r="Q2653" s="3"/>
      <c r="R2653" s="3"/>
      <c r="S2653" s="3"/>
      <c r="T2653" s="3"/>
      <c r="U2653" s="3"/>
      <c r="V2653" s="3"/>
      <c r="W2653" s="3"/>
      <c r="X2653" s="3"/>
      <c r="Y2653" s="4"/>
      <c r="Z2653"/>
      <c r="AA2653"/>
    </row>
    <row r="2654" spans="1:27" s="37" customFormat="1" x14ac:dyDescent="0.15">
      <c r="A2654" s="166"/>
      <c r="B2654" s="82"/>
      <c r="C2654" s="70"/>
      <c r="D2654" s="70"/>
      <c r="E2654" s="70"/>
      <c r="F2654" s="70"/>
      <c r="G2654" s="70"/>
      <c r="H2654" s="85"/>
      <c r="I2654" s="85"/>
      <c r="J2654" s="131"/>
      <c r="K2654" s="60"/>
      <c r="L2654" s="49"/>
      <c r="P2654" s="3"/>
      <c r="Q2654" s="3"/>
      <c r="R2654" s="3"/>
      <c r="S2654" s="3"/>
      <c r="T2654" s="3"/>
      <c r="U2654" s="3"/>
      <c r="V2654" s="3"/>
      <c r="W2654" s="3"/>
      <c r="X2654" s="3"/>
      <c r="Y2654" s="4"/>
      <c r="Z2654"/>
      <c r="AA2654"/>
    </row>
    <row r="2655" spans="1:27" s="37" customFormat="1" x14ac:dyDescent="0.15">
      <c r="A2655" s="166"/>
      <c r="B2655" s="82"/>
      <c r="C2655" s="70"/>
      <c r="D2655" s="70"/>
      <c r="E2655" s="70"/>
      <c r="F2655" s="70"/>
      <c r="G2655" s="70"/>
      <c r="H2655" s="85"/>
      <c r="I2655" s="85"/>
      <c r="J2655" s="131"/>
      <c r="K2655" s="60"/>
      <c r="L2655" s="49"/>
      <c r="P2655" s="3"/>
      <c r="Q2655" s="3"/>
      <c r="R2655" s="3"/>
      <c r="S2655" s="3"/>
      <c r="T2655" s="3"/>
      <c r="U2655" s="3"/>
      <c r="V2655" s="3"/>
      <c r="W2655" s="3"/>
      <c r="X2655" s="3"/>
      <c r="Y2655" s="4"/>
      <c r="Z2655"/>
      <c r="AA2655"/>
    </row>
    <row r="2656" spans="1:27" s="37" customFormat="1" x14ac:dyDescent="0.15">
      <c r="A2656" s="166"/>
      <c r="B2656" s="93"/>
      <c r="C2656" s="70"/>
      <c r="D2656" s="70"/>
      <c r="E2656" s="70"/>
      <c r="F2656" s="70"/>
      <c r="G2656" s="70"/>
      <c r="H2656" s="85"/>
      <c r="I2656" s="85"/>
      <c r="J2656" s="131"/>
      <c r="K2656" s="60"/>
      <c r="L2656" s="33"/>
      <c r="P2656" s="3"/>
      <c r="Q2656" s="3"/>
      <c r="R2656" s="3"/>
      <c r="S2656" s="3"/>
      <c r="T2656" s="3"/>
      <c r="U2656" s="3"/>
      <c r="V2656" s="3"/>
      <c r="W2656" s="3"/>
      <c r="X2656" s="3"/>
      <c r="Y2656" s="4"/>
      <c r="Z2656"/>
      <c r="AA2656"/>
    </row>
    <row r="2657" spans="1:27" s="37" customFormat="1" x14ac:dyDescent="0.15">
      <c r="A2657" s="166"/>
      <c r="B2657" s="93"/>
      <c r="C2657" s="70"/>
      <c r="D2657" s="70"/>
      <c r="E2657" s="70"/>
      <c r="F2657" s="70"/>
      <c r="G2657" s="70"/>
      <c r="H2657" s="85"/>
      <c r="I2657" s="85"/>
      <c r="J2657" s="131"/>
      <c r="K2657" s="60"/>
      <c r="L2657" s="52"/>
      <c r="P2657" s="3"/>
      <c r="Q2657" s="3"/>
      <c r="R2657" s="3"/>
      <c r="S2657" s="3"/>
      <c r="T2657" s="3"/>
      <c r="U2657" s="3"/>
      <c r="V2657" s="3"/>
      <c r="W2657" s="3"/>
      <c r="X2657" s="3"/>
      <c r="Y2657" s="4"/>
      <c r="Z2657"/>
      <c r="AA2657"/>
    </row>
    <row r="2658" spans="1:27" s="37" customFormat="1" ht="16" x14ac:dyDescent="0.2">
      <c r="A2658" s="166"/>
      <c r="B2658" s="82"/>
      <c r="C2658" s="70"/>
      <c r="D2658" s="70"/>
      <c r="E2658" s="70"/>
      <c r="F2658" s="70"/>
      <c r="G2658" s="70"/>
      <c r="H2658" s="85"/>
      <c r="I2658" s="85"/>
      <c r="J2658" s="131"/>
      <c r="K2658" s="60"/>
      <c r="L2658" s="47"/>
      <c r="P2658" s="3"/>
      <c r="Q2658" s="3"/>
      <c r="R2658" s="3"/>
      <c r="S2658" s="3"/>
      <c r="T2658" s="3"/>
      <c r="U2658" s="3"/>
      <c r="V2658" s="3"/>
      <c r="W2658" s="3"/>
      <c r="X2658" s="3"/>
      <c r="Y2658" s="4"/>
      <c r="Z2658"/>
      <c r="AA2658"/>
    </row>
    <row r="2659" spans="1:27" s="37" customFormat="1" x14ac:dyDescent="0.15">
      <c r="A2659" s="166"/>
      <c r="B2659" s="82"/>
      <c r="C2659" s="70"/>
      <c r="D2659" s="70"/>
      <c r="E2659" s="70"/>
      <c r="F2659" s="70"/>
      <c r="G2659" s="70"/>
      <c r="H2659" s="85"/>
      <c r="I2659" s="85"/>
      <c r="J2659" s="131"/>
      <c r="K2659" s="60"/>
      <c r="L2659" s="49"/>
      <c r="P2659" s="3"/>
      <c r="Q2659" s="3"/>
      <c r="R2659" s="3"/>
      <c r="S2659" s="3"/>
      <c r="T2659" s="3"/>
      <c r="U2659" s="3"/>
      <c r="V2659" s="3"/>
      <c r="W2659" s="3"/>
      <c r="X2659" s="3"/>
      <c r="Y2659" s="4"/>
      <c r="Z2659"/>
      <c r="AA2659"/>
    </row>
    <row r="2660" spans="1:27" s="37" customFormat="1" x14ac:dyDescent="0.15">
      <c r="A2660" s="166"/>
      <c r="B2660" s="82"/>
      <c r="C2660" s="70"/>
      <c r="D2660" s="70"/>
      <c r="E2660" s="70"/>
      <c r="F2660" s="70"/>
      <c r="G2660" s="70"/>
      <c r="H2660" s="85"/>
      <c r="I2660" s="85"/>
      <c r="J2660" s="131"/>
      <c r="K2660" s="60"/>
      <c r="L2660" s="49"/>
      <c r="P2660" s="3"/>
      <c r="Q2660" s="3"/>
      <c r="R2660" s="3"/>
      <c r="S2660" s="3"/>
      <c r="T2660" s="3"/>
      <c r="U2660" s="3"/>
      <c r="V2660" s="3"/>
      <c r="W2660" s="3"/>
      <c r="X2660" s="3"/>
      <c r="Y2660" s="4"/>
      <c r="Z2660"/>
      <c r="AA2660"/>
    </row>
    <row r="2661" spans="1:27" s="37" customFormat="1" ht="16" x14ac:dyDescent="0.2">
      <c r="A2661" s="166"/>
      <c r="B2661" s="82"/>
      <c r="C2661" s="70"/>
      <c r="D2661" s="70"/>
      <c r="E2661" s="70"/>
      <c r="F2661" s="70"/>
      <c r="G2661" s="70"/>
      <c r="H2661" s="85"/>
      <c r="I2661" s="85"/>
      <c r="J2661" s="131"/>
      <c r="K2661" s="60"/>
      <c r="L2661" s="47"/>
      <c r="P2661" s="3"/>
      <c r="Q2661" s="3"/>
      <c r="R2661" s="3"/>
      <c r="S2661" s="3"/>
      <c r="T2661" s="3"/>
      <c r="U2661" s="3"/>
      <c r="V2661" s="3"/>
      <c r="W2661" s="3"/>
      <c r="X2661" s="3"/>
      <c r="Y2661" s="4"/>
      <c r="Z2661"/>
      <c r="AA2661"/>
    </row>
    <row r="2662" spans="1:27" s="37" customFormat="1" x14ac:dyDescent="0.15">
      <c r="A2662" s="166"/>
      <c r="B2662" s="82"/>
      <c r="C2662" s="70"/>
      <c r="D2662" s="70"/>
      <c r="E2662" s="70"/>
      <c r="F2662" s="70"/>
      <c r="G2662" s="70"/>
      <c r="H2662" s="85"/>
      <c r="I2662" s="85"/>
      <c r="J2662" s="131"/>
      <c r="K2662" s="60"/>
      <c r="L2662" s="49"/>
      <c r="P2662" s="3"/>
      <c r="Q2662" s="3"/>
      <c r="R2662" s="3"/>
      <c r="S2662" s="3"/>
      <c r="T2662" s="3"/>
      <c r="U2662" s="3"/>
      <c r="V2662" s="3"/>
      <c r="W2662" s="3"/>
      <c r="X2662" s="3"/>
      <c r="Y2662" s="4"/>
      <c r="Z2662"/>
      <c r="AA2662"/>
    </row>
    <row r="2663" spans="1:27" s="37" customFormat="1" x14ac:dyDescent="0.15">
      <c r="A2663" s="166"/>
      <c r="B2663" s="93"/>
      <c r="C2663" s="70"/>
      <c r="D2663" s="70"/>
      <c r="E2663" s="70"/>
      <c r="F2663" s="70"/>
      <c r="G2663" s="70"/>
      <c r="H2663" s="85"/>
      <c r="I2663" s="85"/>
      <c r="J2663" s="131"/>
      <c r="K2663" s="60"/>
      <c r="L2663" s="49"/>
      <c r="P2663" s="3"/>
      <c r="Q2663" s="3"/>
      <c r="R2663" s="3"/>
      <c r="S2663" s="3"/>
      <c r="T2663" s="3"/>
      <c r="U2663" s="3"/>
      <c r="V2663" s="3"/>
      <c r="W2663" s="3"/>
      <c r="X2663" s="3"/>
      <c r="Y2663" s="4"/>
      <c r="Z2663"/>
      <c r="AA2663"/>
    </row>
    <row r="2664" spans="1:27" s="37" customFormat="1" x14ac:dyDescent="0.15">
      <c r="A2664" s="166"/>
      <c r="B2664" s="82"/>
      <c r="C2664" s="70"/>
      <c r="D2664" s="70"/>
      <c r="E2664" s="70"/>
      <c r="F2664" s="70"/>
      <c r="G2664" s="70"/>
      <c r="H2664" s="85"/>
      <c r="I2664" s="85"/>
      <c r="J2664" s="131"/>
      <c r="K2664" s="60"/>
      <c r="L2664" s="33"/>
      <c r="P2664" s="3"/>
      <c r="Q2664" s="3"/>
      <c r="R2664" s="3"/>
      <c r="S2664" s="3"/>
      <c r="T2664" s="3"/>
      <c r="U2664" s="3"/>
      <c r="V2664" s="3"/>
      <c r="W2664" s="3"/>
      <c r="X2664" s="3"/>
      <c r="Y2664" s="4"/>
      <c r="Z2664"/>
      <c r="AA2664"/>
    </row>
    <row r="2665" spans="1:27" s="37" customFormat="1" x14ac:dyDescent="0.15">
      <c r="A2665" s="166"/>
      <c r="B2665" s="82"/>
      <c r="C2665" s="70"/>
      <c r="D2665" s="70"/>
      <c r="E2665" s="70"/>
      <c r="F2665" s="70"/>
      <c r="G2665" s="70"/>
      <c r="H2665" s="85"/>
      <c r="I2665" s="85"/>
      <c r="J2665" s="131"/>
      <c r="K2665" s="60"/>
      <c r="L2665" s="33"/>
      <c r="P2665" s="3"/>
      <c r="Q2665" s="3"/>
      <c r="R2665" s="3"/>
      <c r="S2665" s="3"/>
      <c r="T2665" s="3"/>
      <c r="U2665" s="3"/>
      <c r="V2665" s="3"/>
      <c r="W2665" s="3"/>
      <c r="X2665" s="3"/>
      <c r="Y2665" s="4"/>
      <c r="Z2665"/>
      <c r="AA2665"/>
    </row>
    <row r="2666" spans="1:27" s="37" customFormat="1" x14ac:dyDescent="0.15">
      <c r="A2666" s="166"/>
      <c r="B2666" s="82"/>
      <c r="C2666" s="70"/>
      <c r="D2666" s="70"/>
      <c r="E2666" s="70"/>
      <c r="F2666" s="70"/>
      <c r="G2666" s="70"/>
      <c r="H2666" s="85"/>
      <c r="I2666" s="85"/>
      <c r="J2666" s="131"/>
      <c r="K2666" s="60"/>
      <c r="L2666" s="33"/>
      <c r="M2666" s="35"/>
      <c r="P2666" s="3"/>
      <c r="Q2666" s="3"/>
      <c r="R2666" s="3"/>
      <c r="S2666" s="3"/>
      <c r="T2666" s="3"/>
      <c r="U2666" s="3"/>
      <c r="V2666" s="3"/>
      <c r="W2666" s="3"/>
      <c r="X2666" s="3"/>
      <c r="Y2666" s="4"/>
      <c r="Z2666"/>
      <c r="AA2666"/>
    </row>
    <row r="2667" spans="1:27" s="37" customFormat="1" x14ac:dyDescent="0.15">
      <c r="A2667" s="166"/>
      <c r="B2667" s="82"/>
      <c r="C2667" s="70"/>
      <c r="D2667" s="70"/>
      <c r="E2667" s="70"/>
      <c r="F2667" s="70"/>
      <c r="G2667" s="70"/>
      <c r="H2667" s="85"/>
      <c r="I2667" s="85"/>
      <c r="J2667" s="131"/>
      <c r="K2667" s="60"/>
      <c r="L2667" s="33"/>
      <c r="P2667" s="3"/>
      <c r="Q2667" s="3"/>
      <c r="R2667" s="3"/>
      <c r="S2667" s="3"/>
      <c r="T2667" s="3"/>
      <c r="U2667" s="3"/>
      <c r="V2667" s="3"/>
      <c r="W2667" s="3"/>
      <c r="X2667" s="3"/>
      <c r="Y2667" s="4"/>
      <c r="Z2667"/>
      <c r="AA2667"/>
    </row>
    <row r="2668" spans="1:27" s="37" customFormat="1" x14ac:dyDescent="0.15">
      <c r="A2668" s="166"/>
      <c r="B2668" s="82"/>
      <c r="C2668" s="70"/>
      <c r="D2668" s="70"/>
      <c r="E2668" s="70"/>
      <c r="F2668" s="70"/>
      <c r="G2668" s="70"/>
      <c r="H2668" s="85"/>
      <c r="I2668" s="85"/>
      <c r="J2668" s="131"/>
      <c r="K2668" s="60"/>
      <c r="L2668" s="33"/>
      <c r="P2668" s="3"/>
      <c r="Q2668" s="3"/>
      <c r="R2668" s="3"/>
      <c r="S2668" s="3"/>
      <c r="T2668" s="3"/>
      <c r="U2668" s="3"/>
      <c r="V2668" s="3"/>
      <c r="W2668" s="3"/>
      <c r="X2668" s="3"/>
      <c r="Y2668" s="4"/>
      <c r="Z2668"/>
      <c r="AA2668"/>
    </row>
    <row r="2669" spans="1:27" s="37" customFormat="1" x14ac:dyDescent="0.15">
      <c r="A2669" s="166"/>
      <c r="B2669" s="82"/>
      <c r="C2669" s="70"/>
      <c r="D2669" s="70"/>
      <c r="E2669" s="70"/>
      <c r="F2669" s="70"/>
      <c r="G2669" s="70"/>
      <c r="H2669" s="85"/>
      <c r="I2669" s="85"/>
      <c r="J2669" s="131"/>
      <c r="K2669" s="60"/>
      <c r="L2669" s="33"/>
      <c r="P2669" s="3"/>
      <c r="Q2669" s="3"/>
      <c r="R2669" s="3"/>
      <c r="S2669" s="3"/>
      <c r="T2669" s="3"/>
      <c r="U2669" s="3"/>
      <c r="V2669" s="3"/>
      <c r="W2669" s="3"/>
      <c r="X2669" s="3"/>
      <c r="Y2669" s="4"/>
      <c r="Z2669"/>
      <c r="AA2669"/>
    </row>
    <row r="2670" spans="1:27" s="37" customFormat="1" x14ac:dyDescent="0.15">
      <c r="A2670" s="166"/>
      <c r="B2670" s="82"/>
      <c r="C2670" s="70"/>
      <c r="D2670" s="70"/>
      <c r="E2670" s="70"/>
      <c r="F2670" s="70"/>
      <c r="G2670" s="70"/>
      <c r="H2670" s="85"/>
      <c r="I2670" s="85"/>
      <c r="J2670" s="131"/>
      <c r="K2670" s="60"/>
      <c r="L2670" s="33"/>
      <c r="P2670" s="3"/>
      <c r="Q2670" s="3"/>
      <c r="R2670" s="3"/>
      <c r="S2670" s="3"/>
      <c r="T2670" s="3"/>
      <c r="U2670" s="3"/>
      <c r="V2670" s="3"/>
      <c r="W2670" s="3"/>
      <c r="X2670" s="3"/>
      <c r="Y2670" s="4"/>
      <c r="Z2670"/>
      <c r="AA2670"/>
    </row>
    <row r="2671" spans="1:27" s="37" customFormat="1" x14ac:dyDescent="0.15">
      <c r="A2671" s="166"/>
      <c r="B2671" s="93"/>
      <c r="C2671" s="70"/>
      <c r="D2671" s="70"/>
      <c r="E2671" s="70"/>
      <c r="F2671" s="70"/>
      <c r="G2671" s="70"/>
      <c r="H2671" s="85"/>
      <c r="I2671" s="85"/>
      <c r="J2671" s="131"/>
      <c r="K2671" s="60"/>
      <c r="L2671" s="33"/>
      <c r="P2671" s="3"/>
      <c r="Q2671" s="3"/>
      <c r="R2671" s="3"/>
      <c r="S2671" s="3"/>
      <c r="T2671" s="3"/>
      <c r="U2671" s="3"/>
      <c r="V2671" s="3"/>
      <c r="W2671" s="3"/>
      <c r="X2671" s="3"/>
      <c r="Y2671" s="4"/>
      <c r="Z2671"/>
      <c r="AA2671"/>
    </row>
    <row r="2672" spans="1:27" s="37" customFormat="1" ht="16" x14ac:dyDescent="0.2">
      <c r="A2672" s="166"/>
      <c r="B2672" s="82"/>
      <c r="C2672" s="70"/>
      <c r="D2672" s="70"/>
      <c r="E2672" s="70"/>
      <c r="F2672" s="70"/>
      <c r="G2672" s="70"/>
      <c r="H2672" s="85"/>
      <c r="I2672" s="85"/>
      <c r="J2672" s="131"/>
      <c r="K2672" s="60"/>
      <c r="L2672" s="47"/>
      <c r="P2672" s="3"/>
      <c r="Q2672" s="3"/>
      <c r="R2672" s="3"/>
      <c r="S2672" s="3"/>
      <c r="T2672" s="3"/>
      <c r="U2672" s="3"/>
      <c r="V2672" s="3"/>
      <c r="W2672" s="3"/>
      <c r="X2672" s="3"/>
      <c r="Y2672" s="4"/>
      <c r="Z2672"/>
      <c r="AA2672"/>
    </row>
    <row r="2673" spans="1:27" s="37" customFormat="1" x14ac:dyDescent="0.15">
      <c r="A2673" s="166"/>
      <c r="B2673" s="82"/>
      <c r="C2673" s="70"/>
      <c r="D2673" s="70"/>
      <c r="E2673" s="70"/>
      <c r="F2673" s="70"/>
      <c r="G2673" s="70"/>
      <c r="H2673" s="85"/>
      <c r="I2673" s="85"/>
      <c r="J2673" s="131"/>
      <c r="K2673" s="60"/>
      <c r="L2673" s="33"/>
      <c r="P2673" s="3"/>
      <c r="Q2673" s="3"/>
      <c r="R2673" s="3"/>
      <c r="S2673" s="3"/>
      <c r="T2673" s="3"/>
      <c r="U2673" s="3"/>
      <c r="V2673" s="3"/>
      <c r="W2673" s="3"/>
      <c r="X2673" s="3"/>
      <c r="Y2673" s="4"/>
      <c r="Z2673"/>
      <c r="AA2673"/>
    </row>
    <row r="2674" spans="1:27" s="37" customFormat="1" x14ac:dyDescent="0.15">
      <c r="A2674" s="166"/>
      <c r="B2674" s="93"/>
      <c r="C2674" s="70"/>
      <c r="D2674" s="70"/>
      <c r="E2674" s="70"/>
      <c r="F2674" s="70"/>
      <c r="G2674" s="70"/>
      <c r="H2674" s="85"/>
      <c r="I2674" s="85"/>
      <c r="J2674" s="131"/>
      <c r="K2674" s="60"/>
      <c r="L2674" s="33"/>
      <c r="P2674" s="3"/>
      <c r="Q2674" s="3"/>
      <c r="R2674" s="3"/>
      <c r="S2674" s="3"/>
      <c r="T2674" s="3"/>
      <c r="U2674" s="3"/>
      <c r="V2674" s="3"/>
      <c r="W2674" s="3"/>
      <c r="X2674" s="3"/>
      <c r="Y2674" s="4"/>
      <c r="Z2674"/>
      <c r="AA2674"/>
    </row>
    <row r="2675" spans="1:27" s="37" customFormat="1" x14ac:dyDescent="0.15">
      <c r="A2675" s="166"/>
      <c r="B2675" s="82"/>
      <c r="C2675" s="70"/>
      <c r="D2675" s="70"/>
      <c r="E2675" s="70"/>
      <c r="F2675" s="70"/>
      <c r="G2675" s="70"/>
      <c r="H2675" s="85"/>
      <c r="I2675" s="85"/>
      <c r="J2675" s="131"/>
      <c r="K2675" s="60"/>
      <c r="L2675" s="33"/>
      <c r="P2675" s="3"/>
      <c r="Q2675" s="3"/>
      <c r="R2675" s="3"/>
      <c r="S2675" s="3"/>
      <c r="T2675" s="3"/>
      <c r="U2675" s="3"/>
      <c r="V2675" s="3"/>
      <c r="W2675" s="3"/>
      <c r="X2675" s="3"/>
      <c r="Y2675" s="4"/>
      <c r="Z2675"/>
      <c r="AA2675"/>
    </row>
    <row r="2676" spans="1:27" s="37" customFormat="1" ht="16" x14ac:dyDescent="0.2">
      <c r="A2676" s="166"/>
      <c r="B2676" s="82"/>
      <c r="C2676" s="70"/>
      <c r="D2676" s="70"/>
      <c r="E2676" s="70"/>
      <c r="F2676" s="70"/>
      <c r="G2676" s="70"/>
      <c r="H2676" s="85"/>
      <c r="I2676" s="85"/>
      <c r="J2676" s="131"/>
      <c r="K2676" s="60"/>
      <c r="L2676" s="47"/>
      <c r="P2676" s="3"/>
      <c r="Q2676" s="3"/>
      <c r="R2676" s="3"/>
      <c r="S2676" s="3"/>
      <c r="T2676" s="3"/>
      <c r="U2676" s="3"/>
      <c r="V2676" s="3"/>
      <c r="W2676" s="3"/>
      <c r="X2676" s="3"/>
      <c r="Y2676" s="4"/>
      <c r="Z2676"/>
      <c r="AA2676"/>
    </row>
    <row r="2677" spans="1:27" s="37" customFormat="1" x14ac:dyDescent="0.15">
      <c r="A2677" s="166"/>
      <c r="B2677" s="82"/>
      <c r="C2677" s="70"/>
      <c r="D2677" s="70"/>
      <c r="E2677" s="70"/>
      <c r="F2677" s="70"/>
      <c r="G2677" s="70"/>
      <c r="H2677" s="85"/>
      <c r="I2677" s="85"/>
      <c r="J2677" s="131"/>
      <c r="K2677" s="60"/>
      <c r="L2677" s="33"/>
      <c r="P2677" s="3"/>
      <c r="Q2677" s="3"/>
      <c r="R2677" s="3"/>
      <c r="S2677" s="3"/>
      <c r="T2677" s="3"/>
      <c r="U2677" s="3"/>
      <c r="V2677" s="3"/>
      <c r="W2677" s="3"/>
      <c r="X2677" s="3"/>
      <c r="Y2677" s="4"/>
      <c r="Z2677"/>
      <c r="AA2677"/>
    </row>
    <row r="2678" spans="1:27" s="37" customFormat="1" ht="16" x14ac:dyDescent="0.2">
      <c r="A2678" s="166"/>
      <c r="B2678" s="82"/>
      <c r="C2678" s="70"/>
      <c r="D2678" s="70"/>
      <c r="E2678" s="70"/>
      <c r="F2678" s="70"/>
      <c r="G2678" s="70"/>
      <c r="H2678" s="85"/>
      <c r="I2678" s="85"/>
      <c r="J2678" s="131"/>
      <c r="K2678" s="60"/>
      <c r="L2678" s="47"/>
      <c r="N2678" s="49"/>
      <c r="P2678" s="3"/>
      <c r="Q2678" s="3"/>
      <c r="R2678" s="3"/>
      <c r="S2678" s="3"/>
      <c r="T2678" s="3"/>
      <c r="U2678" s="3"/>
      <c r="V2678" s="3"/>
      <c r="W2678" s="3"/>
      <c r="X2678" s="3"/>
      <c r="Y2678" s="4"/>
      <c r="Z2678"/>
      <c r="AA2678"/>
    </row>
    <row r="2679" spans="1:27" s="37" customFormat="1" ht="16" x14ac:dyDescent="0.2">
      <c r="A2679" s="166"/>
      <c r="B2679" s="82"/>
      <c r="C2679" s="70"/>
      <c r="D2679" s="70"/>
      <c r="E2679" s="70"/>
      <c r="F2679" s="70"/>
      <c r="G2679" s="70"/>
      <c r="H2679" s="85"/>
      <c r="I2679" s="85"/>
      <c r="J2679" s="141"/>
      <c r="K2679" s="60"/>
      <c r="L2679" s="47"/>
      <c r="N2679" s="49"/>
      <c r="P2679" s="3"/>
      <c r="Q2679" s="3"/>
      <c r="R2679" s="3"/>
      <c r="S2679" s="3"/>
      <c r="T2679" s="3"/>
      <c r="U2679" s="3"/>
      <c r="V2679" s="3"/>
      <c r="W2679" s="3"/>
      <c r="X2679" s="3"/>
      <c r="Y2679" s="4"/>
      <c r="Z2679"/>
      <c r="AA2679"/>
    </row>
    <row r="2680" spans="1:27" s="37" customFormat="1" x14ac:dyDescent="0.15">
      <c r="A2680" s="166"/>
      <c r="B2680" s="82"/>
      <c r="C2680" s="70"/>
      <c r="D2680" s="70"/>
      <c r="E2680" s="70"/>
      <c r="F2680" s="70"/>
      <c r="G2680" s="70"/>
      <c r="H2680" s="85"/>
      <c r="I2680" s="85"/>
      <c r="J2680" s="131"/>
      <c r="K2680" s="60"/>
      <c r="L2680" s="33"/>
      <c r="P2680" s="3"/>
      <c r="Q2680" s="3"/>
      <c r="R2680" s="3"/>
      <c r="S2680" s="3"/>
      <c r="T2680" s="3"/>
      <c r="U2680" s="3"/>
      <c r="V2680" s="3"/>
      <c r="W2680" s="3"/>
      <c r="X2680" s="3"/>
      <c r="Y2680" s="4"/>
      <c r="Z2680"/>
      <c r="AA2680"/>
    </row>
    <row r="2681" spans="1:27" s="37" customFormat="1" x14ac:dyDescent="0.15">
      <c r="A2681" s="170"/>
      <c r="B2681" s="82"/>
      <c r="C2681" s="81"/>
      <c r="D2681" s="81"/>
      <c r="E2681" s="81"/>
      <c r="F2681" s="81"/>
      <c r="G2681" s="81"/>
      <c r="H2681" s="85"/>
      <c r="I2681" s="111"/>
      <c r="J2681" s="147"/>
      <c r="K2681" s="72"/>
      <c r="L2681" s="31"/>
      <c r="P2681" s="3"/>
      <c r="Q2681" s="3"/>
      <c r="R2681" s="3"/>
      <c r="S2681" s="3"/>
      <c r="T2681" s="3"/>
      <c r="U2681" s="3"/>
      <c r="V2681" s="3"/>
      <c r="W2681" s="3"/>
      <c r="X2681" s="3"/>
      <c r="Y2681" s="4"/>
      <c r="Z2681"/>
      <c r="AA2681"/>
    </row>
    <row r="2682" spans="1:27" s="37" customFormat="1" ht="16" x14ac:dyDescent="0.2">
      <c r="A2682" s="166"/>
      <c r="B2682" s="93"/>
      <c r="C2682" s="70"/>
      <c r="D2682" s="70"/>
      <c r="E2682" s="70"/>
      <c r="F2682" s="70"/>
      <c r="G2682" s="70"/>
      <c r="H2682" s="85"/>
      <c r="I2682" s="85"/>
      <c r="J2682" s="131"/>
      <c r="K2682" s="60"/>
      <c r="L2682" s="47"/>
      <c r="M2682" s="48"/>
      <c r="P2682" s="3"/>
      <c r="Q2682" s="3"/>
      <c r="R2682" s="3"/>
      <c r="S2682" s="3"/>
      <c r="T2682" s="3"/>
      <c r="U2682" s="3"/>
      <c r="V2682" s="3"/>
      <c r="W2682" s="3"/>
      <c r="X2682" s="3"/>
      <c r="Y2682" s="4"/>
      <c r="Z2682"/>
      <c r="AA2682"/>
    </row>
    <row r="2683" spans="1:27" s="37" customFormat="1" x14ac:dyDescent="0.15">
      <c r="A2683" s="166"/>
      <c r="B2683" s="82"/>
      <c r="C2683" s="70"/>
      <c r="D2683" s="70"/>
      <c r="E2683" s="70"/>
      <c r="F2683" s="70"/>
      <c r="G2683" s="70"/>
      <c r="H2683" s="85"/>
      <c r="I2683" s="85"/>
      <c r="J2683" s="131"/>
      <c r="K2683" s="60"/>
      <c r="L2683" s="33"/>
      <c r="P2683" s="3"/>
      <c r="Q2683" s="3"/>
      <c r="R2683" s="3"/>
      <c r="S2683" s="3"/>
      <c r="T2683" s="3"/>
      <c r="U2683" s="3"/>
      <c r="V2683" s="3"/>
      <c r="W2683" s="3"/>
      <c r="X2683" s="3"/>
      <c r="Y2683" s="4"/>
      <c r="Z2683"/>
      <c r="AA2683"/>
    </row>
    <row r="2684" spans="1:27" s="37" customFormat="1" x14ac:dyDescent="0.15">
      <c r="A2684" s="166"/>
      <c r="B2684" s="93"/>
      <c r="C2684" s="70"/>
      <c r="D2684" s="70"/>
      <c r="E2684" s="70"/>
      <c r="F2684" s="70"/>
      <c r="G2684" s="70"/>
      <c r="H2684" s="85"/>
      <c r="I2684" s="85"/>
      <c r="J2684" s="131"/>
      <c r="K2684" s="60"/>
      <c r="L2684" s="33"/>
      <c r="P2684" s="3"/>
      <c r="Q2684" s="3"/>
      <c r="R2684" s="3"/>
      <c r="S2684" s="3"/>
      <c r="T2684" s="3"/>
      <c r="U2684" s="3"/>
      <c r="V2684" s="3"/>
      <c r="W2684" s="3"/>
      <c r="X2684" s="3"/>
      <c r="Y2684" s="4"/>
      <c r="Z2684"/>
      <c r="AA2684"/>
    </row>
    <row r="2685" spans="1:27" s="37" customFormat="1" x14ac:dyDescent="0.15">
      <c r="A2685" s="166"/>
      <c r="B2685" s="82"/>
      <c r="C2685" s="70"/>
      <c r="D2685" s="70"/>
      <c r="E2685" s="70"/>
      <c r="F2685" s="70"/>
      <c r="G2685" s="70"/>
      <c r="H2685" s="85"/>
      <c r="I2685" s="85"/>
      <c r="J2685" s="131"/>
      <c r="K2685" s="60"/>
      <c r="L2685" s="49"/>
      <c r="P2685" s="3"/>
      <c r="Q2685" s="3"/>
      <c r="R2685" s="3"/>
      <c r="S2685" s="3"/>
      <c r="T2685" s="3"/>
      <c r="U2685" s="3"/>
      <c r="V2685" s="3"/>
      <c r="W2685" s="3"/>
      <c r="X2685" s="3"/>
      <c r="Y2685" s="4"/>
      <c r="Z2685"/>
      <c r="AA2685"/>
    </row>
    <row r="2686" spans="1:27" s="37" customFormat="1" x14ac:dyDescent="0.15">
      <c r="A2686" s="166"/>
      <c r="B2686" s="82"/>
      <c r="C2686" s="70"/>
      <c r="D2686" s="70"/>
      <c r="E2686" s="70"/>
      <c r="F2686" s="70"/>
      <c r="G2686" s="70"/>
      <c r="H2686" s="85"/>
      <c r="I2686" s="85"/>
      <c r="J2686" s="131"/>
      <c r="K2686" s="60"/>
      <c r="L2686" s="33"/>
      <c r="P2686" s="3"/>
      <c r="Q2686" s="3"/>
      <c r="R2686" s="3"/>
      <c r="S2686" s="3"/>
      <c r="T2686" s="3"/>
      <c r="U2686" s="3"/>
      <c r="V2686" s="3"/>
      <c r="W2686" s="3"/>
      <c r="X2686" s="3"/>
      <c r="Y2686" s="4"/>
      <c r="Z2686"/>
      <c r="AA2686"/>
    </row>
    <row r="2687" spans="1:27" s="3" customFormat="1" x14ac:dyDescent="0.15">
      <c r="A2687" s="166"/>
      <c r="B2687" s="93"/>
      <c r="C2687" s="70"/>
      <c r="D2687" s="70"/>
      <c r="E2687" s="70"/>
      <c r="F2687" s="70"/>
      <c r="G2687" s="70"/>
      <c r="H2687" s="85"/>
      <c r="I2687" s="85"/>
      <c r="J2687" s="141"/>
      <c r="K2687" s="60"/>
      <c r="L2687" s="33"/>
      <c r="M2687" s="37"/>
      <c r="N2687" s="37"/>
      <c r="O2687" s="33"/>
      <c r="Y2687" s="4"/>
      <c r="Z2687"/>
      <c r="AA2687"/>
    </row>
    <row r="2688" spans="1:27" s="3" customFormat="1" x14ac:dyDescent="0.15">
      <c r="A2688" s="166"/>
      <c r="B2688" s="82"/>
      <c r="C2688" s="70"/>
      <c r="D2688" s="70"/>
      <c r="E2688" s="70"/>
      <c r="F2688" s="70"/>
      <c r="G2688" s="70"/>
      <c r="H2688" s="85"/>
      <c r="I2688" s="85"/>
      <c r="J2688" s="131"/>
      <c r="K2688" s="60"/>
      <c r="L2688" s="49"/>
      <c r="M2688" s="37"/>
      <c r="N2688" s="37"/>
      <c r="O2688" s="37"/>
      <c r="Y2688" s="4"/>
      <c r="Z2688"/>
      <c r="AA2688"/>
    </row>
    <row r="2689" spans="1:27" s="3" customFormat="1" ht="16" x14ac:dyDescent="0.2">
      <c r="A2689" s="166"/>
      <c r="B2689" s="82"/>
      <c r="C2689" s="70"/>
      <c r="D2689" s="70"/>
      <c r="E2689" s="70"/>
      <c r="F2689" s="70"/>
      <c r="G2689" s="70"/>
      <c r="H2689" s="85"/>
      <c r="I2689" s="85"/>
      <c r="J2689" s="131"/>
      <c r="K2689" s="60"/>
      <c r="L2689" s="47"/>
      <c r="M2689" s="37"/>
      <c r="N2689" s="37"/>
      <c r="O2689" s="37"/>
      <c r="Y2689" s="4"/>
      <c r="Z2689"/>
      <c r="AA2689"/>
    </row>
    <row r="2690" spans="1:27" s="3" customFormat="1" x14ac:dyDescent="0.15">
      <c r="A2690" s="166"/>
      <c r="B2690" s="82"/>
      <c r="C2690" s="70"/>
      <c r="D2690" s="70"/>
      <c r="E2690" s="70"/>
      <c r="F2690" s="70"/>
      <c r="G2690" s="70"/>
      <c r="H2690" s="85"/>
      <c r="I2690" s="85"/>
      <c r="J2690" s="131"/>
      <c r="K2690" s="60"/>
      <c r="L2690" s="33"/>
      <c r="M2690" s="37"/>
      <c r="N2690" s="37"/>
      <c r="O2690" s="37"/>
      <c r="Y2690" s="4"/>
      <c r="Z2690"/>
      <c r="AA2690"/>
    </row>
    <row r="2691" spans="1:27" s="3" customFormat="1" ht="16" x14ac:dyDescent="0.2">
      <c r="A2691" s="166"/>
      <c r="B2691" s="82"/>
      <c r="C2691" s="70"/>
      <c r="D2691" s="70"/>
      <c r="E2691" s="70"/>
      <c r="F2691" s="70"/>
      <c r="G2691" s="70"/>
      <c r="H2691" s="85"/>
      <c r="I2691" s="85"/>
      <c r="J2691" s="131"/>
      <c r="K2691" s="60"/>
      <c r="L2691" s="47"/>
      <c r="M2691" s="37"/>
      <c r="N2691" s="37"/>
      <c r="O2691" s="37"/>
      <c r="Y2691" s="4"/>
      <c r="Z2691"/>
      <c r="AA2691"/>
    </row>
    <row r="2692" spans="1:27" s="3" customFormat="1" x14ac:dyDescent="0.15">
      <c r="A2692" s="166"/>
      <c r="B2692" s="93"/>
      <c r="C2692" s="70"/>
      <c r="D2692" s="70"/>
      <c r="E2692" s="70"/>
      <c r="F2692" s="70"/>
      <c r="G2692" s="70"/>
      <c r="H2692" s="85"/>
      <c r="I2692" s="85"/>
      <c r="J2692" s="131"/>
      <c r="K2692" s="60"/>
      <c r="L2692" s="33"/>
      <c r="M2692" s="37"/>
      <c r="N2692" s="37"/>
      <c r="O2692" s="37"/>
      <c r="Y2692" s="4"/>
      <c r="Z2692"/>
      <c r="AA2692"/>
    </row>
    <row r="2693" spans="1:27" s="3" customFormat="1" x14ac:dyDescent="0.15">
      <c r="A2693" s="166"/>
      <c r="B2693" s="93"/>
      <c r="C2693" s="70"/>
      <c r="D2693" s="70"/>
      <c r="E2693" s="70"/>
      <c r="F2693" s="70"/>
      <c r="G2693" s="70"/>
      <c r="H2693" s="85"/>
      <c r="I2693" s="85"/>
      <c r="J2693" s="131"/>
      <c r="K2693" s="60"/>
      <c r="L2693" s="33"/>
      <c r="M2693" s="37"/>
      <c r="N2693" s="37"/>
      <c r="O2693" s="37"/>
      <c r="Y2693" s="4"/>
      <c r="Z2693"/>
      <c r="AA2693"/>
    </row>
    <row r="2694" spans="1:27" s="3" customFormat="1" x14ac:dyDescent="0.15">
      <c r="A2694" s="166"/>
      <c r="B2694" s="82"/>
      <c r="C2694" s="70"/>
      <c r="D2694" s="70"/>
      <c r="E2694" s="70"/>
      <c r="F2694" s="70"/>
      <c r="G2694" s="70"/>
      <c r="H2694" s="85"/>
      <c r="I2694" s="85"/>
      <c r="J2694" s="131"/>
      <c r="K2694" s="60"/>
      <c r="L2694" s="49"/>
      <c r="M2694" s="37"/>
      <c r="N2694" s="37"/>
      <c r="O2694" s="33"/>
      <c r="Y2694" s="4"/>
      <c r="Z2694"/>
      <c r="AA2694"/>
    </row>
    <row r="2695" spans="1:27" s="3" customFormat="1" ht="16" x14ac:dyDescent="0.2">
      <c r="A2695" s="166"/>
      <c r="B2695" s="82"/>
      <c r="C2695" s="70"/>
      <c r="D2695" s="70"/>
      <c r="E2695" s="70"/>
      <c r="F2695" s="70"/>
      <c r="G2695" s="70"/>
      <c r="H2695" s="85"/>
      <c r="I2695" s="85"/>
      <c r="J2695" s="131"/>
      <c r="K2695" s="60"/>
      <c r="L2695" s="47"/>
      <c r="M2695" s="37"/>
      <c r="N2695" s="37"/>
      <c r="O2695" s="37"/>
      <c r="Y2695" s="4"/>
      <c r="Z2695"/>
      <c r="AA2695"/>
    </row>
    <row r="2696" spans="1:27" s="3" customFormat="1" x14ac:dyDescent="0.15">
      <c r="A2696" s="170"/>
      <c r="B2696" s="82"/>
      <c r="C2696" s="70"/>
      <c r="D2696" s="70"/>
      <c r="E2696" s="70"/>
      <c r="F2696" s="70"/>
      <c r="G2696" s="70"/>
      <c r="H2696" s="85"/>
      <c r="I2696" s="85"/>
      <c r="J2696" s="131"/>
      <c r="K2696" s="60"/>
      <c r="L2696" s="33"/>
      <c r="M2696" s="37"/>
      <c r="N2696" s="37"/>
      <c r="O2696" s="37"/>
      <c r="Y2696" s="4"/>
      <c r="Z2696"/>
      <c r="AA2696"/>
    </row>
    <row r="2697" spans="1:27" s="3" customFormat="1" x14ac:dyDescent="0.15">
      <c r="A2697" s="166"/>
      <c r="B2697" s="93"/>
      <c r="C2697" s="70"/>
      <c r="D2697" s="70"/>
      <c r="E2697" s="70"/>
      <c r="F2697" s="70"/>
      <c r="G2697" s="70"/>
      <c r="H2697" s="85"/>
      <c r="I2697" s="85"/>
      <c r="J2697" s="131"/>
      <c r="K2697" s="60"/>
      <c r="L2697" s="33"/>
      <c r="M2697" s="37"/>
      <c r="N2697" s="37"/>
      <c r="O2697" s="37"/>
      <c r="Y2697" s="4"/>
      <c r="Z2697"/>
      <c r="AA2697"/>
    </row>
    <row r="2698" spans="1:27" s="3" customFormat="1" x14ac:dyDescent="0.15">
      <c r="A2698" s="166"/>
      <c r="B2698" s="93"/>
      <c r="C2698" s="70"/>
      <c r="D2698" s="70"/>
      <c r="E2698" s="70"/>
      <c r="F2698" s="70"/>
      <c r="G2698" s="70"/>
      <c r="H2698" s="85"/>
      <c r="I2698" s="85"/>
      <c r="J2698" s="131"/>
      <c r="K2698" s="60"/>
      <c r="L2698" s="33"/>
      <c r="M2698" s="37"/>
      <c r="N2698" s="37"/>
      <c r="O2698" s="37"/>
      <c r="Y2698" s="4"/>
      <c r="Z2698"/>
      <c r="AA2698"/>
    </row>
    <row r="2699" spans="1:27" s="3" customFormat="1" x14ac:dyDescent="0.15">
      <c r="A2699" s="166"/>
      <c r="B2699" s="93"/>
      <c r="C2699" s="70"/>
      <c r="D2699" s="70"/>
      <c r="E2699" s="70"/>
      <c r="F2699" s="70"/>
      <c r="G2699" s="70"/>
      <c r="H2699" s="85"/>
      <c r="I2699" s="85"/>
      <c r="J2699" s="131"/>
      <c r="K2699" s="60"/>
      <c r="L2699" s="33"/>
      <c r="M2699" s="37"/>
      <c r="N2699" s="37"/>
      <c r="O2699" s="37"/>
      <c r="Y2699" s="4"/>
      <c r="Z2699"/>
      <c r="AA2699"/>
    </row>
    <row r="2700" spans="1:27" s="3" customFormat="1" x14ac:dyDescent="0.15">
      <c r="A2700" s="166"/>
      <c r="B2700" s="93"/>
      <c r="C2700" s="70"/>
      <c r="D2700" s="70"/>
      <c r="E2700" s="70"/>
      <c r="F2700" s="70"/>
      <c r="G2700" s="70"/>
      <c r="H2700" s="85"/>
      <c r="I2700" s="85"/>
      <c r="J2700" s="131"/>
      <c r="K2700" s="60"/>
      <c r="L2700" s="33"/>
      <c r="M2700" s="37"/>
      <c r="N2700" s="37"/>
      <c r="O2700" s="37"/>
      <c r="Y2700" s="4"/>
      <c r="Z2700"/>
      <c r="AA2700"/>
    </row>
    <row r="2701" spans="1:27" s="3" customFormat="1" x14ac:dyDescent="0.15">
      <c r="A2701" s="166"/>
      <c r="B2701" s="93"/>
      <c r="C2701" s="70"/>
      <c r="D2701" s="70"/>
      <c r="E2701" s="70"/>
      <c r="F2701" s="70"/>
      <c r="G2701" s="70"/>
      <c r="H2701" s="85"/>
      <c r="I2701" s="85"/>
      <c r="J2701" s="131"/>
      <c r="K2701" s="60"/>
      <c r="L2701" s="33"/>
      <c r="M2701" s="37"/>
      <c r="N2701" s="37"/>
      <c r="O2701" s="37"/>
      <c r="Y2701" s="4"/>
      <c r="Z2701"/>
      <c r="AA2701"/>
    </row>
    <row r="2702" spans="1:27" s="3" customFormat="1" x14ac:dyDescent="0.15">
      <c r="A2702" s="166"/>
      <c r="B2702" s="93"/>
      <c r="C2702" s="70"/>
      <c r="D2702" s="70"/>
      <c r="E2702" s="70"/>
      <c r="F2702" s="70"/>
      <c r="G2702" s="70"/>
      <c r="H2702" s="85"/>
      <c r="I2702" s="85"/>
      <c r="J2702" s="131"/>
      <c r="K2702" s="60"/>
      <c r="L2702" s="33"/>
      <c r="M2702" s="37"/>
      <c r="N2702" s="37"/>
      <c r="O2702" s="37"/>
      <c r="Y2702" s="4"/>
      <c r="Z2702"/>
      <c r="AA2702"/>
    </row>
    <row r="2703" spans="1:27" s="37" customFormat="1" x14ac:dyDescent="0.15">
      <c r="A2703" s="166"/>
      <c r="B2703" s="93"/>
      <c r="C2703" s="70"/>
      <c r="D2703" s="70"/>
      <c r="E2703" s="70"/>
      <c r="F2703" s="70"/>
      <c r="G2703" s="70"/>
      <c r="H2703" s="85"/>
      <c r="I2703" s="85"/>
      <c r="J2703" s="131"/>
      <c r="K2703" s="60"/>
      <c r="L2703" s="33"/>
      <c r="P2703" s="3"/>
      <c r="Q2703" s="3"/>
      <c r="R2703" s="3"/>
      <c r="S2703" s="3"/>
      <c r="T2703" s="3"/>
      <c r="U2703" s="3"/>
      <c r="V2703" s="3"/>
      <c r="W2703" s="3"/>
      <c r="X2703" s="3"/>
      <c r="Y2703" s="4"/>
      <c r="Z2703"/>
      <c r="AA2703"/>
    </row>
    <row r="2704" spans="1:27" s="37" customFormat="1" x14ac:dyDescent="0.15">
      <c r="A2704" s="166"/>
      <c r="B2704" s="93"/>
      <c r="C2704" s="70"/>
      <c r="D2704" s="70"/>
      <c r="E2704" s="70"/>
      <c r="F2704" s="70"/>
      <c r="G2704" s="70"/>
      <c r="H2704" s="85"/>
      <c r="I2704" s="85"/>
      <c r="J2704" s="131"/>
      <c r="K2704" s="60"/>
      <c r="L2704" s="33"/>
      <c r="P2704" s="3"/>
      <c r="Q2704" s="3"/>
      <c r="R2704" s="3"/>
      <c r="S2704" s="3"/>
      <c r="T2704" s="3"/>
      <c r="U2704" s="3"/>
      <c r="V2704" s="3"/>
      <c r="W2704" s="3"/>
      <c r="X2704" s="3"/>
      <c r="Y2704" s="4"/>
      <c r="Z2704"/>
      <c r="AA2704"/>
    </row>
    <row r="2705" spans="1:27" s="37" customFormat="1" x14ac:dyDescent="0.15">
      <c r="A2705" s="166"/>
      <c r="B2705" s="93"/>
      <c r="C2705" s="70"/>
      <c r="D2705" s="70"/>
      <c r="E2705" s="70"/>
      <c r="F2705" s="70"/>
      <c r="G2705" s="61"/>
      <c r="H2705" s="85"/>
      <c r="I2705" s="85"/>
      <c r="J2705" s="131"/>
      <c r="K2705" s="60"/>
      <c r="L2705" s="33"/>
      <c r="P2705" s="3"/>
      <c r="Q2705" s="3"/>
      <c r="R2705" s="3"/>
      <c r="S2705" s="3"/>
      <c r="T2705" s="3"/>
      <c r="U2705" s="3"/>
      <c r="V2705" s="3"/>
      <c r="W2705" s="3"/>
      <c r="X2705" s="3"/>
      <c r="Y2705" s="4"/>
      <c r="Z2705"/>
      <c r="AA2705"/>
    </row>
    <row r="2706" spans="1:27" s="37" customFormat="1" x14ac:dyDescent="0.15">
      <c r="A2706" s="166"/>
      <c r="B2706" s="93"/>
      <c r="C2706" s="70"/>
      <c r="D2706" s="70"/>
      <c r="E2706" s="70"/>
      <c r="F2706" s="70"/>
      <c r="G2706" s="70"/>
      <c r="H2706" s="85"/>
      <c r="I2706" s="85"/>
      <c r="J2706" s="131"/>
      <c r="K2706" s="60"/>
      <c r="L2706" s="33"/>
      <c r="P2706" s="3"/>
      <c r="Q2706" s="3"/>
      <c r="R2706" s="3"/>
      <c r="S2706" s="3"/>
      <c r="T2706" s="3"/>
      <c r="U2706" s="3"/>
      <c r="V2706" s="3"/>
      <c r="W2706" s="3"/>
      <c r="X2706" s="3"/>
      <c r="Y2706" s="4"/>
      <c r="Z2706"/>
      <c r="AA2706"/>
    </row>
    <row r="2707" spans="1:27" s="37" customFormat="1" x14ac:dyDescent="0.15">
      <c r="A2707" s="166"/>
      <c r="B2707" s="93"/>
      <c r="C2707" s="70"/>
      <c r="D2707" s="70"/>
      <c r="E2707" s="70"/>
      <c r="F2707" s="70"/>
      <c r="G2707" s="70"/>
      <c r="H2707" s="85"/>
      <c r="I2707" s="85"/>
      <c r="J2707" s="131"/>
      <c r="K2707" s="60"/>
      <c r="L2707" s="33"/>
      <c r="P2707" s="3"/>
      <c r="Q2707" s="3"/>
      <c r="R2707" s="3"/>
      <c r="S2707" s="3"/>
      <c r="T2707" s="3"/>
      <c r="U2707" s="3"/>
      <c r="V2707" s="3"/>
      <c r="W2707" s="3"/>
      <c r="X2707" s="3"/>
      <c r="Y2707" s="4"/>
      <c r="Z2707"/>
      <c r="AA2707"/>
    </row>
    <row r="2708" spans="1:27" s="37" customFormat="1" x14ac:dyDescent="0.15">
      <c r="A2708" s="166"/>
      <c r="B2708" s="93"/>
      <c r="C2708" s="70"/>
      <c r="D2708" s="70"/>
      <c r="E2708" s="70"/>
      <c r="F2708" s="70"/>
      <c r="G2708" s="70"/>
      <c r="H2708" s="85"/>
      <c r="I2708" s="85"/>
      <c r="J2708" s="131"/>
      <c r="K2708" s="60"/>
      <c r="L2708" s="33"/>
      <c r="P2708" s="3"/>
      <c r="Q2708" s="3"/>
      <c r="R2708" s="3"/>
      <c r="S2708" s="3"/>
      <c r="T2708" s="3"/>
      <c r="U2708" s="3"/>
      <c r="V2708" s="3"/>
      <c r="W2708" s="3"/>
      <c r="X2708" s="3"/>
      <c r="Y2708" s="4"/>
      <c r="Z2708"/>
      <c r="AA2708"/>
    </row>
    <row r="2709" spans="1:27" s="37" customFormat="1" x14ac:dyDescent="0.15">
      <c r="A2709" s="166"/>
      <c r="B2709" s="82"/>
      <c r="C2709" s="70"/>
      <c r="D2709" s="70"/>
      <c r="E2709" s="70"/>
      <c r="F2709" s="70"/>
      <c r="G2709" s="70"/>
      <c r="H2709" s="85"/>
      <c r="I2709" s="85"/>
      <c r="J2709" s="131"/>
      <c r="K2709" s="60"/>
      <c r="L2709" s="49"/>
      <c r="P2709" s="3"/>
      <c r="Q2709" s="3"/>
      <c r="R2709" s="3"/>
      <c r="S2709" s="3"/>
      <c r="T2709" s="3"/>
      <c r="U2709" s="3"/>
      <c r="V2709" s="3"/>
      <c r="W2709" s="3"/>
      <c r="X2709" s="3"/>
      <c r="Y2709" s="4"/>
      <c r="Z2709"/>
      <c r="AA2709"/>
    </row>
    <row r="2710" spans="1:27" s="37" customFormat="1" x14ac:dyDescent="0.15">
      <c r="A2710" s="166"/>
      <c r="B2710" s="93"/>
      <c r="C2710" s="70"/>
      <c r="D2710" s="70"/>
      <c r="E2710" s="70"/>
      <c r="F2710" s="70"/>
      <c r="G2710" s="70"/>
      <c r="H2710" s="85"/>
      <c r="I2710" s="85"/>
      <c r="J2710" s="131"/>
      <c r="K2710" s="60"/>
      <c r="L2710" s="33"/>
      <c r="P2710" s="3"/>
      <c r="Q2710" s="3"/>
      <c r="R2710" s="3"/>
      <c r="S2710" s="3"/>
      <c r="T2710" s="3"/>
      <c r="U2710" s="3"/>
      <c r="V2710" s="3"/>
      <c r="W2710" s="3"/>
      <c r="X2710" s="3"/>
      <c r="Y2710" s="4"/>
      <c r="Z2710"/>
      <c r="AA2710"/>
    </row>
    <row r="2711" spans="1:27" s="37" customFormat="1" x14ac:dyDescent="0.15">
      <c r="A2711" s="166"/>
      <c r="B2711" s="82"/>
      <c r="C2711" s="70"/>
      <c r="D2711" s="70"/>
      <c r="E2711" s="70"/>
      <c r="F2711" s="70"/>
      <c r="G2711" s="70"/>
      <c r="H2711" s="85"/>
      <c r="I2711" s="85"/>
      <c r="J2711" s="131"/>
      <c r="K2711" s="60"/>
      <c r="L2711" s="33"/>
      <c r="P2711" s="3"/>
      <c r="Q2711" s="3"/>
      <c r="R2711" s="3"/>
      <c r="S2711" s="3"/>
      <c r="T2711" s="3"/>
      <c r="U2711" s="3"/>
      <c r="V2711" s="3"/>
      <c r="W2711" s="3"/>
      <c r="X2711" s="3"/>
      <c r="Y2711" s="4"/>
      <c r="Z2711"/>
      <c r="AA2711"/>
    </row>
    <row r="2712" spans="1:27" s="37" customFormat="1" x14ac:dyDescent="0.15">
      <c r="A2712" s="166"/>
      <c r="B2712" s="93"/>
      <c r="C2712" s="70"/>
      <c r="D2712" s="70"/>
      <c r="E2712" s="70"/>
      <c r="F2712" s="70"/>
      <c r="G2712" s="70"/>
      <c r="H2712" s="85"/>
      <c r="I2712" s="85"/>
      <c r="J2712" s="131"/>
      <c r="K2712" s="60"/>
      <c r="L2712" s="33"/>
      <c r="P2712" s="3"/>
      <c r="Q2712" s="3"/>
      <c r="R2712" s="3"/>
      <c r="S2712" s="3"/>
      <c r="T2712" s="3"/>
      <c r="U2712" s="3"/>
      <c r="V2712" s="3"/>
      <c r="W2712" s="3"/>
      <c r="X2712" s="3"/>
      <c r="Y2712" s="4"/>
      <c r="Z2712"/>
      <c r="AA2712"/>
    </row>
    <row r="2713" spans="1:27" s="37" customFormat="1" ht="16" x14ac:dyDescent="0.2">
      <c r="A2713" s="166"/>
      <c r="B2713" s="82"/>
      <c r="C2713" s="70"/>
      <c r="D2713" s="70"/>
      <c r="E2713" s="70"/>
      <c r="F2713" s="70"/>
      <c r="G2713" s="70"/>
      <c r="H2713" s="85"/>
      <c r="I2713" s="85"/>
      <c r="J2713" s="131"/>
      <c r="K2713" s="60"/>
      <c r="L2713" s="47"/>
      <c r="P2713" s="3"/>
      <c r="Q2713" s="3"/>
      <c r="R2713" s="3"/>
      <c r="S2713" s="3"/>
      <c r="T2713" s="3"/>
      <c r="U2713" s="3"/>
      <c r="V2713" s="3"/>
      <c r="W2713" s="3"/>
      <c r="X2713" s="3"/>
      <c r="Y2713" s="4"/>
      <c r="Z2713"/>
      <c r="AA2713"/>
    </row>
    <row r="2714" spans="1:27" s="37" customFormat="1" x14ac:dyDescent="0.15">
      <c r="A2714" s="166"/>
      <c r="B2714" s="93"/>
      <c r="C2714" s="70"/>
      <c r="D2714" s="70"/>
      <c r="E2714" s="70"/>
      <c r="F2714" s="70"/>
      <c r="G2714" s="70"/>
      <c r="H2714" s="85"/>
      <c r="I2714" s="85"/>
      <c r="J2714" s="131"/>
      <c r="K2714" s="60"/>
      <c r="L2714" s="33"/>
      <c r="P2714" s="3"/>
      <c r="Q2714" s="3"/>
      <c r="R2714" s="3"/>
      <c r="S2714" s="3"/>
      <c r="T2714" s="3"/>
      <c r="U2714" s="3"/>
      <c r="V2714" s="3"/>
      <c r="W2714" s="3"/>
      <c r="X2714" s="3"/>
      <c r="Y2714" s="4"/>
      <c r="Z2714"/>
      <c r="AA2714"/>
    </row>
    <row r="2715" spans="1:27" s="37" customFormat="1" x14ac:dyDescent="0.15">
      <c r="A2715" s="166"/>
      <c r="B2715" s="82"/>
      <c r="C2715" s="70"/>
      <c r="D2715" s="70"/>
      <c r="E2715" s="70"/>
      <c r="F2715" s="70"/>
      <c r="G2715" s="70"/>
      <c r="H2715" s="85"/>
      <c r="I2715" s="85"/>
      <c r="J2715" s="131"/>
      <c r="K2715" s="60"/>
      <c r="L2715" s="49"/>
      <c r="P2715" s="3"/>
      <c r="Q2715" s="3"/>
      <c r="R2715" s="3"/>
      <c r="S2715" s="3"/>
      <c r="T2715" s="3"/>
      <c r="U2715" s="3"/>
      <c r="V2715" s="3"/>
      <c r="W2715" s="3"/>
      <c r="X2715" s="3"/>
      <c r="Y2715" s="4"/>
      <c r="Z2715"/>
      <c r="AA2715"/>
    </row>
    <row r="2716" spans="1:27" s="37" customFormat="1" x14ac:dyDescent="0.15">
      <c r="A2716" s="166"/>
      <c r="B2716" s="82"/>
      <c r="C2716" s="70"/>
      <c r="D2716" s="70"/>
      <c r="E2716" s="70"/>
      <c r="F2716" s="70"/>
      <c r="G2716" s="70"/>
      <c r="H2716" s="85"/>
      <c r="I2716" s="94"/>
      <c r="J2716" s="148"/>
      <c r="K2716" s="60"/>
      <c r="L2716" s="33"/>
      <c r="P2716" s="3"/>
      <c r="Q2716" s="3"/>
      <c r="R2716" s="3"/>
      <c r="S2716" s="3"/>
      <c r="T2716" s="3"/>
      <c r="U2716" s="3"/>
      <c r="V2716" s="3"/>
      <c r="W2716" s="3"/>
      <c r="X2716" s="3"/>
      <c r="Y2716" s="4"/>
      <c r="Z2716"/>
      <c r="AA2716"/>
    </row>
    <row r="2717" spans="1:27" s="37" customFormat="1" x14ac:dyDescent="0.15">
      <c r="A2717" s="166"/>
      <c r="B2717" s="93"/>
      <c r="C2717" s="70"/>
      <c r="D2717" s="70"/>
      <c r="E2717" s="70"/>
      <c r="F2717" s="70"/>
      <c r="G2717" s="70"/>
      <c r="H2717" s="85"/>
      <c r="I2717" s="85"/>
      <c r="J2717" s="131"/>
      <c r="K2717" s="60"/>
      <c r="L2717" s="33"/>
      <c r="P2717" s="3"/>
      <c r="Q2717" s="3"/>
      <c r="R2717" s="3"/>
      <c r="S2717" s="3"/>
      <c r="T2717" s="3"/>
      <c r="U2717" s="3"/>
      <c r="V2717" s="3"/>
      <c r="W2717" s="3"/>
      <c r="X2717" s="3"/>
      <c r="Y2717" s="4"/>
      <c r="Z2717"/>
      <c r="AA2717"/>
    </row>
    <row r="2718" spans="1:27" s="37" customFormat="1" x14ac:dyDescent="0.15">
      <c r="A2718" s="166"/>
      <c r="B2718" s="82"/>
      <c r="C2718" s="70"/>
      <c r="D2718" s="70"/>
      <c r="E2718" s="70"/>
      <c r="F2718" s="70"/>
      <c r="G2718" s="70"/>
      <c r="H2718" s="85"/>
      <c r="I2718" s="85"/>
      <c r="J2718" s="131"/>
      <c r="K2718" s="60"/>
      <c r="L2718" s="33"/>
      <c r="M2718" s="46"/>
      <c r="P2718" s="3"/>
      <c r="Q2718" s="3"/>
      <c r="R2718" s="3"/>
      <c r="S2718" s="3"/>
      <c r="T2718" s="3"/>
      <c r="U2718" s="3"/>
      <c r="V2718" s="3"/>
      <c r="W2718" s="3"/>
      <c r="X2718" s="3"/>
      <c r="Y2718" s="4"/>
      <c r="Z2718"/>
      <c r="AA2718"/>
    </row>
    <row r="2719" spans="1:27" s="37" customFormat="1" x14ac:dyDescent="0.15">
      <c r="A2719" s="166"/>
      <c r="B2719" s="93"/>
      <c r="C2719" s="70"/>
      <c r="D2719" s="70"/>
      <c r="E2719" s="70"/>
      <c r="F2719" s="70"/>
      <c r="G2719" s="70"/>
      <c r="H2719" s="85"/>
      <c r="I2719" s="85"/>
      <c r="J2719" s="131"/>
      <c r="K2719" s="60"/>
      <c r="L2719" s="33"/>
      <c r="P2719" s="3"/>
      <c r="Q2719" s="3"/>
      <c r="R2719" s="3"/>
      <c r="S2719" s="3"/>
      <c r="T2719" s="3"/>
      <c r="U2719" s="3"/>
      <c r="V2719" s="3"/>
      <c r="W2719" s="3"/>
      <c r="X2719" s="3"/>
      <c r="Y2719" s="4"/>
      <c r="Z2719"/>
      <c r="AA2719"/>
    </row>
    <row r="2720" spans="1:27" s="37" customFormat="1" x14ac:dyDescent="0.15">
      <c r="A2720" s="166"/>
      <c r="B2720" s="93"/>
      <c r="C2720" s="70"/>
      <c r="D2720" s="70"/>
      <c r="E2720" s="70"/>
      <c r="F2720" s="70"/>
      <c r="G2720" s="70"/>
      <c r="H2720" s="85"/>
      <c r="I2720" s="85"/>
      <c r="J2720" s="131"/>
      <c r="K2720" s="60"/>
      <c r="L2720" s="33"/>
      <c r="N2720" s="33"/>
      <c r="P2720" s="3"/>
      <c r="Q2720" s="3"/>
      <c r="R2720" s="3"/>
      <c r="S2720" s="3"/>
      <c r="T2720" s="3"/>
      <c r="U2720" s="3"/>
      <c r="V2720" s="3"/>
      <c r="W2720" s="3"/>
      <c r="X2720" s="3"/>
      <c r="Y2720" s="4"/>
      <c r="Z2720"/>
      <c r="AA2720"/>
    </row>
    <row r="2721" spans="1:27" s="37" customFormat="1" x14ac:dyDescent="0.15">
      <c r="A2721" s="166"/>
      <c r="B2721" s="82"/>
      <c r="C2721" s="70"/>
      <c r="D2721" s="70"/>
      <c r="E2721" s="70"/>
      <c r="F2721" s="70"/>
      <c r="G2721" s="70"/>
      <c r="H2721" s="85"/>
      <c r="I2721" s="85"/>
      <c r="J2721" s="131"/>
      <c r="K2721" s="60"/>
      <c r="L2721" s="49"/>
      <c r="P2721" s="3"/>
      <c r="Q2721" s="3"/>
      <c r="R2721" s="3"/>
      <c r="S2721" s="3"/>
      <c r="T2721" s="3"/>
      <c r="U2721" s="3"/>
      <c r="V2721" s="3"/>
      <c r="W2721" s="3"/>
      <c r="X2721" s="3"/>
      <c r="Y2721" s="4"/>
      <c r="Z2721"/>
      <c r="AA2721"/>
    </row>
    <row r="2722" spans="1:27" s="37" customFormat="1" x14ac:dyDescent="0.15">
      <c r="A2722" s="166"/>
      <c r="B2722" s="93"/>
      <c r="C2722" s="70"/>
      <c r="D2722" s="70"/>
      <c r="E2722" s="70"/>
      <c r="F2722" s="70"/>
      <c r="G2722" s="70"/>
      <c r="H2722" s="85"/>
      <c r="I2722" s="85"/>
      <c r="J2722" s="131"/>
      <c r="K2722" s="60"/>
      <c r="L2722" s="33"/>
      <c r="P2722" s="3"/>
      <c r="Q2722" s="3"/>
      <c r="R2722" s="3"/>
      <c r="S2722" s="3"/>
      <c r="T2722" s="3"/>
      <c r="U2722" s="3"/>
      <c r="V2722" s="3"/>
      <c r="W2722" s="3"/>
      <c r="X2722" s="3"/>
      <c r="Y2722" s="4"/>
      <c r="Z2722"/>
      <c r="AA2722"/>
    </row>
    <row r="2723" spans="1:27" s="37" customFormat="1" x14ac:dyDescent="0.15">
      <c r="A2723" s="166"/>
      <c r="B2723" s="93"/>
      <c r="C2723" s="73"/>
      <c r="D2723" s="70"/>
      <c r="E2723" s="70"/>
      <c r="F2723" s="73"/>
      <c r="G2723" s="73"/>
      <c r="H2723" s="85"/>
      <c r="I2723" s="95"/>
      <c r="J2723" s="131"/>
      <c r="K2723" s="60"/>
      <c r="L2723" s="33"/>
      <c r="P2723" s="3"/>
      <c r="Q2723" s="3"/>
      <c r="R2723" s="3"/>
      <c r="S2723" s="3"/>
      <c r="T2723" s="3"/>
      <c r="U2723" s="3"/>
      <c r="V2723" s="3"/>
      <c r="W2723" s="3"/>
      <c r="X2723" s="3"/>
      <c r="Y2723" s="4"/>
      <c r="Z2723"/>
      <c r="AA2723"/>
    </row>
    <row r="2724" spans="1:27" s="37" customFormat="1" x14ac:dyDescent="0.15">
      <c r="A2724" s="166"/>
      <c r="B2724" s="82"/>
      <c r="C2724" s="70"/>
      <c r="D2724" s="70"/>
      <c r="E2724" s="70"/>
      <c r="F2724" s="70"/>
      <c r="G2724" s="70"/>
      <c r="H2724" s="85"/>
      <c r="I2724" s="85"/>
      <c r="J2724" s="131"/>
      <c r="K2724" s="60"/>
      <c r="L2724" s="49"/>
      <c r="P2724" s="3"/>
      <c r="Q2724" s="3"/>
      <c r="R2724" s="3"/>
      <c r="S2724" s="3"/>
      <c r="T2724" s="3"/>
      <c r="U2724" s="3"/>
      <c r="V2724" s="3"/>
      <c r="W2724" s="3"/>
      <c r="X2724" s="3"/>
      <c r="Y2724" s="4"/>
      <c r="Z2724"/>
      <c r="AA2724"/>
    </row>
    <row r="2725" spans="1:27" s="37" customFormat="1" x14ac:dyDescent="0.15">
      <c r="A2725" s="166"/>
      <c r="B2725" s="82"/>
      <c r="C2725" s="70"/>
      <c r="D2725" s="70"/>
      <c r="E2725" s="70"/>
      <c r="F2725" s="70"/>
      <c r="G2725" s="70"/>
      <c r="H2725" s="85"/>
      <c r="I2725" s="85"/>
      <c r="J2725" s="131"/>
      <c r="K2725" s="60"/>
      <c r="L2725" s="33"/>
      <c r="M2725" s="46"/>
      <c r="P2725" s="3"/>
      <c r="Q2725" s="3"/>
      <c r="R2725" s="3"/>
      <c r="S2725" s="3"/>
      <c r="T2725" s="3"/>
      <c r="U2725" s="3"/>
      <c r="V2725" s="3"/>
      <c r="W2725" s="3"/>
      <c r="X2725" s="3"/>
      <c r="Y2725" s="4"/>
      <c r="Z2725"/>
      <c r="AA2725"/>
    </row>
    <row r="2726" spans="1:27" s="37" customFormat="1" x14ac:dyDescent="0.15">
      <c r="A2726" s="166"/>
      <c r="B2726" s="93"/>
      <c r="C2726" s="70"/>
      <c r="D2726" s="70"/>
      <c r="E2726" s="70"/>
      <c r="F2726" s="70"/>
      <c r="G2726" s="70"/>
      <c r="H2726" s="85"/>
      <c r="I2726" s="85"/>
      <c r="J2726" s="131"/>
      <c r="K2726" s="60"/>
      <c r="L2726" s="33"/>
      <c r="P2726" s="3"/>
      <c r="Q2726" s="3"/>
      <c r="R2726" s="3"/>
      <c r="S2726" s="3"/>
      <c r="T2726" s="3"/>
      <c r="U2726" s="3"/>
      <c r="V2726" s="3"/>
      <c r="W2726" s="3"/>
      <c r="X2726" s="3"/>
      <c r="Y2726" s="4"/>
      <c r="Z2726"/>
      <c r="AA2726"/>
    </row>
    <row r="2727" spans="1:27" s="37" customFormat="1" x14ac:dyDescent="0.15">
      <c r="A2727" s="166"/>
      <c r="B2727" s="93"/>
      <c r="C2727" s="70"/>
      <c r="D2727" s="70"/>
      <c r="E2727" s="70"/>
      <c r="F2727" s="70"/>
      <c r="G2727" s="70"/>
      <c r="H2727" s="85"/>
      <c r="I2727" s="85"/>
      <c r="J2727" s="131"/>
      <c r="K2727" s="60"/>
      <c r="L2727" s="33"/>
      <c r="P2727" s="3"/>
      <c r="Q2727" s="3"/>
      <c r="R2727" s="3"/>
      <c r="S2727" s="3"/>
      <c r="T2727" s="3"/>
      <c r="U2727" s="3"/>
      <c r="V2727" s="3"/>
      <c r="W2727" s="3"/>
      <c r="X2727" s="3"/>
      <c r="Y2727" s="4"/>
      <c r="Z2727"/>
      <c r="AA2727"/>
    </row>
    <row r="2728" spans="1:27" s="37" customFormat="1" x14ac:dyDescent="0.15">
      <c r="A2728" s="166"/>
      <c r="B2728" s="93"/>
      <c r="C2728" s="70"/>
      <c r="D2728" s="70"/>
      <c r="E2728" s="70"/>
      <c r="F2728" s="70"/>
      <c r="G2728" s="70"/>
      <c r="H2728" s="85"/>
      <c r="I2728" s="85"/>
      <c r="J2728" s="131"/>
      <c r="K2728" s="60"/>
      <c r="L2728" s="33"/>
      <c r="P2728" s="3"/>
      <c r="Q2728" s="3"/>
      <c r="R2728" s="3"/>
      <c r="S2728" s="3"/>
      <c r="T2728" s="3"/>
      <c r="U2728" s="3"/>
      <c r="V2728" s="3"/>
      <c r="W2728" s="3"/>
      <c r="X2728" s="3"/>
      <c r="Y2728" s="4"/>
      <c r="Z2728"/>
      <c r="AA2728"/>
    </row>
    <row r="2729" spans="1:27" s="37" customFormat="1" x14ac:dyDescent="0.15">
      <c r="A2729" s="166"/>
      <c r="B2729" s="93"/>
      <c r="C2729" s="70"/>
      <c r="D2729" s="70"/>
      <c r="E2729" s="70"/>
      <c r="F2729" s="70"/>
      <c r="G2729" s="70"/>
      <c r="H2729" s="85"/>
      <c r="I2729" s="85"/>
      <c r="J2729" s="131"/>
      <c r="K2729" s="60"/>
      <c r="L2729" s="33"/>
      <c r="P2729" s="3"/>
      <c r="Q2729" s="3"/>
      <c r="R2729" s="3"/>
      <c r="S2729" s="3"/>
      <c r="T2729" s="3"/>
      <c r="U2729" s="3"/>
      <c r="V2729" s="3"/>
      <c r="W2729" s="3"/>
      <c r="X2729" s="3"/>
      <c r="Y2729" s="4"/>
      <c r="Z2729"/>
      <c r="AA2729"/>
    </row>
    <row r="2730" spans="1:27" s="37" customFormat="1" ht="16" x14ac:dyDescent="0.2">
      <c r="A2730" s="166"/>
      <c r="B2730" s="93"/>
      <c r="C2730" s="70"/>
      <c r="D2730" s="70"/>
      <c r="E2730" s="70"/>
      <c r="F2730" s="70"/>
      <c r="G2730" s="70"/>
      <c r="H2730" s="85"/>
      <c r="I2730" s="85"/>
      <c r="J2730" s="131"/>
      <c r="K2730" s="60"/>
      <c r="L2730" s="47"/>
      <c r="P2730" s="3"/>
      <c r="Q2730" s="3"/>
      <c r="R2730" s="3"/>
      <c r="S2730" s="3"/>
      <c r="T2730" s="3"/>
      <c r="U2730" s="3"/>
      <c r="V2730" s="3"/>
      <c r="W2730" s="3"/>
      <c r="X2730" s="3"/>
      <c r="Y2730" s="4"/>
      <c r="Z2730"/>
      <c r="AA2730"/>
    </row>
    <row r="2731" spans="1:27" s="37" customFormat="1" x14ac:dyDescent="0.15">
      <c r="A2731" s="166"/>
      <c r="B2731" s="93"/>
      <c r="C2731" s="70"/>
      <c r="D2731" s="70"/>
      <c r="E2731" s="70"/>
      <c r="F2731" s="70"/>
      <c r="G2731" s="70"/>
      <c r="H2731" s="85"/>
      <c r="I2731" s="85"/>
      <c r="J2731" s="131"/>
      <c r="K2731" s="60"/>
      <c r="L2731" s="33"/>
      <c r="P2731" s="3"/>
      <c r="Q2731" s="3"/>
      <c r="R2731" s="3"/>
      <c r="S2731" s="3"/>
      <c r="T2731" s="3"/>
      <c r="U2731" s="3"/>
      <c r="V2731" s="3"/>
      <c r="W2731" s="3"/>
      <c r="X2731" s="3"/>
      <c r="Y2731" s="4"/>
      <c r="Z2731"/>
      <c r="AA2731"/>
    </row>
    <row r="2732" spans="1:27" s="37" customFormat="1" x14ac:dyDescent="0.15">
      <c r="A2732" s="166"/>
      <c r="B2732" s="93"/>
      <c r="C2732" s="70"/>
      <c r="D2732" s="70"/>
      <c r="E2732" s="70"/>
      <c r="F2732" s="70"/>
      <c r="G2732" s="70"/>
      <c r="H2732" s="85"/>
      <c r="I2732" s="85"/>
      <c r="J2732" s="131"/>
      <c r="K2732" s="60"/>
      <c r="L2732" s="33"/>
      <c r="P2732" s="3"/>
      <c r="Q2732" s="3"/>
      <c r="R2732" s="3"/>
      <c r="S2732" s="3"/>
      <c r="T2732" s="3"/>
      <c r="U2732" s="3"/>
      <c r="V2732" s="3"/>
      <c r="W2732" s="3"/>
      <c r="X2732" s="3"/>
      <c r="Y2732" s="4"/>
      <c r="Z2732"/>
      <c r="AA2732"/>
    </row>
    <row r="2733" spans="1:27" s="37" customFormat="1" x14ac:dyDescent="0.15">
      <c r="A2733" s="166"/>
      <c r="B2733" s="93"/>
      <c r="C2733" s="70"/>
      <c r="D2733" s="70"/>
      <c r="E2733" s="70"/>
      <c r="F2733" s="70"/>
      <c r="G2733" s="70"/>
      <c r="H2733" s="85"/>
      <c r="I2733" s="85"/>
      <c r="J2733" s="131"/>
      <c r="K2733" s="60"/>
      <c r="L2733" s="33"/>
      <c r="N2733" s="33"/>
      <c r="P2733" s="3"/>
      <c r="Q2733" s="3"/>
      <c r="R2733" s="3"/>
      <c r="S2733" s="3"/>
      <c r="T2733" s="3"/>
      <c r="U2733" s="3"/>
      <c r="V2733" s="3"/>
      <c r="W2733" s="3"/>
      <c r="X2733" s="3"/>
      <c r="Y2733" s="4"/>
      <c r="Z2733"/>
      <c r="AA2733"/>
    </row>
    <row r="2734" spans="1:27" s="37" customFormat="1" x14ac:dyDescent="0.15">
      <c r="A2734" s="166"/>
      <c r="B2734" s="93"/>
      <c r="C2734" s="70"/>
      <c r="D2734" s="70"/>
      <c r="E2734" s="70"/>
      <c r="F2734" s="70"/>
      <c r="G2734" s="70"/>
      <c r="H2734" s="85"/>
      <c r="I2734" s="85"/>
      <c r="J2734" s="131"/>
      <c r="K2734" s="60"/>
      <c r="L2734" s="33"/>
      <c r="P2734" s="3"/>
      <c r="Q2734" s="3"/>
      <c r="R2734" s="3"/>
      <c r="S2734" s="3"/>
      <c r="T2734" s="3"/>
      <c r="U2734" s="3"/>
      <c r="V2734" s="3"/>
      <c r="W2734" s="3"/>
      <c r="X2734" s="3"/>
      <c r="Y2734" s="4"/>
      <c r="Z2734"/>
      <c r="AA2734"/>
    </row>
    <row r="2735" spans="1:27" s="37" customFormat="1" x14ac:dyDescent="0.15">
      <c r="A2735" s="166"/>
      <c r="B2735" s="82"/>
      <c r="C2735" s="70"/>
      <c r="D2735" s="70"/>
      <c r="E2735" s="70"/>
      <c r="F2735" s="70"/>
      <c r="G2735" s="70"/>
      <c r="H2735" s="85"/>
      <c r="I2735" s="85"/>
      <c r="J2735" s="131"/>
      <c r="K2735" s="60"/>
      <c r="L2735" s="33"/>
      <c r="P2735" s="3"/>
      <c r="Q2735" s="3"/>
      <c r="R2735" s="3"/>
      <c r="S2735" s="3"/>
      <c r="T2735" s="3"/>
      <c r="U2735" s="3"/>
      <c r="V2735" s="3"/>
      <c r="W2735" s="3"/>
      <c r="X2735" s="3"/>
      <c r="Y2735" s="4"/>
      <c r="Z2735"/>
      <c r="AA2735"/>
    </row>
    <row r="2736" spans="1:27" s="37" customFormat="1" x14ac:dyDescent="0.15">
      <c r="A2736" s="166"/>
      <c r="B2736" s="93"/>
      <c r="C2736" s="70"/>
      <c r="D2736" s="70"/>
      <c r="E2736" s="70"/>
      <c r="F2736" s="70"/>
      <c r="G2736" s="70"/>
      <c r="H2736" s="85"/>
      <c r="I2736" s="85"/>
      <c r="J2736" s="131"/>
      <c r="K2736" s="60"/>
      <c r="L2736" s="33"/>
      <c r="P2736" s="3"/>
      <c r="Q2736" s="3"/>
      <c r="R2736" s="3"/>
      <c r="S2736" s="3"/>
      <c r="T2736" s="3"/>
      <c r="U2736" s="3"/>
      <c r="V2736" s="3"/>
      <c r="W2736" s="3"/>
      <c r="X2736" s="3"/>
      <c r="Y2736" s="4"/>
      <c r="Z2736"/>
      <c r="AA2736"/>
    </row>
    <row r="2737" spans="1:27" s="37" customFormat="1" x14ac:dyDescent="0.15">
      <c r="A2737" s="166"/>
      <c r="B2737" s="82"/>
      <c r="C2737" s="70"/>
      <c r="D2737" s="70"/>
      <c r="E2737" s="70"/>
      <c r="F2737" s="70"/>
      <c r="G2737" s="70"/>
      <c r="H2737" s="85"/>
      <c r="I2737" s="85"/>
      <c r="J2737" s="131"/>
      <c r="K2737" s="60"/>
      <c r="L2737" s="33"/>
      <c r="P2737" s="3"/>
      <c r="Q2737" s="3"/>
      <c r="R2737" s="3"/>
      <c r="S2737" s="3"/>
      <c r="T2737" s="3"/>
      <c r="U2737" s="3"/>
      <c r="V2737" s="3"/>
      <c r="W2737" s="3"/>
      <c r="X2737" s="3"/>
      <c r="Y2737" s="4"/>
      <c r="Z2737"/>
      <c r="AA2737"/>
    </row>
    <row r="2738" spans="1:27" s="37" customFormat="1" x14ac:dyDescent="0.15">
      <c r="A2738" s="166"/>
      <c r="B2738" s="93"/>
      <c r="C2738" s="70"/>
      <c r="D2738" s="70"/>
      <c r="E2738" s="70"/>
      <c r="F2738" s="70"/>
      <c r="G2738" s="70"/>
      <c r="H2738" s="85"/>
      <c r="I2738" s="85"/>
      <c r="J2738" s="131"/>
      <c r="K2738" s="60"/>
      <c r="L2738" s="33"/>
      <c r="P2738" s="3"/>
      <c r="Q2738" s="3"/>
      <c r="R2738" s="3"/>
      <c r="S2738" s="3"/>
      <c r="T2738" s="3"/>
      <c r="U2738" s="3"/>
      <c r="V2738" s="3"/>
      <c r="W2738" s="3"/>
      <c r="X2738" s="3"/>
      <c r="Y2738" s="4"/>
      <c r="Z2738"/>
      <c r="AA2738"/>
    </row>
    <row r="2739" spans="1:27" s="37" customFormat="1" x14ac:dyDescent="0.15">
      <c r="A2739" s="166"/>
      <c r="B2739" s="93"/>
      <c r="C2739" s="70"/>
      <c r="D2739" s="70"/>
      <c r="E2739" s="70"/>
      <c r="F2739" s="70"/>
      <c r="G2739" s="70"/>
      <c r="H2739" s="85"/>
      <c r="I2739" s="85"/>
      <c r="J2739" s="131"/>
      <c r="K2739" s="60"/>
      <c r="L2739" s="33"/>
      <c r="M2739" s="32"/>
      <c r="P2739" s="3"/>
      <c r="Q2739" s="3"/>
      <c r="R2739" s="3"/>
      <c r="S2739" s="3"/>
      <c r="T2739" s="3"/>
      <c r="U2739" s="3"/>
      <c r="V2739" s="3"/>
      <c r="W2739" s="3"/>
      <c r="X2739" s="3"/>
      <c r="Y2739" s="4"/>
      <c r="Z2739"/>
      <c r="AA2739"/>
    </row>
    <row r="2740" spans="1:27" s="37" customFormat="1" x14ac:dyDescent="0.15">
      <c r="A2740" s="166"/>
      <c r="B2740" s="93"/>
      <c r="C2740" s="70"/>
      <c r="D2740" s="70"/>
      <c r="E2740" s="70"/>
      <c r="F2740" s="70"/>
      <c r="G2740" s="70"/>
      <c r="H2740" s="85"/>
      <c r="I2740" s="85"/>
      <c r="J2740" s="131"/>
      <c r="K2740" s="60"/>
      <c r="L2740" s="49"/>
      <c r="P2740" s="3"/>
      <c r="Q2740" s="3"/>
      <c r="R2740" s="3"/>
      <c r="S2740" s="3"/>
      <c r="T2740" s="3"/>
      <c r="U2740" s="3"/>
      <c r="V2740" s="3"/>
      <c r="W2740" s="3"/>
      <c r="X2740" s="3"/>
      <c r="Y2740" s="4"/>
      <c r="Z2740"/>
      <c r="AA2740"/>
    </row>
    <row r="2741" spans="1:27" s="37" customFormat="1" x14ac:dyDescent="0.15">
      <c r="A2741" s="166"/>
      <c r="B2741" s="82"/>
      <c r="C2741" s="70"/>
      <c r="D2741" s="70"/>
      <c r="E2741" s="70"/>
      <c r="F2741" s="70"/>
      <c r="G2741" s="70"/>
      <c r="H2741" s="85"/>
      <c r="I2741" s="85"/>
      <c r="J2741" s="131"/>
      <c r="K2741" s="60"/>
      <c r="L2741" s="49"/>
      <c r="P2741" s="3"/>
      <c r="Q2741" s="3"/>
      <c r="R2741" s="3"/>
      <c r="S2741" s="3"/>
      <c r="T2741" s="3"/>
      <c r="U2741" s="3"/>
      <c r="V2741" s="3"/>
      <c r="W2741" s="3"/>
      <c r="X2741" s="3"/>
      <c r="Y2741" s="4"/>
      <c r="Z2741"/>
      <c r="AA2741"/>
    </row>
    <row r="2742" spans="1:27" s="37" customFormat="1" ht="16" x14ac:dyDescent="0.2">
      <c r="A2742" s="166"/>
      <c r="B2742" s="82"/>
      <c r="C2742" s="70"/>
      <c r="D2742" s="70"/>
      <c r="E2742" s="70"/>
      <c r="F2742" s="70"/>
      <c r="G2742" s="70"/>
      <c r="H2742" s="85"/>
      <c r="I2742" s="85"/>
      <c r="J2742" s="131"/>
      <c r="K2742" s="60"/>
      <c r="L2742" s="47"/>
      <c r="P2742" s="3"/>
      <c r="Q2742" s="3"/>
      <c r="R2742" s="3"/>
      <c r="S2742" s="3"/>
      <c r="T2742" s="3"/>
      <c r="U2742" s="3"/>
      <c r="V2742" s="3"/>
      <c r="W2742" s="3"/>
      <c r="X2742" s="3"/>
      <c r="Y2742" s="4"/>
      <c r="Z2742"/>
      <c r="AA2742"/>
    </row>
    <row r="2743" spans="1:27" s="37" customFormat="1" x14ac:dyDescent="0.15">
      <c r="A2743" s="166"/>
      <c r="B2743" s="93"/>
      <c r="C2743" s="70"/>
      <c r="D2743" s="70"/>
      <c r="E2743" s="70"/>
      <c r="F2743" s="70"/>
      <c r="G2743" s="70"/>
      <c r="H2743" s="85"/>
      <c r="I2743" s="85"/>
      <c r="J2743" s="131"/>
      <c r="K2743" s="60"/>
      <c r="L2743" s="33"/>
      <c r="P2743" s="3"/>
      <c r="Q2743" s="3"/>
      <c r="R2743" s="3"/>
      <c r="S2743" s="3"/>
      <c r="T2743" s="3"/>
      <c r="U2743" s="3"/>
      <c r="V2743" s="3"/>
      <c r="W2743" s="3"/>
      <c r="X2743" s="3"/>
      <c r="Y2743" s="4"/>
      <c r="Z2743"/>
      <c r="AA2743"/>
    </row>
    <row r="2744" spans="1:27" s="37" customFormat="1" x14ac:dyDescent="0.15">
      <c r="A2744" s="166"/>
      <c r="B2744" s="93"/>
      <c r="C2744" s="70"/>
      <c r="D2744" s="70"/>
      <c r="E2744" s="70"/>
      <c r="F2744" s="70"/>
      <c r="G2744" s="70"/>
      <c r="H2744" s="85"/>
      <c r="I2744" s="85"/>
      <c r="J2744" s="131"/>
      <c r="K2744" s="60"/>
      <c r="L2744" s="33"/>
      <c r="P2744" s="3"/>
      <c r="Q2744" s="3"/>
      <c r="R2744" s="3"/>
      <c r="S2744" s="3"/>
      <c r="T2744" s="3"/>
      <c r="U2744" s="3"/>
      <c r="V2744" s="3"/>
      <c r="W2744" s="3"/>
      <c r="X2744" s="3"/>
      <c r="Y2744" s="4"/>
      <c r="Z2744"/>
      <c r="AA2744"/>
    </row>
    <row r="2745" spans="1:27" s="37" customFormat="1" x14ac:dyDescent="0.15">
      <c r="A2745" s="166"/>
      <c r="B2745" s="93"/>
      <c r="C2745" s="70"/>
      <c r="D2745" s="70"/>
      <c r="E2745" s="70"/>
      <c r="F2745" s="70"/>
      <c r="G2745" s="70"/>
      <c r="H2745" s="85"/>
      <c r="I2745" s="85"/>
      <c r="J2745" s="131"/>
      <c r="K2745" s="60"/>
      <c r="L2745" s="33"/>
      <c r="P2745" s="3"/>
      <c r="Q2745" s="3"/>
      <c r="R2745" s="3"/>
      <c r="S2745" s="3"/>
      <c r="T2745" s="3"/>
      <c r="U2745" s="3"/>
      <c r="V2745" s="3"/>
      <c r="W2745" s="3"/>
      <c r="X2745" s="3"/>
      <c r="Y2745" s="4"/>
      <c r="Z2745"/>
      <c r="AA2745"/>
    </row>
    <row r="2746" spans="1:27" s="37" customFormat="1" x14ac:dyDescent="0.15">
      <c r="A2746" s="166"/>
      <c r="B2746" s="93"/>
      <c r="C2746" s="70"/>
      <c r="D2746" s="70"/>
      <c r="E2746" s="70"/>
      <c r="F2746" s="70"/>
      <c r="G2746" s="70"/>
      <c r="H2746" s="85"/>
      <c r="I2746" s="85"/>
      <c r="J2746" s="131"/>
      <c r="K2746" s="60"/>
      <c r="L2746" s="33"/>
      <c r="P2746" s="3"/>
      <c r="Q2746" s="3"/>
      <c r="R2746" s="3"/>
      <c r="S2746" s="3"/>
      <c r="T2746" s="3"/>
      <c r="U2746" s="3"/>
      <c r="V2746" s="3"/>
      <c r="W2746" s="3"/>
      <c r="X2746" s="3"/>
      <c r="Y2746" s="4"/>
      <c r="Z2746"/>
      <c r="AA2746"/>
    </row>
    <row r="2747" spans="1:27" s="37" customFormat="1" x14ac:dyDescent="0.15">
      <c r="A2747" s="166"/>
      <c r="B2747" s="93"/>
      <c r="C2747" s="70"/>
      <c r="D2747" s="70"/>
      <c r="E2747" s="70"/>
      <c r="F2747" s="70"/>
      <c r="G2747" s="70"/>
      <c r="H2747" s="85"/>
      <c r="I2747" s="85"/>
      <c r="J2747" s="131"/>
      <c r="K2747" s="60"/>
      <c r="L2747" s="33"/>
      <c r="P2747" s="3"/>
      <c r="Q2747" s="3"/>
      <c r="R2747" s="3"/>
      <c r="S2747" s="3"/>
      <c r="T2747" s="3"/>
      <c r="U2747" s="3"/>
      <c r="V2747" s="3"/>
      <c r="W2747" s="3"/>
      <c r="X2747" s="3"/>
      <c r="Y2747" s="4"/>
      <c r="Z2747"/>
      <c r="AA2747"/>
    </row>
    <row r="2748" spans="1:27" s="37" customFormat="1" x14ac:dyDescent="0.15">
      <c r="A2748" s="166"/>
      <c r="B2748" s="93"/>
      <c r="C2748" s="70"/>
      <c r="D2748" s="70"/>
      <c r="E2748" s="70"/>
      <c r="F2748" s="70"/>
      <c r="G2748" s="70"/>
      <c r="H2748" s="85"/>
      <c r="I2748" s="85"/>
      <c r="J2748" s="131"/>
      <c r="K2748" s="60"/>
      <c r="L2748" s="33"/>
      <c r="P2748" s="3"/>
      <c r="Q2748" s="3"/>
      <c r="R2748" s="3"/>
      <c r="S2748" s="3"/>
      <c r="T2748" s="3"/>
      <c r="U2748" s="3"/>
      <c r="V2748" s="3"/>
      <c r="W2748" s="3"/>
      <c r="X2748" s="3"/>
      <c r="Y2748" s="4"/>
      <c r="Z2748"/>
      <c r="AA2748"/>
    </row>
    <row r="2749" spans="1:27" s="37" customFormat="1" x14ac:dyDescent="0.15">
      <c r="A2749" s="166"/>
      <c r="B2749" s="93"/>
      <c r="C2749" s="70"/>
      <c r="D2749" s="70"/>
      <c r="E2749" s="70"/>
      <c r="F2749" s="70"/>
      <c r="G2749" s="70"/>
      <c r="H2749" s="85"/>
      <c r="I2749" s="85"/>
      <c r="J2749" s="131"/>
      <c r="K2749" s="60"/>
      <c r="L2749" s="33"/>
      <c r="P2749" s="3"/>
      <c r="Q2749" s="3"/>
      <c r="R2749" s="3"/>
      <c r="S2749" s="3"/>
      <c r="T2749" s="3"/>
      <c r="U2749" s="3"/>
      <c r="V2749" s="3"/>
      <c r="W2749" s="3"/>
      <c r="X2749" s="3"/>
      <c r="Y2749" s="4"/>
      <c r="Z2749"/>
      <c r="AA2749"/>
    </row>
    <row r="2750" spans="1:27" s="37" customFormat="1" x14ac:dyDescent="0.15">
      <c r="A2750" s="166"/>
      <c r="B2750" s="93"/>
      <c r="C2750" s="70"/>
      <c r="D2750" s="70"/>
      <c r="E2750" s="70"/>
      <c r="F2750" s="70"/>
      <c r="G2750" s="70"/>
      <c r="H2750" s="85"/>
      <c r="I2750" s="85"/>
      <c r="J2750" s="131"/>
      <c r="K2750" s="60"/>
      <c r="L2750" s="33"/>
      <c r="P2750" s="3"/>
      <c r="Q2750" s="3"/>
      <c r="R2750" s="3"/>
      <c r="S2750" s="3"/>
      <c r="T2750" s="3"/>
      <c r="U2750" s="3"/>
      <c r="V2750" s="3"/>
      <c r="W2750" s="3"/>
      <c r="X2750" s="3"/>
      <c r="Y2750" s="4"/>
      <c r="Z2750"/>
      <c r="AA2750"/>
    </row>
    <row r="2751" spans="1:27" s="3" customFormat="1" x14ac:dyDescent="0.15">
      <c r="A2751" s="166"/>
      <c r="B2751" s="108"/>
      <c r="C2751" s="70"/>
      <c r="D2751" s="70"/>
      <c r="E2751" s="70"/>
      <c r="F2751" s="70"/>
      <c r="G2751" s="70"/>
      <c r="H2751" s="85"/>
      <c r="I2751" s="85"/>
      <c r="J2751" s="131"/>
      <c r="K2751" s="60"/>
      <c r="L2751" s="33"/>
      <c r="M2751" s="37"/>
      <c r="N2751" s="37"/>
      <c r="O2751" s="37"/>
      <c r="Y2751" s="4"/>
      <c r="Z2751"/>
      <c r="AA2751"/>
    </row>
    <row r="2752" spans="1:27" s="3" customFormat="1" x14ac:dyDescent="0.15">
      <c r="A2752" s="166"/>
      <c r="B2752" s="93"/>
      <c r="C2752" s="70"/>
      <c r="D2752" s="70"/>
      <c r="E2752" s="70"/>
      <c r="F2752" s="70"/>
      <c r="G2752" s="70"/>
      <c r="H2752" s="85"/>
      <c r="I2752" s="85"/>
      <c r="J2752" s="131"/>
      <c r="K2752" s="60"/>
      <c r="L2752" s="33"/>
      <c r="M2752" s="37"/>
      <c r="N2752" s="33"/>
      <c r="O2752" s="37"/>
      <c r="Y2752" s="4"/>
      <c r="Z2752"/>
      <c r="AA2752"/>
    </row>
    <row r="2753" spans="1:27" s="3" customFormat="1" x14ac:dyDescent="0.15">
      <c r="A2753" s="166"/>
      <c r="B2753" s="93"/>
      <c r="C2753" s="70"/>
      <c r="D2753" s="70"/>
      <c r="E2753" s="73"/>
      <c r="F2753" s="70"/>
      <c r="G2753" s="70"/>
      <c r="H2753" s="85"/>
      <c r="I2753" s="85"/>
      <c r="J2753" s="131"/>
      <c r="K2753" s="60"/>
      <c r="L2753" s="33"/>
      <c r="M2753" s="37"/>
      <c r="N2753" s="37"/>
      <c r="O2753" s="37"/>
      <c r="Y2753" s="4"/>
      <c r="Z2753"/>
      <c r="AA2753"/>
    </row>
    <row r="2754" spans="1:27" s="3" customFormat="1" x14ac:dyDescent="0.15">
      <c r="A2754" s="166"/>
      <c r="B2754" s="93"/>
      <c r="C2754" s="70"/>
      <c r="D2754" s="70"/>
      <c r="E2754" s="70"/>
      <c r="F2754" s="70"/>
      <c r="G2754" s="70"/>
      <c r="H2754" s="85"/>
      <c r="I2754" s="85"/>
      <c r="J2754" s="131"/>
      <c r="K2754" s="60"/>
      <c r="L2754" s="33"/>
      <c r="M2754" s="37"/>
      <c r="N2754" s="37"/>
      <c r="O2754" s="37"/>
      <c r="Y2754" s="4"/>
      <c r="Z2754"/>
      <c r="AA2754"/>
    </row>
    <row r="2755" spans="1:27" s="3" customFormat="1" x14ac:dyDescent="0.15">
      <c r="A2755" s="166"/>
      <c r="B2755" s="93"/>
      <c r="C2755" s="70"/>
      <c r="D2755" s="70"/>
      <c r="E2755" s="70"/>
      <c r="F2755" s="70"/>
      <c r="G2755" s="70"/>
      <c r="H2755" s="85"/>
      <c r="I2755" s="85"/>
      <c r="J2755" s="131"/>
      <c r="K2755" s="60"/>
      <c r="L2755" s="33"/>
      <c r="M2755" s="37"/>
      <c r="N2755" s="37"/>
      <c r="O2755" s="33"/>
      <c r="Y2755" s="4"/>
      <c r="Z2755"/>
      <c r="AA2755"/>
    </row>
    <row r="2756" spans="1:27" s="3" customFormat="1" x14ac:dyDescent="0.15">
      <c r="A2756" s="166"/>
      <c r="B2756" s="82"/>
      <c r="C2756" s="70"/>
      <c r="D2756" s="70"/>
      <c r="E2756" s="70"/>
      <c r="F2756" s="70"/>
      <c r="G2756" s="70"/>
      <c r="H2756" s="85"/>
      <c r="I2756" s="85"/>
      <c r="J2756" s="131"/>
      <c r="K2756" s="60"/>
      <c r="L2756" s="49"/>
      <c r="M2756" s="37"/>
      <c r="N2756" s="37"/>
      <c r="O2756" s="37"/>
      <c r="Y2756" s="4"/>
      <c r="Z2756"/>
      <c r="AA2756"/>
    </row>
    <row r="2757" spans="1:27" s="3" customFormat="1" x14ac:dyDescent="0.15">
      <c r="A2757" s="166"/>
      <c r="B2757" s="93"/>
      <c r="C2757" s="70"/>
      <c r="D2757" s="70"/>
      <c r="E2757" s="70"/>
      <c r="F2757" s="70"/>
      <c r="G2757" s="70"/>
      <c r="H2757" s="85"/>
      <c r="I2757" s="85"/>
      <c r="J2757" s="131"/>
      <c r="K2757" s="60"/>
      <c r="L2757" s="33"/>
      <c r="M2757" s="37"/>
      <c r="N2757" s="37"/>
      <c r="O2757" s="37"/>
      <c r="Y2757" s="4"/>
      <c r="Z2757"/>
      <c r="AA2757"/>
    </row>
    <row r="2758" spans="1:27" s="3" customFormat="1" x14ac:dyDescent="0.15">
      <c r="A2758" s="166"/>
      <c r="B2758" s="93"/>
      <c r="C2758" s="70"/>
      <c r="D2758" s="70"/>
      <c r="E2758" s="70"/>
      <c r="F2758" s="70"/>
      <c r="G2758" s="70"/>
      <c r="H2758" s="85"/>
      <c r="I2758" s="85"/>
      <c r="J2758" s="131"/>
      <c r="K2758" s="60"/>
      <c r="L2758" s="33"/>
      <c r="M2758" s="37"/>
      <c r="N2758" s="37"/>
      <c r="O2758" s="37"/>
      <c r="Y2758" s="4"/>
      <c r="Z2758"/>
      <c r="AA2758"/>
    </row>
    <row r="2759" spans="1:27" s="3" customFormat="1" ht="16" x14ac:dyDescent="0.2">
      <c r="A2759" s="166"/>
      <c r="B2759" s="93"/>
      <c r="C2759" s="70"/>
      <c r="D2759" s="70"/>
      <c r="E2759" s="70"/>
      <c r="F2759" s="70"/>
      <c r="G2759" s="70"/>
      <c r="H2759" s="85"/>
      <c r="I2759" s="85"/>
      <c r="J2759" s="131"/>
      <c r="K2759" s="60"/>
      <c r="L2759" s="47"/>
      <c r="M2759" s="37"/>
      <c r="N2759" s="37"/>
      <c r="O2759" s="37"/>
      <c r="Y2759" s="4"/>
      <c r="Z2759"/>
      <c r="AA2759"/>
    </row>
    <row r="2760" spans="1:27" s="3" customFormat="1" x14ac:dyDescent="0.15">
      <c r="A2760" s="166"/>
      <c r="B2760" s="82"/>
      <c r="C2760" s="70"/>
      <c r="D2760" s="70"/>
      <c r="E2760" s="70"/>
      <c r="F2760" s="70"/>
      <c r="G2760" s="70"/>
      <c r="H2760" s="85"/>
      <c r="I2760" s="85"/>
      <c r="J2760" s="131"/>
      <c r="K2760" s="60"/>
      <c r="L2760" s="33"/>
      <c r="M2760" s="46"/>
      <c r="N2760" s="37"/>
      <c r="O2760" s="37"/>
      <c r="Y2760" s="4"/>
      <c r="Z2760"/>
      <c r="AA2760"/>
    </row>
    <row r="2761" spans="1:27" s="3" customFormat="1" x14ac:dyDescent="0.15">
      <c r="A2761" s="166"/>
      <c r="B2761" s="82"/>
      <c r="C2761" s="70"/>
      <c r="D2761" s="70"/>
      <c r="E2761" s="70"/>
      <c r="F2761" s="70"/>
      <c r="G2761" s="70"/>
      <c r="H2761" s="85"/>
      <c r="I2761" s="85"/>
      <c r="J2761" s="131"/>
      <c r="K2761" s="60"/>
      <c r="L2761" s="33"/>
      <c r="M2761" s="46"/>
      <c r="N2761" s="37"/>
      <c r="O2761" s="37"/>
      <c r="Y2761" s="4"/>
      <c r="Z2761"/>
      <c r="AA2761"/>
    </row>
    <row r="2762" spans="1:27" s="3" customFormat="1" ht="16" x14ac:dyDescent="0.2">
      <c r="A2762" s="166"/>
      <c r="B2762" s="93"/>
      <c r="C2762" s="70"/>
      <c r="D2762" s="70"/>
      <c r="E2762" s="70"/>
      <c r="F2762" s="70"/>
      <c r="G2762" s="70"/>
      <c r="H2762" s="85"/>
      <c r="I2762" s="85"/>
      <c r="J2762" s="131"/>
      <c r="K2762" s="60"/>
      <c r="L2762" s="33"/>
      <c r="M2762" s="48"/>
      <c r="N2762" s="37"/>
      <c r="O2762" s="37"/>
      <c r="Y2762" s="4"/>
      <c r="Z2762"/>
      <c r="AA2762"/>
    </row>
    <row r="2763" spans="1:27" s="3" customFormat="1" x14ac:dyDescent="0.15">
      <c r="A2763" s="166"/>
      <c r="B2763" s="93"/>
      <c r="C2763" s="70"/>
      <c r="D2763" s="70"/>
      <c r="E2763" s="70"/>
      <c r="F2763" s="70"/>
      <c r="G2763" s="70"/>
      <c r="H2763" s="85"/>
      <c r="I2763" s="85"/>
      <c r="J2763" s="131"/>
      <c r="K2763" s="60"/>
      <c r="L2763" s="33"/>
      <c r="M2763" s="37"/>
      <c r="N2763" s="37"/>
      <c r="O2763" s="37"/>
      <c r="Y2763" s="4"/>
      <c r="Z2763"/>
      <c r="AA2763"/>
    </row>
    <row r="2764" spans="1:27" s="3" customFormat="1" x14ac:dyDescent="0.15">
      <c r="A2764" s="166"/>
      <c r="B2764" s="93"/>
      <c r="C2764" s="70"/>
      <c r="D2764" s="70"/>
      <c r="E2764" s="70"/>
      <c r="F2764" s="70"/>
      <c r="G2764" s="70"/>
      <c r="H2764" s="85"/>
      <c r="I2764" s="85"/>
      <c r="J2764" s="131"/>
      <c r="K2764" s="60"/>
      <c r="L2764" s="33"/>
      <c r="M2764" s="37"/>
      <c r="N2764" s="37"/>
      <c r="O2764" s="37"/>
      <c r="Y2764" s="4"/>
      <c r="Z2764"/>
      <c r="AA2764"/>
    </row>
    <row r="2765" spans="1:27" s="3" customFormat="1" ht="16" x14ac:dyDescent="0.2">
      <c r="A2765" s="166"/>
      <c r="B2765" s="93"/>
      <c r="C2765" s="70"/>
      <c r="D2765" s="70"/>
      <c r="E2765" s="70"/>
      <c r="F2765" s="70"/>
      <c r="G2765" s="70"/>
      <c r="H2765" s="85"/>
      <c r="I2765" s="85"/>
      <c r="J2765" s="131"/>
      <c r="K2765" s="60"/>
      <c r="L2765" s="47"/>
      <c r="M2765" s="37"/>
      <c r="N2765" s="37"/>
      <c r="O2765" s="37"/>
      <c r="Y2765" s="4"/>
      <c r="Z2765"/>
      <c r="AA2765"/>
    </row>
    <row r="2766" spans="1:27" s="3" customFormat="1" ht="16" x14ac:dyDescent="0.2">
      <c r="A2766" s="166"/>
      <c r="B2766" s="82"/>
      <c r="C2766" s="70"/>
      <c r="D2766" s="70"/>
      <c r="E2766" s="70"/>
      <c r="F2766" s="70"/>
      <c r="G2766" s="70"/>
      <c r="H2766" s="85"/>
      <c r="I2766" s="85"/>
      <c r="J2766" s="131"/>
      <c r="K2766" s="60"/>
      <c r="L2766" s="47"/>
      <c r="M2766" s="37"/>
      <c r="N2766" s="37"/>
      <c r="O2766" s="37"/>
      <c r="Y2766" s="4"/>
      <c r="Z2766"/>
      <c r="AA2766"/>
    </row>
    <row r="2767" spans="1:27" s="37" customFormat="1" x14ac:dyDescent="0.15">
      <c r="A2767" s="166"/>
      <c r="B2767" s="93"/>
      <c r="C2767" s="70"/>
      <c r="D2767" s="70"/>
      <c r="E2767" s="70"/>
      <c r="F2767" s="70"/>
      <c r="G2767" s="70"/>
      <c r="H2767" s="85"/>
      <c r="I2767" s="85"/>
      <c r="J2767" s="131"/>
      <c r="K2767" s="60"/>
      <c r="L2767" s="33"/>
      <c r="P2767" s="3"/>
      <c r="Q2767" s="3"/>
      <c r="R2767" s="3"/>
      <c r="S2767" s="3"/>
      <c r="T2767" s="3"/>
      <c r="U2767" s="3"/>
      <c r="V2767" s="3"/>
      <c r="W2767" s="3"/>
      <c r="X2767" s="3"/>
      <c r="Y2767" s="4"/>
      <c r="Z2767"/>
      <c r="AA2767"/>
    </row>
    <row r="2768" spans="1:27" s="37" customFormat="1" x14ac:dyDescent="0.15">
      <c r="A2768" s="166"/>
      <c r="B2768" s="82"/>
      <c r="C2768" s="73"/>
      <c r="D2768" s="73"/>
      <c r="E2768" s="73"/>
      <c r="F2768" s="73"/>
      <c r="G2768" s="73"/>
      <c r="H2768" s="85"/>
      <c r="I2768" s="95"/>
      <c r="J2768" s="131"/>
      <c r="K2768" s="60"/>
      <c r="L2768" s="33"/>
      <c r="P2768" s="3"/>
      <c r="Q2768" s="3"/>
      <c r="R2768" s="3"/>
      <c r="S2768" s="3"/>
      <c r="T2768" s="3"/>
      <c r="U2768" s="3"/>
      <c r="V2768" s="3"/>
      <c r="W2768" s="3"/>
      <c r="X2768" s="3"/>
      <c r="Y2768" s="4"/>
      <c r="Z2768"/>
      <c r="AA2768"/>
    </row>
    <row r="2769" spans="1:27" s="37" customFormat="1" x14ac:dyDescent="0.15">
      <c r="A2769" s="166"/>
      <c r="B2769" s="93"/>
      <c r="C2769" s="70"/>
      <c r="D2769" s="70"/>
      <c r="E2769" s="70"/>
      <c r="F2769" s="70"/>
      <c r="G2769" s="70"/>
      <c r="H2769" s="85"/>
      <c r="I2769" s="85"/>
      <c r="J2769" s="131"/>
      <c r="K2769" s="60"/>
      <c r="L2769" s="33"/>
      <c r="P2769" s="3"/>
      <c r="Q2769" s="3"/>
      <c r="R2769" s="3"/>
      <c r="S2769" s="3"/>
      <c r="T2769" s="3"/>
      <c r="U2769" s="3"/>
      <c r="V2769" s="3"/>
      <c r="W2769" s="3"/>
      <c r="X2769" s="3"/>
      <c r="Y2769" s="4"/>
      <c r="Z2769"/>
      <c r="AA2769"/>
    </row>
    <row r="2770" spans="1:27" s="37" customFormat="1" x14ac:dyDescent="0.15">
      <c r="A2770" s="166"/>
      <c r="B2770" s="93"/>
      <c r="C2770" s="70"/>
      <c r="D2770" s="70"/>
      <c r="E2770" s="70"/>
      <c r="F2770" s="70"/>
      <c r="G2770" s="70"/>
      <c r="H2770" s="85"/>
      <c r="I2770" s="85"/>
      <c r="J2770" s="131"/>
      <c r="K2770" s="60"/>
      <c r="L2770" s="33"/>
      <c r="P2770" s="3"/>
      <c r="Q2770" s="3"/>
      <c r="R2770" s="3"/>
      <c r="S2770" s="3"/>
      <c r="T2770" s="3"/>
      <c r="U2770" s="3"/>
      <c r="V2770" s="3"/>
      <c r="W2770" s="3"/>
      <c r="X2770" s="3"/>
      <c r="Y2770" s="4"/>
      <c r="Z2770"/>
      <c r="AA2770"/>
    </row>
    <row r="2771" spans="1:27" s="37" customFormat="1" ht="16" x14ac:dyDescent="0.2">
      <c r="A2771" s="166"/>
      <c r="B2771" s="93"/>
      <c r="C2771" s="70"/>
      <c r="D2771" s="70"/>
      <c r="E2771" s="70"/>
      <c r="F2771" s="70"/>
      <c r="G2771" s="70"/>
      <c r="H2771" s="85"/>
      <c r="I2771" s="85"/>
      <c r="J2771" s="131"/>
      <c r="K2771" s="60"/>
      <c r="L2771" s="47"/>
      <c r="P2771" s="3"/>
      <c r="Q2771" s="3"/>
      <c r="R2771" s="3"/>
      <c r="S2771" s="3"/>
      <c r="T2771" s="3"/>
      <c r="U2771" s="3"/>
      <c r="V2771" s="3"/>
      <c r="W2771" s="3"/>
      <c r="X2771" s="3"/>
      <c r="Y2771" s="4"/>
      <c r="Z2771"/>
      <c r="AA2771"/>
    </row>
    <row r="2772" spans="1:27" s="37" customFormat="1" x14ac:dyDescent="0.15">
      <c r="A2772" s="166"/>
      <c r="B2772" s="93"/>
      <c r="C2772" s="70"/>
      <c r="D2772" s="70"/>
      <c r="E2772" s="70"/>
      <c r="F2772" s="70"/>
      <c r="G2772" s="70"/>
      <c r="H2772" s="85"/>
      <c r="I2772" s="85"/>
      <c r="J2772" s="131"/>
      <c r="K2772" s="60"/>
      <c r="L2772" s="49"/>
      <c r="P2772" s="3"/>
      <c r="Q2772" s="3"/>
      <c r="R2772" s="3"/>
      <c r="S2772" s="3"/>
      <c r="T2772" s="3"/>
      <c r="U2772" s="3"/>
      <c r="V2772" s="3"/>
      <c r="W2772" s="3"/>
      <c r="X2772" s="3"/>
      <c r="Y2772" s="4"/>
      <c r="Z2772"/>
      <c r="AA2772"/>
    </row>
    <row r="2773" spans="1:27" s="37" customFormat="1" x14ac:dyDescent="0.15">
      <c r="A2773" s="166"/>
      <c r="B2773" s="93"/>
      <c r="C2773" s="70"/>
      <c r="D2773" s="70"/>
      <c r="E2773" s="70"/>
      <c r="F2773" s="70"/>
      <c r="G2773" s="70"/>
      <c r="H2773" s="85"/>
      <c r="I2773" s="85"/>
      <c r="J2773" s="131"/>
      <c r="K2773" s="60"/>
      <c r="L2773" s="33"/>
      <c r="P2773" s="3"/>
      <c r="Q2773" s="3"/>
      <c r="R2773" s="3"/>
      <c r="S2773" s="3"/>
      <c r="T2773" s="3"/>
      <c r="U2773" s="3"/>
      <c r="V2773" s="3"/>
      <c r="W2773" s="3"/>
      <c r="X2773" s="3"/>
      <c r="Y2773" s="4"/>
      <c r="Z2773"/>
      <c r="AA2773"/>
    </row>
    <row r="2774" spans="1:27" s="37" customFormat="1" x14ac:dyDescent="0.15">
      <c r="A2774" s="166"/>
      <c r="B2774" s="93"/>
      <c r="C2774" s="70"/>
      <c r="D2774" s="70"/>
      <c r="E2774" s="70"/>
      <c r="F2774" s="70"/>
      <c r="G2774" s="70"/>
      <c r="H2774" s="85"/>
      <c r="I2774" s="85"/>
      <c r="J2774" s="131"/>
      <c r="K2774" s="60"/>
      <c r="L2774" s="33"/>
      <c r="P2774" s="3"/>
      <c r="Q2774" s="3"/>
      <c r="R2774" s="3"/>
      <c r="S2774" s="3"/>
      <c r="T2774" s="3"/>
      <c r="U2774" s="3"/>
      <c r="V2774" s="3"/>
      <c r="W2774" s="3"/>
      <c r="X2774" s="3"/>
      <c r="Y2774" s="4"/>
      <c r="Z2774"/>
      <c r="AA2774"/>
    </row>
    <row r="2775" spans="1:27" s="37" customFormat="1" x14ac:dyDescent="0.15">
      <c r="A2775" s="166"/>
      <c r="B2775" s="82"/>
      <c r="C2775" s="70"/>
      <c r="D2775" s="70"/>
      <c r="E2775" s="70"/>
      <c r="F2775" s="70"/>
      <c r="G2775" s="70"/>
      <c r="H2775" s="85"/>
      <c r="I2775" s="85"/>
      <c r="J2775" s="131"/>
      <c r="K2775" s="60"/>
      <c r="L2775" s="33"/>
      <c r="P2775" s="3"/>
      <c r="Q2775" s="3"/>
      <c r="R2775" s="3"/>
      <c r="S2775" s="3"/>
      <c r="T2775" s="3"/>
      <c r="U2775" s="3"/>
      <c r="V2775" s="3"/>
      <c r="W2775" s="3"/>
      <c r="X2775" s="3"/>
      <c r="Y2775" s="4"/>
      <c r="Z2775"/>
      <c r="AA2775"/>
    </row>
    <row r="2776" spans="1:27" s="37" customFormat="1" x14ac:dyDescent="0.15">
      <c r="A2776" s="166"/>
      <c r="B2776" s="93"/>
      <c r="C2776" s="70"/>
      <c r="D2776" s="70"/>
      <c r="E2776" s="70"/>
      <c r="F2776" s="70"/>
      <c r="G2776" s="70"/>
      <c r="H2776" s="85"/>
      <c r="I2776" s="85"/>
      <c r="J2776" s="131"/>
      <c r="K2776" s="60"/>
      <c r="L2776" s="33"/>
      <c r="P2776" s="3"/>
      <c r="Q2776" s="3"/>
      <c r="R2776" s="3"/>
      <c r="S2776" s="3"/>
      <c r="T2776" s="3"/>
      <c r="U2776" s="3"/>
      <c r="V2776" s="3"/>
      <c r="W2776" s="3"/>
      <c r="X2776" s="3"/>
      <c r="Y2776" s="4"/>
      <c r="Z2776"/>
      <c r="AA2776"/>
    </row>
    <row r="2777" spans="1:27" s="37" customFormat="1" x14ac:dyDescent="0.15">
      <c r="A2777" s="166"/>
      <c r="B2777" s="82"/>
      <c r="C2777" s="70"/>
      <c r="D2777" s="70"/>
      <c r="E2777" s="70"/>
      <c r="F2777" s="70"/>
      <c r="G2777" s="70"/>
      <c r="H2777" s="85"/>
      <c r="I2777" s="85"/>
      <c r="J2777" s="131"/>
      <c r="K2777" s="60"/>
      <c r="L2777" s="33"/>
      <c r="P2777" s="3"/>
      <c r="Q2777" s="3"/>
      <c r="R2777" s="3"/>
      <c r="S2777" s="3"/>
      <c r="T2777" s="3"/>
      <c r="U2777" s="3"/>
      <c r="V2777" s="3"/>
      <c r="W2777" s="3"/>
      <c r="X2777" s="3"/>
      <c r="Y2777" s="4"/>
      <c r="Z2777"/>
      <c r="AA2777"/>
    </row>
    <row r="2778" spans="1:27" s="37" customFormat="1" x14ac:dyDescent="0.15">
      <c r="A2778" s="166"/>
      <c r="B2778" s="82"/>
      <c r="C2778" s="70"/>
      <c r="D2778" s="70"/>
      <c r="E2778" s="70"/>
      <c r="F2778" s="70"/>
      <c r="G2778" s="70"/>
      <c r="H2778" s="85"/>
      <c r="I2778" s="85"/>
      <c r="J2778" s="131"/>
      <c r="K2778" s="60"/>
      <c r="L2778" s="33"/>
      <c r="P2778" s="3"/>
      <c r="Q2778" s="3"/>
      <c r="R2778" s="3"/>
      <c r="S2778" s="3"/>
      <c r="T2778" s="3"/>
      <c r="U2778" s="3"/>
      <c r="V2778" s="3"/>
      <c r="W2778" s="3"/>
      <c r="X2778" s="3"/>
      <c r="Y2778" s="4"/>
      <c r="Z2778"/>
      <c r="AA2778"/>
    </row>
    <row r="2779" spans="1:27" s="37" customFormat="1" x14ac:dyDescent="0.15">
      <c r="A2779" s="166"/>
      <c r="B2779" s="93"/>
      <c r="C2779" s="70"/>
      <c r="D2779" s="70"/>
      <c r="E2779" s="70"/>
      <c r="F2779" s="70"/>
      <c r="G2779" s="70"/>
      <c r="H2779" s="85"/>
      <c r="I2779" s="85"/>
      <c r="J2779" s="131"/>
      <c r="K2779" s="60"/>
      <c r="L2779" s="33"/>
      <c r="P2779" s="3"/>
      <c r="Q2779" s="3"/>
      <c r="R2779" s="3"/>
      <c r="S2779" s="3"/>
      <c r="T2779" s="3"/>
      <c r="U2779" s="3"/>
      <c r="V2779" s="3"/>
      <c r="W2779" s="3"/>
      <c r="X2779" s="3"/>
      <c r="Y2779" s="4"/>
      <c r="Z2779"/>
      <c r="AA2779"/>
    </row>
    <row r="2780" spans="1:27" s="37" customFormat="1" x14ac:dyDescent="0.15">
      <c r="A2780" s="166"/>
      <c r="B2780" s="93"/>
      <c r="C2780" s="70"/>
      <c r="D2780" s="70"/>
      <c r="E2780" s="70"/>
      <c r="F2780" s="70"/>
      <c r="G2780" s="70"/>
      <c r="H2780" s="85"/>
      <c r="I2780" s="85"/>
      <c r="J2780" s="131"/>
      <c r="K2780" s="60"/>
      <c r="L2780" s="33"/>
      <c r="P2780" s="3"/>
      <c r="Q2780" s="3"/>
      <c r="R2780" s="3"/>
      <c r="S2780" s="3"/>
      <c r="T2780" s="3"/>
      <c r="U2780" s="3"/>
      <c r="V2780" s="3"/>
      <c r="W2780" s="3"/>
      <c r="X2780" s="3"/>
      <c r="Y2780" s="4"/>
      <c r="Z2780"/>
      <c r="AA2780"/>
    </row>
    <row r="2781" spans="1:27" s="37" customFormat="1" x14ac:dyDescent="0.15">
      <c r="A2781" s="166"/>
      <c r="B2781" s="93"/>
      <c r="C2781" s="70"/>
      <c r="D2781" s="70"/>
      <c r="E2781" s="70"/>
      <c r="F2781" s="70"/>
      <c r="G2781" s="70"/>
      <c r="H2781" s="85"/>
      <c r="I2781" s="85"/>
      <c r="J2781" s="141"/>
      <c r="K2781" s="60"/>
      <c r="L2781" s="33"/>
      <c r="P2781" s="3"/>
      <c r="Q2781" s="3"/>
      <c r="R2781" s="3"/>
      <c r="S2781" s="3"/>
      <c r="T2781" s="3"/>
      <c r="U2781" s="3"/>
      <c r="V2781" s="3"/>
      <c r="W2781" s="3"/>
      <c r="X2781" s="3"/>
      <c r="Y2781" s="4"/>
      <c r="Z2781"/>
      <c r="AA2781"/>
    </row>
    <row r="2782" spans="1:27" s="37" customFormat="1" x14ac:dyDescent="0.15">
      <c r="A2782" s="166"/>
      <c r="B2782" s="93"/>
      <c r="C2782" s="70"/>
      <c r="D2782" s="70"/>
      <c r="E2782" s="70"/>
      <c r="F2782" s="70"/>
      <c r="G2782" s="70"/>
      <c r="H2782" s="85"/>
      <c r="I2782" s="85"/>
      <c r="J2782" s="131"/>
      <c r="K2782" s="60"/>
      <c r="L2782" s="33"/>
      <c r="P2782" s="3"/>
      <c r="Q2782" s="3"/>
      <c r="R2782" s="3"/>
      <c r="S2782" s="3"/>
      <c r="T2782" s="3"/>
      <c r="U2782" s="3"/>
      <c r="V2782" s="3"/>
      <c r="W2782" s="3"/>
      <c r="X2782" s="3"/>
      <c r="Y2782" s="4"/>
      <c r="Z2782"/>
      <c r="AA2782"/>
    </row>
    <row r="2783" spans="1:27" s="37" customFormat="1" x14ac:dyDescent="0.15">
      <c r="A2783" s="166"/>
      <c r="B2783" s="93"/>
      <c r="C2783" s="70"/>
      <c r="D2783" s="70"/>
      <c r="E2783" s="70"/>
      <c r="F2783" s="70"/>
      <c r="G2783" s="70"/>
      <c r="H2783" s="85"/>
      <c r="I2783" s="85"/>
      <c r="J2783" s="131"/>
      <c r="K2783" s="60"/>
      <c r="L2783" s="33"/>
      <c r="P2783" s="3"/>
      <c r="Q2783" s="3"/>
      <c r="R2783" s="3"/>
      <c r="S2783" s="3"/>
      <c r="T2783" s="3"/>
      <c r="U2783" s="3"/>
      <c r="V2783" s="3"/>
      <c r="W2783" s="3"/>
      <c r="X2783" s="3"/>
      <c r="Y2783" s="4"/>
      <c r="Z2783"/>
      <c r="AA2783"/>
    </row>
    <row r="2784" spans="1:27" s="37" customFormat="1" x14ac:dyDescent="0.15">
      <c r="A2784" s="166"/>
      <c r="B2784" s="93"/>
      <c r="C2784" s="70"/>
      <c r="D2784" s="70"/>
      <c r="E2784" s="70"/>
      <c r="F2784" s="70"/>
      <c r="G2784" s="70"/>
      <c r="H2784" s="85"/>
      <c r="I2784" s="85"/>
      <c r="J2784" s="131"/>
      <c r="K2784" s="60"/>
      <c r="L2784" s="33"/>
      <c r="P2784" s="3"/>
      <c r="Q2784" s="3"/>
      <c r="R2784" s="3"/>
      <c r="S2784" s="3"/>
      <c r="T2784" s="3"/>
      <c r="U2784" s="3"/>
      <c r="V2784" s="3"/>
      <c r="W2784" s="3"/>
      <c r="X2784" s="3"/>
      <c r="Y2784" s="4"/>
      <c r="Z2784"/>
      <c r="AA2784"/>
    </row>
    <row r="2785" spans="1:27" s="37" customFormat="1" x14ac:dyDescent="0.15">
      <c r="A2785" s="166"/>
      <c r="B2785" s="93"/>
      <c r="C2785" s="70"/>
      <c r="D2785" s="70"/>
      <c r="E2785" s="70"/>
      <c r="F2785" s="70"/>
      <c r="G2785" s="70"/>
      <c r="H2785" s="85"/>
      <c r="I2785" s="85"/>
      <c r="J2785" s="131"/>
      <c r="K2785" s="60"/>
      <c r="L2785" s="33"/>
      <c r="P2785" s="3"/>
      <c r="Q2785" s="3"/>
      <c r="R2785" s="3"/>
      <c r="S2785" s="3"/>
      <c r="T2785" s="3"/>
      <c r="U2785" s="3"/>
      <c r="V2785" s="3"/>
      <c r="W2785" s="3"/>
      <c r="X2785" s="3"/>
      <c r="Y2785" s="4"/>
      <c r="Z2785"/>
      <c r="AA2785"/>
    </row>
    <row r="2786" spans="1:27" s="37" customFormat="1" x14ac:dyDescent="0.15">
      <c r="A2786" s="166"/>
      <c r="B2786" s="93"/>
      <c r="C2786" s="70"/>
      <c r="D2786" s="70"/>
      <c r="E2786" s="70"/>
      <c r="F2786" s="70"/>
      <c r="G2786" s="70"/>
      <c r="H2786" s="85"/>
      <c r="I2786" s="85"/>
      <c r="J2786" s="131"/>
      <c r="K2786" s="60"/>
      <c r="L2786" s="33"/>
      <c r="P2786" s="3"/>
      <c r="Q2786" s="3"/>
      <c r="R2786" s="3"/>
      <c r="S2786" s="3"/>
      <c r="T2786" s="3"/>
      <c r="U2786" s="3"/>
      <c r="V2786" s="3"/>
      <c r="W2786" s="3"/>
      <c r="X2786" s="3"/>
      <c r="Y2786" s="4"/>
      <c r="Z2786"/>
      <c r="AA2786"/>
    </row>
    <row r="2787" spans="1:27" s="37" customFormat="1" x14ac:dyDescent="0.15">
      <c r="A2787" s="166"/>
      <c r="B2787" s="93"/>
      <c r="C2787" s="70"/>
      <c r="D2787" s="70"/>
      <c r="E2787" s="70"/>
      <c r="F2787" s="70"/>
      <c r="G2787" s="70"/>
      <c r="H2787" s="85"/>
      <c r="I2787" s="85"/>
      <c r="J2787" s="141"/>
      <c r="K2787" s="60"/>
      <c r="L2787" s="33"/>
      <c r="P2787" s="3"/>
      <c r="Q2787" s="3"/>
      <c r="R2787" s="3"/>
      <c r="S2787" s="3"/>
      <c r="T2787" s="3"/>
      <c r="U2787" s="3"/>
      <c r="V2787" s="3"/>
      <c r="W2787" s="3"/>
      <c r="X2787" s="3"/>
      <c r="Y2787" s="4"/>
      <c r="Z2787"/>
      <c r="AA2787"/>
    </row>
    <row r="2788" spans="1:27" s="37" customFormat="1" ht="16" x14ac:dyDescent="0.2">
      <c r="A2788" s="166"/>
      <c r="B2788" s="93"/>
      <c r="C2788" s="70"/>
      <c r="D2788" s="70"/>
      <c r="E2788" s="70"/>
      <c r="F2788" s="70"/>
      <c r="G2788" s="70"/>
      <c r="H2788" s="85"/>
      <c r="I2788" s="85"/>
      <c r="J2788" s="131"/>
      <c r="K2788" s="60"/>
      <c r="L2788" s="47"/>
      <c r="P2788" s="3"/>
      <c r="Q2788" s="3"/>
      <c r="R2788" s="3"/>
      <c r="S2788" s="3"/>
      <c r="T2788" s="3"/>
      <c r="U2788" s="3"/>
      <c r="V2788" s="3"/>
      <c r="W2788" s="3"/>
      <c r="X2788" s="3"/>
      <c r="Y2788" s="4"/>
      <c r="Z2788"/>
      <c r="AA2788"/>
    </row>
    <row r="2789" spans="1:27" s="37" customFormat="1" x14ac:dyDescent="0.15">
      <c r="A2789" s="166"/>
      <c r="B2789" s="93"/>
      <c r="C2789" s="70"/>
      <c r="D2789" s="70"/>
      <c r="E2789" s="70"/>
      <c r="F2789" s="70"/>
      <c r="G2789" s="70"/>
      <c r="H2789" s="85"/>
      <c r="I2789" s="85"/>
      <c r="J2789" s="131"/>
      <c r="K2789" s="60"/>
      <c r="L2789" s="33"/>
      <c r="P2789" s="3"/>
      <c r="Q2789" s="3"/>
      <c r="R2789" s="3"/>
      <c r="S2789" s="3"/>
      <c r="T2789" s="3"/>
      <c r="U2789" s="3"/>
      <c r="V2789" s="3"/>
      <c r="W2789" s="3"/>
      <c r="X2789" s="3"/>
      <c r="Y2789" s="4"/>
      <c r="Z2789"/>
      <c r="AA2789"/>
    </row>
    <row r="2790" spans="1:27" s="37" customFormat="1" ht="16" x14ac:dyDescent="0.2">
      <c r="A2790" s="166"/>
      <c r="B2790" s="93"/>
      <c r="C2790" s="70"/>
      <c r="D2790" s="70"/>
      <c r="E2790" s="70"/>
      <c r="F2790" s="70"/>
      <c r="G2790" s="70"/>
      <c r="H2790" s="85"/>
      <c r="I2790" s="85"/>
      <c r="J2790" s="131"/>
      <c r="K2790" s="60"/>
      <c r="L2790" s="47"/>
      <c r="P2790" s="3"/>
      <c r="Q2790" s="3"/>
      <c r="R2790" s="3"/>
      <c r="S2790" s="3"/>
      <c r="T2790" s="3"/>
      <c r="U2790" s="3"/>
      <c r="V2790" s="3"/>
      <c r="W2790" s="3"/>
      <c r="X2790" s="3"/>
      <c r="Y2790" s="4"/>
      <c r="Z2790"/>
      <c r="AA2790"/>
    </row>
    <row r="2791" spans="1:27" s="37" customFormat="1" x14ac:dyDescent="0.15">
      <c r="A2791" s="166"/>
      <c r="B2791" s="93"/>
      <c r="C2791" s="70"/>
      <c r="D2791" s="70"/>
      <c r="E2791" s="70"/>
      <c r="F2791" s="70"/>
      <c r="G2791" s="70"/>
      <c r="H2791" s="85"/>
      <c r="I2791" s="85"/>
      <c r="J2791" s="131"/>
      <c r="K2791" s="60"/>
      <c r="L2791" s="33"/>
      <c r="P2791" s="3"/>
      <c r="Q2791" s="3"/>
      <c r="R2791" s="3"/>
      <c r="S2791" s="3"/>
      <c r="T2791" s="3"/>
      <c r="U2791" s="3"/>
      <c r="V2791" s="3"/>
      <c r="W2791" s="3"/>
      <c r="X2791" s="3"/>
      <c r="Y2791" s="4"/>
      <c r="Z2791"/>
      <c r="AA2791"/>
    </row>
    <row r="2792" spans="1:27" s="37" customFormat="1" x14ac:dyDescent="0.15">
      <c r="A2792" s="166"/>
      <c r="B2792" s="82"/>
      <c r="C2792" s="70"/>
      <c r="D2792" s="70"/>
      <c r="E2792" s="70"/>
      <c r="F2792" s="70"/>
      <c r="G2792" s="70"/>
      <c r="H2792" s="85"/>
      <c r="I2792" s="85"/>
      <c r="J2792" s="131"/>
      <c r="K2792" s="60"/>
      <c r="L2792" s="33"/>
      <c r="P2792" s="3"/>
      <c r="Q2792" s="3"/>
      <c r="R2792" s="3"/>
      <c r="S2792" s="3"/>
      <c r="T2792" s="3"/>
      <c r="U2792" s="3"/>
      <c r="V2792" s="3"/>
      <c r="W2792" s="3"/>
      <c r="X2792" s="3"/>
      <c r="Y2792" s="4"/>
      <c r="Z2792"/>
      <c r="AA2792"/>
    </row>
    <row r="2793" spans="1:27" s="37" customFormat="1" x14ac:dyDescent="0.15">
      <c r="A2793" s="166"/>
      <c r="B2793" s="82"/>
      <c r="C2793" s="70"/>
      <c r="D2793" s="70"/>
      <c r="E2793" s="70"/>
      <c r="F2793" s="70"/>
      <c r="G2793" s="70"/>
      <c r="H2793" s="85"/>
      <c r="I2793" s="85"/>
      <c r="J2793" s="131"/>
      <c r="K2793" s="60"/>
      <c r="L2793" s="33"/>
      <c r="P2793" s="3"/>
      <c r="Q2793" s="3"/>
      <c r="R2793" s="3"/>
      <c r="S2793" s="3"/>
      <c r="T2793" s="3"/>
      <c r="U2793" s="3"/>
      <c r="V2793" s="3"/>
      <c r="W2793" s="3"/>
      <c r="X2793" s="3"/>
      <c r="Y2793" s="4"/>
      <c r="Z2793"/>
      <c r="AA2793"/>
    </row>
    <row r="2794" spans="1:27" s="37" customFormat="1" x14ac:dyDescent="0.15">
      <c r="A2794" s="166"/>
      <c r="B2794" s="82"/>
      <c r="C2794" s="70"/>
      <c r="D2794" s="70"/>
      <c r="E2794" s="70"/>
      <c r="F2794" s="70"/>
      <c r="G2794" s="70"/>
      <c r="H2794" s="85"/>
      <c r="I2794" s="85"/>
      <c r="J2794" s="131"/>
      <c r="K2794" s="60"/>
      <c r="L2794" s="33"/>
      <c r="P2794" s="3"/>
      <c r="Q2794" s="3"/>
      <c r="R2794" s="3"/>
      <c r="S2794" s="3"/>
      <c r="T2794" s="3"/>
      <c r="U2794" s="3"/>
      <c r="V2794" s="3"/>
      <c r="W2794" s="3"/>
      <c r="X2794" s="3"/>
      <c r="Y2794" s="4"/>
      <c r="Z2794"/>
      <c r="AA2794"/>
    </row>
    <row r="2795" spans="1:27" s="37" customFormat="1" x14ac:dyDescent="0.15">
      <c r="A2795" s="166"/>
      <c r="B2795" s="93"/>
      <c r="C2795" s="70"/>
      <c r="D2795" s="70"/>
      <c r="E2795" s="70"/>
      <c r="F2795" s="70"/>
      <c r="G2795" s="70"/>
      <c r="H2795" s="85"/>
      <c r="I2795" s="85"/>
      <c r="J2795" s="131"/>
      <c r="K2795" s="60"/>
      <c r="L2795" s="33"/>
      <c r="P2795" s="3"/>
      <c r="Q2795" s="3"/>
      <c r="R2795" s="3"/>
      <c r="S2795" s="3"/>
      <c r="T2795" s="3"/>
      <c r="U2795" s="3"/>
      <c r="V2795" s="3"/>
      <c r="W2795" s="3"/>
      <c r="X2795" s="3"/>
      <c r="Y2795" s="4"/>
      <c r="Z2795"/>
      <c r="AA2795"/>
    </row>
    <row r="2796" spans="1:27" s="37" customFormat="1" x14ac:dyDescent="0.15">
      <c r="A2796" s="166"/>
      <c r="B2796" s="82"/>
      <c r="C2796" s="70"/>
      <c r="D2796" s="70"/>
      <c r="E2796" s="70"/>
      <c r="F2796" s="70"/>
      <c r="G2796" s="70"/>
      <c r="H2796" s="85"/>
      <c r="I2796" s="85"/>
      <c r="J2796" s="141"/>
      <c r="K2796" s="60"/>
      <c r="L2796" s="33"/>
      <c r="P2796" s="3"/>
      <c r="Q2796" s="3"/>
      <c r="R2796" s="3"/>
      <c r="S2796" s="3"/>
      <c r="T2796" s="3"/>
      <c r="U2796" s="3"/>
      <c r="V2796" s="3"/>
      <c r="W2796" s="3"/>
      <c r="X2796" s="3"/>
      <c r="Y2796" s="4"/>
      <c r="Z2796"/>
      <c r="AA2796"/>
    </row>
    <row r="2797" spans="1:27" s="37" customFormat="1" x14ac:dyDescent="0.15">
      <c r="A2797" s="166"/>
      <c r="B2797" s="93"/>
      <c r="C2797" s="70"/>
      <c r="D2797" s="70"/>
      <c r="E2797" s="70"/>
      <c r="F2797" s="70"/>
      <c r="G2797" s="70"/>
      <c r="H2797" s="85"/>
      <c r="I2797" s="85"/>
      <c r="J2797" s="131"/>
      <c r="K2797" s="60"/>
      <c r="L2797" s="33"/>
      <c r="M2797" s="32"/>
      <c r="P2797" s="3"/>
      <c r="Q2797" s="3"/>
      <c r="R2797" s="3"/>
      <c r="S2797" s="3"/>
      <c r="T2797" s="3"/>
      <c r="U2797" s="3"/>
      <c r="V2797" s="3"/>
      <c r="W2797" s="3"/>
      <c r="X2797" s="3"/>
      <c r="Y2797" s="4"/>
      <c r="Z2797"/>
      <c r="AA2797"/>
    </row>
    <row r="2798" spans="1:27" s="37" customFormat="1" x14ac:dyDescent="0.15">
      <c r="A2798" s="166"/>
      <c r="B2798" s="93"/>
      <c r="C2798" s="70"/>
      <c r="D2798" s="70"/>
      <c r="E2798" s="70"/>
      <c r="F2798" s="70"/>
      <c r="G2798" s="70"/>
      <c r="H2798" s="85"/>
      <c r="I2798" s="85"/>
      <c r="J2798" s="131"/>
      <c r="K2798" s="60"/>
      <c r="L2798" s="33"/>
      <c r="P2798" s="3"/>
      <c r="Q2798" s="3"/>
      <c r="R2798" s="3"/>
      <c r="S2798" s="3"/>
      <c r="T2798" s="3"/>
      <c r="U2798" s="3"/>
      <c r="V2798" s="3"/>
      <c r="W2798" s="3"/>
      <c r="X2798" s="3"/>
      <c r="Y2798" s="4"/>
      <c r="Z2798"/>
      <c r="AA2798"/>
    </row>
    <row r="2799" spans="1:27" s="37" customFormat="1" x14ac:dyDescent="0.15">
      <c r="A2799" s="166"/>
      <c r="B2799" s="93"/>
      <c r="C2799" s="70"/>
      <c r="D2799" s="70"/>
      <c r="E2799" s="70"/>
      <c r="F2799" s="70"/>
      <c r="G2799" s="70"/>
      <c r="H2799" s="85"/>
      <c r="I2799" s="85"/>
      <c r="J2799" s="131"/>
      <c r="K2799" s="60"/>
      <c r="L2799" s="33"/>
      <c r="P2799" s="3"/>
      <c r="Q2799" s="3"/>
      <c r="R2799" s="3"/>
      <c r="S2799" s="3"/>
      <c r="T2799" s="3"/>
      <c r="U2799" s="3"/>
      <c r="V2799" s="3"/>
      <c r="W2799" s="3"/>
      <c r="X2799" s="3"/>
      <c r="Y2799" s="4"/>
      <c r="Z2799"/>
      <c r="AA2799"/>
    </row>
    <row r="2800" spans="1:27" s="37" customFormat="1" x14ac:dyDescent="0.15">
      <c r="A2800" s="166"/>
      <c r="B2800" s="82"/>
      <c r="C2800" s="70"/>
      <c r="D2800" s="70"/>
      <c r="E2800" s="70"/>
      <c r="F2800" s="70"/>
      <c r="G2800" s="70"/>
      <c r="H2800" s="85"/>
      <c r="I2800" s="85"/>
      <c r="J2800" s="131"/>
      <c r="K2800" s="60"/>
      <c r="L2800" s="33"/>
      <c r="P2800" s="3"/>
      <c r="Q2800" s="3"/>
      <c r="R2800" s="3"/>
      <c r="S2800" s="3"/>
      <c r="T2800" s="3"/>
      <c r="U2800" s="3"/>
      <c r="V2800" s="3"/>
      <c r="W2800" s="3"/>
      <c r="X2800" s="3"/>
      <c r="Y2800" s="4"/>
      <c r="Z2800"/>
      <c r="AA2800"/>
    </row>
    <row r="2801" spans="1:27" s="37" customFormat="1" ht="16" x14ac:dyDescent="0.2">
      <c r="A2801" s="166"/>
      <c r="B2801" s="93"/>
      <c r="C2801" s="70"/>
      <c r="D2801" s="70"/>
      <c r="E2801" s="70"/>
      <c r="F2801" s="70"/>
      <c r="G2801" s="70"/>
      <c r="H2801" s="85"/>
      <c r="I2801" s="85"/>
      <c r="J2801" s="131"/>
      <c r="K2801" s="60"/>
      <c r="L2801" s="33"/>
      <c r="M2801" s="48"/>
      <c r="P2801" s="3"/>
      <c r="Q2801" s="3"/>
      <c r="R2801" s="3"/>
      <c r="S2801" s="3"/>
      <c r="T2801" s="3"/>
      <c r="U2801" s="3"/>
      <c r="V2801" s="3"/>
      <c r="W2801" s="3"/>
      <c r="X2801" s="3"/>
      <c r="Y2801" s="4"/>
      <c r="Z2801"/>
      <c r="AA2801"/>
    </row>
    <row r="2802" spans="1:27" s="37" customFormat="1" ht="16" x14ac:dyDescent="0.2">
      <c r="A2802" s="166"/>
      <c r="B2802" s="93"/>
      <c r="C2802" s="70"/>
      <c r="D2802" s="70"/>
      <c r="E2802" s="70"/>
      <c r="F2802" s="70"/>
      <c r="G2802" s="70"/>
      <c r="H2802" s="85"/>
      <c r="I2802" s="85"/>
      <c r="J2802" s="131"/>
      <c r="K2802" s="60"/>
      <c r="L2802" s="47"/>
      <c r="P2802" s="3"/>
      <c r="Q2802" s="3"/>
      <c r="R2802" s="3"/>
      <c r="S2802" s="3"/>
      <c r="T2802" s="3"/>
      <c r="U2802" s="3"/>
      <c r="V2802" s="3"/>
      <c r="W2802" s="3"/>
      <c r="X2802" s="3"/>
      <c r="Y2802" s="4"/>
      <c r="Z2802"/>
      <c r="AA2802"/>
    </row>
    <row r="2803" spans="1:27" s="37" customFormat="1" x14ac:dyDescent="0.15">
      <c r="A2803" s="166"/>
      <c r="B2803" s="93"/>
      <c r="C2803" s="70"/>
      <c r="D2803" s="70"/>
      <c r="E2803" s="70"/>
      <c r="F2803" s="70"/>
      <c r="G2803" s="70"/>
      <c r="H2803" s="85"/>
      <c r="I2803" s="85"/>
      <c r="J2803" s="131"/>
      <c r="K2803" s="60"/>
      <c r="L2803" s="33"/>
      <c r="P2803" s="3"/>
      <c r="Q2803" s="3"/>
      <c r="R2803" s="3"/>
      <c r="S2803" s="3"/>
      <c r="T2803" s="3"/>
      <c r="U2803" s="3"/>
      <c r="V2803" s="3"/>
      <c r="W2803" s="3"/>
      <c r="X2803" s="3"/>
      <c r="Y2803" s="4"/>
      <c r="Z2803"/>
      <c r="AA2803"/>
    </row>
    <row r="2804" spans="1:27" s="37" customFormat="1" x14ac:dyDescent="0.15">
      <c r="A2804" s="166"/>
      <c r="B2804" s="93"/>
      <c r="C2804" s="70"/>
      <c r="D2804" s="70"/>
      <c r="E2804" s="70"/>
      <c r="F2804" s="70"/>
      <c r="G2804" s="70"/>
      <c r="H2804" s="85"/>
      <c r="I2804" s="85"/>
      <c r="J2804" s="131"/>
      <c r="K2804" s="60"/>
      <c r="L2804" s="33"/>
      <c r="P2804" s="3"/>
      <c r="Q2804" s="3"/>
      <c r="R2804" s="3"/>
      <c r="S2804" s="3"/>
      <c r="T2804" s="3"/>
      <c r="U2804" s="3"/>
      <c r="V2804" s="3"/>
      <c r="W2804" s="3"/>
      <c r="X2804" s="3"/>
      <c r="Y2804" s="4"/>
      <c r="Z2804"/>
      <c r="AA2804"/>
    </row>
    <row r="2805" spans="1:27" s="37" customFormat="1" x14ac:dyDescent="0.15">
      <c r="A2805" s="166"/>
      <c r="B2805" s="93"/>
      <c r="C2805" s="70"/>
      <c r="D2805" s="70"/>
      <c r="E2805" s="70"/>
      <c r="F2805" s="70"/>
      <c r="G2805" s="70"/>
      <c r="H2805" s="85"/>
      <c r="I2805" s="85"/>
      <c r="J2805" s="131"/>
      <c r="K2805" s="60"/>
      <c r="L2805" s="33"/>
      <c r="P2805" s="3"/>
      <c r="Q2805" s="3"/>
      <c r="R2805" s="3"/>
      <c r="S2805" s="3"/>
      <c r="T2805" s="3"/>
      <c r="U2805" s="3"/>
      <c r="V2805" s="3"/>
      <c r="W2805" s="3"/>
      <c r="X2805" s="3"/>
      <c r="Y2805" s="4"/>
      <c r="Z2805"/>
      <c r="AA2805"/>
    </row>
    <row r="2806" spans="1:27" s="37" customFormat="1" ht="16" x14ac:dyDescent="0.2">
      <c r="A2806" s="166"/>
      <c r="B2806" s="93"/>
      <c r="C2806" s="70"/>
      <c r="D2806" s="70"/>
      <c r="E2806" s="70"/>
      <c r="F2806" s="70"/>
      <c r="G2806" s="70"/>
      <c r="H2806" s="85"/>
      <c r="I2806" s="85"/>
      <c r="J2806" s="131"/>
      <c r="K2806" s="60"/>
      <c r="L2806" s="47"/>
      <c r="P2806" s="3"/>
      <c r="Q2806" s="3"/>
      <c r="R2806" s="3"/>
      <c r="S2806" s="3"/>
      <c r="T2806" s="3"/>
      <c r="U2806" s="3"/>
      <c r="V2806" s="3"/>
      <c r="W2806" s="3"/>
      <c r="X2806" s="3"/>
      <c r="Y2806" s="4"/>
      <c r="Z2806"/>
      <c r="AA2806"/>
    </row>
    <row r="2807" spans="1:27" s="37" customFormat="1" x14ac:dyDescent="0.15">
      <c r="A2807" s="166"/>
      <c r="B2807" s="93"/>
      <c r="C2807" s="70"/>
      <c r="D2807" s="70"/>
      <c r="E2807" s="70"/>
      <c r="F2807" s="70"/>
      <c r="G2807" s="70"/>
      <c r="H2807" s="85"/>
      <c r="I2807" s="85"/>
      <c r="J2807" s="131"/>
      <c r="K2807" s="60"/>
      <c r="L2807" s="33"/>
      <c r="P2807" s="3"/>
      <c r="Q2807" s="3"/>
      <c r="R2807" s="3"/>
      <c r="S2807" s="3"/>
      <c r="T2807" s="3"/>
      <c r="U2807" s="3"/>
      <c r="V2807" s="3"/>
      <c r="W2807" s="3"/>
      <c r="X2807" s="3"/>
      <c r="Y2807" s="4"/>
      <c r="Z2807"/>
      <c r="AA2807"/>
    </row>
    <row r="2808" spans="1:27" s="37" customFormat="1" x14ac:dyDescent="0.15">
      <c r="A2808" s="166"/>
      <c r="B2808" s="93"/>
      <c r="C2808" s="70"/>
      <c r="D2808" s="70"/>
      <c r="E2808" s="70"/>
      <c r="F2808" s="70"/>
      <c r="G2808" s="70"/>
      <c r="H2808" s="85"/>
      <c r="I2808" s="85"/>
      <c r="J2808" s="131"/>
      <c r="K2808" s="60"/>
      <c r="L2808" s="33"/>
      <c r="P2808" s="3"/>
      <c r="Q2808" s="3"/>
      <c r="R2808" s="3"/>
      <c r="S2808" s="3"/>
      <c r="T2808" s="3"/>
      <c r="U2808" s="3"/>
      <c r="V2808" s="3"/>
      <c r="W2808" s="3"/>
      <c r="X2808" s="3"/>
      <c r="Y2808" s="4"/>
      <c r="Z2808"/>
      <c r="AA2808"/>
    </row>
    <row r="2809" spans="1:27" s="37" customFormat="1" x14ac:dyDescent="0.15">
      <c r="A2809" s="166"/>
      <c r="B2809" s="93"/>
      <c r="C2809" s="70"/>
      <c r="D2809" s="70"/>
      <c r="E2809" s="70"/>
      <c r="F2809" s="70"/>
      <c r="G2809" s="70"/>
      <c r="H2809" s="85"/>
      <c r="I2809" s="85"/>
      <c r="J2809" s="131"/>
      <c r="K2809" s="60"/>
      <c r="L2809" s="33"/>
      <c r="P2809" s="3"/>
      <c r="Q2809" s="3"/>
      <c r="R2809" s="3"/>
      <c r="S2809" s="3"/>
      <c r="T2809" s="3"/>
      <c r="U2809" s="3"/>
      <c r="V2809" s="3"/>
      <c r="W2809" s="3"/>
      <c r="X2809" s="3"/>
      <c r="Y2809" s="4"/>
      <c r="Z2809"/>
      <c r="AA2809"/>
    </row>
    <row r="2810" spans="1:27" s="37" customFormat="1" x14ac:dyDescent="0.15">
      <c r="A2810" s="166"/>
      <c r="B2810" s="93"/>
      <c r="C2810" s="70"/>
      <c r="D2810" s="70"/>
      <c r="E2810" s="70"/>
      <c r="F2810" s="70"/>
      <c r="G2810" s="70"/>
      <c r="H2810" s="85"/>
      <c r="I2810" s="85"/>
      <c r="J2810" s="131"/>
      <c r="K2810" s="60"/>
      <c r="L2810" s="33"/>
      <c r="M2810" s="32"/>
      <c r="P2810" s="3"/>
      <c r="Q2810" s="3"/>
      <c r="R2810" s="3"/>
      <c r="S2810" s="3"/>
      <c r="T2810" s="3"/>
      <c r="U2810" s="3"/>
      <c r="V2810" s="3"/>
      <c r="W2810" s="3"/>
      <c r="X2810" s="3"/>
      <c r="Y2810" s="4"/>
      <c r="Z2810"/>
      <c r="AA2810"/>
    </row>
    <row r="2811" spans="1:27" s="37" customFormat="1" x14ac:dyDescent="0.15">
      <c r="A2811" s="166"/>
      <c r="B2811" s="93"/>
      <c r="C2811" s="70"/>
      <c r="D2811" s="70"/>
      <c r="E2811" s="70"/>
      <c r="F2811" s="70"/>
      <c r="G2811" s="70"/>
      <c r="H2811" s="85"/>
      <c r="I2811" s="85"/>
      <c r="J2811" s="131"/>
      <c r="K2811" s="60"/>
      <c r="L2811" s="33"/>
      <c r="P2811" s="3"/>
      <c r="Q2811" s="3"/>
      <c r="R2811" s="3"/>
      <c r="S2811" s="3"/>
      <c r="T2811" s="3"/>
      <c r="U2811" s="3"/>
      <c r="V2811" s="3"/>
      <c r="W2811" s="3"/>
      <c r="X2811" s="3"/>
      <c r="Y2811" s="4"/>
      <c r="Z2811"/>
      <c r="AA2811"/>
    </row>
    <row r="2812" spans="1:27" s="37" customFormat="1" x14ac:dyDescent="0.15">
      <c r="A2812" s="166"/>
      <c r="B2812" s="93"/>
      <c r="C2812" s="70"/>
      <c r="D2812" s="70"/>
      <c r="E2812" s="70"/>
      <c r="F2812" s="70"/>
      <c r="G2812" s="70"/>
      <c r="H2812" s="85"/>
      <c r="I2812" s="85"/>
      <c r="J2812" s="131"/>
      <c r="K2812" s="60"/>
      <c r="L2812" s="33"/>
      <c r="P2812" s="3"/>
      <c r="Q2812" s="3"/>
      <c r="R2812" s="3"/>
      <c r="S2812" s="3"/>
      <c r="T2812" s="3"/>
      <c r="U2812" s="3"/>
      <c r="V2812" s="3"/>
      <c r="W2812" s="3"/>
      <c r="X2812" s="3"/>
      <c r="Y2812" s="4"/>
      <c r="Z2812"/>
      <c r="AA2812"/>
    </row>
    <row r="2813" spans="1:27" s="37" customFormat="1" ht="16" x14ac:dyDescent="0.2">
      <c r="A2813" s="166"/>
      <c r="B2813" s="93"/>
      <c r="C2813" s="70"/>
      <c r="D2813" s="70"/>
      <c r="E2813" s="70"/>
      <c r="F2813" s="70"/>
      <c r="G2813" s="70"/>
      <c r="H2813" s="85"/>
      <c r="I2813" s="85"/>
      <c r="J2813" s="131"/>
      <c r="K2813" s="60"/>
      <c r="L2813" s="47"/>
      <c r="P2813" s="3"/>
      <c r="Q2813" s="3"/>
      <c r="R2813" s="3"/>
      <c r="S2813" s="3"/>
      <c r="T2813" s="3"/>
      <c r="U2813" s="3"/>
      <c r="V2813" s="3"/>
      <c r="W2813" s="3"/>
      <c r="X2813" s="3"/>
      <c r="Y2813" s="4"/>
      <c r="Z2813"/>
      <c r="AA2813"/>
    </row>
    <row r="2814" spans="1:27" s="37" customFormat="1" x14ac:dyDescent="0.15">
      <c r="A2814" s="166"/>
      <c r="B2814" s="93"/>
      <c r="C2814" s="70"/>
      <c r="D2814" s="70"/>
      <c r="E2814" s="70"/>
      <c r="F2814" s="70"/>
      <c r="G2814" s="70"/>
      <c r="H2814" s="85"/>
      <c r="I2814" s="85"/>
      <c r="J2814" s="131"/>
      <c r="K2814" s="60"/>
      <c r="L2814" s="33"/>
      <c r="P2814" s="3"/>
      <c r="Q2814" s="3"/>
      <c r="R2814" s="3"/>
      <c r="S2814" s="3"/>
      <c r="T2814" s="3"/>
      <c r="U2814" s="3"/>
      <c r="V2814" s="3"/>
      <c r="W2814" s="3"/>
      <c r="X2814" s="3"/>
      <c r="Y2814" s="4"/>
      <c r="Z2814"/>
      <c r="AA2814"/>
    </row>
    <row r="2815" spans="1:27" s="37" customFormat="1" x14ac:dyDescent="0.15">
      <c r="A2815" s="166"/>
      <c r="B2815" s="93"/>
      <c r="C2815" s="70"/>
      <c r="D2815" s="70"/>
      <c r="E2815" s="70"/>
      <c r="F2815" s="70"/>
      <c r="G2815" s="70"/>
      <c r="H2815" s="85"/>
      <c r="I2815" s="85"/>
      <c r="J2815" s="131"/>
      <c r="K2815" s="60"/>
      <c r="L2815" s="33"/>
      <c r="P2815" s="3"/>
      <c r="Q2815" s="3"/>
      <c r="R2815" s="3"/>
      <c r="S2815" s="3"/>
      <c r="T2815" s="3"/>
      <c r="U2815" s="3"/>
      <c r="V2815" s="3"/>
      <c r="W2815" s="3"/>
      <c r="X2815" s="3"/>
      <c r="Y2815" s="4"/>
      <c r="Z2815"/>
      <c r="AA2815"/>
    </row>
    <row r="2816" spans="1:27" s="37" customFormat="1" ht="16" x14ac:dyDescent="0.2">
      <c r="A2816" s="166"/>
      <c r="B2816" s="93"/>
      <c r="C2816" s="70"/>
      <c r="D2816" s="70"/>
      <c r="E2816" s="70"/>
      <c r="F2816" s="70"/>
      <c r="G2816" s="70"/>
      <c r="H2816" s="85"/>
      <c r="I2816" s="85"/>
      <c r="J2816" s="131"/>
      <c r="K2816" s="60"/>
      <c r="L2816" s="47"/>
      <c r="P2816" s="3"/>
      <c r="Q2816" s="3"/>
      <c r="R2816" s="3"/>
      <c r="S2816" s="3"/>
      <c r="T2816" s="3"/>
      <c r="U2816" s="3"/>
      <c r="V2816" s="3"/>
      <c r="W2816" s="3"/>
      <c r="X2816" s="3"/>
      <c r="Y2816" s="4"/>
      <c r="Z2816"/>
      <c r="AA2816"/>
    </row>
    <row r="2817" spans="1:27" s="37" customFormat="1" ht="16" x14ac:dyDescent="0.2">
      <c r="A2817" s="166"/>
      <c r="B2817" s="93"/>
      <c r="C2817" s="70"/>
      <c r="D2817" s="70"/>
      <c r="E2817" s="70"/>
      <c r="F2817" s="70"/>
      <c r="G2817" s="70"/>
      <c r="H2817" s="85"/>
      <c r="I2817" s="85"/>
      <c r="J2817" s="131"/>
      <c r="K2817" s="60"/>
      <c r="L2817" s="47"/>
      <c r="P2817" s="3"/>
      <c r="Q2817" s="3"/>
      <c r="R2817" s="3"/>
      <c r="S2817" s="3"/>
      <c r="T2817" s="3"/>
      <c r="U2817" s="3"/>
      <c r="V2817" s="3"/>
      <c r="W2817" s="3"/>
      <c r="X2817" s="3"/>
      <c r="Y2817" s="4"/>
      <c r="Z2817"/>
      <c r="AA2817"/>
    </row>
    <row r="2818" spans="1:27" s="37" customFormat="1" x14ac:dyDescent="0.15">
      <c r="A2818" s="166"/>
      <c r="B2818" s="93"/>
      <c r="C2818" s="70"/>
      <c r="D2818" s="70"/>
      <c r="E2818" s="70"/>
      <c r="F2818" s="70"/>
      <c r="G2818" s="70"/>
      <c r="H2818" s="85"/>
      <c r="I2818" s="110"/>
      <c r="J2818" s="131"/>
      <c r="K2818" s="63"/>
      <c r="L2818" s="33"/>
      <c r="P2818" s="3"/>
      <c r="Q2818" s="3"/>
      <c r="R2818" s="3"/>
      <c r="S2818" s="3"/>
      <c r="T2818" s="3"/>
      <c r="U2818" s="3"/>
      <c r="V2818" s="3"/>
      <c r="W2818" s="3"/>
      <c r="X2818" s="3"/>
      <c r="Y2818" s="4"/>
      <c r="Z2818"/>
      <c r="AA2818"/>
    </row>
    <row r="2819" spans="1:27" s="37" customFormat="1" ht="16" x14ac:dyDescent="0.2">
      <c r="A2819" s="166"/>
      <c r="B2819" s="93"/>
      <c r="C2819" s="70"/>
      <c r="D2819" s="70"/>
      <c r="E2819" s="70"/>
      <c r="F2819" s="70"/>
      <c r="G2819" s="70"/>
      <c r="H2819" s="85"/>
      <c r="I2819" s="85"/>
      <c r="J2819" s="131"/>
      <c r="K2819" s="60"/>
      <c r="L2819" s="47"/>
      <c r="P2819" s="3"/>
      <c r="Q2819" s="3"/>
      <c r="R2819" s="3"/>
      <c r="S2819" s="3"/>
      <c r="T2819" s="3"/>
      <c r="U2819" s="3"/>
      <c r="V2819" s="3"/>
      <c r="W2819" s="3"/>
      <c r="X2819" s="3"/>
      <c r="Y2819" s="4"/>
      <c r="Z2819"/>
      <c r="AA2819"/>
    </row>
    <row r="2820" spans="1:27" s="37" customFormat="1" ht="16" x14ac:dyDescent="0.2">
      <c r="A2820" s="166"/>
      <c r="B2820" s="93"/>
      <c r="C2820" s="70"/>
      <c r="D2820" s="70"/>
      <c r="E2820" s="70"/>
      <c r="F2820" s="70"/>
      <c r="G2820" s="70"/>
      <c r="H2820" s="85"/>
      <c r="I2820" s="85"/>
      <c r="J2820" s="131"/>
      <c r="K2820" s="60"/>
      <c r="L2820" s="33"/>
      <c r="M2820" s="48"/>
      <c r="P2820" s="3"/>
      <c r="Q2820" s="3"/>
      <c r="R2820" s="3"/>
      <c r="S2820" s="3"/>
      <c r="T2820" s="3"/>
      <c r="U2820" s="3"/>
      <c r="V2820" s="3"/>
      <c r="W2820" s="3"/>
      <c r="X2820" s="3"/>
      <c r="Y2820" s="4"/>
      <c r="Z2820"/>
      <c r="AA2820"/>
    </row>
    <row r="2821" spans="1:27" s="37" customFormat="1" x14ac:dyDescent="0.15">
      <c r="A2821" s="166"/>
      <c r="B2821" s="93"/>
      <c r="C2821" s="70"/>
      <c r="D2821" s="70"/>
      <c r="E2821" s="70"/>
      <c r="F2821" s="70"/>
      <c r="G2821" s="70"/>
      <c r="H2821" s="85"/>
      <c r="I2821" s="85"/>
      <c r="J2821" s="131"/>
      <c r="K2821" s="60"/>
      <c r="L2821" s="33"/>
      <c r="P2821" s="3"/>
      <c r="Q2821" s="3"/>
      <c r="R2821" s="3"/>
      <c r="S2821" s="3"/>
      <c r="T2821" s="3"/>
      <c r="U2821" s="3"/>
      <c r="V2821" s="3"/>
      <c r="W2821" s="3"/>
      <c r="X2821" s="3"/>
      <c r="Y2821" s="4"/>
      <c r="Z2821"/>
      <c r="AA2821"/>
    </row>
    <row r="2822" spans="1:27" s="37" customFormat="1" x14ac:dyDescent="0.15">
      <c r="A2822" s="166"/>
      <c r="B2822" s="93"/>
      <c r="C2822" s="70"/>
      <c r="D2822" s="70"/>
      <c r="E2822" s="70"/>
      <c r="F2822" s="70"/>
      <c r="G2822" s="70"/>
      <c r="H2822" s="85"/>
      <c r="I2822" s="85"/>
      <c r="J2822" s="131"/>
      <c r="K2822" s="60"/>
      <c r="L2822" s="33"/>
      <c r="P2822" s="3"/>
      <c r="Q2822" s="3"/>
      <c r="R2822" s="3"/>
      <c r="S2822" s="3"/>
      <c r="T2822" s="3"/>
      <c r="U2822" s="3"/>
      <c r="V2822" s="3"/>
      <c r="W2822" s="3"/>
      <c r="X2822" s="3"/>
      <c r="Y2822" s="4"/>
      <c r="Z2822"/>
      <c r="AA2822"/>
    </row>
    <row r="2823" spans="1:27" s="37" customFormat="1" x14ac:dyDescent="0.15">
      <c r="A2823" s="166"/>
      <c r="B2823" s="93"/>
      <c r="C2823" s="70"/>
      <c r="D2823" s="70"/>
      <c r="E2823" s="70"/>
      <c r="F2823" s="70"/>
      <c r="G2823" s="70"/>
      <c r="H2823" s="85"/>
      <c r="I2823" s="85"/>
      <c r="J2823" s="131"/>
      <c r="K2823" s="60"/>
      <c r="L2823" s="33"/>
      <c r="P2823" s="3"/>
      <c r="Q2823" s="3"/>
      <c r="R2823" s="3"/>
      <c r="S2823" s="3"/>
      <c r="T2823" s="3"/>
      <c r="U2823" s="3"/>
      <c r="V2823" s="3"/>
      <c r="W2823" s="3"/>
      <c r="X2823" s="3"/>
      <c r="Y2823" s="4"/>
      <c r="Z2823"/>
      <c r="AA2823"/>
    </row>
    <row r="2824" spans="1:27" s="37" customFormat="1" x14ac:dyDescent="0.15">
      <c r="A2824" s="166"/>
      <c r="B2824" s="93"/>
      <c r="C2824" s="70"/>
      <c r="D2824" s="70"/>
      <c r="E2824" s="70"/>
      <c r="F2824" s="70"/>
      <c r="G2824" s="70"/>
      <c r="H2824" s="85"/>
      <c r="I2824" s="85"/>
      <c r="J2824" s="131"/>
      <c r="K2824" s="60"/>
      <c r="L2824" s="33"/>
      <c r="P2824" s="3"/>
      <c r="Q2824" s="3"/>
      <c r="R2824" s="3"/>
      <c r="S2824" s="3"/>
      <c r="T2824" s="3"/>
      <c r="U2824" s="3"/>
      <c r="V2824" s="3"/>
      <c r="W2824" s="3"/>
      <c r="X2824" s="3"/>
      <c r="Y2824" s="4"/>
      <c r="Z2824"/>
      <c r="AA2824"/>
    </row>
    <row r="2825" spans="1:27" s="37" customFormat="1" x14ac:dyDescent="0.15">
      <c r="A2825" s="166"/>
      <c r="B2825" s="93"/>
      <c r="C2825" s="70"/>
      <c r="D2825" s="70"/>
      <c r="E2825" s="70"/>
      <c r="F2825" s="70"/>
      <c r="G2825" s="70"/>
      <c r="H2825" s="85"/>
      <c r="I2825" s="85"/>
      <c r="J2825" s="131"/>
      <c r="K2825" s="60"/>
      <c r="L2825" s="33"/>
      <c r="P2825" s="3"/>
      <c r="Q2825" s="3"/>
      <c r="R2825" s="3"/>
      <c r="S2825" s="3"/>
      <c r="T2825" s="3"/>
      <c r="U2825" s="3"/>
      <c r="V2825" s="3"/>
      <c r="W2825" s="3"/>
      <c r="X2825" s="3"/>
      <c r="Y2825" s="4"/>
      <c r="Z2825"/>
      <c r="AA2825"/>
    </row>
    <row r="2826" spans="1:27" s="37" customFormat="1" x14ac:dyDescent="0.15">
      <c r="A2826" s="166"/>
      <c r="B2826" s="82"/>
      <c r="C2826" s="70"/>
      <c r="D2826" s="70"/>
      <c r="E2826" s="70"/>
      <c r="F2826" s="70"/>
      <c r="G2826" s="70"/>
      <c r="H2826" s="85"/>
      <c r="I2826" s="85"/>
      <c r="J2826" s="131"/>
      <c r="K2826" s="60"/>
      <c r="L2826" s="33"/>
      <c r="M2826" s="32"/>
      <c r="P2826" s="3"/>
      <c r="Q2826" s="3"/>
      <c r="R2826" s="3"/>
      <c r="S2826" s="3"/>
      <c r="T2826" s="3"/>
      <c r="U2826" s="3"/>
      <c r="V2826" s="3"/>
      <c r="W2826" s="3"/>
      <c r="X2826" s="3"/>
      <c r="Y2826" s="4"/>
      <c r="Z2826"/>
      <c r="AA2826"/>
    </row>
    <row r="2827" spans="1:27" s="37" customFormat="1" x14ac:dyDescent="0.15">
      <c r="A2827" s="166"/>
      <c r="B2827" s="93"/>
      <c r="C2827" s="70"/>
      <c r="D2827" s="70"/>
      <c r="E2827" s="70"/>
      <c r="F2827" s="70"/>
      <c r="G2827" s="70"/>
      <c r="H2827" s="85"/>
      <c r="I2827" s="85"/>
      <c r="J2827" s="131"/>
      <c r="K2827" s="60"/>
      <c r="L2827" s="33"/>
      <c r="P2827" s="3"/>
      <c r="Q2827" s="3"/>
      <c r="R2827" s="3"/>
      <c r="S2827" s="3"/>
      <c r="T2827" s="3"/>
      <c r="U2827" s="3"/>
      <c r="V2827" s="3"/>
      <c r="W2827" s="3"/>
      <c r="X2827" s="3"/>
      <c r="Y2827" s="4"/>
      <c r="Z2827"/>
      <c r="AA2827"/>
    </row>
    <row r="2828" spans="1:27" s="37" customFormat="1" x14ac:dyDescent="0.15">
      <c r="A2828" s="166"/>
      <c r="B2828" s="93"/>
      <c r="C2828" s="70"/>
      <c r="D2828" s="70"/>
      <c r="E2828" s="70"/>
      <c r="F2828" s="70"/>
      <c r="G2828" s="70"/>
      <c r="H2828" s="85"/>
      <c r="I2828" s="85"/>
      <c r="J2828" s="131"/>
      <c r="K2828" s="60"/>
      <c r="L2828" s="33"/>
      <c r="P2828" s="3"/>
      <c r="Q2828" s="3"/>
      <c r="R2828" s="3"/>
      <c r="S2828" s="3"/>
      <c r="T2828" s="3"/>
      <c r="U2828" s="3"/>
      <c r="V2828" s="3"/>
      <c r="W2828" s="3"/>
      <c r="X2828" s="3"/>
      <c r="Y2828" s="4"/>
      <c r="Z2828"/>
      <c r="AA2828"/>
    </row>
    <row r="2829" spans="1:27" s="37" customFormat="1" x14ac:dyDescent="0.15">
      <c r="A2829" s="166"/>
      <c r="B2829" s="93"/>
      <c r="C2829" s="70"/>
      <c r="D2829" s="70"/>
      <c r="E2829" s="70"/>
      <c r="F2829" s="70"/>
      <c r="G2829" s="70"/>
      <c r="H2829" s="85"/>
      <c r="I2829" s="85"/>
      <c r="J2829" s="131"/>
      <c r="K2829" s="60"/>
      <c r="P2829" s="3"/>
      <c r="Q2829" s="3"/>
      <c r="R2829" s="3"/>
      <c r="S2829" s="3"/>
      <c r="T2829" s="3"/>
      <c r="U2829" s="3"/>
      <c r="V2829" s="3"/>
      <c r="W2829" s="3"/>
      <c r="X2829" s="3"/>
      <c r="Y2829" s="4"/>
      <c r="Z2829"/>
      <c r="AA2829"/>
    </row>
    <row r="2830" spans="1:27" s="37" customFormat="1" x14ac:dyDescent="0.15">
      <c r="A2830" s="166"/>
      <c r="B2830" s="93"/>
      <c r="C2830" s="70"/>
      <c r="D2830" s="70"/>
      <c r="E2830" s="70"/>
      <c r="F2830" s="70"/>
      <c r="G2830" s="70"/>
      <c r="H2830" s="85"/>
      <c r="I2830" s="85"/>
      <c r="J2830" s="131"/>
      <c r="K2830" s="60"/>
      <c r="L2830" s="53"/>
      <c r="P2830" s="3"/>
      <c r="Q2830" s="3"/>
      <c r="R2830" s="3"/>
      <c r="S2830" s="3"/>
      <c r="T2830" s="3"/>
      <c r="U2830" s="3"/>
      <c r="V2830" s="3"/>
      <c r="W2830" s="3"/>
      <c r="X2830" s="3"/>
      <c r="Y2830" s="4"/>
      <c r="Z2830"/>
      <c r="AA2830"/>
    </row>
    <row r="2831" spans="1:27" s="37" customFormat="1" x14ac:dyDescent="0.15">
      <c r="A2831" s="166"/>
      <c r="B2831" s="82"/>
      <c r="C2831" s="70"/>
      <c r="D2831" s="70"/>
      <c r="E2831" s="70"/>
      <c r="F2831" s="70"/>
      <c r="G2831" s="70"/>
      <c r="H2831" s="85"/>
      <c r="I2831" s="85"/>
      <c r="J2831" s="131"/>
      <c r="K2831" s="60"/>
      <c r="L2831" s="33"/>
      <c r="P2831" s="3"/>
      <c r="Q2831" s="3"/>
      <c r="R2831" s="3"/>
      <c r="S2831" s="3"/>
      <c r="T2831" s="3"/>
      <c r="U2831" s="3"/>
      <c r="V2831" s="3"/>
      <c r="W2831" s="3"/>
      <c r="X2831" s="3"/>
      <c r="Y2831" s="4"/>
      <c r="Z2831"/>
      <c r="AA2831"/>
    </row>
    <row r="2832" spans="1:27" s="37" customFormat="1" x14ac:dyDescent="0.15">
      <c r="A2832" s="166"/>
      <c r="B2832" s="93"/>
      <c r="C2832" s="70"/>
      <c r="D2832" s="70"/>
      <c r="E2832" s="70"/>
      <c r="F2832" s="70"/>
      <c r="G2832" s="70"/>
      <c r="H2832" s="85"/>
      <c r="I2832" s="85"/>
      <c r="J2832" s="131"/>
      <c r="K2832" s="60"/>
      <c r="P2832" s="3"/>
      <c r="Q2832" s="3"/>
      <c r="R2832" s="3"/>
      <c r="S2832" s="3"/>
      <c r="T2832" s="3"/>
      <c r="U2832" s="3"/>
      <c r="V2832" s="3"/>
      <c r="W2832" s="3"/>
      <c r="X2832" s="3"/>
      <c r="Y2832" s="4"/>
      <c r="Z2832"/>
      <c r="AA2832"/>
    </row>
    <row r="2833" spans="1:27" s="37" customFormat="1" x14ac:dyDescent="0.15">
      <c r="A2833" s="166"/>
      <c r="B2833" s="93"/>
      <c r="C2833" s="70"/>
      <c r="D2833" s="70"/>
      <c r="E2833" s="70"/>
      <c r="F2833" s="70"/>
      <c r="G2833" s="70"/>
      <c r="H2833" s="85"/>
      <c r="I2833" s="85"/>
      <c r="J2833" s="131"/>
      <c r="K2833" s="60"/>
      <c r="L2833" s="33"/>
      <c r="M2833" s="32"/>
      <c r="P2833" s="3"/>
      <c r="Q2833" s="3"/>
      <c r="R2833" s="3"/>
      <c r="S2833" s="3"/>
      <c r="T2833" s="3"/>
      <c r="U2833" s="3"/>
      <c r="V2833" s="3"/>
      <c r="W2833" s="3"/>
      <c r="X2833" s="3"/>
      <c r="Y2833" s="4"/>
      <c r="Z2833"/>
      <c r="AA2833"/>
    </row>
    <row r="2834" spans="1:27" s="37" customFormat="1" ht="16" x14ac:dyDescent="0.2">
      <c r="A2834" s="166"/>
      <c r="B2834" s="93"/>
      <c r="C2834" s="70"/>
      <c r="D2834" s="70"/>
      <c r="E2834" s="70"/>
      <c r="F2834" s="70"/>
      <c r="G2834" s="70"/>
      <c r="H2834" s="85"/>
      <c r="I2834" s="85"/>
      <c r="J2834" s="131"/>
      <c r="K2834" s="60"/>
      <c r="M2834" s="48"/>
      <c r="P2834" s="3"/>
      <c r="Q2834" s="3"/>
      <c r="R2834" s="3"/>
      <c r="S2834" s="3"/>
      <c r="T2834" s="3"/>
      <c r="U2834" s="3"/>
      <c r="V2834" s="3"/>
      <c r="W2834" s="3"/>
      <c r="X2834" s="3"/>
      <c r="Y2834" s="4"/>
      <c r="Z2834"/>
      <c r="AA2834"/>
    </row>
    <row r="2835" spans="1:27" s="37" customFormat="1" x14ac:dyDescent="0.15">
      <c r="A2835" s="166"/>
      <c r="B2835" s="93"/>
      <c r="C2835" s="70"/>
      <c r="D2835" s="70"/>
      <c r="E2835" s="70"/>
      <c r="F2835" s="70"/>
      <c r="G2835" s="70"/>
      <c r="H2835" s="85"/>
      <c r="I2835" s="85"/>
      <c r="J2835" s="131"/>
      <c r="K2835" s="60"/>
      <c r="L2835" s="33"/>
      <c r="P2835" s="3"/>
      <c r="Q2835" s="3"/>
      <c r="R2835" s="3"/>
      <c r="S2835" s="3"/>
      <c r="T2835" s="3"/>
      <c r="U2835" s="3"/>
      <c r="V2835" s="3"/>
      <c r="W2835" s="3"/>
      <c r="X2835" s="3"/>
      <c r="Y2835" s="4"/>
      <c r="Z2835"/>
      <c r="AA2835"/>
    </row>
    <row r="2836" spans="1:27" s="37" customFormat="1" x14ac:dyDescent="0.15">
      <c r="A2836" s="166"/>
      <c r="B2836" s="93"/>
      <c r="C2836" s="70"/>
      <c r="D2836" s="70"/>
      <c r="E2836" s="70"/>
      <c r="F2836" s="70"/>
      <c r="G2836" s="70"/>
      <c r="H2836" s="85"/>
      <c r="I2836" s="85"/>
      <c r="J2836" s="131"/>
      <c r="K2836" s="60"/>
      <c r="L2836" s="33"/>
      <c r="P2836" s="3"/>
      <c r="Q2836" s="3"/>
      <c r="R2836" s="3"/>
      <c r="S2836" s="3"/>
      <c r="T2836" s="3"/>
      <c r="U2836" s="3"/>
      <c r="V2836" s="3"/>
      <c r="W2836" s="3"/>
      <c r="X2836" s="3"/>
      <c r="Y2836" s="4"/>
      <c r="Z2836"/>
      <c r="AA2836"/>
    </row>
    <row r="2837" spans="1:27" s="37" customFormat="1" x14ac:dyDescent="0.15">
      <c r="A2837" s="166"/>
      <c r="B2837" s="93"/>
      <c r="C2837" s="70"/>
      <c r="D2837" s="70"/>
      <c r="E2837" s="70"/>
      <c r="F2837" s="70"/>
      <c r="G2837" s="70"/>
      <c r="H2837" s="85"/>
      <c r="I2837" s="85"/>
      <c r="J2837" s="131"/>
      <c r="K2837" s="60"/>
      <c r="L2837" s="53"/>
      <c r="P2837" s="3"/>
      <c r="Q2837" s="3"/>
      <c r="R2837" s="3"/>
      <c r="S2837" s="3"/>
      <c r="T2837" s="3"/>
      <c r="U2837" s="3"/>
      <c r="V2837" s="3"/>
      <c r="W2837" s="3"/>
      <c r="X2837" s="3"/>
      <c r="Y2837" s="4"/>
      <c r="Z2837"/>
      <c r="AA2837"/>
    </row>
    <row r="2838" spans="1:27" s="37" customFormat="1" x14ac:dyDescent="0.15">
      <c r="A2838" s="166"/>
      <c r="B2838" s="93"/>
      <c r="C2838" s="70"/>
      <c r="D2838" s="70"/>
      <c r="E2838" s="70"/>
      <c r="F2838" s="70"/>
      <c r="G2838" s="70"/>
      <c r="H2838" s="85"/>
      <c r="I2838" s="85"/>
      <c r="J2838" s="131"/>
      <c r="K2838" s="60"/>
      <c r="L2838" s="33"/>
      <c r="P2838" s="3"/>
      <c r="Q2838" s="3"/>
      <c r="R2838" s="3"/>
      <c r="S2838" s="3"/>
      <c r="T2838" s="3"/>
      <c r="U2838" s="3"/>
      <c r="V2838" s="3"/>
      <c r="W2838" s="3"/>
      <c r="X2838" s="3"/>
      <c r="Y2838" s="4"/>
      <c r="Z2838"/>
      <c r="AA2838"/>
    </row>
    <row r="2839" spans="1:27" s="37" customFormat="1" x14ac:dyDescent="0.15">
      <c r="A2839" s="166"/>
      <c r="B2839" s="93"/>
      <c r="C2839" s="70"/>
      <c r="D2839" s="70"/>
      <c r="E2839" s="70"/>
      <c r="F2839" s="70"/>
      <c r="G2839" s="70"/>
      <c r="H2839" s="85"/>
      <c r="I2839" s="85"/>
      <c r="J2839" s="131"/>
      <c r="K2839" s="60"/>
      <c r="L2839" s="33"/>
      <c r="P2839" s="3"/>
      <c r="Q2839" s="3"/>
      <c r="R2839" s="3"/>
      <c r="S2839" s="3"/>
      <c r="T2839" s="3"/>
      <c r="U2839" s="3"/>
      <c r="V2839" s="3"/>
      <c r="W2839" s="3"/>
      <c r="X2839" s="3"/>
      <c r="Y2839" s="4"/>
      <c r="Z2839"/>
      <c r="AA2839"/>
    </row>
    <row r="2840" spans="1:27" s="37" customFormat="1" x14ac:dyDescent="0.15">
      <c r="A2840" s="166"/>
      <c r="B2840" s="93"/>
      <c r="C2840" s="70"/>
      <c r="D2840" s="70"/>
      <c r="E2840" s="70"/>
      <c r="F2840" s="70"/>
      <c r="G2840" s="70"/>
      <c r="H2840" s="85"/>
      <c r="I2840" s="85"/>
      <c r="J2840" s="131"/>
      <c r="K2840" s="60"/>
      <c r="L2840" s="52"/>
      <c r="P2840" s="3"/>
      <c r="Q2840" s="3"/>
      <c r="R2840" s="3"/>
      <c r="S2840" s="3"/>
      <c r="T2840" s="3"/>
      <c r="U2840" s="3"/>
      <c r="V2840" s="3"/>
      <c r="W2840" s="3"/>
      <c r="X2840" s="3"/>
      <c r="Y2840" s="4"/>
      <c r="Z2840"/>
      <c r="AA2840"/>
    </row>
    <row r="2841" spans="1:27" s="37" customFormat="1" x14ac:dyDescent="0.15">
      <c r="A2841" s="166"/>
      <c r="B2841" s="93"/>
      <c r="C2841" s="70"/>
      <c r="D2841" s="70"/>
      <c r="E2841" s="70"/>
      <c r="F2841" s="70"/>
      <c r="G2841" s="70"/>
      <c r="H2841" s="85"/>
      <c r="I2841" s="85"/>
      <c r="J2841" s="131"/>
      <c r="K2841" s="60"/>
      <c r="L2841" s="33"/>
      <c r="P2841" s="3"/>
      <c r="Q2841" s="3"/>
      <c r="R2841" s="3"/>
      <c r="S2841" s="3"/>
      <c r="T2841" s="3"/>
      <c r="U2841" s="3"/>
      <c r="V2841" s="3"/>
      <c r="W2841" s="3"/>
      <c r="X2841" s="3"/>
      <c r="Y2841" s="4"/>
      <c r="Z2841"/>
      <c r="AA2841"/>
    </row>
    <row r="2842" spans="1:27" s="37" customFormat="1" x14ac:dyDescent="0.15">
      <c r="A2842" s="166"/>
      <c r="B2842" s="93"/>
      <c r="C2842" s="70"/>
      <c r="D2842" s="70"/>
      <c r="E2842" s="70"/>
      <c r="F2842" s="70"/>
      <c r="G2842" s="70"/>
      <c r="H2842" s="85"/>
      <c r="I2842" s="85"/>
      <c r="J2842" s="131"/>
      <c r="K2842" s="60"/>
      <c r="L2842" s="33"/>
      <c r="P2842" s="3"/>
      <c r="Q2842" s="3"/>
      <c r="R2842" s="3"/>
      <c r="S2842" s="3"/>
      <c r="T2842" s="3"/>
      <c r="U2842" s="3"/>
      <c r="V2842" s="3"/>
      <c r="W2842" s="3"/>
      <c r="X2842" s="3"/>
      <c r="Y2842" s="4"/>
      <c r="Z2842"/>
      <c r="AA2842"/>
    </row>
    <row r="2843" spans="1:27" s="37" customFormat="1" x14ac:dyDescent="0.15">
      <c r="A2843" s="166"/>
      <c r="B2843" s="93"/>
      <c r="C2843" s="70"/>
      <c r="D2843" s="70"/>
      <c r="E2843" s="70"/>
      <c r="F2843" s="70"/>
      <c r="G2843" s="70"/>
      <c r="H2843" s="85"/>
      <c r="I2843" s="85"/>
      <c r="J2843" s="131"/>
      <c r="K2843" s="60"/>
      <c r="L2843" s="33"/>
      <c r="P2843" s="3"/>
      <c r="Q2843" s="3"/>
      <c r="R2843" s="3"/>
      <c r="S2843" s="3"/>
      <c r="T2843" s="3"/>
      <c r="U2843" s="3"/>
      <c r="V2843" s="3"/>
      <c r="W2843" s="3"/>
      <c r="X2843" s="3"/>
      <c r="Y2843" s="4"/>
      <c r="Z2843"/>
      <c r="AA2843"/>
    </row>
    <row r="2844" spans="1:27" s="37" customFormat="1" x14ac:dyDescent="0.15">
      <c r="A2844" s="166"/>
      <c r="B2844" s="93"/>
      <c r="C2844" s="70"/>
      <c r="D2844" s="70"/>
      <c r="E2844" s="70"/>
      <c r="F2844" s="70"/>
      <c r="G2844" s="70"/>
      <c r="H2844" s="85"/>
      <c r="I2844" s="85"/>
      <c r="J2844" s="131"/>
      <c r="K2844" s="60"/>
      <c r="L2844" s="33"/>
      <c r="P2844" s="3"/>
      <c r="Q2844" s="3"/>
      <c r="R2844" s="3"/>
      <c r="S2844" s="3"/>
      <c r="T2844" s="3"/>
      <c r="U2844" s="3"/>
      <c r="V2844" s="3"/>
      <c r="W2844" s="3"/>
      <c r="X2844" s="3"/>
      <c r="Y2844" s="4"/>
      <c r="Z2844"/>
      <c r="AA2844"/>
    </row>
    <row r="2845" spans="1:27" s="37" customFormat="1" x14ac:dyDescent="0.15">
      <c r="A2845" s="166"/>
      <c r="B2845" s="93"/>
      <c r="C2845" s="70"/>
      <c r="D2845" s="70"/>
      <c r="E2845" s="70"/>
      <c r="F2845" s="70"/>
      <c r="G2845" s="70"/>
      <c r="H2845" s="85"/>
      <c r="I2845" s="85"/>
      <c r="J2845" s="131"/>
      <c r="K2845" s="60"/>
      <c r="L2845" s="33"/>
      <c r="P2845" s="3"/>
      <c r="Q2845" s="3"/>
      <c r="R2845" s="3"/>
      <c r="S2845" s="3"/>
      <c r="T2845" s="3"/>
      <c r="U2845" s="3"/>
      <c r="V2845" s="3"/>
      <c r="W2845" s="3"/>
      <c r="X2845" s="3"/>
      <c r="Y2845" s="4"/>
      <c r="Z2845"/>
      <c r="AA2845"/>
    </row>
    <row r="2846" spans="1:27" s="37" customFormat="1" x14ac:dyDescent="0.15">
      <c r="A2846" s="166"/>
      <c r="B2846" s="93"/>
      <c r="C2846" s="70"/>
      <c r="D2846" s="70"/>
      <c r="E2846" s="70"/>
      <c r="F2846" s="70"/>
      <c r="G2846" s="70"/>
      <c r="H2846" s="85"/>
      <c r="I2846" s="85"/>
      <c r="J2846" s="131"/>
      <c r="K2846" s="60"/>
      <c r="L2846" s="33"/>
      <c r="P2846" s="3"/>
      <c r="Q2846" s="3"/>
      <c r="R2846" s="3"/>
      <c r="S2846" s="3"/>
      <c r="T2846" s="3"/>
      <c r="U2846" s="3"/>
      <c r="V2846" s="3"/>
      <c r="W2846" s="3"/>
      <c r="X2846" s="3"/>
      <c r="Y2846" s="4"/>
      <c r="Z2846"/>
      <c r="AA2846"/>
    </row>
    <row r="2847" spans="1:27" s="37" customFormat="1" x14ac:dyDescent="0.15">
      <c r="A2847" s="166"/>
      <c r="B2847" s="93"/>
      <c r="C2847" s="70"/>
      <c r="D2847" s="70"/>
      <c r="E2847" s="70"/>
      <c r="F2847" s="70"/>
      <c r="G2847" s="70"/>
      <c r="H2847" s="85"/>
      <c r="I2847" s="85"/>
      <c r="J2847" s="131"/>
      <c r="K2847" s="60"/>
      <c r="L2847" s="33"/>
      <c r="P2847" s="3"/>
      <c r="Q2847" s="3"/>
      <c r="R2847" s="3"/>
      <c r="S2847" s="3"/>
      <c r="T2847" s="3"/>
      <c r="U2847" s="3"/>
      <c r="V2847" s="3"/>
      <c r="W2847" s="3"/>
      <c r="X2847" s="3"/>
      <c r="Y2847" s="4"/>
      <c r="Z2847"/>
      <c r="AA2847"/>
    </row>
    <row r="2848" spans="1:27" s="37" customFormat="1" x14ac:dyDescent="0.15">
      <c r="A2848" s="166"/>
      <c r="B2848" s="93"/>
      <c r="C2848" s="70"/>
      <c r="D2848" s="70"/>
      <c r="E2848" s="70"/>
      <c r="F2848" s="70"/>
      <c r="G2848" s="70"/>
      <c r="H2848" s="85"/>
      <c r="I2848" s="85"/>
      <c r="J2848" s="131"/>
      <c r="K2848" s="60"/>
      <c r="L2848" s="49"/>
      <c r="P2848" s="3"/>
      <c r="Q2848" s="3"/>
      <c r="R2848" s="3"/>
      <c r="S2848" s="3"/>
      <c r="T2848" s="3"/>
      <c r="U2848" s="3"/>
      <c r="V2848" s="3"/>
      <c r="W2848" s="3"/>
      <c r="X2848" s="3"/>
      <c r="Y2848" s="4"/>
      <c r="Z2848"/>
      <c r="AA2848"/>
    </row>
    <row r="2849" spans="1:27" s="37" customFormat="1" x14ac:dyDescent="0.15">
      <c r="A2849" s="166"/>
      <c r="B2849" s="93"/>
      <c r="C2849" s="70"/>
      <c r="D2849" s="70"/>
      <c r="E2849" s="70"/>
      <c r="F2849" s="70"/>
      <c r="G2849" s="70"/>
      <c r="H2849" s="85"/>
      <c r="I2849" s="85"/>
      <c r="J2849" s="131"/>
      <c r="K2849" s="60"/>
      <c r="L2849" s="49"/>
      <c r="P2849" s="3"/>
      <c r="Q2849" s="3"/>
      <c r="R2849" s="3"/>
      <c r="S2849" s="3"/>
      <c r="T2849" s="3"/>
      <c r="U2849" s="3"/>
      <c r="V2849" s="3"/>
      <c r="W2849" s="3"/>
      <c r="X2849" s="3"/>
      <c r="Y2849" s="4"/>
      <c r="Z2849"/>
      <c r="AA2849"/>
    </row>
    <row r="2850" spans="1:27" s="37" customFormat="1" x14ac:dyDescent="0.15">
      <c r="A2850" s="166"/>
      <c r="B2850" s="93"/>
      <c r="C2850" s="70"/>
      <c r="D2850" s="70"/>
      <c r="E2850" s="70"/>
      <c r="F2850" s="70"/>
      <c r="G2850" s="70"/>
      <c r="H2850" s="85"/>
      <c r="I2850" s="85"/>
      <c r="J2850" s="131"/>
      <c r="K2850" s="60"/>
      <c r="P2850" s="3"/>
      <c r="Q2850" s="3"/>
      <c r="R2850" s="3"/>
      <c r="S2850" s="3"/>
      <c r="T2850" s="3"/>
      <c r="U2850" s="3"/>
      <c r="V2850" s="3"/>
      <c r="W2850" s="3"/>
      <c r="X2850" s="3"/>
      <c r="Y2850" s="4"/>
      <c r="Z2850"/>
      <c r="AA2850"/>
    </row>
    <row r="2851" spans="1:27" s="37" customFormat="1" x14ac:dyDescent="0.15">
      <c r="A2851" s="166"/>
      <c r="B2851" s="93"/>
      <c r="C2851" s="70"/>
      <c r="D2851" s="70"/>
      <c r="E2851" s="70"/>
      <c r="F2851" s="70"/>
      <c r="G2851" s="70"/>
      <c r="H2851" s="85"/>
      <c r="I2851" s="85"/>
      <c r="J2851" s="131"/>
      <c r="K2851" s="60"/>
      <c r="P2851" s="3"/>
      <c r="Q2851" s="3"/>
      <c r="R2851" s="3"/>
      <c r="S2851" s="3"/>
      <c r="T2851" s="3"/>
      <c r="U2851" s="3"/>
      <c r="V2851" s="3"/>
      <c r="W2851" s="3"/>
      <c r="X2851" s="3"/>
      <c r="Y2851" s="4"/>
      <c r="Z2851"/>
      <c r="AA2851"/>
    </row>
    <row r="2852" spans="1:27" s="37" customFormat="1" x14ac:dyDescent="0.15">
      <c r="A2852" s="166"/>
      <c r="B2852" s="93"/>
      <c r="C2852" s="70"/>
      <c r="D2852" s="70"/>
      <c r="E2852" s="70"/>
      <c r="F2852" s="70"/>
      <c r="G2852" s="70"/>
      <c r="H2852" s="85"/>
      <c r="I2852" s="85"/>
      <c r="J2852" s="142"/>
      <c r="K2852" s="60"/>
      <c r="P2852" s="3"/>
      <c r="Q2852" s="3"/>
      <c r="R2852" s="3"/>
      <c r="S2852" s="3"/>
      <c r="T2852" s="3"/>
      <c r="U2852" s="3"/>
      <c r="V2852" s="3"/>
      <c r="W2852" s="3"/>
      <c r="X2852" s="3"/>
      <c r="Y2852" s="4"/>
      <c r="Z2852"/>
      <c r="AA2852"/>
    </row>
    <row r="2853" spans="1:27" s="37" customFormat="1" x14ac:dyDescent="0.15">
      <c r="A2853" s="166"/>
      <c r="B2853" s="93"/>
      <c r="C2853" s="73"/>
      <c r="D2853" s="73"/>
      <c r="E2853" s="73"/>
      <c r="F2853" s="73"/>
      <c r="G2853" s="73"/>
      <c r="H2853" s="85"/>
      <c r="I2853" s="95"/>
      <c r="J2853" s="131"/>
      <c r="K2853" s="60"/>
      <c r="L2853" s="49"/>
      <c r="P2853" s="3"/>
      <c r="Q2853" s="3"/>
      <c r="R2853" s="3"/>
      <c r="S2853" s="3"/>
      <c r="T2853" s="3"/>
      <c r="U2853" s="3"/>
      <c r="V2853" s="3"/>
      <c r="W2853" s="3"/>
      <c r="X2853" s="3"/>
      <c r="Y2853" s="4"/>
      <c r="Z2853"/>
      <c r="AA2853"/>
    </row>
    <row r="2854" spans="1:27" s="37" customFormat="1" x14ac:dyDescent="0.15">
      <c r="A2854" s="166"/>
      <c r="B2854" s="82"/>
      <c r="C2854" s="70"/>
      <c r="D2854" s="70"/>
      <c r="E2854" s="70"/>
      <c r="F2854" s="70"/>
      <c r="G2854" s="70"/>
      <c r="H2854" s="85"/>
      <c r="I2854" s="85"/>
      <c r="J2854" s="142"/>
      <c r="K2854" s="60"/>
      <c r="P2854" s="3"/>
      <c r="Q2854" s="3"/>
      <c r="R2854" s="3"/>
      <c r="S2854" s="3"/>
      <c r="T2854" s="3"/>
      <c r="U2854" s="3"/>
      <c r="V2854" s="3"/>
      <c r="W2854" s="3"/>
      <c r="X2854" s="3"/>
      <c r="Y2854" s="4"/>
      <c r="Z2854"/>
      <c r="AA2854"/>
    </row>
    <row r="2855" spans="1:27" s="37" customFormat="1" x14ac:dyDescent="0.15">
      <c r="A2855" s="166"/>
      <c r="B2855" s="82"/>
      <c r="C2855" s="70"/>
      <c r="D2855" s="70"/>
      <c r="E2855" s="70"/>
      <c r="F2855" s="70"/>
      <c r="G2855" s="70"/>
      <c r="H2855" s="85"/>
      <c r="I2855" s="85"/>
      <c r="J2855" s="131"/>
      <c r="K2855" s="60"/>
      <c r="P2855" s="3"/>
      <c r="Q2855" s="3"/>
      <c r="R2855" s="3"/>
      <c r="S2855" s="3"/>
      <c r="T2855" s="3"/>
      <c r="U2855" s="3"/>
      <c r="V2855" s="3"/>
      <c r="W2855" s="3"/>
      <c r="X2855" s="3"/>
      <c r="Y2855" s="4"/>
      <c r="Z2855"/>
      <c r="AA2855"/>
    </row>
    <row r="2856" spans="1:27" s="37" customFormat="1" x14ac:dyDescent="0.15">
      <c r="A2856" s="166"/>
      <c r="B2856" s="82"/>
      <c r="C2856" s="70"/>
      <c r="D2856" s="70"/>
      <c r="E2856" s="70"/>
      <c r="F2856" s="70"/>
      <c r="G2856" s="70"/>
      <c r="H2856" s="85"/>
      <c r="I2856" s="85"/>
      <c r="J2856" s="131"/>
      <c r="K2856" s="60"/>
      <c r="P2856" s="3"/>
      <c r="Q2856" s="3"/>
      <c r="R2856" s="3"/>
      <c r="S2856" s="3"/>
      <c r="T2856" s="3"/>
      <c r="U2856" s="3"/>
      <c r="V2856" s="3"/>
      <c r="W2856" s="3"/>
      <c r="X2856" s="3"/>
      <c r="Y2856" s="4"/>
      <c r="Z2856"/>
      <c r="AA2856"/>
    </row>
    <row r="2857" spans="1:27" s="37" customFormat="1" ht="16" x14ac:dyDescent="0.2">
      <c r="A2857" s="165"/>
      <c r="B2857" s="97"/>
      <c r="C2857" s="62"/>
      <c r="D2857" s="62"/>
      <c r="E2857" s="62"/>
      <c r="F2857" s="62"/>
      <c r="G2857" s="70"/>
      <c r="H2857" s="85"/>
      <c r="I2857" s="85"/>
      <c r="J2857" s="131"/>
      <c r="K2857" s="60"/>
      <c r="M2857" s="48"/>
      <c r="P2857" s="3"/>
      <c r="Q2857" s="3"/>
      <c r="R2857" s="3"/>
      <c r="S2857" s="3"/>
      <c r="T2857" s="3"/>
      <c r="U2857" s="3"/>
      <c r="V2857" s="3"/>
      <c r="W2857" s="3"/>
      <c r="X2857" s="3"/>
      <c r="Y2857" s="4"/>
      <c r="Z2857"/>
      <c r="AA2857"/>
    </row>
    <row r="2858" spans="1:27" s="37" customFormat="1" x14ac:dyDescent="0.15">
      <c r="A2858" s="166"/>
      <c r="B2858" s="82"/>
      <c r="C2858" s="70"/>
      <c r="D2858" s="70"/>
      <c r="E2858" s="70"/>
      <c r="F2858" s="70"/>
      <c r="G2858" s="70"/>
      <c r="H2858" s="85"/>
      <c r="I2858" s="85"/>
      <c r="J2858" s="141"/>
      <c r="K2858" s="60"/>
      <c r="P2858" s="3"/>
      <c r="Q2858" s="3"/>
      <c r="R2858" s="3"/>
      <c r="S2858" s="3"/>
      <c r="T2858" s="3"/>
      <c r="U2858" s="3"/>
      <c r="V2858" s="3"/>
      <c r="W2858" s="3"/>
      <c r="X2858" s="3"/>
      <c r="Y2858" s="4"/>
      <c r="Z2858"/>
      <c r="AA2858"/>
    </row>
    <row r="2859" spans="1:27" s="37" customFormat="1" x14ac:dyDescent="0.15">
      <c r="A2859" s="166"/>
      <c r="B2859" s="93"/>
      <c r="C2859" s="70"/>
      <c r="D2859" s="70"/>
      <c r="E2859" s="70"/>
      <c r="F2859" s="70"/>
      <c r="G2859" s="70"/>
      <c r="H2859" s="85"/>
      <c r="I2859" s="85"/>
      <c r="J2859" s="131"/>
      <c r="K2859" s="60"/>
      <c r="P2859" s="3"/>
      <c r="Q2859" s="3"/>
      <c r="R2859" s="3"/>
      <c r="S2859" s="3"/>
      <c r="T2859" s="3"/>
      <c r="U2859" s="3"/>
      <c r="V2859" s="3"/>
      <c r="W2859" s="3"/>
      <c r="X2859" s="3"/>
      <c r="Y2859" s="4"/>
      <c r="Z2859"/>
      <c r="AA2859"/>
    </row>
    <row r="2860" spans="1:27" s="37" customFormat="1" x14ac:dyDescent="0.15">
      <c r="A2860" s="166"/>
      <c r="B2860" s="82"/>
      <c r="C2860" s="70"/>
      <c r="D2860" s="70"/>
      <c r="E2860" s="70"/>
      <c r="F2860" s="70"/>
      <c r="G2860" s="70"/>
      <c r="H2860" s="85"/>
      <c r="I2860" s="85"/>
      <c r="J2860" s="131"/>
      <c r="K2860" s="60"/>
      <c r="P2860" s="3"/>
      <c r="Q2860" s="3"/>
      <c r="R2860" s="3"/>
      <c r="S2860" s="3"/>
      <c r="T2860" s="3"/>
      <c r="U2860" s="3"/>
      <c r="V2860" s="3"/>
      <c r="W2860" s="3"/>
      <c r="X2860" s="3"/>
      <c r="Y2860" s="4"/>
      <c r="Z2860"/>
      <c r="AA2860"/>
    </row>
    <row r="2861" spans="1:27" s="37" customFormat="1" x14ac:dyDescent="0.15">
      <c r="A2861" s="166"/>
      <c r="B2861" s="93"/>
      <c r="C2861" s="70"/>
      <c r="D2861" s="70"/>
      <c r="E2861" s="70"/>
      <c r="F2861" s="70"/>
      <c r="G2861" s="70"/>
      <c r="H2861" s="85"/>
      <c r="I2861" s="85"/>
      <c r="J2861" s="131"/>
      <c r="K2861" s="60"/>
      <c r="P2861" s="3"/>
      <c r="Q2861" s="3"/>
      <c r="R2861" s="3"/>
      <c r="S2861" s="3"/>
      <c r="T2861" s="3"/>
      <c r="U2861" s="3"/>
      <c r="V2861" s="3"/>
      <c r="W2861" s="3"/>
      <c r="X2861" s="3"/>
      <c r="Y2861" s="4"/>
      <c r="Z2861"/>
      <c r="AA2861"/>
    </row>
    <row r="2862" spans="1:27" s="37" customFormat="1" x14ac:dyDescent="0.15">
      <c r="A2862" s="166"/>
      <c r="B2862" s="82"/>
      <c r="C2862" s="70"/>
      <c r="D2862" s="70"/>
      <c r="E2862" s="70"/>
      <c r="F2862" s="70"/>
      <c r="G2862" s="70"/>
      <c r="H2862" s="85"/>
      <c r="I2862" s="85"/>
      <c r="J2862" s="131"/>
      <c r="K2862" s="60"/>
      <c r="P2862" s="3"/>
      <c r="Q2862" s="3"/>
      <c r="R2862" s="3"/>
      <c r="S2862" s="3"/>
      <c r="T2862" s="3"/>
      <c r="U2862" s="3"/>
      <c r="V2862" s="3"/>
      <c r="W2862" s="3"/>
      <c r="X2862" s="3"/>
      <c r="Y2862" s="4"/>
      <c r="Z2862"/>
      <c r="AA2862"/>
    </row>
    <row r="2863" spans="1:27" s="37" customFormat="1" ht="16" x14ac:dyDescent="0.2">
      <c r="A2863" s="166"/>
      <c r="B2863" s="82"/>
      <c r="C2863" s="70"/>
      <c r="D2863" s="70"/>
      <c r="E2863" s="70"/>
      <c r="F2863" s="70"/>
      <c r="G2863" s="70"/>
      <c r="H2863" s="85"/>
      <c r="I2863" s="85"/>
      <c r="J2863" s="131"/>
      <c r="K2863" s="60"/>
      <c r="L2863" s="48"/>
      <c r="P2863" s="3"/>
      <c r="Q2863" s="3"/>
      <c r="R2863" s="3"/>
      <c r="S2863" s="3"/>
      <c r="T2863" s="3"/>
      <c r="U2863" s="3"/>
      <c r="V2863" s="3"/>
      <c r="W2863" s="3"/>
      <c r="X2863" s="3"/>
      <c r="Y2863" s="4"/>
      <c r="Z2863"/>
      <c r="AA2863"/>
    </row>
    <row r="2864" spans="1:27" s="37" customFormat="1" x14ac:dyDescent="0.15">
      <c r="A2864" s="165"/>
      <c r="B2864" s="97"/>
      <c r="C2864" s="62"/>
      <c r="D2864" s="62"/>
      <c r="E2864" s="62"/>
      <c r="F2864" s="62"/>
      <c r="G2864" s="70"/>
      <c r="H2864" s="85"/>
      <c r="I2864" s="85"/>
      <c r="J2864" s="131"/>
      <c r="K2864" s="60"/>
      <c r="P2864" s="3"/>
      <c r="Q2864" s="3"/>
      <c r="R2864" s="3"/>
      <c r="S2864" s="3"/>
      <c r="T2864" s="3"/>
      <c r="U2864" s="3"/>
      <c r="V2864" s="3"/>
      <c r="W2864" s="3"/>
      <c r="X2864" s="3"/>
      <c r="Y2864" s="4"/>
      <c r="Z2864"/>
      <c r="AA2864"/>
    </row>
    <row r="2865" spans="1:27" s="37" customFormat="1" x14ac:dyDescent="0.15">
      <c r="A2865" s="165"/>
      <c r="B2865" s="97"/>
      <c r="C2865" s="62"/>
      <c r="D2865" s="62"/>
      <c r="E2865" s="62"/>
      <c r="F2865" s="62"/>
      <c r="G2865" s="70"/>
      <c r="H2865" s="85"/>
      <c r="I2865" s="85"/>
      <c r="J2865" s="131"/>
      <c r="K2865" s="60"/>
      <c r="P2865" s="3"/>
      <c r="Q2865" s="3"/>
      <c r="R2865" s="3"/>
      <c r="S2865" s="3"/>
      <c r="T2865" s="3"/>
      <c r="U2865" s="3"/>
      <c r="V2865" s="3"/>
      <c r="W2865" s="3"/>
      <c r="X2865" s="3"/>
      <c r="Y2865" s="4"/>
      <c r="Z2865"/>
      <c r="AA2865"/>
    </row>
    <row r="2866" spans="1:27" s="37" customFormat="1" x14ac:dyDescent="0.15">
      <c r="A2866" s="166"/>
      <c r="B2866" s="82"/>
      <c r="C2866" s="70"/>
      <c r="D2866" s="70"/>
      <c r="E2866" s="70"/>
      <c r="F2866" s="70"/>
      <c r="G2866" s="70"/>
      <c r="H2866" s="85"/>
      <c r="I2866" s="85"/>
      <c r="J2866" s="141"/>
      <c r="K2866" s="60"/>
      <c r="L2866" s="35"/>
      <c r="P2866" s="3"/>
      <c r="Q2866" s="3"/>
      <c r="R2866" s="3"/>
      <c r="S2866" s="3"/>
      <c r="T2866" s="3"/>
      <c r="U2866" s="3"/>
      <c r="V2866" s="3"/>
      <c r="W2866" s="3"/>
      <c r="X2866" s="3"/>
      <c r="Y2866" s="4"/>
      <c r="Z2866"/>
      <c r="AA2866"/>
    </row>
    <row r="2867" spans="1:27" s="37" customFormat="1" x14ac:dyDescent="0.15">
      <c r="A2867" s="166"/>
      <c r="B2867" s="82"/>
      <c r="C2867" s="70"/>
      <c r="D2867" s="70"/>
      <c r="E2867" s="70"/>
      <c r="F2867" s="70"/>
      <c r="G2867" s="70"/>
      <c r="H2867" s="85"/>
      <c r="I2867" s="85"/>
      <c r="J2867" s="142"/>
      <c r="K2867" s="60"/>
      <c r="P2867" s="3"/>
      <c r="Q2867" s="3"/>
      <c r="R2867" s="3"/>
      <c r="S2867" s="3"/>
      <c r="T2867" s="3"/>
      <c r="U2867" s="3"/>
      <c r="V2867" s="3"/>
      <c r="W2867" s="3"/>
      <c r="X2867" s="3"/>
      <c r="Y2867" s="4"/>
      <c r="Z2867"/>
      <c r="AA2867"/>
    </row>
    <row r="2868" spans="1:27" s="37" customFormat="1" x14ac:dyDescent="0.15">
      <c r="A2868" s="166"/>
      <c r="B2868" s="82"/>
      <c r="C2868" s="70"/>
      <c r="D2868" s="70"/>
      <c r="E2868" s="70"/>
      <c r="F2868" s="70"/>
      <c r="G2868" s="70"/>
      <c r="H2868" s="85"/>
      <c r="I2868" s="85"/>
      <c r="J2868" s="131"/>
      <c r="K2868" s="60"/>
      <c r="P2868" s="3"/>
      <c r="Q2868" s="3"/>
      <c r="R2868" s="3"/>
      <c r="S2868" s="3"/>
      <c r="T2868" s="3"/>
      <c r="U2868" s="3"/>
      <c r="V2868" s="3"/>
      <c r="W2868" s="3"/>
      <c r="X2868" s="3"/>
      <c r="Y2868" s="4"/>
      <c r="Z2868"/>
      <c r="AA2868"/>
    </row>
    <row r="2869" spans="1:27" s="37" customFormat="1" x14ac:dyDescent="0.15">
      <c r="A2869" s="166"/>
      <c r="B2869" s="93"/>
      <c r="C2869" s="70"/>
      <c r="D2869" s="70"/>
      <c r="E2869" s="70"/>
      <c r="F2869" s="70"/>
      <c r="G2869" s="70"/>
      <c r="H2869" s="85"/>
      <c r="I2869" s="85"/>
      <c r="J2869" s="131"/>
      <c r="K2869" s="60"/>
      <c r="L2869" s="49"/>
      <c r="P2869" s="3"/>
      <c r="Q2869" s="3"/>
      <c r="R2869" s="3"/>
      <c r="S2869" s="3"/>
      <c r="T2869" s="3"/>
      <c r="U2869" s="3"/>
      <c r="V2869" s="3"/>
      <c r="W2869" s="3"/>
      <c r="X2869" s="3"/>
      <c r="Y2869" s="4"/>
      <c r="Z2869"/>
      <c r="AA2869"/>
    </row>
    <row r="2870" spans="1:27" s="37" customFormat="1" x14ac:dyDescent="0.15">
      <c r="A2870" s="166"/>
      <c r="B2870" s="82"/>
      <c r="C2870" s="70"/>
      <c r="D2870" s="70"/>
      <c r="E2870" s="70"/>
      <c r="F2870" s="70"/>
      <c r="G2870" s="70"/>
      <c r="H2870" s="85"/>
      <c r="I2870" s="85"/>
      <c r="J2870" s="142"/>
      <c r="K2870" s="60"/>
      <c r="P2870" s="3"/>
      <c r="Q2870" s="3"/>
      <c r="R2870" s="3"/>
      <c r="S2870" s="3"/>
      <c r="T2870" s="3"/>
      <c r="U2870" s="3"/>
      <c r="V2870" s="3"/>
      <c r="W2870" s="3"/>
      <c r="X2870" s="3"/>
      <c r="Y2870" s="4"/>
      <c r="Z2870"/>
      <c r="AA2870"/>
    </row>
    <row r="2871" spans="1:27" s="37" customFormat="1" x14ac:dyDescent="0.15">
      <c r="A2871" s="166"/>
      <c r="B2871" s="93"/>
      <c r="C2871" s="70"/>
      <c r="D2871" s="70"/>
      <c r="E2871" s="70"/>
      <c r="F2871" s="70"/>
      <c r="G2871" s="70"/>
      <c r="H2871" s="85"/>
      <c r="I2871" s="85"/>
      <c r="J2871" s="131"/>
      <c r="K2871" s="60"/>
      <c r="L2871" s="49"/>
      <c r="P2871" s="3"/>
      <c r="Q2871" s="3"/>
      <c r="R2871" s="3"/>
      <c r="S2871" s="3"/>
      <c r="T2871" s="3"/>
      <c r="U2871" s="3"/>
      <c r="V2871" s="3"/>
      <c r="W2871" s="3"/>
      <c r="X2871" s="3"/>
      <c r="Y2871" s="4"/>
      <c r="Z2871"/>
      <c r="AA2871"/>
    </row>
    <row r="2872" spans="1:27" s="37" customFormat="1" x14ac:dyDescent="0.15">
      <c r="A2872" s="166"/>
      <c r="B2872" s="82"/>
      <c r="C2872" s="70"/>
      <c r="D2872" s="70"/>
      <c r="E2872" s="70"/>
      <c r="F2872" s="70"/>
      <c r="G2872" s="70"/>
      <c r="H2872" s="85"/>
      <c r="I2872" s="85"/>
      <c r="J2872" s="131"/>
      <c r="K2872" s="60"/>
      <c r="P2872" s="3"/>
      <c r="Q2872" s="3"/>
      <c r="R2872" s="3"/>
      <c r="S2872" s="3"/>
      <c r="T2872" s="3"/>
      <c r="U2872" s="3"/>
      <c r="V2872" s="3"/>
      <c r="W2872" s="3"/>
      <c r="X2872" s="3"/>
      <c r="Y2872" s="4"/>
      <c r="Z2872"/>
      <c r="AA2872"/>
    </row>
    <row r="2873" spans="1:27" s="37" customFormat="1" x14ac:dyDescent="0.15">
      <c r="A2873" s="166"/>
      <c r="B2873" s="82"/>
      <c r="C2873" s="70"/>
      <c r="D2873" s="70"/>
      <c r="E2873" s="70"/>
      <c r="F2873" s="70"/>
      <c r="G2873" s="70"/>
      <c r="H2873" s="85"/>
      <c r="I2873" s="85"/>
      <c r="J2873" s="131"/>
      <c r="K2873" s="60"/>
      <c r="P2873" s="3"/>
      <c r="Q2873" s="3"/>
      <c r="R2873" s="3"/>
      <c r="S2873" s="3"/>
      <c r="T2873" s="3"/>
      <c r="U2873" s="3"/>
      <c r="V2873" s="3"/>
      <c r="W2873" s="3"/>
      <c r="X2873" s="3"/>
      <c r="Y2873" s="4"/>
      <c r="Z2873"/>
      <c r="AA2873"/>
    </row>
    <row r="2874" spans="1:27" s="37" customFormat="1" x14ac:dyDescent="0.15">
      <c r="A2874" s="166"/>
      <c r="B2874" s="82"/>
      <c r="C2874" s="70"/>
      <c r="D2874" s="70"/>
      <c r="E2874" s="70"/>
      <c r="F2874" s="70"/>
      <c r="G2874" s="70"/>
      <c r="H2874" s="85"/>
      <c r="I2874" s="85"/>
      <c r="J2874" s="131"/>
      <c r="K2874" s="60"/>
      <c r="P2874" s="3"/>
      <c r="Q2874" s="3"/>
      <c r="R2874" s="3"/>
      <c r="S2874" s="3"/>
      <c r="T2874" s="3"/>
      <c r="U2874" s="3"/>
      <c r="V2874" s="3"/>
      <c r="W2874" s="3"/>
      <c r="X2874" s="3"/>
      <c r="Y2874" s="4"/>
      <c r="Z2874"/>
      <c r="AA2874"/>
    </row>
    <row r="2875" spans="1:27" s="37" customFormat="1" x14ac:dyDescent="0.15">
      <c r="A2875" s="166"/>
      <c r="B2875" s="93"/>
      <c r="C2875" s="70"/>
      <c r="D2875" s="70"/>
      <c r="E2875" s="70"/>
      <c r="F2875" s="70"/>
      <c r="G2875" s="70"/>
      <c r="H2875" s="85"/>
      <c r="I2875" s="85"/>
      <c r="J2875" s="131"/>
      <c r="K2875" s="60"/>
      <c r="L2875" s="49"/>
      <c r="P2875" s="3"/>
      <c r="Q2875" s="3"/>
      <c r="R2875" s="3"/>
      <c r="S2875" s="3"/>
      <c r="T2875" s="3"/>
      <c r="U2875" s="3"/>
      <c r="V2875" s="3"/>
      <c r="W2875" s="3"/>
      <c r="X2875" s="3"/>
      <c r="Y2875" s="4"/>
      <c r="Z2875"/>
      <c r="AA2875"/>
    </row>
    <row r="2876" spans="1:27" s="37" customFormat="1" x14ac:dyDescent="0.15">
      <c r="A2876" s="166"/>
      <c r="B2876" s="93"/>
      <c r="C2876" s="70"/>
      <c r="D2876" s="70"/>
      <c r="E2876" s="70"/>
      <c r="F2876" s="70"/>
      <c r="G2876" s="70"/>
      <c r="H2876" s="85"/>
      <c r="I2876" s="85"/>
      <c r="J2876" s="131"/>
      <c r="K2876" s="60"/>
      <c r="L2876" s="49"/>
      <c r="P2876" s="3"/>
      <c r="Q2876" s="3"/>
      <c r="R2876" s="3"/>
      <c r="S2876" s="3"/>
      <c r="T2876" s="3"/>
      <c r="U2876" s="3"/>
      <c r="V2876" s="3"/>
      <c r="W2876" s="3"/>
      <c r="X2876" s="3"/>
      <c r="Y2876" s="4"/>
      <c r="Z2876"/>
      <c r="AA2876"/>
    </row>
    <row r="2877" spans="1:27" s="37" customFormat="1" x14ac:dyDescent="0.15">
      <c r="A2877" s="166"/>
      <c r="B2877" s="82"/>
      <c r="C2877" s="70"/>
      <c r="D2877" s="70"/>
      <c r="E2877" s="70"/>
      <c r="F2877" s="70"/>
      <c r="G2877" s="70"/>
      <c r="H2877" s="85"/>
      <c r="I2877" s="85"/>
      <c r="J2877" s="131"/>
      <c r="K2877" s="60"/>
      <c r="L2877" s="49"/>
      <c r="P2877" s="3"/>
      <c r="Q2877" s="3"/>
      <c r="R2877" s="3"/>
      <c r="S2877" s="3"/>
      <c r="T2877" s="3"/>
      <c r="U2877" s="3"/>
      <c r="V2877" s="3"/>
      <c r="W2877" s="3"/>
      <c r="X2877" s="3"/>
      <c r="Y2877" s="4"/>
      <c r="Z2877"/>
      <c r="AA2877"/>
    </row>
    <row r="2878" spans="1:27" s="37" customFormat="1" x14ac:dyDescent="0.15">
      <c r="A2878" s="166"/>
      <c r="B2878" s="82"/>
      <c r="C2878" s="70"/>
      <c r="D2878" s="70"/>
      <c r="E2878" s="70"/>
      <c r="F2878" s="70"/>
      <c r="G2878" s="70"/>
      <c r="H2878" s="85"/>
      <c r="I2878" s="85"/>
      <c r="J2878" s="131"/>
      <c r="K2878" s="60"/>
      <c r="L2878" s="33"/>
      <c r="P2878" s="3"/>
      <c r="Q2878" s="3"/>
      <c r="R2878" s="3"/>
      <c r="S2878" s="3"/>
      <c r="T2878" s="3"/>
      <c r="U2878" s="3"/>
      <c r="V2878" s="3"/>
      <c r="W2878" s="3"/>
      <c r="X2878" s="3"/>
      <c r="Y2878" s="4"/>
      <c r="Z2878"/>
      <c r="AA2878"/>
    </row>
    <row r="2879" spans="1:27" s="37" customFormat="1" x14ac:dyDescent="0.15">
      <c r="A2879" s="166"/>
      <c r="B2879" s="82"/>
      <c r="C2879" s="70"/>
      <c r="D2879" s="70"/>
      <c r="E2879" s="70"/>
      <c r="F2879" s="70"/>
      <c r="G2879" s="70"/>
      <c r="H2879" s="85"/>
      <c r="I2879" s="85"/>
      <c r="J2879" s="131"/>
      <c r="K2879" s="60"/>
      <c r="L2879" s="49"/>
      <c r="P2879" s="3"/>
      <c r="Q2879" s="3"/>
      <c r="R2879" s="3"/>
      <c r="S2879" s="3"/>
      <c r="T2879" s="3"/>
      <c r="U2879" s="3"/>
      <c r="V2879" s="3"/>
      <c r="W2879" s="3"/>
      <c r="X2879" s="3"/>
      <c r="Y2879" s="4"/>
      <c r="Z2879"/>
      <c r="AA2879"/>
    </row>
    <row r="2880" spans="1:27" s="37" customFormat="1" ht="16" x14ac:dyDescent="0.2">
      <c r="A2880" s="166"/>
      <c r="B2880" s="82"/>
      <c r="C2880" s="70"/>
      <c r="D2880" s="70"/>
      <c r="E2880" s="70"/>
      <c r="F2880" s="70"/>
      <c r="G2880" s="70"/>
      <c r="H2880" s="85"/>
      <c r="I2880" s="85"/>
      <c r="J2880" s="131"/>
      <c r="K2880" s="69"/>
      <c r="L2880" s="49"/>
      <c r="M2880" s="48"/>
      <c r="P2880" s="3"/>
      <c r="Q2880" s="3"/>
      <c r="R2880" s="3"/>
      <c r="S2880" s="3"/>
      <c r="T2880" s="3"/>
      <c r="U2880" s="3"/>
      <c r="V2880" s="3"/>
      <c r="W2880" s="3"/>
      <c r="X2880" s="3"/>
      <c r="Y2880" s="4"/>
      <c r="Z2880"/>
      <c r="AA2880"/>
    </row>
    <row r="2881" spans="1:27" s="37" customFormat="1" x14ac:dyDescent="0.15">
      <c r="A2881" s="166"/>
      <c r="B2881" s="93"/>
      <c r="C2881" s="70"/>
      <c r="D2881" s="70"/>
      <c r="E2881" s="70"/>
      <c r="F2881" s="70"/>
      <c r="G2881" s="70"/>
      <c r="H2881" s="85"/>
      <c r="I2881" s="85"/>
      <c r="J2881" s="131"/>
      <c r="K2881" s="60"/>
      <c r="L2881" s="33"/>
      <c r="P2881" s="3"/>
      <c r="Q2881" s="3"/>
      <c r="R2881" s="3"/>
      <c r="S2881" s="3"/>
      <c r="T2881" s="3"/>
      <c r="U2881" s="3"/>
      <c r="V2881" s="3"/>
      <c r="W2881" s="3"/>
      <c r="X2881" s="3"/>
      <c r="Y2881" s="4"/>
      <c r="Z2881"/>
      <c r="AA2881"/>
    </row>
    <row r="2882" spans="1:27" s="37" customFormat="1" x14ac:dyDescent="0.15">
      <c r="A2882" s="166"/>
      <c r="B2882" s="82"/>
      <c r="C2882" s="70"/>
      <c r="D2882" s="70"/>
      <c r="E2882" s="70"/>
      <c r="F2882" s="70"/>
      <c r="G2882" s="70"/>
      <c r="H2882" s="85"/>
      <c r="I2882" s="85"/>
      <c r="J2882" s="131"/>
      <c r="K2882" s="69"/>
      <c r="L2882" s="49"/>
      <c r="P2882" s="3"/>
      <c r="Q2882" s="3"/>
      <c r="R2882" s="3"/>
      <c r="S2882" s="3"/>
      <c r="T2882" s="3"/>
      <c r="U2882" s="3"/>
      <c r="V2882" s="3"/>
      <c r="W2882" s="3"/>
      <c r="X2882" s="3"/>
      <c r="Y2882" s="4"/>
      <c r="Z2882"/>
      <c r="AA2882"/>
    </row>
    <row r="2883" spans="1:27" s="37" customFormat="1" x14ac:dyDescent="0.15">
      <c r="A2883" s="166"/>
      <c r="B2883" s="93"/>
      <c r="C2883" s="70"/>
      <c r="D2883" s="70"/>
      <c r="E2883" s="70"/>
      <c r="F2883" s="70"/>
      <c r="G2883" s="70"/>
      <c r="H2883" s="85"/>
      <c r="I2883" s="85"/>
      <c r="J2883" s="131"/>
      <c r="K2883" s="60"/>
      <c r="L2883" s="33"/>
      <c r="P2883" s="3"/>
      <c r="Q2883" s="3"/>
      <c r="R2883" s="3"/>
      <c r="S2883" s="3"/>
      <c r="T2883" s="3"/>
      <c r="U2883" s="3"/>
      <c r="V2883" s="3"/>
      <c r="W2883" s="3"/>
      <c r="X2883" s="3"/>
      <c r="Y2883" s="4"/>
      <c r="Z2883"/>
      <c r="AA2883"/>
    </row>
    <row r="2884" spans="1:27" s="37" customFormat="1" x14ac:dyDescent="0.15">
      <c r="A2884" s="166"/>
      <c r="B2884" s="82"/>
      <c r="C2884" s="70"/>
      <c r="D2884" s="70"/>
      <c r="E2884" s="70"/>
      <c r="F2884" s="70"/>
      <c r="G2884" s="70"/>
      <c r="H2884" s="85"/>
      <c r="I2884" s="85"/>
      <c r="J2884" s="131"/>
      <c r="K2884" s="69"/>
      <c r="L2884" s="49"/>
      <c r="P2884" s="3"/>
      <c r="Q2884" s="3"/>
      <c r="R2884" s="3"/>
      <c r="S2884" s="3"/>
      <c r="T2884" s="3"/>
      <c r="U2884" s="3"/>
      <c r="V2884" s="3"/>
      <c r="W2884" s="3"/>
      <c r="X2884" s="3"/>
      <c r="Y2884" s="4"/>
      <c r="Z2884"/>
      <c r="AA2884"/>
    </row>
    <row r="2885" spans="1:27" s="37" customFormat="1" x14ac:dyDescent="0.15">
      <c r="A2885" s="166"/>
      <c r="B2885" s="82"/>
      <c r="C2885" s="70"/>
      <c r="D2885" s="70"/>
      <c r="E2885" s="70"/>
      <c r="F2885" s="70"/>
      <c r="G2885" s="70"/>
      <c r="H2885" s="85"/>
      <c r="I2885" s="85"/>
      <c r="J2885" s="131"/>
      <c r="K2885" s="69"/>
      <c r="L2885" s="49"/>
      <c r="P2885" s="3"/>
      <c r="Q2885" s="3"/>
      <c r="R2885" s="3"/>
      <c r="S2885" s="3"/>
      <c r="T2885" s="3"/>
      <c r="U2885" s="3"/>
      <c r="V2885" s="3"/>
      <c r="W2885" s="3"/>
      <c r="X2885" s="3"/>
      <c r="Y2885" s="4"/>
      <c r="Z2885"/>
      <c r="AA2885"/>
    </row>
    <row r="2886" spans="1:27" s="37" customFormat="1" x14ac:dyDescent="0.15">
      <c r="A2886" s="166"/>
      <c r="B2886" s="82"/>
      <c r="C2886" s="70"/>
      <c r="D2886" s="70"/>
      <c r="E2886" s="70"/>
      <c r="F2886" s="70"/>
      <c r="G2886" s="70"/>
      <c r="H2886" s="85"/>
      <c r="I2886" s="85"/>
      <c r="J2886" s="131"/>
      <c r="K2886" s="69"/>
      <c r="L2886" s="49"/>
      <c r="P2886" s="3"/>
      <c r="Q2886" s="3"/>
      <c r="R2886" s="3"/>
      <c r="S2886" s="3"/>
      <c r="T2886" s="3"/>
      <c r="U2886" s="3"/>
      <c r="V2886" s="3"/>
      <c r="W2886" s="3"/>
      <c r="X2886" s="3"/>
      <c r="Y2886" s="4"/>
      <c r="Z2886"/>
      <c r="AA2886"/>
    </row>
    <row r="2887" spans="1:27" s="37" customFormat="1" x14ac:dyDescent="0.15">
      <c r="A2887" s="166"/>
      <c r="B2887" s="93"/>
      <c r="C2887" s="70"/>
      <c r="D2887" s="70"/>
      <c r="E2887" s="70"/>
      <c r="F2887" s="70"/>
      <c r="G2887" s="70"/>
      <c r="H2887" s="85"/>
      <c r="I2887" s="85"/>
      <c r="J2887" s="131"/>
      <c r="K2887" s="60"/>
      <c r="L2887" s="33"/>
      <c r="P2887" s="3"/>
      <c r="Q2887" s="3"/>
      <c r="R2887" s="3"/>
      <c r="S2887" s="3"/>
      <c r="T2887" s="3"/>
      <c r="U2887" s="3"/>
      <c r="V2887" s="3"/>
      <c r="W2887" s="3"/>
      <c r="X2887" s="3"/>
      <c r="Y2887" s="4"/>
      <c r="Z2887"/>
      <c r="AA2887"/>
    </row>
    <row r="2888" spans="1:27" s="37" customFormat="1" x14ac:dyDescent="0.15">
      <c r="A2888" s="166"/>
      <c r="B2888" s="82"/>
      <c r="C2888" s="70"/>
      <c r="D2888" s="70"/>
      <c r="E2888" s="70"/>
      <c r="F2888" s="70"/>
      <c r="G2888" s="70"/>
      <c r="H2888" s="85"/>
      <c r="I2888" s="85"/>
      <c r="J2888" s="131"/>
      <c r="K2888" s="69"/>
      <c r="L2888" s="49"/>
      <c r="P2888" s="3"/>
      <c r="Q2888" s="3"/>
      <c r="R2888" s="3"/>
      <c r="S2888" s="3"/>
      <c r="T2888" s="3"/>
      <c r="U2888" s="3"/>
      <c r="V2888" s="3"/>
      <c r="W2888" s="3"/>
      <c r="X2888" s="3"/>
      <c r="Y2888" s="4"/>
      <c r="Z2888"/>
      <c r="AA2888"/>
    </row>
    <row r="2889" spans="1:27" s="37" customFormat="1" ht="16" x14ac:dyDescent="0.2">
      <c r="A2889" s="166"/>
      <c r="B2889" s="82"/>
      <c r="C2889" s="70"/>
      <c r="D2889" s="70"/>
      <c r="E2889" s="70"/>
      <c r="F2889" s="70"/>
      <c r="G2889" s="70"/>
      <c r="H2889" s="85"/>
      <c r="I2889" s="85"/>
      <c r="J2889" s="131"/>
      <c r="K2889" s="69"/>
      <c r="L2889" s="49"/>
      <c r="M2889" s="48"/>
      <c r="P2889" s="3"/>
      <c r="Q2889" s="3"/>
      <c r="R2889" s="3"/>
      <c r="S2889" s="3"/>
      <c r="T2889" s="3"/>
      <c r="U2889" s="3"/>
      <c r="V2889" s="3"/>
      <c r="W2889" s="3"/>
      <c r="X2889" s="3"/>
      <c r="Y2889" s="4"/>
      <c r="Z2889"/>
      <c r="AA2889"/>
    </row>
    <row r="2890" spans="1:27" s="37" customFormat="1" x14ac:dyDescent="0.15">
      <c r="A2890" s="166"/>
      <c r="B2890" s="82"/>
      <c r="C2890" s="70"/>
      <c r="D2890" s="70"/>
      <c r="E2890" s="70"/>
      <c r="F2890" s="70"/>
      <c r="G2890" s="70"/>
      <c r="H2890" s="85"/>
      <c r="I2890" s="85"/>
      <c r="J2890" s="131"/>
      <c r="K2890" s="60"/>
      <c r="L2890" s="49"/>
      <c r="P2890" s="3"/>
      <c r="Q2890" s="3"/>
      <c r="R2890" s="3"/>
      <c r="S2890" s="3"/>
      <c r="T2890" s="3"/>
      <c r="U2890" s="3"/>
      <c r="V2890" s="3"/>
      <c r="W2890" s="3"/>
      <c r="X2890" s="3"/>
      <c r="Y2890" s="4"/>
      <c r="Z2890"/>
      <c r="AA2890"/>
    </row>
    <row r="2891" spans="1:27" s="37" customFormat="1" x14ac:dyDescent="0.15">
      <c r="A2891" s="166"/>
      <c r="B2891" s="82"/>
      <c r="C2891" s="70"/>
      <c r="D2891" s="70"/>
      <c r="E2891" s="70"/>
      <c r="F2891" s="70"/>
      <c r="G2891" s="70"/>
      <c r="H2891" s="85"/>
      <c r="I2891" s="85"/>
      <c r="J2891" s="131"/>
      <c r="K2891" s="60"/>
      <c r="L2891" s="49"/>
      <c r="P2891" s="3"/>
      <c r="Q2891" s="3"/>
      <c r="R2891" s="3"/>
      <c r="S2891" s="3"/>
      <c r="T2891" s="3"/>
      <c r="U2891" s="3"/>
      <c r="V2891" s="3"/>
      <c r="W2891" s="3"/>
      <c r="X2891" s="3"/>
      <c r="Y2891" s="4"/>
      <c r="Z2891"/>
      <c r="AA2891"/>
    </row>
    <row r="2892" spans="1:27" s="37" customFormat="1" ht="16" x14ac:dyDescent="0.2">
      <c r="A2892" s="166"/>
      <c r="B2892" s="82"/>
      <c r="C2892" s="70"/>
      <c r="D2892" s="70"/>
      <c r="E2892" s="70"/>
      <c r="F2892" s="70"/>
      <c r="G2892" s="70"/>
      <c r="H2892" s="85"/>
      <c r="I2892" s="85"/>
      <c r="J2892" s="131"/>
      <c r="K2892" s="60"/>
      <c r="L2892" s="49"/>
      <c r="M2892" s="48"/>
      <c r="P2892" s="3"/>
      <c r="Q2892" s="3"/>
      <c r="R2892" s="3"/>
      <c r="S2892" s="3"/>
      <c r="T2892" s="3"/>
      <c r="U2892" s="3"/>
      <c r="V2892" s="3"/>
      <c r="W2892" s="3"/>
      <c r="X2892" s="3"/>
      <c r="Y2892" s="4"/>
      <c r="Z2892"/>
      <c r="AA2892"/>
    </row>
    <row r="2893" spans="1:27" s="37" customFormat="1" x14ac:dyDescent="0.15">
      <c r="A2893" s="166"/>
      <c r="B2893" s="82"/>
      <c r="C2893" s="70"/>
      <c r="D2893" s="70"/>
      <c r="E2893" s="70"/>
      <c r="F2893" s="70"/>
      <c r="G2893" s="70"/>
      <c r="H2893" s="85"/>
      <c r="I2893" s="85"/>
      <c r="J2893" s="131"/>
      <c r="K2893" s="60"/>
      <c r="L2893" s="49"/>
      <c r="P2893" s="3"/>
      <c r="Q2893" s="3"/>
      <c r="R2893" s="3"/>
      <c r="S2893" s="3"/>
      <c r="T2893" s="3"/>
      <c r="U2893" s="3"/>
      <c r="V2893" s="3"/>
      <c r="W2893" s="3"/>
      <c r="X2893" s="3"/>
      <c r="Y2893" s="4"/>
      <c r="Z2893"/>
      <c r="AA2893"/>
    </row>
    <row r="2894" spans="1:27" s="37" customFormat="1" x14ac:dyDescent="0.15">
      <c r="A2894" s="166"/>
      <c r="B2894" s="82"/>
      <c r="C2894" s="70"/>
      <c r="D2894" s="70"/>
      <c r="E2894" s="70"/>
      <c r="F2894" s="70"/>
      <c r="G2894" s="70"/>
      <c r="H2894" s="85"/>
      <c r="I2894" s="85"/>
      <c r="J2894" s="131"/>
      <c r="K2894" s="60"/>
      <c r="L2894" s="49"/>
      <c r="P2894" s="3"/>
      <c r="Q2894" s="3"/>
      <c r="R2894" s="3"/>
      <c r="S2894" s="3"/>
      <c r="T2894" s="3"/>
      <c r="U2894" s="3"/>
      <c r="V2894" s="3"/>
      <c r="W2894" s="3"/>
      <c r="X2894" s="3"/>
      <c r="Y2894" s="4"/>
      <c r="Z2894"/>
      <c r="AA2894"/>
    </row>
    <row r="2895" spans="1:27" x14ac:dyDescent="0.15">
      <c r="A2895" s="166"/>
      <c r="B2895" s="82"/>
      <c r="C2895" s="70"/>
      <c r="D2895" s="70"/>
      <c r="E2895" s="70"/>
      <c r="F2895" s="70"/>
      <c r="G2895" s="70"/>
      <c r="H2895" s="85"/>
      <c r="I2895" s="85"/>
      <c r="J2895" s="131"/>
      <c r="K2895" s="69"/>
    </row>
    <row r="2896" spans="1:27" x14ac:dyDescent="0.15">
      <c r="A2896" s="166"/>
      <c r="B2896" s="93"/>
      <c r="C2896" s="70"/>
      <c r="D2896" s="70"/>
      <c r="E2896" s="70"/>
      <c r="F2896" s="70"/>
      <c r="G2896" s="70"/>
      <c r="H2896" s="85"/>
      <c r="I2896" s="85"/>
      <c r="J2896" s="131"/>
      <c r="K2896" s="60"/>
      <c r="L2896" s="33"/>
    </row>
    <row r="2897" spans="1:27" x14ac:dyDescent="0.15">
      <c r="A2897" s="166"/>
      <c r="B2897" s="82"/>
      <c r="C2897" s="70"/>
      <c r="D2897" s="70"/>
      <c r="E2897" s="70"/>
      <c r="F2897" s="70"/>
      <c r="G2897" s="70"/>
      <c r="H2897" s="85"/>
      <c r="I2897" s="85"/>
      <c r="J2897" s="131"/>
      <c r="K2897" s="60"/>
    </row>
    <row r="2898" spans="1:27" x14ac:dyDescent="0.15">
      <c r="A2898" s="166"/>
      <c r="B2898" s="93"/>
      <c r="C2898" s="70"/>
      <c r="D2898" s="70"/>
      <c r="E2898" s="70"/>
      <c r="F2898" s="70"/>
      <c r="G2898" s="70"/>
      <c r="H2898" s="85"/>
      <c r="I2898" s="85"/>
      <c r="J2898" s="131"/>
      <c r="K2898" s="60"/>
      <c r="L2898" s="33"/>
    </row>
    <row r="2899" spans="1:27" x14ac:dyDescent="0.15">
      <c r="A2899" s="166"/>
      <c r="B2899" s="82"/>
      <c r="C2899" s="70"/>
      <c r="D2899" s="70"/>
      <c r="E2899" s="70"/>
      <c r="F2899" s="70"/>
      <c r="G2899" s="70"/>
      <c r="H2899" s="85"/>
      <c r="I2899" s="85"/>
      <c r="J2899" s="131"/>
      <c r="K2899" s="60"/>
      <c r="R2899" s="6"/>
      <c r="S2899" s="6"/>
      <c r="T2899" s="6"/>
      <c r="U2899" s="6"/>
      <c r="V2899" s="6"/>
      <c r="W2899" s="6"/>
      <c r="X2899" s="6"/>
      <c r="Y2899" s="6"/>
      <c r="Z2899" s="2"/>
      <c r="AA2899" s="2"/>
    </row>
    <row r="2900" spans="1:27" x14ac:dyDescent="0.15">
      <c r="A2900" s="166"/>
      <c r="B2900" s="82"/>
      <c r="C2900" s="70"/>
      <c r="D2900" s="70"/>
      <c r="E2900" s="70"/>
      <c r="F2900" s="70"/>
      <c r="G2900" s="70"/>
      <c r="H2900" s="85"/>
      <c r="I2900" s="85"/>
      <c r="J2900" s="131"/>
      <c r="K2900" s="60"/>
      <c r="R2900" s="6"/>
      <c r="S2900" s="6"/>
      <c r="T2900" s="6"/>
      <c r="U2900" s="6"/>
      <c r="V2900" s="6"/>
      <c r="W2900" s="6"/>
      <c r="X2900" s="6"/>
      <c r="Y2900" s="6"/>
      <c r="Z2900" s="2"/>
      <c r="AA2900" s="2"/>
    </row>
    <row r="2901" spans="1:27" x14ac:dyDescent="0.15">
      <c r="A2901" s="166"/>
      <c r="B2901" s="82"/>
      <c r="C2901" s="70"/>
      <c r="D2901" s="70"/>
      <c r="E2901" s="70"/>
      <c r="F2901" s="70"/>
      <c r="G2901" s="70"/>
      <c r="H2901" s="85"/>
      <c r="I2901" s="85"/>
      <c r="J2901" s="131"/>
      <c r="K2901" s="60"/>
      <c r="R2901" s="6"/>
      <c r="S2901" s="6"/>
      <c r="T2901" s="6"/>
      <c r="U2901" s="6"/>
      <c r="V2901" s="6"/>
      <c r="W2901" s="6"/>
      <c r="X2901" s="6"/>
      <c r="Y2901" s="6"/>
      <c r="Z2901" s="2"/>
      <c r="AA2901" s="2"/>
    </row>
    <row r="2902" spans="1:27" x14ac:dyDescent="0.15">
      <c r="A2902" s="166"/>
      <c r="B2902" s="82"/>
      <c r="C2902" s="70"/>
      <c r="D2902" s="70"/>
      <c r="E2902" s="70"/>
      <c r="F2902" s="70"/>
      <c r="G2902" s="70"/>
      <c r="H2902" s="85"/>
      <c r="I2902" s="85"/>
      <c r="J2902" s="131"/>
      <c r="K2902" s="60"/>
      <c r="R2902" s="6"/>
      <c r="S2902" s="6"/>
      <c r="T2902" s="6"/>
      <c r="U2902" s="6"/>
      <c r="V2902" s="6"/>
      <c r="W2902" s="6"/>
      <c r="X2902" s="6"/>
      <c r="Y2902" s="6"/>
      <c r="Z2902" s="2"/>
      <c r="AA2902" s="2"/>
    </row>
    <row r="2903" spans="1:27" x14ac:dyDescent="0.15">
      <c r="A2903" s="166"/>
      <c r="B2903" s="82"/>
      <c r="C2903" s="70"/>
      <c r="D2903" s="70"/>
      <c r="E2903" s="70"/>
      <c r="F2903" s="70"/>
      <c r="G2903" s="70"/>
      <c r="H2903" s="85"/>
      <c r="I2903" s="85"/>
      <c r="J2903" s="131"/>
      <c r="K2903" s="60"/>
      <c r="R2903" s="6"/>
      <c r="S2903" s="6"/>
      <c r="T2903" s="6"/>
      <c r="U2903" s="6"/>
      <c r="V2903" s="6"/>
      <c r="W2903" s="6"/>
      <c r="X2903" s="6"/>
      <c r="Y2903" s="6"/>
      <c r="Z2903" s="2"/>
      <c r="AA2903" s="2"/>
    </row>
    <row r="2904" spans="1:27" x14ac:dyDescent="0.15">
      <c r="A2904" s="166"/>
      <c r="B2904" s="82"/>
      <c r="C2904" s="70"/>
      <c r="D2904" s="70"/>
      <c r="E2904" s="70"/>
      <c r="F2904" s="70"/>
      <c r="G2904" s="70"/>
      <c r="H2904" s="85"/>
      <c r="I2904" s="85"/>
      <c r="J2904" s="131"/>
      <c r="K2904" s="60"/>
      <c r="R2904" s="6"/>
      <c r="S2904" s="6"/>
      <c r="T2904" s="6"/>
      <c r="U2904" s="6"/>
      <c r="V2904" s="6"/>
      <c r="W2904" s="6"/>
      <c r="X2904" s="6"/>
      <c r="Y2904" s="6"/>
      <c r="Z2904" s="2"/>
      <c r="AA2904" s="2"/>
    </row>
    <row r="2905" spans="1:27" x14ac:dyDescent="0.15">
      <c r="A2905" s="166"/>
      <c r="B2905" s="82"/>
      <c r="C2905" s="73"/>
      <c r="D2905" s="73"/>
      <c r="E2905" s="70"/>
      <c r="F2905" s="73"/>
      <c r="G2905" s="73"/>
      <c r="H2905" s="85"/>
      <c r="I2905" s="95"/>
      <c r="J2905" s="131"/>
      <c r="K2905" s="69"/>
      <c r="R2905" s="6"/>
      <c r="S2905" s="6"/>
      <c r="T2905" s="6"/>
      <c r="U2905" s="6"/>
      <c r="V2905" s="6"/>
      <c r="W2905" s="6"/>
      <c r="X2905" s="6"/>
      <c r="Y2905" s="6"/>
      <c r="Z2905" s="2"/>
      <c r="AA2905" s="2"/>
    </row>
    <row r="2906" spans="1:27" ht="16" x14ac:dyDescent="0.2">
      <c r="A2906" s="166"/>
      <c r="B2906" s="82"/>
      <c r="C2906" s="70"/>
      <c r="D2906" s="70"/>
      <c r="E2906" s="70"/>
      <c r="F2906" s="70"/>
      <c r="G2906" s="70"/>
      <c r="H2906" s="85"/>
      <c r="I2906" s="85"/>
      <c r="J2906" s="131"/>
      <c r="K2906" s="60"/>
      <c r="M2906" s="48"/>
      <c r="R2906" s="6"/>
      <c r="S2906" s="6"/>
      <c r="T2906" s="6"/>
      <c r="U2906" s="6"/>
      <c r="V2906" s="6"/>
      <c r="W2906" s="6"/>
      <c r="X2906" s="6"/>
      <c r="Y2906" s="6"/>
      <c r="Z2906" s="2"/>
      <c r="AA2906" s="2"/>
    </row>
    <row r="2907" spans="1:27" x14ac:dyDescent="0.15">
      <c r="A2907" s="166"/>
      <c r="B2907" s="82"/>
      <c r="C2907" s="70"/>
      <c r="D2907" s="70"/>
      <c r="E2907" s="70"/>
      <c r="F2907" s="70"/>
      <c r="G2907" s="70"/>
      <c r="H2907" s="85"/>
      <c r="I2907" s="85"/>
      <c r="J2907" s="131"/>
      <c r="K2907" s="60"/>
      <c r="R2907" s="6"/>
      <c r="S2907" s="6"/>
      <c r="T2907" s="6"/>
      <c r="U2907" s="6"/>
      <c r="V2907" s="6"/>
      <c r="W2907" s="6"/>
      <c r="X2907" s="6"/>
      <c r="Y2907" s="6"/>
      <c r="Z2907" s="2"/>
      <c r="AA2907" s="2"/>
    </row>
    <row r="2908" spans="1:27" x14ac:dyDescent="0.15">
      <c r="A2908" s="166"/>
      <c r="B2908" s="82"/>
      <c r="C2908" s="70"/>
      <c r="D2908" s="70"/>
      <c r="E2908" s="70"/>
      <c r="F2908" s="70"/>
      <c r="G2908" s="70"/>
      <c r="H2908" s="85"/>
      <c r="I2908" s="85"/>
      <c r="J2908" s="131"/>
      <c r="K2908" s="60"/>
      <c r="R2908" s="6"/>
      <c r="S2908" s="6"/>
      <c r="T2908" s="6"/>
      <c r="U2908" s="6"/>
      <c r="V2908" s="6"/>
      <c r="W2908" s="6"/>
      <c r="X2908" s="6"/>
      <c r="Y2908" s="6"/>
      <c r="Z2908" s="2"/>
      <c r="AA2908" s="2"/>
    </row>
    <row r="2909" spans="1:27" x14ac:dyDescent="0.15">
      <c r="A2909" s="166"/>
      <c r="B2909" s="82"/>
      <c r="C2909" s="70"/>
      <c r="D2909" s="70"/>
      <c r="E2909" s="70"/>
      <c r="F2909" s="70"/>
      <c r="G2909" s="70"/>
      <c r="H2909" s="85"/>
      <c r="I2909" s="85"/>
      <c r="J2909" s="131"/>
      <c r="K2909" s="60"/>
      <c r="R2909" s="6"/>
      <c r="S2909" s="6"/>
      <c r="T2909" s="6"/>
      <c r="U2909" s="6"/>
      <c r="V2909" s="6"/>
      <c r="W2909" s="6"/>
      <c r="X2909" s="6"/>
      <c r="Y2909" s="6"/>
      <c r="Z2909" s="2"/>
      <c r="AA2909" s="2"/>
    </row>
    <row r="2910" spans="1:27" x14ac:dyDescent="0.15">
      <c r="A2910" s="166"/>
      <c r="B2910" s="82"/>
      <c r="C2910" s="70"/>
      <c r="D2910" s="70"/>
      <c r="E2910" s="70"/>
      <c r="F2910" s="70"/>
      <c r="G2910" s="70"/>
      <c r="H2910" s="85"/>
      <c r="I2910" s="85"/>
      <c r="J2910" s="131"/>
      <c r="K2910" s="69"/>
      <c r="R2910" s="6"/>
      <c r="S2910" s="6"/>
      <c r="T2910" s="6"/>
      <c r="U2910" s="6"/>
      <c r="V2910" s="6"/>
      <c r="W2910" s="6"/>
      <c r="X2910" s="6"/>
      <c r="Y2910" s="6"/>
      <c r="Z2910" s="2"/>
      <c r="AA2910" s="2"/>
    </row>
    <row r="2911" spans="1:27" x14ac:dyDescent="0.15">
      <c r="A2911" s="166"/>
      <c r="B2911" s="82"/>
      <c r="C2911" s="70"/>
      <c r="D2911" s="70"/>
      <c r="E2911" s="70"/>
      <c r="F2911" s="70"/>
      <c r="G2911" s="70"/>
      <c r="H2911" s="85"/>
      <c r="I2911" s="85"/>
      <c r="J2911" s="131"/>
      <c r="K2911" s="69"/>
      <c r="R2911" s="6"/>
      <c r="S2911" s="6"/>
      <c r="T2911" s="6"/>
      <c r="U2911" s="6"/>
      <c r="V2911" s="6"/>
      <c r="W2911" s="6"/>
      <c r="X2911" s="6"/>
      <c r="Y2911" s="6"/>
      <c r="Z2911" s="2"/>
      <c r="AA2911" s="2"/>
    </row>
    <row r="2912" spans="1:27" x14ac:dyDescent="0.15">
      <c r="A2912" s="166"/>
      <c r="B2912" s="82"/>
      <c r="C2912" s="70"/>
      <c r="D2912" s="70"/>
      <c r="E2912" s="70"/>
      <c r="F2912" s="70"/>
      <c r="G2912" s="70"/>
      <c r="H2912" s="85"/>
      <c r="I2912" s="85"/>
      <c r="J2912" s="131"/>
      <c r="K2912" s="69"/>
      <c r="R2912" s="6"/>
      <c r="S2912" s="6"/>
      <c r="T2912" s="6"/>
      <c r="U2912" s="6"/>
      <c r="V2912" s="6"/>
      <c r="W2912" s="6"/>
      <c r="X2912" s="6"/>
      <c r="Y2912" s="6"/>
      <c r="Z2912" s="2"/>
      <c r="AA2912" s="2"/>
    </row>
    <row r="2913" spans="1:27" x14ac:dyDescent="0.15">
      <c r="A2913" s="166"/>
      <c r="B2913" s="82"/>
      <c r="C2913" s="70"/>
      <c r="D2913" s="70"/>
      <c r="E2913" s="70"/>
      <c r="F2913" s="70"/>
      <c r="G2913" s="70"/>
      <c r="H2913" s="85"/>
      <c r="I2913" s="85"/>
      <c r="J2913" s="131"/>
      <c r="K2913" s="69"/>
      <c r="R2913" s="6"/>
      <c r="S2913" s="6"/>
      <c r="T2913" s="6"/>
      <c r="U2913" s="6"/>
      <c r="V2913" s="6"/>
      <c r="W2913" s="6"/>
      <c r="X2913" s="6"/>
      <c r="Y2913" s="6"/>
      <c r="Z2913" s="2"/>
      <c r="AA2913" s="2"/>
    </row>
    <row r="2914" spans="1:27" x14ac:dyDescent="0.15">
      <c r="A2914" s="166"/>
      <c r="B2914" s="82"/>
      <c r="C2914" s="70"/>
      <c r="D2914" s="70"/>
      <c r="E2914" s="70"/>
      <c r="F2914" s="70"/>
      <c r="G2914" s="70"/>
      <c r="H2914" s="85"/>
      <c r="I2914" s="85"/>
      <c r="J2914" s="131"/>
      <c r="K2914" s="69"/>
      <c r="R2914" s="6"/>
      <c r="S2914" s="6"/>
      <c r="T2914" s="6"/>
      <c r="U2914" s="6"/>
      <c r="V2914" s="6"/>
      <c r="W2914" s="6"/>
      <c r="X2914" s="6"/>
      <c r="Y2914" s="6"/>
      <c r="Z2914" s="2"/>
      <c r="AA2914" s="2"/>
    </row>
    <row r="2915" spans="1:27" x14ac:dyDescent="0.15">
      <c r="A2915" s="166"/>
      <c r="B2915" s="82"/>
      <c r="C2915" s="70"/>
      <c r="D2915" s="70"/>
      <c r="E2915" s="70"/>
      <c r="F2915" s="70"/>
      <c r="G2915" s="70"/>
      <c r="H2915" s="85"/>
      <c r="I2915" s="85"/>
      <c r="J2915" s="131"/>
      <c r="K2915" s="69"/>
      <c r="R2915" s="6"/>
      <c r="S2915" s="6"/>
      <c r="T2915" s="6"/>
      <c r="U2915" s="6"/>
      <c r="V2915" s="6"/>
      <c r="W2915" s="6"/>
      <c r="X2915" s="6"/>
      <c r="Y2915" s="6"/>
      <c r="Z2915" s="2"/>
      <c r="AA2915" s="2"/>
    </row>
    <row r="2916" spans="1:27" ht="16" x14ac:dyDescent="0.2">
      <c r="A2916" s="166"/>
      <c r="B2916" s="82"/>
      <c r="C2916" s="70"/>
      <c r="D2916" s="70"/>
      <c r="E2916" s="70"/>
      <c r="F2916" s="70"/>
      <c r="G2916" s="70"/>
      <c r="H2916" s="85"/>
      <c r="I2916" s="85"/>
      <c r="J2916" s="131"/>
      <c r="K2916" s="69"/>
      <c r="M2916" s="48"/>
      <c r="R2916" s="6"/>
      <c r="S2916" s="6"/>
      <c r="T2916" s="6"/>
      <c r="U2916" s="6"/>
      <c r="V2916" s="6"/>
      <c r="W2916" s="6"/>
      <c r="X2916" s="6"/>
      <c r="Y2916" s="6"/>
      <c r="Z2916" s="2"/>
      <c r="AA2916" s="2"/>
    </row>
    <row r="2917" spans="1:27" x14ac:dyDescent="0.15">
      <c r="A2917" s="166"/>
      <c r="B2917" s="82"/>
      <c r="C2917" s="70"/>
      <c r="D2917" s="70"/>
      <c r="E2917" s="70"/>
      <c r="F2917" s="70"/>
      <c r="G2917" s="70"/>
      <c r="H2917" s="85"/>
      <c r="I2917" s="85"/>
      <c r="J2917" s="131"/>
      <c r="K2917" s="60"/>
      <c r="R2917" s="6"/>
      <c r="S2917" s="6"/>
      <c r="T2917" s="6"/>
      <c r="U2917" s="6"/>
      <c r="V2917" s="6"/>
      <c r="W2917" s="6"/>
      <c r="X2917" s="6"/>
      <c r="Y2917" s="6"/>
      <c r="Z2917" s="2"/>
      <c r="AA2917" s="2"/>
    </row>
    <row r="2918" spans="1:27" x14ac:dyDescent="0.15">
      <c r="A2918" s="166"/>
      <c r="B2918" s="93"/>
      <c r="C2918" s="70"/>
      <c r="D2918" s="70"/>
      <c r="E2918" s="70"/>
      <c r="F2918" s="70"/>
      <c r="G2918" s="70"/>
      <c r="H2918" s="85"/>
      <c r="I2918" s="85"/>
      <c r="J2918" s="131"/>
      <c r="K2918" s="60"/>
      <c r="L2918" s="33"/>
      <c r="R2918" s="6"/>
      <c r="S2918" s="6"/>
      <c r="T2918" s="6"/>
      <c r="U2918" s="6"/>
      <c r="V2918" s="6"/>
      <c r="W2918" s="6"/>
      <c r="X2918" s="6"/>
      <c r="Y2918" s="6"/>
      <c r="Z2918" s="2"/>
      <c r="AA2918" s="2"/>
    </row>
    <row r="2919" spans="1:27" x14ac:dyDescent="0.15">
      <c r="A2919" s="166"/>
      <c r="B2919" s="82"/>
      <c r="C2919" s="70"/>
      <c r="D2919" s="70"/>
      <c r="E2919" s="70"/>
      <c r="F2919" s="70"/>
      <c r="G2919" s="70"/>
      <c r="H2919" s="85"/>
      <c r="I2919" s="85"/>
      <c r="J2919" s="131"/>
      <c r="K2919" s="60"/>
      <c r="R2919" s="6"/>
      <c r="S2919" s="6"/>
      <c r="T2919" s="6"/>
      <c r="U2919" s="6"/>
      <c r="V2919" s="6"/>
      <c r="W2919" s="6"/>
      <c r="X2919" s="6"/>
      <c r="Y2919" s="6"/>
      <c r="Z2919" s="2"/>
      <c r="AA2919" s="2"/>
    </row>
    <row r="2920" spans="1:27" x14ac:dyDescent="0.15">
      <c r="A2920" s="166"/>
      <c r="B2920" s="82"/>
      <c r="C2920" s="70"/>
      <c r="D2920" s="70"/>
      <c r="E2920" s="70"/>
      <c r="F2920" s="70"/>
      <c r="G2920" s="70"/>
      <c r="H2920" s="85"/>
      <c r="I2920" s="85"/>
      <c r="J2920" s="131"/>
      <c r="K2920" s="60"/>
      <c r="R2920" s="6"/>
      <c r="S2920" s="6"/>
      <c r="T2920" s="6"/>
      <c r="U2920" s="6"/>
      <c r="V2920" s="6"/>
      <c r="W2920" s="6"/>
      <c r="X2920" s="6"/>
      <c r="Y2920" s="6"/>
      <c r="Z2920" s="2"/>
      <c r="AA2920" s="2"/>
    </row>
    <row r="2921" spans="1:27" x14ac:dyDescent="0.15">
      <c r="A2921" s="166"/>
      <c r="B2921" s="93"/>
      <c r="C2921" s="70"/>
      <c r="D2921" s="70"/>
      <c r="E2921" s="70"/>
      <c r="F2921" s="70"/>
      <c r="G2921" s="70"/>
      <c r="H2921" s="85"/>
      <c r="I2921" s="85"/>
      <c r="J2921" s="131"/>
      <c r="K2921" s="60"/>
      <c r="R2921" s="6"/>
      <c r="S2921" s="6"/>
      <c r="T2921" s="6"/>
      <c r="U2921" s="6"/>
      <c r="V2921" s="6"/>
      <c r="W2921" s="6"/>
      <c r="X2921" s="6"/>
      <c r="Y2921" s="6"/>
      <c r="Z2921" s="2"/>
      <c r="AA2921" s="2"/>
    </row>
    <row r="2922" spans="1:27" x14ac:dyDescent="0.15">
      <c r="A2922" s="166"/>
      <c r="B2922" s="82"/>
      <c r="C2922" s="70"/>
      <c r="D2922" s="70"/>
      <c r="E2922" s="70"/>
      <c r="F2922" s="70"/>
      <c r="G2922" s="70"/>
      <c r="H2922" s="85"/>
      <c r="I2922" s="85"/>
      <c r="J2922" s="131"/>
      <c r="K2922" s="60"/>
      <c r="R2922" s="6"/>
      <c r="S2922" s="6"/>
      <c r="T2922" s="6"/>
      <c r="U2922" s="6"/>
      <c r="V2922" s="6"/>
      <c r="W2922" s="6"/>
      <c r="X2922" s="6"/>
      <c r="Y2922" s="6"/>
      <c r="Z2922" s="2"/>
      <c r="AA2922" s="2"/>
    </row>
    <row r="2923" spans="1:27" ht="16" x14ac:dyDescent="0.2">
      <c r="A2923" s="166"/>
      <c r="B2923" s="82"/>
      <c r="C2923" s="70"/>
      <c r="D2923" s="70"/>
      <c r="E2923" s="70"/>
      <c r="F2923" s="70"/>
      <c r="G2923" s="70"/>
      <c r="H2923" s="85"/>
      <c r="I2923" s="85"/>
      <c r="J2923" s="131"/>
      <c r="K2923" s="60"/>
      <c r="M2923" s="48"/>
      <c r="R2923" s="6"/>
      <c r="S2923" s="6"/>
      <c r="T2923" s="6"/>
      <c r="U2923" s="6"/>
      <c r="V2923" s="6"/>
      <c r="W2923" s="6"/>
      <c r="X2923" s="6"/>
      <c r="Y2923" s="6"/>
      <c r="Z2923" s="2"/>
      <c r="AA2923" s="2"/>
    </row>
    <row r="2924" spans="1:27" x14ac:dyDescent="0.15">
      <c r="A2924" s="166"/>
      <c r="B2924" s="82"/>
      <c r="C2924" s="73"/>
      <c r="D2924" s="73"/>
      <c r="E2924" s="70"/>
      <c r="F2924" s="70"/>
      <c r="G2924" s="70"/>
      <c r="H2924" s="85"/>
      <c r="I2924" s="85"/>
      <c r="J2924" s="131"/>
      <c r="K2924" s="69"/>
      <c r="R2924" s="6"/>
      <c r="S2924" s="6"/>
      <c r="T2924" s="6"/>
      <c r="U2924" s="6"/>
      <c r="V2924" s="6"/>
      <c r="W2924" s="6"/>
      <c r="X2924" s="6"/>
      <c r="Y2924" s="6"/>
      <c r="Z2924" s="2"/>
      <c r="AA2924" s="2"/>
    </row>
    <row r="2925" spans="1:27" ht="16" x14ac:dyDescent="0.2">
      <c r="A2925" s="166"/>
      <c r="B2925" s="82"/>
      <c r="C2925" s="70"/>
      <c r="D2925" s="70"/>
      <c r="E2925" s="70"/>
      <c r="F2925" s="70"/>
      <c r="G2925" s="70"/>
      <c r="H2925" s="85"/>
      <c r="I2925" s="85"/>
      <c r="J2925" s="131"/>
      <c r="K2925" s="60"/>
      <c r="M2925" s="48"/>
      <c r="R2925" s="6"/>
      <c r="S2925" s="6"/>
      <c r="T2925" s="6"/>
      <c r="U2925" s="6"/>
      <c r="V2925" s="6"/>
      <c r="W2925" s="6"/>
      <c r="X2925" s="6"/>
      <c r="Y2925" s="6"/>
      <c r="Z2925" s="2"/>
      <c r="AA2925" s="2"/>
    </row>
    <row r="2926" spans="1:27" x14ac:dyDescent="0.15">
      <c r="A2926" s="166"/>
      <c r="B2926" s="82"/>
      <c r="C2926" s="70"/>
      <c r="D2926" s="70"/>
      <c r="E2926" s="70"/>
      <c r="F2926" s="70"/>
      <c r="G2926" s="70"/>
      <c r="H2926" s="85"/>
      <c r="I2926" s="85"/>
      <c r="J2926" s="131"/>
      <c r="K2926" s="60"/>
      <c r="R2926" s="6"/>
      <c r="S2926" s="6"/>
      <c r="T2926" s="6"/>
      <c r="U2926" s="6"/>
      <c r="V2926" s="6"/>
      <c r="W2926" s="6"/>
      <c r="X2926" s="6"/>
      <c r="Y2926" s="6"/>
      <c r="Z2926" s="2"/>
      <c r="AA2926" s="2"/>
    </row>
    <row r="2927" spans="1:27" x14ac:dyDescent="0.15">
      <c r="A2927" s="166"/>
      <c r="B2927" s="82"/>
      <c r="C2927" s="70"/>
      <c r="D2927" s="70"/>
      <c r="E2927" s="70"/>
      <c r="F2927" s="70"/>
      <c r="G2927" s="70"/>
      <c r="H2927" s="85"/>
      <c r="I2927" s="85"/>
      <c r="J2927" s="131"/>
      <c r="K2927" s="60"/>
      <c r="R2927" s="6"/>
      <c r="S2927" s="6"/>
      <c r="T2927" s="6"/>
      <c r="U2927" s="6"/>
      <c r="V2927" s="6"/>
      <c r="W2927" s="6"/>
      <c r="X2927" s="6"/>
      <c r="Y2927" s="6"/>
      <c r="Z2927" s="2"/>
      <c r="AA2927" s="2"/>
    </row>
    <row r="2928" spans="1:27" x14ac:dyDescent="0.15">
      <c r="A2928" s="166"/>
      <c r="B2928" s="82"/>
      <c r="C2928" s="70"/>
      <c r="D2928" s="70"/>
      <c r="E2928" s="70"/>
      <c r="F2928" s="70"/>
      <c r="G2928" s="70"/>
      <c r="H2928" s="85"/>
      <c r="I2928" s="85"/>
      <c r="J2928" s="131"/>
      <c r="K2928" s="60"/>
      <c r="R2928" s="6"/>
      <c r="S2928" s="6"/>
      <c r="T2928" s="6"/>
      <c r="U2928" s="6"/>
      <c r="V2928" s="6"/>
      <c r="W2928" s="6"/>
      <c r="X2928" s="6"/>
      <c r="Y2928" s="6"/>
      <c r="Z2928" s="2"/>
      <c r="AA2928" s="2"/>
    </row>
    <row r="2929" spans="1:27" x14ac:dyDescent="0.15">
      <c r="A2929" s="166"/>
      <c r="B2929" s="82"/>
      <c r="C2929" s="70"/>
      <c r="D2929" s="70"/>
      <c r="E2929" s="70"/>
      <c r="F2929" s="70"/>
      <c r="G2929" s="70"/>
      <c r="H2929" s="85"/>
      <c r="I2929" s="85"/>
      <c r="J2929" s="131"/>
      <c r="K2929" s="60"/>
      <c r="R2929" s="6"/>
      <c r="S2929" s="6"/>
      <c r="T2929" s="6"/>
      <c r="U2929" s="6"/>
      <c r="V2929" s="6"/>
      <c r="W2929" s="6"/>
      <c r="X2929" s="6"/>
      <c r="Y2929" s="6"/>
      <c r="Z2929" s="2"/>
      <c r="AA2929" s="2"/>
    </row>
    <row r="2930" spans="1:27" x14ac:dyDescent="0.15">
      <c r="A2930" s="166"/>
      <c r="B2930" s="82"/>
      <c r="C2930" s="70"/>
      <c r="D2930" s="70"/>
      <c r="E2930" s="70"/>
      <c r="F2930" s="70"/>
      <c r="G2930" s="70"/>
      <c r="H2930" s="85"/>
      <c r="I2930" s="85"/>
      <c r="J2930" s="131"/>
      <c r="K2930" s="60"/>
      <c r="R2930" s="6"/>
      <c r="S2930" s="6"/>
      <c r="T2930" s="6"/>
      <c r="U2930" s="6"/>
      <c r="V2930" s="6"/>
      <c r="W2930" s="6"/>
      <c r="X2930" s="6"/>
      <c r="Y2930" s="6"/>
      <c r="Z2930" s="2"/>
      <c r="AA2930" s="2"/>
    </row>
    <row r="2931" spans="1:27" ht="16" x14ac:dyDescent="0.2">
      <c r="A2931" s="166"/>
      <c r="B2931" s="82"/>
      <c r="C2931" s="70"/>
      <c r="D2931" s="70"/>
      <c r="E2931" s="70"/>
      <c r="F2931" s="70"/>
      <c r="G2931" s="70"/>
      <c r="H2931" s="85"/>
      <c r="I2931" s="85"/>
      <c r="J2931" s="131"/>
      <c r="K2931" s="60"/>
      <c r="M2931" s="48"/>
      <c r="R2931" s="6"/>
      <c r="S2931" s="6"/>
      <c r="T2931" s="6"/>
      <c r="U2931" s="6"/>
      <c r="V2931" s="6"/>
      <c r="W2931" s="6"/>
      <c r="X2931" s="6"/>
      <c r="Y2931" s="6"/>
      <c r="Z2931" s="2"/>
      <c r="AA2931" s="2"/>
    </row>
    <row r="2932" spans="1:27" x14ac:dyDescent="0.15">
      <c r="A2932" s="166"/>
      <c r="B2932" s="82"/>
      <c r="C2932" s="70"/>
      <c r="D2932" s="70"/>
      <c r="E2932" s="70"/>
      <c r="F2932" s="70"/>
      <c r="G2932" s="70"/>
      <c r="H2932" s="85"/>
      <c r="I2932" s="85"/>
      <c r="J2932" s="131"/>
      <c r="K2932" s="60"/>
      <c r="R2932" s="6"/>
      <c r="S2932" s="6"/>
      <c r="T2932" s="6"/>
      <c r="U2932" s="6"/>
      <c r="V2932" s="6"/>
      <c r="W2932" s="6"/>
      <c r="X2932" s="6"/>
      <c r="Y2932" s="6"/>
      <c r="Z2932" s="2"/>
      <c r="AA2932" s="2"/>
    </row>
    <row r="2933" spans="1:27" x14ac:dyDescent="0.15">
      <c r="A2933" s="166"/>
      <c r="B2933" s="82"/>
      <c r="C2933" s="70"/>
      <c r="D2933" s="70"/>
      <c r="E2933" s="70"/>
      <c r="F2933" s="70"/>
      <c r="G2933" s="70"/>
      <c r="H2933" s="85"/>
      <c r="I2933" s="85"/>
      <c r="J2933" s="131"/>
      <c r="K2933" s="69"/>
    </row>
    <row r="2934" spans="1:27" ht="16" x14ac:dyDescent="0.2">
      <c r="A2934" s="166"/>
      <c r="B2934" s="82"/>
      <c r="C2934" s="70"/>
      <c r="D2934" s="70"/>
      <c r="E2934" s="70"/>
      <c r="F2934" s="70"/>
      <c r="G2934" s="70"/>
      <c r="H2934" s="85"/>
      <c r="I2934" s="85"/>
      <c r="J2934" s="131"/>
      <c r="K2934" s="69"/>
      <c r="M2934" s="48"/>
    </row>
    <row r="2935" spans="1:27" x14ac:dyDescent="0.15">
      <c r="A2935" s="166"/>
      <c r="B2935" s="82"/>
      <c r="C2935" s="70"/>
      <c r="D2935" s="70"/>
      <c r="E2935" s="70"/>
      <c r="F2935" s="70"/>
      <c r="G2935" s="70"/>
      <c r="H2935" s="85"/>
      <c r="I2935" s="85"/>
      <c r="J2935" s="131"/>
      <c r="K2935" s="69"/>
    </row>
    <row r="2936" spans="1:27" x14ac:dyDescent="0.15">
      <c r="A2936" s="166"/>
      <c r="B2936" s="82"/>
      <c r="C2936" s="70"/>
      <c r="D2936" s="70"/>
      <c r="E2936" s="70"/>
      <c r="F2936" s="70"/>
      <c r="G2936" s="70"/>
      <c r="H2936" s="85"/>
      <c r="I2936" s="85"/>
      <c r="J2936" s="131"/>
      <c r="K2936" s="69"/>
    </row>
    <row r="2937" spans="1:27" x14ac:dyDescent="0.15">
      <c r="A2937" s="166"/>
      <c r="B2937" s="82"/>
      <c r="C2937" s="70"/>
      <c r="D2937" s="70"/>
      <c r="E2937" s="70"/>
      <c r="F2937" s="70"/>
      <c r="G2937" s="70"/>
      <c r="H2937" s="85"/>
      <c r="I2937" s="85"/>
      <c r="J2937" s="131"/>
      <c r="K2937" s="69"/>
    </row>
    <row r="2938" spans="1:27" x14ac:dyDescent="0.15">
      <c r="A2938" s="166"/>
      <c r="B2938" s="82"/>
      <c r="C2938" s="70"/>
      <c r="D2938" s="70"/>
      <c r="E2938" s="70"/>
      <c r="F2938" s="70"/>
      <c r="G2938" s="70"/>
      <c r="H2938" s="85"/>
      <c r="I2938" s="85"/>
      <c r="J2938" s="131"/>
      <c r="K2938" s="69"/>
    </row>
    <row r="2939" spans="1:27" x14ac:dyDescent="0.15">
      <c r="A2939" s="166"/>
      <c r="B2939" s="82"/>
      <c r="C2939" s="70"/>
      <c r="D2939" s="70"/>
      <c r="E2939" s="70"/>
      <c r="F2939" s="70"/>
      <c r="G2939" s="70"/>
      <c r="H2939" s="85"/>
      <c r="I2939" s="85"/>
      <c r="J2939" s="131"/>
      <c r="K2939" s="63"/>
    </row>
    <row r="2940" spans="1:27" ht="16" x14ac:dyDescent="0.2">
      <c r="A2940" s="166"/>
      <c r="B2940" s="93"/>
      <c r="C2940" s="70"/>
      <c r="D2940" s="70"/>
      <c r="E2940" s="70"/>
      <c r="F2940" s="70"/>
      <c r="G2940" s="70"/>
      <c r="H2940" s="85"/>
      <c r="I2940" s="85"/>
      <c r="J2940" s="131"/>
      <c r="K2940" s="60"/>
      <c r="L2940" s="33"/>
      <c r="M2940" s="48"/>
    </row>
    <row r="2941" spans="1:27" x14ac:dyDescent="0.15">
      <c r="A2941" s="167"/>
      <c r="B2941" s="87"/>
      <c r="C2941" s="88"/>
      <c r="D2941" s="86"/>
      <c r="E2941" s="70"/>
      <c r="F2941" s="86"/>
      <c r="G2941" s="86"/>
      <c r="H2941" s="85"/>
      <c r="I2941" s="89"/>
      <c r="J2941" s="132"/>
      <c r="K2941" s="61"/>
    </row>
    <row r="2942" spans="1:27" x14ac:dyDescent="0.15">
      <c r="A2942" s="167"/>
      <c r="B2942" s="87"/>
      <c r="C2942" s="88"/>
      <c r="D2942" s="86"/>
      <c r="E2942" s="70"/>
      <c r="F2942" s="86"/>
      <c r="G2942" s="86"/>
      <c r="H2942" s="85"/>
      <c r="I2942" s="89"/>
      <c r="J2942" s="132"/>
      <c r="K2942" s="61"/>
    </row>
    <row r="2943" spans="1:27" s="37" customFormat="1" x14ac:dyDescent="0.15">
      <c r="A2943" s="167"/>
      <c r="B2943" s="87"/>
      <c r="C2943" s="88"/>
      <c r="D2943" s="86"/>
      <c r="E2943" s="70"/>
      <c r="F2943" s="86"/>
      <c r="G2943" s="86"/>
      <c r="H2943" s="85"/>
      <c r="I2943" s="89"/>
      <c r="J2943" s="132"/>
      <c r="K2943" s="61"/>
      <c r="L2943" s="49"/>
      <c r="P2943" s="3"/>
      <c r="Q2943" s="3"/>
      <c r="R2943" s="3"/>
      <c r="S2943" s="3"/>
      <c r="T2943" s="3"/>
      <c r="U2943" s="3"/>
      <c r="V2943" s="3"/>
      <c r="W2943" s="3"/>
      <c r="X2943" s="3"/>
      <c r="Y2943" s="4"/>
      <c r="Z2943"/>
      <c r="AA2943"/>
    </row>
    <row r="2944" spans="1:27" s="37" customFormat="1" x14ac:dyDescent="0.15">
      <c r="A2944" s="166"/>
      <c r="B2944" s="82"/>
      <c r="C2944" s="70"/>
      <c r="D2944" s="70"/>
      <c r="E2944" s="70"/>
      <c r="F2944" s="70"/>
      <c r="G2944" s="70"/>
      <c r="H2944" s="85"/>
      <c r="I2944" s="85"/>
      <c r="J2944" s="131"/>
      <c r="K2944" s="60"/>
      <c r="L2944" s="49"/>
      <c r="P2944" s="3"/>
      <c r="Q2944" s="3"/>
      <c r="R2944" s="3"/>
      <c r="S2944" s="3"/>
      <c r="T2944" s="3"/>
      <c r="U2944" s="3"/>
      <c r="V2944" s="3"/>
      <c r="W2944" s="3"/>
      <c r="X2944" s="3"/>
      <c r="Y2944" s="4"/>
      <c r="Z2944"/>
      <c r="AA2944"/>
    </row>
    <row r="2945" spans="1:27" s="37" customFormat="1" x14ac:dyDescent="0.15">
      <c r="A2945" s="166"/>
      <c r="B2945" s="93"/>
      <c r="C2945" s="70"/>
      <c r="D2945" s="70"/>
      <c r="E2945" s="70"/>
      <c r="F2945" s="70"/>
      <c r="G2945" s="70"/>
      <c r="H2945" s="85"/>
      <c r="I2945" s="85"/>
      <c r="J2945" s="131"/>
      <c r="K2945" s="60"/>
      <c r="L2945" s="33"/>
      <c r="P2945" s="3"/>
      <c r="Q2945" s="3"/>
      <c r="R2945" s="3"/>
      <c r="S2945" s="3"/>
      <c r="T2945" s="3"/>
      <c r="U2945" s="3"/>
      <c r="V2945" s="3"/>
      <c r="W2945" s="3"/>
      <c r="X2945" s="3"/>
      <c r="Y2945" s="4"/>
      <c r="Z2945"/>
      <c r="AA2945"/>
    </row>
    <row r="2946" spans="1:27" s="37" customFormat="1" x14ac:dyDescent="0.15">
      <c r="A2946" s="166"/>
      <c r="B2946" s="82"/>
      <c r="C2946" s="70"/>
      <c r="D2946" s="70"/>
      <c r="E2946" s="70"/>
      <c r="F2946" s="70"/>
      <c r="G2946" s="70"/>
      <c r="H2946" s="85"/>
      <c r="I2946" s="85"/>
      <c r="J2946" s="131"/>
      <c r="K2946" s="60"/>
      <c r="L2946" s="33"/>
      <c r="P2946" s="3"/>
      <c r="Q2946" s="3"/>
      <c r="R2946" s="3"/>
      <c r="S2946" s="3"/>
      <c r="T2946" s="3"/>
      <c r="U2946" s="3"/>
      <c r="V2946" s="3"/>
      <c r="W2946" s="3"/>
      <c r="X2946" s="3"/>
      <c r="Y2946" s="4"/>
      <c r="Z2946"/>
      <c r="AA2946"/>
    </row>
    <row r="2947" spans="1:27" s="37" customFormat="1" x14ac:dyDescent="0.15">
      <c r="A2947" s="166"/>
      <c r="B2947" s="82"/>
      <c r="C2947" s="70"/>
      <c r="D2947" s="70"/>
      <c r="E2947" s="70"/>
      <c r="F2947" s="70"/>
      <c r="G2947" s="70"/>
      <c r="H2947" s="85"/>
      <c r="I2947" s="85"/>
      <c r="J2947" s="131"/>
      <c r="K2947" s="60"/>
      <c r="L2947" s="49"/>
      <c r="P2947" s="3"/>
      <c r="Q2947" s="3"/>
      <c r="R2947" s="3"/>
      <c r="S2947" s="3"/>
      <c r="T2947" s="3"/>
      <c r="U2947" s="3"/>
      <c r="V2947" s="3"/>
      <c r="W2947" s="3"/>
      <c r="X2947" s="3"/>
      <c r="Y2947" s="4"/>
      <c r="Z2947"/>
      <c r="AA2947"/>
    </row>
    <row r="2948" spans="1:27" s="37" customFormat="1" x14ac:dyDescent="0.15">
      <c r="A2948" s="166"/>
      <c r="B2948" s="82"/>
      <c r="C2948" s="70"/>
      <c r="D2948" s="70"/>
      <c r="E2948" s="70"/>
      <c r="F2948" s="70"/>
      <c r="G2948" s="70"/>
      <c r="H2948" s="85"/>
      <c r="I2948" s="85"/>
      <c r="J2948" s="131"/>
      <c r="K2948" s="60"/>
      <c r="L2948" s="49"/>
      <c r="P2948" s="3"/>
      <c r="Q2948" s="3"/>
      <c r="R2948" s="3"/>
      <c r="S2948" s="3"/>
      <c r="T2948" s="3"/>
      <c r="U2948" s="3"/>
      <c r="V2948" s="3"/>
      <c r="W2948" s="3"/>
      <c r="X2948" s="3"/>
      <c r="Y2948" s="4"/>
      <c r="Z2948"/>
      <c r="AA2948"/>
    </row>
    <row r="2949" spans="1:27" s="37" customFormat="1" x14ac:dyDescent="0.15">
      <c r="A2949" s="166"/>
      <c r="B2949" s="93"/>
      <c r="C2949" s="70"/>
      <c r="D2949" s="70"/>
      <c r="E2949" s="70"/>
      <c r="F2949" s="70"/>
      <c r="G2949" s="70"/>
      <c r="H2949" s="85"/>
      <c r="I2949" s="85"/>
      <c r="J2949" s="131"/>
      <c r="K2949" s="60"/>
      <c r="L2949" s="49"/>
      <c r="P2949" s="3"/>
      <c r="Q2949" s="3"/>
      <c r="R2949" s="3"/>
      <c r="S2949" s="3"/>
      <c r="T2949" s="3"/>
      <c r="U2949" s="3"/>
      <c r="V2949" s="3"/>
      <c r="W2949" s="3"/>
      <c r="X2949" s="3"/>
      <c r="Y2949" s="4"/>
      <c r="Z2949"/>
      <c r="AA2949"/>
    </row>
    <row r="2950" spans="1:27" s="37" customFormat="1" x14ac:dyDescent="0.15">
      <c r="A2950" s="166"/>
      <c r="B2950" s="82"/>
      <c r="C2950" s="70"/>
      <c r="D2950" s="70"/>
      <c r="E2950" s="70"/>
      <c r="F2950" s="70"/>
      <c r="G2950" s="70"/>
      <c r="H2950" s="85"/>
      <c r="I2950" s="85"/>
      <c r="J2950" s="131"/>
      <c r="K2950" s="60"/>
      <c r="L2950" s="49"/>
      <c r="P2950" s="3"/>
      <c r="Q2950" s="3"/>
      <c r="R2950" s="3"/>
      <c r="S2950" s="3"/>
      <c r="T2950" s="3"/>
      <c r="U2950" s="3"/>
      <c r="V2950" s="3"/>
      <c r="W2950" s="3"/>
      <c r="X2950" s="3"/>
      <c r="Y2950" s="4"/>
      <c r="Z2950"/>
      <c r="AA2950"/>
    </row>
    <row r="2951" spans="1:27" s="37" customFormat="1" x14ac:dyDescent="0.15">
      <c r="A2951" s="166"/>
      <c r="B2951" s="82"/>
      <c r="C2951" s="70"/>
      <c r="D2951" s="70"/>
      <c r="E2951" s="70"/>
      <c r="F2951" s="70"/>
      <c r="G2951" s="70"/>
      <c r="H2951" s="85"/>
      <c r="I2951" s="85"/>
      <c r="J2951" s="131"/>
      <c r="K2951" s="60"/>
      <c r="L2951" s="49"/>
      <c r="P2951" s="3"/>
      <c r="Q2951" s="3"/>
      <c r="R2951" s="3"/>
      <c r="S2951" s="3"/>
      <c r="T2951" s="3"/>
      <c r="U2951" s="3"/>
      <c r="V2951" s="3"/>
      <c r="W2951" s="3"/>
      <c r="X2951" s="3"/>
      <c r="Y2951" s="4"/>
      <c r="Z2951"/>
      <c r="AA2951"/>
    </row>
    <row r="2952" spans="1:27" s="37" customFormat="1" x14ac:dyDescent="0.15">
      <c r="A2952" s="166"/>
      <c r="B2952" s="82"/>
      <c r="C2952" s="70"/>
      <c r="D2952" s="70"/>
      <c r="E2952" s="70"/>
      <c r="F2952" s="70"/>
      <c r="G2952" s="70"/>
      <c r="H2952" s="85"/>
      <c r="I2952" s="85"/>
      <c r="J2952" s="131"/>
      <c r="K2952" s="60"/>
      <c r="L2952" s="49"/>
      <c r="P2952" s="3"/>
      <c r="Q2952" s="3"/>
      <c r="R2952" s="3"/>
      <c r="S2952" s="3"/>
      <c r="T2952" s="3"/>
      <c r="U2952" s="3"/>
      <c r="V2952" s="3"/>
      <c r="W2952" s="3"/>
      <c r="X2952" s="3"/>
      <c r="Y2952" s="4"/>
      <c r="Z2952"/>
      <c r="AA2952"/>
    </row>
    <row r="2953" spans="1:27" s="37" customFormat="1" x14ac:dyDescent="0.15">
      <c r="A2953" s="166"/>
      <c r="B2953" s="82"/>
      <c r="C2953" s="70"/>
      <c r="D2953" s="70"/>
      <c r="E2953" s="70"/>
      <c r="F2953" s="70"/>
      <c r="G2953" s="70"/>
      <c r="H2953" s="85"/>
      <c r="I2953" s="85"/>
      <c r="J2953" s="131"/>
      <c r="K2953" s="60"/>
      <c r="L2953" s="49"/>
      <c r="P2953" s="3"/>
      <c r="Q2953" s="3"/>
      <c r="R2953" s="3"/>
      <c r="S2953" s="3"/>
      <c r="T2953" s="3"/>
      <c r="U2953" s="3"/>
      <c r="V2953" s="3"/>
      <c r="W2953" s="3"/>
      <c r="X2953" s="3"/>
      <c r="Y2953" s="4"/>
      <c r="Z2953"/>
      <c r="AA2953"/>
    </row>
    <row r="2954" spans="1:27" s="37" customFormat="1" x14ac:dyDescent="0.15">
      <c r="A2954" s="166"/>
      <c r="B2954" s="82"/>
      <c r="C2954" s="70"/>
      <c r="D2954" s="70"/>
      <c r="E2954" s="70"/>
      <c r="F2954" s="70"/>
      <c r="G2954" s="70"/>
      <c r="H2954" s="85"/>
      <c r="I2954" s="85"/>
      <c r="J2954" s="131"/>
      <c r="K2954" s="60"/>
      <c r="L2954" s="49"/>
      <c r="P2954" s="3"/>
      <c r="Q2954" s="3"/>
      <c r="R2954" s="3"/>
      <c r="S2954" s="3"/>
      <c r="T2954" s="3"/>
      <c r="U2954" s="3"/>
      <c r="V2954" s="3"/>
      <c r="W2954" s="3"/>
      <c r="X2954" s="3"/>
      <c r="Y2954" s="4"/>
      <c r="Z2954"/>
      <c r="AA2954"/>
    </row>
    <row r="2955" spans="1:27" s="37" customFormat="1" x14ac:dyDescent="0.15">
      <c r="A2955" s="166"/>
      <c r="B2955" s="82"/>
      <c r="C2955" s="70"/>
      <c r="D2955" s="70"/>
      <c r="E2955" s="70"/>
      <c r="F2955" s="70"/>
      <c r="G2955" s="70"/>
      <c r="H2955" s="85"/>
      <c r="I2955" s="85"/>
      <c r="J2955" s="131"/>
      <c r="K2955" s="60"/>
      <c r="L2955" s="49"/>
      <c r="P2955" s="3"/>
      <c r="Q2955" s="3"/>
      <c r="R2955" s="3"/>
      <c r="S2955" s="3"/>
      <c r="T2955" s="3"/>
      <c r="U2955" s="3"/>
      <c r="V2955" s="3"/>
      <c r="W2955" s="3"/>
      <c r="X2955" s="3"/>
      <c r="Y2955" s="4"/>
      <c r="Z2955"/>
      <c r="AA2955"/>
    </row>
    <row r="2956" spans="1:27" s="37" customFormat="1" x14ac:dyDescent="0.15">
      <c r="A2956" s="166"/>
      <c r="B2956" s="82"/>
      <c r="C2956" s="70"/>
      <c r="D2956" s="70"/>
      <c r="E2956" s="70"/>
      <c r="F2956" s="70"/>
      <c r="G2956" s="70"/>
      <c r="H2956" s="85"/>
      <c r="I2956" s="85"/>
      <c r="J2956" s="131"/>
      <c r="K2956" s="60"/>
      <c r="L2956" s="33"/>
      <c r="P2956" s="3"/>
      <c r="Q2956" s="3"/>
      <c r="R2956" s="3"/>
      <c r="S2956" s="3"/>
      <c r="T2956" s="3"/>
      <c r="U2956" s="3"/>
      <c r="V2956" s="3"/>
      <c r="W2956" s="3"/>
      <c r="X2956" s="3"/>
      <c r="Y2956" s="4"/>
      <c r="Z2956"/>
      <c r="AA2956"/>
    </row>
    <row r="2957" spans="1:27" s="37" customFormat="1" x14ac:dyDescent="0.15">
      <c r="A2957" s="166"/>
      <c r="B2957" s="93"/>
      <c r="C2957" s="70"/>
      <c r="D2957" s="70"/>
      <c r="E2957" s="70"/>
      <c r="F2957" s="70"/>
      <c r="G2957" s="70"/>
      <c r="H2957" s="85"/>
      <c r="I2957" s="85"/>
      <c r="J2957" s="131"/>
      <c r="K2957" s="60"/>
      <c r="L2957" s="33"/>
      <c r="P2957" s="3"/>
      <c r="Q2957" s="3"/>
      <c r="R2957" s="3"/>
      <c r="S2957" s="3"/>
      <c r="T2957" s="3"/>
      <c r="U2957" s="3"/>
      <c r="V2957" s="3"/>
      <c r="W2957" s="3"/>
      <c r="X2957" s="3"/>
      <c r="Y2957" s="4"/>
      <c r="Z2957"/>
      <c r="AA2957"/>
    </row>
    <row r="2958" spans="1:27" s="37" customFormat="1" x14ac:dyDescent="0.15">
      <c r="A2958" s="166"/>
      <c r="B2958" s="93"/>
      <c r="C2958" s="70"/>
      <c r="D2958" s="70"/>
      <c r="E2958" s="70"/>
      <c r="F2958" s="70"/>
      <c r="G2958" s="70"/>
      <c r="H2958" s="85"/>
      <c r="I2958" s="85"/>
      <c r="J2958" s="131"/>
      <c r="K2958" s="60"/>
      <c r="L2958" s="33"/>
      <c r="P2958" s="3"/>
      <c r="Q2958" s="3"/>
      <c r="R2958" s="3"/>
      <c r="S2958" s="3"/>
      <c r="T2958" s="3"/>
      <c r="U2958" s="3"/>
      <c r="V2958" s="3"/>
      <c r="W2958" s="3"/>
      <c r="X2958" s="3"/>
      <c r="Y2958" s="4"/>
      <c r="Z2958"/>
      <c r="AA2958"/>
    </row>
    <row r="2959" spans="1:27" s="3" customFormat="1" x14ac:dyDescent="0.15">
      <c r="A2959" s="166"/>
      <c r="B2959" s="93"/>
      <c r="C2959" s="70"/>
      <c r="D2959" s="70"/>
      <c r="E2959" s="70"/>
      <c r="F2959" s="70"/>
      <c r="G2959" s="70"/>
      <c r="H2959" s="85"/>
      <c r="I2959" s="85"/>
      <c r="J2959" s="131"/>
      <c r="K2959" s="60"/>
      <c r="L2959" s="33"/>
      <c r="M2959" s="37"/>
      <c r="N2959" s="37"/>
      <c r="O2959" s="37"/>
      <c r="Y2959" s="4"/>
      <c r="Z2959"/>
      <c r="AA2959"/>
    </row>
    <row r="2960" spans="1:27" s="3" customFormat="1" x14ac:dyDescent="0.15">
      <c r="A2960" s="166"/>
      <c r="B2960" s="93"/>
      <c r="C2960" s="70"/>
      <c r="D2960" s="70"/>
      <c r="E2960" s="70"/>
      <c r="F2960" s="70"/>
      <c r="G2960" s="70"/>
      <c r="H2960" s="85"/>
      <c r="I2960" s="85"/>
      <c r="J2960" s="131"/>
      <c r="K2960" s="60"/>
      <c r="L2960" s="33"/>
      <c r="M2960" s="37"/>
      <c r="N2960" s="37"/>
      <c r="O2960" s="37"/>
      <c r="Y2960" s="4"/>
      <c r="Z2960"/>
      <c r="AA2960"/>
    </row>
    <row r="2961" spans="1:27" s="3" customFormat="1" x14ac:dyDescent="0.15">
      <c r="A2961" s="170"/>
      <c r="B2961" s="93"/>
      <c r="C2961" s="70"/>
      <c r="D2961" s="70"/>
      <c r="E2961" s="70"/>
      <c r="F2961" s="70"/>
      <c r="G2961" s="70"/>
      <c r="H2961" s="85"/>
      <c r="I2961" s="85"/>
      <c r="J2961" s="131"/>
      <c r="K2961" s="60"/>
      <c r="L2961" s="33"/>
      <c r="M2961" s="37"/>
      <c r="N2961" s="37"/>
      <c r="O2961" s="37"/>
      <c r="Y2961" s="4"/>
      <c r="Z2961"/>
      <c r="AA2961"/>
    </row>
    <row r="2962" spans="1:27" s="3" customFormat="1" x14ac:dyDescent="0.15">
      <c r="A2962" s="166"/>
      <c r="B2962" s="93"/>
      <c r="C2962" s="70"/>
      <c r="D2962" s="70"/>
      <c r="E2962" s="70"/>
      <c r="F2962" s="70"/>
      <c r="G2962" s="70"/>
      <c r="H2962" s="85"/>
      <c r="I2962" s="85"/>
      <c r="J2962" s="131"/>
      <c r="K2962" s="60"/>
      <c r="L2962" s="33"/>
      <c r="M2962" s="37"/>
      <c r="N2962" s="37"/>
      <c r="O2962" s="37"/>
      <c r="Y2962" s="4"/>
      <c r="Z2962"/>
      <c r="AA2962"/>
    </row>
    <row r="2963" spans="1:27" s="3" customFormat="1" ht="16" x14ac:dyDescent="0.2">
      <c r="A2963" s="166"/>
      <c r="B2963" s="93"/>
      <c r="C2963" s="70"/>
      <c r="D2963" s="70"/>
      <c r="E2963" s="70"/>
      <c r="F2963" s="70"/>
      <c r="G2963" s="70"/>
      <c r="H2963" s="85"/>
      <c r="I2963" s="85"/>
      <c r="J2963" s="131"/>
      <c r="K2963" s="60"/>
      <c r="L2963" s="47"/>
      <c r="M2963" s="37"/>
      <c r="N2963" s="37"/>
      <c r="O2963" s="37"/>
      <c r="Y2963" s="4"/>
      <c r="Z2963"/>
      <c r="AA2963"/>
    </row>
    <row r="2964" spans="1:27" s="3" customFormat="1" x14ac:dyDescent="0.15">
      <c r="A2964" s="166"/>
      <c r="B2964" s="82"/>
      <c r="C2964" s="70"/>
      <c r="D2964" s="70"/>
      <c r="E2964" s="70"/>
      <c r="F2964" s="70"/>
      <c r="G2964" s="70"/>
      <c r="H2964" s="85"/>
      <c r="I2964" s="85"/>
      <c r="J2964" s="131"/>
      <c r="K2964" s="67"/>
      <c r="L2964" s="49"/>
      <c r="M2964" s="37"/>
      <c r="N2964" s="37"/>
      <c r="O2964" s="37"/>
      <c r="Y2964" s="4"/>
      <c r="Z2964"/>
      <c r="AA2964"/>
    </row>
    <row r="2965" spans="1:27" s="3" customFormat="1" x14ac:dyDescent="0.15">
      <c r="A2965" s="166"/>
      <c r="B2965" s="93"/>
      <c r="C2965" s="70"/>
      <c r="D2965" s="70"/>
      <c r="E2965" s="70"/>
      <c r="F2965" s="70"/>
      <c r="G2965" s="70"/>
      <c r="H2965" s="85"/>
      <c r="I2965" s="85"/>
      <c r="J2965" s="131"/>
      <c r="K2965" s="60"/>
      <c r="L2965" s="33"/>
      <c r="M2965" s="37"/>
      <c r="N2965" s="37"/>
      <c r="O2965" s="37"/>
      <c r="Y2965" s="4"/>
      <c r="Z2965"/>
      <c r="AA2965"/>
    </row>
    <row r="2966" spans="1:27" s="3" customFormat="1" x14ac:dyDescent="0.15">
      <c r="A2966" s="166"/>
      <c r="B2966" s="93"/>
      <c r="C2966" s="70"/>
      <c r="D2966" s="70"/>
      <c r="E2966" s="70"/>
      <c r="F2966" s="70"/>
      <c r="G2966" s="70"/>
      <c r="H2966" s="85"/>
      <c r="I2966" s="85"/>
      <c r="J2966" s="131"/>
      <c r="K2966" s="60"/>
      <c r="L2966" s="33"/>
      <c r="M2966" s="37"/>
      <c r="N2966" s="37"/>
      <c r="O2966" s="37"/>
      <c r="Y2966" s="4"/>
      <c r="Z2966"/>
      <c r="AA2966"/>
    </row>
    <row r="2967" spans="1:27" s="3" customFormat="1" ht="16" x14ac:dyDescent="0.2">
      <c r="A2967" s="166"/>
      <c r="B2967" s="93"/>
      <c r="C2967" s="70"/>
      <c r="D2967" s="70"/>
      <c r="E2967" s="70"/>
      <c r="F2967" s="70"/>
      <c r="G2967" s="70"/>
      <c r="H2967" s="85"/>
      <c r="I2967" s="85"/>
      <c r="J2967" s="131"/>
      <c r="K2967" s="60"/>
      <c r="L2967" s="47"/>
      <c r="M2967" s="37"/>
      <c r="N2967" s="37"/>
      <c r="O2967" s="37"/>
      <c r="Y2967" s="4"/>
      <c r="Z2967"/>
      <c r="AA2967"/>
    </row>
    <row r="2968" spans="1:27" s="3" customFormat="1" ht="16" x14ac:dyDescent="0.2">
      <c r="A2968" s="166"/>
      <c r="B2968" s="82"/>
      <c r="C2968" s="70"/>
      <c r="D2968" s="70"/>
      <c r="E2968" s="70"/>
      <c r="F2968" s="70"/>
      <c r="G2968" s="70"/>
      <c r="H2968" s="85"/>
      <c r="I2968" s="85"/>
      <c r="J2968" s="131"/>
      <c r="K2968" s="60"/>
      <c r="L2968" s="47"/>
      <c r="M2968" s="37"/>
      <c r="N2968" s="37"/>
      <c r="O2968" s="33"/>
      <c r="Y2968" s="4"/>
      <c r="Z2968"/>
      <c r="AA2968"/>
    </row>
    <row r="2969" spans="1:27" s="3" customFormat="1" ht="16" x14ac:dyDescent="0.2">
      <c r="A2969" s="166"/>
      <c r="B2969" s="82"/>
      <c r="C2969" s="70"/>
      <c r="D2969" s="70"/>
      <c r="E2969" s="70"/>
      <c r="F2969" s="70"/>
      <c r="G2969" s="70"/>
      <c r="H2969" s="85"/>
      <c r="I2969" s="85"/>
      <c r="J2969" s="131"/>
      <c r="K2969" s="60"/>
      <c r="L2969" s="47"/>
      <c r="M2969" s="37"/>
      <c r="N2969" s="37"/>
      <c r="O2969" s="37"/>
      <c r="Y2969" s="4"/>
      <c r="Z2969"/>
      <c r="AA2969"/>
    </row>
    <row r="2970" spans="1:27" s="3" customFormat="1" x14ac:dyDescent="0.15">
      <c r="A2970" s="166"/>
      <c r="B2970" s="82"/>
      <c r="C2970" s="70"/>
      <c r="D2970" s="70"/>
      <c r="E2970" s="70"/>
      <c r="F2970" s="70"/>
      <c r="G2970" s="70"/>
      <c r="H2970" s="85"/>
      <c r="I2970" s="85"/>
      <c r="J2970" s="131"/>
      <c r="K2970" s="60"/>
      <c r="L2970" s="33"/>
      <c r="M2970" s="37"/>
      <c r="N2970" s="37"/>
      <c r="O2970" s="37"/>
      <c r="Y2970" s="4"/>
      <c r="Z2970"/>
      <c r="AA2970"/>
    </row>
    <row r="2971" spans="1:27" s="3" customFormat="1" x14ac:dyDescent="0.15">
      <c r="A2971" s="166"/>
      <c r="B2971" s="93"/>
      <c r="C2971" s="70"/>
      <c r="D2971" s="70"/>
      <c r="E2971" s="70"/>
      <c r="F2971" s="70"/>
      <c r="G2971" s="70"/>
      <c r="H2971" s="85"/>
      <c r="I2971" s="85"/>
      <c r="J2971" s="131"/>
      <c r="K2971" s="60"/>
      <c r="L2971" s="33"/>
      <c r="M2971" s="37"/>
      <c r="N2971" s="37"/>
      <c r="O2971" s="37"/>
      <c r="Y2971" s="4"/>
      <c r="Z2971"/>
      <c r="AA2971"/>
    </row>
    <row r="2972" spans="1:27" s="3" customFormat="1" x14ac:dyDescent="0.15">
      <c r="A2972" s="170"/>
      <c r="B2972" s="82"/>
      <c r="C2972" s="81"/>
      <c r="D2972" s="81"/>
      <c r="E2972" s="81"/>
      <c r="F2972" s="81"/>
      <c r="G2972" s="81"/>
      <c r="H2972" s="85"/>
      <c r="I2972" s="111"/>
      <c r="J2972" s="139"/>
      <c r="K2972" s="72"/>
      <c r="L2972" s="31"/>
      <c r="M2972" s="37"/>
      <c r="N2972" s="37"/>
      <c r="O2972" s="37"/>
      <c r="Y2972" s="4"/>
      <c r="Z2972"/>
      <c r="AA2972"/>
    </row>
    <row r="2973" spans="1:27" s="3" customFormat="1" x14ac:dyDescent="0.15">
      <c r="A2973" s="166"/>
      <c r="B2973" s="93"/>
      <c r="C2973" s="70"/>
      <c r="D2973" s="70"/>
      <c r="E2973" s="70"/>
      <c r="F2973" s="70"/>
      <c r="G2973" s="70"/>
      <c r="H2973" s="85"/>
      <c r="I2973" s="85"/>
      <c r="J2973" s="131"/>
      <c r="K2973" s="60"/>
      <c r="L2973" s="33"/>
      <c r="M2973" s="37"/>
      <c r="N2973" s="37"/>
      <c r="O2973" s="33"/>
      <c r="Y2973" s="4"/>
      <c r="Z2973"/>
      <c r="AA2973"/>
    </row>
    <row r="2974" spans="1:27" s="3" customFormat="1" ht="16" x14ac:dyDescent="0.2">
      <c r="A2974" s="166"/>
      <c r="B2974" s="93"/>
      <c r="C2974" s="70"/>
      <c r="D2974" s="70"/>
      <c r="E2974" s="70"/>
      <c r="F2974" s="70"/>
      <c r="G2974" s="70"/>
      <c r="H2974" s="85"/>
      <c r="I2974" s="85"/>
      <c r="J2974" s="131"/>
      <c r="K2974" s="60"/>
      <c r="L2974" s="47"/>
      <c r="M2974" s="37"/>
      <c r="N2974" s="37"/>
      <c r="O2974" s="37"/>
      <c r="Y2974" s="4"/>
      <c r="Z2974"/>
      <c r="AA2974"/>
    </row>
    <row r="2975" spans="1:27" s="37" customFormat="1" x14ac:dyDescent="0.15">
      <c r="A2975" s="166"/>
      <c r="B2975" s="93"/>
      <c r="C2975" s="70"/>
      <c r="D2975" s="70"/>
      <c r="E2975" s="70"/>
      <c r="F2975" s="70"/>
      <c r="G2975" s="70"/>
      <c r="H2975" s="85"/>
      <c r="I2975" s="85"/>
      <c r="J2975" s="131"/>
      <c r="K2975" s="60"/>
      <c r="L2975" s="33"/>
      <c r="P2975" s="3"/>
      <c r="Q2975" s="3"/>
      <c r="R2975" s="3"/>
      <c r="S2975" s="3"/>
      <c r="T2975" s="3"/>
      <c r="U2975" s="3"/>
      <c r="V2975" s="3"/>
      <c r="W2975" s="3"/>
      <c r="X2975" s="3"/>
      <c r="Y2975" s="4"/>
      <c r="Z2975"/>
      <c r="AA2975"/>
    </row>
    <row r="2976" spans="1:27" s="37" customFormat="1" x14ac:dyDescent="0.15">
      <c r="A2976" s="166"/>
      <c r="B2976" s="93"/>
      <c r="C2976" s="70"/>
      <c r="D2976" s="70"/>
      <c r="E2976" s="70"/>
      <c r="F2976" s="70"/>
      <c r="G2976" s="70"/>
      <c r="H2976" s="85"/>
      <c r="I2976" s="85"/>
      <c r="J2976" s="131"/>
      <c r="K2976" s="60"/>
      <c r="L2976" s="33"/>
      <c r="P2976" s="3"/>
      <c r="Q2976" s="3"/>
      <c r="R2976" s="3"/>
      <c r="S2976" s="3"/>
      <c r="T2976" s="3"/>
      <c r="U2976" s="3"/>
      <c r="V2976" s="3"/>
      <c r="W2976" s="3"/>
      <c r="X2976" s="3"/>
      <c r="Y2976" s="4"/>
      <c r="Z2976"/>
      <c r="AA2976"/>
    </row>
    <row r="2977" spans="1:27" s="37" customFormat="1" ht="16" x14ac:dyDescent="0.2">
      <c r="A2977" s="166"/>
      <c r="B2977" s="93"/>
      <c r="C2977" s="70"/>
      <c r="D2977" s="70"/>
      <c r="E2977" s="70"/>
      <c r="F2977" s="70"/>
      <c r="G2977" s="70"/>
      <c r="H2977" s="85"/>
      <c r="I2977" s="85"/>
      <c r="J2977" s="131"/>
      <c r="K2977" s="60"/>
      <c r="L2977" s="47"/>
      <c r="P2977" s="3"/>
      <c r="Q2977" s="3"/>
      <c r="R2977" s="3"/>
      <c r="S2977" s="3"/>
      <c r="T2977" s="3"/>
      <c r="U2977" s="3"/>
      <c r="V2977" s="3"/>
      <c r="W2977" s="3"/>
      <c r="X2977" s="3"/>
      <c r="Y2977" s="4"/>
      <c r="Z2977"/>
      <c r="AA2977"/>
    </row>
    <row r="2978" spans="1:27" s="37" customFormat="1" x14ac:dyDescent="0.15">
      <c r="A2978" s="166"/>
      <c r="B2978" s="93"/>
      <c r="C2978" s="70"/>
      <c r="D2978" s="70"/>
      <c r="E2978" s="70"/>
      <c r="F2978" s="70"/>
      <c r="G2978" s="70"/>
      <c r="H2978" s="85"/>
      <c r="I2978" s="85"/>
      <c r="J2978" s="131"/>
      <c r="K2978" s="60"/>
      <c r="L2978" s="33"/>
      <c r="P2978" s="3"/>
      <c r="Q2978" s="3"/>
      <c r="R2978" s="3"/>
      <c r="S2978" s="3"/>
      <c r="T2978" s="3"/>
      <c r="U2978" s="3"/>
      <c r="V2978" s="3"/>
      <c r="W2978" s="3"/>
      <c r="X2978" s="3"/>
      <c r="Y2978" s="4"/>
      <c r="Z2978"/>
      <c r="AA2978"/>
    </row>
    <row r="2979" spans="1:27" s="37" customFormat="1" x14ac:dyDescent="0.15">
      <c r="A2979" s="166"/>
      <c r="B2979" s="93"/>
      <c r="C2979" s="70"/>
      <c r="D2979" s="70"/>
      <c r="E2979" s="70"/>
      <c r="F2979" s="70"/>
      <c r="G2979" s="70"/>
      <c r="H2979" s="85"/>
      <c r="I2979" s="85"/>
      <c r="J2979" s="131"/>
      <c r="K2979" s="60"/>
      <c r="L2979" s="33"/>
      <c r="P2979" s="3"/>
      <c r="Q2979" s="3"/>
      <c r="R2979" s="3"/>
      <c r="S2979" s="3"/>
      <c r="T2979" s="3"/>
      <c r="U2979" s="3"/>
      <c r="V2979" s="3"/>
      <c r="W2979" s="3"/>
      <c r="X2979" s="3"/>
      <c r="Y2979" s="4"/>
      <c r="Z2979"/>
      <c r="AA2979"/>
    </row>
    <row r="2980" spans="1:27" s="37" customFormat="1" ht="16" x14ac:dyDescent="0.2">
      <c r="A2980" s="166"/>
      <c r="B2980" s="93"/>
      <c r="C2980" s="70"/>
      <c r="D2980" s="70"/>
      <c r="E2980" s="70"/>
      <c r="F2980" s="70"/>
      <c r="G2980" s="70"/>
      <c r="H2980" s="85"/>
      <c r="I2980" s="85"/>
      <c r="J2980" s="131"/>
      <c r="K2980" s="60"/>
      <c r="L2980" s="47"/>
      <c r="P2980" s="3"/>
      <c r="Q2980" s="3"/>
      <c r="R2980" s="3"/>
      <c r="S2980" s="3"/>
      <c r="T2980" s="3"/>
      <c r="U2980" s="3"/>
      <c r="V2980" s="3"/>
      <c r="W2980" s="3"/>
      <c r="X2980" s="3"/>
      <c r="Y2980" s="4"/>
      <c r="Z2980"/>
      <c r="AA2980"/>
    </row>
    <row r="2981" spans="1:27" s="37" customFormat="1" x14ac:dyDescent="0.15">
      <c r="A2981" s="166"/>
      <c r="B2981" s="93"/>
      <c r="C2981" s="70"/>
      <c r="D2981" s="70"/>
      <c r="E2981" s="70"/>
      <c r="F2981" s="70"/>
      <c r="G2981" s="70"/>
      <c r="H2981" s="85"/>
      <c r="I2981" s="85"/>
      <c r="J2981" s="131"/>
      <c r="K2981" s="60"/>
      <c r="L2981" s="33"/>
      <c r="P2981" s="3"/>
      <c r="Q2981" s="3"/>
      <c r="R2981" s="3"/>
      <c r="S2981" s="3"/>
      <c r="T2981" s="3"/>
      <c r="U2981" s="3"/>
      <c r="V2981" s="3"/>
      <c r="W2981" s="3"/>
      <c r="X2981" s="3"/>
      <c r="Y2981" s="4"/>
      <c r="Z2981"/>
      <c r="AA2981"/>
    </row>
    <row r="2982" spans="1:27" s="37" customFormat="1" x14ac:dyDescent="0.15">
      <c r="A2982" s="166"/>
      <c r="B2982" s="93"/>
      <c r="C2982" s="70"/>
      <c r="D2982" s="70"/>
      <c r="E2982" s="70"/>
      <c r="F2982" s="70"/>
      <c r="G2982" s="70"/>
      <c r="H2982" s="85"/>
      <c r="I2982" s="85"/>
      <c r="J2982" s="131"/>
      <c r="K2982" s="60"/>
      <c r="L2982" s="33"/>
      <c r="P2982" s="3"/>
      <c r="Q2982" s="3"/>
      <c r="R2982" s="3"/>
      <c r="S2982" s="3"/>
      <c r="T2982" s="3"/>
      <c r="U2982" s="3"/>
      <c r="V2982" s="3"/>
      <c r="W2982" s="3"/>
      <c r="X2982" s="3"/>
      <c r="Y2982" s="4"/>
      <c r="Z2982"/>
      <c r="AA2982"/>
    </row>
    <row r="2983" spans="1:27" s="37" customFormat="1" x14ac:dyDescent="0.15">
      <c r="A2983" s="166"/>
      <c r="B2983" s="93"/>
      <c r="C2983" s="70"/>
      <c r="D2983" s="70"/>
      <c r="E2983" s="70"/>
      <c r="F2983" s="70"/>
      <c r="G2983" s="70"/>
      <c r="H2983" s="85"/>
      <c r="I2983" s="85"/>
      <c r="J2983" s="131"/>
      <c r="K2983" s="60"/>
      <c r="L2983" s="33"/>
      <c r="P2983" s="3"/>
      <c r="Q2983" s="3"/>
      <c r="R2983" s="3"/>
      <c r="S2983" s="3"/>
      <c r="T2983" s="3"/>
      <c r="U2983" s="3"/>
      <c r="V2983" s="3"/>
      <c r="W2983" s="3"/>
      <c r="X2983" s="3"/>
      <c r="Y2983" s="4"/>
      <c r="Z2983"/>
      <c r="AA2983"/>
    </row>
    <row r="2984" spans="1:27" s="37" customFormat="1" x14ac:dyDescent="0.15">
      <c r="A2984" s="166"/>
      <c r="B2984" s="93"/>
      <c r="C2984" s="70"/>
      <c r="D2984" s="70"/>
      <c r="E2984" s="70"/>
      <c r="F2984" s="70"/>
      <c r="G2984" s="70"/>
      <c r="H2984" s="85"/>
      <c r="I2984" s="85"/>
      <c r="J2984" s="131"/>
      <c r="K2984" s="60"/>
      <c r="L2984" s="33"/>
      <c r="P2984" s="3"/>
      <c r="Q2984" s="3"/>
      <c r="R2984" s="3"/>
      <c r="S2984" s="3"/>
      <c r="T2984" s="3"/>
      <c r="U2984" s="3"/>
      <c r="V2984" s="3"/>
      <c r="W2984" s="3"/>
      <c r="X2984" s="3"/>
      <c r="Y2984" s="4"/>
      <c r="Z2984"/>
      <c r="AA2984"/>
    </row>
    <row r="2985" spans="1:27" s="37" customFormat="1" x14ac:dyDescent="0.15">
      <c r="A2985" s="166"/>
      <c r="B2985" s="93"/>
      <c r="C2985" s="70"/>
      <c r="D2985" s="70"/>
      <c r="E2985" s="70"/>
      <c r="F2985" s="70"/>
      <c r="G2985" s="70"/>
      <c r="H2985" s="85"/>
      <c r="I2985" s="85"/>
      <c r="J2985" s="131"/>
      <c r="K2985" s="60"/>
      <c r="L2985" s="33"/>
      <c r="P2985" s="3"/>
      <c r="Q2985" s="3"/>
      <c r="R2985" s="3"/>
      <c r="S2985" s="3"/>
      <c r="T2985" s="3"/>
      <c r="U2985" s="3"/>
      <c r="V2985" s="3"/>
      <c r="W2985" s="3"/>
      <c r="X2985" s="3"/>
      <c r="Y2985" s="4"/>
      <c r="Z2985"/>
      <c r="AA2985"/>
    </row>
    <row r="2986" spans="1:27" s="37" customFormat="1" x14ac:dyDescent="0.15">
      <c r="A2986" s="166"/>
      <c r="B2986" s="93"/>
      <c r="C2986" s="73"/>
      <c r="D2986" s="73"/>
      <c r="E2986" s="70"/>
      <c r="F2986" s="73"/>
      <c r="G2986" s="73"/>
      <c r="H2986" s="85"/>
      <c r="I2986" s="95"/>
      <c r="J2986" s="131"/>
      <c r="K2986" s="60"/>
      <c r="L2986" s="33"/>
      <c r="P2986" s="3"/>
      <c r="Q2986" s="3"/>
      <c r="R2986" s="3"/>
      <c r="S2986" s="3"/>
      <c r="T2986" s="3"/>
      <c r="U2986" s="3"/>
      <c r="V2986" s="3"/>
      <c r="W2986" s="3"/>
      <c r="X2986" s="3"/>
      <c r="Y2986" s="4"/>
      <c r="Z2986"/>
      <c r="AA2986"/>
    </row>
    <row r="2987" spans="1:27" s="37" customFormat="1" x14ac:dyDescent="0.15">
      <c r="A2987" s="166"/>
      <c r="B2987" s="93"/>
      <c r="C2987" s="70"/>
      <c r="D2987" s="70"/>
      <c r="E2987" s="70"/>
      <c r="F2987" s="70"/>
      <c r="G2987" s="70"/>
      <c r="H2987" s="85"/>
      <c r="I2987" s="85"/>
      <c r="J2987" s="131"/>
      <c r="K2987" s="60"/>
      <c r="L2987" s="33"/>
      <c r="P2987" s="3"/>
      <c r="Q2987" s="3"/>
      <c r="R2987" s="3"/>
      <c r="S2987" s="3"/>
      <c r="T2987" s="3"/>
      <c r="U2987" s="3"/>
      <c r="V2987" s="3"/>
      <c r="W2987" s="3"/>
      <c r="X2987" s="3"/>
      <c r="Y2987" s="4"/>
      <c r="Z2987"/>
      <c r="AA2987"/>
    </row>
    <row r="2988" spans="1:27" s="37" customFormat="1" x14ac:dyDescent="0.15">
      <c r="A2988" s="166"/>
      <c r="B2988" s="93"/>
      <c r="C2988" s="70"/>
      <c r="D2988" s="70"/>
      <c r="E2988" s="70"/>
      <c r="F2988" s="70"/>
      <c r="G2988" s="70"/>
      <c r="H2988" s="85"/>
      <c r="I2988" s="85"/>
      <c r="J2988" s="131"/>
      <c r="K2988" s="60"/>
      <c r="L2988" s="33"/>
      <c r="P2988" s="3"/>
      <c r="Q2988" s="3"/>
      <c r="R2988" s="3"/>
      <c r="S2988" s="3"/>
      <c r="T2988" s="3"/>
      <c r="U2988" s="3"/>
      <c r="V2988" s="3"/>
      <c r="W2988" s="3"/>
      <c r="X2988" s="3"/>
      <c r="Y2988" s="4"/>
      <c r="Z2988"/>
      <c r="AA2988"/>
    </row>
    <row r="2989" spans="1:27" s="37" customFormat="1" x14ac:dyDescent="0.15">
      <c r="A2989" s="166"/>
      <c r="B2989" s="93"/>
      <c r="C2989" s="70"/>
      <c r="D2989" s="70"/>
      <c r="E2989" s="70"/>
      <c r="F2989" s="70"/>
      <c r="G2989" s="70"/>
      <c r="H2989" s="85"/>
      <c r="I2989" s="85"/>
      <c r="J2989" s="131"/>
      <c r="K2989" s="60"/>
      <c r="L2989" s="33"/>
      <c r="P2989" s="3"/>
      <c r="Q2989" s="3"/>
      <c r="R2989" s="3"/>
      <c r="S2989" s="3"/>
      <c r="T2989" s="3"/>
      <c r="U2989" s="3"/>
      <c r="V2989" s="3"/>
      <c r="W2989" s="3"/>
      <c r="X2989" s="3"/>
      <c r="Y2989" s="4"/>
      <c r="Z2989"/>
      <c r="AA2989"/>
    </row>
    <row r="2990" spans="1:27" s="37" customFormat="1" x14ac:dyDescent="0.15">
      <c r="A2990" s="166"/>
      <c r="B2990" s="93"/>
      <c r="C2990" s="70"/>
      <c r="D2990" s="70"/>
      <c r="E2990" s="70"/>
      <c r="F2990" s="70"/>
      <c r="G2990" s="70"/>
      <c r="H2990" s="85"/>
      <c r="I2990" s="85"/>
      <c r="J2990" s="131"/>
      <c r="K2990" s="60"/>
      <c r="L2990" s="33"/>
      <c r="P2990" s="3"/>
      <c r="Q2990" s="3"/>
      <c r="R2990" s="3"/>
      <c r="S2990" s="3"/>
      <c r="T2990" s="3"/>
      <c r="U2990" s="3"/>
      <c r="V2990" s="3"/>
      <c r="W2990" s="3"/>
      <c r="X2990" s="3"/>
      <c r="Y2990" s="4"/>
      <c r="Z2990"/>
      <c r="AA2990"/>
    </row>
    <row r="2991" spans="1:27" x14ac:dyDescent="0.15">
      <c r="A2991" s="166"/>
      <c r="B2991" s="93"/>
      <c r="C2991" s="70"/>
      <c r="D2991" s="70"/>
      <c r="E2991" s="70"/>
      <c r="F2991" s="70"/>
      <c r="G2991" s="70"/>
      <c r="H2991" s="85"/>
      <c r="I2991" s="85"/>
      <c r="J2991" s="131"/>
      <c r="K2991" s="60"/>
      <c r="L2991" s="33"/>
    </row>
    <row r="2992" spans="1:27" x14ac:dyDescent="0.15">
      <c r="A2992" s="166"/>
      <c r="B2992" s="93"/>
      <c r="C2992" s="70"/>
      <c r="D2992" s="70"/>
      <c r="E2992" s="70"/>
      <c r="F2992" s="70"/>
      <c r="G2992" s="70"/>
      <c r="H2992" s="85"/>
      <c r="I2992" s="85"/>
      <c r="J2992" s="131"/>
      <c r="K2992" s="60"/>
      <c r="L2992" s="33"/>
    </row>
    <row r="2993" spans="1:27" x14ac:dyDescent="0.15">
      <c r="A2993" s="166"/>
      <c r="B2993" s="93"/>
      <c r="C2993" s="70"/>
      <c r="D2993" s="70"/>
      <c r="E2993" s="70"/>
      <c r="F2993" s="70"/>
      <c r="G2993" s="70"/>
      <c r="H2993" s="85"/>
      <c r="I2993" s="85"/>
      <c r="J2993" s="131"/>
      <c r="K2993" s="60"/>
    </row>
    <row r="2994" spans="1:27" x14ac:dyDescent="0.15">
      <c r="A2994" s="166"/>
      <c r="B2994" s="93"/>
      <c r="C2994" s="70"/>
      <c r="D2994" s="70"/>
      <c r="E2994" s="70"/>
      <c r="F2994" s="70"/>
      <c r="G2994" s="70"/>
      <c r="H2994" s="85"/>
      <c r="I2994" s="85"/>
      <c r="J2994" s="131"/>
      <c r="K2994" s="60"/>
      <c r="L2994" s="33"/>
    </row>
    <row r="2995" spans="1:27" x14ac:dyDescent="0.15">
      <c r="A2995" s="166"/>
      <c r="B2995" s="93"/>
      <c r="C2995" s="70"/>
      <c r="D2995" s="70"/>
      <c r="E2995" s="70"/>
      <c r="F2995" s="70"/>
      <c r="G2995" s="70"/>
      <c r="H2995" s="85"/>
      <c r="I2995" s="85"/>
      <c r="J2995" s="131"/>
      <c r="K2995" s="60"/>
      <c r="L2995" s="33"/>
    </row>
    <row r="2996" spans="1:27" x14ac:dyDescent="0.15">
      <c r="A2996" s="166"/>
      <c r="B2996" s="93"/>
      <c r="C2996" s="70"/>
      <c r="D2996" s="70"/>
      <c r="E2996" s="70"/>
      <c r="F2996" s="70"/>
      <c r="G2996" s="70"/>
      <c r="H2996" s="85"/>
      <c r="I2996" s="85"/>
      <c r="J2996" s="131"/>
      <c r="K2996" s="60"/>
      <c r="L2996" s="33"/>
    </row>
    <row r="2997" spans="1:27" x14ac:dyDescent="0.15">
      <c r="A2997" s="166"/>
      <c r="B2997" s="93"/>
      <c r="C2997" s="70"/>
      <c r="D2997" s="70"/>
      <c r="E2997" s="70"/>
      <c r="F2997" s="70"/>
      <c r="G2997" s="70"/>
      <c r="H2997" s="85"/>
      <c r="I2997" s="85"/>
      <c r="J2997" s="131"/>
      <c r="K2997" s="60"/>
      <c r="L2997" s="33"/>
    </row>
    <row r="2998" spans="1:27" x14ac:dyDescent="0.15">
      <c r="A2998" s="170"/>
      <c r="B2998" s="93"/>
      <c r="C2998" s="70"/>
      <c r="D2998" s="70"/>
      <c r="E2998" s="70"/>
      <c r="F2998" s="70"/>
      <c r="G2998" s="70"/>
      <c r="H2998" s="85"/>
      <c r="I2998" s="85"/>
      <c r="J2998" s="131"/>
      <c r="K2998" s="60"/>
      <c r="L2998" s="33"/>
    </row>
    <row r="2999" spans="1:27" x14ac:dyDescent="0.15">
      <c r="A2999" s="166"/>
      <c r="B2999" s="93"/>
      <c r="C2999" s="70"/>
      <c r="D2999" s="70"/>
      <c r="E2999" s="70"/>
      <c r="F2999" s="70"/>
      <c r="G2999" s="70"/>
      <c r="H2999" s="85"/>
      <c r="I2999" s="85"/>
      <c r="J2999" s="131"/>
      <c r="K2999" s="60"/>
      <c r="L2999" s="33"/>
    </row>
    <row r="3000" spans="1:27" x14ac:dyDescent="0.15">
      <c r="A3000" s="166"/>
      <c r="B3000" s="82"/>
      <c r="C3000" s="70"/>
      <c r="D3000" s="70"/>
      <c r="E3000" s="70"/>
      <c r="F3000" s="70"/>
      <c r="G3000" s="70"/>
      <c r="H3000" s="85"/>
      <c r="I3000" s="85"/>
      <c r="J3000" s="131"/>
      <c r="K3000" s="67"/>
      <c r="L3000" s="33"/>
    </row>
    <row r="3001" spans="1:27" x14ac:dyDescent="0.15">
      <c r="A3001" s="166"/>
      <c r="B3001" s="93"/>
      <c r="C3001" s="70"/>
      <c r="D3001" s="70"/>
      <c r="E3001" s="70"/>
      <c r="F3001" s="70"/>
      <c r="G3001" s="70"/>
      <c r="H3001" s="85"/>
      <c r="I3001" s="85"/>
      <c r="J3001" s="131"/>
      <c r="K3001" s="60"/>
      <c r="L3001" s="33"/>
    </row>
    <row r="3002" spans="1:27" x14ac:dyDescent="0.15">
      <c r="A3002" s="166"/>
      <c r="B3002" s="93"/>
      <c r="C3002" s="70"/>
      <c r="D3002" s="70"/>
      <c r="E3002" s="70"/>
      <c r="F3002" s="70"/>
      <c r="G3002" s="70"/>
      <c r="H3002" s="85"/>
      <c r="I3002" s="85"/>
      <c r="J3002" s="131"/>
      <c r="K3002" s="60"/>
      <c r="L3002" s="33"/>
    </row>
    <row r="3003" spans="1:27" x14ac:dyDescent="0.15">
      <c r="A3003" s="166"/>
      <c r="B3003" s="93"/>
      <c r="C3003" s="70"/>
      <c r="D3003" s="70"/>
      <c r="E3003" s="70"/>
      <c r="F3003" s="70"/>
      <c r="G3003" s="70"/>
      <c r="H3003" s="85"/>
      <c r="I3003" s="85"/>
      <c r="J3003" s="131"/>
      <c r="K3003" s="60"/>
      <c r="L3003" s="33"/>
    </row>
    <row r="3004" spans="1:27" x14ac:dyDescent="0.15">
      <c r="A3004" s="166"/>
      <c r="B3004" s="93"/>
      <c r="C3004" s="70"/>
      <c r="D3004" s="70"/>
      <c r="E3004" s="70"/>
      <c r="F3004" s="70"/>
      <c r="G3004" s="70"/>
      <c r="H3004" s="85"/>
      <c r="I3004" s="85"/>
      <c r="J3004" s="131"/>
      <c r="K3004" s="60"/>
      <c r="L3004" s="33"/>
    </row>
    <row r="3005" spans="1:27" x14ac:dyDescent="0.15">
      <c r="A3005" s="166"/>
      <c r="B3005" s="82"/>
      <c r="C3005" s="70"/>
      <c r="D3005" s="70"/>
      <c r="E3005" s="70"/>
      <c r="F3005" s="70"/>
      <c r="G3005" s="70"/>
      <c r="H3005" s="85"/>
      <c r="I3005" s="85"/>
      <c r="J3005" s="131"/>
      <c r="K3005" s="60"/>
      <c r="R3005" s="6"/>
      <c r="S3005" s="6"/>
      <c r="T3005" s="6"/>
      <c r="U3005" s="6"/>
      <c r="V3005" s="6"/>
      <c r="W3005" s="6"/>
      <c r="X3005" s="6"/>
      <c r="Y3005" s="6"/>
      <c r="Z3005" s="2"/>
      <c r="AA3005" s="2"/>
    </row>
    <row r="3006" spans="1:27" x14ac:dyDescent="0.15">
      <c r="A3006" s="166"/>
      <c r="B3006" s="82"/>
      <c r="C3006" s="70"/>
      <c r="D3006" s="70"/>
      <c r="E3006" s="70"/>
      <c r="F3006" s="70"/>
      <c r="G3006" s="70"/>
      <c r="H3006" s="85"/>
      <c r="I3006" s="85"/>
      <c r="J3006" s="131"/>
      <c r="K3006" s="69"/>
      <c r="R3006" s="6"/>
      <c r="S3006" s="6"/>
      <c r="T3006" s="6"/>
      <c r="U3006" s="6"/>
      <c r="V3006" s="6"/>
      <c r="W3006" s="6"/>
      <c r="X3006" s="6"/>
      <c r="Y3006" s="6"/>
      <c r="Z3006" s="2"/>
      <c r="AA3006" s="2"/>
    </row>
    <row r="3007" spans="1:27" x14ac:dyDescent="0.15">
      <c r="A3007" s="166"/>
      <c r="B3007" s="82"/>
      <c r="C3007" s="70"/>
      <c r="D3007" s="70"/>
      <c r="E3007" s="70"/>
      <c r="F3007" s="70"/>
      <c r="G3007" s="70"/>
      <c r="H3007" s="85"/>
      <c r="I3007" s="85"/>
      <c r="J3007" s="131"/>
      <c r="K3007" s="60"/>
      <c r="R3007" s="6"/>
      <c r="S3007" s="6"/>
      <c r="T3007" s="6"/>
      <c r="U3007" s="6"/>
      <c r="V3007" s="6"/>
      <c r="W3007" s="6"/>
      <c r="X3007" s="6"/>
      <c r="Y3007" s="6"/>
      <c r="Z3007" s="2"/>
      <c r="AA3007" s="2"/>
    </row>
    <row r="3008" spans="1:27" x14ac:dyDescent="0.15">
      <c r="A3008" s="166"/>
      <c r="B3008" s="82"/>
      <c r="C3008" s="70"/>
      <c r="D3008" s="70"/>
      <c r="E3008" s="70"/>
      <c r="F3008" s="70"/>
      <c r="G3008" s="70"/>
      <c r="H3008" s="85"/>
      <c r="I3008" s="85"/>
      <c r="J3008" s="131"/>
      <c r="K3008" s="60"/>
      <c r="R3008" s="6"/>
      <c r="S3008" s="6"/>
      <c r="T3008" s="6"/>
      <c r="U3008" s="6"/>
      <c r="V3008" s="6"/>
      <c r="W3008" s="6"/>
      <c r="X3008" s="6"/>
      <c r="Y3008" s="6"/>
      <c r="Z3008" s="2"/>
      <c r="AA3008" s="2"/>
    </row>
    <row r="3009" spans="1:27" x14ac:dyDescent="0.15">
      <c r="A3009" s="166"/>
      <c r="B3009" s="82"/>
      <c r="C3009" s="70"/>
      <c r="D3009" s="70"/>
      <c r="E3009" s="70"/>
      <c r="F3009" s="70"/>
      <c r="G3009" s="70"/>
      <c r="H3009" s="85"/>
      <c r="I3009" s="85"/>
      <c r="J3009" s="131"/>
      <c r="K3009" s="60"/>
      <c r="R3009" s="6"/>
      <c r="S3009" s="6"/>
      <c r="T3009" s="6"/>
      <c r="U3009" s="6"/>
      <c r="V3009" s="6"/>
      <c r="W3009" s="6"/>
      <c r="X3009" s="6"/>
      <c r="Y3009" s="6"/>
      <c r="Z3009" s="2"/>
      <c r="AA3009" s="2"/>
    </row>
    <row r="3010" spans="1:27" x14ac:dyDescent="0.15">
      <c r="A3010" s="166"/>
      <c r="B3010" s="82"/>
      <c r="C3010" s="70"/>
      <c r="D3010" s="70"/>
      <c r="E3010" s="70"/>
      <c r="F3010" s="70"/>
      <c r="G3010" s="70"/>
      <c r="H3010" s="85"/>
      <c r="I3010" s="85"/>
      <c r="J3010" s="131"/>
      <c r="K3010" s="69"/>
      <c r="R3010" s="6"/>
      <c r="S3010" s="6"/>
      <c r="T3010" s="6"/>
      <c r="U3010" s="6"/>
      <c r="V3010" s="6"/>
      <c r="W3010" s="6"/>
      <c r="X3010" s="6"/>
      <c r="Y3010" s="6"/>
      <c r="Z3010" s="2"/>
      <c r="AA3010" s="2"/>
    </row>
    <row r="3011" spans="1:27" x14ac:dyDescent="0.15">
      <c r="A3011" s="166"/>
      <c r="B3011" s="82"/>
      <c r="C3011" s="70"/>
      <c r="D3011" s="70"/>
      <c r="E3011" s="70"/>
      <c r="F3011" s="70"/>
      <c r="G3011" s="70"/>
      <c r="H3011" s="85"/>
      <c r="I3011" s="85"/>
      <c r="J3011" s="131"/>
      <c r="K3011" s="60"/>
      <c r="R3011" s="6"/>
      <c r="S3011" s="6"/>
      <c r="T3011" s="6"/>
      <c r="U3011" s="6"/>
      <c r="V3011" s="6"/>
      <c r="W3011" s="6"/>
      <c r="X3011" s="6"/>
      <c r="Y3011" s="6"/>
      <c r="Z3011" s="2"/>
      <c r="AA3011" s="2"/>
    </row>
    <row r="3012" spans="1:27" x14ac:dyDescent="0.15">
      <c r="A3012" s="166"/>
      <c r="B3012" s="82"/>
      <c r="C3012" s="70"/>
      <c r="D3012" s="70"/>
      <c r="E3012" s="70"/>
      <c r="F3012" s="70"/>
      <c r="G3012" s="70"/>
      <c r="H3012" s="85"/>
      <c r="I3012" s="85"/>
      <c r="J3012" s="131"/>
      <c r="K3012" s="60"/>
      <c r="R3012" s="2"/>
      <c r="S3012" s="2"/>
      <c r="T3012" s="2"/>
      <c r="U3012" s="2"/>
      <c r="V3012" s="2"/>
      <c r="W3012" s="2"/>
      <c r="X3012" s="2"/>
      <c r="Y3012" s="2"/>
      <c r="Z3012" s="2"/>
      <c r="AA3012" s="2"/>
    </row>
    <row r="3013" spans="1:27" x14ac:dyDescent="0.15">
      <c r="A3013" s="166"/>
      <c r="B3013" s="82"/>
      <c r="C3013" s="70"/>
      <c r="D3013" s="70"/>
      <c r="E3013" s="70"/>
      <c r="F3013" s="70"/>
      <c r="G3013" s="70"/>
      <c r="H3013" s="85"/>
      <c r="I3013" s="85"/>
      <c r="J3013" s="131"/>
      <c r="K3013" s="60"/>
      <c r="R3013"/>
      <c r="S3013"/>
      <c r="T3013"/>
      <c r="U3013"/>
      <c r="V3013"/>
      <c r="W3013"/>
      <c r="X3013"/>
      <c r="Y3013"/>
    </row>
    <row r="3014" spans="1:27" x14ac:dyDescent="0.15">
      <c r="A3014" s="166"/>
      <c r="B3014" s="82"/>
      <c r="C3014" s="70"/>
      <c r="D3014" s="70"/>
      <c r="E3014" s="70"/>
      <c r="F3014" s="70"/>
      <c r="G3014" s="70"/>
      <c r="H3014" s="85"/>
      <c r="I3014" s="85"/>
      <c r="J3014" s="131"/>
      <c r="K3014" s="60"/>
      <c r="R3014"/>
      <c r="S3014"/>
      <c r="T3014"/>
      <c r="U3014"/>
      <c r="V3014"/>
      <c r="W3014"/>
      <c r="X3014"/>
      <c r="Y3014"/>
    </row>
    <row r="3015" spans="1:27" x14ac:dyDescent="0.15">
      <c r="A3015" s="166"/>
      <c r="B3015" s="93"/>
      <c r="C3015" s="70"/>
      <c r="D3015" s="70"/>
      <c r="E3015" s="70"/>
      <c r="F3015" s="70"/>
      <c r="G3015" s="70"/>
      <c r="H3015" s="85"/>
      <c r="I3015" s="85"/>
      <c r="J3015" s="131"/>
      <c r="K3015" s="60"/>
      <c r="L3015" s="33"/>
      <c r="R3015"/>
      <c r="S3015"/>
      <c r="T3015"/>
      <c r="U3015"/>
      <c r="V3015"/>
      <c r="W3015"/>
      <c r="X3015"/>
      <c r="Y3015"/>
    </row>
    <row r="3016" spans="1:27" x14ac:dyDescent="0.15">
      <c r="A3016" s="166"/>
      <c r="B3016" s="82"/>
      <c r="C3016" s="70"/>
      <c r="D3016" s="70"/>
      <c r="E3016" s="70"/>
      <c r="F3016" s="70"/>
      <c r="G3016" s="70"/>
      <c r="H3016" s="85"/>
      <c r="I3016" s="85"/>
      <c r="J3016" s="131"/>
      <c r="K3016" s="60"/>
      <c r="R3016"/>
      <c r="S3016"/>
      <c r="T3016"/>
      <c r="U3016"/>
      <c r="V3016"/>
      <c r="W3016"/>
      <c r="X3016"/>
      <c r="Y3016"/>
    </row>
    <row r="3017" spans="1:27" x14ac:dyDescent="0.15">
      <c r="A3017" s="166"/>
      <c r="B3017" s="82"/>
      <c r="C3017" s="70"/>
      <c r="D3017" s="70"/>
      <c r="E3017" s="70"/>
      <c r="F3017" s="70"/>
      <c r="G3017" s="70"/>
      <c r="H3017" s="85"/>
      <c r="I3017" s="85"/>
      <c r="J3017" s="131"/>
      <c r="K3017" s="60"/>
      <c r="R3017"/>
      <c r="S3017"/>
      <c r="T3017"/>
      <c r="U3017"/>
      <c r="V3017"/>
      <c r="W3017"/>
      <c r="X3017"/>
      <c r="Y3017"/>
    </row>
    <row r="3018" spans="1:27" x14ac:dyDescent="0.15">
      <c r="A3018" s="166"/>
      <c r="B3018" s="82"/>
      <c r="C3018" s="70"/>
      <c r="D3018" s="70"/>
      <c r="E3018" s="70"/>
      <c r="F3018" s="70"/>
      <c r="G3018" s="70"/>
      <c r="H3018" s="85"/>
      <c r="I3018" s="85"/>
      <c r="J3018" s="131"/>
      <c r="K3018" s="60"/>
      <c r="R3018"/>
      <c r="S3018"/>
      <c r="T3018"/>
      <c r="U3018"/>
      <c r="V3018"/>
      <c r="W3018"/>
      <c r="X3018"/>
      <c r="Y3018"/>
    </row>
    <row r="3019" spans="1:27" x14ac:dyDescent="0.15">
      <c r="A3019" s="166"/>
      <c r="B3019" s="82"/>
      <c r="C3019" s="70"/>
      <c r="D3019" s="70"/>
      <c r="E3019" s="70"/>
      <c r="F3019" s="70"/>
      <c r="G3019" s="70"/>
      <c r="H3019" s="85"/>
      <c r="I3019" s="85"/>
      <c r="J3019" s="131"/>
      <c r="K3019" s="60"/>
      <c r="R3019"/>
      <c r="S3019"/>
      <c r="T3019"/>
      <c r="U3019"/>
      <c r="V3019"/>
      <c r="W3019"/>
      <c r="X3019"/>
      <c r="Y3019"/>
    </row>
    <row r="3020" spans="1:27" x14ac:dyDescent="0.15">
      <c r="A3020" s="166"/>
      <c r="B3020" s="82"/>
      <c r="C3020" s="70"/>
      <c r="D3020" s="70"/>
      <c r="E3020" s="70"/>
      <c r="F3020" s="70"/>
      <c r="G3020" s="70"/>
      <c r="H3020" s="85"/>
      <c r="I3020" s="85"/>
      <c r="J3020" s="131"/>
      <c r="K3020" s="69"/>
      <c r="R3020"/>
      <c r="S3020"/>
      <c r="T3020"/>
      <c r="U3020"/>
      <c r="V3020"/>
      <c r="W3020"/>
      <c r="X3020"/>
      <c r="Y3020"/>
    </row>
    <row r="3021" spans="1:27" x14ac:dyDescent="0.15">
      <c r="A3021" s="166"/>
      <c r="B3021" s="82"/>
      <c r="C3021" s="70"/>
      <c r="D3021" s="70"/>
      <c r="E3021" s="70"/>
      <c r="F3021" s="70"/>
      <c r="G3021" s="70"/>
      <c r="H3021" s="85"/>
      <c r="I3021" s="85"/>
      <c r="J3021" s="131"/>
      <c r="K3021" s="67"/>
      <c r="R3021"/>
      <c r="S3021"/>
      <c r="T3021"/>
      <c r="U3021"/>
      <c r="V3021"/>
      <c r="W3021"/>
      <c r="X3021"/>
      <c r="Y3021"/>
    </row>
    <row r="3022" spans="1:27" x14ac:dyDescent="0.15">
      <c r="A3022" s="166"/>
      <c r="B3022" s="82"/>
      <c r="C3022" s="70"/>
      <c r="D3022" s="70"/>
      <c r="E3022" s="70"/>
      <c r="F3022" s="70"/>
      <c r="G3022" s="70"/>
      <c r="H3022" s="85"/>
      <c r="I3022" s="85"/>
      <c r="J3022" s="131"/>
      <c r="K3022" s="60"/>
      <c r="R3022"/>
      <c r="S3022"/>
      <c r="T3022"/>
      <c r="U3022"/>
      <c r="V3022"/>
      <c r="W3022"/>
      <c r="X3022"/>
      <c r="Y3022"/>
    </row>
    <row r="3023" spans="1:27" x14ac:dyDescent="0.15">
      <c r="A3023" s="166"/>
      <c r="B3023" s="82"/>
      <c r="C3023" s="70"/>
      <c r="D3023" s="70"/>
      <c r="E3023" s="70"/>
      <c r="F3023" s="70"/>
      <c r="G3023" s="70"/>
      <c r="H3023" s="85"/>
      <c r="I3023" s="85"/>
      <c r="J3023" s="131"/>
      <c r="K3023" s="60"/>
      <c r="R3023"/>
      <c r="S3023"/>
      <c r="T3023"/>
      <c r="U3023"/>
      <c r="V3023"/>
      <c r="W3023"/>
      <c r="X3023"/>
      <c r="Y3023"/>
    </row>
    <row r="3024" spans="1:27" x14ac:dyDescent="0.15">
      <c r="A3024" s="166"/>
      <c r="B3024" s="82"/>
      <c r="C3024" s="70"/>
      <c r="D3024" s="70"/>
      <c r="E3024" s="70"/>
      <c r="F3024" s="70"/>
      <c r="G3024" s="70"/>
      <c r="H3024" s="85"/>
      <c r="I3024" s="85"/>
      <c r="J3024" s="131"/>
      <c r="K3024" s="60"/>
      <c r="R3024"/>
      <c r="S3024"/>
      <c r="T3024"/>
      <c r="U3024"/>
      <c r="V3024"/>
      <c r="W3024"/>
      <c r="X3024"/>
      <c r="Y3024"/>
    </row>
    <row r="3025" spans="1:27" x14ac:dyDescent="0.15">
      <c r="A3025" s="166"/>
      <c r="B3025" s="82"/>
      <c r="C3025" s="70"/>
      <c r="D3025" s="70"/>
      <c r="E3025" s="70"/>
      <c r="F3025" s="70"/>
      <c r="G3025" s="70"/>
      <c r="H3025" s="85"/>
      <c r="I3025" s="85"/>
      <c r="J3025" s="131"/>
      <c r="K3025" s="69"/>
      <c r="R3025"/>
      <c r="S3025"/>
      <c r="T3025"/>
      <c r="U3025"/>
      <c r="V3025"/>
      <c r="W3025"/>
      <c r="X3025"/>
      <c r="Y3025"/>
    </row>
    <row r="3026" spans="1:27" x14ac:dyDescent="0.15">
      <c r="A3026" s="166"/>
      <c r="B3026" s="82"/>
      <c r="C3026" s="70"/>
      <c r="D3026" s="70"/>
      <c r="E3026" s="70"/>
      <c r="F3026" s="70"/>
      <c r="G3026" s="70"/>
      <c r="H3026" s="85"/>
      <c r="I3026" s="85"/>
      <c r="J3026" s="131"/>
      <c r="K3026" s="69"/>
      <c r="R3026"/>
      <c r="S3026"/>
      <c r="T3026"/>
      <c r="U3026"/>
      <c r="V3026"/>
      <c r="W3026"/>
      <c r="X3026"/>
      <c r="Y3026"/>
    </row>
    <row r="3027" spans="1:27" x14ac:dyDescent="0.15">
      <c r="A3027" s="166"/>
      <c r="B3027" s="82"/>
      <c r="C3027" s="70"/>
      <c r="D3027" s="70"/>
      <c r="E3027" s="70"/>
      <c r="F3027" s="70"/>
      <c r="G3027" s="70"/>
      <c r="H3027" s="85"/>
      <c r="I3027" s="85"/>
      <c r="J3027" s="131"/>
      <c r="K3027" s="60"/>
      <c r="R3027"/>
      <c r="S3027"/>
      <c r="T3027"/>
      <c r="U3027"/>
      <c r="V3027"/>
      <c r="W3027"/>
      <c r="X3027"/>
      <c r="Y3027"/>
    </row>
    <row r="3028" spans="1:27" x14ac:dyDescent="0.15">
      <c r="A3028" s="166"/>
      <c r="B3028" s="82"/>
      <c r="C3028" s="70"/>
      <c r="D3028" s="70"/>
      <c r="E3028" s="70"/>
      <c r="F3028" s="70"/>
      <c r="G3028" s="70"/>
      <c r="H3028" s="85"/>
      <c r="I3028" s="85"/>
      <c r="J3028" s="131"/>
      <c r="K3028" s="60"/>
      <c r="R3028"/>
      <c r="S3028"/>
      <c r="T3028"/>
      <c r="U3028"/>
      <c r="V3028"/>
      <c r="W3028"/>
      <c r="X3028"/>
      <c r="Y3028"/>
    </row>
    <row r="3029" spans="1:27" x14ac:dyDescent="0.15">
      <c r="A3029" s="166"/>
      <c r="B3029" s="82"/>
      <c r="C3029" s="70"/>
      <c r="D3029" s="70"/>
      <c r="E3029" s="70"/>
      <c r="F3029" s="70"/>
      <c r="G3029" s="70"/>
      <c r="H3029" s="85"/>
      <c r="I3029" s="85"/>
      <c r="J3029" s="131"/>
      <c r="K3029" s="60"/>
    </row>
    <row r="3030" spans="1:27" x14ac:dyDescent="0.15">
      <c r="A3030" s="166"/>
      <c r="B3030" s="82"/>
      <c r="C3030" s="70"/>
      <c r="D3030" s="70"/>
      <c r="E3030" s="70"/>
      <c r="F3030" s="70"/>
      <c r="G3030" s="70"/>
      <c r="H3030" s="85"/>
      <c r="I3030" s="85"/>
      <c r="J3030" s="131"/>
      <c r="K3030" s="60"/>
      <c r="N3030" s="51"/>
    </row>
    <row r="3031" spans="1:27" x14ac:dyDescent="0.15">
      <c r="A3031" s="167"/>
      <c r="B3031" s="87"/>
      <c r="C3031" s="88"/>
      <c r="D3031" s="86"/>
      <c r="E3031" s="86"/>
      <c r="F3031" s="86"/>
      <c r="G3031" s="86"/>
      <c r="H3031" s="85"/>
      <c r="I3031" s="89"/>
      <c r="J3031" s="132"/>
      <c r="K3031" s="62"/>
    </row>
    <row r="3032" spans="1:27" x14ac:dyDescent="0.15">
      <c r="A3032" s="167"/>
      <c r="B3032" s="87"/>
      <c r="C3032" s="88"/>
      <c r="D3032" s="86"/>
      <c r="E3032" s="86"/>
      <c r="F3032" s="86"/>
      <c r="G3032" s="86"/>
      <c r="H3032" s="85"/>
      <c r="I3032" s="89"/>
      <c r="J3032" s="132"/>
      <c r="K3032" s="61"/>
    </row>
    <row r="3033" spans="1:27" x14ac:dyDescent="0.15">
      <c r="A3033" s="166"/>
      <c r="B3033" s="93"/>
      <c r="C3033" s="70"/>
      <c r="D3033" s="70"/>
      <c r="E3033" s="70"/>
      <c r="F3033" s="70"/>
      <c r="G3033" s="70"/>
      <c r="H3033" s="85"/>
      <c r="I3033" s="85"/>
      <c r="J3033" s="131"/>
      <c r="K3033" s="60"/>
      <c r="L3033" s="33"/>
    </row>
    <row r="3034" spans="1:27" x14ac:dyDescent="0.15">
      <c r="A3034" s="166"/>
      <c r="B3034" s="82"/>
      <c r="C3034" s="70"/>
      <c r="D3034" s="70"/>
      <c r="E3034" s="70"/>
      <c r="F3034" s="70"/>
      <c r="G3034" s="70"/>
      <c r="H3034" s="85"/>
      <c r="I3034" s="85"/>
      <c r="J3034" s="131"/>
      <c r="K3034" s="60"/>
    </row>
    <row r="3035" spans="1:27" x14ac:dyDescent="0.15">
      <c r="A3035" s="166"/>
      <c r="B3035" s="82"/>
      <c r="C3035" s="70"/>
      <c r="D3035" s="70"/>
      <c r="E3035" s="70"/>
      <c r="F3035" s="70"/>
      <c r="G3035" s="70"/>
      <c r="H3035" s="85"/>
      <c r="I3035" s="85"/>
      <c r="J3035" s="131"/>
      <c r="K3035" s="60"/>
    </row>
    <row r="3036" spans="1:27" x14ac:dyDescent="0.15">
      <c r="A3036" s="166"/>
      <c r="B3036" s="82"/>
      <c r="C3036" s="70"/>
      <c r="D3036" s="70"/>
      <c r="E3036" s="70"/>
      <c r="F3036" s="70"/>
      <c r="G3036" s="70"/>
      <c r="H3036" s="85"/>
      <c r="I3036" s="85"/>
      <c r="J3036" s="131"/>
      <c r="K3036" s="60"/>
    </row>
    <row r="3037" spans="1:27" x14ac:dyDescent="0.15">
      <c r="A3037" s="166"/>
      <c r="B3037" s="82"/>
      <c r="C3037" s="70"/>
      <c r="D3037" s="70"/>
      <c r="E3037" s="70"/>
      <c r="F3037" s="70"/>
      <c r="G3037" s="70"/>
      <c r="H3037" s="85"/>
      <c r="I3037" s="85"/>
      <c r="J3037" s="131"/>
      <c r="K3037" s="60"/>
    </row>
    <row r="3038" spans="1:27" x14ac:dyDescent="0.15">
      <c r="A3038" s="166"/>
      <c r="B3038" s="82"/>
      <c r="C3038" s="70"/>
      <c r="D3038" s="70"/>
      <c r="E3038" s="70"/>
      <c r="F3038" s="70"/>
      <c r="G3038" s="70"/>
      <c r="H3038" s="85"/>
      <c r="I3038" s="85"/>
      <c r="J3038" s="131"/>
      <c r="K3038" s="60"/>
    </row>
    <row r="3039" spans="1:27" s="3" customFormat="1" x14ac:dyDescent="0.15">
      <c r="A3039" s="166"/>
      <c r="B3039" s="82"/>
      <c r="C3039" s="70"/>
      <c r="D3039" s="70"/>
      <c r="E3039" s="70"/>
      <c r="F3039" s="70"/>
      <c r="G3039" s="70"/>
      <c r="H3039" s="85"/>
      <c r="I3039" s="85"/>
      <c r="J3039" s="131"/>
      <c r="K3039" s="60"/>
      <c r="L3039" s="49"/>
      <c r="M3039" s="37"/>
      <c r="N3039" s="37"/>
      <c r="O3039" s="37"/>
      <c r="Y3039" s="4"/>
      <c r="Z3039"/>
      <c r="AA3039"/>
    </row>
    <row r="3040" spans="1:27" s="3" customFormat="1" x14ac:dyDescent="0.15">
      <c r="A3040" s="166"/>
      <c r="B3040" s="82"/>
      <c r="C3040" s="70"/>
      <c r="D3040" s="70"/>
      <c r="E3040" s="70"/>
      <c r="F3040" s="70"/>
      <c r="G3040" s="70"/>
      <c r="H3040" s="85"/>
      <c r="I3040" s="85"/>
      <c r="J3040" s="131"/>
      <c r="K3040" s="60"/>
      <c r="L3040" s="49"/>
      <c r="M3040" s="37"/>
      <c r="N3040" s="37"/>
      <c r="O3040" s="37"/>
      <c r="Y3040" s="4"/>
      <c r="Z3040"/>
      <c r="AA3040"/>
    </row>
    <row r="3041" spans="1:27" s="3" customFormat="1" ht="16" x14ac:dyDescent="0.2">
      <c r="A3041" s="166"/>
      <c r="B3041" s="82"/>
      <c r="C3041" s="70"/>
      <c r="D3041" s="70"/>
      <c r="E3041" s="70"/>
      <c r="F3041" s="70"/>
      <c r="G3041" s="70"/>
      <c r="H3041" s="85"/>
      <c r="I3041" s="85"/>
      <c r="J3041" s="131"/>
      <c r="K3041" s="60"/>
      <c r="L3041" s="49"/>
      <c r="M3041" s="48"/>
      <c r="N3041" s="37"/>
      <c r="O3041" s="37"/>
      <c r="Y3041" s="4"/>
      <c r="Z3041"/>
      <c r="AA3041"/>
    </row>
    <row r="3042" spans="1:27" s="3" customFormat="1" x14ac:dyDescent="0.15">
      <c r="A3042" s="166"/>
      <c r="B3042" s="82"/>
      <c r="C3042" s="70"/>
      <c r="D3042" s="70"/>
      <c r="E3042" s="70"/>
      <c r="F3042" s="70"/>
      <c r="G3042" s="70"/>
      <c r="H3042" s="85"/>
      <c r="I3042" s="85"/>
      <c r="J3042" s="131"/>
      <c r="K3042" s="60"/>
      <c r="L3042" s="49"/>
      <c r="M3042" s="37"/>
      <c r="N3042" s="37"/>
      <c r="O3042" s="37"/>
      <c r="Y3042" s="4"/>
      <c r="Z3042"/>
      <c r="AA3042"/>
    </row>
    <row r="3043" spans="1:27" s="3" customFormat="1" x14ac:dyDescent="0.15">
      <c r="A3043" s="166"/>
      <c r="B3043" s="82"/>
      <c r="C3043" s="70"/>
      <c r="D3043" s="70"/>
      <c r="E3043" s="70"/>
      <c r="F3043" s="70"/>
      <c r="G3043" s="70"/>
      <c r="H3043" s="85"/>
      <c r="I3043" s="85"/>
      <c r="J3043" s="131"/>
      <c r="K3043" s="60"/>
      <c r="L3043" s="49"/>
      <c r="M3043" s="37"/>
      <c r="N3043" s="37"/>
      <c r="O3043" s="37"/>
      <c r="Y3043" s="4"/>
      <c r="Z3043"/>
      <c r="AA3043"/>
    </row>
    <row r="3044" spans="1:27" s="3" customFormat="1" x14ac:dyDescent="0.15">
      <c r="A3044" s="166"/>
      <c r="B3044" s="82"/>
      <c r="C3044" s="70"/>
      <c r="D3044" s="70"/>
      <c r="E3044" s="70"/>
      <c r="F3044" s="70"/>
      <c r="G3044" s="70"/>
      <c r="H3044" s="85"/>
      <c r="I3044" s="85"/>
      <c r="J3044" s="131"/>
      <c r="K3044" s="60"/>
      <c r="L3044" s="49"/>
      <c r="M3044" s="37"/>
      <c r="N3044" s="37"/>
      <c r="O3044" s="37"/>
      <c r="Y3044" s="4"/>
      <c r="Z3044"/>
      <c r="AA3044"/>
    </row>
    <row r="3045" spans="1:27" s="3" customFormat="1" x14ac:dyDescent="0.15">
      <c r="A3045" s="166"/>
      <c r="B3045" s="93"/>
      <c r="C3045" s="70"/>
      <c r="D3045" s="70"/>
      <c r="E3045" s="70"/>
      <c r="F3045" s="70"/>
      <c r="G3045" s="70"/>
      <c r="H3045" s="85"/>
      <c r="I3045" s="85"/>
      <c r="J3045" s="131"/>
      <c r="K3045" s="60"/>
      <c r="L3045" s="49"/>
      <c r="M3045" s="37"/>
      <c r="N3045" s="37"/>
      <c r="O3045" s="37"/>
      <c r="Y3045" s="4"/>
      <c r="Z3045"/>
      <c r="AA3045"/>
    </row>
    <row r="3046" spans="1:27" s="3" customFormat="1" x14ac:dyDescent="0.15">
      <c r="A3046" s="166"/>
      <c r="B3046" s="82"/>
      <c r="C3046" s="70"/>
      <c r="D3046" s="70"/>
      <c r="E3046" s="70"/>
      <c r="F3046" s="70"/>
      <c r="G3046" s="70"/>
      <c r="H3046" s="85"/>
      <c r="I3046" s="85"/>
      <c r="J3046" s="131"/>
      <c r="K3046" s="60"/>
      <c r="L3046" s="49"/>
      <c r="M3046" s="37"/>
      <c r="N3046" s="37"/>
      <c r="O3046" s="37"/>
      <c r="Y3046" s="4"/>
      <c r="Z3046"/>
      <c r="AA3046"/>
    </row>
    <row r="3047" spans="1:27" s="3" customFormat="1" x14ac:dyDescent="0.15">
      <c r="A3047" s="166"/>
      <c r="B3047" s="82"/>
      <c r="C3047" s="70"/>
      <c r="D3047" s="70"/>
      <c r="E3047" s="70"/>
      <c r="F3047" s="70"/>
      <c r="G3047" s="70"/>
      <c r="H3047" s="85"/>
      <c r="I3047" s="85"/>
      <c r="J3047" s="131"/>
      <c r="K3047" s="60"/>
      <c r="L3047" s="49"/>
      <c r="M3047" s="37"/>
      <c r="N3047" s="37"/>
      <c r="O3047" s="37"/>
      <c r="Y3047" s="4"/>
      <c r="Z3047"/>
      <c r="AA3047"/>
    </row>
    <row r="3048" spans="1:27" s="3" customFormat="1" x14ac:dyDescent="0.15">
      <c r="A3048" s="166"/>
      <c r="B3048" s="82"/>
      <c r="C3048" s="70"/>
      <c r="D3048" s="70"/>
      <c r="E3048" s="70"/>
      <c r="F3048" s="70"/>
      <c r="G3048" s="70"/>
      <c r="H3048" s="85"/>
      <c r="I3048" s="85"/>
      <c r="J3048" s="131"/>
      <c r="K3048" s="60"/>
      <c r="L3048" s="49"/>
      <c r="M3048" s="37"/>
      <c r="N3048" s="37"/>
      <c r="O3048" s="37"/>
      <c r="Y3048" s="4"/>
      <c r="Z3048"/>
      <c r="AA3048"/>
    </row>
    <row r="3049" spans="1:27" s="3" customFormat="1" x14ac:dyDescent="0.15">
      <c r="A3049" s="167"/>
      <c r="B3049" s="87"/>
      <c r="C3049" s="88"/>
      <c r="D3049" s="86"/>
      <c r="E3049" s="86"/>
      <c r="F3049" s="86"/>
      <c r="G3049" s="86"/>
      <c r="H3049" s="85"/>
      <c r="I3049" s="89"/>
      <c r="J3049" s="132"/>
      <c r="K3049" s="61"/>
      <c r="L3049" s="49"/>
      <c r="M3049" s="37"/>
      <c r="N3049" s="37"/>
      <c r="O3049" s="37"/>
      <c r="Y3049" s="4"/>
      <c r="Z3049"/>
      <c r="AA3049"/>
    </row>
    <row r="3050" spans="1:27" s="3" customFormat="1" x14ac:dyDescent="0.15">
      <c r="A3050" s="167"/>
      <c r="B3050" s="87"/>
      <c r="C3050" s="88"/>
      <c r="D3050" s="86"/>
      <c r="E3050" s="86"/>
      <c r="F3050" s="86"/>
      <c r="G3050" s="86"/>
      <c r="H3050" s="85"/>
      <c r="I3050" s="89"/>
      <c r="J3050" s="132"/>
      <c r="K3050" s="62"/>
      <c r="L3050" s="49"/>
      <c r="M3050" s="37"/>
      <c r="N3050" s="37"/>
      <c r="O3050" s="37"/>
      <c r="Y3050" s="4"/>
      <c r="Z3050"/>
      <c r="AA3050"/>
    </row>
    <row r="3051" spans="1:27" s="3" customFormat="1" x14ac:dyDescent="0.15">
      <c r="A3051" s="166"/>
      <c r="B3051" s="82"/>
      <c r="C3051" s="70"/>
      <c r="D3051" s="70"/>
      <c r="E3051" s="70"/>
      <c r="F3051" s="70"/>
      <c r="G3051" s="70"/>
      <c r="H3051" s="85"/>
      <c r="I3051" s="85"/>
      <c r="J3051" s="131"/>
      <c r="K3051" s="60"/>
      <c r="L3051" s="49"/>
      <c r="M3051" s="37"/>
      <c r="N3051" s="37"/>
      <c r="O3051" s="49"/>
      <c r="Y3051" s="4"/>
      <c r="Z3051"/>
      <c r="AA3051"/>
    </row>
    <row r="3052" spans="1:27" s="3" customFormat="1" x14ac:dyDescent="0.15">
      <c r="A3052" s="166"/>
      <c r="B3052" s="82"/>
      <c r="C3052" s="70"/>
      <c r="D3052" s="70"/>
      <c r="E3052" s="70"/>
      <c r="F3052" s="70"/>
      <c r="G3052" s="70"/>
      <c r="H3052" s="85"/>
      <c r="I3052" s="85"/>
      <c r="J3052" s="131"/>
      <c r="K3052" s="60"/>
      <c r="L3052" s="49"/>
      <c r="M3052" s="37"/>
      <c r="N3052" s="37"/>
      <c r="O3052" s="37"/>
      <c r="Y3052" s="4"/>
      <c r="Z3052"/>
      <c r="AA3052"/>
    </row>
    <row r="3053" spans="1:27" s="3" customFormat="1" x14ac:dyDescent="0.15">
      <c r="A3053" s="166"/>
      <c r="B3053" s="82"/>
      <c r="C3053" s="70"/>
      <c r="D3053" s="70"/>
      <c r="E3053" s="70"/>
      <c r="F3053" s="70"/>
      <c r="G3053" s="70"/>
      <c r="H3053" s="85"/>
      <c r="I3053" s="85"/>
      <c r="J3053" s="131"/>
      <c r="K3053" s="60"/>
      <c r="L3053" s="49"/>
      <c r="M3053" s="37"/>
      <c r="N3053" s="37"/>
      <c r="O3053" s="37"/>
      <c r="Y3053" s="4"/>
      <c r="Z3053"/>
      <c r="AA3053"/>
    </row>
    <row r="3054" spans="1:27" s="3" customFormat="1" x14ac:dyDescent="0.15">
      <c r="A3054" s="166"/>
      <c r="B3054" s="93"/>
      <c r="C3054" s="70"/>
      <c r="D3054" s="70"/>
      <c r="E3054" s="70"/>
      <c r="F3054" s="70"/>
      <c r="G3054" s="70"/>
      <c r="H3054" s="85"/>
      <c r="I3054" s="85"/>
      <c r="J3054" s="131"/>
      <c r="K3054" s="60"/>
      <c r="L3054" s="37"/>
      <c r="M3054" s="37"/>
      <c r="N3054" s="37"/>
      <c r="O3054" s="37"/>
      <c r="Y3054" s="4"/>
      <c r="Z3054"/>
      <c r="AA3054"/>
    </row>
    <row r="3055" spans="1:27" s="37" customFormat="1" x14ac:dyDescent="0.15">
      <c r="A3055" s="167"/>
      <c r="B3055" s="93"/>
      <c r="C3055" s="88"/>
      <c r="D3055" s="86"/>
      <c r="E3055" s="86"/>
      <c r="F3055" s="86"/>
      <c r="G3055" s="86"/>
      <c r="H3055" s="85"/>
      <c r="I3055" s="89"/>
      <c r="J3055" s="146"/>
      <c r="K3055" s="63"/>
      <c r="M3055" s="34"/>
      <c r="P3055" s="3"/>
      <c r="Q3055" s="3"/>
      <c r="R3055" s="3"/>
      <c r="S3055" s="3"/>
      <c r="T3055" s="3"/>
      <c r="U3055" s="3"/>
      <c r="V3055" s="3"/>
      <c r="W3055" s="3"/>
      <c r="X3055" s="3"/>
      <c r="Y3055" s="4"/>
      <c r="Z3055"/>
      <c r="AA3055"/>
    </row>
    <row r="3056" spans="1:27" s="37" customFormat="1" x14ac:dyDescent="0.15">
      <c r="A3056" s="166"/>
      <c r="B3056" s="82"/>
      <c r="C3056" s="70"/>
      <c r="D3056" s="70"/>
      <c r="E3056" s="70"/>
      <c r="F3056" s="70"/>
      <c r="G3056" s="70"/>
      <c r="H3056" s="85"/>
      <c r="I3056" s="110"/>
      <c r="J3056" s="146"/>
      <c r="K3056" s="60"/>
      <c r="L3056" s="33"/>
      <c r="P3056" s="3"/>
      <c r="Q3056" s="3"/>
      <c r="R3056" s="3"/>
      <c r="S3056" s="3"/>
      <c r="T3056" s="3"/>
      <c r="U3056" s="3"/>
      <c r="V3056" s="3"/>
      <c r="W3056" s="3"/>
      <c r="X3056" s="3"/>
      <c r="Y3056" s="4"/>
      <c r="Z3056"/>
      <c r="AA3056"/>
    </row>
    <row r="3057" spans="1:27" s="37" customFormat="1" x14ac:dyDescent="0.15">
      <c r="A3057" s="166"/>
      <c r="B3057" s="82"/>
      <c r="C3057" s="70"/>
      <c r="D3057" s="70"/>
      <c r="E3057" s="70"/>
      <c r="F3057" s="70"/>
      <c r="G3057" s="70"/>
      <c r="H3057" s="85"/>
      <c r="I3057" s="85"/>
      <c r="J3057" s="146"/>
      <c r="K3057" s="60"/>
      <c r="L3057" s="49"/>
      <c r="P3057" s="3"/>
      <c r="Q3057" s="3"/>
      <c r="R3057" s="3"/>
      <c r="S3057" s="3"/>
      <c r="T3057" s="3"/>
      <c r="U3057" s="3"/>
      <c r="V3057" s="3"/>
      <c r="W3057" s="3"/>
      <c r="X3057" s="3"/>
      <c r="Y3057" s="4"/>
      <c r="Z3057"/>
      <c r="AA3057"/>
    </row>
    <row r="3058" spans="1:27" s="37" customFormat="1" x14ac:dyDescent="0.15">
      <c r="A3058" s="167"/>
      <c r="B3058" s="87"/>
      <c r="C3058" s="88"/>
      <c r="D3058" s="86"/>
      <c r="E3058" s="86"/>
      <c r="F3058" s="86"/>
      <c r="G3058" s="86"/>
      <c r="H3058" s="85"/>
      <c r="I3058" s="89"/>
      <c r="J3058" s="132"/>
      <c r="K3058" s="62"/>
      <c r="L3058" s="49"/>
      <c r="N3058" s="51"/>
      <c r="P3058" s="3"/>
      <c r="Q3058" s="3"/>
      <c r="R3058" s="3"/>
      <c r="S3058" s="3"/>
      <c r="T3058" s="3"/>
      <c r="U3058" s="3"/>
      <c r="V3058" s="3"/>
      <c r="W3058" s="3"/>
      <c r="X3058" s="3"/>
      <c r="Y3058" s="4"/>
      <c r="Z3058"/>
      <c r="AA3058"/>
    </row>
    <row r="3059" spans="1:27" s="37" customFormat="1" x14ac:dyDescent="0.15">
      <c r="A3059" s="167"/>
      <c r="B3059" s="87"/>
      <c r="C3059" s="88"/>
      <c r="D3059" s="86"/>
      <c r="E3059" s="86"/>
      <c r="F3059" s="86"/>
      <c r="G3059" s="86"/>
      <c r="H3059" s="85"/>
      <c r="I3059" s="89"/>
      <c r="J3059" s="132"/>
      <c r="K3059" s="62"/>
      <c r="L3059" s="49"/>
      <c r="N3059" s="51"/>
      <c r="P3059" s="3"/>
      <c r="Q3059" s="3"/>
      <c r="R3059" s="3"/>
      <c r="S3059" s="3"/>
      <c r="T3059" s="3"/>
      <c r="U3059" s="3"/>
      <c r="V3059" s="3"/>
      <c r="W3059" s="3"/>
      <c r="X3059" s="3"/>
      <c r="Y3059" s="4"/>
      <c r="Z3059"/>
      <c r="AA3059"/>
    </row>
    <row r="3060" spans="1:27" s="37" customFormat="1" x14ac:dyDescent="0.15">
      <c r="A3060" s="167"/>
      <c r="B3060" s="87"/>
      <c r="C3060" s="88"/>
      <c r="D3060" s="86"/>
      <c r="E3060" s="86"/>
      <c r="F3060" s="86"/>
      <c r="G3060" s="86"/>
      <c r="H3060" s="85"/>
      <c r="I3060" s="89"/>
      <c r="J3060" s="132"/>
      <c r="K3060" s="62"/>
      <c r="L3060" s="49"/>
      <c r="N3060" s="51"/>
      <c r="P3060" s="3"/>
      <c r="Q3060" s="3"/>
      <c r="R3060" s="3"/>
      <c r="S3060" s="3"/>
      <c r="T3060" s="3"/>
      <c r="U3060" s="3"/>
      <c r="V3060" s="3"/>
      <c r="W3060" s="3"/>
      <c r="X3060" s="3"/>
      <c r="Y3060" s="4"/>
      <c r="Z3060"/>
      <c r="AA3060"/>
    </row>
    <row r="3061" spans="1:27" s="37" customFormat="1" x14ac:dyDescent="0.15">
      <c r="A3061" s="167"/>
      <c r="B3061" s="87"/>
      <c r="C3061" s="88"/>
      <c r="D3061" s="86"/>
      <c r="E3061" s="86"/>
      <c r="F3061" s="86"/>
      <c r="G3061" s="86"/>
      <c r="H3061" s="85"/>
      <c r="I3061" s="89"/>
      <c r="J3061" s="132"/>
      <c r="K3061" s="62"/>
      <c r="L3061" s="49"/>
      <c r="N3061" s="51"/>
      <c r="P3061" s="3"/>
      <c r="Q3061" s="3"/>
      <c r="R3061" s="3"/>
      <c r="S3061" s="3"/>
      <c r="T3061" s="3"/>
      <c r="U3061" s="3"/>
      <c r="V3061" s="3"/>
      <c r="W3061" s="3"/>
      <c r="X3061" s="3"/>
      <c r="Y3061" s="4"/>
      <c r="Z3061"/>
      <c r="AA3061"/>
    </row>
    <row r="3062" spans="1:27" s="37" customFormat="1" x14ac:dyDescent="0.15">
      <c r="A3062" s="167"/>
      <c r="B3062" s="87"/>
      <c r="C3062" s="88"/>
      <c r="D3062" s="86"/>
      <c r="E3062" s="86"/>
      <c r="F3062" s="86"/>
      <c r="G3062" s="86"/>
      <c r="H3062" s="85"/>
      <c r="I3062" s="89"/>
      <c r="J3062" s="132"/>
      <c r="K3062" s="61"/>
      <c r="L3062" s="49"/>
      <c r="P3062" s="3"/>
      <c r="Q3062" s="3"/>
      <c r="R3062" s="3"/>
      <c r="S3062" s="3"/>
      <c r="T3062" s="3"/>
      <c r="U3062" s="3"/>
      <c r="V3062" s="3"/>
      <c r="W3062" s="3"/>
      <c r="X3062" s="3"/>
      <c r="Y3062" s="4"/>
      <c r="Z3062"/>
      <c r="AA3062"/>
    </row>
    <row r="3063" spans="1:27" s="37" customFormat="1" x14ac:dyDescent="0.15">
      <c r="A3063" s="169"/>
      <c r="B3063" s="90"/>
      <c r="C3063" s="91"/>
      <c r="D3063" s="70"/>
      <c r="E3063" s="91"/>
      <c r="F3063" s="91"/>
      <c r="G3063" s="91"/>
      <c r="H3063" s="85"/>
      <c r="I3063" s="92"/>
      <c r="J3063" s="133"/>
      <c r="K3063" s="65"/>
      <c r="L3063" s="49"/>
      <c r="P3063" s="3"/>
      <c r="Q3063" s="3"/>
      <c r="R3063" s="3"/>
      <c r="S3063" s="3"/>
      <c r="T3063" s="3"/>
      <c r="U3063" s="3"/>
      <c r="V3063" s="3"/>
      <c r="W3063" s="3"/>
      <c r="X3063" s="3"/>
      <c r="Y3063" s="4"/>
      <c r="Z3063"/>
      <c r="AA3063"/>
    </row>
    <row r="3064" spans="1:27" s="37" customFormat="1" ht="16" x14ac:dyDescent="0.2">
      <c r="A3064" s="169"/>
      <c r="B3064" s="90"/>
      <c r="C3064" s="91"/>
      <c r="D3064" s="70"/>
      <c r="E3064" s="91"/>
      <c r="F3064" s="91"/>
      <c r="G3064" s="91"/>
      <c r="H3064" s="85"/>
      <c r="I3064" s="92"/>
      <c r="J3064" s="133"/>
      <c r="K3064" s="65"/>
      <c r="L3064" s="49"/>
      <c r="M3064" s="48"/>
      <c r="P3064" s="3"/>
      <c r="Q3064" s="3"/>
      <c r="R3064" s="3"/>
      <c r="S3064" s="3"/>
      <c r="T3064" s="3"/>
      <c r="U3064" s="3"/>
      <c r="V3064" s="3"/>
      <c r="W3064" s="3"/>
      <c r="X3064" s="3"/>
      <c r="Y3064" s="4"/>
      <c r="Z3064"/>
      <c r="AA3064"/>
    </row>
    <row r="3065" spans="1:27" s="37" customFormat="1" x14ac:dyDescent="0.15">
      <c r="A3065" s="169"/>
      <c r="B3065" s="90"/>
      <c r="C3065" s="91"/>
      <c r="D3065" s="70"/>
      <c r="E3065" s="91"/>
      <c r="F3065" s="91"/>
      <c r="G3065" s="91"/>
      <c r="H3065" s="85"/>
      <c r="I3065" s="92"/>
      <c r="J3065" s="133"/>
      <c r="K3065" s="65"/>
      <c r="L3065" s="49"/>
      <c r="P3065" s="3"/>
      <c r="Q3065" s="3"/>
      <c r="R3065" s="3"/>
      <c r="S3065" s="3"/>
      <c r="T3065" s="3"/>
      <c r="U3065" s="3"/>
      <c r="V3065" s="3"/>
      <c r="W3065" s="3"/>
      <c r="X3065" s="3"/>
      <c r="Y3065" s="4"/>
      <c r="Z3065"/>
      <c r="AA3065"/>
    </row>
    <row r="3066" spans="1:27" s="37" customFormat="1" x14ac:dyDescent="0.15">
      <c r="A3066" s="166"/>
      <c r="B3066" s="82"/>
      <c r="C3066" s="70"/>
      <c r="D3066" s="70"/>
      <c r="E3066" s="70"/>
      <c r="F3066" s="70"/>
      <c r="G3066" s="70"/>
      <c r="H3066" s="85"/>
      <c r="I3066" s="85"/>
      <c r="J3066" s="131"/>
      <c r="K3066" s="69"/>
      <c r="L3066" s="49"/>
      <c r="P3066" s="3"/>
      <c r="Q3066" s="3"/>
      <c r="R3066" s="3"/>
      <c r="S3066" s="3"/>
      <c r="T3066" s="3"/>
      <c r="U3066" s="3"/>
      <c r="V3066" s="3"/>
      <c r="W3066" s="3"/>
      <c r="X3066" s="3"/>
      <c r="Y3066" s="4"/>
      <c r="Z3066"/>
      <c r="AA3066"/>
    </row>
    <row r="3067" spans="1:27" s="37" customFormat="1" x14ac:dyDescent="0.15">
      <c r="A3067" s="166"/>
      <c r="B3067" s="82"/>
      <c r="C3067" s="70"/>
      <c r="D3067" s="70"/>
      <c r="E3067" s="70"/>
      <c r="F3067" s="70"/>
      <c r="G3067" s="70"/>
      <c r="H3067" s="85"/>
      <c r="I3067" s="85"/>
      <c r="J3067" s="131"/>
      <c r="K3067" s="69"/>
      <c r="L3067" s="49"/>
      <c r="P3067" s="3"/>
      <c r="Q3067" s="3"/>
      <c r="R3067" s="3"/>
      <c r="S3067" s="3"/>
      <c r="T3067" s="3"/>
      <c r="U3067" s="3"/>
      <c r="V3067" s="3"/>
      <c r="W3067" s="3"/>
      <c r="X3067" s="3"/>
      <c r="Y3067" s="4"/>
      <c r="Z3067"/>
      <c r="AA3067"/>
    </row>
    <row r="3068" spans="1:27" s="37" customFormat="1" x14ac:dyDescent="0.15">
      <c r="A3068" s="167"/>
      <c r="B3068" s="87"/>
      <c r="C3068" s="88"/>
      <c r="D3068" s="86"/>
      <c r="E3068" s="86"/>
      <c r="F3068" s="86"/>
      <c r="G3068" s="86"/>
      <c r="H3068" s="85"/>
      <c r="I3068" s="89"/>
      <c r="J3068" s="132"/>
      <c r="K3068" s="68"/>
      <c r="L3068" s="49"/>
      <c r="P3068" s="3"/>
      <c r="Q3068" s="3"/>
      <c r="R3068" s="3"/>
      <c r="S3068" s="3"/>
      <c r="T3068" s="3"/>
      <c r="U3068" s="3"/>
      <c r="V3068" s="3"/>
      <c r="W3068" s="3"/>
      <c r="X3068" s="3"/>
      <c r="Y3068" s="4"/>
      <c r="Z3068"/>
      <c r="AA3068"/>
    </row>
    <row r="3069" spans="1:27" s="37" customFormat="1" x14ac:dyDescent="0.15">
      <c r="A3069" s="167"/>
      <c r="B3069" s="87"/>
      <c r="C3069" s="88"/>
      <c r="D3069" s="86"/>
      <c r="E3069" s="86"/>
      <c r="F3069" s="86"/>
      <c r="G3069" s="86"/>
      <c r="H3069" s="85"/>
      <c r="I3069" s="89"/>
      <c r="J3069" s="132"/>
      <c r="K3069" s="68"/>
      <c r="L3069" s="54"/>
      <c r="P3069" s="3"/>
      <c r="Q3069" s="3"/>
      <c r="R3069" s="3"/>
      <c r="S3069" s="3"/>
      <c r="T3069" s="3"/>
      <c r="U3069" s="3"/>
      <c r="V3069" s="3"/>
      <c r="W3069" s="3"/>
      <c r="X3069" s="3"/>
      <c r="Y3069" s="4"/>
      <c r="Z3069"/>
      <c r="AA3069"/>
    </row>
    <row r="3070" spans="1:27" s="37" customFormat="1" x14ac:dyDescent="0.15">
      <c r="A3070" s="167"/>
      <c r="B3070" s="87"/>
      <c r="C3070" s="88"/>
      <c r="D3070" s="86"/>
      <c r="E3070" s="86"/>
      <c r="F3070" s="86"/>
      <c r="G3070" s="86"/>
      <c r="H3070" s="85"/>
      <c r="I3070" s="89"/>
      <c r="J3070" s="132"/>
      <c r="K3070" s="68"/>
      <c r="L3070" s="49"/>
      <c r="P3070" s="3"/>
      <c r="Q3070" s="3"/>
      <c r="R3070" s="3"/>
      <c r="S3070" s="3"/>
      <c r="T3070" s="3"/>
      <c r="U3070" s="3"/>
      <c r="V3070" s="3"/>
      <c r="W3070" s="3"/>
      <c r="X3070" s="3"/>
      <c r="Y3070" s="4"/>
      <c r="Z3070"/>
      <c r="AA3070"/>
    </row>
    <row r="3071" spans="1:27" s="37" customFormat="1" x14ac:dyDescent="0.15">
      <c r="A3071" s="167"/>
      <c r="B3071" s="87"/>
      <c r="C3071" s="88"/>
      <c r="D3071" s="86"/>
      <c r="E3071" s="86"/>
      <c r="F3071" s="86"/>
      <c r="G3071" s="86"/>
      <c r="H3071" s="85"/>
      <c r="I3071" s="89"/>
      <c r="J3071" s="132"/>
      <c r="K3071" s="61"/>
      <c r="L3071" s="49"/>
      <c r="P3071" s="3"/>
      <c r="Q3071" s="3"/>
      <c r="R3071" s="3"/>
      <c r="S3071" s="3"/>
      <c r="T3071" s="3"/>
      <c r="U3071" s="3"/>
      <c r="V3071" s="3"/>
      <c r="W3071" s="3"/>
      <c r="X3071" s="3"/>
      <c r="Y3071" s="4"/>
      <c r="Z3071"/>
      <c r="AA3071"/>
    </row>
    <row r="3072" spans="1:27" s="37" customFormat="1" x14ac:dyDescent="0.15">
      <c r="A3072" s="166"/>
      <c r="B3072" s="82"/>
      <c r="C3072" s="70"/>
      <c r="D3072" s="70"/>
      <c r="E3072" s="70"/>
      <c r="F3072" s="70"/>
      <c r="G3072" s="70"/>
      <c r="H3072" s="85"/>
      <c r="I3072" s="85"/>
      <c r="J3072" s="131"/>
      <c r="K3072" s="60"/>
      <c r="L3072" s="49"/>
      <c r="P3072" s="3"/>
      <c r="Q3072" s="3"/>
      <c r="R3072" s="3"/>
      <c r="S3072" s="3"/>
      <c r="T3072" s="3"/>
      <c r="U3072" s="3"/>
      <c r="V3072" s="3"/>
      <c r="W3072" s="3"/>
      <c r="X3072" s="3"/>
      <c r="Y3072" s="4"/>
      <c r="Z3072"/>
      <c r="AA3072"/>
    </row>
    <row r="3073" spans="1:27" s="37" customFormat="1" x14ac:dyDescent="0.15">
      <c r="A3073" s="166"/>
      <c r="B3073" s="82"/>
      <c r="C3073" s="70"/>
      <c r="D3073" s="70"/>
      <c r="E3073" s="70"/>
      <c r="F3073" s="70"/>
      <c r="G3073" s="70"/>
      <c r="H3073" s="85"/>
      <c r="I3073" s="85"/>
      <c r="J3073" s="131"/>
      <c r="K3073" s="60"/>
      <c r="L3073" s="49"/>
      <c r="P3073" s="3"/>
      <c r="Q3073" s="3"/>
      <c r="R3073" s="3"/>
      <c r="S3073" s="3"/>
      <c r="T3073" s="3"/>
      <c r="U3073" s="3"/>
      <c r="V3073" s="3"/>
      <c r="W3073" s="3"/>
      <c r="X3073" s="3"/>
      <c r="Y3073" s="4"/>
      <c r="Z3073"/>
      <c r="AA3073"/>
    </row>
    <row r="3074" spans="1:27" s="37" customFormat="1" x14ac:dyDescent="0.15">
      <c r="A3074" s="166"/>
      <c r="B3074" s="82"/>
      <c r="C3074" s="70"/>
      <c r="D3074" s="70"/>
      <c r="E3074" s="70"/>
      <c r="F3074" s="70"/>
      <c r="G3074" s="70"/>
      <c r="H3074" s="85"/>
      <c r="I3074" s="85"/>
      <c r="J3074" s="131"/>
      <c r="K3074" s="60"/>
      <c r="L3074" s="49"/>
      <c r="P3074" s="3"/>
      <c r="Q3074" s="3"/>
      <c r="R3074" s="3"/>
      <c r="S3074" s="3"/>
      <c r="T3074" s="3"/>
      <c r="U3074" s="3"/>
      <c r="V3074" s="3"/>
      <c r="W3074" s="3"/>
      <c r="X3074" s="3"/>
      <c r="Y3074" s="4"/>
      <c r="Z3074"/>
      <c r="AA3074"/>
    </row>
    <row r="3075" spans="1:27" s="37" customFormat="1" x14ac:dyDescent="0.15">
      <c r="A3075" s="166"/>
      <c r="B3075" s="82"/>
      <c r="C3075" s="70"/>
      <c r="D3075" s="70"/>
      <c r="E3075" s="70"/>
      <c r="F3075" s="70"/>
      <c r="G3075" s="70"/>
      <c r="H3075" s="85"/>
      <c r="I3075" s="85"/>
      <c r="J3075" s="131"/>
      <c r="K3075" s="60"/>
      <c r="L3075" s="49"/>
      <c r="P3075" s="3"/>
      <c r="Q3075" s="3"/>
      <c r="R3075" s="3"/>
      <c r="S3075" s="3"/>
      <c r="T3075" s="3"/>
      <c r="U3075" s="3"/>
      <c r="V3075" s="3"/>
      <c r="W3075" s="3"/>
      <c r="X3075" s="3"/>
      <c r="Y3075" s="4"/>
      <c r="Z3075"/>
      <c r="AA3075"/>
    </row>
    <row r="3076" spans="1:27" s="37" customFormat="1" x14ac:dyDescent="0.15">
      <c r="A3076" s="166"/>
      <c r="B3076" s="82"/>
      <c r="C3076" s="70"/>
      <c r="D3076" s="70"/>
      <c r="E3076" s="70"/>
      <c r="F3076" s="70"/>
      <c r="G3076" s="70"/>
      <c r="H3076" s="85"/>
      <c r="I3076" s="85"/>
      <c r="J3076" s="131"/>
      <c r="K3076" s="60"/>
      <c r="L3076" s="49"/>
      <c r="P3076" s="3"/>
      <c r="Q3076" s="3"/>
      <c r="R3076" s="3"/>
      <c r="S3076" s="3"/>
      <c r="T3076" s="3"/>
      <c r="U3076" s="3"/>
      <c r="V3076" s="3"/>
      <c r="W3076" s="3"/>
      <c r="X3076" s="3"/>
      <c r="Y3076" s="4"/>
      <c r="Z3076"/>
      <c r="AA3076"/>
    </row>
    <row r="3077" spans="1:27" s="37" customFormat="1" x14ac:dyDescent="0.15">
      <c r="A3077" s="166"/>
      <c r="B3077" s="82"/>
      <c r="C3077" s="70"/>
      <c r="D3077" s="70"/>
      <c r="E3077" s="70"/>
      <c r="F3077" s="70"/>
      <c r="G3077" s="70"/>
      <c r="H3077" s="85"/>
      <c r="I3077" s="85"/>
      <c r="J3077" s="131"/>
      <c r="K3077" s="60"/>
      <c r="L3077" s="49"/>
      <c r="P3077" s="3"/>
      <c r="Q3077" s="3"/>
      <c r="R3077" s="3"/>
      <c r="S3077" s="3"/>
      <c r="T3077" s="3"/>
      <c r="U3077" s="3"/>
      <c r="V3077" s="3"/>
      <c r="W3077" s="3"/>
      <c r="X3077" s="3"/>
      <c r="Y3077" s="4"/>
      <c r="Z3077"/>
      <c r="AA3077"/>
    </row>
    <row r="3078" spans="1:27" s="37" customFormat="1" x14ac:dyDescent="0.15">
      <c r="A3078" s="166"/>
      <c r="B3078" s="82"/>
      <c r="C3078" s="70"/>
      <c r="D3078" s="70"/>
      <c r="E3078" s="70"/>
      <c r="F3078" s="70"/>
      <c r="G3078" s="70"/>
      <c r="H3078" s="85"/>
      <c r="I3078" s="85"/>
      <c r="J3078" s="131"/>
      <c r="K3078" s="60"/>
      <c r="L3078" s="49"/>
      <c r="P3078" s="3"/>
      <c r="Q3078" s="3"/>
      <c r="R3078" s="3"/>
      <c r="S3078" s="3"/>
      <c r="T3078" s="3"/>
      <c r="U3078" s="3"/>
      <c r="V3078" s="3"/>
      <c r="W3078" s="3"/>
      <c r="X3078" s="3"/>
      <c r="Y3078" s="4"/>
      <c r="Z3078"/>
      <c r="AA3078"/>
    </row>
    <row r="3079" spans="1:27" s="37" customFormat="1" x14ac:dyDescent="0.15">
      <c r="A3079" s="166"/>
      <c r="B3079" s="82"/>
      <c r="C3079" s="70"/>
      <c r="D3079" s="70"/>
      <c r="E3079" s="70"/>
      <c r="F3079" s="70"/>
      <c r="G3079" s="70"/>
      <c r="H3079" s="85"/>
      <c r="I3079" s="85"/>
      <c r="J3079" s="131"/>
      <c r="K3079" s="60"/>
      <c r="L3079" s="49"/>
      <c r="P3079" s="3"/>
      <c r="Q3079" s="3"/>
      <c r="R3079" s="3"/>
      <c r="S3079" s="3"/>
      <c r="T3079" s="3"/>
      <c r="U3079" s="3"/>
      <c r="V3079" s="3"/>
      <c r="W3079" s="3"/>
      <c r="X3079" s="3"/>
      <c r="Y3079" s="4"/>
      <c r="Z3079"/>
      <c r="AA3079"/>
    </row>
    <row r="3080" spans="1:27" s="37" customFormat="1" x14ac:dyDescent="0.15">
      <c r="A3080" s="165"/>
      <c r="B3080" s="93"/>
      <c r="C3080" s="61"/>
      <c r="D3080" s="61"/>
      <c r="E3080" s="61"/>
      <c r="F3080" s="61"/>
      <c r="G3080" s="61"/>
      <c r="H3080" s="85"/>
      <c r="I3080" s="103"/>
      <c r="J3080" s="131"/>
      <c r="K3080" s="67"/>
      <c r="L3080" s="35"/>
      <c r="P3080" s="3"/>
      <c r="Q3080" s="3"/>
      <c r="R3080" s="3"/>
      <c r="S3080" s="3"/>
      <c r="T3080" s="3"/>
      <c r="U3080" s="3"/>
      <c r="V3080" s="3"/>
      <c r="W3080" s="3"/>
      <c r="X3080" s="3"/>
      <c r="Y3080" s="4"/>
      <c r="Z3080"/>
      <c r="AA3080"/>
    </row>
    <row r="3081" spans="1:27" s="37" customFormat="1" x14ac:dyDescent="0.15">
      <c r="A3081" s="166"/>
      <c r="B3081" s="82"/>
      <c r="C3081" s="70"/>
      <c r="D3081" s="70"/>
      <c r="E3081" s="70"/>
      <c r="F3081" s="70"/>
      <c r="G3081" s="70"/>
      <c r="H3081" s="85"/>
      <c r="I3081" s="85"/>
      <c r="J3081" s="131"/>
      <c r="K3081" s="60"/>
      <c r="L3081" s="33"/>
      <c r="P3081" s="3"/>
      <c r="Q3081" s="3"/>
      <c r="R3081" s="3"/>
      <c r="S3081" s="3"/>
      <c r="T3081" s="3"/>
      <c r="U3081" s="3"/>
      <c r="V3081" s="3"/>
      <c r="W3081" s="3"/>
      <c r="X3081" s="3"/>
      <c r="Y3081" s="4"/>
      <c r="Z3081"/>
      <c r="AA3081"/>
    </row>
    <row r="3082" spans="1:27" s="37" customFormat="1" x14ac:dyDescent="0.15">
      <c r="A3082" s="166"/>
      <c r="B3082" s="82"/>
      <c r="C3082" s="70"/>
      <c r="D3082" s="70"/>
      <c r="E3082" s="70"/>
      <c r="F3082" s="70"/>
      <c r="G3082" s="70"/>
      <c r="H3082" s="85"/>
      <c r="I3082" s="85"/>
      <c r="J3082" s="131"/>
      <c r="K3082" s="60"/>
      <c r="L3082" s="49"/>
      <c r="P3082" s="3"/>
      <c r="Q3082" s="3"/>
      <c r="R3082" s="3"/>
      <c r="S3082" s="3"/>
      <c r="T3082" s="3"/>
      <c r="U3082" s="3"/>
      <c r="V3082" s="3"/>
      <c r="W3082" s="3"/>
      <c r="X3082" s="3"/>
      <c r="Y3082" s="4"/>
      <c r="Z3082"/>
      <c r="AA3082"/>
    </row>
    <row r="3083" spans="1:27" s="37" customFormat="1" ht="16" x14ac:dyDescent="0.2">
      <c r="A3083" s="166"/>
      <c r="B3083" s="93"/>
      <c r="C3083" s="70"/>
      <c r="D3083" s="70"/>
      <c r="E3083" s="70"/>
      <c r="F3083" s="70"/>
      <c r="G3083" s="70"/>
      <c r="H3083" s="85"/>
      <c r="I3083" s="85"/>
      <c r="J3083" s="131"/>
      <c r="K3083" s="60"/>
      <c r="L3083" s="47"/>
      <c r="P3083" s="3"/>
      <c r="Q3083" s="3"/>
      <c r="R3083" s="3"/>
      <c r="S3083" s="3"/>
      <c r="T3083" s="3"/>
      <c r="U3083" s="3"/>
      <c r="V3083" s="3"/>
      <c r="W3083" s="3"/>
      <c r="X3083" s="3"/>
      <c r="Y3083" s="4"/>
      <c r="Z3083"/>
      <c r="AA3083"/>
    </row>
    <row r="3084" spans="1:27" s="37" customFormat="1" x14ac:dyDescent="0.15">
      <c r="A3084" s="166"/>
      <c r="B3084" s="108"/>
      <c r="C3084" s="70"/>
      <c r="D3084" s="70"/>
      <c r="E3084" s="70"/>
      <c r="F3084" s="70"/>
      <c r="G3084" s="70"/>
      <c r="H3084" s="85"/>
      <c r="I3084" s="85"/>
      <c r="J3084" s="131"/>
      <c r="K3084" s="60"/>
      <c r="P3084" s="3"/>
      <c r="Q3084" s="3"/>
      <c r="R3084" s="3"/>
      <c r="S3084" s="3"/>
      <c r="T3084" s="3"/>
      <c r="U3084" s="3"/>
      <c r="V3084" s="3"/>
      <c r="W3084" s="3"/>
      <c r="X3084" s="3"/>
      <c r="Y3084" s="4"/>
      <c r="Z3084"/>
      <c r="AA3084"/>
    </row>
    <row r="3085" spans="1:27" s="37" customFormat="1" x14ac:dyDescent="0.15">
      <c r="A3085" s="166"/>
      <c r="B3085" s="93"/>
      <c r="C3085" s="70"/>
      <c r="D3085" s="70"/>
      <c r="E3085" s="70"/>
      <c r="F3085" s="70"/>
      <c r="G3085" s="70"/>
      <c r="H3085" s="85"/>
      <c r="I3085" s="85"/>
      <c r="J3085" s="131"/>
      <c r="K3085" s="60"/>
      <c r="P3085" s="3"/>
      <c r="Q3085" s="3"/>
      <c r="R3085" s="3"/>
      <c r="S3085" s="3"/>
      <c r="T3085" s="3"/>
      <c r="U3085" s="3"/>
      <c r="V3085" s="3"/>
      <c r="W3085" s="3"/>
      <c r="X3085" s="3"/>
      <c r="Y3085" s="4"/>
      <c r="Z3085"/>
      <c r="AA3085"/>
    </row>
    <row r="3086" spans="1:27" s="37" customFormat="1" x14ac:dyDescent="0.15">
      <c r="A3086" s="166"/>
      <c r="B3086" s="93"/>
      <c r="C3086" s="70"/>
      <c r="D3086" s="70"/>
      <c r="E3086" s="70"/>
      <c r="F3086" s="70"/>
      <c r="G3086" s="70"/>
      <c r="H3086" s="85"/>
      <c r="I3086" s="85"/>
      <c r="J3086" s="131"/>
      <c r="K3086" s="60"/>
      <c r="P3086" s="3"/>
      <c r="Q3086" s="3"/>
      <c r="R3086" s="3"/>
      <c r="S3086" s="3"/>
      <c r="T3086" s="3"/>
      <c r="U3086" s="3"/>
      <c r="V3086" s="3"/>
      <c r="W3086" s="3"/>
      <c r="X3086" s="3"/>
      <c r="Y3086" s="4"/>
      <c r="Z3086"/>
      <c r="AA3086"/>
    </row>
    <row r="3087" spans="1:27" s="3" customFormat="1" x14ac:dyDescent="0.15">
      <c r="A3087" s="166"/>
      <c r="B3087" s="93"/>
      <c r="C3087" s="70"/>
      <c r="D3087" s="70"/>
      <c r="E3087" s="70"/>
      <c r="F3087" s="70"/>
      <c r="G3087" s="70"/>
      <c r="H3087" s="85"/>
      <c r="I3087" s="85"/>
      <c r="J3087" s="131"/>
      <c r="K3087" s="60"/>
      <c r="L3087" s="37"/>
      <c r="M3087" s="32"/>
      <c r="N3087" s="37"/>
      <c r="O3087" s="37"/>
      <c r="Y3087" s="4"/>
      <c r="Z3087"/>
      <c r="AA3087"/>
    </row>
    <row r="3088" spans="1:27" s="3" customFormat="1" x14ac:dyDescent="0.15">
      <c r="A3088" s="166"/>
      <c r="B3088" s="93"/>
      <c r="C3088" s="70"/>
      <c r="D3088" s="70"/>
      <c r="E3088" s="70"/>
      <c r="F3088" s="70"/>
      <c r="G3088" s="70"/>
      <c r="H3088" s="85"/>
      <c r="I3088" s="85"/>
      <c r="J3088" s="131"/>
      <c r="K3088" s="60"/>
      <c r="L3088" s="49"/>
      <c r="M3088" s="37"/>
      <c r="N3088" s="37"/>
      <c r="O3088" s="37"/>
      <c r="Y3088" s="4"/>
      <c r="Z3088"/>
      <c r="AA3088"/>
    </row>
    <row r="3089" spans="1:27" s="3" customFormat="1" x14ac:dyDescent="0.15">
      <c r="A3089" s="166"/>
      <c r="B3089" s="93"/>
      <c r="C3089" s="70"/>
      <c r="D3089" s="70"/>
      <c r="E3089" s="70"/>
      <c r="F3089" s="70"/>
      <c r="G3089" s="70"/>
      <c r="H3089" s="85"/>
      <c r="I3089" s="85"/>
      <c r="J3089" s="131"/>
      <c r="K3089" s="60"/>
      <c r="L3089" s="37"/>
      <c r="M3089" s="37"/>
      <c r="N3089" s="37"/>
      <c r="O3089" s="37"/>
      <c r="Y3089" s="4"/>
      <c r="Z3089"/>
      <c r="AA3089"/>
    </row>
    <row r="3090" spans="1:27" s="3" customFormat="1" x14ac:dyDescent="0.15">
      <c r="A3090" s="166"/>
      <c r="B3090" s="93"/>
      <c r="C3090" s="70"/>
      <c r="D3090" s="70"/>
      <c r="E3090" s="70"/>
      <c r="F3090" s="70"/>
      <c r="G3090" s="70"/>
      <c r="H3090" s="85"/>
      <c r="I3090" s="85"/>
      <c r="J3090" s="131"/>
      <c r="K3090" s="60"/>
      <c r="L3090" s="37"/>
      <c r="M3090" s="37"/>
      <c r="N3090" s="37"/>
      <c r="O3090" s="37"/>
      <c r="Y3090" s="4"/>
      <c r="Z3090"/>
      <c r="AA3090"/>
    </row>
    <row r="3091" spans="1:27" s="3" customFormat="1" x14ac:dyDescent="0.15">
      <c r="A3091" s="166"/>
      <c r="B3091" s="93"/>
      <c r="C3091" s="70"/>
      <c r="D3091" s="70"/>
      <c r="E3091" s="70"/>
      <c r="F3091" s="70"/>
      <c r="G3091" s="70"/>
      <c r="H3091" s="85"/>
      <c r="I3091" s="85"/>
      <c r="J3091" s="131"/>
      <c r="K3091" s="60"/>
      <c r="L3091" s="37"/>
      <c r="M3091" s="37"/>
      <c r="N3091" s="37"/>
      <c r="O3091" s="37"/>
      <c r="Y3091" s="4"/>
      <c r="Z3091"/>
      <c r="AA3091"/>
    </row>
    <row r="3092" spans="1:27" s="3" customFormat="1" x14ac:dyDescent="0.15">
      <c r="A3092" s="166"/>
      <c r="B3092" s="93"/>
      <c r="C3092" s="70"/>
      <c r="D3092" s="70"/>
      <c r="E3092" s="70"/>
      <c r="F3092" s="70"/>
      <c r="G3092" s="70"/>
      <c r="H3092" s="85"/>
      <c r="I3092" s="85"/>
      <c r="J3092" s="131"/>
      <c r="K3092" s="60"/>
      <c r="L3092" s="37"/>
      <c r="M3092" s="37"/>
      <c r="N3092" s="37"/>
      <c r="O3092" s="37"/>
      <c r="Y3092" s="4"/>
      <c r="Z3092"/>
      <c r="AA3092"/>
    </row>
    <row r="3093" spans="1:27" s="3" customFormat="1" x14ac:dyDescent="0.15">
      <c r="A3093" s="166"/>
      <c r="B3093" s="93"/>
      <c r="C3093" s="70"/>
      <c r="D3093" s="70"/>
      <c r="E3093" s="70"/>
      <c r="F3093" s="70"/>
      <c r="G3093" s="70"/>
      <c r="H3093" s="85"/>
      <c r="I3093" s="85"/>
      <c r="J3093" s="131"/>
      <c r="K3093" s="60"/>
      <c r="L3093" s="33"/>
      <c r="M3093" s="37"/>
      <c r="N3093" s="37"/>
      <c r="O3093" s="37"/>
      <c r="Y3093" s="4"/>
      <c r="Z3093"/>
      <c r="AA3093"/>
    </row>
    <row r="3094" spans="1:27" s="3" customFormat="1" x14ac:dyDescent="0.15">
      <c r="A3094" s="169"/>
      <c r="B3094" s="90"/>
      <c r="C3094" s="70"/>
      <c r="D3094" s="91"/>
      <c r="E3094" s="91"/>
      <c r="F3094" s="91"/>
      <c r="G3094" s="91"/>
      <c r="H3094" s="85"/>
      <c r="I3094" s="92"/>
      <c r="J3094" s="133"/>
      <c r="K3094" s="64"/>
      <c r="L3094" s="49"/>
      <c r="M3094" s="37"/>
      <c r="N3094" s="37"/>
      <c r="O3094" s="37"/>
      <c r="Y3094" s="4"/>
      <c r="Z3094"/>
      <c r="AA3094"/>
    </row>
    <row r="3095" spans="1:27" s="3" customFormat="1" x14ac:dyDescent="0.15">
      <c r="A3095" s="225"/>
      <c r="B3095" s="191"/>
      <c r="C3095" s="192"/>
      <c r="D3095" s="190"/>
      <c r="E3095" s="190"/>
      <c r="F3095" s="190"/>
      <c r="G3095" s="190"/>
      <c r="H3095" s="183"/>
      <c r="I3095" s="193"/>
      <c r="J3095" s="194"/>
      <c r="K3095" s="195"/>
      <c r="L3095" s="186"/>
      <c r="M3095" s="186"/>
      <c r="N3095" s="186"/>
      <c r="O3095" s="186"/>
      <c r="P3095" s="187"/>
      <c r="Q3095" s="187"/>
      <c r="Y3095" s="4"/>
      <c r="Z3095"/>
      <c r="AA3095"/>
    </row>
    <row r="3096" spans="1:27" s="3" customFormat="1" x14ac:dyDescent="0.15">
      <c r="A3096" s="226"/>
      <c r="B3096" s="181"/>
      <c r="C3096" s="180"/>
      <c r="D3096" s="180"/>
      <c r="E3096" s="180"/>
      <c r="F3096" s="180"/>
      <c r="G3096" s="180"/>
      <c r="H3096" s="183"/>
      <c r="I3096" s="183"/>
      <c r="J3096" s="184"/>
      <c r="K3096" s="185"/>
      <c r="L3096" s="186"/>
      <c r="M3096" s="186"/>
      <c r="N3096" s="186"/>
      <c r="O3096" s="186"/>
      <c r="P3096" s="187"/>
      <c r="Q3096" s="187"/>
      <c r="Y3096" s="4"/>
      <c r="Z3096"/>
      <c r="AA3096"/>
    </row>
    <row r="3097" spans="1:27" s="3" customFormat="1" x14ac:dyDescent="0.15">
      <c r="A3097" s="167"/>
      <c r="B3097" s="87"/>
      <c r="C3097" s="88"/>
      <c r="D3097" s="86"/>
      <c r="E3097" s="86"/>
      <c r="F3097" s="86"/>
      <c r="G3097" s="86"/>
      <c r="H3097" s="85"/>
      <c r="I3097" s="89"/>
      <c r="J3097" s="132"/>
      <c r="K3097" s="61"/>
      <c r="L3097" s="49"/>
      <c r="M3097" s="37"/>
      <c r="N3097" s="37"/>
      <c r="O3097" s="37"/>
      <c r="Y3097" s="4"/>
      <c r="Z3097"/>
      <c r="AA3097"/>
    </row>
    <row r="3098" spans="1:27" s="3" customFormat="1" x14ac:dyDescent="0.15">
      <c r="A3098" s="167"/>
      <c r="B3098" s="87"/>
      <c r="C3098" s="88"/>
      <c r="D3098" s="86"/>
      <c r="E3098" s="86"/>
      <c r="F3098" s="86"/>
      <c r="G3098" s="86"/>
      <c r="H3098" s="85"/>
      <c r="I3098" s="89"/>
      <c r="J3098" s="132"/>
      <c r="K3098" s="61"/>
      <c r="L3098" s="49"/>
      <c r="M3098" s="37"/>
      <c r="N3098" s="37"/>
      <c r="O3098" s="37"/>
      <c r="Y3098" s="4"/>
      <c r="Z3098"/>
      <c r="AA3098"/>
    </row>
    <row r="3099" spans="1:27" s="3" customFormat="1" x14ac:dyDescent="0.15">
      <c r="A3099" s="167"/>
      <c r="B3099" s="87"/>
      <c r="C3099" s="88"/>
      <c r="D3099" s="86"/>
      <c r="E3099" s="86"/>
      <c r="F3099" s="86"/>
      <c r="G3099" s="86"/>
      <c r="H3099" s="85"/>
      <c r="I3099" s="89"/>
      <c r="J3099" s="132"/>
      <c r="K3099" s="61"/>
      <c r="L3099" s="49"/>
      <c r="M3099" s="37"/>
      <c r="N3099" s="37"/>
      <c r="O3099" s="37"/>
      <c r="Y3099" s="4"/>
      <c r="Z3099"/>
      <c r="AA3099"/>
    </row>
    <row r="3100" spans="1:27" s="3" customFormat="1" x14ac:dyDescent="0.15">
      <c r="A3100" s="166"/>
      <c r="B3100" s="82"/>
      <c r="C3100" s="70"/>
      <c r="D3100" s="70"/>
      <c r="E3100" s="70"/>
      <c r="F3100" s="70"/>
      <c r="G3100" s="70"/>
      <c r="H3100" s="85"/>
      <c r="I3100" s="85"/>
      <c r="J3100" s="131"/>
      <c r="K3100" s="60"/>
      <c r="L3100" s="49"/>
      <c r="M3100" s="37"/>
      <c r="N3100" s="37"/>
      <c r="O3100" s="37"/>
      <c r="Y3100" s="4"/>
      <c r="Z3100"/>
      <c r="AA3100"/>
    </row>
    <row r="3101" spans="1:27" s="3" customFormat="1" x14ac:dyDescent="0.15">
      <c r="A3101" s="165"/>
      <c r="B3101" s="93"/>
      <c r="C3101" s="102"/>
      <c r="D3101" s="70"/>
      <c r="E3101" s="70"/>
      <c r="F3101" s="102"/>
      <c r="G3101" s="102"/>
      <c r="H3101" s="85"/>
      <c r="I3101" s="104"/>
      <c r="J3101" s="144"/>
      <c r="K3101" s="62"/>
      <c r="L3101" s="49"/>
      <c r="M3101" s="37"/>
      <c r="N3101" s="37"/>
      <c r="O3101" s="37"/>
      <c r="Y3101" s="4"/>
      <c r="Z3101"/>
      <c r="AA3101"/>
    </row>
    <row r="3102" spans="1:27" s="3" customFormat="1" x14ac:dyDescent="0.15">
      <c r="A3102" s="165"/>
      <c r="B3102" s="93"/>
      <c r="C3102" s="102"/>
      <c r="D3102" s="70"/>
      <c r="E3102" s="70"/>
      <c r="F3102" s="102"/>
      <c r="G3102" s="102"/>
      <c r="H3102" s="85"/>
      <c r="I3102" s="104"/>
      <c r="J3102" s="144"/>
      <c r="K3102" s="62"/>
      <c r="L3102" s="49"/>
      <c r="M3102" s="37"/>
      <c r="N3102" s="37"/>
      <c r="O3102" s="37"/>
      <c r="Y3102" s="4"/>
      <c r="Z3102"/>
      <c r="AA3102"/>
    </row>
    <row r="3103" spans="1:27" s="37" customFormat="1" x14ac:dyDescent="0.15">
      <c r="A3103" s="166"/>
      <c r="B3103" s="82"/>
      <c r="C3103" s="70"/>
      <c r="D3103" s="70"/>
      <c r="E3103" s="70"/>
      <c r="F3103" s="70"/>
      <c r="G3103" s="70"/>
      <c r="H3103" s="85"/>
      <c r="I3103" s="85"/>
      <c r="J3103" s="131"/>
      <c r="K3103" s="61"/>
      <c r="L3103" s="33"/>
      <c r="P3103" s="3"/>
      <c r="Q3103" s="3"/>
      <c r="R3103" s="3"/>
      <c r="S3103" s="3"/>
      <c r="T3103" s="3"/>
      <c r="U3103" s="3"/>
      <c r="V3103" s="3"/>
      <c r="W3103" s="3"/>
      <c r="X3103" s="3"/>
      <c r="Y3103" s="4"/>
      <c r="Z3103"/>
      <c r="AA3103"/>
    </row>
    <row r="3104" spans="1:27" s="37" customFormat="1" x14ac:dyDescent="0.15">
      <c r="A3104" s="167"/>
      <c r="B3104" s="87"/>
      <c r="C3104" s="88"/>
      <c r="D3104" s="86"/>
      <c r="E3104" s="86"/>
      <c r="F3104" s="86"/>
      <c r="G3104" s="86"/>
      <c r="H3104" s="85"/>
      <c r="I3104" s="89"/>
      <c r="J3104" s="132"/>
      <c r="K3104" s="61"/>
      <c r="L3104" s="49"/>
      <c r="P3104" s="3"/>
      <c r="Q3104" s="3"/>
      <c r="R3104" s="3"/>
      <c r="S3104" s="3"/>
      <c r="T3104" s="3"/>
      <c r="U3104" s="3"/>
      <c r="V3104" s="3"/>
      <c r="W3104" s="3"/>
      <c r="X3104" s="3"/>
      <c r="Y3104" s="4"/>
      <c r="Z3104"/>
      <c r="AA3104"/>
    </row>
    <row r="3105" spans="1:27" s="37" customFormat="1" x14ac:dyDescent="0.15">
      <c r="A3105" s="167"/>
      <c r="B3105" s="87"/>
      <c r="C3105" s="88"/>
      <c r="D3105" s="86"/>
      <c r="E3105" s="86"/>
      <c r="F3105" s="86"/>
      <c r="G3105" s="86"/>
      <c r="H3105" s="85"/>
      <c r="I3105" s="89"/>
      <c r="J3105" s="132"/>
      <c r="K3105" s="61"/>
      <c r="L3105" s="49"/>
      <c r="P3105" s="3"/>
      <c r="Q3105" s="3"/>
      <c r="R3105" s="3"/>
      <c r="S3105" s="3"/>
      <c r="T3105" s="3"/>
      <c r="U3105" s="3"/>
      <c r="V3105" s="3"/>
      <c r="W3105" s="3"/>
      <c r="X3105" s="3"/>
      <c r="Y3105" s="4"/>
      <c r="Z3105"/>
      <c r="AA3105"/>
    </row>
    <row r="3106" spans="1:27" s="37" customFormat="1" x14ac:dyDescent="0.15">
      <c r="A3106" s="167"/>
      <c r="B3106" s="87"/>
      <c r="C3106" s="88"/>
      <c r="D3106" s="86"/>
      <c r="E3106" s="86"/>
      <c r="F3106" s="86"/>
      <c r="G3106" s="86"/>
      <c r="H3106" s="85"/>
      <c r="I3106" s="89"/>
      <c r="J3106" s="132"/>
      <c r="K3106" s="61"/>
      <c r="L3106" s="49"/>
      <c r="P3106" s="3"/>
      <c r="Q3106" s="3"/>
      <c r="R3106" s="3"/>
      <c r="S3106" s="3"/>
      <c r="T3106" s="3"/>
      <c r="U3106" s="3"/>
      <c r="V3106" s="3"/>
      <c r="W3106" s="3"/>
      <c r="X3106" s="3"/>
      <c r="Y3106" s="4"/>
      <c r="Z3106"/>
      <c r="AA3106"/>
    </row>
    <row r="3107" spans="1:27" s="37" customFormat="1" x14ac:dyDescent="0.15">
      <c r="A3107" s="167"/>
      <c r="B3107" s="87"/>
      <c r="C3107" s="88"/>
      <c r="D3107" s="86"/>
      <c r="E3107" s="86"/>
      <c r="F3107" s="86"/>
      <c r="G3107" s="86"/>
      <c r="H3107" s="85"/>
      <c r="I3107" s="89"/>
      <c r="J3107" s="132"/>
      <c r="K3107" s="61"/>
      <c r="L3107" s="49"/>
      <c r="P3107" s="3"/>
      <c r="Q3107" s="3"/>
      <c r="R3107" s="3"/>
      <c r="S3107" s="3"/>
      <c r="T3107" s="3"/>
      <c r="U3107" s="3"/>
      <c r="V3107" s="3"/>
      <c r="W3107" s="3"/>
      <c r="X3107" s="3"/>
      <c r="Y3107" s="4"/>
      <c r="Z3107"/>
      <c r="AA3107"/>
    </row>
    <row r="3108" spans="1:27" s="37" customFormat="1" x14ac:dyDescent="0.15">
      <c r="A3108" s="167"/>
      <c r="B3108" s="87"/>
      <c r="C3108" s="88"/>
      <c r="D3108" s="86"/>
      <c r="E3108" s="86"/>
      <c r="F3108" s="86"/>
      <c r="G3108" s="86"/>
      <c r="H3108" s="85"/>
      <c r="I3108" s="89"/>
      <c r="J3108" s="132"/>
      <c r="K3108" s="61"/>
      <c r="L3108" s="49"/>
      <c r="P3108" s="3"/>
      <c r="Q3108" s="3"/>
      <c r="R3108" s="3"/>
      <c r="S3108" s="3"/>
      <c r="T3108" s="3"/>
      <c r="U3108" s="3"/>
      <c r="V3108" s="3"/>
      <c r="W3108" s="3"/>
      <c r="X3108" s="3"/>
      <c r="Y3108" s="4"/>
      <c r="Z3108"/>
      <c r="AA3108"/>
    </row>
    <row r="3109" spans="1:27" s="37" customFormat="1" x14ac:dyDescent="0.15">
      <c r="A3109" s="167"/>
      <c r="B3109" s="87"/>
      <c r="C3109" s="88"/>
      <c r="D3109" s="86"/>
      <c r="E3109" s="86"/>
      <c r="F3109" s="86"/>
      <c r="G3109" s="86"/>
      <c r="H3109" s="85"/>
      <c r="I3109" s="89"/>
      <c r="J3109" s="132"/>
      <c r="K3109" s="61"/>
      <c r="L3109" s="49"/>
      <c r="P3109" s="3"/>
      <c r="Q3109" s="3"/>
      <c r="R3109" s="3"/>
      <c r="S3109" s="3"/>
      <c r="T3109" s="3"/>
      <c r="U3109" s="3"/>
      <c r="V3109" s="3"/>
      <c r="W3109" s="3"/>
      <c r="X3109" s="3"/>
      <c r="Y3109" s="4"/>
      <c r="Z3109"/>
      <c r="AA3109"/>
    </row>
    <row r="3110" spans="1:27" s="37" customFormat="1" x14ac:dyDescent="0.15">
      <c r="A3110" s="167"/>
      <c r="B3110" s="87"/>
      <c r="C3110" s="88"/>
      <c r="D3110" s="86"/>
      <c r="E3110" s="86"/>
      <c r="F3110" s="86"/>
      <c r="G3110" s="86"/>
      <c r="H3110" s="85"/>
      <c r="I3110" s="89"/>
      <c r="J3110" s="132"/>
      <c r="K3110" s="61"/>
      <c r="L3110" s="49"/>
      <c r="P3110" s="3"/>
      <c r="Q3110" s="3"/>
      <c r="R3110" s="3"/>
      <c r="S3110" s="3"/>
      <c r="T3110" s="3"/>
      <c r="U3110" s="3"/>
      <c r="V3110" s="3"/>
      <c r="W3110" s="3"/>
      <c r="X3110" s="3"/>
      <c r="Y3110" s="4"/>
      <c r="Z3110"/>
      <c r="AA3110"/>
    </row>
    <row r="3111" spans="1:27" s="37" customFormat="1" x14ac:dyDescent="0.15">
      <c r="A3111" s="167"/>
      <c r="B3111" s="87"/>
      <c r="C3111" s="88"/>
      <c r="D3111" s="86"/>
      <c r="E3111" s="86"/>
      <c r="F3111" s="86"/>
      <c r="G3111" s="86"/>
      <c r="H3111" s="85"/>
      <c r="I3111" s="89"/>
      <c r="J3111" s="132"/>
      <c r="K3111" s="61"/>
      <c r="L3111" s="49"/>
      <c r="P3111" s="3"/>
      <c r="Q3111" s="3"/>
      <c r="R3111" s="3"/>
      <c r="S3111" s="3"/>
      <c r="T3111" s="3"/>
      <c r="U3111" s="3"/>
      <c r="V3111" s="3"/>
      <c r="W3111" s="3"/>
      <c r="X3111" s="3"/>
      <c r="Y3111" s="4"/>
      <c r="Z3111"/>
      <c r="AA3111"/>
    </row>
    <row r="3112" spans="1:27" s="37" customFormat="1" x14ac:dyDescent="0.15">
      <c r="A3112" s="167"/>
      <c r="B3112" s="87"/>
      <c r="C3112" s="88"/>
      <c r="D3112" s="86"/>
      <c r="E3112" s="86"/>
      <c r="F3112" s="86"/>
      <c r="G3112" s="86"/>
      <c r="H3112" s="85"/>
      <c r="I3112" s="89"/>
      <c r="J3112" s="132"/>
      <c r="K3112" s="61"/>
      <c r="L3112" s="49"/>
      <c r="P3112" s="3"/>
      <c r="Q3112" s="3"/>
      <c r="R3112" s="3"/>
      <c r="S3112" s="3"/>
      <c r="T3112" s="3"/>
      <c r="U3112" s="3"/>
      <c r="V3112" s="3"/>
      <c r="W3112" s="3"/>
      <c r="X3112" s="3"/>
      <c r="Y3112" s="4"/>
      <c r="Z3112"/>
      <c r="AA3112"/>
    </row>
    <row r="3113" spans="1:27" s="37" customFormat="1" x14ac:dyDescent="0.15">
      <c r="A3113" s="167"/>
      <c r="B3113" s="87"/>
      <c r="C3113" s="88"/>
      <c r="D3113" s="86"/>
      <c r="E3113" s="86"/>
      <c r="F3113" s="86"/>
      <c r="G3113" s="86"/>
      <c r="H3113" s="85"/>
      <c r="I3113" s="89"/>
      <c r="J3113" s="132"/>
      <c r="K3113" s="61"/>
      <c r="L3113" s="49"/>
      <c r="P3113" s="3"/>
      <c r="Q3113" s="3"/>
      <c r="R3113" s="3"/>
      <c r="S3113" s="3"/>
      <c r="T3113" s="3"/>
      <c r="U3113" s="3"/>
      <c r="V3113" s="3"/>
      <c r="W3113" s="3"/>
      <c r="X3113" s="3"/>
      <c r="Y3113" s="4"/>
      <c r="Z3113"/>
      <c r="AA3113"/>
    </row>
    <row r="3114" spans="1:27" s="37" customFormat="1" x14ac:dyDescent="0.15">
      <c r="A3114" s="167"/>
      <c r="B3114" s="87"/>
      <c r="C3114" s="88"/>
      <c r="D3114" s="86"/>
      <c r="E3114" s="86"/>
      <c r="F3114" s="86"/>
      <c r="G3114" s="86"/>
      <c r="H3114" s="85"/>
      <c r="I3114" s="89"/>
      <c r="J3114" s="132"/>
      <c r="K3114" s="61"/>
      <c r="L3114" s="49"/>
      <c r="P3114" s="3"/>
      <c r="Q3114" s="3"/>
      <c r="R3114" s="3"/>
      <c r="S3114" s="3"/>
      <c r="T3114" s="3"/>
      <c r="U3114" s="3"/>
      <c r="V3114" s="3"/>
      <c r="W3114" s="3"/>
      <c r="X3114" s="3"/>
      <c r="Y3114" s="4"/>
      <c r="Z3114"/>
      <c r="AA3114"/>
    </row>
    <row r="3115" spans="1:27" s="37" customFormat="1" x14ac:dyDescent="0.15">
      <c r="A3115" s="167"/>
      <c r="B3115" s="87"/>
      <c r="C3115" s="88"/>
      <c r="D3115" s="86"/>
      <c r="E3115" s="86"/>
      <c r="F3115" s="86"/>
      <c r="G3115" s="86"/>
      <c r="H3115" s="85"/>
      <c r="I3115" s="89"/>
      <c r="J3115" s="132"/>
      <c r="K3115" s="61"/>
      <c r="L3115" s="49"/>
      <c r="P3115" s="3"/>
      <c r="Q3115" s="3"/>
      <c r="R3115" s="3"/>
      <c r="S3115" s="3"/>
      <c r="T3115" s="3"/>
      <c r="U3115" s="3"/>
      <c r="V3115" s="3"/>
      <c r="W3115" s="3"/>
      <c r="X3115" s="3"/>
      <c r="Y3115" s="4"/>
      <c r="Z3115"/>
      <c r="AA3115"/>
    </row>
    <row r="3116" spans="1:27" s="37" customFormat="1" x14ac:dyDescent="0.15">
      <c r="A3116" s="167"/>
      <c r="B3116" s="87"/>
      <c r="C3116" s="88"/>
      <c r="D3116" s="86"/>
      <c r="E3116" s="86"/>
      <c r="F3116" s="86"/>
      <c r="G3116" s="86"/>
      <c r="H3116" s="85"/>
      <c r="I3116" s="89"/>
      <c r="J3116" s="132"/>
      <c r="K3116" s="61"/>
      <c r="L3116" s="49"/>
      <c r="P3116" s="3"/>
      <c r="Q3116" s="3"/>
      <c r="R3116" s="3"/>
      <c r="S3116" s="3"/>
      <c r="T3116" s="3"/>
      <c r="U3116" s="3"/>
      <c r="V3116" s="3"/>
      <c r="W3116" s="3"/>
      <c r="X3116" s="3"/>
      <c r="Y3116" s="4"/>
      <c r="Z3116"/>
      <c r="AA3116"/>
    </row>
    <row r="3117" spans="1:27" s="37" customFormat="1" x14ac:dyDescent="0.15">
      <c r="A3117" s="167"/>
      <c r="B3117" s="87"/>
      <c r="C3117" s="88"/>
      <c r="D3117" s="86"/>
      <c r="E3117" s="86"/>
      <c r="F3117" s="86"/>
      <c r="G3117" s="86"/>
      <c r="H3117" s="85"/>
      <c r="I3117" s="89"/>
      <c r="J3117" s="132"/>
      <c r="K3117" s="61"/>
      <c r="L3117" s="49"/>
      <c r="P3117" s="3"/>
      <c r="Q3117" s="3"/>
      <c r="R3117" s="3"/>
      <c r="S3117" s="3"/>
      <c r="T3117" s="3"/>
      <c r="U3117" s="3"/>
      <c r="V3117" s="3"/>
      <c r="W3117" s="3"/>
      <c r="X3117" s="3"/>
      <c r="Y3117" s="4"/>
      <c r="Z3117"/>
      <c r="AA3117"/>
    </row>
    <row r="3118" spans="1:27" s="37" customFormat="1" x14ac:dyDescent="0.15">
      <c r="A3118" s="167"/>
      <c r="B3118" s="87"/>
      <c r="C3118" s="88"/>
      <c r="D3118" s="86"/>
      <c r="E3118" s="86"/>
      <c r="F3118" s="86"/>
      <c r="G3118" s="86"/>
      <c r="H3118" s="85"/>
      <c r="I3118" s="89"/>
      <c r="J3118" s="132"/>
      <c r="K3118" s="62"/>
      <c r="L3118" s="49"/>
      <c r="P3118" s="3"/>
      <c r="Q3118" s="3"/>
      <c r="R3118" s="3"/>
      <c r="S3118" s="3"/>
      <c r="T3118" s="3"/>
      <c r="U3118" s="3"/>
      <c r="V3118" s="3"/>
      <c r="W3118" s="3"/>
      <c r="X3118" s="3"/>
      <c r="Y3118" s="4"/>
      <c r="Z3118"/>
      <c r="AA3118"/>
    </row>
    <row r="3119" spans="1:27" s="37" customFormat="1" x14ac:dyDescent="0.15">
      <c r="A3119" s="167"/>
      <c r="B3119" s="87"/>
      <c r="C3119" s="88"/>
      <c r="D3119" s="86"/>
      <c r="E3119" s="86"/>
      <c r="F3119" s="86"/>
      <c r="G3119" s="86"/>
      <c r="H3119" s="85"/>
      <c r="I3119" s="89"/>
      <c r="J3119" s="132"/>
      <c r="K3119" s="62"/>
      <c r="L3119" s="49"/>
      <c r="P3119" s="3"/>
      <c r="Q3119" s="3"/>
      <c r="R3119" s="3"/>
      <c r="S3119" s="3"/>
      <c r="T3119" s="3"/>
      <c r="U3119" s="3"/>
      <c r="V3119" s="3"/>
      <c r="W3119" s="3"/>
      <c r="X3119" s="3"/>
      <c r="Y3119" s="4"/>
      <c r="Z3119"/>
      <c r="AA3119"/>
    </row>
    <row r="3120" spans="1:27" s="37" customFormat="1" x14ac:dyDescent="0.15">
      <c r="A3120" s="167"/>
      <c r="B3120" s="87"/>
      <c r="C3120" s="88"/>
      <c r="D3120" s="86"/>
      <c r="E3120" s="86"/>
      <c r="F3120" s="86"/>
      <c r="G3120" s="86"/>
      <c r="H3120" s="85"/>
      <c r="I3120" s="89"/>
      <c r="J3120" s="132"/>
      <c r="K3120" s="62"/>
      <c r="L3120" s="49"/>
      <c r="P3120" s="3"/>
      <c r="Q3120" s="3"/>
      <c r="R3120" s="3"/>
      <c r="S3120" s="3"/>
      <c r="T3120" s="3"/>
      <c r="U3120" s="3"/>
      <c r="V3120" s="3"/>
      <c r="W3120" s="3"/>
      <c r="X3120" s="3"/>
      <c r="Y3120" s="4"/>
      <c r="Z3120"/>
      <c r="AA3120"/>
    </row>
    <row r="3121" spans="1:27" s="37" customFormat="1" x14ac:dyDescent="0.15">
      <c r="A3121" s="167"/>
      <c r="B3121" s="87"/>
      <c r="C3121" s="88"/>
      <c r="D3121" s="86"/>
      <c r="E3121" s="86"/>
      <c r="F3121" s="86"/>
      <c r="G3121" s="86"/>
      <c r="H3121" s="85"/>
      <c r="I3121" s="89"/>
      <c r="J3121" s="132"/>
      <c r="K3121" s="62"/>
      <c r="L3121" s="49"/>
      <c r="P3121" s="3"/>
      <c r="Q3121" s="3"/>
      <c r="R3121" s="3"/>
      <c r="S3121" s="3"/>
      <c r="T3121" s="3"/>
      <c r="U3121" s="3"/>
      <c r="V3121" s="3"/>
      <c r="W3121" s="3"/>
      <c r="X3121" s="3"/>
      <c r="Y3121" s="4"/>
      <c r="Z3121"/>
      <c r="AA3121"/>
    </row>
    <row r="3122" spans="1:27" s="37" customFormat="1" x14ac:dyDescent="0.15">
      <c r="A3122" s="167"/>
      <c r="B3122" s="87"/>
      <c r="C3122" s="88"/>
      <c r="D3122" s="86"/>
      <c r="E3122" s="86"/>
      <c r="F3122" s="86"/>
      <c r="G3122" s="86"/>
      <c r="H3122" s="85"/>
      <c r="I3122" s="89"/>
      <c r="J3122" s="132"/>
      <c r="K3122" s="62"/>
      <c r="L3122" s="49"/>
      <c r="P3122" s="3"/>
      <c r="Q3122" s="3"/>
      <c r="R3122" s="3"/>
      <c r="S3122" s="3"/>
      <c r="T3122" s="3"/>
      <c r="U3122" s="3"/>
      <c r="V3122" s="3"/>
      <c r="W3122" s="3"/>
      <c r="X3122" s="3"/>
      <c r="Y3122" s="4"/>
      <c r="Z3122"/>
      <c r="AA3122"/>
    </row>
    <row r="3123" spans="1:27" s="37" customFormat="1" x14ac:dyDescent="0.15">
      <c r="A3123" s="167"/>
      <c r="B3123" s="87"/>
      <c r="C3123" s="88"/>
      <c r="D3123" s="86"/>
      <c r="E3123" s="86"/>
      <c r="F3123" s="86"/>
      <c r="G3123" s="86"/>
      <c r="H3123" s="85"/>
      <c r="I3123" s="89"/>
      <c r="J3123" s="132"/>
      <c r="K3123" s="61"/>
      <c r="L3123" s="49"/>
      <c r="P3123" s="3"/>
      <c r="Q3123" s="3"/>
      <c r="R3123" s="3"/>
      <c r="S3123" s="3"/>
      <c r="T3123" s="3"/>
      <c r="U3123" s="3"/>
      <c r="V3123" s="3"/>
      <c r="W3123" s="3"/>
      <c r="X3123" s="3"/>
      <c r="Y3123" s="4"/>
      <c r="Z3123"/>
      <c r="AA3123"/>
    </row>
    <row r="3124" spans="1:27" s="37" customFormat="1" x14ac:dyDescent="0.15">
      <c r="A3124" s="167"/>
      <c r="B3124" s="87"/>
      <c r="C3124" s="88"/>
      <c r="D3124" s="86"/>
      <c r="E3124" s="86"/>
      <c r="F3124" s="86"/>
      <c r="G3124" s="86"/>
      <c r="H3124" s="85"/>
      <c r="I3124" s="89"/>
      <c r="J3124" s="132"/>
      <c r="K3124" s="61"/>
      <c r="L3124" s="49"/>
      <c r="P3124" s="3"/>
      <c r="Q3124" s="3"/>
      <c r="R3124" s="3"/>
      <c r="S3124" s="3"/>
      <c r="T3124" s="3"/>
      <c r="U3124" s="3"/>
      <c r="V3124" s="3"/>
      <c r="W3124" s="3"/>
      <c r="X3124" s="3"/>
      <c r="Y3124" s="4"/>
      <c r="Z3124"/>
      <c r="AA3124"/>
    </row>
    <row r="3125" spans="1:27" s="37" customFormat="1" x14ac:dyDescent="0.15">
      <c r="A3125" s="167"/>
      <c r="B3125" s="87"/>
      <c r="C3125" s="88"/>
      <c r="D3125" s="86"/>
      <c r="E3125" s="86"/>
      <c r="F3125" s="86"/>
      <c r="G3125" s="86"/>
      <c r="H3125" s="85"/>
      <c r="I3125" s="89"/>
      <c r="J3125" s="132"/>
      <c r="K3125" s="62"/>
      <c r="L3125" s="49"/>
      <c r="P3125" s="3"/>
      <c r="Q3125" s="3"/>
      <c r="R3125" s="3"/>
      <c r="S3125" s="3"/>
      <c r="T3125" s="3"/>
      <c r="U3125" s="3"/>
      <c r="V3125" s="3"/>
      <c r="W3125" s="3"/>
      <c r="X3125" s="3"/>
      <c r="Y3125" s="4"/>
      <c r="Z3125"/>
      <c r="AA3125"/>
    </row>
    <row r="3126" spans="1:27" s="37" customFormat="1" x14ac:dyDescent="0.15">
      <c r="A3126" s="166"/>
      <c r="B3126" s="82"/>
      <c r="C3126" s="70"/>
      <c r="D3126" s="70"/>
      <c r="E3126" s="70"/>
      <c r="F3126" s="70"/>
      <c r="G3126" s="70"/>
      <c r="H3126" s="85"/>
      <c r="I3126" s="85"/>
      <c r="J3126" s="131"/>
      <c r="K3126" s="60"/>
      <c r="L3126" s="49"/>
      <c r="P3126" s="3"/>
      <c r="Q3126" s="3"/>
      <c r="R3126" s="3"/>
      <c r="S3126" s="3"/>
      <c r="T3126" s="3"/>
      <c r="U3126" s="3"/>
      <c r="V3126" s="3"/>
      <c r="W3126" s="3"/>
      <c r="X3126" s="3"/>
      <c r="Y3126" s="4"/>
      <c r="Z3126"/>
      <c r="AA3126"/>
    </row>
    <row r="3127" spans="1:27" s="37" customFormat="1" x14ac:dyDescent="0.15">
      <c r="A3127" s="166"/>
      <c r="B3127" s="82"/>
      <c r="C3127" s="70"/>
      <c r="D3127" s="70"/>
      <c r="E3127" s="70"/>
      <c r="F3127" s="70"/>
      <c r="G3127" s="70"/>
      <c r="H3127" s="85"/>
      <c r="I3127" s="85"/>
      <c r="J3127" s="131"/>
      <c r="K3127" s="60"/>
      <c r="L3127" s="49"/>
      <c r="P3127" s="3"/>
      <c r="Q3127" s="3"/>
      <c r="R3127" s="3"/>
      <c r="S3127" s="3"/>
      <c r="T3127" s="3"/>
      <c r="U3127" s="3"/>
      <c r="V3127" s="3"/>
      <c r="W3127" s="3"/>
      <c r="X3127" s="3"/>
      <c r="Y3127" s="4"/>
      <c r="Z3127"/>
      <c r="AA3127"/>
    </row>
    <row r="3128" spans="1:27" s="37" customFormat="1" x14ac:dyDescent="0.15">
      <c r="A3128" s="166"/>
      <c r="B3128" s="82"/>
      <c r="C3128" s="70"/>
      <c r="D3128" s="70"/>
      <c r="E3128" s="70"/>
      <c r="F3128" s="70"/>
      <c r="G3128" s="70"/>
      <c r="H3128" s="85"/>
      <c r="I3128" s="85"/>
      <c r="J3128" s="131"/>
      <c r="K3128" s="60"/>
      <c r="L3128" s="49"/>
      <c r="P3128" s="3"/>
      <c r="Q3128" s="3"/>
      <c r="R3128" s="3"/>
      <c r="S3128" s="3"/>
      <c r="T3128" s="3"/>
      <c r="U3128" s="3"/>
      <c r="V3128" s="3"/>
      <c r="W3128" s="3"/>
      <c r="X3128" s="3"/>
      <c r="Y3128" s="4"/>
      <c r="Z3128"/>
      <c r="AA3128"/>
    </row>
    <row r="3129" spans="1:27" s="37" customFormat="1" x14ac:dyDescent="0.15">
      <c r="A3129" s="166"/>
      <c r="B3129" s="82"/>
      <c r="C3129" s="70"/>
      <c r="D3129" s="70"/>
      <c r="E3129" s="70"/>
      <c r="F3129" s="70"/>
      <c r="G3129" s="70"/>
      <c r="H3129" s="85"/>
      <c r="I3129" s="85"/>
      <c r="J3129" s="131"/>
      <c r="K3129" s="60"/>
      <c r="L3129" s="49"/>
      <c r="P3129" s="3"/>
      <c r="Q3129" s="3"/>
      <c r="R3129" s="3"/>
      <c r="S3129" s="3"/>
      <c r="T3129" s="3"/>
      <c r="U3129" s="3"/>
      <c r="V3129" s="3"/>
      <c r="W3129" s="3"/>
      <c r="X3129" s="3"/>
      <c r="Y3129" s="4"/>
      <c r="Z3129"/>
      <c r="AA3129"/>
    </row>
    <row r="3130" spans="1:27" s="37" customFormat="1" x14ac:dyDescent="0.15">
      <c r="A3130" s="166"/>
      <c r="B3130" s="82"/>
      <c r="C3130" s="70"/>
      <c r="D3130" s="70"/>
      <c r="E3130" s="70"/>
      <c r="F3130" s="70"/>
      <c r="G3130" s="70"/>
      <c r="H3130" s="85"/>
      <c r="I3130" s="85"/>
      <c r="J3130" s="131"/>
      <c r="K3130" s="60"/>
      <c r="L3130" s="49"/>
      <c r="P3130" s="3"/>
      <c r="Q3130" s="3"/>
      <c r="R3130" s="3"/>
      <c r="S3130" s="3"/>
      <c r="T3130" s="3"/>
      <c r="U3130" s="3"/>
      <c r="V3130" s="3"/>
      <c r="W3130" s="3"/>
      <c r="X3130" s="3"/>
      <c r="Y3130" s="4"/>
      <c r="Z3130"/>
      <c r="AA3130"/>
    </row>
    <row r="3131" spans="1:27" s="37" customFormat="1" x14ac:dyDescent="0.15">
      <c r="A3131" s="166"/>
      <c r="B3131" s="82"/>
      <c r="C3131" s="70"/>
      <c r="D3131" s="70"/>
      <c r="E3131" s="70"/>
      <c r="F3131" s="70"/>
      <c r="G3131" s="70"/>
      <c r="H3131" s="85"/>
      <c r="I3131" s="85"/>
      <c r="J3131" s="131"/>
      <c r="K3131" s="60"/>
      <c r="L3131" s="49"/>
      <c r="P3131" s="3"/>
      <c r="Q3131" s="3"/>
      <c r="R3131" s="3"/>
      <c r="S3131" s="3"/>
      <c r="T3131" s="3"/>
      <c r="U3131" s="3"/>
      <c r="V3131" s="3"/>
      <c r="W3131" s="3"/>
      <c r="X3131" s="3"/>
      <c r="Y3131" s="4"/>
      <c r="Z3131"/>
      <c r="AA3131"/>
    </row>
    <row r="3132" spans="1:27" s="37" customFormat="1" x14ac:dyDescent="0.15">
      <c r="A3132" s="166"/>
      <c r="B3132" s="82"/>
      <c r="C3132" s="70"/>
      <c r="D3132" s="70"/>
      <c r="E3132" s="70"/>
      <c r="F3132" s="70"/>
      <c r="G3132" s="70"/>
      <c r="H3132" s="85"/>
      <c r="I3132" s="85"/>
      <c r="J3132" s="131"/>
      <c r="K3132" s="63"/>
      <c r="L3132" s="49"/>
      <c r="P3132" s="3"/>
      <c r="Q3132" s="3"/>
      <c r="R3132" s="3"/>
      <c r="S3132" s="3"/>
      <c r="T3132" s="3"/>
      <c r="U3132" s="3"/>
      <c r="V3132" s="3"/>
      <c r="W3132" s="3"/>
      <c r="X3132" s="3"/>
      <c r="Y3132" s="4"/>
      <c r="Z3132"/>
      <c r="AA3132"/>
    </row>
    <row r="3133" spans="1:27" s="37" customFormat="1" x14ac:dyDescent="0.15">
      <c r="A3133" s="166"/>
      <c r="B3133" s="82"/>
      <c r="C3133" s="70"/>
      <c r="D3133" s="70"/>
      <c r="E3133" s="70"/>
      <c r="F3133" s="70"/>
      <c r="G3133" s="70"/>
      <c r="H3133" s="85"/>
      <c r="I3133" s="85"/>
      <c r="J3133" s="131"/>
      <c r="K3133" s="60"/>
      <c r="L3133" s="49"/>
      <c r="P3133" s="3"/>
      <c r="Q3133" s="3"/>
      <c r="R3133" s="3"/>
      <c r="S3133" s="3"/>
      <c r="T3133" s="3"/>
      <c r="U3133" s="3"/>
      <c r="V3133" s="3"/>
      <c r="W3133" s="3"/>
      <c r="X3133" s="3"/>
      <c r="Y3133" s="4"/>
      <c r="Z3133"/>
      <c r="AA3133"/>
    </row>
    <row r="3134" spans="1:27" s="37" customFormat="1" ht="16" x14ac:dyDescent="0.2">
      <c r="A3134" s="166"/>
      <c r="B3134" s="82"/>
      <c r="C3134" s="70"/>
      <c r="D3134" s="70"/>
      <c r="E3134" s="70"/>
      <c r="F3134" s="70"/>
      <c r="G3134" s="70"/>
      <c r="H3134" s="85"/>
      <c r="I3134" s="85"/>
      <c r="J3134" s="135"/>
      <c r="K3134" s="60"/>
      <c r="L3134" s="47"/>
      <c r="P3134" s="3"/>
      <c r="Q3134" s="3"/>
      <c r="R3134" s="3"/>
      <c r="S3134" s="3"/>
      <c r="T3134" s="3"/>
      <c r="U3134" s="3"/>
      <c r="V3134" s="3"/>
      <c r="W3134" s="3"/>
      <c r="X3134" s="3"/>
      <c r="Y3134" s="4"/>
      <c r="Z3134"/>
      <c r="AA3134"/>
    </row>
    <row r="3135" spans="1:27" x14ac:dyDescent="0.15">
      <c r="A3135" s="166"/>
      <c r="B3135" s="82"/>
      <c r="C3135" s="70"/>
      <c r="D3135" s="70"/>
      <c r="E3135" s="70"/>
      <c r="F3135" s="70"/>
      <c r="G3135" s="70"/>
      <c r="H3135" s="85"/>
      <c r="I3135" s="85"/>
      <c r="J3135" s="131"/>
      <c r="K3135" s="60"/>
    </row>
    <row r="3136" spans="1:27" ht="16" x14ac:dyDescent="0.2">
      <c r="A3136" s="166"/>
      <c r="B3136" s="82"/>
      <c r="C3136" s="70"/>
      <c r="D3136" s="70"/>
      <c r="E3136" s="70"/>
      <c r="F3136" s="70"/>
      <c r="G3136" s="70"/>
      <c r="H3136" s="85"/>
      <c r="I3136" s="85"/>
      <c r="J3136" s="131"/>
      <c r="K3136" s="60"/>
      <c r="L3136" s="47"/>
    </row>
    <row r="3137" spans="1:27" x14ac:dyDescent="0.15">
      <c r="A3137" s="166"/>
      <c r="B3137" s="82"/>
      <c r="C3137" s="70"/>
      <c r="D3137" s="70"/>
      <c r="E3137" s="70"/>
      <c r="F3137" s="70"/>
      <c r="G3137" s="70"/>
      <c r="H3137" s="85"/>
      <c r="I3137" s="85"/>
      <c r="J3137" s="131"/>
      <c r="K3137" s="60"/>
    </row>
    <row r="3138" spans="1:27" x14ac:dyDescent="0.15">
      <c r="A3138" s="166"/>
      <c r="B3138" s="82"/>
      <c r="C3138" s="70"/>
      <c r="D3138" s="70"/>
      <c r="E3138" s="70"/>
      <c r="F3138" s="70"/>
      <c r="G3138" s="70"/>
      <c r="H3138" s="85"/>
      <c r="I3138" s="85"/>
      <c r="J3138" s="131"/>
      <c r="K3138" s="60"/>
    </row>
    <row r="3139" spans="1:27" x14ac:dyDescent="0.15">
      <c r="A3139" s="166"/>
      <c r="B3139" s="82"/>
      <c r="C3139" s="70"/>
      <c r="D3139" s="70"/>
      <c r="E3139" s="70"/>
      <c r="F3139" s="70"/>
      <c r="G3139" s="70"/>
      <c r="H3139" s="85"/>
      <c r="I3139" s="85"/>
      <c r="J3139" s="131"/>
      <c r="K3139" s="60"/>
    </row>
    <row r="3140" spans="1:27" ht="16" x14ac:dyDescent="0.2">
      <c r="A3140" s="166"/>
      <c r="B3140" s="82"/>
      <c r="C3140" s="70"/>
      <c r="D3140" s="70"/>
      <c r="E3140" s="70"/>
      <c r="F3140" s="70"/>
      <c r="G3140" s="70"/>
      <c r="H3140" s="85"/>
      <c r="I3140" s="85"/>
      <c r="J3140" s="131"/>
      <c r="K3140" s="60"/>
      <c r="L3140" s="47"/>
    </row>
    <row r="3141" spans="1:27" x14ac:dyDescent="0.15">
      <c r="A3141" s="166"/>
      <c r="B3141" s="82"/>
      <c r="C3141" s="70"/>
      <c r="D3141" s="70"/>
      <c r="E3141" s="70"/>
      <c r="F3141" s="70"/>
      <c r="G3141" s="70"/>
      <c r="H3141" s="85"/>
      <c r="I3141" s="85"/>
      <c r="J3141" s="131"/>
      <c r="K3141" s="69"/>
      <c r="R3141"/>
      <c r="S3141"/>
      <c r="T3141"/>
      <c r="U3141"/>
      <c r="V3141"/>
      <c r="W3141"/>
      <c r="X3141"/>
      <c r="Y3141"/>
    </row>
    <row r="3142" spans="1:27" x14ac:dyDescent="0.15">
      <c r="A3142" s="166"/>
      <c r="B3142" s="82"/>
      <c r="C3142" s="70"/>
      <c r="D3142" s="70"/>
      <c r="E3142" s="70"/>
      <c r="F3142" s="70"/>
      <c r="G3142" s="70"/>
      <c r="H3142" s="85"/>
      <c r="I3142" s="85"/>
      <c r="J3142" s="131"/>
      <c r="K3142" s="69"/>
    </row>
    <row r="3143" spans="1:27" x14ac:dyDescent="0.15">
      <c r="A3143" s="166"/>
      <c r="B3143" s="82"/>
      <c r="C3143" s="70"/>
      <c r="D3143" s="70"/>
      <c r="E3143" s="70"/>
      <c r="F3143" s="70"/>
      <c r="G3143" s="70"/>
      <c r="H3143" s="85"/>
      <c r="I3143" s="85"/>
      <c r="J3143" s="131"/>
      <c r="K3143" s="60"/>
    </row>
    <row r="3144" spans="1:27" x14ac:dyDescent="0.15">
      <c r="A3144" s="166"/>
      <c r="B3144" s="82"/>
      <c r="C3144" s="70"/>
      <c r="D3144" s="70"/>
      <c r="E3144" s="70"/>
      <c r="F3144" s="70"/>
      <c r="G3144" s="70"/>
      <c r="H3144" s="85"/>
      <c r="I3144" s="85"/>
      <c r="J3144" s="131"/>
      <c r="K3144" s="69"/>
    </row>
    <row r="3145" spans="1:27" x14ac:dyDescent="0.15">
      <c r="A3145" s="166"/>
      <c r="B3145" s="82"/>
      <c r="C3145" s="70"/>
      <c r="D3145" s="70"/>
      <c r="E3145" s="70"/>
      <c r="F3145" s="70"/>
      <c r="G3145" s="70"/>
      <c r="H3145" s="85"/>
      <c r="I3145" s="85"/>
      <c r="J3145" s="131"/>
      <c r="K3145" s="60"/>
    </row>
    <row r="3146" spans="1:27" x14ac:dyDescent="0.15">
      <c r="A3146" s="166"/>
      <c r="B3146" s="82"/>
      <c r="C3146" s="70"/>
      <c r="D3146" s="70"/>
      <c r="E3146" s="70"/>
      <c r="F3146" s="70"/>
      <c r="G3146" s="70"/>
      <c r="H3146" s="85"/>
      <c r="I3146" s="85"/>
      <c r="J3146" s="131"/>
      <c r="K3146" s="60"/>
    </row>
    <row r="3147" spans="1:27" x14ac:dyDescent="0.15">
      <c r="A3147" s="166"/>
      <c r="B3147" s="82"/>
      <c r="C3147" s="70"/>
      <c r="D3147" s="70"/>
      <c r="E3147" s="70"/>
      <c r="F3147" s="70"/>
      <c r="G3147" s="70"/>
      <c r="H3147" s="85"/>
      <c r="I3147" s="85"/>
      <c r="J3147" s="131"/>
      <c r="K3147" s="60"/>
    </row>
    <row r="3148" spans="1:27" x14ac:dyDescent="0.15">
      <c r="A3148" s="166"/>
      <c r="B3148" s="82"/>
      <c r="C3148" s="70"/>
      <c r="D3148" s="70"/>
      <c r="E3148" s="70"/>
      <c r="F3148" s="70"/>
      <c r="G3148" s="70"/>
      <c r="H3148" s="85"/>
      <c r="I3148" s="85"/>
      <c r="J3148" s="131"/>
      <c r="K3148" s="60"/>
    </row>
    <row r="3149" spans="1:27" ht="16" x14ac:dyDescent="0.2">
      <c r="A3149" s="166"/>
      <c r="B3149" s="82"/>
      <c r="C3149" s="70"/>
      <c r="D3149" s="70"/>
      <c r="E3149" s="70"/>
      <c r="F3149" s="70"/>
      <c r="G3149" s="70"/>
      <c r="H3149" s="85"/>
      <c r="I3149" s="85"/>
      <c r="J3149" s="131"/>
      <c r="K3149" s="60"/>
      <c r="L3149" s="47"/>
    </row>
    <row r="3150" spans="1:27" x14ac:dyDescent="0.15">
      <c r="A3150" s="166"/>
      <c r="B3150" s="93"/>
      <c r="C3150" s="70"/>
      <c r="D3150" s="70"/>
      <c r="E3150" s="70"/>
      <c r="F3150" s="70"/>
      <c r="G3150" s="70"/>
      <c r="H3150" s="85"/>
      <c r="I3150" s="85"/>
      <c r="J3150" s="131"/>
      <c r="K3150" s="60"/>
    </row>
    <row r="3151" spans="1:27" s="37" customFormat="1" x14ac:dyDescent="0.15">
      <c r="A3151" s="166"/>
      <c r="B3151" s="82"/>
      <c r="C3151" s="70"/>
      <c r="D3151" s="70"/>
      <c r="E3151" s="70"/>
      <c r="F3151" s="70"/>
      <c r="G3151" s="70"/>
      <c r="H3151" s="85"/>
      <c r="I3151" s="85"/>
      <c r="J3151" s="131"/>
      <c r="K3151" s="60"/>
      <c r="L3151" s="49"/>
      <c r="P3151" s="3"/>
      <c r="Q3151" s="3"/>
      <c r="R3151" s="3"/>
      <c r="S3151" s="3"/>
      <c r="T3151" s="3"/>
      <c r="U3151" s="3"/>
      <c r="V3151" s="3"/>
      <c r="W3151" s="3"/>
      <c r="X3151" s="3"/>
      <c r="Y3151" s="4"/>
      <c r="Z3151"/>
      <c r="AA3151"/>
    </row>
    <row r="3152" spans="1:27" s="37" customFormat="1" ht="16" x14ac:dyDescent="0.2">
      <c r="A3152" s="166"/>
      <c r="B3152" s="82"/>
      <c r="C3152" s="70"/>
      <c r="D3152" s="70"/>
      <c r="E3152" s="70"/>
      <c r="F3152" s="70"/>
      <c r="G3152" s="70"/>
      <c r="H3152" s="85"/>
      <c r="I3152" s="85"/>
      <c r="J3152" s="134"/>
      <c r="K3152" s="63"/>
      <c r="L3152" s="47"/>
      <c r="P3152" s="3"/>
      <c r="Q3152" s="3"/>
      <c r="R3152" s="3"/>
      <c r="S3152" s="3"/>
      <c r="T3152" s="3"/>
      <c r="U3152" s="3"/>
      <c r="V3152" s="3"/>
      <c r="W3152" s="3"/>
      <c r="X3152" s="3"/>
      <c r="Y3152" s="4"/>
      <c r="Z3152"/>
      <c r="AA3152"/>
    </row>
    <row r="3153" spans="1:27" s="37" customFormat="1" x14ac:dyDescent="0.15">
      <c r="A3153" s="166"/>
      <c r="B3153" s="93"/>
      <c r="C3153" s="70"/>
      <c r="D3153" s="70"/>
      <c r="E3153" s="70"/>
      <c r="F3153" s="70"/>
      <c r="G3153" s="70"/>
      <c r="H3153" s="85"/>
      <c r="I3153" s="98"/>
      <c r="J3153" s="131"/>
      <c r="K3153" s="70"/>
      <c r="L3153" s="35"/>
      <c r="P3153" s="3"/>
      <c r="Q3153" s="3"/>
      <c r="R3153" s="3"/>
      <c r="S3153" s="3"/>
      <c r="T3153" s="3"/>
      <c r="U3153" s="3"/>
      <c r="V3153" s="3"/>
      <c r="W3153" s="3"/>
      <c r="X3153" s="3"/>
      <c r="Y3153" s="4"/>
      <c r="Z3153"/>
      <c r="AA3153"/>
    </row>
    <row r="3154" spans="1:27" s="37" customFormat="1" x14ac:dyDescent="0.15">
      <c r="A3154" s="166"/>
      <c r="B3154" s="93"/>
      <c r="C3154" s="70"/>
      <c r="D3154" s="70"/>
      <c r="E3154" s="70"/>
      <c r="F3154" s="70"/>
      <c r="G3154" s="70"/>
      <c r="H3154" s="85"/>
      <c r="I3154" s="98"/>
      <c r="J3154" s="131"/>
      <c r="K3154" s="70"/>
      <c r="L3154" s="35"/>
      <c r="P3154" s="3"/>
      <c r="Q3154" s="3"/>
      <c r="R3154" s="3"/>
      <c r="S3154" s="3"/>
      <c r="T3154" s="3"/>
      <c r="U3154" s="3"/>
      <c r="V3154" s="3"/>
      <c r="W3154" s="3"/>
      <c r="X3154" s="3"/>
      <c r="Y3154" s="4"/>
      <c r="Z3154"/>
      <c r="AA3154"/>
    </row>
    <row r="3155" spans="1:27" s="37" customFormat="1" x14ac:dyDescent="0.15">
      <c r="A3155" s="166"/>
      <c r="B3155" s="93"/>
      <c r="C3155" s="70"/>
      <c r="D3155" s="70"/>
      <c r="E3155" s="70"/>
      <c r="F3155" s="70"/>
      <c r="G3155" s="70"/>
      <c r="H3155" s="85"/>
      <c r="I3155" s="98"/>
      <c r="J3155" s="131"/>
      <c r="K3155" s="70"/>
      <c r="L3155" s="35"/>
      <c r="P3155" s="3"/>
      <c r="Q3155" s="3"/>
      <c r="R3155" s="3"/>
      <c r="S3155" s="3"/>
      <c r="T3155" s="3"/>
      <c r="U3155" s="3"/>
      <c r="V3155" s="3"/>
      <c r="W3155" s="3"/>
      <c r="X3155" s="3"/>
      <c r="Y3155" s="4"/>
      <c r="Z3155"/>
      <c r="AA3155"/>
    </row>
    <row r="3156" spans="1:27" s="37" customFormat="1" x14ac:dyDescent="0.15">
      <c r="A3156" s="166"/>
      <c r="B3156" s="93"/>
      <c r="C3156" s="70"/>
      <c r="D3156" s="70"/>
      <c r="E3156" s="70"/>
      <c r="F3156" s="70"/>
      <c r="G3156" s="70"/>
      <c r="H3156" s="85"/>
      <c r="I3156" s="98"/>
      <c r="J3156" s="131"/>
      <c r="K3156" s="70"/>
      <c r="L3156" s="35"/>
      <c r="P3156" s="3"/>
      <c r="Q3156" s="3"/>
      <c r="R3156" s="3"/>
      <c r="S3156" s="3"/>
      <c r="T3156" s="3"/>
      <c r="U3156" s="3"/>
      <c r="V3156" s="3"/>
      <c r="W3156" s="3"/>
      <c r="X3156" s="3"/>
      <c r="Y3156" s="4"/>
      <c r="Z3156"/>
      <c r="AA3156"/>
    </row>
    <row r="3157" spans="1:27" s="37" customFormat="1" x14ac:dyDescent="0.15">
      <c r="A3157" s="166"/>
      <c r="B3157" s="93"/>
      <c r="C3157" s="70"/>
      <c r="D3157" s="70"/>
      <c r="E3157" s="70"/>
      <c r="F3157" s="70"/>
      <c r="G3157" s="70"/>
      <c r="H3157" s="85"/>
      <c r="I3157" s="98"/>
      <c r="J3157" s="131"/>
      <c r="K3157" s="73"/>
      <c r="L3157" s="35"/>
      <c r="P3157" s="3"/>
      <c r="Q3157" s="3"/>
      <c r="R3157" s="3"/>
      <c r="S3157" s="3"/>
      <c r="T3157" s="3"/>
      <c r="U3157" s="3"/>
      <c r="V3157" s="3"/>
      <c r="W3157" s="3"/>
      <c r="X3157" s="3"/>
      <c r="Y3157" s="4"/>
      <c r="Z3157"/>
      <c r="AA3157"/>
    </row>
    <row r="3158" spans="1:27" s="37" customFormat="1" ht="16" x14ac:dyDescent="0.2">
      <c r="A3158" s="166"/>
      <c r="B3158" s="93"/>
      <c r="C3158" s="70"/>
      <c r="D3158" s="70"/>
      <c r="E3158" s="70"/>
      <c r="F3158" s="70"/>
      <c r="G3158" s="70"/>
      <c r="H3158" s="85"/>
      <c r="I3158" s="98"/>
      <c r="J3158" s="131"/>
      <c r="K3158" s="70"/>
      <c r="L3158" s="35"/>
      <c r="M3158" s="48"/>
      <c r="P3158" s="3"/>
      <c r="Q3158" s="3"/>
      <c r="R3158" s="3"/>
      <c r="S3158" s="3"/>
      <c r="T3158" s="3"/>
      <c r="U3158" s="3"/>
      <c r="V3158" s="3"/>
      <c r="W3158" s="3"/>
      <c r="X3158" s="3"/>
      <c r="Y3158" s="4"/>
      <c r="Z3158"/>
      <c r="AA3158"/>
    </row>
    <row r="3159" spans="1:27" s="37" customFormat="1" x14ac:dyDescent="0.15">
      <c r="A3159" s="166"/>
      <c r="B3159" s="93"/>
      <c r="C3159" s="70"/>
      <c r="D3159" s="70"/>
      <c r="E3159" s="70"/>
      <c r="F3159" s="70"/>
      <c r="G3159" s="70"/>
      <c r="H3159" s="85"/>
      <c r="I3159" s="98"/>
      <c r="J3159" s="131"/>
      <c r="K3159" s="70"/>
      <c r="L3159" s="35"/>
      <c r="P3159" s="3"/>
      <c r="Q3159" s="3"/>
      <c r="R3159" s="3"/>
      <c r="S3159" s="3"/>
      <c r="T3159" s="3"/>
      <c r="U3159" s="3"/>
      <c r="V3159" s="3"/>
      <c r="W3159" s="3"/>
      <c r="X3159" s="3"/>
      <c r="Y3159" s="4"/>
      <c r="Z3159"/>
      <c r="AA3159"/>
    </row>
    <row r="3160" spans="1:27" s="37" customFormat="1" x14ac:dyDescent="0.15">
      <c r="A3160" s="166"/>
      <c r="B3160" s="93"/>
      <c r="C3160" s="88"/>
      <c r="D3160" s="70"/>
      <c r="E3160" s="70"/>
      <c r="F3160" s="70"/>
      <c r="G3160" s="70"/>
      <c r="H3160" s="85"/>
      <c r="I3160" s="98"/>
      <c r="J3160" s="131"/>
      <c r="K3160" s="61"/>
      <c r="L3160" s="35"/>
      <c r="P3160" s="3"/>
      <c r="Q3160" s="3"/>
      <c r="R3160" s="3"/>
      <c r="S3160" s="3"/>
      <c r="T3160" s="3"/>
      <c r="U3160" s="3"/>
      <c r="V3160" s="3"/>
      <c r="W3160" s="3"/>
      <c r="X3160" s="3"/>
      <c r="Y3160" s="4"/>
      <c r="Z3160"/>
      <c r="AA3160"/>
    </row>
    <row r="3161" spans="1:27" s="37" customFormat="1" x14ac:dyDescent="0.15">
      <c r="A3161" s="166"/>
      <c r="B3161" s="93"/>
      <c r="C3161" s="70"/>
      <c r="D3161" s="70"/>
      <c r="E3161" s="70"/>
      <c r="F3161" s="70"/>
      <c r="G3161" s="70"/>
      <c r="H3161" s="85"/>
      <c r="I3161" s="85"/>
      <c r="J3161" s="131"/>
      <c r="K3161" s="61"/>
      <c r="P3161" s="3"/>
      <c r="Q3161" s="3"/>
      <c r="R3161" s="3"/>
      <c r="S3161" s="3"/>
      <c r="T3161" s="3"/>
      <c r="U3161" s="3"/>
      <c r="V3161" s="3"/>
      <c r="W3161" s="3"/>
      <c r="X3161" s="3"/>
      <c r="Y3161" s="4"/>
      <c r="Z3161"/>
      <c r="AA3161"/>
    </row>
    <row r="3162" spans="1:27" s="37" customFormat="1" x14ac:dyDescent="0.15">
      <c r="A3162" s="166"/>
      <c r="B3162" s="93"/>
      <c r="C3162" s="88"/>
      <c r="D3162" s="70"/>
      <c r="E3162" s="70"/>
      <c r="F3162" s="70"/>
      <c r="G3162" s="70"/>
      <c r="H3162" s="85"/>
      <c r="I3162" s="98"/>
      <c r="J3162" s="131"/>
      <c r="K3162" s="61"/>
      <c r="L3162" s="35"/>
      <c r="P3162" s="3"/>
      <c r="Q3162" s="3"/>
      <c r="R3162" s="3"/>
      <c r="S3162" s="3"/>
      <c r="T3162" s="3"/>
      <c r="U3162" s="3"/>
      <c r="V3162" s="3"/>
      <c r="W3162" s="3"/>
      <c r="X3162" s="3"/>
      <c r="Y3162" s="4"/>
      <c r="Z3162"/>
      <c r="AA3162"/>
    </row>
    <row r="3163" spans="1:27" s="37" customFormat="1" ht="16" x14ac:dyDescent="0.2">
      <c r="A3163" s="166"/>
      <c r="B3163" s="93"/>
      <c r="C3163" s="88"/>
      <c r="D3163" s="70"/>
      <c r="E3163" s="70"/>
      <c r="F3163" s="70"/>
      <c r="G3163" s="70"/>
      <c r="H3163" s="85"/>
      <c r="I3163" s="98"/>
      <c r="J3163" s="131"/>
      <c r="K3163" s="61"/>
      <c r="L3163" s="35"/>
      <c r="M3163" s="48"/>
      <c r="P3163" s="3"/>
      <c r="Q3163" s="3"/>
      <c r="R3163" s="3"/>
      <c r="S3163" s="3"/>
      <c r="T3163" s="3"/>
      <c r="U3163" s="3"/>
      <c r="V3163" s="3"/>
      <c r="W3163" s="3"/>
      <c r="X3163" s="3"/>
      <c r="Y3163" s="4"/>
      <c r="Z3163"/>
      <c r="AA3163"/>
    </row>
    <row r="3164" spans="1:27" s="37" customFormat="1" x14ac:dyDescent="0.15">
      <c r="A3164" s="166"/>
      <c r="B3164" s="93"/>
      <c r="C3164" s="88"/>
      <c r="D3164" s="70"/>
      <c r="E3164" s="70"/>
      <c r="F3164" s="70"/>
      <c r="G3164" s="70"/>
      <c r="H3164" s="85"/>
      <c r="I3164" s="98"/>
      <c r="J3164" s="131"/>
      <c r="K3164" s="61"/>
      <c r="L3164" s="35"/>
      <c r="P3164" s="3"/>
      <c r="Q3164" s="3"/>
      <c r="R3164" s="3"/>
      <c r="S3164" s="3"/>
      <c r="T3164" s="3"/>
      <c r="U3164" s="3"/>
      <c r="V3164" s="3"/>
      <c r="W3164" s="3"/>
      <c r="X3164" s="3"/>
      <c r="Y3164" s="4"/>
      <c r="Z3164"/>
      <c r="AA3164"/>
    </row>
    <row r="3165" spans="1:27" s="37" customFormat="1" x14ac:dyDescent="0.15">
      <c r="A3165" s="166"/>
      <c r="B3165" s="93"/>
      <c r="C3165" s="88"/>
      <c r="D3165" s="70"/>
      <c r="E3165" s="70"/>
      <c r="F3165" s="70"/>
      <c r="G3165" s="70"/>
      <c r="H3165" s="85"/>
      <c r="I3165" s="98"/>
      <c r="J3165" s="131"/>
      <c r="K3165" s="61"/>
      <c r="L3165" s="35"/>
      <c r="P3165" s="3"/>
      <c r="Q3165" s="3"/>
      <c r="R3165" s="3"/>
      <c r="S3165" s="3"/>
      <c r="T3165" s="3"/>
      <c r="U3165" s="3"/>
      <c r="V3165" s="3"/>
      <c r="W3165" s="3"/>
      <c r="X3165" s="3"/>
      <c r="Y3165" s="4"/>
      <c r="Z3165"/>
      <c r="AA3165"/>
    </row>
    <row r="3166" spans="1:27" s="37" customFormat="1" x14ac:dyDescent="0.15">
      <c r="A3166" s="166"/>
      <c r="B3166" s="93"/>
      <c r="C3166" s="88"/>
      <c r="D3166" s="70"/>
      <c r="E3166" s="70"/>
      <c r="F3166" s="70"/>
      <c r="G3166" s="70"/>
      <c r="H3166" s="85"/>
      <c r="I3166" s="98"/>
      <c r="J3166" s="131"/>
      <c r="K3166" s="61"/>
      <c r="L3166" s="35"/>
      <c r="P3166" s="3"/>
      <c r="Q3166" s="3"/>
      <c r="R3166" s="3"/>
      <c r="S3166" s="3"/>
      <c r="T3166" s="3"/>
      <c r="U3166" s="3"/>
      <c r="V3166" s="3"/>
      <c r="W3166" s="3"/>
      <c r="X3166" s="3"/>
      <c r="Y3166" s="4"/>
      <c r="Z3166"/>
      <c r="AA3166"/>
    </row>
    <row r="3167" spans="1:27" s="37" customFormat="1" x14ac:dyDescent="0.15">
      <c r="A3167" s="166"/>
      <c r="B3167" s="93"/>
      <c r="C3167" s="88"/>
      <c r="D3167" s="70"/>
      <c r="E3167" s="70"/>
      <c r="F3167" s="70"/>
      <c r="G3167" s="70"/>
      <c r="H3167" s="85"/>
      <c r="I3167" s="98"/>
      <c r="J3167" s="135"/>
      <c r="K3167" s="61"/>
      <c r="L3167" s="35"/>
      <c r="P3167" s="3"/>
      <c r="Q3167" s="3"/>
      <c r="R3167" s="3"/>
      <c r="S3167" s="3"/>
      <c r="T3167" s="3"/>
      <c r="U3167" s="3"/>
      <c r="V3167" s="3"/>
      <c r="W3167" s="3"/>
      <c r="X3167" s="3"/>
      <c r="Y3167" s="4"/>
      <c r="Z3167"/>
      <c r="AA3167"/>
    </row>
    <row r="3168" spans="1:27" s="37" customFormat="1" x14ac:dyDescent="0.15">
      <c r="A3168" s="166"/>
      <c r="B3168" s="93"/>
      <c r="C3168" s="88"/>
      <c r="D3168" s="70"/>
      <c r="E3168" s="70"/>
      <c r="F3168" s="70"/>
      <c r="G3168" s="70"/>
      <c r="H3168" s="85"/>
      <c r="I3168" s="98"/>
      <c r="J3168" s="131"/>
      <c r="K3168" s="61"/>
      <c r="L3168" s="35"/>
      <c r="P3168" s="3"/>
      <c r="Q3168" s="3"/>
      <c r="R3168" s="3"/>
      <c r="S3168" s="3"/>
      <c r="T3168" s="3"/>
      <c r="U3168" s="3"/>
      <c r="V3168" s="3"/>
      <c r="W3168" s="3"/>
      <c r="X3168" s="3"/>
      <c r="Y3168" s="4"/>
      <c r="Z3168"/>
      <c r="AA3168"/>
    </row>
    <row r="3169" spans="1:27" s="37" customFormat="1" x14ac:dyDescent="0.15">
      <c r="A3169" s="167"/>
      <c r="B3169" s="87"/>
      <c r="C3169" s="88"/>
      <c r="D3169" s="86"/>
      <c r="E3169" s="86"/>
      <c r="F3169" s="86"/>
      <c r="G3169" s="86"/>
      <c r="H3169" s="85"/>
      <c r="I3169" s="89"/>
      <c r="J3169" s="132"/>
      <c r="K3169" s="61"/>
      <c r="L3169" s="49"/>
      <c r="P3169" s="3"/>
      <c r="Q3169" s="3"/>
      <c r="R3169" s="3"/>
      <c r="S3169" s="3"/>
      <c r="T3169" s="3"/>
      <c r="U3169" s="3"/>
      <c r="V3169" s="3"/>
      <c r="W3169" s="3"/>
      <c r="X3169" s="3"/>
      <c r="Y3169" s="4"/>
      <c r="Z3169"/>
      <c r="AA3169"/>
    </row>
    <row r="3170" spans="1:27" s="37" customFormat="1" x14ac:dyDescent="0.15">
      <c r="A3170" s="166"/>
      <c r="B3170" s="82"/>
      <c r="C3170" s="70"/>
      <c r="D3170" s="70"/>
      <c r="E3170" s="70"/>
      <c r="F3170" s="70"/>
      <c r="G3170" s="70"/>
      <c r="H3170" s="85"/>
      <c r="I3170" s="85"/>
      <c r="J3170" s="131"/>
      <c r="K3170" s="60"/>
      <c r="L3170" s="49"/>
      <c r="P3170" s="3"/>
      <c r="Q3170" s="3"/>
      <c r="R3170" s="3"/>
      <c r="S3170" s="3"/>
      <c r="T3170" s="3"/>
      <c r="U3170" s="3"/>
      <c r="V3170" s="3"/>
      <c r="W3170" s="3"/>
      <c r="X3170" s="3"/>
      <c r="Y3170" s="4"/>
      <c r="Z3170"/>
      <c r="AA3170"/>
    </row>
    <row r="3171" spans="1:27" s="37" customFormat="1" x14ac:dyDescent="0.15">
      <c r="A3171" s="166"/>
      <c r="B3171" s="82"/>
      <c r="C3171" s="70"/>
      <c r="D3171" s="70"/>
      <c r="E3171" s="70"/>
      <c r="F3171" s="70"/>
      <c r="G3171" s="70"/>
      <c r="H3171" s="85"/>
      <c r="I3171" s="85"/>
      <c r="J3171" s="131"/>
      <c r="K3171" s="60"/>
      <c r="L3171" s="49"/>
      <c r="P3171" s="3"/>
      <c r="Q3171" s="3"/>
      <c r="R3171" s="3"/>
      <c r="S3171" s="3"/>
      <c r="T3171" s="3"/>
      <c r="U3171" s="3"/>
      <c r="V3171" s="3"/>
      <c r="W3171" s="3"/>
      <c r="X3171" s="3"/>
      <c r="Y3171" s="4"/>
      <c r="Z3171"/>
      <c r="AA3171"/>
    </row>
    <row r="3172" spans="1:27" s="37" customFormat="1" x14ac:dyDescent="0.15">
      <c r="A3172" s="166"/>
      <c r="B3172" s="82"/>
      <c r="C3172" s="70"/>
      <c r="D3172" s="70"/>
      <c r="E3172" s="70"/>
      <c r="F3172" s="70"/>
      <c r="G3172" s="70"/>
      <c r="H3172" s="85"/>
      <c r="I3172" s="85"/>
      <c r="J3172" s="131"/>
      <c r="K3172" s="60"/>
      <c r="L3172" s="49"/>
      <c r="P3172" s="3"/>
      <c r="Q3172" s="3"/>
      <c r="R3172" s="3"/>
      <c r="S3172" s="3"/>
      <c r="T3172" s="3"/>
      <c r="U3172" s="3"/>
      <c r="V3172" s="3"/>
      <c r="W3172" s="3"/>
      <c r="X3172" s="3"/>
      <c r="Y3172" s="4"/>
      <c r="Z3172"/>
      <c r="AA3172"/>
    </row>
    <row r="3173" spans="1:27" s="37" customFormat="1" x14ac:dyDescent="0.15">
      <c r="A3173" s="166"/>
      <c r="B3173" s="82"/>
      <c r="C3173" s="73"/>
      <c r="D3173" s="73"/>
      <c r="E3173" s="70"/>
      <c r="F3173" s="73"/>
      <c r="G3173" s="73"/>
      <c r="H3173" s="85"/>
      <c r="I3173" s="95"/>
      <c r="J3173" s="131"/>
      <c r="K3173" s="60"/>
      <c r="L3173" s="49"/>
      <c r="P3173" s="3"/>
      <c r="Q3173" s="3"/>
      <c r="R3173" s="3"/>
      <c r="S3173" s="3"/>
      <c r="T3173" s="3"/>
      <c r="U3173" s="3"/>
      <c r="V3173" s="3"/>
      <c r="W3173" s="3"/>
      <c r="X3173" s="3"/>
      <c r="Y3173" s="4"/>
      <c r="Z3173"/>
      <c r="AA3173"/>
    </row>
    <row r="3174" spans="1:27" s="37" customFormat="1" x14ac:dyDescent="0.15">
      <c r="A3174" s="166"/>
      <c r="B3174" s="82"/>
      <c r="C3174" s="70"/>
      <c r="D3174" s="70"/>
      <c r="E3174" s="70"/>
      <c r="F3174" s="70"/>
      <c r="G3174" s="70"/>
      <c r="H3174" s="85"/>
      <c r="I3174" s="85"/>
      <c r="J3174" s="131"/>
      <c r="K3174" s="60"/>
      <c r="L3174" s="49"/>
      <c r="P3174" s="3"/>
      <c r="Q3174" s="3"/>
      <c r="R3174" s="3"/>
      <c r="S3174" s="3"/>
      <c r="T3174" s="3"/>
      <c r="U3174" s="3"/>
      <c r="V3174" s="3"/>
      <c r="W3174" s="3"/>
      <c r="X3174" s="3"/>
      <c r="Y3174" s="4"/>
      <c r="Z3174"/>
      <c r="AA3174"/>
    </row>
    <row r="3175" spans="1:27" s="37" customFormat="1" x14ac:dyDescent="0.15">
      <c r="A3175" s="166"/>
      <c r="B3175" s="82"/>
      <c r="C3175" s="70"/>
      <c r="D3175" s="70"/>
      <c r="E3175" s="70"/>
      <c r="F3175" s="70"/>
      <c r="G3175" s="70"/>
      <c r="H3175" s="85"/>
      <c r="I3175" s="85"/>
      <c r="J3175" s="131"/>
      <c r="K3175" s="60"/>
      <c r="L3175" s="49"/>
      <c r="P3175" s="3"/>
      <c r="Q3175" s="3"/>
      <c r="R3175" s="3"/>
      <c r="S3175" s="3"/>
      <c r="T3175" s="3"/>
      <c r="U3175" s="3"/>
      <c r="V3175" s="3"/>
      <c r="W3175" s="3"/>
      <c r="X3175" s="3"/>
      <c r="Y3175" s="4"/>
      <c r="Z3175"/>
      <c r="AA3175"/>
    </row>
    <row r="3176" spans="1:27" s="37" customFormat="1" x14ac:dyDescent="0.15">
      <c r="A3176" s="166"/>
      <c r="B3176" s="82"/>
      <c r="C3176" s="70"/>
      <c r="D3176" s="70"/>
      <c r="E3176" s="70"/>
      <c r="F3176" s="70"/>
      <c r="G3176" s="70"/>
      <c r="H3176" s="85"/>
      <c r="I3176" s="85"/>
      <c r="J3176" s="131"/>
      <c r="K3176" s="60"/>
      <c r="L3176" s="49"/>
      <c r="P3176" s="3"/>
      <c r="Q3176" s="3"/>
      <c r="R3176" s="3"/>
      <c r="S3176" s="3"/>
      <c r="T3176" s="3"/>
      <c r="U3176" s="3"/>
      <c r="V3176" s="3"/>
      <c r="W3176" s="3"/>
      <c r="X3176" s="3"/>
      <c r="Y3176" s="4"/>
      <c r="Z3176"/>
      <c r="AA3176"/>
    </row>
    <row r="3177" spans="1:27" s="37" customFormat="1" x14ac:dyDescent="0.15">
      <c r="A3177" s="166"/>
      <c r="B3177" s="82"/>
      <c r="C3177" s="70"/>
      <c r="D3177" s="70"/>
      <c r="E3177" s="70"/>
      <c r="F3177" s="70"/>
      <c r="G3177" s="70"/>
      <c r="H3177" s="85"/>
      <c r="I3177" s="85"/>
      <c r="J3177" s="141"/>
      <c r="K3177" s="60"/>
      <c r="L3177" s="49"/>
      <c r="P3177" s="3"/>
      <c r="Q3177" s="3"/>
      <c r="R3177" s="3"/>
      <c r="S3177" s="3"/>
      <c r="T3177" s="3"/>
      <c r="U3177" s="3"/>
      <c r="V3177" s="3"/>
      <c r="W3177" s="3"/>
      <c r="X3177" s="3"/>
      <c r="Y3177" s="4"/>
      <c r="Z3177"/>
      <c r="AA3177"/>
    </row>
    <row r="3178" spans="1:27" s="37" customFormat="1" x14ac:dyDescent="0.15">
      <c r="A3178" s="166"/>
      <c r="B3178" s="82"/>
      <c r="C3178" s="70"/>
      <c r="D3178" s="70"/>
      <c r="E3178" s="70"/>
      <c r="F3178" s="70"/>
      <c r="G3178" s="70"/>
      <c r="H3178" s="85"/>
      <c r="I3178" s="85"/>
      <c r="J3178" s="131"/>
      <c r="K3178" s="60"/>
      <c r="L3178" s="49"/>
      <c r="P3178" s="3"/>
      <c r="Q3178" s="3"/>
      <c r="R3178" s="3"/>
      <c r="S3178" s="3"/>
      <c r="T3178" s="3"/>
      <c r="U3178" s="3"/>
      <c r="V3178" s="3"/>
      <c r="W3178" s="3"/>
      <c r="X3178" s="3"/>
      <c r="Y3178" s="4"/>
      <c r="Z3178"/>
      <c r="AA3178"/>
    </row>
    <row r="3179" spans="1:27" s="37" customFormat="1" x14ac:dyDescent="0.15">
      <c r="A3179" s="166"/>
      <c r="B3179" s="82"/>
      <c r="C3179" s="70"/>
      <c r="D3179" s="70"/>
      <c r="E3179" s="70"/>
      <c r="F3179" s="70"/>
      <c r="G3179" s="70"/>
      <c r="H3179" s="85"/>
      <c r="I3179" s="85"/>
      <c r="J3179" s="131"/>
      <c r="K3179" s="60"/>
      <c r="L3179" s="49"/>
      <c r="P3179" s="3"/>
      <c r="Q3179" s="3"/>
      <c r="R3179" s="3"/>
      <c r="S3179" s="3"/>
      <c r="T3179" s="3"/>
      <c r="U3179" s="3"/>
      <c r="V3179" s="3"/>
      <c r="W3179" s="3"/>
      <c r="X3179" s="3"/>
      <c r="Y3179" s="4"/>
      <c r="Z3179"/>
      <c r="AA3179"/>
    </row>
    <row r="3180" spans="1:27" s="37" customFormat="1" x14ac:dyDescent="0.15">
      <c r="A3180" s="166"/>
      <c r="B3180" s="82"/>
      <c r="C3180" s="70"/>
      <c r="D3180" s="70"/>
      <c r="E3180" s="70"/>
      <c r="F3180" s="70"/>
      <c r="G3180" s="70"/>
      <c r="H3180" s="85"/>
      <c r="I3180" s="85"/>
      <c r="J3180" s="131"/>
      <c r="K3180" s="60"/>
      <c r="L3180" s="49"/>
      <c r="P3180" s="3"/>
      <c r="Q3180" s="3"/>
      <c r="R3180" s="3"/>
      <c r="S3180" s="3"/>
      <c r="T3180" s="3"/>
      <c r="U3180" s="3"/>
      <c r="V3180" s="3"/>
      <c r="W3180" s="3"/>
      <c r="X3180" s="3"/>
      <c r="Y3180" s="4"/>
      <c r="Z3180"/>
      <c r="AA3180"/>
    </row>
    <row r="3181" spans="1:27" s="37" customFormat="1" x14ac:dyDescent="0.15">
      <c r="A3181" s="166"/>
      <c r="B3181" s="82"/>
      <c r="C3181" s="70"/>
      <c r="D3181" s="70"/>
      <c r="E3181" s="70"/>
      <c r="F3181" s="70"/>
      <c r="G3181" s="70"/>
      <c r="H3181" s="85"/>
      <c r="I3181" s="85"/>
      <c r="J3181" s="131"/>
      <c r="K3181" s="60"/>
      <c r="L3181" s="49"/>
      <c r="P3181" s="3"/>
      <c r="Q3181" s="3"/>
      <c r="R3181" s="3"/>
      <c r="S3181" s="3"/>
      <c r="T3181" s="3"/>
      <c r="U3181" s="3"/>
      <c r="V3181" s="3"/>
      <c r="W3181" s="3"/>
      <c r="X3181" s="3"/>
      <c r="Y3181" s="4"/>
      <c r="Z3181"/>
      <c r="AA3181"/>
    </row>
    <row r="3182" spans="1:27" s="37" customFormat="1" x14ac:dyDescent="0.15">
      <c r="A3182" s="166"/>
      <c r="B3182" s="82"/>
      <c r="C3182" s="70"/>
      <c r="D3182" s="70"/>
      <c r="E3182" s="70"/>
      <c r="F3182" s="70"/>
      <c r="G3182" s="70"/>
      <c r="H3182" s="85"/>
      <c r="I3182" s="85"/>
      <c r="J3182" s="131"/>
      <c r="K3182" s="60"/>
      <c r="L3182" s="49"/>
      <c r="P3182" s="3"/>
      <c r="Q3182" s="3"/>
      <c r="R3182" s="3"/>
      <c r="S3182" s="3"/>
      <c r="T3182" s="3"/>
      <c r="U3182" s="3"/>
      <c r="V3182" s="3"/>
      <c r="W3182" s="3"/>
      <c r="X3182" s="3"/>
      <c r="Y3182" s="4"/>
      <c r="Z3182"/>
      <c r="AA3182"/>
    </row>
    <row r="3183" spans="1:27" s="49" customFormat="1" x14ac:dyDescent="0.15">
      <c r="A3183" s="166"/>
      <c r="B3183" s="82"/>
      <c r="C3183" s="70"/>
      <c r="D3183" s="70"/>
      <c r="E3183" s="70"/>
      <c r="F3183" s="70"/>
      <c r="G3183" s="70"/>
      <c r="H3183" s="85"/>
      <c r="I3183" s="85"/>
      <c r="J3183" s="131"/>
      <c r="K3183" s="60"/>
      <c r="M3183" s="37"/>
      <c r="N3183" s="37"/>
      <c r="O3183" s="37"/>
      <c r="P3183" s="3"/>
      <c r="Q3183" s="3"/>
      <c r="R3183" s="3"/>
      <c r="S3183" s="3"/>
      <c r="T3183" s="3"/>
      <c r="U3183" s="3"/>
      <c r="V3183" s="3"/>
      <c r="W3183" s="3"/>
      <c r="X3183" s="3"/>
      <c r="Y3183" s="4"/>
      <c r="Z3183"/>
      <c r="AA3183"/>
    </row>
    <row r="3184" spans="1:27" s="49" customFormat="1" x14ac:dyDescent="0.15">
      <c r="A3184" s="166"/>
      <c r="B3184" s="82"/>
      <c r="C3184" s="70"/>
      <c r="D3184" s="70"/>
      <c r="E3184" s="70"/>
      <c r="F3184" s="70"/>
      <c r="G3184" s="70"/>
      <c r="H3184" s="85"/>
      <c r="I3184" s="85"/>
      <c r="J3184" s="131"/>
      <c r="K3184" s="60"/>
      <c r="M3184" s="37"/>
      <c r="N3184" s="37"/>
      <c r="O3184" s="37"/>
      <c r="P3184" s="3"/>
      <c r="Q3184" s="3"/>
      <c r="R3184" s="3"/>
      <c r="S3184" s="3"/>
      <c r="T3184" s="3"/>
      <c r="U3184" s="3"/>
      <c r="V3184" s="3"/>
      <c r="W3184" s="3"/>
      <c r="X3184" s="3"/>
      <c r="Y3184" s="4"/>
      <c r="Z3184"/>
      <c r="AA3184"/>
    </row>
    <row r="3185" spans="1:27" s="49" customFormat="1" x14ac:dyDescent="0.15">
      <c r="A3185" s="166"/>
      <c r="B3185" s="82"/>
      <c r="C3185" s="70"/>
      <c r="D3185" s="70"/>
      <c r="E3185" s="70"/>
      <c r="F3185" s="70"/>
      <c r="G3185" s="70"/>
      <c r="H3185" s="85"/>
      <c r="I3185" s="85"/>
      <c r="J3185" s="131"/>
      <c r="K3185" s="60"/>
      <c r="M3185" s="37"/>
      <c r="N3185" s="37"/>
      <c r="O3185" s="37"/>
      <c r="P3185" s="3"/>
      <c r="Q3185" s="3"/>
      <c r="R3185" s="3"/>
      <c r="S3185" s="3"/>
      <c r="T3185" s="3"/>
      <c r="U3185" s="3"/>
      <c r="V3185" s="3"/>
      <c r="W3185" s="3"/>
      <c r="X3185" s="3"/>
      <c r="Y3185" s="4"/>
      <c r="Z3185"/>
      <c r="AA3185"/>
    </row>
    <row r="3186" spans="1:27" s="49" customFormat="1" x14ac:dyDescent="0.15">
      <c r="A3186" s="166"/>
      <c r="B3186" s="82"/>
      <c r="C3186" s="70"/>
      <c r="D3186" s="70"/>
      <c r="E3186" s="70"/>
      <c r="F3186" s="70"/>
      <c r="G3186" s="70"/>
      <c r="H3186" s="85"/>
      <c r="I3186" s="85"/>
      <c r="J3186" s="131"/>
      <c r="K3186" s="60"/>
      <c r="M3186" s="37"/>
      <c r="N3186" s="37"/>
      <c r="O3186" s="37"/>
      <c r="P3186" s="3"/>
      <c r="Q3186" s="3"/>
      <c r="R3186" s="3"/>
      <c r="S3186" s="3"/>
      <c r="T3186" s="3"/>
      <c r="U3186" s="3"/>
      <c r="V3186" s="3"/>
      <c r="W3186" s="3"/>
      <c r="X3186" s="3"/>
      <c r="Y3186" s="4"/>
      <c r="Z3186"/>
      <c r="AA3186"/>
    </row>
    <row r="3187" spans="1:27" s="49" customFormat="1" x14ac:dyDescent="0.15">
      <c r="A3187" s="166"/>
      <c r="B3187" s="82"/>
      <c r="C3187" s="70"/>
      <c r="D3187" s="70"/>
      <c r="E3187" s="70"/>
      <c r="F3187" s="70"/>
      <c r="G3187" s="70"/>
      <c r="H3187" s="85"/>
      <c r="I3187" s="85"/>
      <c r="J3187" s="131"/>
      <c r="K3187" s="60"/>
      <c r="M3187" s="37"/>
      <c r="N3187" s="37"/>
      <c r="O3187" s="37"/>
      <c r="P3187" s="3"/>
      <c r="Q3187" s="3"/>
      <c r="R3187" s="3"/>
      <c r="S3187" s="3"/>
      <c r="T3187" s="3"/>
      <c r="U3187" s="3"/>
      <c r="V3187" s="3"/>
      <c r="W3187" s="3"/>
      <c r="X3187" s="3"/>
      <c r="Y3187" s="4"/>
      <c r="Z3187"/>
      <c r="AA3187"/>
    </row>
    <row r="3188" spans="1:27" s="49" customFormat="1" x14ac:dyDescent="0.15">
      <c r="A3188" s="166"/>
      <c r="B3188" s="82"/>
      <c r="C3188" s="70"/>
      <c r="D3188" s="70"/>
      <c r="E3188" s="70"/>
      <c r="F3188" s="70"/>
      <c r="G3188" s="70"/>
      <c r="H3188" s="85"/>
      <c r="I3188" s="85"/>
      <c r="J3188" s="131"/>
      <c r="K3188" s="60"/>
      <c r="M3188" s="37"/>
      <c r="N3188" s="37"/>
      <c r="O3188" s="37"/>
      <c r="P3188" s="3"/>
      <c r="Q3188" s="3"/>
      <c r="R3188" s="3"/>
      <c r="S3188" s="3"/>
      <c r="T3188" s="3"/>
      <c r="U3188" s="3"/>
      <c r="V3188" s="3"/>
      <c r="W3188" s="3"/>
      <c r="X3188" s="3"/>
      <c r="Y3188" s="4"/>
      <c r="Z3188"/>
      <c r="AA3188"/>
    </row>
    <row r="3189" spans="1:27" s="49" customFormat="1" x14ac:dyDescent="0.15">
      <c r="A3189" s="166"/>
      <c r="B3189" s="82"/>
      <c r="C3189" s="70"/>
      <c r="D3189" s="70"/>
      <c r="E3189" s="70"/>
      <c r="F3189" s="70"/>
      <c r="G3189" s="70"/>
      <c r="H3189" s="85"/>
      <c r="I3189" s="85"/>
      <c r="J3189" s="131"/>
      <c r="K3189" s="60"/>
      <c r="M3189" s="37"/>
      <c r="N3189" s="37"/>
      <c r="O3189" s="37"/>
      <c r="P3189" s="3"/>
      <c r="Q3189" s="3"/>
      <c r="R3189" s="3"/>
      <c r="S3189" s="3"/>
      <c r="T3189" s="3"/>
      <c r="U3189" s="3"/>
      <c r="V3189" s="3"/>
      <c r="W3189" s="3"/>
      <c r="X3189" s="3"/>
      <c r="Y3189" s="4"/>
      <c r="Z3189"/>
      <c r="AA3189"/>
    </row>
    <row r="3190" spans="1:27" s="49" customFormat="1" x14ac:dyDescent="0.15">
      <c r="A3190" s="166"/>
      <c r="B3190" s="82"/>
      <c r="C3190" s="70"/>
      <c r="D3190" s="70"/>
      <c r="E3190" s="70"/>
      <c r="F3190" s="70"/>
      <c r="G3190" s="70"/>
      <c r="H3190" s="85"/>
      <c r="I3190" s="85"/>
      <c r="J3190" s="131"/>
      <c r="K3190" s="60"/>
      <c r="M3190" s="37"/>
      <c r="N3190" s="37"/>
      <c r="O3190" s="37"/>
      <c r="P3190" s="3"/>
      <c r="Q3190" s="3"/>
      <c r="R3190" s="3"/>
      <c r="S3190" s="3"/>
      <c r="T3190" s="3"/>
      <c r="U3190" s="3"/>
      <c r="V3190" s="3"/>
      <c r="W3190" s="3"/>
      <c r="X3190" s="3"/>
      <c r="Y3190" s="4"/>
      <c r="Z3190"/>
      <c r="AA3190"/>
    </row>
    <row r="3191" spans="1:27" s="49" customFormat="1" x14ac:dyDescent="0.15">
      <c r="A3191" s="166"/>
      <c r="B3191" s="82"/>
      <c r="C3191" s="70"/>
      <c r="D3191" s="70"/>
      <c r="E3191" s="70"/>
      <c r="F3191" s="70"/>
      <c r="G3191" s="70"/>
      <c r="H3191" s="85"/>
      <c r="I3191" s="85"/>
      <c r="J3191" s="141"/>
      <c r="K3191" s="60"/>
      <c r="M3191" s="37"/>
      <c r="N3191" s="37"/>
      <c r="O3191" s="37"/>
      <c r="P3191" s="3"/>
      <c r="Q3191" s="3"/>
      <c r="R3191" s="3"/>
      <c r="S3191" s="3"/>
      <c r="T3191" s="3"/>
      <c r="U3191" s="3"/>
      <c r="V3191" s="3"/>
      <c r="W3191" s="3"/>
      <c r="X3191" s="3"/>
      <c r="Y3191" s="4"/>
      <c r="Z3191"/>
      <c r="AA3191"/>
    </row>
    <row r="3192" spans="1:27" s="49" customFormat="1" x14ac:dyDescent="0.15">
      <c r="A3192" s="166"/>
      <c r="B3192" s="82"/>
      <c r="C3192" s="70"/>
      <c r="D3192" s="70"/>
      <c r="E3192" s="70"/>
      <c r="F3192" s="70"/>
      <c r="G3192" s="70"/>
      <c r="H3192" s="85"/>
      <c r="I3192" s="85"/>
      <c r="J3192" s="131"/>
      <c r="K3192" s="60"/>
      <c r="M3192" s="37"/>
      <c r="N3192" s="37"/>
      <c r="O3192" s="37"/>
      <c r="P3192" s="3"/>
      <c r="Q3192" s="3"/>
      <c r="R3192" s="3"/>
      <c r="S3192" s="3"/>
      <c r="T3192" s="3"/>
      <c r="U3192" s="3"/>
      <c r="V3192" s="3"/>
      <c r="W3192" s="3"/>
      <c r="X3192" s="3"/>
      <c r="Y3192" s="4"/>
      <c r="Z3192"/>
      <c r="AA3192"/>
    </row>
    <row r="3193" spans="1:27" s="49" customFormat="1" x14ac:dyDescent="0.15">
      <c r="A3193" s="166"/>
      <c r="B3193" s="82"/>
      <c r="C3193" s="70"/>
      <c r="D3193" s="70"/>
      <c r="E3193" s="70"/>
      <c r="F3193" s="70"/>
      <c r="G3193" s="70"/>
      <c r="H3193" s="85"/>
      <c r="I3193" s="85"/>
      <c r="J3193" s="131"/>
      <c r="K3193" s="67"/>
      <c r="M3193" s="37"/>
      <c r="N3193" s="37"/>
      <c r="O3193" s="37"/>
      <c r="P3193" s="3"/>
      <c r="Q3193" s="3"/>
      <c r="R3193" s="3"/>
      <c r="S3193" s="3"/>
      <c r="T3193" s="3"/>
      <c r="U3193" s="3"/>
      <c r="V3193" s="3"/>
      <c r="W3193" s="3"/>
      <c r="X3193" s="3"/>
      <c r="Y3193" s="4"/>
      <c r="Z3193"/>
      <c r="AA3193"/>
    </row>
    <row r="3194" spans="1:27" s="49" customFormat="1" x14ac:dyDescent="0.15">
      <c r="A3194" s="166"/>
      <c r="B3194" s="82"/>
      <c r="C3194" s="70"/>
      <c r="D3194" s="70"/>
      <c r="E3194" s="70"/>
      <c r="F3194" s="70"/>
      <c r="G3194" s="70"/>
      <c r="H3194" s="85"/>
      <c r="I3194" s="85"/>
      <c r="J3194" s="131"/>
      <c r="K3194" s="60"/>
      <c r="M3194" s="37"/>
      <c r="N3194" s="37"/>
      <c r="O3194" s="37"/>
      <c r="P3194" s="3"/>
      <c r="Q3194" s="3"/>
      <c r="R3194" s="3"/>
      <c r="S3194" s="3"/>
      <c r="T3194" s="3"/>
      <c r="U3194" s="3"/>
      <c r="V3194" s="3"/>
      <c r="W3194" s="3"/>
      <c r="X3194" s="3"/>
      <c r="Y3194" s="4"/>
      <c r="Z3194"/>
      <c r="AA3194"/>
    </row>
    <row r="3195" spans="1:27" s="49" customFormat="1" x14ac:dyDescent="0.15">
      <c r="A3195" s="166"/>
      <c r="B3195" s="93"/>
      <c r="C3195" s="70"/>
      <c r="D3195" s="70"/>
      <c r="E3195" s="70"/>
      <c r="F3195" s="70"/>
      <c r="G3195" s="70"/>
      <c r="H3195" s="85"/>
      <c r="I3195" s="85"/>
      <c r="J3195" s="131"/>
      <c r="K3195" s="60"/>
      <c r="M3195" s="37"/>
      <c r="N3195" s="37"/>
      <c r="O3195" s="37"/>
      <c r="P3195" s="3"/>
      <c r="Q3195" s="3"/>
      <c r="R3195" s="3"/>
      <c r="S3195" s="3"/>
      <c r="T3195" s="3"/>
      <c r="U3195" s="3"/>
      <c r="V3195" s="3"/>
      <c r="W3195" s="3"/>
      <c r="X3195" s="3"/>
      <c r="Y3195" s="4"/>
      <c r="Z3195"/>
      <c r="AA3195"/>
    </row>
    <row r="3196" spans="1:27" s="49" customFormat="1" x14ac:dyDescent="0.15">
      <c r="A3196" s="166"/>
      <c r="B3196" s="82"/>
      <c r="C3196" s="70"/>
      <c r="D3196" s="70"/>
      <c r="E3196" s="70"/>
      <c r="F3196" s="70"/>
      <c r="G3196" s="70"/>
      <c r="H3196" s="85"/>
      <c r="I3196" s="85"/>
      <c r="J3196" s="131"/>
      <c r="K3196" s="60"/>
      <c r="M3196" s="37"/>
      <c r="N3196" s="37"/>
      <c r="O3196" s="37"/>
      <c r="P3196" s="3"/>
      <c r="Q3196" s="3"/>
      <c r="R3196" s="3"/>
      <c r="S3196" s="3"/>
      <c r="T3196" s="3"/>
      <c r="U3196" s="3"/>
      <c r="V3196" s="3"/>
      <c r="W3196" s="3"/>
      <c r="X3196" s="3"/>
      <c r="Y3196" s="4"/>
      <c r="Z3196"/>
      <c r="AA3196"/>
    </row>
    <row r="3197" spans="1:27" s="49" customFormat="1" x14ac:dyDescent="0.15">
      <c r="A3197" s="166"/>
      <c r="B3197" s="82"/>
      <c r="C3197" s="70"/>
      <c r="D3197" s="70"/>
      <c r="E3197" s="70"/>
      <c r="F3197" s="70"/>
      <c r="G3197" s="70"/>
      <c r="H3197" s="85"/>
      <c r="I3197" s="85"/>
      <c r="J3197" s="131"/>
      <c r="K3197" s="60"/>
      <c r="M3197" s="37"/>
      <c r="N3197" s="37"/>
      <c r="O3197" s="37"/>
      <c r="P3197" s="3"/>
      <c r="Q3197" s="3"/>
      <c r="R3197" s="3"/>
      <c r="S3197" s="3"/>
      <c r="T3197" s="3"/>
      <c r="U3197" s="3"/>
      <c r="V3197" s="3"/>
      <c r="W3197" s="3"/>
      <c r="X3197" s="3"/>
      <c r="Y3197" s="4"/>
      <c r="Z3197"/>
      <c r="AA3197"/>
    </row>
    <row r="3198" spans="1:27" s="49" customFormat="1" x14ac:dyDescent="0.15">
      <c r="A3198" s="166"/>
      <c r="B3198" s="82"/>
      <c r="C3198" s="70"/>
      <c r="D3198" s="70"/>
      <c r="E3198" s="70"/>
      <c r="F3198" s="70"/>
      <c r="G3198" s="70"/>
      <c r="H3198" s="85"/>
      <c r="I3198" s="85"/>
      <c r="J3198" s="131"/>
      <c r="K3198" s="60"/>
      <c r="M3198" s="37"/>
      <c r="N3198" s="37"/>
      <c r="O3198" s="37"/>
      <c r="P3198" s="3"/>
      <c r="Q3198" s="3"/>
      <c r="R3198" s="3"/>
      <c r="S3198" s="3"/>
      <c r="T3198" s="3"/>
      <c r="U3198" s="3"/>
      <c r="V3198" s="3"/>
      <c r="W3198" s="3"/>
      <c r="X3198" s="3"/>
      <c r="Y3198" s="4"/>
      <c r="Z3198"/>
      <c r="AA3198"/>
    </row>
    <row r="3199" spans="1:27" s="49" customFormat="1" x14ac:dyDescent="0.15">
      <c r="A3199" s="166"/>
      <c r="B3199" s="82"/>
      <c r="C3199" s="70"/>
      <c r="D3199" s="70"/>
      <c r="E3199" s="70"/>
      <c r="F3199" s="70"/>
      <c r="G3199" s="70"/>
      <c r="H3199" s="85"/>
      <c r="I3199" s="85"/>
      <c r="J3199" s="131"/>
      <c r="K3199" s="60"/>
      <c r="M3199" s="37"/>
      <c r="N3199" s="37"/>
      <c r="O3199" s="37"/>
      <c r="P3199" s="3"/>
      <c r="Q3199" s="3"/>
      <c r="R3199" s="3"/>
      <c r="S3199" s="3"/>
      <c r="T3199" s="3"/>
      <c r="U3199" s="3"/>
      <c r="V3199" s="3"/>
      <c r="W3199" s="3"/>
      <c r="X3199" s="3"/>
      <c r="Y3199" s="4"/>
      <c r="Z3199"/>
      <c r="AA3199"/>
    </row>
    <row r="3200" spans="1:27" s="49" customFormat="1" x14ac:dyDescent="0.15">
      <c r="A3200" s="166"/>
      <c r="B3200" s="82"/>
      <c r="C3200" s="70"/>
      <c r="D3200" s="70"/>
      <c r="E3200" s="70"/>
      <c r="F3200" s="70"/>
      <c r="G3200" s="70"/>
      <c r="H3200" s="85"/>
      <c r="I3200" s="85"/>
      <c r="J3200" s="131"/>
      <c r="K3200" s="60"/>
      <c r="M3200" s="37"/>
      <c r="N3200" s="37"/>
      <c r="O3200" s="37"/>
      <c r="P3200" s="3"/>
      <c r="Q3200" s="3"/>
      <c r="R3200" s="3"/>
      <c r="S3200" s="3"/>
      <c r="T3200" s="3"/>
      <c r="U3200" s="3"/>
      <c r="V3200" s="3"/>
      <c r="W3200" s="3"/>
      <c r="X3200" s="3"/>
      <c r="Y3200" s="4"/>
      <c r="Z3200"/>
      <c r="AA3200"/>
    </row>
    <row r="3201" spans="1:27" s="49" customFormat="1" x14ac:dyDescent="0.15">
      <c r="A3201" s="166"/>
      <c r="B3201" s="82"/>
      <c r="C3201" s="70"/>
      <c r="D3201" s="70"/>
      <c r="E3201" s="70"/>
      <c r="F3201" s="70"/>
      <c r="G3201" s="70"/>
      <c r="H3201" s="85"/>
      <c r="I3201" s="85"/>
      <c r="J3201" s="131"/>
      <c r="K3201" s="60"/>
      <c r="M3201" s="37"/>
      <c r="N3201" s="37"/>
      <c r="O3201" s="37"/>
      <c r="P3201" s="3"/>
      <c r="Q3201" s="3"/>
      <c r="R3201" s="3"/>
      <c r="S3201" s="3"/>
      <c r="T3201" s="3"/>
      <c r="U3201" s="3"/>
      <c r="V3201" s="3"/>
      <c r="W3201" s="3"/>
      <c r="X3201" s="3"/>
      <c r="Y3201" s="4"/>
      <c r="Z3201"/>
      <c r="AA3201"/>
    </row>
    <row r="3202" spans="1:27" s="49" customFormat="1" x14ac:dyDescent="0.15">
      <c r="A3202" s="166"/>
      <c r="B3202" s="82"/>
      <c r="C3202" s="70"/>
      <c r="D3202" s="70"/>
      <c r="E3202" s="70"/>
      <c r="F3202" s="70"/>
      <c r="G3202" s="70"/>
      <c r="H3202" s="85"/>
      <c r="I3202" s="85"/>
      <c r="J3202" s="131"/>
      <c r="K3202" s="60"/>
      <c r="M3202" s="37"/>
      <c r="N3202" s="37"/>
      <c r="O3202" s="37"/>
      <c r="P3202" s="3"/>
      <c r="Q3202" s="3"/>
      <c r="R3202" s="3"/>
      <c r="S3202" s="3"/>
      <c r="T3202" s="3"/>
      <c r="U3202" s="3"/>
      <c r="V3202" s="3"/>
      <c r="W3202" s="3"/>
      <c r="X3202" s="3"/>
      <c r="Y3202" s="4"/>
      <c r="Z3202"/>
      <c r="AA3202"/>
    </row>
    <row r="3203" spans="1:27" s="49" customFormat="1" x14ac:dyDescent="0.15">
      <c r="A3203" s="166"/>
      <c r="B3203" s="82"/>
      <c r="C3203" s="70"/>
      <c r="D3203" s="70"/>
      <c r="E3203" s="70"/>
      <c r="F3203" s="70"/>
      <c r="G3203" s="70"/>
      <c r="H3203" s="85"/>
      <c r="I3203" s="85"/>
      <c r="J3203" s="131"/>
      <c r="K3203" s="60"/>
      <c r="M3203" s="37"/>
      <c r="N3203" s="37"/>
      <c r="O3203" s="37"/>
      <c r="P3203" s="3"/>
      <c r="Q3203" s="3"/>
      <c r="R3203" s="3"/>
      <c r="S3203" s="3"/>
      <c r="T3203" s="3"/>
      <c r="U3203" s="3"/>
      <c r="V3203" s="3"/>
      <c r="W3203" s="3"/>
      <c r="X3203" s="3"/>
      <c r="Y3203" s="4"/>
      <c r="Z3203"/>
      <c r="AA3203"/>
    </row>
    <row r="3204" spans="1:27" s="49" customFormat="1" x14ac:dyDescent="0.15">
      <c r="A3204" s="166"/>
      <c r="B3204" s="82"/>
      <c r="C3204" s="70"/>
      <c r="D3204" s="70"/>
      <c r="E3204" s="70"/>
      <c r="F3204" s="70"/>
      <c r="G3204" s="70"/>
      <c r="H3204" s="85"/>
      <c r="I3204" s="85"/>
      <c r="J3204" s="131"/>
      <c r="K3204" s="60"/>
      <c r="M3204" s="37"/>
      <c r="N3204" s="37"/>
      <c r="O3204" s="37"/>
      <c r="P3204" s="3"/>
      <c r="Q3204" s="3"/>
      <c r="R3204" s="3"/>
      <c r="S3204" s="3"/>
      <c r="T3204" s="3"/>
      <c r="U3204" s="3"/>
      <c r="V3204" s="3"/>
      <c r="W3204" s="3"/>
      <c r="X3204" s="3"/>
      <c r="Y3204" s="4"/>
      <c r="Z3204"/>
      <c r="AA3204"/>
    </row>
    <row r="3205" spans="1:27" s="49" customFormat="1" x14ac:dyDescent="0.15">
      <c r="A3205" s="166"/>
      <c r="B3205" s="82"/>
      <c r="C3205" s="70"/>
      <c r="D3205" s="70"/>
      <c r="E3205" s="70"/>
      <c r="F3205" s="70"/>
      <c r="G3205" s="70"/>
      <c r="H3205" s="85"/>
      <c r="I3205" s="85"/>
      <c r="J3205" s="131"/>
      <c r="K3205" s="60"/>
      <c r="M3205" s="37"/>
      <c r="N3205" s="37"/>
      <c r="O3205" s="37"/>
      <c r="P3205" s="3"/>
      <c r="Q3205" s="3"/>
      <c r="R3205" s="3"/>
      <c r="S3205" s="3"/>
      <c r="T3205" s="3"/>
      <c r="U3205" s="3"/>
      <c r="V3205" s="3"/>
      <c r="W3205" s="3"/>
      <c r="X3205" s="3"/>
      <c r="Y3205" s="4"/>
      <c r="Z3205"/>
      <c r="AA3205"/>
    </row>
    <row r="3206" spans="1:27" s="49" customFormat="1" x14ac:dyDescent="0.15">
      <c r="A3206" s="166"/>
      <c r="B3206" s="93"/>
      <c r="C3206" s="70"/>
      <c r="D3206" s="70"/>
      <c r="E3206" s="70"/>
      <c r="F3206" s="70"/>
      <c r="G3206" s="70"/>
      <c r="H3206" s="85"/>
      <c r="I3206" s="85"/>
      <c r="J3206" s="131"/>
      <c r="K3206" s="60"/>
      <c r="M3206" s="37"/>
      <c r="N3206" s="37"/>
      <c r="O3206" s="37"/>
      <c r="P3206" s="3"/>
      <c r="Q3206" s="3"/>
      <c r="R3206" s="3"/>
      <c r="S3206" s="3"/>
      <c r="T3206" s="3"/>
      <c r="U3206" s="3"/>
      <c r="V3206" s="3"/>
      <c r="W3206" s="3"/>
      <c r="X3206" s="3"/>
      <c r="Y3206" s="4"/>
      <c r="Z3206"/>
      <c r="AA3206"/>
    </row>
    <row r="3207" spans="1:27" s="49" customFormat="1" x14ac:dyDescent="0.15">
      <c r="A3207" s="166"/>
      <c r="B3207" s="82"/>
      <c r="C3207" s="70"/>
      <c r="D3207" s="70"/>
      <c r="E3207" s="70"/>
      <c r="F3207" s="70"/>
      <c r="G3207" s="70"/>
      <c r="H3207" s="85"/>
      <c r="I3207" s="85"/>
      <c r="J3207" s="131"/>
      <c r="K3207" s="67"/>
      <c r="M3207" s="37"/>
      <c r="N3207" s="37"/>
      <c r="O3207" s="37"/>
      <c r="P3207" s="3"/>
      <c r="Q3207" s="3"/>
      <c r="R3207" s="3"/>
      <c r="S3207" s="3"/>
      <c r="T3207" s="3"/>
      <c r="U3207" s="3"/>
      <c r="V3207" s="3"/>
      <c r="W3207" s="3"/>
      <c r="X3207" s="3"/>
      <c r="Y3207" s="4"/>
      <c r="Z3207"/>
      <c r="AA3207"/>
    </row>
    <row r="3208" spans="1:27" s="49" customFormat="1" x14ac:dyDescent="0.15">
      <c r="A3208" s="166"/>
      <c r="B3208" s="93"/>
      <c r="C3208" s="70"/>
      <c r="D3208" s="70"/>
      <c r="E3208" s="70"/>
      <c r="F3208" s="70"/>
      <c r="G3208" s="70"/>
      <c r="H3208" s="85"/>
      <c r="I3208" s="85"/>
      <c r="J3208" s="131"/>
      <c r="K3208" s="60"/>
      <c r="M3208" s="37"/>
      <c r="N3208" s="37"/>
      <c r="O3208" s="37"/>
      <c r="P3208" s="3"/>
      <c r="Q3208" s="3"/>
      <c r="R3208" s="3"/>
      <c r="S3208" s="3"/>
      <c r="T3208" s="3"/>
      <c r="U3208" s="3"/>
      <c r="V3208" s="3"/>
      <c r="W3208" s="3"/>
      <c r="X3208" s="3"/>
      <c r="Y3208" s="4"/>
      <c r="Z3208"/>
      <c r="AA3208"/>
    </row>
    <row r="3209" spans="1:27" s="49" customFormat="1" x14ac:dyDescent="0.15">
      <c r="A3209" s="166"/>
      <c r="B3209" s="93"/>
      <c r="C3209" s="70"/>
      <c r="D3209" s="70"/>
      <c r="E3209" s="70"/>
      <c r="F3209" s="70"/>
      <c r="G3209" s="70"/>
      <c r="H3209" s="85"/>
      <c r="I3209" s="85"/>
      <c r="J3209" s="131"/>
      <c r="K3209" s="60"/>
      <c r="M3209" s="37"/>
      <c r="N3209" s="37"/>
      <c r="O3209" s="37"/>
      <c r="P3209" s="3"/>
      <c r="Q3209" s="3"/>
      <c r="R3209" s="3"/>
      <c r="S3209" s="3"/>
      <c r="T3209" s="3"/>
      <c r="U3209" s="3"/>
      <c r="V3209" s="3"/>
      <c r="W3209" s="3"/>
      <c r="X3209" s="3"/>
      <c r="Y3209" s="4"/>
      <c r="Z3209"/>
      <c r="AA3209"/>
    </row>
    <row r="3210" spans="1:27" s="49" customFormat="1" x14ac:dyDescent="0.15">
      <c r="A3210" s="166"/>
      <c r="B3210" s="82"/>
      <c r="C3210" s="70"/>
      <c r="D3210" s="70"/>
      <c r="E3210" s="70"/>
      <c r="F3210" s="70"/>
      <c r="G3210" s="70"/>
      <c r="H3210" s="85"/>
      <c r="I3210" s="85"/>
      <c r="J3210" s="131"/>
      <c r="K3210" s="60"/>
      <c r="M3210" s="37"/>
      <c r="N3210" s="37"/>
      <c r="O3210" s="37"/>
      <c r="P3210" s="3"/>
      <c r="Q3210" s="3"/>
      <c r="R3210" s="3"/>
      <c r="S3210" s="3"/>
      <c r="T3210" s="3"/>
      <c r="U3210" s="3"/>
      <c r="V3210" s="3"/>
      <c r="W3210" s="3"/>
      <c r="X3210" s="3"/>
      <c r="Y3210" s="4"/>
      <c r="Z3210"/>
      <c r="AA3210"/>
    </row>
    <row r="3211" spans="1:27" s="49" customFormat="1" x14ac:dyDescent="0.15">
      <c r="A3211" s="166"/>
      <c r="B3211" s="82"/>
      <c r="C3211" s="70"/>
      <c r="D3211" s="70"/>
      <c r="E3211" s="70"/>
      <c r="F3211" s="70"/>
      <c r="G3211" s="70"/>
      <c r="H3211" s="85"/>
      <c r="I3211" s="85"/>
      <c r="J3211" s="131"/>
      <c r="K3211" s="60"/>
      <c r="M3211" s="37"/>
      <c r="N3211" s="37"/>
      <c r="O3211" s="37"/>
      <c r="P3211" s="3"/>
      <c r="Q3211" s="3"/>
      <c r="R3211" s="3"/>
      <c r="S3211" s="3"/>
      <c r="T3211" s="3"/>
      <c r="U3211" s="3"/>
      <c r="V3211" s="3"/>
      <c r="W3211" s="3"/>
      <c r="X3211" s="3"/>
      <c r="Y3211" s="4"/>
      <c r="Z3211"/>
      <c r="AA3211"/>
    </row>
    <row r="3212" spans="1:27" s="49" customFormat="1" x14ac:dyDescent="0.15">
      <c r="A3212" s="166"/>
      <c r="B3212" s="82"/>
      <c r="C3212" s="70"/>
      <c r="D3212" s="70"/>
      <c r="E3212" s="70"/>
      <c r="F3212" s="70"/>
      <c r="G3212" s="70"/>
      <c r="H3212" s="85"/>
      <c r="I3212" s="85"/>
      <c r="J3212" s="131"/>
      <c r="K3212" s="60"/>
      <c r="M3212" s="37"/>
      <c r="N3212" s="37"/>
      <c r="O3212" s="37"/>
      <c r="P3212" s="3"/>
      <c r="Q3212" s="3"/>
      <c r="R3212" s="3"/>
      <c r="S3212" s="3"/>
      <c r="T3212" s="3"/>
      <c r="U3212" s="3"/>
      <c r="V3212" s="3"/>
      <c r="W3212" s="3"/>
      <c r="X3212" s="3"/>
      <c r="Y3212" s="4"/>
      <c r="Z3212"/>
      <c r="AA3212"/>
    </row>
    <row r="3213" spans="1:27" s="49" customFormat="1" x14ac:dyDescent="0.15">
      <c r="A3213" s="166"/>
      <c r="B3213" s="82"/>
      <c r="C3213" s="70"/>
      <c r="D3213" s="70"/>
      <c r="E3213" s="70"/>
      <c r="F3213" s="70"/>
      <c r="G3213" s="70"/>
      <c r="H3213" s="85"/>
      <c r="I3213" s="85"/>
      <c r="J3213" s="131"/>
      <c r="K3213" s="60"/>
      <c r="M3213" s="37"/>
      <c r="N3213" s="37"/>
      <c r="O3213" s="37"/>
      <c r="P3213" s="3"/>
      <c r="Q3213" s="3"/>
      <c r="R3213" s="3"/>
      <c r="S3213" s="3"/>
      <c r="T3213" s="3"/>
      <c r="U3213" s="3"/>
      <c r="V3213" s="3"/>
      <c r="W3213" s="3"/>
      <c r="X3213" s="3"/>
      <c r="Y3213" s="4"/>
      <c r="Z3213"/>
      <c r="AA3213"/>
    </row>
    <row r="3214" spans="1:27" s="49" customFormat="1" x14ac:dyDescent="0.15">
      <c r="A3214" s="166"/>
      <c r="B3214" s="82"/>
      <c r="C3214" s="70"/>
      <c r="D3214" s="70"/>
      <c r="E3214" s="70"/>
      <c r="F3214" s="70"/>
      <c r="G3214" s="70"/>
      <c r="H3214" s="85"/>
      <c r="I3214" s="85"/>
      <c r="J3214" s="131"/>
      <c r="K3214" s="67"/>
      <c r="M3214" s="37"/>
      <c r="N3214" s="37"/>
      <c r="O3214" s="37"/>
      <c r="P3214" s="3"/>
      <c r="Q3214" s="3"/>
      <c r="R3214" s="3"/>
      <c r="S3214" s="3"/>
      <c r="T3214" s="3"/>
      <c r="U3214" s="3"/>
      <c r="V3214" s="3"/>
      <c r="W3214" s="3"/>
      <c r="X3214" s="3"/>
      <c r="Y3214" s="4"/>
      <c r="Z3214"/>
      <c r="AA3214"/>
    </row>
    <row r="3215" spans="1:27" s="37" customFormat="1" x14ac:dyDescent="0.15">
      <c r="A3215" s="166"/>
      <c r="B3215" s="82"/>
      <c r="C3215" s="70"/>
      <c r="D3215" s="70"/>
      <c r="E3215" s="70"/>
      <c r="F3215" s="70"/>
      <c r="G3215" s="70"/>
      <c r="H3215" s="85"/>
      <c r="I3215" s="85"/>
      <c r="J3215" s="131"/>
      <c r="K3215" s="60"/>
      <c r="L3215" s="49"/>
      <c r="P3215" s="3"/>
      <c r="Q3215" s="3"/>
      <c r="R3215" s="3"/>
      <c r="S3215" s="3"/>
      <c r="T3215" s="3"/>
      <c r="U3215" s="3"/>
      <c r="V3215" s="3"/>
      <c r="W3215" s="3"/>
      <c r="X3215" s="3"/>
      <c r="Y3215" s="4"/>
      <c r="Z3215"/>
      <c r="AA3215"/>
    </row>
    <row r="3216" spans="1:27" s="37" customFormat="1" x14ac:dyDescent="0.15">
      <c r="A3216" s="166"/>
      <c r="B3216" s="93"/>
      <c r="C3216" s="70"/>
      <c r="D3216" s="70"/>
      <c r="E3216" s="70"/>
      <c r="F3216" s="70"/>
      <c r="G3216" s="70"/>
      <c r="H3216" s="85"/>
      <c r="I3216" s="85"/>
      <c r="J3216" s="131"/>
      <c r="K3216" s="60"/>
      <c r="L3216" s="49"/>
      <c r="P3216" s="3"/>
      <c r="Q3216" s="3"/>
      <c r="R3216" s="3"/>
      <c r="S3216" s="3"/>
      <c r="T3216" s="3"/>
      <c r="U3216" s="3"/>
      <c r="V3216" s="3"/>
      <c r="W3216" s="3"/>
      <c r="X3216" s="3"/>
      <c r="Y3216" s="4"/>
      <c r="Z3216"/>
      <c r="AA3216"/>
    </row>
    <row r="3217" spans="1:27" s="37" customFormat="1" x14ac:dyDescent="0.15">
      <c r="A3217" s="166"/>
      <c r="B3217" s="82"/>
      <c r="C3217" s="70"/>
      <c r="D3217" s="70"/>
      <c r="E3217" s="70"/>
      <c r="F3217" s="70"/>
      <c r="G3217" s="70"/>
      <c r="H3217" s="85"/>
      <c r="I3217" s="85"/>
      <c r="J3217" s="131"/>
      <c r="K3217" s="60"/>
      <c r="L3217" s="49"/>
      <c r="M3217" s="49"/>
      <c r="P3217" s="3"/>
      <c r="Q3217" s="3"/>
      <c r="R3217" s="3"/>
      <c r="S3217" s="3"/>
      <c r="T3217" s="3"/>
      <c r="U3217" s="3"/>
      <c r="V3217" s="3"/>
      <c r="W3217" s="3"/>
      <c r="X3217" s="3"/>
      <c r="Y3217" s="4"/>
      <c r="Z3217"/>
      <c r="AA3217"/>
    </row>
    <row r="3218" spans="1:27" s="37" customFormat="1" ht="16" x14ac:dyDescent="0.2">
      <c r="A3218" s="166"/>
      <c r="B3218" s="82"/>
      <c r="C3218" s="70"/>
      <c r="D3218" s="70"/>
      <c r="E3218" s="70"/>
      <c r="F3218" s="70"/>
      <c r="G3218" s="70"/>
      <c r="H3218" s="85"/>
      <c r="I3218" s="85"/>
      <c r="J3218" s="131"/>
      <c r="K3218" s="60"/>
      <c r="L3218" s="49"/>
      <c r="M3218" s="48"/>
      <c r="P3218" s="3"/>
      <c r="Q3218" s="3"/>
      <c r="R3218" s="3"/>
      <c r="S3218" s="3"/>
      <c r="T3218" s="3"/>
      <c r="U3218" s="3"/>
      <c r="V3218" s="3"/>
      <c r="W3218" s="3"/>
      <c r="X3218" s="3"/>
      <c r="Y3218" s="4"/>
      <c r="Z3218"/>
      <c r="AA3218"/>
    </row>
    <row r="3219" spans="1:27" s="37" customFormat="1" x14ac:dyDescent="0.15">
      <c r="A3219" s="166"/>
      <c r="B3219" s="82"/>
      <c r="C3219" s="70"/>
      <c r="D3219" s="70"/>
      <c r="E3219" s="70"/>
      <c r="F3219" s="70"/>
      <c r="G3219" s="70"/>
      <c r="H3219" s="85"/>
      <c r="I3219" s="85"/>
      <c r="J3219" s="131"/>
      <c r="K3219" s="60"/>
      <c r="L3219" s="49"/>
      <c r="P3219" s="3"/>
      <c r="Q3219" s="3"/>
      <c r="R3219" s="3"/>
      <c r="S3219" s="3"/>
      <c r="T3219" s="3"/>
      <c r="U3219" s="3"/>
      <c r="V3219" s="3"/>
      <c r="W3219" s="3"/>
      <c r="X3219" s="3"/>
      <c r="Y3219" s="4"/>
      <c r="Z3219"/>
      <c r="AA3219"/>
    </row>
    <row r="3220" spans="1:27" s="37" customFormat="1" x14ac:dyDescent="0.15">
      <c r="A3220" s="166"/>
      <c r="B3220" s="82"/>
      <c r="C3220" s="70"/>
      <c r="D3220" s="70"/>
      <c r="E3220" s="70"/>
      <c r="F3220" s="70"/>
      <c r="G3220" s="70"/>
      <c r="H3220" s="85"/>
      <c r="I3220" s="85"/>
      <c r="J3220" s="131"/>
      <c r="K3220" s="60"/>
      <c r="L3220" s="49"/>
      <c r="P3220" s="3"/>
      <c r="Q3220" s="3"/>
      <c r="R3220" s="3"/>
      <c r="S3220" s="3"/>
      <c r="T3220" s="3"/>
      <c r="U3220" s="3"/>
      <c r="V3220" s="3"/>
      <c r="W3220" s="3"/>
      <c r="X3220" s="3"/>
      <c r="Y3220" s="4"/>
      <c r="Z3220"/>
      <c r="AA3220"/>
    </row>
    <row r="3221" spans="1:27" s="37" customFormat="1" x14ac:dyDescent="0.15">
      <c r="A3221" s="166"/>
      <c r="B3221" s="82"/>
      <c r="C3221" s="70"/>
      <c r="D3221" s="70"/>
      <c r="E3221" s="70"/>
      <c r="F3221" s="70"/>
      <c r="G3221" s="70"/>
      <c r="H3221" s="85"/>
      <c r="I3221" s="85"/>
      <c r="J3221" s="131"/>
      <c r="K3221" s="67"/>
      <c r="L3221" s="49"/>
      <c r="P3221" s="3"/>
      <c r="Q3221" s="3"/>
      <c r="R3221" s="3"/>
      <c r="S3221" s="3"/>
      <c r="T3221" s="3"/>
      <c r="U3221" s="3"/>
      <c r="V3221" s="3"/>
      <c r="W3221" s="3"/>
      <c r="X3221" s="3"/>
      <c r="Y3221" s="4"/>
      <c r="Z3221"/>
      <c r="AA3221"/>
    </row>
    <row r="3222" spans="1:27" s="37" customFormat="1" x14ac:dyDescent="0.15">
      <c r="A3222" s="166"/>
      <c r="B3222" s="82"/>
      <c r="C3222" s="70"/>
      <c r="D3222" s="70"/>
      <c r="E3222" s="70"/>
      <c r="F3222" s="70"/>
      <c r="G3222" s="70"/>
      <c r="H3222" s="85"/>
      <c r="I3222" s="85"/>
      <c r="J3222" s="131"/>
      <c r="K3222" s="60"/>
      <c r="L3222" s="49"/>
      <c r="P3222" s="3"/>
      <c r="Q3222" s="3"/>
      <c r="R3222" s="3"/>
      <c r="S3222" s="3"/>
      <c r="T3222" s="3"/>
      <c r="U3222" s="3"/>
      <c r="V3222" s="3"/>
      <c r="W3222" s="3"/>
      <c r="X3222" s="3"/>
      <c r="Y3222" s="4"/>
      <c r="Z3222"/>
      <c r="AA3222"/>
    </row>
    <row r="3223" spans="1:27" s="37" customFormat="1" x14ac:dyDescent="0.15">
      <c r="A3223" s="166"/>
      <c r="B3223" s="82"/>
      <c r="C3223" s="70"/>
      <c r="D3223" s="70"/>
      <c r="E3223" s="70"/>
      <c r="F3223" s="70"/>
      <c r="G3223" s="70"/>
      <c r="H3223" s="85"/>
      <c r="I3223" s="85"/>
      <c r="J3223" s="131"/>
      <c r="K3223" s="60"/>
      <c r="L3223" s="49"/>
      <c r="P3223" s="3"/>
      <c r="Q3223" s="3"/>
      <c r="R3223" s="3"/>
      <c r="S3223" s="3"/>
      <c r="T3223" s="3"/>
      <c r="U3223" s="3"/>
      <c r="V3223" s="3"/>
      <c r="W3223" s="3"/>
      <c r="X3223" s="3"/>
      <c r="Y3223" s="4"/>
      <c r="Z3223"/>
      <c r="AA3223"/>
    </row>
    <row r="3224" spans="1:27" s="37" customFormat="1" x14ac:dyDescent="0.15">
      <c r="A3224" s="166"/>
      <c r="B3224" s="82"/>
      <c r="C3224" s="70"/>
      <c r="D3224" s="70"/>
      <c r="E3224" s="70"/>
      <c r="F3224" s="70"/>
      <c r="G3224" s="70"/>
      <c r="H3224" s="85"/>
      <c r="I3224" s="85"/>
      <c r="J3224" s="131"/>
      <c r="K3224" s="60"/>
      <c r="L3224" s="49"/>
      <c r="P3224" s="3"/>
      <c r="Q3224" s="3"/>
      <c r="R3224" s="3"/>
      <c r="S3224" s="3"/>
      <c r="T3224" s="3"/>
      <c r="U3224" s="3"/>
      <c r="V3224" s="3"/>
      <c r="W3224" s="3"/>
      <c r="X3224" s="3"/>
      <c r="Y3224" s="4"/>
      <c r="Z3224"/>
      <c r="AA3224"/>
    </row>
    <row r="3225" spans="1:27" s="37" customFormat="1" x14ac:dyDescent="0.15">
      <c r="A3225" s="166"/>
      <c r="B3225" s="82"/>
      <c r="C3225" s="70"/>
      <c r="D3225" s="70"/>
      <c r="E3225" s="70"/>
      <c r="F3225" s="70"/>
      <c r="G3225" s="70"/>
      <c r="H3225" s="85"/>
      <c r="I3225" s="85"/>
      <c r="J3225" s="131"/>
      <c r="K3225" s="60"/>
      <c r="L3225" s="49"/>
      <c r="N3225" s="49"/>
      <c r="P3225" s="3"/>
      <c r="Q3225" s="3"/>
      <c r="R3225" s="3"/>
      <c r="S3225" s="3"/>
      <c r="T3225" s="3"/>
      <c r="U3225" s="3"/>
      <c r="V3225" s="3"/>
      <c r="W3225" s="3"/>
      <c r="X3225" s="3"/>
      <c r="Y3225" s="4"/>
      <c r="Z3225"/>
      <c r="AA3225"/>
    </row>
    <row r="3226" spans="1:27" s="37" customFormat="1" x14ac:dyDescent="0.15">
      <c r="A3226" s="166"/>
      <c r="B3226" s="82"/>
      <c r="C3226" s="70"/>
      <c r="D3226" s="70"/>
      <c r="E3226" s="70"/>
      <c r="F3226" s="70"/>
      <c r="G3226" s="70"/>
      <c r="H3226" s="85"/>
      <c r="I3226" s="85"/>
      <c r="J3226" s="131"/>
      <c r="K3226" s="60"/>
      <c r="L3226" s="49"/>
      <c r="P3226" s="3"/>
      <c r="Q3226" s="3"/>
      <c r="R3226" s="3"/>
      <c r="S3226" s="3"/>
      <c r="T3226" s="3"/>
      <c r="U3226" s="3"/>
      <c r="V3226" s="3"/>
      <c r="W3226" s="3"/>
      <c r="X3226" s="3"/>
      <c r="Y3226" s="4"/>
      <c r="Z3226"/>
      <c r="AA3226"/>
    </row>
    <row r="3227" spans="1:27" s="37" customFormat="1" x14ac:dyDescent="0.15">
      <c r="A3227" s="166"/>
      <c r="B3227" s="82"/>
      <c r="C3227" s="70"/>
      <c r="D3227" s="70"/>
      <c r="E3227" s="70"/>
      <c r="F3227" s="70"/>
      <c r="G3227" s="70"/>
      <c r="H3227" s="85"/>
      <c r="I3227" s="85"/>
      <c r="J3227" s="131"/>
      <c r="K3227" s="60"/>
      <c r="L3227" s="49"/>
      <c r="P3227" s="3"/>
      <c r="Q3227" s="3"/>
      <c r="R3227" s="3"/>
      <c r="S3227" s="3"/>
      <c r="T3227" s="3"/>
      <c r="U3227" s="3"/>
      <c r="V3227" s="3"/>
      <c r="W3227" s="3"/>
      <c r="X3227" s="3"/>
      <c r="Y3227" s="4"/>
      <c r="Z3227"/>
      <c r="AA3227"/>
    </row>
    <row r="3228" spans="1:27" s="37" customFormat="1" x14ac:dyDescent="0.15">
      <c r="A3228" s="166"/>
      <c r="B3228" s="82"/>
      <c r="C3228" s="70"/>
      <c r="D3228" s="70"/>
      <c r="E3228" s="70"/>
      <c r="F3228" s="70"/>
      <c r="G3228" s="70"/>
      <c r="H3228" s="85"/>
      <c r="I3228" s="85"/>
      <c r="J3228" s="131"/>
      <c r="K3228" s="60"/>
      <c r="L3228" s="49"/>
      <c r="P3228" s="3"/>
      <c r="Q3228" s="3"/>
      <c r="R3228" s="3"/>
      <c r="S3228" s="3"/>
      <c r="T3228" s="3"/>
      <c r="U3228" s="3"/>
      <c r="V3228" s="3"/>
      <c r="W3228" s="3"/>
      <c r="X3228" s="3"/>
      <c r="Y3228" s="4"/>
      <c r="Z3228"/>
      <c r="AA3228"/>
    </row>
    <row r="3229" spans="1:27" s="37" customFormat="1" x14ac:dyDescent="0.15">
      <c r="A3229" s="166"/>
      <c r="B3229" s="82"/>
      <c r="C3229" s="70"/>
      <c r="D3229" s="70"/>
      <c r="E3229" s="70"/>
      <c r="F3229" s="70"/>
      <c r="G3229" s="70"/>
      <c r="H3229" s="85"/>
      <c r="I3229" s="85"/>
      <c r="J3229" s="131"/>
      <c r="K3229" s="60"/>
      <c r="L3229" s="49"/>
      <c r="P3229" s="3"/>
      <c r="Q3229" s="3"/>
      <c r="R3229" s="3"/>
      <c r="S3229" s="3"/>
      <c r="T3229" s="3"/>
      <c r="U3229" s="3"/>
      <c r="V3229" s="3"/>
      <c r="W3229" s="3"/>
      <c r="X3229" s="3"/>
      <c r="Y3229" s="4"/>
      <c r="Z3229"/>
      <c r="AA3229"/>
    </row>
    <row r="3230" spans="1:27" s="37" customFormat="1" x14ac:dyDescent="0.15">
      <c r="A3230" s="166"/>
      <c r="B3230" s="82"/>
      <c r="C3230" s="70"/>
      <c r="D3230" s="70"/>
      <c r="E3230" s="70"/>
      <c r="F3230" s="70"/>
      <c r="G3230" s="70"/>
      <c r="H3230" s="85"/>
      <c r="I3230" s="85"/>
      <c r="J3230" s="131"/>
      <c r="K3230" s="60"/>
      <c r="L3230" s="49"/>
      <c r="P3230" s="3"/>
      <c r="Q3230" s="3"/>
      <c r="R3230" s="3"/>
      <c r="S3230" s="3"/>
      <c r="T3230" s="3"/>
      <c r="U3230" s="3"/>
      <c r="V3230" s="3"/>
      <c r="W3230" s="3"/>
      <c r="X3230" s="3"/>
      <c r="Y3230" s="4"/>
      <c r="Z3230"/>
      <c r="AA3230"/>
    </row>
    <row r="3231" spans="1:27" s="3" customFormat="1" x14ac:dyDescent="0.15">
      <c r="A3231" s="166"/>
      <c r="B3231" s="82"/>
      <c r="C3231" s="70"/>
      <c r="D3231" s="70"/>
      <c r="E3231" s="70"/>
      <c r="F3231" s="70"/>
      <c r="G3231" s="70"/>
      <c r="H3231" s="85"/>
      <c r="I3231" s="85"/>
      <c r="J3231" s="131"/>
      <c r="K3231" s="60"/>
      <c r="L3231" s="49"/>
      <c r="M3231" s="37"/>
      <c r="N3231" s="37"/>
      <c r="O3231" s="37"/>
      <c r="Y3231" s="4"/>
      <c r="Z3231"/>
      <c r="AA3231"/>
    </row>
    <row r="3232" spans="1:27" s="3" customFormat="1" x14ac:dyDescent="0.15">
      <c r="A3232" s="166"/>
      <c r="B3232" s="82"/>
      <c r="C3232" s="70"/>
      <c r="D3232" s="70"/>
      <c r="E3232" s="70"/>
      <c r="F3232" s="70"/>
      <c r="G3232" s="70"/>
      <c r="H3232" s="85"/>
      <c r="I3232" s="85"/>
      <c r="J3232" s="131"/>
      <c r="K3232" s="60"/>
      <c r="L3232" s="49"/>
      <c r="M3232" s="37"/>
      <c r="N3232" s="37"/>
      <c r="O3232" s="37"/>
      <c r="Y3232" s="4"/>
      <c r="Z3232"/>
      <c r="AA3232"/>
    </row>
    <row r="3233" spans="1:27" s="3" customFormat="1" ht="16" x14ac:dyDescent="0.2">
      <c r="A3233" s="166"/>
      <c r="B3233" s="82"/>
      <c r="C3233" s="70"/>
      <c r="D3233" s="70"/>
      <c r="E3233" s="70"/>
      <c r="F3233" s="70"/>
      <c r="G3233" s="70"/>
      <c r="H3233" s="85"/>
      <c r="I3233" s="85"/>
      <c r="J3233" s="131"/>
      <c r="K3233" s="60"/>
      <c r="L3233" s="47"/>
      <c r="M3233" s="37"/>
      <c r="N3233" s="37"/>
      <c r="O3233" s="37"/>
      <c r="Y3233" s="4"/>
      <c r="Z3233"/>
      <c r="AA3233"/>
    </row>
    <row r="3234" spans="1:27" s="3" customFormat="1" ht="16" x14ac:dyDescent="0.2">
      <c r="A3234" s="166"/>
      <c r="B3234" s="93"/>
      <c r="C3234" s="70"/>
      <c r="D3234" s="70"/>
      <c r="E3234" s="70"/>
      <c r="F3234" s="70"/>
      <c r="G3234" s="70"/>
      <c r="H3234" s="85"/>
      <c r="I3234" s="85"/>
      <c r="J3234" s="131"/>
      <c r="K3234" s="60"/>
      <c r="L3234" s="47"/>
      <c r="M3234" s="37"/>
      <c r="N3234" s="37"/>
      <c r="O3234" s="37"/>
      <c r="Y3234" s="4"/>
      <c r="Z3234"/>
      <c r="AA3234"/>
    </row>
    <row r="3235" spans="1:27" s="3" customFormat="1" x14ac:dyDescent="0.15">
      <c r="A3235" s="166"/>
      <c r="B3235" s="93"/>
      <c r="C3235" s="70"/>
      <c r="D3235" s="70"/>
      <c r="E3235" s="70"/>
      <c r="F3235" s="70"/>
      <c r="G3235" s="70"/>
      <c r="H3235" s="85"/>
      <c r="I3235" s="85"/>
      <c r="J3235" s="131"/>
      <c r="K3235" s="60"/>
      <c r="L3235" s="49"/>
      <c r="M3235" s="37"/>
      <c r="N3235" s="37"/>
      <c r="O3235" s="37"/>
      <c r="Y3235" s="4"/>
      <c r="Z3235"/>
      <c r="AA3235"/>
    </row>
    <row r="3236" spans="1:27" s="3" customFormat="1" x14ac:dyDescent="0.15">
      <c r="A3236" s="166"/>
      <c r="B3236" s="82"/>
      <c r="C3236" s="70"/>
      <c r="D3236" s="70"/>
      <c r="E3236" s="70"/>
      <c r="F3236" s="70"/>
      <c r="G3236" s="70"/>
      <c r="H3236" s="85"/>
      <c r="I3236" s="85"/>
      <c r="J3236" s="131"/>
      <c r="K3236" s="60"/>
      <c r="L3236" s="49"/>
      <c r="M3236" s="37"/>
      <c r="N3236" s="37"/>
      <c r="O3236" s="37"/>
      <c r="Y3236" s="4"/>
      <c r="Z3236"/>
      <c r="AA3236"/>
    </row>
    <row r="3237" spans="1:27" s="3" customFormat="1" x14ac:dyDescent="0.15">
      <c r="A3237" s="166"/>
      <c r="B3237" s="93"/>
      <c r="C3237" s="70"/>
      <c r="D3237" s="70"/>
      <c r="E3237" s="70"/>
      <c r="F3237" s="70"/>
      <c r="G3237" s="70"/>
      <c r="H3237" s="85"/>
      <c r="I3237" s="85"/>
      <c r="J3237" s="131"/>
      <c r="K3237" s="60"/>
      <c r="L3237" s="33"/>
      <c r="M3237" s="37"/>
      <c r="N3237" s="37"/>
      <c r="O3237" s="37"/>
      <c r="Y3237" s="4"/>
      <c r="Z3237"/>
      <c r="AA3237"/>
    </row>
    <row r="3238" spans="1:27" s="3" customFormat="1" x14ac:dyDescent="0.15">
      <c r="A3238" s="166"/>
      <c r="B3238" s="93"/>
      <c r="C3238" s="70"/>
      <c r="D3238" s="70"/>
      <c r="E3238" s="70"/>
      <c r="F3238" s="70"/>
      <c r="G3238" s="70"/>
      <c r="H3238" s="85"/>
      <c r="I3238" s="85"/>
      <c r="J3238" s="131"/>
      <c r="K3238" s="60"/>
      <c r="L3238" s="33"/>
      <c r="M3238" s="37"/>
      <c r="N3238" s="37"/>
      <c r="O3238" s="37"/>
      <c r="Y3238" s="4"/>
      <c r="Z3238"/>
      <c r="AA3238"/>
    </row>
    <row r="3239" spans="1:27" s="3" customFormat="1" x14ac:dyDescent="0.15">
      <c r="A3239" s="166"/>
      <c r="B3239" s="93"/>
      <c r="C3239" s="70"/>
      <c r="D3239" s="70"/>
      <c r="E3239" s="70"/>
      <c r="F3239" s="70"/>
      <c r="G3239" s="70"/>
      <c r="H3239" s="85"/>
      <c r="I3239" s="85"/>
      <c r="J3239" s="131"/>
      <c r="K3239" s="60"/>
      <c r="L3239" s="49"/>
      <c r="M3239" s="37"/>
      <c r="N3239" s="37"/>
      <c r="O3239" s="37"/>
      <c r="Y3239" s="4"/>
      <c r="Z3239"/>
      <c r="AA3239"/>
    </row>
    <row r="3240" spans="1:27" s="3" customFormat="1" x14ac:dyDescent="0.15">
      <c r="A3240" s="166"/>
      <c r="B3240" s="93"/>
      <c r="C3240" s="70"/>
      <c r="D3240" s="70"/>
      <c r="E3240" s="70"/>
      <c r="F3240" s="70"/>
      <c r="G3240" s="70"/>
      <c r="H3240" s="85"/>
      <c r="I3240" s="85"/>
      <c r="J3240" s="131"/>
      <c r="K3240" s="60"/>
      <c r="L3240" s="33"/>
      <c r="M3240" s="37"/>
      <c r="N3240" s="37"/>
      <c r="O3240" s="37"/>
      <c r="Y3240" s="4"/>
      <c r="Z3240"/>
      <c r="AA3240"/>
    </row>
    <row r="3241" spans="1:27" s="3" customFormat="1" x14ac:dyDescent="0.15">
      <c r="A3241" s="166"/>
      <c r="B3241" s="93"/>
      <c r="C3241" s="70"/>
      <c r="D3241" s="70"/>
      <c r="E3241" s="70"/>
      <c r="F3241" s="70"/>
      <c r="G3241" s="70"/>
      <c r="H3241" s="85"/>
      <c r="I3241" s="85"/>
      <c r="J3241" s="131"/>
      <c r="K3241" s="60"/>
      <c r="L3241" s="49"/>
      <c r="M3241" s="37"/>
      <c r="N3241" s="37"/>
      <c r="O3241" s="37"/>
      <c r="Y3241" s="4"/>
      <c r="Z3241"/>
      <c r="AA3241"/>
    </row>
    <row r="3242" spans="1:27" s="3" customFormat="1" ht="16" x14ac:dyDescent="0.2">
      <c r="A3242" s="166"/>
      <c r="B3242" s="93"/>
      <c r="C3242" s="70"/>
      <c r="D3242" s="70"/>
      <c r="E3242" s="70"/>
      <c r="F3242" s="70"/>
      <c r="G3242" s="70"/>
      <c r="H3242" s="85"/>
      <c r="I3242" s="85"/>
      <c r="J3242" s="131"/>
      <c r="K3242" s="60"/>
      <c r="L3242" s="47"/>
      <c r="M3242" s="37"/>
      <c r="N3242" s="37"/>
      <c r="O3242" s="37"/>
      <c r="Y3242" s="4"/>
      <c r="Z3242"/>
      <c r="AA3242"/>
    </row>
    <row r="3243" spans="1:27" s="3" customFormat="1" x14ac:dyDescent="0.15">
      <c r="A3243" s="166"/>
      <c r="B3243" s="93"/>
      <c r="C3243" s="70"/>
      <c r="D3243" s="70"/>
      <c r="E3243" s="70"/>
      <c r="F3243" s="70"/>
      <c r="G3243" s="70"/>
      <c r="H3243" s="85"/>
      <c r="I3243" s="95"/>
      <c r="J3243" s="131"/>
      <c r="K3243" s="60"/>
      <c r="L3243" s="49"/>
      <c r="M3243" s="37"/>
      <c r="N3243" s="37"/>
      <c r="O3243" s="37"/>
      <c r="Y3243" s="4"/>
      <c r="Z3243"/>
      <c r="AA3243"/>
    </row>
    <row r="3244" spans="1:27" s="3" customFormat="1" x14ac:dyDescent="0.15">
      <c r="A3244" s="166"/>
      <c r="B3244" s="82"/>
      <c r="C3244" s="70"/>
      <c r="D3244" s="70"/>
      <c r="E3244" s="70"/>
      <c r="F3244" s="70"/>
      <c r="G3244" s="70"/>
      <c r="H3244" s="85"/>
      <c r="I3244" s="85"/>
      <c r="J3244" s="131"/>
      <c r="K3244" s="60"/>
      <c r="L3244" s="49"/>
      <c r="M3244" s="37"/>
      <c r="N3244" s="37"/>
      <c r="O3244" s="33"/>
      <c r="Y3244" s="4"/>
      <c r="Z3244"/>
      <c r="AA3244"/>
    </row>
    <row r="3245" spans="1:27" s="3" customFormat="1" x14ac:dyDescent="0.15">
      <c r="A3245" s="166"/>
      <c r="B3245" s="82"/>
      <c r="C3245" s="70"/>
      <c r="D3245" s="70"/>
      <c r="E3245" s="70"/>
      <c r="F3245" s="70"/>
      <c r="G3245" s="70"/>
      <c r="H3245" s="85"/>
      <c r="I3245" s="85"/>
      <c r="J3245" s="131"/>
      <c r="K3245" s="60"/>
      <c r="L3245" s="49"/>
      <c r="M3245" s="37"/>
      <c r="N3245" s="37"/>
      <c r="O3245" s="37"/>
      <c r="Y3245" s="4"/>
      <c r="Z3245"/>
      <c r="AA3245"/>
    </row>
    <row r="3246" spans="1:27" s="3" customFormat="1" x14ac:dyDescent="0.15">
      <c r="A3246" s="166"/>
      <c r="B3246" s="93"/>
      <c r="C3246" s="70"/>
      <c r="D3246" s="70"/>
      <c r="E3246" s="70"/>
      <c r="F3246" s="70"/>
      <c r="G3246" s="70"/>
      <c r="H3246" s="85"/>
      <c r="I3246" s="85"/>
      <c r="J3246" s="131"/>
      <c r="K3246" s="60"/>
      <c r="L3246" s="33"/>
      <c r="M3246" s="37"/>
      <c r="N3246" s="37"/>
      <c r="O3246" s="37"/>
      <c r="Y3246" s="4"/>
      <c r="Z3246"/>
      <c r="AA3246"/>
    </row>
    <row r="3247" spans="1:27" s="37" customFormat="1" x14ac:dyDescent="0.15">
      <c r="A3247" s="166"/>
      <c r="B3247" s="82"/>
      <c r="C3247" s="70"/>
      <c r="D3247" s="70"/>
      <c r="E3247" s="70"/>
      <c r="F3247" s="70"/>
      <c r="G3247" s="70"/>
      <c r="H3247" s="85"/>
      <c r="I3247" s="85"/>
      <c r="J3247" s="131"/>
      <c r="K3247" s="60"/>
      <c r="L3247" s="49"/>
      <c r="P3247" s="3"/>
      <c r="Q3247" s="3"/>
      <c r="R3247" s="3"/>
      <c r="S3247" s="3"/>
      <c r="T3247" s="3"/>
      <c r="U3247" s="3"/>
      <c r="V3247" s="3"/>
      <c r="W3247" s="3"/>
      <c r="X3247" s="3"/>
      <c r="Y3247" s="4"/>
      <c r="Z3247"/>
      <c r="AA3247"/>
    </row>
    <row r="3248" spans="1:27" s="37" customFormat="1" x14ac:dyDescent="0.15">
      <c r="A3248" s="166"/>
      <c r="B3248" s="93"/>
      <c r="C3248" s="70"/>
      <c r="D3248" s="70"/>
      <c r="E3248" s="70"/>
      <c r="F3248" s="70"/>
      <c r="G3248" s="70"/>
      <c r="H3248" s="85"/>
      <c r="I3248" s="85"/>
      <c r="J3248" s="131"/>
      <c r="K3248" s="60"/>
      <c r="L3248" s="33"/>
      <c r="M3248" s="32"/>
      <c r="P3248" s="3"/>
      <c r="Q3248" s="3"/>
      <c r="R3248" s="3"/>
      <c r="S3248" s="3"/>
      <c r="T3248" s="3"/>
      <c r="U3248" s="3"/>
      <c r="V3248" s="3"/>
      <c r="W3248" s="3"/>
      <c r="X3248" s="3"/>
      <c r="Y3248" s="4"/>
      <c r="Z3248"/>
      <c r="AA3248"/>
    </row>
    <row r="3249" spans="1:27" s="37" customFormat="1" x14ac:dyDescent="0.15">
      <c r="A3249" s="166"/>
      <c r="B3249" s="93"/>
      <c r="C3249" s="70"/>
      <c r="D3249" s="70"/>
      <c r="E3249" s="70"/>
      <c r="F3249" s="70"/>
      <c r="G3249" s="70"/>
      <c r="H3249" s="85"/>
      <c r="I3249" s="85"/>
      <c r="J3249" s="131"/>
      <c r="K3249" s="60"/>
      <c r="L3249" s="33"/>
      <c r="P3249" s="3"/>
      <c r="Q3249" s="3"/>
      <c r="R3249" s="3"/>
      <c r="S3249" s="3"/>
      <c r="T3249" s="3"/>
      <c r="U3249" s="3"/>
      <c r="V3249" s="3"/>
      <c r="W3249" s="3"/>
      <c r="X3249" s="3"/>
      <c r="Y3249" s="4"/>
      <c r="Z3249"/>
      <c r="AA3249"/>
    </row>
    <row r="3250" spans="1:27" s="37" customFormat="1" x14ac:dyDescent="0.15">
      <c r="A3250" s="166"/>
      <c r="B3250" s="82"/>
      <c r="C3250" s="70"/>
      <c r="D3250" s="70"/>
      <c r="E3250" s="70"/>
      <c r="F3250" s="70"/>
      <c r="G3250" s="70"/>
      <c r="H3250" s="85"/>
      <c r="I3250" s="85"/>
      <c r="J3250" s="131"/>
      <c r="K3250" s="60"/>
      <c r="L3250" s="33"/>
      <c r="P3250" s="3"/>
      <c r="Q3250" s="3"/>
      <c r="R3250" s="3"/>
      <c r="S3250" s="3"/>
      <c r="T3250" s="3"/>
      <c r="U3250" s="3"/>
      <c r="V3250" s="3"/>
      <c r="W3250" s="3"/>
      <c r="X3250" s="3"/>
      <c r="Y3250" s="4"/>
      <c r="Z3250"/>
      <c r="AA3250"/>
    </row>
    <row r="3251" spans="1:27" s="37" customFormat="1" x14ac:dyDescent="0.15">
      <c r="A3251" s="166"/>
      <c r="B3251" s="82"/>
      <c r="C3251" s="70"/>
      <c r="D3251" s="70"/>
      <c r="E3251" s="70"/>
      <c r="F3251" s="70"/>
      <c r="G3251" s="70"/>
      <c r="H3251" s="85"/>
      <c r="I3251" s="85"/>
      <c r="J3251" s="131"/>
      <c r="K3251" s="60"/>
      <c r="L3251" s="33"/>
      <c r="M3251" s="32"/>
      <c r="P3251" s="3"/>
      <c r="Q3251" s="3"/>
      <c r="R3251" s="3"/>
      <c r="S3251" s="3"/>
      <c r="T3251" s="3"/>
      <c r="U3251" s="3"/>
      <c r="V3251" s="3"/>
      <c r="W3251" s="3"/>
      <c r="X3251" s="3"/>
      <c r="Y3251" s="4"/>
      <c r="Z3251"/>
      <c r="AA3251"/>
    </row>
    <row r="3252" spans="1:27" s="37" customFormat="1" x14ac:dyDescent="0.15">
      <c r="A3252" s="166"/>
      <c r="B3252" s="82"/>
      <c r="C3252" s="70"/>
      <c r="D3252" s="70"/>
      <c r="E3252" s="70"/>
      <c r="F3252" s="70"/>
      <c r="G3252" s="70"/>
      <c r="H3252" s="85"/>
      <c r="I3252" s="85"/>
      <c r="J3252" s="131"/>
      <c r="K3252" s="60"/>
      <c r="L3252" s="49"/>
      <c r="P3252" s="3"/>
      <c r="Q3252" s="3"/>
      <c r="R3252" s="3"/>
      <c r="S3252" s="3"/>
      <c r="T3252" s="3"/>
      <c r="U3252" s="3"/>
      <c r="V3252" s="3"/>
      <c r="W3252" s="3"/>
      <c r="X3252" s="3"/>
      <c r="Y3252" s="4"/>
      <c r="Z3252"/>
      <c r="AA3252"/>
    </row>
    <row r="3253" spans="1:27" s="37" customFormat="1" x14ac:dyDescent="0.15">
      <c r="A3253" s="166"/>
      <c r="B3253" s="93"/>
      <c r="C3253" s="70"/>
      <c r="D3253" s="70"/>
      <c r="E3253" s="70"/>
      <c r="F3253" s="70"/>
      <c r="G3253" s="70"/>
      <c r="H3253" s="85"/>
      <c r="I3253" s="85"/>
      <c r="J3253" s="131"/>
      <c r="K3253" s="60"/>
      <c r="L3253" s="49"/>
      <c r="P3253" s="3"/>
      <c r="Q3253" s="3"/>
      <c r="R3253" s="3"/>
      <c r="S3253" s="3"/>
      <c r="T3253" s="3"/>
      <c r="U3253" s="3"/>
      <c r="V3253" s="3"/>
      <c r="W3253" s="3"/>
      <c r="X3253" s="3"/>
      <c r="Y3253" s="4"/>
      <c r="Z3253"/>
      <c r="AA3253"/>
    </row>
    <row r="3254" spans="1:27" s="37" customFormat="1" x14ac:dyDescent="0.15">
      <c r="A3254" s="166"/>
      <c r="B3254" s="82"/>
      <c r="C3254" s="70"/>
      <c r="D3254" s="70"/>
      <c r="E3254" s="70"/>
      <c r="F3254" s="70"/>
      <c r="G3254" s="70"/>
      <c r="H3254" s="85"/>
      <c r="I3254" s="85"/>
      <c r="J3254" s="131"/>
      <c r="K3254" s="60"/>
      <c r="L3254" s="49"/>
      <c r="P3254" s="3"/>
      <c r="Q3254" s="3"/>
      <c r="R3254" s="3"/>
      <c r="S3254" s="3"/>
      <c r="T3254" s="3"/>
      <c r="U3254" s="3"/>
      <c r="V3254" s="3"/>
      <c r="W3254" s="3"/>
      <c r="X3254" s="3"/>
      <c r="Y3254" s="4"/>
      <c r="Z3254"/>
      <c r="AA3254"/>
    </row>
    <row r="3255" spans="1:27" s="37" customFormat="1" x14ac:dyDescent="0.15">
      <c r="A3255" s="166"/>
      <c r="B3255" s="93"/>
      <c r="C3255" s="70"/>
      <c r="D3255" s="70"/>
      <c r="E3255" s="70"/>
      <c r="F3255" s="70"/>
      <c r="G3255" s="70"/>
      <c r="H3255" s="85"/>
      <c r="I3255" s="85"/>
      <c r="J3255" s="131"/>
      <c r="K3255" s="60"/>
      <c r="L3255" s="49"/>
      <c r="M3255" s="32"/>
      <c r="P3255" s="3"/>
      <c r="Q3255" s="3"/>
      <c r="R3255" s="3"/>
      <c r="S3255" s="3"/>
      <c r="T3255" s="3"/>
      <c r="U3255" s="3"/>
      <c r="V3255" s="3"/>
      <c r="W3255" s="3"/>
      <c r="X3255" s="3"/>
      <c r="Y3255" s="4"/>
      <c r="Z3255"/>
      <c r="AA3255"/>
    </row>
    <row r="3256" spans="1:27" s="37" customFormat="1" ht="16" x14ac:dyDescent="0.2">
      <c r="A3256" s="166"/>
      <c r="B3256" s="82"/>
      <c r="C3256" s="70"/>
      <c r="D3256" s="70"/>
      <c r="E3256" s="70"/>
      <c r="F3256" s="70"/>
      <c r="G3256" s="70"/>
      <c r="H3256" s="85"/>
      <c r="I3256" s="85"/>
      <c r="J3256" s="131"/>
      <c r="K3256" s="60"/>
      <c r="L3256" s="47"/>
      <c r="P3256" s="3"/>
      <c r="Q3256" s="3"/>
      <c r="R3256" s="3"/>
      <c r="S3256" s="3"/>
      <c r="T3256" s="3"/>
      <c r="U3256" s="3"/>
      <c r="V3256" s="3"/>
      <c r="W3256" s="3"/>
      <c r="X3256" s="3"/>
      <c r="Y3256" s="4"/>
      <c r="Z3256"/>
      <c r="AA3256"/>
    </row>
    <row r="3257" spans="1:27" s="37" customFormat="1" x14ac:dyDescent="0.15">
      <c r="A3257" s="166"/>
      <c r="B3257" s="82"/>
      <c r="C3257" s="70"/>
      <c r="D3257" s="70"/>
      <c r="E3257" s="70"/>
      <c r="F3257" s="70"/>
      <c r="G3257" s="70"/>
      <c r="H3257" s="85"/>
      <c r="I3257" s="85"/>
      <c r="J3257" s="131"/>
      <c r="K3257" s="60"/>
      <c r="L3257" s="49"/>
      <c r="M3257" s="32"/>
      <c r="P3257" s="3"/>
      <c r="Q3257" s="3"/>
      <c r="R3257" s="3"/>
      <c r="S3257" s="3"/>
      <c r="T3257" s="3"/>
      <c r="U3257" s="3"/>
      <c r="V3257" s="3"/>
      <c r="W3257" s="3"/>
      <c r="X3257" s="3"/>
      <c r="Y3257" s="4"/>
      <c r="Z3257"/>
      <c r="AA3257"/>
    </row>
    <row r="3258" spans="1:27" s="37" customFormat="1" x14ac:dyDescent="0.15">
      <c r="A3258" s="166"/>
      <c r="B3258" s="93"/>
      <c r="C3258" s="70"/>
      <c r="D3258" s="70"/>
      <c r="E3258" s="70"/>
      <c r="F3258" s="70"/>
      <c r="G3258" s="70"/>
      <c r="H3258" s="85"/>
      <c r="I3258" s="85"/>
      <c r="J3258" s="131"/>
      <c r="K3258" s="60"/>
      <c r="L3258" s="33"/>
      <c r="P3258" s="3"/>
      <c r="Q3258" s="3"/>
      <c r="R3258" s="3"/>
      <c r="S3258" s="3"/>
      <c r="T3258" s="3"/>
      <c r="U3258" s="3"/>
      <c r="V3258" s="3"/>
      <c r="W3258" s="3"/>
      <c r="X3258" s="3"/>
      <c r="Y3258" s="4"/>
      <c r="Z3258"/>
      <c r="AA3258"/>
    </row>
    <row r="3259" spans="1:27" s="37" customFormat="1" ht="16" x14ac:dyDescent="0.2">
      <c r="A3259" s="166"/>
      <c r="B3259" s="93"/>
      <c r="C3259" s="70"/>
      <c r="D3259" s="70"/>
      <c r="E3259" s="70"/>
      <c r="F3259" s="70"/>
      <c r="G3259" s="70"/>
      <c r="H3259" s="85"/>
      <c r="I3259" s="85"/>
      <c r="J3259" s="131"/>
      <c r="K3259" s="60"/>
      <c r="L3259" s="47"/>
      <c r="P3259" s="3"/>
      <c r="Q3259" s="3"/>
      <c r="R3259" s="3"/>
      <c r="S3259" s="3"/>
      <c r="T3259" s="3"/>
      <c r="U3259" s="3"/>
      <c r="V3259" s="3"/>
      <c r="W3259" s="3"/>
      <c r="X3259" s="3"/>
      <c r="Y3259" s="4"/>
      <c r="Z3259"/>
      <c r="AA3259"/>
    </row>
    <row r="3260" spans="1:27" s="37" customFormat="1" x14ac:dyDescent="0.15">
      <c r="A3260" s="166"/>
      <c r="B3260" s="82"/>
      <c r="C3260" s="70"/>
      <c r="D3260" s="70"/>
      <c r="E3260" s="70"/>
      <c r="F3260" s="70"/>
      <c r="G3260" s="70"/>
      <c r="H3260" s="85"/>
      <c r="I3260" s="85"/>
      <c r="J3260" s="131"/>
      <c r="K3260" s="60"/>
      <c r="L3260" s="49"/>
      <c r="P3260" s="3"/>
      <c r="Q3260" s="3"/>
      <c r="R3260" s="3"/>
      <c r="S3260" s="3"/>
      <c r="T3260" s="3"/>
      <c r="U3260" s="3"/>
      <c r="V3260" s="3"/>
      <c r="W3260" s="3"/>
      <c r="X3260" s="3"/>
      <c r="Y3260" s="4"/>
      <c r="Z3260"/>
      <c r="AA3260"/>
    </row>
    <row r="3261" spans="1:27" s="37" customFormat="1" x14ac:dyDescent="0.15">
      <c r="A3261" s="166"/>
      <c r="B3261" s="82"/>
      <c r="C3261" s="70"/>
      <c r="D3261" s="70"/>
      <c r="E3261" s="70"/>
      <c r="F3261" s="70"/>
      <c r="G3261" s="70"/>
      <c r="H3261" s="85"/>
      <c r="I3261" s="85"/>
      <c r="J3261" s="131"/>
      <c r="K3261" s="60"/>
      <c r="L3261" s="49"/>
      <c r="P3261" s="3"/>
      <c r="Q3261" s="3"/>
      <c r="R3261" s="3"/>
      <c r="S3261" s="3"/>
      <c r="T3261" s="3"/>
      <c r="U3261" s="3"/>
      <c r="V3261" s="3"/>
      <c r="W3261" s="3"/>
      <c r="X3261" s="3"/>
      <c r="Y3261" s="4"/>
      <c r="Z3261"/>
      <c r="AA3261"/>
    </row>
    <row r="3262" spans="1:27" s="37" customFormat="1" x14ac:dyDescent="0.15">
      <c r="A3262" s="166"/>
      <c r="B3262" s="82"/>
      <c r="C3262" s="70"/>
      <c r="D3262" s="70"/>
      <c r="E3262" s="70"/>
      <c r="F3262" s="70"/>
      <c r="G3262" s="70"/>
      <c r="H3262" s="85"/>
      <c r="I3262" s="85"/>
      <c r="J3262" s="131"/>
      <c r="K3262" s="60"/>
      <c r="L3262" s="49"/>
      <c r="P3262" s="3"/>
      <c r="Q3262" s="3"/>
      <c r="R3262" s="3"/>
      <c r="S3262" s="3"/>
      <c r="T3262" s="3"/>
      <c r="U3262" s="3"/>
      <c r="V3262" s="3"/>
      <c r="W3262" s="3"/>
      <c r="X3262" s="3"/>
      <c r="Y3262" s="4"/>
      <c r="Z3262"/>
      <c r="AA3262"/>
    </row>
    <row r="3263" spans="1:27" s="37" customFormat="1" x14ac:dyDescent="0.15">
      <c r="A3263" s="166"/>
      <c r="B3263" s="82"/>
      <c r="C3263" s="70"/>
      <c r="D3263" s="70"/>
      <c r="E3263" s="70"/>
      <c r="F3263" s="70"/>
      <c r="G3263" s="70"/>
      <c r="H3263" s="85"/>
      <c r="I3263" s="85"/>
      <c r="J3263" s="131"/>
      <c r="K3263" s="60"/>
      <c r="L3263" s="49"/>
      <c r="P3263" s="3"/>
      <c r="Q3263" s="3"/>
      <c r="R3263" s="3"/>
      <c r="S3263" s="3"/>
      <c r="T3263" s="3"/>
      <c r="U3263" s="3"/>
      <c r="V3263" s="3"/>
      <c r="W3263" s="3"/>
      <c r="X3263" s="3"/>
      <c r="Y3263" s="4"/>
      <c r="Z3263"/>
      <c r="AA3263"/>
    </row>
    <row r="3264" spans="1:27" s="37" customFormat="1" x14ac:dyDescent="0.15">
      <c r="A3264" s="166"/>
      <c r="B3264" s="82"/>
      <c r="C3264" s="70"/>
      <c r="D3264" s="70"/>
      <c r="E3264" s="70"/>
      <c r="F3264" s="70"/>
      <c r="G3264" s="70"/>
      <c r="H3264" s="85"/>
      <c r="I3264" s="85"/>
      <c r="J3264" s="131"/>
      <c r="K3264" s="60"/>
      <c r="L3264" s="49"/>
      <c r="P3264" s="3"/>
      <c r="Q3264" s="3"/>
      <c r="R3264" s="3"/>
      <c r="S3264" s="3"/>
      <c r="T3264" s="3"/>
      <c r="U3264" s="3"/>
      <c r="V3264" s="3"/>
      <c r="W3264" s="3"/>
      <c r="X3264" s="3"/>
      <c r="Y3264" s="4"/>
      <c r="Z3264"/>
      <c r="AA3264"/>
    </row>
    <row r="3265" spans="1:27" s="37" customFormat="1" x14ac:dyDescent="0.15">
      <c r="A3265" s="166"/>
      <c r="B3265" s="93"/>
      <c r="C3265" s="70"/>
      <c r="D3265" s="70"/>
      <c r="E3265" s="70"/>
      <c r="F3265" s="70"/>
      <c r="G3265" s="70"/>
      <c r="H3265" s="85"/>
      <c r="I3265" s="85"/>
      <c r="J3265" s="131"/>
      <c r="K3265" s="60"/>
      <c r="L3265" s="33"/>
      <c r="P3265" s="3"/>
      <c r="Q3265" s="3"/>
      <c r="R3265" s="3"/>
      <c r="S3265" s="3"/>
      <c r="T3265" s="3"/>
      <c r="U3265" s="3"/>
      <c r="V3265" s="3"/>
      <c r="W3265" s="3"/>
      <c r="X3265" s="3"/>
      <c r="Y3265" s="4"/>
      <c r="Z3265"/>
      <c r="AA3265"/>
    </row>
    <row r="3266" spans="1:27" s="37" customFormat="1" x14ac:dyDescent="0.15">
      <c r="A3266" s="166"/>
      <c r="B3266" s="82"/>
      <c r="C3266" s="70"/>
      <c r="D3266" s="70"/>
      <c r="E3266" s="70"/>
      <c r="F3266" s="70"/>
      <c r="G3266" s="70"/>
      <c r="H3266" s="85"/>
      <c r="I3266" s="85"/>
      <c r="J3266" s="131"/>
      <c r="K3266" s="60"/>
      <c r="L3266" s="33"/>
      <c r="P3266" s="3"/>
      <c r="Q3266" s="3"/>
      <c r="R3266" s="3"/>
      <c r="S3266" s="3"/>
      <c r="T3266" s="3"/>
      <c r="U3266" s="3"/>
      <c r="V3266" s="3"/>
      <c r="W3266" s="3"/>
      <c r="X3266" s="3"/>
      <c r="Y3266" s="4"/>
      <c r="Z3266"/>
      <c r="AA3266"/>
    </row>
    <row r="3267" spans="1:27" s="37" customFormat="1" x14ac:dyDescent="0.15">
      <c r="A3267" s="166"/>
      <c r="B3267" s="93"/>
      <c r="C3267" s="70"/>
      <c r="D3267" s="70"/>
      <c r="E3267" s="70"/>
      <c r="F3267" s="70"/>
      <c r="G3267" s="70"/>
      <c r="H3267" s="85"/>
      <c r="I3267" s="85"/>
      <c r="J3267" s="131"/>
      <c r="K3267" s="60"/>
      <c r="L3267" s="33"/>
      <c r="P3267" s="3"/>
      <c r="Q3267" s="3"/>
      <c r="R3267" s="3"/>
      <c r="S3267" s="3"/>
      <c r="T3267" s="3"/>
      <c r="U3267" s="3"/>
      <c r="V3267" s="3"/>
      <c r="W3267" s="3"/>
      <c r="X3267" s="3"/>
      <c r="Y3267" s="4"/>
      <c r="Z3267"/>
      <c r="AA3267"/>
    </row>
    <row r="3268" spans="1:27" s="37" customFormat="1" x14ac:dyDescent="0.15">
      <c r="A3268" s="166"/>
      <c r="B3268" s="93"/>
      <c r="C3268" s="70"/>
      <c r="D3268" s="70"/>
      <c r="E3268" s="70"/>
      <c r="F3268" s="70"/>
      <c r="G3268" s="70"/>
      <c r="H3268" s="85"/>
      <c r="I3268" s="85"/>
      <c r="J3268" s="131"/>
      <c r="K3268" s="60"/>
      <c r="L3268" s="33"/>
      <c r="P3268" s="3"/>
      <c r="Q3268" s="3"/>
      <c r="R3268" s="3"/>
      <c r="S3268" s="3"/>
      <c r="T3268" s="3"/>
      <c r="U3268" s="3"/>
      <c r="V3268" s="3"/>
      <c r="W3268" s="3"/>
      <c r="X3268" s="3"/>
      <c r="Y3268" s="4"/>
      <c r="Z3268"/>
      <c r="AA3268"/>
    </row>
    <row r="3269" spans="1:27" s="37" customFormat="1" x14ac:dyDescent="0.15">
      <c r="A3269" s="166"/>
      <c r="B3269" s="82"/>
      <c r="C3269" s="70"/>
      <c r="D3269" s="70"/>
      <c r="E3269" s="70"/>
      <c r="F3269" s="70"/>
      <c r="G3269" s="70"/>
      <c r="H3269" s="85"/>
      <c r="I3269" s="85"/>
      <c r="J3269" s="131"/>
      <c r="K3269" s="60"/>
      <c r="L3269" s="33"/>
      <c r="P3269" s="3"/>
      <c r="Q3269" s="3"/>
      <c r="R3269" s="3"/>
      <c r="S3269" s="3"/>
      <c r="T3269" s="3"/>
      <c r="U3269" s="3"/>
      <c r="V3269" s="3"/>
      <c r="W3269" s="3"/>
      <c r="X3269" s="3"/>
      <c r="Y3269" s="4"/>
      <c r="Z3269"/>
      <c r="AA3269"/>
    </row>
    <row r="3270" spans="1:27" s="37" customFormat="1" x14ac:dyDescent="0.15">
      <c r="A3270" s="166"/>
      <c r="B3270" s="93"/>
      <c r="C3270" s="70"/>
      <c r="D3270" s="70"/>
      <c r="E3270" s="70"/>
      <c r="F3270" s="70"/>
      <c r="G3270" s="70"/>
      <c r="H3270" s="85"/>
      <c r="I3270" s="85"/>
      <c r="J3270" s="131"/>
      <c r="K3270" s="60"/>
      <c r="L3270" s="33"/>
      <c r="P3270" s="3"/>
      <c r="Q3270" s="3"/>
      <c r="R3270" s="3"/>
      <c r="S3270" s="3"/>
      <c r="T3270" s="3"/>
      <c r="U3270" s="3"/>
      <c r="V3270" s="3"/>
      <c r="W3270" s="3"/>
      <c r="X3270" s="3"/>
      <c r="Y3270" s="4"/>
      <c r="Z3270"/>
      <c r="AA3270"/>
    </row>
    <row r="3271" spans="1:27" s="37" customFormat="1" x14ac:dyDescent="0.15">
      <c r="A3271" s="166"/>
      <c r="B3271" s="93"/>
      <c r="C3271" s="70"/>
      <c r="D3271" s="70"/>
      <c r="E3271" s="70"/>
      <c r="F3271" s="70"/>
      <c r="G3271" s="70"/>
      <c r="H3271" s="85"/>
      <c r="I3271" s="85"/>
      <c r="J3271" s="131"/>
      <c r="K3271" s="60"/>
      <c r="L3271" s="33"/>
      <c r="P3271" s="3"/>
      <c r="Q3271" s="3"/>
      <c r="R3271" s="3"/>
      <c r="S3271" s="3"/>
      <c r="T3271" s="3"/>
      <c r="U3271" s="3"/>
      <c r="V3271" s="3"/>
      <c r="W3271" s="3"/>
      <c r="X3271" s="3"/>
      <c r="Y3271" s="4"/>
      <c r="Z3271"/>
      <c r="AA3271"/>
    </row>
    <row r="3272" spans="1:27" s="37" customFormat="1" ht="16" x14ac:dyDescent="0.2">
      <c r="A3272" s="166"/>
      <c r="B3272" s="82"/>
      <c r="C3272" s="70"/>
      <c r="D3272" s="70"/>
      <c r="E3272" s="70"/>
      <c r="F3272" s="70"/>
      <c r="G3272" s="70"/>
      <c r="H3272" s="85"/>
      <c r="I3272" s="85"/>
      <c r="J3272" s="131"/>
      <c r="K3272" s="60"/>
      <c r="L3272" s="47"/>
      <c r="P3272" s="3"/>
      <c r="Q3272" s="3"/>
      <c r="R3272" s="3"/>
      <c r="S3272" s="3"/>
      <c r="T3272" s="3"/>
      <c r="U3272" s="3"/>
      <c r="V3272" s="3"/>
      <c r="W3272" s="3"/>
      <c r="X3272" s="3"/>
      <c r="Y3272" s="4"/>
      <c r="Z3272"/>
      <c r="AA3272"/>
    </row>
    <row r="3273" spans="1:27" s="37" customFormat="1" x14ac:dyDescent="0.15">
      <c r="A3273" s="166"/>
      <c r="B3273" s="93"/>
      <c r="C3273" s="70"/>
      <c r="D3273" s="70"/>
      <c r="E3273" s="70"/>
      <c r="F3273" s="70"/>
      <c r="G3273" s="70"/>
      <c r="H3273" s="85"/>
      <c r="I3273" s="85"/>
      <c r="J3273" s="131"/>
      <c r="K3273" s="60"/>
      <c r="L3273" s="33"/>
      <c r="M3273" s="32"/>
      <c r="P3273" s="3"/>
      <c r="Q3273" s="3"/>
      <c r="R3273" s="3"/>
      <c r="S3273" s="3"/>
      <c r="T3273" s="3"/>
      <c r="U3273" s="3"/>
      <c r="V3273" s="3"/>
      <c r="W3273" s="3"/>
      <c r="X3273" s="3"/>
      <c r="Y3273" s="4"/>
      <c r="Z3273"/>
      <c r="AA3273"/>
    </row>
    <row r="3274" spans="1:27" s="37" customFormat="1" ht="16" x14ac:dyDescent="0.2">
      <c r="A3274" s="166"/>
      <c r="B3274" s="93"/>
      <c r="C3274" s="70"/>
      <c r="D3274" s="70"/>
      <c r="E3274" s="70"/>
      <c r="F3274" s="70"/>
      <c r="G3274" s="70"/>
      <c r="H3274" s="85"/>
      <c r="I3274" s="85"/>
      <c r="J3274" s="131"/>
      <c r="K3274" s="60"/>
      <c r="L3274" s="47"/>
      <c r="P3274" s="3"/>
      <c r="Q3274" s="3"/>
      <c r="R3274" s="3"/>
      <c r="S3274" s="3"/>
      <c r="T3274" s="3"/>
      <c r="U3274" s="3"/>
      <c r="V3274" s="3"/>
      <c r="W3274" s="3"/>
      <c r="X3274" s="3"/>
      <c r="Y3274" s="4"/>
      <c r="Z3274"/>
      <c r="AA3274"/>
    </row>
    <row r="3275" spans="1:27" s="37" customFormat="1" x14ac:dyDescent="0.15">
      <c r="A3275" s="166"/>
      <c r="B3275" s="93"/>
      <c r="C3275" s="70"/>
      <c r="D3275" s="70"/>
      <c r="E3275" s="70"/>
      <c r="F3275" s="70"/>
      <c r="G3275" s="70"/>
      <c r="H3275" s="85"/>
      <c r="I3275" s="85"/>
      <c r="J3275" s="131"/>
      <c r="K3275" s="60"/>
      <c r="L3275" s="33"/>
      <c r="M3275" s="32"/>
      <c r="P3275" s="3"/>
      <c r="Q3275" s="3"/>
      <c r="R3275" s="3"/>
      <c r="S3275" s="3"/>
      <c r="T3275" s="3"/>
      <c r="U3275" s="3"/>
      <c r="V3275" s="3"/>
      <c r="W3275" s="3"/>
      <c r="X3275" s="3"/>
      <c r="Y3275" s="4"/>
      <c r="Z3275"/>
      <c r="AA3275"/>
    </row>
    <row r="3276" spans="1:27" s="37" customFormat="1" x14ac:dyDescent="0.15">
      <c r="A3276" s="166"/>
      <c r="B3276" s="93"/>
      <c r="C3276" s="70"/>
      <c r="D3276" s="70"/>
      <c r="E3276" s="70"/>
      <c r="F3276" s="70"/>
      <c r="G3276" s="70"/>
      <c r="H3276" s="85"/>
      <c r="I3276" s="85"/>
      <c r="J3276" s="131"/>
      <c r="K3276" s="60"/>
      <c r="L3276" s="33"/>
      <c r="P3276" s="3"/>
      <c r="Q3276" s="3"/>
      <c r="R3276" s="3"/>
      <c r="S3276" s="3"/>
      <c r="T3276" s="3"/>
      <c r="U3276" s="3"/>
      <c r="V3276" s="3"/>
      <c r="W3276" s="3"/>
      <c r="X3276" s="3"/>
      <c r="Y3276" s="4"/>
      <c r="Z3276"/>
      <c r="AA3276"/>
    </row>
    <row r="3277" spans="1:27" s="37" customFormat="1" x14ac:dyDescent="0.15">
      <c r="A3277" s="166"/>
      <c r="B3277" s="93"/>
      <c r="C3277" s="70"/>
      <c r="D3277" s="70"/>
      <c r="E3277" s="70"/>
      <c r="F3277" s="70"/>
      <c r="G3277" s="70"/>
      <c r="H3277" s="85"/>
      <c r="I3277" s="85"/>
      <c r="J3277" s="131"/>
      <c r="K3277" s="60"/>
      <c r="L3277" s="49"/>
      <c r="P3277" s="3"/>
      <c r="Q3277" s="3"/>
      <c r="R3277" s="3"/>
      <c r="S3277" s="3"/>
      <c r="T3277" s="3"/>
      <c r="U3277" s="3"/>
      <c r="V3277" s="3"/>
      <c r="W3277" s="3"/>
      <c r="X3277" s="3"/>
      <c r="Y3277" s="4"/>
      <c r="Z3277"/>
      <c r="AA3277"/>
    </row>
    <row r="3278" spans="1:27" s="37" customFormat="1" x14ac:dyDescent="0.15">
      <c r="A3278" s="166"/>
      <c r="B3278" s="93"/>
      <c r="C3278" s="70"/>
      <c r="D3278" s="70"/>
      <c r="E3278" s="70"/>
      <c r="F3278" s="70"/>
      <c r="G3278" s="70"/>
      <c r="H3278" s="85"/>
      <c r="I3278" s="85"/>
      <c r="J3278" s="131"/>
      <c r="K3278" s="60"/>
      <c r="L3278" s="33"/>
      <c r="P3278" s="3"/>
      <c r="Q3278" s="3"/>
      <c r="R3278" s="3"/>
      <c r="S3278" s="3"/>
      <c r="T3278" s="3"/>
      <c r="U3278" s="3"/>
      <c r="V3278" s="3"/>
      <c r="W3278" s="3"/>
      <c r="X3278" s="3"/>
      <c r="Y3278" s="4"/>
      <c r="Z3278"/>
      <c r="AA3278"/>
    </row>
    <row r="3279" spans="1:27" s="37" customFormat="1" x14ac:dyDescent="0.15">
      <c r="A3279" s="166"/>
      <c r="B3279" s="93"/>
      <c r="C3279" s="70"/>
      <c r="D3279" s="70"/>
      <c r="E3279" s="70"/>
      <c r="F3279" s="70"/>
      <c r="G3279" s="70"/>
      <c r="H3279" s="85"/>
      <c r="I3279" s="85"/>
      <c r="J3279" s="131"/>
      <c r="K3279" s="60"/>
      <c r="L3279" s="49"/>
      <c r="P3279" s="3"/>
      <c r="Q3279" s="3"/>
      <c r="R3279" s="3"/>
      <c r="S3279" s="3"/>
      <c r="T3279" s="3"/>
      <c r="U3279" s="3"/>
      <c r="V3279" s="3"/>
      <c r="W3279" s="3"/>
      <c r="X3279" s="3"/>
      <c r="Y3279" s="4"/>
      <c r="Z3279"/>
      <c r="AA3279"/>
    </row>
    <row r="3280" spans="1:27" s="37" customFormat="1" x14ac:dyDescent="0.15">
      <c r="A3280" s="166"/>
      <c r="B3280" s="93"/>
      <c r="C3280" s="70"/>
      <c r="D3280" s="70"/>
      <c r="E3280" s="70"/>
      <c r="F3280" s="70"/>
      <c r="G3280" s="70"/>
      <c r="H3280" s="85"/>
      <c r="I3280" s="85"/>
      <c r="J3280" s="131"/>
      <c r="K3280" s="60"/>
      <c r="L3280" s="33"/>
      <c r="M3280" s="32"/>
      <c r="P3280" s="3"/>
      <c r="Q3280" s="3"/>
      <c r="R3280" s="3"/>
      <c r="S3280" s="3"/>
      <c r="T3280" s="3"/>
      <c r="U3280" s="3"/>
      <c r="V3280" s="3"/>
      <c r="W3280" s="3"/>
      <c r="X3280" s="3"/>
      <c r="Y3280" s="4"/>
      <c r="Z3280"/>
      <c r="AA3280"/>
    </row>
    <row r="3281" spans="1:27" s="37" customFormat="1" x14ac:dyDescent="0.15">
      <c r="A3281" s="166"/>
      <c r="B3281" s="93"/>
      <c r="C3281" s="70"/>
      <c r="D3281" s="70"/>
      <c r="E3281" s="70"/>
      <c r="F3281" s="70"/>
      <c r="G3281" s="70"/>
      <c r="H3281" s="85"/>
      <c r="I3281" s="85"/>
      <c r="J3281" s="131"/>
      <c r="K3281" s="60"/>
      <c r="L3281" s="49"/>
      <c r="P3281" s="3"/>
      <c r="Q3281" s="3"/>
      <c r="R3281" s="3"/>
      <c r="S3281" s="3"/>
      <c r="T3281" s="3"/>
      <c r="U3281" s="3"/>
      <c r="V3281" s="3"/>
      <c r="W3281" s="3"/>
      <c r="X3281" s="3"/>
      <c r="Y3281" s="4"/>
      <c r="Z3281"/>
      <c r="AA3281"/>
    </row>
    <row r="3282" spans="1:27" s="37" customFormat="1" x14ac:dyDescent="0.15">
      <c r="A3282" s="166"/>
      <c r="B3282" s="93"/>
      <c r="C3282" s="70"/>
      <c r="D3282" s="70"/>
      <c r="E3282" s="70"/>
      <c r="F3282" s="70"/>
      <c r="G3282" s="70"/>
      <c r="H3282" s="85"/>
      <c r="I3282" s="85"/>
      <c r="J3282" s="131"/>
      <c r="K3282" s="60"/>
      <c r="L3282" s="33"/>
      <c r="M3282" s="32"/>
      <c r="P3282" s="3"/>
      <c r="Q3282" s="3"/>
      <c r="R3282" s="3"/>
      <c r="S3282" s="3"/>
      <c r="T3282" s="3"/>
      <c r="U3282" s="3"/>
      <c r="V3282" s="3"/>
      <c r="W3282" s="3"/>
      <c r="X3282" s="3"/>
      <c r="Y3282" s="4"/>
      <c r="Z3282"/>
      <c r="AA3282"/>
    </row>
    <row r="3283" spans="1:27" s="37" customFormat="1" x14ac:dyDescent="0.15">
      <c r="A3283" s="166"/>
      <c r="B3283" s="93"/>
      <c r="C3283" s="70"/>
      <c r="D3283" s="70"/>
      <c r="E3283" s="70"/>
      <c r="F3283" s="70"/>
      <c r="G3283" s="70"/>
      <c r="H3283" s="85"/>
      <c r="I3283" s="85"/>
      <c r="J3283" s="131"/>
      <c r="K3283" s="60"/>
      <c r="L3283" s="33"/>
      <c r="P3283" s="3"/>
      <c r="Q3283" s="3"/>
      <c r="R3283" s="3"/>
      <c r="S3283" s="3"/>
      <c r="T3283" s="3"/>
      <c r="U3283" s="3"/>
      <c r="V3283" s="3"/>
      <c r="W3283" s="3"/>
      <c r="X3283" s="3"/>
      <c r="Y3283" s="4"/>
      <c r="Z3283"/>
      <c r="AA3283"/>
    </row>
    <row r="3284" spans="1:27" s="37" customFormat="1" x14ac:dyDescent="0.15">
      <c r="A3284" s="166"/>
      <c r="B3284" s="93"/>
      <c r="C3284" s="70"/>
      <c r="D3284" s="70"/>
      <c r="E3284" s="70"/>
      <c r="F3284" s="70"/>
      <c r="G3284" s="70"/>
      <c r="H3284" s="85"/>
      <c r="I3284" s="85"/>
      <c r="J3284" s="131"/>
      <c r="K3284" s="60"/>
      <c r="L3284" s="49"/>
      <c r="P3284" s="3"/>
      <c r="Q3284" s="3"/>
      <c r="R3284" s="3"/>
      <c r="S3284" s="3"/>
      <c r="T3284" s="3"/>
      <c r="U3284" s="3"/>
      <c r="V3284" s="3"/>
      <c r="W3284" s="3"/>
      <c r="X3284" s="3"/>
      <c r="Y3284" s="4"/>
      <c r="Z3284"/>
      <c r="AA3284"/>
    </row>
    <row r="3285" spans="1:27" s="37" customFormat="1" x14ac:dyDescent="0.15">
      <c r="A3285" s="166"/>
      <c r="B3285" s="93"/>
      <c r="C3285" s="70"/>
      <c r="D3285" s="70"/>
      <c r="E3285" s="70"/>
      <c r="F3285" s="70"/>
      <c r="G3285" s="70"/>
      <c r="H3285" s="85"/>
      <c r="I3285" s="85"/>
      <c r="J3285" s="131"/>
      <c r="K3285" s="60"/>
      <c r="L3285" s="33"/>
      <c r="P3285" s="3"/>
      <c r="Q3285" s="3"/>
      <c r="R3285" s="3"/>
      <c r="S3285" s="3"/>
      <c r="T3285" s="3"/>
      <c r="U3285" s="3"/>
      <c r="V3285" s="3"/>
      <c r="W3285" s="3"/>
      <c r="X3285" s="3"/>
      <c r="Y3285" s="4"/>
      <c r="Z3285"/>
      <c r="AA3285"/>
    </row>
    <row r="3286" spans="1:27" s="37" customFormat="1" x14ac:dyDescent="0.15">
      <c r="A3286" s="166"/>
      <c r="B3286" s="93"/>
      <c r="C3286" s="70"/>
      <c r="D3286" s="70"/>
      <c r="E3286" s="70"/>
      <c r="F3286" s="70"/>
      <c r="G3286" s="70"/>
      <c r="H3286" s="85"/>
      <c r="I3286" s="85"/>
      <c r="J3286" s="131"/>
      <c r="K3286" s="60"/>
      <c r="L3286" s="33"/>
      <c r="P3286" s="3"/>
      <c r="Q3286" s="3"/>
      <c r="R3286" s="3"/>
      <c r="S3286" s="3"/>
      <c r="T3286" s="3"/>
      <c r="U3286" s="3"/>
      <c r="V3286" s="3"/>
      <c r="W3286" s="3"/>
      <c r="X3286" s="3"/>
      <c r="Y3286" s="4"/>
      <c r="Z3286"/>
      <c r="AA3286"/>
    </row>
    <row r="3287" spans="1:27" s="37" customFormat="1" x14ac:dyDescent="0.15">
      <c r="A3287" s="166"/>
      <c r="B3287" s="82"/>
      <c r="C3287" s="70"/>
      <c r="D3287" s="70"/>
      <c r="E3287" s="73"/>
      <c r="F3287" s="70"/>
      <c r="G3287" s="70"/>
      <c r="H3287" s="85"/>
      <c r="I3287" s="85"/>
      <c r="J3287" s="134"/>
      <c r="K3287" s="63"/>
      <c r="L3287" s="33"/>
      <c r="P3287" s="3"/>
      <c r="Q3287" s="3"/>
      <c r="R3287" s="3"/>
      <c r="S3287" s="3"/>
      <c r="T3287" s="3"/>
      <c r="U3287" s="3"/>
      <c r="V3287" s="3"/>
      <c r="W3287" s="3"/>
      <c r="X3287" s="3"/>
      <c r="Y3287" s="4"/>
      <c r="Z3287"/>
      <c r="AA3287"/>
    </row>
    <row r="3288" spans="1:27" s="37" customFormat="1" x14ac:dyDescent="0.15">
      <c r="A3288" s="166"/>
      <c r="B3288" s="82"/>
      <c r="C3288" s="70"/>
      <c r="D3288" s="70"/>
      <c r="E3288" s="73"/>
      <c r="F3288" s="70"/>
      <c r="G3288" s="70"/>
      <c r="H3288" s="85"/>
      <c r="I3288" s="85"/>
      <c r="J3288" s="134"/>
      <c r="K3288" s="63"/>
      <c r="L3288" s="33"/>
      <c r="P3288" s="3"/>
      <c r="Q3288" s="3"/>
      <c r="R3288" s="3"/>
      <c r="S3288" s="3"/>
      <c r="T3288" s="3"/>
      <c r="U3288" s="3"/>
      <c r="V3288" s="3"/>
      <c r="W3288" s="3"/>
      <c r="X3288" s="3"/>
      <c r="Y3288" s="4"/>
      <c r="Z3288"/>
      <c r="AA3288"/>
    </row>
    <row r="3289" spans="1:27" s="37" customFormat="1" x14ac:dyDescent="0.15">
      <c r="A3289" s="166"/>
      <c r="B3289" s="93"/>
      <c r="C3289" s="70"/>
      <c r="D3289" s="70"/>
      <c r="E3289" s="70"/>
      <c r="F3289" s="70"/>
      <c r="G3289" s="70"/>
      <c r="H3289" s="85"/>
      <c r="I3289" s="85"/>
      <c r="J3289" s="131"/>
      <c r="K3289" s="60"/>
      <c r="L3289" s="33"/>
      <c r="P3289" s="3"/>
      <c r="Q3289" s="3"/>
      <c r="R3289" s="3"/>
      <c r="S3289" s="3"/>
      <c r="T3289" s="3"/>
      <c r="U3289" s="3"/>
      <c r="V3289" s="3"/>
      <c r="W3289" s="3"/>
      <c r="X3289" s="3"/>
      <c r="Y3289" s="4"/>
      <c r="Z3289"/>
      <c r="AA3289"/>
    </row>
    <row r="3290" spans="1:27" s="37" customFormat="1" x14ac:dyDescent="0.15">
      <c r="A3290" s="166"/>
      <c r="B3290" s="93"/>
      <c r="C3290" s="70"/>
      <c r="D3290" s="70"/>
      <c r="E3290" s="70"/>
      <c r="F3290" s="70"/>
      <c r="G3290" s="70"/>
      <c r="H3290" s="85"/>
      <c r="I3290" s="85"/>
      <c r="J3290" s="131"/>
      <c r="K3290" s="60"/>
      <c r="L3290" s="33"/>
      <c r="P3290" s="3"/>
      <c r="Q3290" s="3"/>
      <c r="R3290" s="3"/>
      <c r="S3290" s="3"/>
      <c r="T3290" s="3"/>
      <c r="U3290" s="3"/>
      <c r="V3290" s="3"/>
      <c r="W3290" s="3"/>
      <c r="X3290" s="3"/>
      <c r="Y3290" s="4"/>
      <c r="Z3290"/>
      <c r="AA3290"/>
    </row>
    <row r="3291" spans="1:27" s="37" customFormat="1" x14ac:dyDescent="0.15">
      <c r="A3291" s="166"/>
      <c r="B3291" s="82"/>
      <c r="C3291" s="70"/>
      <c r="D3291" s="70"/>
      <c r="E3291" s="70"/>
      <c r="F3291" s="70"/>
      <c r="G3291" s="70"/>
      <c r="H3291" s="85"/>
      <c r="I3291" s="85"/>
      <c r="J3291" s="131"/>
      <c r="K3291" s="60"/>
      <c r="L3291" s="33"/>
      <c r="P3291" s="3"/>
      <c r="Q3291" s="3"/>
      <c r="R3291" s="3"/>
      <c r="S3291" s="3"/>
      <c r="T3291" s="3"/>
      <c r="U3291" s="3"/>
      <c r="V3291" s="3"/>
      <c r="W3291" s="3"/>
      <c r="X3291" s="3"/>
      <c r="Y3291" s="4"/>
      <c r="Z3291"/>
      <c r="AA3291"/>
    </row>
    <row r="3292" spans="1:27" s="37" customFormat="1" x14ac:dyDescent="0.15">
      <c r="A3292" s="166"/>
      <c r="B3292" s="82"/>
      <c r="C3292" s="70"/>
      <c r="D3292" s="70"/>
      <c r="E3292" s="70"/>
      <c r="F3292" s="70"/>
      <c r="G3292" s="70"/>
      <c r="H3292" s="85"/>
      <c r="I3292" s="85"/>
      <c r="J3292" s="142"/>
      <c r="K3292" s="60"/>
      <c r="P3292" s="3"/>
      <c r="Q3292" s="3"/>
      <c r="R3292" s="3"/>
      <c r="S3292" s="3"/>
      <c r="T3292" s="3"/>
      <c r="U3292" s="3"/>
      <c r="V3292" s="3"/>
      <c r="W3292" s="3"/>
      <c r="X3292" s="3"/>
      <c r="Y3292" s="4"/>
      <c r="Z3292"/>
      <c r="AA3292"/>
    </row>
    <row r="3293" spans="1:27" s="37" customFormat="1" x14ac:dyDescent="0.15">
      <c r="A3293" s="166"/>
      <c r="B3293" s="93"/>
      <c r="C3293" s="70"/>
      <c r="D3293" s="70"/>
      <c r="E3293" s="70"/>
      <c r="F3293" s="70"/>
      <c r="G3293" s="70"/>
      <c r="H3293" s="85"/>
      <c r="I3293" s="85"/>
      <c r="J3293" s="131"/>
      <c r="K3293" s="60"/>
      <c r="P3293" s="3"/>
      <c r="Q3293" s="3"/>
      <c r="R3293" s="3"/>
      <c r="S3293" s="3"/>
      <c r="T3293" s="3"/>
      <c r="U3293" s="3"/>
      <c r="V3293" s="3"/>
      <c r="W3293" s="3"/>
      <c r="X3293" s="3"/>
      <c r="Y3293" s="4"/>
      <c r="Z3293"/>
      <c r="AA3293"/>
    </row>
    <row r="3294" spans="1:27" s="37" customFormat="1" x14ac:dyDescent="0.15">
      <c r="A3294" s="166"/>
      <c r="B3294" s="93"/>
      <c r="C3294" s="70"/>
      <c r="D3294" s="70"/>
      <c r="E3294" s="70"/>
      <c r="F3294" s="70"/>
      <c r="G3294" s="70"/>
      <c r="H3294" s="85"/>
      <c r="I3294" s="85"/>
      <c r="J3294" s="131"/>
      <c r="K3294" s="60"/>
      <c r="L3294" s="49"/>
      <c r="P3294" s="3"/>
      <c r="Q3294" s="3"/>
      <c r="R3294" s="3"/>
      <c r="S3294" s="3"/>
      <c r="T3294" s="3"/>
      <c r="U3294" s="3"/>
      <c r="V3294" s="3"/>
      <c r="W3294" s="3"/>
      <c r="X3294" s="3"/>
      <c r="Y3294" s="4"/>
      <c r="Z3294"/>
      <c r="AA3294"/>
    </row>
    <row r="3295" spans="1:27" s="37" customFormat="1" x14ac:dyDescent="0.15">
      <c r="A3295" s="166"/>
      <c r="B3295" s="93"/>
      <c r="C3295" s="70"/>
      <c r="D3295" s="70"/>
      <c r="E3295" s="70"/>
      <c r="F3295" s="70"/>
      <c r="G3295" s="70"/>
      <c r="H3295" s="85"/>
      <c r="I3295" s="85"/>
      <c r="J3295" s="131"/>
      <c r="K3295" s="60"/>
      <c r="P3295" s="3"/>
      <c r="Q3295" s="3"/>
      <c r="R3295" s="3"/>
      <c r="S3295" s="3"/>
      <c r="T3295" s="3"/>
      <c r="U3295" s="3"/>
      <c r="V3295" s="3"/>
      <c r="W3295" s="3"/>
      <c r="X3295" s="3"/>
      <c r="Y3295" s="4"/>
      <c r="Z3295"/>
      <c r="AA3295"/>
    </row>
    <row r="3296" spans="1:27" s="37" customFormat="1" x14ac:dyDescent="0.15">
      <c r="A3296" s="166"/>
      <c r="B3296" s="93"/>
      <c r="C3296" s="70"/>
      <c r="D3296" s="70"/>
      <c r="E3296" s="70"/>
      <c r="F3296" s="70"/>
      <c r="G3296" s="70"/>
      <c r="H3296" s="85"/>
      <c r="I3296" s="85"/>
      <c r="J3296" s="131"/>
      <c r="K3296" s="60"/>
      <c r="L3296" s="49"/>
      <c r="P3296" s="3"/>
      <c r="Q3296" s="3"/>
      <c r="R3296" s="3"/>
      <c r="S3296" s="3"/>
      <c r="T3296" s="3"/>
      <c r="U3296" s="3"/>
      <c r="V3296" s="3"/>
      <c r="W3296" s="3"/>
      <c r="X3296" s="3"/>
      <c r="Y3296" s="4"/>
      <c r="Z3296"/>
      <c r="AA3296"/>
    </row>
    <row r="3297" spans="1:27" s="37" customFormat="1" x14ac:dyDescent="0.15">
      <c r="A3297" s="166"/>
      <c r="B3297" s="82"/>
      <c r="C3297" s="70"/>
      <c r="D3297" s="70"/>
      <c r="E3297" s="70"/>
      <c r="F3297" s="70"/>
      <c r="G3297" s="70"/>
      <c r="H3297" s="85"/>
      <c r="I3297" s="85"/>
      <c r="J3297" s="142"/>
      <c r="K3297" s="60"/>
      <c r="P3297" s="3"/>
      <c r="Q3297" s="3"/>
      <c r="R3297" s="3"/>
      <c r="S3297" s="3"/>
      <c r="T3297" s="3"/>
      <c r="U3297" s="3"/>
      <c r="V3297" s="3"/>
      <c r="W3297" s="3"/>
      <c r="X3297" s="3"/>
      <c r="Y3297" s="4"/>
      <c r="Z3297"/>
      <c r="AA3297"/>
    </row>
    <row r="3298" spans="1:27" s="37" customFormat="1" x14ac:dyDescent="0.15">
      <c r="A3298" s="166"/>
      <c r="B3298" s="82"/>
      <c r="C3298" s="70"/>
      <c r="D3298" s="70"/>
      <c r="E3298" s="70"/>
      <c r="F3298" s="70"/>
      <c r="G3298" s="70"/>
      <c r="H3298" s="85"/>
      <c r="I3298" s="85"/>
      <c r="J3298" s="131"/>
      <c r="K3298" s="60"/>
      <c r="P3298" s="3"/>
      <c r="Q3298" s="3"/>
      <c r="R3298" s="3"/>
      <c r="S3298" s="3"/>
      <c r="T3298" s="3"/>
      <c r="U3298" s="3"/>
      <c r="V3298" s="3"/>
      <c r="W3298" s="3"/>
      <c r="X3298" s="3"/>
      <c r="Y3298" s="4"/>
      <c r="Z3298"/>
      <c r="AA3298"/>
    </row>
    <row r="3299" spans="1:27" s="37" customFormat="1" x14ac:dyDescent="0.15">
      <c r="A3299" s="166"/>
      <c r="B3299" s="82"/>
      <c r="C3299" s="70"/>
      <c r="D3299" s="70"/>
      <c r="E3299" s="70"/>
      <c r="F3299" s="70"/>
      <c r="G3299" s="70"/>
      <c r="H3299" s="85"/>
      <c r="I3299" s="85"/>
      <c r="J3299" s="142"/>
      <c r="K3299" s="60"/>
      <c r="P3299" s="3"/>
      <c r="Q3299" s="3"/>
      <c r="R3299" s="3"/>
      <c r="S3299" s="3"/>
      <c r="T3299" s="3"/>
      <c r="U3299" s="3"/>
      <c r="V3299" s="3"/>
      <c r="W3299" s="3"/>
      <c r="X3299" s="3"/>
      <c r="Y3299" s="4"/>
      <c r="Z3299"/>
      <c r="AA3299"/>
    </row>
    <row r="3300" spans="1:27" s="37" customFormat="1" x14ac:dyDescent="0.15">
      <c r="A3300" s="166"/>
      <c r="B3300" s="93"/>
      <c r="C3300" s="70"/>
      <c r="D3300" s="70"/>
      <c r="E3300" s="70"/>
      <c r="F3300" s="70"/>
      <c r="G3300" s="70"/>
      <c r="H3300" s="85"/>
      <c r="I3300" s="85"/>
      <c r="J3300" s="131"/>
      <c r="K3300" s="60"/>
      <c r="P3300" s="3"/>
      <c r="Q3300" s="3"/>
      <c r="R3300" s="3"/>
      <c r="S3300" s="3"/>
      <c r="T3300" s="3"/>
      <c r="U3300" s="3"/>
      <c r="V3300" s="3"/>
      <c r="W3300" s="3"/>
      <c r="X3300" s="3"/>
      <c r="Y3300" s="4"/>
      <c r="Z3300"/>
      <c r="AA3300"/>
    </row>
    <row r="3301" spans="1:27" s="37" customFormat="1" x14ac:dyDescent="0.15">
      <c r="A3301" s="166"/>
      <c r="B3301" s="93"/>
      <c r="C3301" s="70"/>
      <c r="D3301" s="70"/>
      <c r="E3301" s="70"/>
      <c r="F3301" s="70"/>
      <c r="G3301" s="70"/>
      <c r="H3301" s="85"/>
      <c r="I3301" s="85"/>
      <c r="J3301" s="131"/>
      <c r="K3301" s="60"/>
      <c r="L3301" s="49"/>
      <c r="P3301" s="3"/>
      <c r="Q3301" s="3"/>
      <c r="R3301" s="3"/>
      <c r="S3301" s="3"/>
      <c r="T3301" s="3"/>
      <c r="U3301" s="3"/>
      <c r="V3301" s="3"/>
      <c r="W3301" s="3"/>
      <c r="X3301" s="3"/>
      <c r="Y3301" s="4"/>
      <c r="Z3301"/>
      <c r="AA3301"/>
    </row>
    <row r="3302" spans="1:27" s="37" customFormat="1" x14ac:dyDescent="0.15">
      <c r="A3302" s="166"/>
      <c r="B3302" s="93"/>
      <c r="C3302" s="70"/>
      <c r="D3302" s="70"/>
      <c r="E3302" s="70"/>
      <c r="F3302" s="70"/>
      <c r="G3302" s="70"/>
      <c r="H3302" s="85"/>
      <c r="I3302" s="85"/>
      <c r="J3302" s="131"/>
      <c r="K3302" s="60"/>
      <c r="L3302" s="49"/>
      <c r="P3302" s="3"/>
      <c r="Q3302" s="3"/>
      <c r="R3302" s="3"/>
      <c r="S3302" s="3"/>
      <c r="T3302" s="3"/>
      <c r="U3302" s="3"/>
      <c r="V3302" s="3"/>
      <c r="W3302" s="3"/>
      <c r="X3302" s="3"/>
      <c r="Y3302" s="4"/>
      <c r="Z3302"/>
      <c r="AA3302"/>
    </row>
    <row r="3303" spans="1:27" s="37" customFormat="1" x14ac:dyDescent="0.15">
      <c r="A3303" s="166"/>
      <c r="B3303" s="93"/>
      <c r="C3303" s="70"/>
      <c r="D3303" s="70"/>
      <c r="E3303" s="70"/>
      <c r="F3303" s="70"/>
      <c r="G3303" s="70"/>
      <c r="H3303" s="85"/>
      <c r="I3303" s="85"/>
      <c r="J3303" s="141"/>
      <c r="K3303" s="60"/>
      <c r="L3303" s="35"/>
      <c r="P3303" s="3"/>
      <c r="Q3303" s="3"/>
      <c r="R3303" s="3"/>
      <c r="S3303" s="3"/>
      <c r="T3303" s="3"/>
      <c r="U3303" s="3"/>
      <c r="V3303" s="3"/>
      <c r="W3303" s="3"/>
      <c r="X3303" s="3"/>
      <c r="Y3303" s="4"/>
      <c r="Z3303"/>
      <c r="AA3303"/>
    </row>
    <row r="3304" spans="1:27" s="37" customFormat="1" x14ac:dyDescent="0.15">
      <c r="A3304" s="166"/>
      <c r="B3304" s="93"/>
      <c r="C3304" s="70"/>
      <c r="D3304" s="70"/>
      <c r="E3304" s="70"/>
      <c r="F3304" s="70"/>
      <c r="G3304" s="70"/>
      <c r="H3304" s="85"/>
      <c r="I3304" s="85"/>
      <c r="J3304" s="131"/>
      <c r="K3304" s="60"/>
      <c r="L3304" s="49"/>
      <c r="P3304" s="3"/>
      <c r="Q3304" s="3"/>
      <c r="R3304" s="3"/>
      <c r="S3304" s="3"/>
      <c r="T3304" s="3"/>
      <c r="U3304" s="3"/>
      <c r="V3304" s="3"/>
      <c r="W3304" s="3"/>
      <c r="X3304" s="3"/>
      <c r="Y3304" s="4"/>
      <c r="Z3304"/>
      <c r="AA3304"/>
    </row>
    <row r="3305" spans="1:27" s="37" customFormat="1" x14ac:dyDescent="0.15">
      <c r="A3305" s="166"/>
      <c r="B3305" s="93"/>
      <c r="C3305" s="70"/>
      <c r="D3305" s="70"/>
      <c r="E3305" s="70"/>
      <c r="F3305" s="70"/>
      <c r="G3305" s="70"/>
      <c r="H3305" s="85"/>
      <c r="I3305" s="85"/>
      <c r="J3305" s="142"/>
      <c r="K3305" s="60"/>
      <c r="L3305" s="35"/>
      <c r="P3305" s="3"/>
      <c r="Q3305" s="3"/>
      <c r="R3305" s="3"/>
      <c r="S3305" s="3"/>
      <c r="T3305" s="3"/>
      <c r="U3305" s="3"/>
      <c r="V3305" s="3"/>
      <c r="W3305" s="3"/>
      <c r="X3305" s="3"/>
      <c r="Y3305" s="4"/>
      <c r="Z3305"/>
      <c r="AA3305"/>
    </row>
    <row r="3306" spans="1:27" s="37" customFormat="1" x14ac:dyDescent="0.15">
      <c r="A3306" s="166"/>
      <c r="B3306" s="93"/>
      <c r="C3306" s="70"/>
      <c r="D3306" s="70"/>
      <c r="E3306" s="70"/>
      <c r="F3306" s="70"/>
      <c r="G3306" s="70"/>
      <c r="H3306" s="85"/>
      <c r="I3306" s="85"/>
      <c r="J3306" s="141"/>
      <c r="K3306" s="60"/>
      <c r="P3306" s="3"/>
      <c r="Q3306" s="3"/>
      <c r="R3306" s="3"/>
      <c r="S3306" s="3"/>
      <c r="T3306" s="3"/>
      <c r="U3306" s="3"/>
      <c r="V3306" s="3"/>
      <c r="W3306" s="3"/>
      <c r="X3306" s="3"/>
      <c r="Y3306" s="4"/>
      <c r="Z3306"/>
      <c r="AA3306"/>
    </row>
    <row r="3307" spans="1:27" s="37" customFormat="1" x14ac:dyDescent="0.15">
      <c r="A3307" s="166"/>
      <c r="B3307" s="93"/>
      <c r="C3307" s="70"/>
      <c r="D3307" s="70"/>
      <c r="E3307" s="70"/>
      <c r="F3307" s="70"/>
      <c r="G3307" s="70"/>
      <c r="H3307" s="85"/>
      <c r="I3307" s="85"/>
      <c r="J3307" s="131"/>
      <c r="K3307" s="60"/>
      <c r="L3307" s="49"/>
      <c r="P3307" s="3"/>
      <c r="Q3307" s="3"/>
      <c r="R3307" s="3"/>
      <c r="S3307" s="3"/>
      <c r="T3307" s="3"/>
      <c r="U3307" s="3"/>
      <c r="V3307" s="3"/>
      <c r="W3307" s="3"/>
      <c r="X3307" s="3"/>
      <c r="Y3307" s="4"/>
      <c r="Z3307"/>
      <c r="AA3307"/>
    </row>
    <row r="3308" spans="1:27" s="37" customFormat="1" x14ac:dyDescent="0.15">
      <c r="A3308" s="166"/>
      <c r="B3308" s="82"/>
      <c r="C3308" s="70"/>
      <c r="D3308" s="70"/>
      <c r="E3308" s="70"/>
      <c r="F3308" s="70"/>
      <c r="G3308" s="70"/>
      <c r="H3308" s="85"/>
      <c r="I3308" s="85"/>
      <c r="J3308" s="131"/>
      <c r="K3308" s="60"/>
      <c r="L3308" s="33"/>
      <c r="M3308" s="32"/>
      <c r="P3308" s="3"/>
      <c r="Q3308" s="3"/>
      <c r="R3308" s="3"/>
      <c r="S3308" s="3"/>
      <c r="T3308" s="3"/>
      <c r="U3308" s="3"/>
      <c r="V3308" s="3"/>
      <c r="W3308" s="3"/>
      <c r="X3308" s="3"/>
      <c r="Y3308" s="4"/>
      <c r="Z3308"/>
      <c r="AA3308"/>
    </row>
    <row r="3309" spans="1:27" s="37" customFormat="1" x14ac:dyDescent="0.15">
      <c r="A3309" s="166"/>
      <c r="B3309" s="93"/>
      <c r="C3309" s="70"/>
      <c r="D3309" s="70"/>
      <c r="E3309" s="70"/>
      <c r="F3309" s="70"/>
      <c r="G3309" s="70"/>
      <c r="H3309" s="85"/>
      <c r="I3309" s="85"/>
      <c r="J3309" s="131"/>
      <c r="K3309" s="60"/>
      <c r="L3309" s="33"/>
      <c r="P3309" s="3"/>
      <c r="Q3309" s="3"/>
      <c r="R3309" s="3"/>
      <c r="S3309" s="3"/>
      <c r="T3309" s="3"/>
      <c r="U3309" s="3"/>
      <c r="V3309" s="3"/>
      <c r="W3309" s="3"/>
      <c r="X3309" s="3"/>
      <c r="Y3309" s="4"/>
      <c r="Z3309"/>
      <c r="AA3309"/>
    </row>
    <row r="3310" spans="1:27" s="37" customFormat="1" x14ac:dyDescent="0.15">
      <c r="A3310" s="166"/>
      <c r="B3310" s="93"/>
      <c r="C3310" s="70"/>
      <c r="D3310" s="70"/>
      <c r="E3310" s="70"/>
      <c r="F3310" s="70"/>
      <c r="G3310" s="70"/>
      <c r="H3310" s="85"/>
      <c r="I3310" s="85"/>
      <c r="J3310" s="131"/>
      <c r="K3310" s="60"/>
      <c r="L3310" s="49"/>
      <c r="P3310" s="3"/>
      <c r="Q3310" s="3"/>
      <c r="R3310" s="3"/>
      <c r="S3310" s="3"/>
      <c r="T3310" s="3"/>
      <c r="U3310" s="3"/>
      <c r="V3310" s="3"/>
      <c r="W3310" s="3"/>
      <c r="X3310" s="3"/>
      <c r="Y3310" s="4"/>
      <c r="Z3310"/>
      <c r="AA3310"/>
    </row>
    <row r="3311" spans="1:27" s="37" customFormat="1" x14ac:dyDescent="0.15">
      <c r="A3311" s="166"/>
      <c r="B3311" s="93"/>
      <c r="C3311" s="70"/>
      <c r="D3311" s="70"/>
      <c r="E3311" s="70"/>
      <c r="F3311" s="70"/>
      <c r="G3311" s="70"/>
      <c r="H3311" s="85"/>
      <c r="I3311" s="85"/>
      <c r="J3311" s="141"/>
      <c r="K3311" s="60"/>
      <c r="P3311" s="3"/>
      <c r="Q3311" s="3"/>
      <c r="R3311" s="3"/>
      <c r="S3311" s="3"/>
      <c r="T3311" s="3"/>
      <c r="U3311" s="3"/>
      <c r="V3311" s="3"/>
      <c r="W3311" s="3"/>
      <c r="X3311" s="3"/>
      <c r="Y3311" s="4"/>
      <c r="Z3311"/>
      <c r="AA3311"/>
    </row>
    <row r="3312" spans="1:27" s="37" customFormat="1" x14ac:dyDescent="0.15">
      <c r="A3312" s="166"/>
      <c r="B3312" s="93"/>
      <c r="C3312" s="70"/>
      <c r="D3312" s="70"/>
      <c r="E3312" s="70"/>
      <c r="F3312" s="70"/>
      <c r="G3312" s="70"/>
      <c r="H3312" s="85"/>
      <c r="I3312" s="85"/>
      <c r="J3312" s="141"/>
      <c r="K3312" s="60"/>
      <c r="P3312" s="3"/>
      <c r="Q3312" s="3"/>
      <c r="R3312" s="3"/>
      <c r="S3312" s="3"/>
      <c r="T3312" s="3"/>
      <c r="U3312" s="3"/>
      <c r="V3312" s="3"/>
      <c r="W3312" s="3"/>
      <c r="X3312" s="3"/>
      <c r="Y3312" s="4"/>
      <c r="Z3312"/>
      <c r="AA3312"/>
    </row>
    <row r="3313" spans="1:27" s="37" customFormat="1" x14ac:dyDescent="0.15">
      <c r="A3313" s="166"/>
      <c r="B3313" s="93"/>
      <c r="C3313" s="70"/>
      <c r="D3313" s="70"/>
      <c r="E3313" s="70"/>
      <c r="F3313" s="70"/>
      <c r="G3313" s="70"/>
      <c r="H3313" s="85"/>
      <c r="I3313" s="85"/>
      <c r="J3313" s="131"/>
      <c r="K3313" s="60"/>
      <c r="L3313" s="49"/>
      <c r="P3313" s="3"/>
      <c r="Q3313" s="3"/>
      <c r="R3313" s="3"/>
      <c r="S3313" s="3"/>
      <c r="T3313" s="3"/>
      <c r="U3313" s="3"/>
      <c r="V3313" s="3"/>
      <c r="W3313" s="3"/>
      <c r="X3313" s="3"/>
      <c r="Y3313" s="4"/>
      <c r="Z3313"/>
      <c r="AA3313"/>
    </row>
    <row r="3314" spans="1:27" s="37" customFormat="1" ht="16" x14ac:dyDescent="0.2">
      <c r="A3314" s="166"/>
      <c r="B3314" s="93"/>
      <c r="C3314" s="70"/>
      <c r="D3314" s="70"/>
      <c r="E3314" s="70"/>
      <c r="F3314" s="70"/>
      <c r="G3314" s="70"/>
      <c r="H3314" s="85"/>
      <c r="I3314" s="85"/>
      <c r="J3314" s="141"/>
      <c r="K3314" s="60"/>
      <c r="M3314" s="48"/>
      <c r="P3314" s="3"/>
      <c r="Q3314" s="3"/>
      <c r="R3314" s="3"/>
      <c r="S3314" s="3"/>
      <c r="T3314" s="3"/>
      <c r="U3314" s="3"/>
      <c r="V3314" s="3"/>
      <c r="W3314" s="3"/>
      <c r="X3314" s="3"/>
      <c r="Y3314" s="4"/>
      <c r="Z3314"/>
      <c r="AA3314"/>
    </row>
    <row r="3315" spans="1:27" s="37" customFormat="1" x14ac:dyDescent="0.15">
      <c r="A3315" s="166"/>
      <c r="B3315" s="93"/>
      <c r="C3315" s="70"/>
      <c r="D3315" s="70"/>
      <c r="E3315" s="70"/>
      <c r="F3315" s="70"/>
      <c r="G3315" s="70"/>
      <c r="H3315" s="85"/>
      <c r="I3315" s="85"/>
      <c r="J3315" s="141"/>
      <c r="K3315" s="60"/>
      <c r="L3315" s="35"/>
      <c r="P3315" s="3"/>
      <c r="Q3315" s="3"/>
      <c r="R3315" s="3"/>
      <c r="S3315" s="3"/>
      <c r="T3315" s="3"/>
      <c r="U3315" s="3"/>
      <c r="V3315" s="3"/>
      <c r="W3315" s="3"/>
      <c r="X3315" s="3"/>
      <c r="Y3315" s="4"/>
      <c r="Z3315"/>
      <c r="AA3315"/>
    </row>
    <row r="3316" spans="1:27" s="37" customFormat="1" x14ac:dyDescent="0.15">
      <c r="A3316" s="166"/>
      <c r="B3316" s="93"/>
      <c r="C3316" s="70"/>
      <c r="D3316" s="70"/>
      <c r="E3316" s="70"/>
      <c r="F3316" s="70"/>
      <c r="G3316" s="70"/>
      <c r="H3316" s="85"/>
      <c r="I3316" s="85"/>
      <c r="J3316" s="141"/>
      <c r="K3316" s="60"/>
      <c r="L3316" s="35"/>
      <c r="P3316" s="3"/>
      <c r="Q3316" s="3"/>
      <c r="R3316" s="3"/>
      <c r="S3316" s="3"/>
      <c r="T3316" s="3"/>
      <c r="U3316" s="3"/>
      <c r="V3316" s="3"/>
      <c r="W3316" s="3"/>
      <c r="X3316" s="3"/>
      <c r="Y3316" s="4"/>
      <c r="Z3316"/>
      <c r="AA3316"/>
    </row>
    <row r="3317" spans="1:27" s="37" customFormat="1" x14ac:dyDescent="0.15">
      <c r="A3317" s="166"/>
      <c r="B3317" s="93"/>
      <c r="C3317" s="70"/>
      <c r="D3317" s="70"/>
      <c r="E3317" s="70"/>
      <c r="F3317" s="70"/>
      <c r="G3317" s="70"/>
      <c r="H3317" s="85"/>
      <c r="I3317" s="85"/>
      <c r="J3317" s="141"/>
      <c r="K3317" s="60"/>
      <c r="L3317" s="35"/>
      <c r="P3317" s="3"/>
      <c r="Q3317" s="3"/>
      <c r="R3317" s="3"/>
      <c r="S3317" s="3"/>
      <c r="T3317" s="3"/>
      <c r="U3317" s="3"/>
      <c r="V3317" s="3"/>
      <c r="W3317" s="3"/>
      <c r="X3317" s="3"/>
      <c r="Y3317" s="4"/>
      <c r="Z3317"/>
      <c r="AA3317"/>
    </row>
    <row r="3318" spans="1:27" s="37" customFormat="1" x14ac:dyDescent="0.15">
      <c r="A3318" s="166"/>
      <c r="B3318" s="93"/>
      <c r="C3318" s="70"/>
      <c r="D3318" s="70"/>
      <c r="E3318" s="70"/>
      <c r="F3318" s="70"/>
      <c r="G3318" s="70"/>
      <c r="H3318" s="85"/>
      <c r="I3318" s="85"/>
      <c r="J3318" s="141"/>
      <c r="K3318" s="60"/>
      <c r="P3318" s="3"/>
      <c r="Q3318" s="3"/>
      <c r="R3318" s="3"/>
      <c r="S3318" s="3"/>
      <c r="T3318" s="3"/>
      <c r="U3318" s="3"/>
      <c r="V3318" s="3"/>
      <c r="W3318" s="3"/>
      <c r="X3318" s="3"/>
      <c r="Y3318" s="4"/>
      <c r="Z3318"/>
      <c r="AA3318"/>
    </row>
    <row r="3319" spans="1:27" s="37" customFormat="1" x14ac:dyDescent="0.15">
      <c r="A3319" s="166"/>
      <c r="B3319" s="93"/>
      <c r="C3319" s="70"/>
      <c r="D3319" s="70"/>
      <c r="E3319" s="70"/>
      <c r="F3319" s="70"/>
      <c r="G3319" s="70"/>
      <c r="H3319" s="85"/>
      <c r="I3319" s="85"/>
      <c r="J3319" s="141"/>
      <c r="K3319" s="60"/>
      <c r="P3319" s="3"/>
      <c r="Q3319" s="3"/>
      <c r="R3319" s="3"/>
      <c r="S3319" s="3"/>
      <c r="T3319" s="3"/>
      <c r="U3319" s="3"/>
      <c r="V3319" s="3"/>
      <c r="W3319" s="3"/>
      <c r="X3319" s="3"/>
      <c r="Y3319" s="4"/>
      <c r="Z3319"/>
      <c r="AA3319"/>
    </row>
    <row r="3320" spans="1:27" s="37" customFormat="1" x14ac:dyDescent="0.15">
      <c r="A3320" s="166"/>
      <c r="B3320" s="93"/>
      <c r="C3320" s="70"/>
      <c r="D3320" s="70"/>
      <c r="E3320" s="70"/>
      <c r="F3320" s="70"/>
      <c r="G3320" s="70"/>
      <c r="H3320" s="85"/>
      <c r="I3320" s="85"/>
      <c r="J3320" s="141"/>
      <c r="K3320" s="60"/>
      <c r="P3320" s="3"/>
      <c r="Q3320" s="3"/>
      <c r="R3320" s="3"/>
      <c r="S3320" s="3"/>
      <c r="T3320" s="3"/>
      <c r="U3320" s="3"/>
      <c r="V3320" s="3"/>
      <c r="W3320" s="3"/>
      <c r="X3320" s="3"/>
      <c r="Y3320" s="4"/>
      <c r="Z3320"/>
      <c r="AA3320"/>
    </row>
    <row r="3321" spans="1:27" s="37" customFormat="1" x14ac:dyDescent="0.15">
      <c r="A3321" s="166"/>
      <c r="B3321" s="93"/>
      <c r="C3321" s="70"/>
      <c r="D3321" s="70"/>
      <c r="E3321" s="70"/>
      <c r="F3321" s="70"/>
      <c r="G3321" s="70"/>
      <c r="H3321" s="85"/>
      <c r="I3321" s="85"/>
      <c r="J3321" s="141"/>
      <c r="K3321" s="60"/>
      <c r="P3321" s="3"/>
      <c r="Q3321" s="3"/>
      <c r="R3321" s="3"/>
      <c r="S3321" s="3"/>
      <c r="T3321" s="3"/>
      <c r="U3321" s="3"/>
      <c r="V3321" s="3"/>
      <c r="W3321" s="3"/>
      <c r="X3321" s="3"/>
      <c r="Y3321" s="4"/>
      <c r="Z3321"/>
      <c r="AA3321"/>
    </row>
    <row r="3322" spans="1:27" s="37" customFormat="1" x14ac:dyDescent="0.15">
      <c r="A3322" s="166"/>
      <c r="B3322" s="93"/>
      <c r="C3322" s="70"/>
      <c r="D3322" s="70"/>
      <c r="E3322" s="70"/>
      <c r="F3322" s="70"/>
      <c r="G3322" s="70"/>
      <c r="H3322" s="85"/>
      <c r="I3322" s="85"/>
      <c r="J3322" s="131"/>
      <c r="K3322" s="60"/>
      <c r="P3322" s="3"/>
      <c r="Q3322" s="3"/>
      <c r="R3322" s="3"/>
      <c r="S3322" s="3"/>
      <c r="T3322" s="3"/>
      <c r="U3322" s="3"/>
      <c r="V3322" s="3"/>
      <c r="W3322" s="3"/>
      <c r="X3322" s="3"/>
      <c r="Y3322" s="4"/>
      <c r="Z3322"/>
      <c r="AA3322"/>
    </row>
    <row r="3323" spans="1:27" s="37" customFormat="1" x14ac:dyDescent="0.15">
      <c r="A3323" s="166"/>
      <c r="B3323" s="93"/>
      <c r="C3323" s="70"/>
      <c r="D3323" s="70"/>
      <c r="E3323" s="70"/>
      <c r="F3323" s="70"/>
      <c r="G3323" s="70"/>
      <c r="H3323" s="85"/>
      <c r="I3323" s="85"/>
      <c r="J3323" s="131"/>
      <c r="K3323" s="60"/>
      <c r="P3323" s="3"/>
      <c r="Q3323" s="3"/>
      <c r="R3323" s="3"/>
      <c r="S3323" s="3"/>
      <c r="T3323" s="3"/>
      <c r="U3323" s="3"/>
      <c r="V3323" s="3"/>
      <c r="W3323" s="3"/>
      <c r="X3323" s="3"/>
      <c r="Y3323" s="4"/>
      <c r="Z3323"/>
      <c r="AA3323"/>
    </row>
    <row r="3324" spans="1:27" s="37" customFormat="1" x14ac:dyDescent="0.15">
      <c r="A3324" s="166"/>
      <c r="B3324" s="93"/>
      <c r="C3324" s="70"/>
      <c r="D3324" s="70"/>
      <c r="E3324" s="70"/>
      <c r="F3324" s="70"/>
      <c r="G3324" s="70"/>
      <c r="H3324" s="85"/>
      <c r="I3324" s="85"/>
      <c r="J3324" s="141"/>
      <c r="K3324" s="60"/>
      <c r="P3324" s="3"/>
      <c r="Q3324" s="3"/>
      <c r="R3324" s="3"/>
      <c r="S3324" s="3"/>
      <c r="T3324" s="3"/>
      <c r="U3324" s="3"/>
      <c r="V3324" s="3"/>
      <c r="W3324" s="3"/>
      <c r="X3324" s="3"/>
      <c r="Y3324" s="4"/>
      <c r="Z3324"/>
      <c r="AA3324"/>
    </row>
    <row r="3325" spans="1:27" s="37" customFormat="1" x14ac:dyDescent="0.15">
      <c r="A3325" s="166"/>
      <c r="B3325" s="93"/>
      <c r="C3325" s="70"/>
      <c r="D3325" s="70"/>
      <c r="E3325" s="70"/>
      <c r="F3325" s="70"/>
      <c r="G3325" s="70"/>
      <c r="H3325" s="85"/>
      <c r="I3325" s="85"/>
      <c r="J3325" s="131"/>
      <c r="K3325" s="60"/>
      <c r="L3325" s="49"/>
      <c r="P3325" s="3"/>
      <c r="Q3325" s="3"/>
      <c r="R3325" s="3"/>
      <c r="S3325" s="3"/>
      <c r="T3325" s="3"/>
      <c r="U3325" s="3"/>
      <c r="V3325" s="3"/>
      <c r="W3325" s="3"/>
      <c r="X3325" s="3"/>
      <c r="Y3325" s="4"/>
      <c r="Z3325"/>
      <c r="AA3325"/>
    </row>
    <row r="3326" spans="1:27" s="37" customFormat="1" x14ac:dyDescent="0.15">
      <c r="A3326" s="166"/>
      <c r="B3326" s="93"/>
      <c r="C3326" s="70"/>
      <c r="D3326" s="70"/>
      <c r="E3326" s="70"/>
      <c r="F3326" s="70"/>
      <c r="G3326" s="70"/>
      <c r="H3326" s="85"/>
      <c r="I3326" s="85"/>
      <c r="J3326" s="141"/>
      <c r="K3326" s="60"/>
      <c r="P3326" s="3"/>
      <c r="Q3326" s="3"/>
      <c r="R3326" s="3"/>
      <c r="S3326" s="3"/>
      <c r="T3326" s="3"/>
      <c r="U3326" s="3"/>
      <c r="V3326" s="3"/>
      <c r="W3326" s="3"/>
      <c r="X3326" s="3"/>
      <c r="Y3326" s="4"/>
      <c r="Z3326"/>
      <c r="AA3326"/>
    </row>
    <row r="3327" spans="1:27" s="37" customFormat="1" x14ac:dyDescent="0.15">
      <c r="A3327" s="166"/>
      <c r="B3327" s="93"/>
      <c r="C3327" s="70"/>
      <c r="D3327" s="70"/>
      <c r="E3327" s="70"/>
      <c r="F3327" s="70"/>
      <c r="G3327" s="70"/>
      <c r="H3327" s="85"/>
      <c r="I3327" s="85"/>
      <c r="J3327" s="135"/>
      <c r="K3327" s="60"/>
      <c r="P3327" s="3"/>
      <c r="Q3327" s="3"/>
      <c r="R3327" s="3"/>
      <c r="S3327" s="3"/>
      <c r="T3327" s="3"/>
      <c r="U3327" s="3"/>
      <c r="V3327" s="3"/>
      <c r="W3327" s="3"/>
      <c r="X3327" s="3"/>
      <c r="Y3327" s="4"/>
      <c r="Z3327"/>
      <c r="AA3327"/>
    </row>
    <row r="3328" spans="1:27" s="37" customFormat="1" x14ac:dyDescent="0.15">
      <c r="A3328" s="166"/>
      <c r="B3328" s="93"/>
      <c r="C3328" s="70"/>
      <c r="D3328" s="70"/>
      <c r="E3328" s="70"/>
      <c r="F3328" s="70"/>
      <c r="G3328" s="70"/>
      <c r="H3328" s="85"/>
      <c r="I3328" s="85"/>
      <c r="J3328" s="131"/>
      <c r="K3328" s="60"/>
      <c r="L3328" s="49"/>
      <c r="P3328" s="3"/>
      <c r="Q3328" s="3"/>
      <c r="R3328" s="3"/>
      <c r="S3328" s="3"/>
      <c r="T3328" s="3"/>
      <c r="U3328" s="3"/>
      <c r="V3328" s="3"/>
      <c r="W3328" s="3"/>
      <c r="X3328" s="3"/>
      <c r="Y3328" s="4"/>
      <c r="Z3328"/>
      <c r="AA3328"/>
    </row>
    <row r="3329" spans="1:27" s="37" customFormat="1" x14ac:dyDescent="0.15">
      <c r="A3329" s="166"/>
      <c r="B3329" s="93"/>
      <c r="C3329" s="70"/>
      <c r="D3329" s="70"/>
      <c r="E3329" s="70"/>
      <c r="F3329" s="70"/>
      <c r="G3329" s="70"/>
      <c r="H3329" s="85"/>
      <c r="I3329" s="85"/>
      <c r="J3329" s="141"/>
      <c r="K3329" s="60"/>
      <c r="L3329" s="35"/>
      <c r="P3329" s="3"/>
      <c r="Q3329" s="3"/>
      <c r="R3329" s="3"/>
      <c r="S3329" s="3"/>
      <c r="T3329" s="3"/>
      <c r="U3329" s="3"/>
      <c r="V3329" s="3"/>
      <c r="W3329" s="3"/>
      <c r="X3329" s="3"/>
      <c r="Y3329" s="4"/>
      <c r="Z3329"/>
      <c r="AA3329"/>
    </row>
    <row r="3330" spans="1:27" s="37" customFormat="1" x14ac:dyDescent="0.15">
      <c r="A3330" s="166"/>
      <c r="B3330" s="82"/>
      <c r="C3330" s="70"/>
      <c r="D3330" s="70"/>
      <c r="E3330" s="70"/>
      <c r="F3330" s="70"/>
      <c r="G3330" s="70"/>
      <c r="H3330" s="85"/>
      <c r="I3330" s="85"/>
      <c r="J3330" s="131"/>
      <c r="K3330" s="60"/>
      <c r="L3330" s="33"/>
      <c r="P3330" s="3"/>
      <c r="Q3330" s="3"/>
      <c r="R3330" s="3"/>
      <c r="S3330" s="3"/>
      <c r="T3330" s="3"/>
      <c r="U3330" s="3"/>
      <c r="V3330" s="3"/>
      <c r="W3330" s="3"/>
      <c r="X3330" s="3"/>
      <c r="Y3330" s="4"/>
      <c r="Z3330"/>
      <c r="AA3330"/>
    </row>
    <row r="3331" spans="1:27" s="37" customFormat="1" x14ac:dyDescent="0.15">
      <c r="A3331" s="166"/>
      <c r="B3331" s="82"/>
      <c r="C3331" s="70"/>
      <c r="D3331" s="70"/>
      <c r="E3331" s="70"/>
      <c r="F3331" s="70"/>
      <c r="G3331" s="70"/>
      <c r="H3331" s="85"/>
      <c r="I3331" s="85"/>
      <c r="J3331" s="131"/>
      <c r="K3331" s="60"/>
      <c r="L3331" s="33"/>
      <c r="P3331" s="3"/>
      <c r="Q3331" s="3"/>
      <c r="R3331" s="3"/>
      <c r="S3331" s="3"/>
      <c r="T3331" s="3"/>
      <c r="U3331" s="3"/>
      <c r="V3331" s="3"/>
      <c r="W3331" s="3"/>
      <c r="X3331" s="3"/>
      <c r="Y3331" s="4"/>
      <c r="Z3331"/>
      <c r="AA3331"/>
    </row>
    <row r="3332" spans="1:27" s="37" customFormat="1" x14ac:dyDescent="0.15">
      <c r="A3332" s="166"/>
      <c r="B3332" s="93"/>
      <c r="C3332" s="70"/>
      <c r="D3332" s="70"/>
      <c r="E3332" s="70"/>
      <c r="F3332" s="70"/>
      <c r="G3332" s="70"/>
      <c r="H3332" s="85"/>
      <c r="I3332" s="85"/>
      <c r="J3332" s="142"/>
      <c r="K3332" s="60"/>
      <c r="P3332" s="3"/>
      <c r="Q3332" s="3"/>
      <c r="R3332" s="3"/>
      <c r="S3332" s="3"/>
      <c r="T3332" s="3"/>
      <c r="U3332" s="3"/>
      <c r="V3332" s="3"/>
      <c r="W3332" s="3"/>
      <c r="X3332" s="3"/>
      <c r="Y3332" s="4"/>
      <c r="Z3332"/>
      <c r="AA3332"/>
    </row>
    <row r="3333" spans="1:27" s="37" customFormat="1" x14ac:dyDescent="0.15">
      <c r="A3333" s="166"/>
      <c r="B3333" s="93"/>
      <c r="C3333" s="70"/>
      <c r="D3333" s="70"/>
      <c r="E3333" s="70"/>
      <c r="F3333" s="70"/>
      <c r="G3333" s="70"/>
      <c r="H3333" s="85"/>
      <c r="I3333" s="85"/>
      <c r="J3333" s="142"/>
      <c r="K3333" s="60"/>
      <c r="P3333" s="3"/>
      <c r="Q3333" s="3"/>
      <c r="R3333" s="3"/>
      <c r="S3333" s="3"/>
      <c r="T3333" s="3"/>
      <c r="U3333" s="3"/>
      <c r="V3333" s="3"/>
      <c r="W3333" s="3"/>
      <c r="X3333" s="3"/>
      <c r="Y3333" s="4"/>
      <c r="Z3333"/>
      <c r="AA3333"/>
    </row>
    <row r="3334" spans="1:27" s="37" customFormat="1" x14ac:dyDescent="0.15">
      <c r="A3334" s="166"/>
      <c r="B3334" s="93"/>
      <c r="C3334" s="70"/>
      <c r="D3334" s="70"/>
      <c r="E3334" s="70"/>
      <c r="F3334" s="70"/>
      <c r="G3334" s="70"/>
      <c r="H3334" s="85"/>
      <c r="I3334" s="85"/>
      <c r="J3334" s="142"/>
      <c r="K3334" s="60"/>
      <c r="P3334" s="3"/>
      <c r="Q3334" s="3"/>
      <c r="R3334" s="3"/>
      <c r="S3334" s="3"/>
      <c r="T3334" s="3"/>
      <c r="U3334" s="3"/>
      <c r="V3334" s="3"/>
      <c r="W3334" s="3"/>
      <c r="X3334" s="3"/>
      <c r="Y3334" s="4"/>
      <c r="Z3334"/>
      <c r="AA3334"/>
    </row>
    <row r="3335" spans="1:27" s="37" customFormat="1" x14ac:dyDescent="0.15">
      <c r="A3335" s="166"/>
      <c r="B3335" s="93"/>
      <c r="C3335" s="70"/>
      <c r="D3335" s="70"/>
      <c r="E3335" s="70"/>
      <c r="F3335" s="70"/>
      <c r="G3335" s="70"/>
      <c r="H3335" s="85"/>
      <c r="I3335" s="85"/>
      <c r="J3335" s="142"/>
      <c r="K3335" s="60"/>
      <c r="P3335" s="3"/>
      <c r="Q3335" s="3"/>
      <c r="R3335" s="3"/>
      <c r="S3335" s="3"/>
      <c r="T3335" s="3"/>
      <c r="U3335" s="3"/>
      <c r="V3335" s="3"/>
      <c r="W3335" s="3"/>
      <c r="X3335" s="3"/>
      <c r="Y3335" s="4"/>
      <c r="Z3335"/>
      <c r="AA3335"/>
    </row>
    <row r="3336" spans="1:27" s="37" customFormat="1" x14ac:dyDescent="0.15">
      <c r="A3336" s="166"/>
      <c r="B3336" s="93"/>
      <c r="C3336" s="70"/>
      <c r="D3336" s="70"/>
      <c r="E3336" s="70"/>
      <c r="F3336" s="70"/>
      <c r="G3336" s="70"/>
      <c r="H3336" s="85"/>
      <c r="I3336" s="85"/>
      <c r="J3336" s="131"/>
      <c r="K3336" s="60"/>
      <c r="L3336" s="49"/>
      <c r="P3336" s="3"/>
      <c r="Q3336" s="3"/>
      <c r="R3336" s="3"/>
      <c r="S3336" s="3"/>
      <c r="T3336" s="3"/>
      <c r="U3336" s="3"/>
      <c r="V3336" s="3"/>
      <c r="W3336" s="3"/>
      <c r="X3336" s="3"/>
      <c r="Y3336" s="4"/>
      <c r="Z3336"/>
      <c r="AA3336"/>
    </row>
    <row r="3337" spans="1:27" s="37" customFormat="1" x14ac:dyDescent="0.15">
      <c r="A3337" s="166"/>
      <c r="B3337" s="93"/>
      <c r="C3337" s="70"/>
      <c r="D3337" s="70"/>
      <c r="E3337" s="70"/>
      <c r="F3337" s="70"/>
      <c r="G3337" s="70"/>
      <c r="H3337" s="85"/>
      <c r="I3337" s="85"/>
      <c r="J3337" s="131"/>
      <c r="K3337" s="60"/>
      <c r="L3337" s="49"/>
      <c r="P3337" s="3"/>
      <c r="Q3337" s="3"/>
      <c r="R3337" s="3"/>
      <c r="S3337" s="3"/>
      <c r="T3337" s="3"/>
      <c r="U3337" s="3"/>
      <c r="V3337" s="3"/>
      <c r="W3337" s="3"/>
      <c r="X3337" s="3"/>
      <c r="Y3337" s="4"/>
      <c r="Z3337"/>
      <c r="AA3337"/>
    </row>
    <row r="3338" spans="1:27" s="37" customFormat="1" x14ac:dyDescent="0.15">
      <c r="A3338" s="166"/>
      <c r="B3338" s="93"/>
      <c r="C3338" s="70"/>
      <c r="D3338" s="70"/>
      <c r="E3338" s="70"/>
      <c r="F3338" s="70"/>
      <c r="G3338" s="70"/>
      <c r="H3338" s="85"/>
      <c r="I3338" s="85"/>
      <c r="J3338" s="142"/>
      <c r="K3338" s="60"/>
      <c r="P3338" s="3"/>
      <c r="Q3338" s="3"/>
      <c r="R3338" s="3"/>
      <c r="S3338" s="3"/>
      <c r="T3338" s="3"/>
      <c r="U3338" s="3"/>
      <c r="V3338" s="3"/>
      <c r="W3338" s="3"/>
      <c r="X3338" s="3"/>
      <c r="Y3338" s="4"/>
      <c r="Z3338"/>
      <c r="AA3338"/>
    </row>
    <row r="3339" spans="1:27" s="37" customFormat="1" x14ac:dyDescent="0.15">
      <c r="A3339" s="166"/>
      <c r="B3339" s="93"/>
      <c r="C3339" s="70"/>
      <c r="D3339" s="70"/>
      <c r="E3339" s="70"/>
      <c r="F3339" s="70"/>
      <c r="G3339" s="70"/>
      <c r="H3339" s="85"/>
      <c r="I3339" s="85"/>
      <c r="J3339" s="142"/>
      <c r="K3339" s="60"/>
      <c r="P3339" s="3"/>
      <c r="Q3339" s="3"/>
      <c r="R3339" s="3"/>
      <c r="S3339" s="3"/>
      <c r="T3339" s="3"/>
      <c r="U3339" s="3"/>
      <c r="V3339" s="3"/>
      <c r="W3339" s="3"/>
      <c r="X3339" s="3"/>
      <c r="Y3339" s="4"/>
      <c r="Z3339"/>
      <c r="AA3339"/>
    </row>
    <row r="3340" spans="1:27" s="37" customFormat="1" x14ac:dyDescent="0.15">
      <c r="A3340" s="166"/>
      <c r="B3340" s="93"/>
      <c r="C3340" s="70"/>
      <c r="D3340" s="70"/>
      <c r="E3340" s="70"/>
      <c r="F3340" s="70"/>
      <c r="G3340" s="70"/>
      <c r="H3340" s="85"/>
      <c r="I3340" s="85"/>
      <c r="J3340" s="142"/>
      <c r="K3340" s="60"/>
      <c r="P3340" s="3"/>
      <c r="Q3340" s="3"/>
      <c r="R3340" s="3"/>
      <c r="S3340" s="3"/>
      <c r="T3340" s="3"/>
      <c r="U3340" s="3"/>
      <c r="V3340" s="3"/>
      <c r="W3340" s="3"/>
      <c r="X3340" s="3"/>
      <c r="Y3340" s="4"/>
      <c r="Z3340"/>
      <c r="AA3340"/>
    </row>
    <row r="3341" spans="1:27" s="37" customFormat="1" x14ac:dyDescent="0.15">
      <c r="A3341" s="166"/>
      <c r="B3341" s="93"/>
      <c r="C3341" s="70"/>
      <c r="D3341" s="70"/>
      <c r="E3341" s="70"/>
      <c r="F3341" s="70"/>
      <c r="G3341" s="70"/>
      <c r="H3341" s="85"/>
      <c r="I3341" s="85"/>
      <c r="J3341" s="131"/>
      <c r="K3341" s="60"/>
      <c r="L3341" s="33"/>
      <c r="P3341" s="3"/>
      <c r="Q3341" s="3"/>
      <c r="R3341" s="3"/>
      <c r="S3341" s="3"/>
      <c r="T3341" s="3"/>
      <c r="U3341" s="3"/>
      <c r="V3341" s="3"/>
      <c r="W3341" s="3"/>
      <c r="X3341" s="3"/>
      <c r="Y3341" s="4"/>
      <c r="Z3341"/>
      <c r="AA3341"/>
    </row>
    <row r="3342" spans="1:27" s="37" customFormat="1" x14ac:dyDescent="0.15">
      <c r="A3342" s="166"/>
      <c r="B3342" s="93"/>
      <c r="C3342" s="70"/>
      <c r="D3342" s="70"/>
      <c r="E3342" s="70"/>
      <c r="F3342" s="70"/>
      <c r="G3342" s="70"/>
      <c r="H3342" s="85"/>
      <c r="I3342" s="85"/>
      <c r="J3342" s="131"/>
      <c r="K3342" s="60"/>
      <c r="L3342" s="33"/>
      <c r="P3342" s="3"/>
      <c r="Q3342" s="3"/>
      <c r="R3342" s="3"/>
      <c r="S3342" s="3"/>
      <c r="T3342" s="3"/>
      <c r="U3342" s="3"/>
      <c r="V3342" s="3"/>
      <c r="W3342" s="3"/>
      <c r="X3342" s="3"/>
      <c r="Y3342" s="4"/>
      <c r="Z3342"/>
      <c r="AA3342"/>
    </row>
    <row r="3343" spans="1:27" x14ac:dyDescent="0.15">
      <c r="A3343" s="170"/>
      <c r="B3343" s="82"/>
      <c r="C3343" s="83"/>
      <c r="D3343" s="83"/>
      <c r="E3343" s="81"/>
      <c r="F3343" s="83"/>
      <c r="G3343" s="83"/>
      <c r="H3343" s="85"/>
      <c r="I3343" s="84"/>
      <c r="J3343" s="139"/>
      <c r="K3343" s="72"/>
      <c r="L3343" s="31"/>
    </row>
    <row r="3344" spans="1:27" x14ac:dyDescent="0.15">
      <c r="A3344" s="166"/>
      <c r="B3344" s="93"/>
      <c r="C3344" s="70"/>
      <c r="D3344" s="70"/>
      <c r="E3344" s="70"/>
      <c r="F3344" s="70"/>
      <c r="G3344" s="70"/>
      <c r="H3344" s="85"/>
      <c r="I3344" s="85"/>
      <c r="J3344" s="131"/>
      <c r="K3344" s="60"/>
    </row>
    <row r="3345" spans="1:27" x14ac:dyDescent="0.15">
      <c r="A3345" s="166"/>
      <c r="B3345" s="93"/>
      <c r="C3345" s="70"/>
      <c r="D3345" s="70"/>
      <c r="E3345" s="70"/>
      <c r="F3345" s="70"/>
      <c r="G3345" s="70"/>
      <c r="H3345" s="85"/>
      <c r="I3345" s="85"/>
      <c r="J3345" s="131"/>
      <c r="K3345" s="70"/>
    </row>
    <row r="3346" spans="1:27" x14ac:dyDescent="0.15">
      <c r="A3346" s="166"/>
      <c r="B3346" s="82"/>
      <c r="C3346" s="70"/>
      <c r="D3346" s="70"/>
      <c r="E3346" s="70"/>
      <c r="F3346" s="70"/>
      <c r="G3346" s="70"/>
      <c r="H3346" s="85"/>
      <c r="I3346" s="85"/>
      <c r="J3346" s="131"/>
      <c r="K3346" s="60"/>
      <c r="R3346"/>
      <c r="S3346"/>
      <c r="T3346"/>
      <c r="U3346"/>
      <c r="V3346"/>
      <c r="W3346"/>
      <c r="X3346"/>
      <c r="Y3346"/>
    </row>
    <row r="3347" spans="1:27" x14ac:dyDescent="0.15">
      <c r="A3347" s="166"/>
      <c r="B3347" s="82"/>
      <c r="C3347" s="70"/>
      <c r="D3347" s="70"/>
      <c r="E3347" s="70"/>
      <c r="F3347" s="70"/>
      <c r="G3347" s="70"/>
      <c r="H3347" s="85"/>
      <c r="I3347" s="85"/>
      <c r="J3347" s="131"/>
      <c r="K3347" s="60"/>
      <c r="R3347"/>
      <c r="S3347"/>
      <c r="T3347"/>
      <c r="U3347"/>
      <c r="V3347"/>
      <c r="W3347"/>
      <c r="X3347"/>
      <c r="Y3347"/>
    </row>
    <row r="3348" spans="1:27" x14ac:dyDescent="0.15">
      <c r="A3348" s="165"/>
      <c r="B3348" s="97"/>
      <c r="C3348" s="61"/>
      <c r="D3348" s="61"/>
      <c r="E3348" s="61"/>
      <c r="F3348" s="61"/>
      <c r="G3348" s="61"/>
      <c r="H3348" s="85"/>
      <c r="I3348" s="103"/>
      <c r="J3348" s="141"/>
      <c r="K3348" s="67"/>
      <c r="L3348" s="54"/>
      <c r="R3348"/>
      <c r="S3348"/>
      <c r="T3348"/>
      <c r="U3348"/>
      <c r="V3348"/>
      <c r="W3348"/>
      <c r="X3348"/>
      <c r="Y3348"/>
    </row>
    <row r="3349" spans="1:27" x14ac:dyDescent="0.15">
      <c r="A3349" s="166"/>
      <c r="B3349" s="82"/>
      <c r="C3349" s="70"/>
      <c r="D3349" s="70"/>
      <c r="E3349" s="70"/>
      <c r="F3349" s="70"/>
      <c r="G3349" s="70"/>
      <c r="H3349" s="85"/>
      <c r="I3349" s="85"/>
      <c r="J3349" s="131"/>
      <c r="K3349" s="60"/>
      <c r="R3349"/>
      <c r="S3349"/>
      <c r="T3349"/>
      <c r="U3349"/>
      <c r="V3349"/>
      <c r="W3349"/>
      <c r="X3349"/>
      <c r="Y3349"/>
    </row>
    <row r="3350" spans="1:27" x14ac:dyDescent="0.15">
      <c r="A3350" s="166"/>
      <c r="B3350" s="82"/>
      <c r="C3350" s="70"/>
      <c r="D3350" s="70"/>
      <c r="E3350" s="70"/>
      <c r="F3350" s="70"/>
      <c r="G3350" s="70"/>
      <c r="H3350" s="85"/>
      <c r="I3350" s="85"/>
      <c r="J3350" s="131"/>
      <c r="K3350" s="60"/>
    </row>
    <row r="3351" spans="1:27" x14ac:dyDescent="0.15">
      <c r="A3351" s="166"/>
      <c r="B3351" s="82"/>
      <c r="C3351" s="70"/>
      <c r="D3351" s="70"/>
      <c r="E3351" s="70"/>
      <c r="F3351" s="70"/>
      <c r="G3351" s="70"/>
      <c r="H3351" s="85"/>
      <c r="I3351" s="85"/>
      <c r="J3351" s="131"/>
      <c r="K3351" s="69"/>
    </row>
    <row r="3352" spans="1:27" x14ac:dyDescent="0.15">
      <c r="A3352" s="166"/>
      <c r="B3352" s="82"/>
      <c r="C3352" s="70"/>
      <c r="D3352" s="70"/>
      <c r="E3352" s="70"/>
      <c r="F3352" s="70"/>
      <c r="G3352" s="70"/>
      <c r="H3352" s="85"/>
      <c r="I3352" s="85"/>
      <c r="J3352" s="131"/>
      <c r="K3352" s="60"/>
    </row>
    <row r="3353" spans="1:27" x14ac:dyDescent="0.15">
      <c r="A3353" s="166"/>
      <c r="B3353" s="82"/>
      <c r="C3353" s="70"/>
      <c r="D3353" s="70"/>
      <c r="E3353" s="70"/>
      <c r="F3353" s="70"/>
      <c r="G3353" s="70"/>
      <c r="H3353" s="85"/>
      <c r="I3353" s="85"/>
      <c r="J3353" s="131"/>
      <c r="K3353" s="60"/>
    </row>
    <row r="3354" spans="1:27" x14ac:dyDescent="0.15">
      <c r="A3354" s="166"/>
      <c r="B3354" s="82"/>
      <c r="C3354" s="70"/>
      <c r="D3354" s="70"/>
      <c r="E3354" s="70"/>
      <c r="F3354" s="70"/>
      <c r="G3354" s="70"/>
      <c r="H3354" s="85"/>
      <c r="I3354" s="85"/>
      <c r="J3354" s="131"/>
      <c r="K3354" s="60"/>
    </row>
    <row r="3355" spans="1:27" x14ac:dyDescent="0.15">
      <c r="A3355" s="166"/>
      <c r="B3355" s="82"/>
      <c r="C3355" s="70"/>
      <c r="D3355" s="70"/>
      <c r="E3355" s="70"/>
      <c r="F3355" s="70"/>
      <c r="G3355" s="70"/>
      <c r="H3355" s="85"/>
      <c r="I3355" s="85"/>
      <c r="J3355" s="131"/>
      <c r="K3355" s="60"/>
      <c r="L3355" s="50"/>
    </row>
    <row r="3356" spans="1:27" x14ac:dyDescent="0.15">
      <c r="A3356" s="166"/>
      <c r="B3356" s="82"/>
      <c r="C3356" s="70"/>
      <c r="D3356" s="70"/>
      <c r="E3356" s="70"/>
      <c r="F3356" s="70"/>
      <c r="G3356" s="70"/>
      <c r="H3356" s="85"/>
      <c r="I3356" s="85"/>
      <c r="J3356" s="131"/>
      <c r="K3356" s="60"/>
      <c r="L3356" s="50"/>
    </row>
    <row r="3357" spans="1:27" x14ac:dyDescent="0.15">
      <c r="A3357" s="166"/>
      <c r="B3357" s="82"/>
      <c r="C3357" s="70"/>
      <c r="D3357" s="70"/>
      <c r="E3357" s="70"/>
      <c r="F3357" s="70"/>
      <c r="G3357" s="70"/>
      <c r="H3357" s="85"/>
      <c r="I3357" s="85"/>
      <c r="J3357" s="131"/>
      <c r="K3357" s="60"/>
      <c r="L3357" s="50"/>
    </row>
    <row r="3358" spans="1:27" x14ac:dyDescent="0.15">
      <c r="A3358" s="166"/>
      <c r="B3358" s="82"/>
      <c r="C3358" s="70"/>
      <c r="D3358" s="70"/>
      <c r="E3358" s="70"/>
      <c r="F3358" s="70"/>
      <c r="G3358" s="70"/>
      <c r="H3358" s="85"/>
      <c r="I3358" s="85"/>
      <c r="J3358" s="131"/>
      <c r="K3358" s="60"/>
    </row>
    <row r="3359" spans="1:27" s="37" customFormat="1" x14ac:dyDescent="0.15">
      <c r="A3359" s="166"/>
      <c r="B3359" s="82"/>
      <c r="C3359" s="70"/>
      <c r="D3359" s="70"/>
      <c r="E3359" s="70"/>
      <c r="F3359" s="70"/>
      <c r="G3359" s="70"/>
      <c r="H3359" s="85"/>
      <c r="I3359" s="85"/>
      <c r="J3359" s="131"/>
      <c r="K3359" s="60"/>
      <c r="L3359" s="49"/>
      <c r="P3359" s="3"/>
      <c r="Q3359" s="3"/>
      <c r="R3359" s="3"/>
      <c r="S3359" s="3"/>
      <c r="T3359" s="3"/>
      <c r="U3359" s="3"/>
      <c r="V3359" s="3"/>
      <c r="W3359" s="3"/>
      <c r="X3359" s="3"/>
      <c r="Y3359" s="4"/>
      <c r="Z3359"/>
      <c r="AA3359"/>
    </row>
    <row r="3360" spans="1:27" s="37" customFormat="1" x14ac:dyDescent="0.15">
      <c r="A3360" s="166"/>
      <c r="B3360" s="82"/>
      <c r="C3360" s="70"/>
      <c r="D3360" s="70"/>
      <c r="E3360" s="70"/>
      <c r="F3360" s="70"/>
      <c r="G3360" s="70"/>
      <c r="H3360" s="85"/>
      <c r="I3360" s="85"/>
      <c r="J3360" s="131"/>
      <c r="K3360" s="60"/>
      <c r="L3360" s="50"/>
      <c r="P3360" s="3"/>
      <c r="Q3360" s="3"/>
      <c r="R3360" s="3"/>
      <c r="S3360" s="3"/>
      <c r="T3360" s="3"/>
      <c r="U3360" s="3"/>
      <c r="V3360" s="3"/>
      <c r="W3360" s="3"/>
      <c r="X3360" s="3"/>
      <c r="Y3360" s="4"/>
      <c r="Z3360"/>
      <c r="AA3360"/>
    </row>
    <row r="3361" spans="1:27" s="37" customFormat="1" x14ac:dyDescent="0.15">
      <c r="A3361" s="166"/>
      <c r="B3361" s="82"/>
      <c r="C3361" s="70"/>
      <c r="D3361" s="70"/>
      <c r="E3361" s="70"/>
      <c r="F3361" s="70"/>
      <c r="G3361" s="70"/>
      <c r="H3361" s="85"/>
      <c r="I3361" s="85"/>
      <c r="J3361" s="131"/>
      <c r="K3361" s="60"/>
      <c r="L3361" s="50"/>
      <c r="P3361" s="3"/>
      <c r="Q3361" s="3"/>
      <c r="R3361" s="3"/>
      <c r="S3361" s="3"/>
      <c r="T3361" s="3"/>
      <c r="U3361" s="3"/>
      <c r="V3361" s="3"/>
      <c r="W3361" s="3"/>
      <c r="X3361" s="3"/>
      <c r="Y3361" s="4"/>
      <c r="Z3361"/>
      <c r="AA3361"/>
    </row>
    <row r="3362" spans="1:27" s="37" customFormat="1" x14ac:dyDescent="0.15">
      <c r="A3362" s="166"/>
      <c r="B3362" s="82"/>
      <c r="C3362" s="70"/>
      <c r="D3362" s="70"/>
      <c r="E3362" s="70"/>
      <c r="F3362" s="70"/>
      <c r="G3362" s="70"/>
      <c r="H3362" s="85"/>
      <c r="I3362" s="85"/>
      <c r="J3362" s="131"/>
      <c r="K3362" s="69"/>
      <c r="L3362" s="49"/>
      <c r="P3362" s="3"/>
      <c r="Q3362" s="3"/>
      <c r="R3362" s="3"/>
      <c r="S3362" s="3"/>
      <c r="T3362" s="3"/>
      <c r="U3362" s="3"/>
      <c r="V3362" s="3"/>
      <c r="W3362" s="3"/>
      <c r="X3362" s="3"/>
      <c r="Y3362" s="4"/>
      <c r="Z3362"/>
      <c r="AA3362"/>
    </row>
    <row r="3363" spans="1:27" s="37" customFormat="1" x14ac:dyDescent="0.15">
      <c r="A3363" s="166"/>
      <c r="B3363" s="82"/>
      <c r="C3363" s="70"/>
      <c r="D3363" s="70"/>
      <c r="E3363" s="70"/>
      <c r="F3363" s="70"/>
      <c r="G3363" s="70"/>
      <c r="H3363" s="85"/>
      <c r="I3363" s="85"/>
      <c r="J3363" s="131"/>
      <c r="K3363" s="69"/>
      <c r="L3363" s="49"/>
      <c r="P3363" s="3"/>
      <c r="Q3363" s="3"/>
      <c r="R3363" s="3"/>
      <c r="S3363" s="3"/>
      <c r="T3363" s="3"/>
      <c r="U3363" s="3"/>
      <c r="V3363" s="3"/>
      <c r="W3363" s="3"/>
      <c r="X3363" s="3"/>
      <c r="Y3363" s="4"/>
      <c r="Z3363"/>
      <c r="AA3363"/>
    </row>
    <row r="3364" spans="1:27" s="37" customFormat="1" x14ac:dyDescent="0.15">
      <c r="A3364" s="166"/>
      <c r="B3364" s="82"/>
      <c r="C3364" s="70"/>
      <c r="D3364" s="70"/>
      <c r="E3364" s="70"/>
      <c r="F3364" s="70"/>
      <c r="G3364" s="70"/>
      <c r="H3364" s="85"/>
      <c r="I3364" s="85"/>
      <c r="J3364" s="131"/>
      <c r="K3364" s="69"/>
      <c r="L3364" s="49"/>
      <c r="P3364" s="3"/>
      <c r="Q3364" s="3"/>
      <c r="R3364" s="3"/>
      <c r="S3364" s="3"/>
      <c r="T3364" s="3"/>
      <c r="U3364" s="3"/>
      <c r="V3364" s="3"/>
      <c r="W3364" s="3"/>
      <c r="X3364" s="3"/>
      <c r="Y3364" s="4"/>
      <c r="Z3364"/>
      <c r="AA3364"/>
    </row>
    <row r="3365" spans="1:27" s="37" customFormat="1" x14ac:dyDescent="0.15">
      <c r="A3365" s="166"/>
      <c r="B3365" s="82"/>
      <c r="C3365" s="70"/>
      <c r="D3365" s="70"/>
      <c r="E3365" s="70"/>
      <c r="F3365" s="70"/>
      <c r="G3365" s="70"/>
      <c r="H3365" s="85"/>
      <c r="I3365" s="85"/>
      <c r="J3365" s="131"/>
      <c r="K3365" s="69"/>
      <c r="L3365" s="49"/>
      <c r="P3365" s="3"/>
      <c r="Q3365" s="3"/>
      <c r="R3365" s="3"/>
      <c r="S3365" s="3"/>
      <c r="T3365" s="3"/>
      <c r="U3365" s="3"/>
      <c r="V3365" s="3"/>
      <c r="W3365" s="3"/>
      <c r="X3365" s="3"/>
      <c r="Y3365" s="4"/>
      <c r="Z3365"/>
      <c r="AA3365"/>
    </row>
    <row r="3366" spans="1:27" s="37" customFormat="1" x14ac:dyDescent="0.15">
      <c r="A3366" s="166"/>
      <c r="B3366" s="82"/>
      <c r="C3366" s="70"/>
      <c r="D3366" s="70"/>
      <c r="E3366" s="70"/>
      <c r="F3366" s="70"/>
      <c r="G3366" s="70"/>
      <c r="H3366" s="85"/>
      <c r="I3366" s="85"/>
      <c r="J3366" s="131"/>
      <c r="K3366" s="69"/>
      <c r="L3366" s="49"/>
      <c r="P3366" s="3"/>
      <c r="Q3366" s="3"/>
      <c r="R3366" s="3"/>
      <c r="S3366" s="3"/>
      <c r="T3366" s="3"/>
      <c r="U3366" s="3"/>
      <c r="V3366" s="3"/>
      <c r="W3366" s="3"/>
      <c r="X3366" s="3"/>
      <c r="Y3366" s="4"/>
      <c r="Z3366"/>
      <c r="AA3366"/>
    </row>
    <row r="3367" spans="1:27" s="37" customFormat="1" x14ac:dyDescent="0.15">
      <c r="A3367" s="166"/>
      <c r="B3367" s="82"/>
      <c r="C3367" s="70"/>
      <c r="D3367" s="70"/>
      <c r="E3367" s="70"/>
      <c r="F3367" s="70"/>
      <c r="G3367" s="70"/>
      <c r="H3367" s="85"/>
      <c r="I3367" s="85"/>
      <c r="J3367" s="131"/>
      <c r="K3367" s="69"/>
      <c r="L3367" s="49"/>
      <c r="P3367" s="3"/>
      <c r="Q3367" s="3"/>
      <c r="R3367" s="3"/>
      <c r="S3367" s="3"/>
      <c r="T3367" s="3"/>
      <c r="U3367" s="3"/>
      <c r="V3367" s="3"/>
      <c r="W3367" s="3"/>
      <c r="X3367" s="3"/>
      <c r="Y3367" s="4"/>
      <c r="Z3367"/>
      <c r="AA3367"/>
    </row>
    <row r="3368" spans="1:27" s="37" customFormat="1" x14ac:dyDescent="0.15">
      <c r="A3368" s="166"/>
      <c r="B3368" s="82"/>
      <c r="C3368" s="70"/>
      <c r="D3368" s="70"/>
      <c r="E3368" s="70"/>
      <c r="F3368" s="70"/>
      <c r="G3368" s="70"/>
      <c r="H3368" s="85"/>
      <c r="I3368" s="85"/>
      <c r="J3368" s="131"/>
      <c r="K3368" s="69"/>
      <c r="L3368" s="49"/>
      <c r="P3368" s="3"/>
      <c r="Q3368" s="3"/>
      <c r="R3368" s="3"/>
      <c r="S3368" s="3"/>
      <c r="T3368" s="3"/>
      <c r="U3368" s="3"/>
      <c r="V3368" s="3"/>
      <c r="W3368" s="3"/>
      <c r="X3368" s="3"/>
      <c r="Y3368" s="4"/>
      <c r="Z3368"/>
      <c r="AA3368"/>
    </row>
    <row r="3369" spans="1:27" s="37" customFormat="1" x14ac:dyDescent="0.15">
      <c r="A3369" s="166"/>
      <c r="B3369" s="82"/>
      <c r="C3369" s="70"/>
      <c r="D3369" s="70"/>
      <c r="E3369" s="70"/>
      <c r="F3369" s="70"/>
      <c r="G3369" s="70"/>
      <c r="H3369" s="85"/>
      <c r="I3369" s="85"/>
      <c r="J3369" s="131"/>
      <c r="K3369" s="69"/>
      <c r="L3369" s="49"/>
      <c r="P3369" s="3"/>
      <c r="Q3369" s="3"/>
      <c r="R3369" s="3"/>
      <c r="S3369" s="3"/>
      <c r="T3369" s="3"/>
      <c r="U3369" s="3"/>
      <c r="V3369" s="3"/>
      <c r="W3369" s="3"/>
      <c r="X3369" s="3"/>
      <c r="Y3369" s="4"/>
      <c r="Z3369"/>
      <c r="AA3369"/>
    </row>
    <row r="3370" spans="1:27" s="37" customFormat="1" x14ac:dyDescent="0.15">
      <c r="A3370" s="166"/>
      <c r="B3370" s="82"/>
      <c r="C3370" s="70"/>
      <c r="D3370" s="70"/>
      <c r="E3370" s="70"/>
      <c r="F3370" s="70"/>
      <c r="G3370" s="70"/>
      <c r="H3370" s="85"/>
      <c r="I3370" s="85"/>
      <c r="J3370" s="131"/>
      <c r="K3370" s="72"/>
      <c r="L3370" s="49"/>
      <c r="P3370" s="3"/>
      <c r="Q3370" s="3"/>
      <c r="R3370" s="3"/>
      <c r="S3370" s="3"/>
      <c r="T3370" s="3"/>
      <c r="U3370" s="3"/>
      <c r="V3370" s="3"/>
      <c r="W3370" s="3"/>
      <c r="X3370" s="3"/>
      <c r="Y3370" s="4"/>
      <c r="Z3370"/>
      <c r="AA3370"/>
    </row>
    <row r="3371" spans="1:27" s="37" customFormat="1" x14ac:dyDescent="0.15">
      <c r="A3371" s="166"/>
      <c r="B3371" s="82"/>
      <c r="C3371" s="70"/>
      <c r="D3371" s="70"/>
      <c r="E3371" s="70"/>
      <c r="F3371" s="70"/>
      <c r="G3371" s="70"/>
      <c r="H3371" s="85"/>
      <c r="I3371" s="85"/>
      <c r="J3371" s="131"/>
      <c r="K3371" s="69"/>
      <c r="L3371" s="49"/>
      <c r="P3371" s="3"/>
      <c r="Q3371" s="3"/>
      <c r="R3371" s="3"/>
      <c r="S3371" s="3"/>
      <c r="T3371" s="3"/>
      <c r="U3371" s="3"/>
      <c r="V3371" s="3"/>
      <c r="W3371" s="3"/>
      <c r="X3371" s="3"/>
      <c r="Y3371" s="4"/>
      <c r="Z3371"/>
      <c r="AA3371"/>
    </row>
    <row r="3372" spans="1:27" s="37" customFormat="1" x14ac:dyDescent="0.15">
      <c r="A3372" s="166"/>
      <c r="B3372" s="82"/>
      <c r="C3372" s="70"/>
      <c r="D3372" s="70"/>
      <c r="E3372" s="70"/>
      <c r="F3372" s="70"/>
      <c r="G3372" s="70"/>
      <c r="H3372" s="85"/>
      <c r="I3372" s="85"/>
      <c r="J3372" s="131"/>
      <c r="K3372" s="69"/>
      <c r="L3372" s="49"/>
      <c r="P3372" s="3"/>
      <c r="Q3372" s="3"/>
      <c r="R3372" s="3"/>
      <c r="S3372" s="3"/>
      <c r="T3372" s="3"/>
      <c r="U3372" s="3"/>
      <c r="V3372" s="3"/>
      <c r="W3372" s="3"/>
      <c r="X3372" s="3"/>
      <c r="Y3372" s="4"/>
      <c r="Z3372"/>
      <c r="AA3372"/>
    </row>
    <row r="3373" spans="1:27" s="37" customFormat="1" x14ac:dyDescent="0.15">
      <c r="A3373" s="166"/>
      <c r="B3373" s="82"/>
      <c r="C3373" s="70"/>
      <c r="D3373" s="70"/>
      <c r="E3373" s="70"/>
      <c r="F3373" s="70"/>
      <c r="G3373" s="70"/>
      <c r="H3373" s="85"/>
      <c r="I3373" s="85"/>
      <c r="J3373" s="131"/>
      <c r="K3373" s="69"/>
      <c r="L3373" s="49"/>
      <c r="P3373" s="3"/>
      <c r="Q3373" s="3"/>
      <c r="R3373" s="3"/>
      <c r="S3373" s="3"/>
      <c r="T3373" s="3"/>
      <c r="U3373" s="3"/>
      <c r="V3373" s="3"/>
      <c r="W3373" s="3"/>
      <c r="X3373" s="3"/>
      <c r="Y3373" s="4"/>
      <c r="Z3373"/>
      <c r="AA3373"/>
    </row>
    <row r="3374" spans="1:27" s="37" customFormat="1" x14ac:dyDescent="0.15">
      <c r="A3374" s="166"/>
      <c r="B3374" s="82"/>
      <c r="C3374" s="70"/>
      <c r="D3374" s="70"/>
      <c r="E3374" s="70"/>
      <c r="F3374" s="70"/>
      <c r="G3374" s="70"/>
      <c r="H3374" s="85"/>
      <c r="I3374" s="85"/>
      <c r="J3374" s="131"/>
      <c r="K3374" s="69"/>
      <c r="L3374" s="49"/>
      <c r="P3374" s="3"/>
      <c r="Q3374" s="3"/>
      <c r="R3374" s="3"/>
      <c r="S3374" s="3"/>
      <c r="T3374" s="3"/>
      <c r="U3374" s="3"/>
      <c r="V3374" s="3"/>
      <c r="W3374" s="3"/>
      <c r="X3374" s="3"/>
      <c r="Y3374" s="4"/>
      <c r="Z3374"/>
      <c r="AA3374"/>
    </row>
    <row r="3375" spans="1:27" s="37" customFormat="1" x14ac:dyDescent="0.15">
      <c r="A3375" s="166"/>
      <c r="B3375" s="82"/>
      <c r="C3375" s="70"/>
      <c r="D3375" s="70"/>
      <c r="E3375" s="70"/>
      <c r="F3375" s="70"/>
      <c r="G3375" s="70"/>
      <c r="H3375" s="85"/>
      <c r="I3375" s="85"/>
      <c r="J3375" s="131"/>
      <c r="K3375" s="69"/>
      <c r="L3375" s="49"/>
      <c r="P3375" s="3"/>
      <c r="Q3375" s="3"/>
      <c r="R3375" s="3"/>
      <c r="S3375" s="3"/>
      <c r="T3375" s="3"/>
      <c r="U3375" s="3"/>
      <c r="V3375" s="3"/>
      <c r="W3375" s="3"/>
      <c r="X3375" s="3"/>
      <c r="Y3375" s="4"/>
      <c r="Z3375"/>
      <c r="AA3375"/>
    </row>
    <row r="3376" spans="1:27" s="37" customFormat="1" x14ac:dyDescent="0.15">
      <c r="A3376" s="166"/>
      <c r="B3376" s="82"/>
      <c r="C3376" s="70"/>
      <c r="D3376" s="70"/>
      <c r="E3376" s="70"/>
      <c r="F3376" s="70"/>
      <c r="G3376" s="70"/>
      <c r="H3376" s="85"/>
      <c r="I3376" s="85"/>
      <c r="J3376" s="131"/>
      <c r="K3376" s="69"/>
      <c r="L3376" s="49"/>
      <c r="P3376" s="3"/>
      <c r="Q3376" s="3"/>
      <c r="R3376" s="3"/>
      <c r="S3376" s="3"/>
      <c r="T3376" s="3"/>
      <c r="U3376" s="3"/>
      <c r="V3376" s="3"/>
      <c r="W3376" s="3"/>
      <c r="X3376" s="3"/>
      <c r="Y3376" s="4"/>
      <c r="Z3376"/>
      <c r="AA3376"/>
    </row>
    <row r="3377" spans="1:27" s="37" customFormat="1" x14ac:dyDescent="0.15">
      <c r="A3377" s="166"/>
      <c r="B3377" s="82"/>
      <c r="C3377" s="70"/>
      <c r="D3377" s="70"/>
      <c r="E3377" s="70"/>
      <c r="F3377" s="70"/>
      <c r="G3377" s="70"/>
      <c r="H3377" s="85"/>
      <c r="I3377" s="85"/>
      <c r="J3377" s="131"/>
      <c r="K3377" s="60"/>
      <c r="L3377" s="49"/>
      <c r="P3377" s="3"/>
      <c r="Q3377" s="3"/>
      <c r="R3377" s="3"/>
      <c r="S3377" s="3"/>
      <c r="T3377" s="3"/>
      <c r="U3377" s="3"/>
      <c r="V3377" s="3"/>
      <c r="W3377" s="3"/>
      <c r="X3377" s="3"/>
      <c r="Y3377" s="4"/>
      <c r="Z3377"/>
      <c r="AA3377"/>
    </row>
    <row r="3378" spans="1:27" s="37" customFormat="1" x14ac:dyDescent="0.15">
      <c r="A3378" s="166"/>
      <c r="B3378" s="82"/>
      <c r="C3378" s="70"/>
      <c r="D3378" s="70"/>
      <c r="E3378" s="70"/>
      <c r="F3378" s="70"/>
      <c r="G3378" s="70"/>
      <c r="H3378" s="85"/>
      <c r="I3378" s="85"/>
      <c r="J3378" s="131"/>
      <c r="K3378" s="60"/>
      <c r="L3378" s="50"/>
      <c r="P3378" s="3"/>
      <c r="Q3378" s="3"/>
      <c r="R3378" s="3"/>
      <c r="S3378" s="3"/>
      <c r="T3378" s="3"/>
      <c r="U3378" s="3"/>
      <c r="V3378" s="3"/>
      <c r="W3378" s="3"/>
      <c r="X3378" s="3"/>
      <c r="Y3378" s="4"/>
      <c r="Z3378"/>
      <c r="AA3378"/>
    </row>
    <row r="3379" spans="1:27" s="37" customFormat="1" x14ac:dyDescent="0.15">
      <c r="A3379" s="166"/>
      <c r="B3379" s="82"/>
      <c r="C3379" s="70"/>
      <c r="D3379" s="70"/>
      <c r="E3379" s="70"/>
      <c r="F3379" s="70"/>
      <c r="G3379" s="70"/>
      <c r="H3379" s="85"/>
      <c r="I3379" s="85"/>
      <c r="J3379" s="131"/>
      <c r="K3379" s="60"/>
      <c r="L3379" s="49"/>
      <c r="P3379" s="3"/>
      <c r="Q3379" s="3"/>
      <c r="R3379" s="3"/>
      <c r="S3379" s="3"/>
      <c r="T3379" s="3"/>
      <c r="U3379" s="3"/>
      <c r="V3379" s="3"/>
      <c r="W3379" s="3"/>
      <c r="X3379" s="3"/>
      <c r="Y3379" s="4"/>
      <c r="Z3379"/>
      <c r="AA3379"/>
    </row>
    <row r="3380" spans="1:27" s="37" customFormat="1" x14ac:dyDescent="0.15">
      <c r="A3380" s="166"/>
      <c r="B3380" s="82"/>
      <c r="C3380" s="70"/>
      <c r="D3380" s="70"/>
      <c r="E3380" s="70"/>
      <c r="F3380" s="70"/>
      <c r="G3380" s="70"/>
      <c r="H3380" s="85"/>
      <c r="I3380" s="85"/>
      <c r="J3380" s="131"/>
      <c r="K3380" s="60"/>
      <c r="L3380" s="50"/>
      <c r="P3380" s="3"/>
      <c r="Q3380" s="3"/>
      <c r="R3380" s="3"/>
      <c r="S3380" s="3"/>
      <c r="T3380" s="3"/>
      <c r="U3380" s="3"/>
      <c r="V3380" s="3"/>
      <c r="W3380" s="3"/>
      <c r="X3380" s="3"/>
      <c r="Y3380" s="4"/>
      <c r="Z3380"/>
      <c r="AA3380"/>
    </row>
    <row r="3381" spans="1:27" s="37" customFormat="1" x14ac:dyDescent="0.15">
      <c r="A3381" s="166"/>
      <c r="B3381" s="82"/>
      <c r="C3381" s="70"/>
      <c r="D3381" s="70"/>
      <c r="E3381" s="70"/>
      <c r="F3381" s="70"/>
      <c r="G3381" s="70"/>
      <c r="H3381" s="85"/>
      <c r="I3381" s="85"/>
      <c r="J3381" s="131"/>
      <c r="K3381" s="60"/>
      <c r="L3381" s="50"/>
      <c r="P3381" s="3"/>
      <c r="Q3381" s="3"/>
      <c r="R3381" s="3"/>
      <c r="S3381" s="3"/>
      <c r="T3381" s="3"/>
      <c r="U3381" s="3"/>
      <c r="V3381" s="3"/>
      <c r="W3381" s="3"/>
      <c r="X3381" s="3"/>
      <c r="Y3381" s="4"/>
      <c r="Z3381"/>
      <c r="AA3381"/>
    </row>
    <row r="3382" spans="1:27" s="37" customFormat="1" x14ac:dyDescent="0.15">
      <c r="A3382" s="166"/>
      <c r="B3382" s="82"/>
      <c r="C3382" s="70"/>
      <c r="D3382" s="70"/>
      <c r="E3382" s="70"/>
      <c r="F3382" s="70"/>
      <c r="G3382" s="70"/>
      <c r="H3382" s="85"/>
      <c r="I3382" s="85"/>
      <c r="J3382" s="131"/>
      <c r="K3382" s="60"/>
      <c r="L3382" s="50"/>
      <c r="P3382" s="3"/>
      <c r="Q3382" s="3"/>
      <c r="R3382" s="3"/>
      <c r="S3382" s="3"/>
      <c r="T3382" s="3"/>
      <c r="U3382" s="3"/>
      <c r="V3382" s="3"/>
      <c r="W3382" s="3"/>
      <c r="X3382" s="3"/>
      <c r="Y3382" s="4"/>
      <c r="Z3382"/>
      <c r="AA3382"/>
    </row>
    <row r="3383" spans="1:27" s="37" customFormat="1" x14ac:dyDescent="0.15">
      <c r="A3383" s="166"/>
      <c r="B3383" s="82"/>
      <c r="C3383" s="70"/>
      <c r="D3383" s="70"/>
      <c r="E3383" s="70"/>
      <c r="F3383" s="70"/>
      <c r="G3383" s="70"/>
      <c r="H3383" s="85"/>
      <c r="I3383" s="85"/>
      <c r="J3383" s="131"/>
      <c r="K3383" s="60"/>
      <c r="L3383" s="49"/>
      <c r="P3383" s="3"/>
      <c r="Q3383" s="3"/>
      <c r="R3383" s="3"/>
      <c r="S3383" s="3"/>
      <c r="T3383" s="3"/>
      <c r="U3383" s="3"/>
      <c r="V3383" s="3"/>
      <c r="W3383" s="3"/>
      <c r="X3383" s="3"/>
      <c r="Y3383" s="4"/>
      <c r="Z3383"/>
      <c r="AA3383"/>
    </row>
    <row r="3384" spans="1:27" s="37" customFormat="1" x14ac:dyDescent="0.15">
      <c r="A3384" s="166"/>
      <c r="B3384" s="82"/>
      <c r="C3384" s="70"/>
      <c r="D3384" s="70"/>
      <c r="E3384" s="70"/>
      <c r="F3384" s="70"/>
      <c r="G3384" s="70"/>
      <c r="H3384" s="85"/>
      <c r="I3384" s="85"/>
      <c r="J3384" s="131"/>
      <c r="K3384" s="60"/>
      <c r="L3384" s="50"/>
      <c r="P3384" s="3"/>
      <c r="Q3384" s="3"/>
      <c r="R3384" s="3"/>
      <c r="S3384" s="3"/>
      <c r="T3384" s="3"/>
      <c r="U3384" s="3"/>
      <c r="V3384" s="3"/>
      <c r="W3384" s="3"/>
      <c r="X3384" s="3"/>
      <c r="Y3384" s="4"/>
      <c r="Z3384"/>
      <c r="AA3384"/>
    </row>
    <row r="3385" spans="1:27" s="37" customFormat="1" x14ac:dyDescent="0.15">
      <c r="A3385" s="166"/>
      <c r="B3385" s="82"/>
      <c r="C3385" s="70"/>
      <c r="D3385" s="70"/>
      <c r="E3385" s="70"/>
      <c r="F3385" s="70"/>
      <c r="G3385" s="70"/>
      <c r="H3385" s="85"/>
      <c r="I3385" s="85"/>
      <c r="J3385" s="131"/>
      <c r="K3385" s="60"/>
      <c r="L3385" s="50"/>
      <c r="P3385" s="3"/>
      <c r="Q3385" s="3"/>
      <c r="R3385" s="3"/>
      <c r="S3385" s="3"/>
      <c r="T3385" s="3"/>
      <c r="U3385" s="3"/>
      <c r="V3385" s="3"/>
      <c r="W3385" s="3"/>
      <c r="X3385" s="3"/>
      <c r="Y3385" s="4"/>
      <c r="Z3385"/>
      <c r="AA3385"/>
    </row>
    <row r="3386" spans="1:27" s="37" customFormat="1" x14ac:dyDescent="0.15">
      <c r="A3386" s="166"/>
      <c r="B3386" s="82"/>
      <c r="C3386" s="70"/>
      <c r="D3386" s="70"/>
      <c r="E3386" s="70"/>
      <c r="F3386" s="70"/>
      <c r="G3386" s="70"/>
      <c r="H3386" s="85"/>
      <c r="I3386" s="85"/>
      <c r="J3386" s="131"/>
      <c r="K3386" s="60"/>
      <c r="L3386" s="49"/>
      <c r="P3386" s="3"/>
      <c r="Q3386" s="3"/>
      <c r="R3386" s="3"/>
      <c r="S3386" s="3"/>
      <c r="T3386" s="3"/>
      <c r="U3386" s="3"/>
      <c r="V3386" s="3"/>
      <c r="W3386" s="3"/>
      <c r="X3386" s="3"/>
      <c r="Y3386" s="4"/>
      <c r="Z3386"/>
      <c r="AA3386"/>
    </row>
    <row r="3387" spans="1:27" s="37" customFormat="1" x14ac:dyDescent="0.15">
      <c r="A3387" s="166"/>
      <c r="B3387" s="82"/>
      <c r="C3387" s="70"/>
      <c r="D3387" s="70"/>
      <c r="E3387" s="70"/>
      <c r="F3387" s="70"/>
      <c r="G3387" s="70"/>
      <c r="H3387" s="85"/>
      <c r="I3387" s="85"/>
      <c r="J3387" s="131"/>
      <c r="K3387" s="60"/>
      <c r="L3387" s="49"/>
      <c r="P3387" s="3"/>
      <c r="Q3387" s="3"/>
      <c r="R3387" s="3"/>
      <c r="S3387" s="3"/>
      <c r="T3387" s="3"/>
      <c r="U3387" s="3"/>
      <c r="V3387" s="3"/>
      <c r="W3387" s="3"/>
      <c r="X3387" s="3"/>
      <c r="Y3387" s="4"/>
      <c r="Z3387"/>
      <c r="AA3387"/>
    </row>
    <row r="3388" spans="1:27" s="37" customFormat="1" x14ac:dyDescent="0.15">
      <c r="A3388" s="166"/>
      <c r="B3388" s="82"/>
      <c r="C3388" s="70"/>
      <c r="D3388" s="70"/>
      <c r="E3388" s="70"/>
      <c r="F3388" s="70"/>
      <c r="G3388" s="70"/>
      <c r="H3388" s="85"/>
      <c r="I3388" s="85"/>
      <c r="J3388" s="131"/>
      <c r="K3388" s="60"/>
      <c r="L3388" s="49"/>
      <c r="P3388" s="3"/>
      <c r="Q3388" s="3"/>
      <c r="R3388" s="3"/>
      <c r="S3388" s="3"/>
      <c r="T3388" s="3"/>
      <c r="U3388" s="3"/>
      <c r="V3388" s="3"/>
      <c r="W3388" s="3"/>
      <c r="X3388" s="3"/>
      <c r="Y3388" s="4"/>
      <c r="Z3388"/>
      <c r="AA3388"/>
    </row>
    <row r="3389" spans="1:27" s="37" customFormat="1" x14ac:dyDescent="0.15">
      <c r="A3389" s="166"/>
      <c r="B3389" s="82"/>
      <c r="C3389" s="70"/>
      <c r="D3389" s="70"/>
      <c r="E3389" s="70"/>
      <c r="F3389" s="70"/>
      <c r="G3389" s="70"/>
      <c r="H3389" s="85"/>
      <c r="I3389" s="85"/>
      <c r="J3389" s="131"/>
      <c r="K3389" s="60"/>
      <c r="L3389" s="50"/>
      <c r="P3389" s="3"/>
      <c r="Q3389" s="3"/>
      <c r="R3389" s="3"/>
      <c r="S3389" s="3"/>
      <c r="T3389" s="3"/>
      <c r="U3389" s="3"/>
      <c r="V3389" s="3"/>
      <c r="W3389" s="3"/>
      <c r="X3389" s="3"/>
      <c r="Y3389" s="4"/>
      <c r="Z3389"/>
      <c r="AA3389"/>
    </row>
    <row r="3390" spans="1:27" s="37" customFormat="1" x14ac:dyDescent="0.15">
      <c r="A3390" s="166"/>
      <c r="B3390" s="82"/>
      <c r="C3390" s="70"/>
      <c r="D3390" s="70"/>
      <c r="E3390" s="70"/>
      <c r="F3390" s="70"/>
      <c r="G3390" s="70"/>
      <c r="H3390" s="85"/>
      <c r="I3390" s="85"/>
      <c r="J3390" s="131"/>
      <c r="K3390" s="60"/>
      <c r="L3390" s="49"/>
      <c r="P3390" s="3"/>
      <c r="Q3390" s="3"/>
      <c r="R3390" s="3"/>
      <c r="S3390" s="3"/>
      <c r="T3390" s="3"/>
      <c r="U3390" s="3"/>
      <c r="V3390" s="3"/>
      <c r="W3390" s="3"/>
      <c r="X3390" s="3"/>
      <c r="Y3390" s="4"/>
      <c r="Z3390"/>
      <c r="AA3390"/>
    </row>
    <row r="3391" spans="1:27" s="37" customFormat="1" x14ac:dyDescent="0.15">
      <c r="A3391" s="166"/>
      <c r="B3391" s="82"/>
      <c r="C3391" s="70"/>
      <c r="D3391" s="70"/>
      <c r="E3391" s="70"/>
      <c r="F3391" s="70"/>
      <c r="G3391" s="70"/>
      <c r="H3391" s="85"/>
      <c r="I3391" s="85"/>
      <c r="J3391" s="131"/>
      <c r="K3391" s="60"/>
      <c r="L3391" s="50"/>
      <c r="P3391" s="3"/>
      <c r="Q3391" s="3"/>
      <c r="R3391" s="3"/>
      <c r="S3391" s="3"/>
      <c r="T3391" s="3"/>
      <c r="U3391" s="3"/>
      <c r="V3391" s="3"/>
      <c r="W3391" s="3"/>
      <c r="X3391" s="3"/>
      <c r="Y3391" s="4"/>
      <c r="Z3391"/>
      <c r="AA3391"/>
    </row>
    <row r="3392" spans="1:27" s="37" customFormat="1" x14ac:dyDescent="0.15">
      <c r="A3392" s="166"/>
      <c r="B3392" s="82"/>
      <c r="C3392" s="70"/>
      <c r="D3392" s="70"/>
      <c r="E3392" s="70"/>
      <c r="F3392" s="70"/>
      <c r="G3392" s="70"/>
      <c r="H3392" s="85"/>
      <c r="I3392" s="85"/>
      <c r="J3392" s="131"/>
      <c r="K3392" s="60"/>
      <c r="L3392" s="49"/>
      <c r="P3392" s="3"/>
      <c r="Q3392" s="3"/>
      <c r="R3392" s="3"/>
      <c r="S3392" s="3"/>
      <c r="T3392" s="3"/>
      <c r="U3392" s="3"/>
      <c r="V3392" s="3"/>
      <c r="W3392" s="3"/>
      <c r="X3392" s="3"/>
      <c r="Y3392" s="4"/>
      <c r="Z3392"/>
      <c r="AA3392"/>
    </row>
    <row r="3393" spans="1:27" s="37" customFormat="1" x14ac:dyDescent="0.15">
      <c r="A3393" s="166"/>
      <c r="B3393" s="82"/>
      <c r="C3393" s="70"/>
      <c r="D3393" s="70"/>
      <c r="E3393" s="70"/>
      <c r="F3393" s="70"/>
      <c r="G3393" s="70"/>
      <c r="H3393" s="85"/>
      <c r="I3393" s="85"/>
      <c r="J3393" s="131"/>
      <c r="K3393" s="60"/>
      <c r="L3393" s="50"/>
      <c r="P3393" s="3"/>
      <c r="Q3393" s="3"/>
      <c r="R3393" s="3"/>
      <c r="S3393" s="3"/>
      <c r="T3393" s="3"/>
      <c r="U3393" s="3"/>
      <c r="V3393" s="3"/>
      <c r="W3393" s="3"/>
      <c r="X3393" s="3"/>
      <c r="Y3393" s="4"/>
      <c r="Z3393"/>
      <c r="AA3393"/>
    </row>
    <row r="3394" spans="1:27" s="37" customFormat="1" x14ac:dyDescent="0.15">
      <c r="A3394" s="166"/>
      <c r="B3394" s="82"/>
      <c r="C3394" s="70"/>
      <c r="D3394" s="70"/>
      <c r="E3394" s="70"/>
      <c r="F3394" s="70"/>
      <c r="G3394" s="70"/>
      <c r="H3394" s="85"/>
      <c r="I3394" s="85"/>
      <c r="J3394" s="131"/>
      <c r="K3394" s="60"/>
      <c r="L3394" s="49"/>
      <c r="P3394" s="3"/>
      <c r="Q3394" s="3"/>
      <c r="R3394" s="3"/>
      <c r="S3394" s="3"/>
      <c r="T3394" s="3"/>
      <c r="U3394" s="3"/>
      <c r="V3394" s="3"/>
      <c r="W3394" s="3"/>
      <c r="X3394" s="3"/>
      <c r="Y3394" s="4"/>
      <c r="Z3394"/>
      <c r="AA3394"/>
    </row>
    <row r="3395" spans="1:27" s="37" customFormat="1" x14ac:dyDescent="0.15">
      <c r="A3395" s="166"/>
      <c r="B3395" s="82"/>
      <c r="C3395" s="70"/>
      <c r="D3395" s="70"/>
      <c r="E3395" s="70"/>
      <c r="F3395" s="70"/>
      <c r="G3395" s="70"/>
      <c r="H3395" s="85"/>
      <c r="I3395" s="85"/>
      <c r="J3395" s="131"/>
      <c r="K3395" s="60"/>
      <c r="L3395" s="49"/>
      <c r="P3395" s="3"/>
      <c r="Q3395" s="3"/>
      <c r="R3395" s="3"/>
      <c r="S3395" s="3"/>
      <c r="T3395" s="3"/>
      <c r="U3395" s="3"/>
      <c r="V3395" s="3"/>
      <c r="W3395" s="3"/>
      <c r="X3395" s="3"/>
      <c r="Y3395" s="4"/>
      <c r="Z3395"/>
      <c r="AA3395"/>
    </row>
    <row r="3396" spans="1:27" s="37" customFormat="1" x14ac:dyDescent="0.15">
      <c r="A3396" s="166"/>
      <c r="B3396" s="82"/>
      <c r="C3396" s="70"/>
      <c r="D3396" s="70"/>
      <c r="E3396" s="70"/>
      <c r="F3396" s="70"/>
      <c r="G3396" s="70"/>
      <c r="H3396" s="85"/>
      <c r="I3396" s="85"/>
      <c r="J3396" s="131"/>
      <c r="K3396" s="60"/>
      <c r="L3396" s="49"/>
      <c r="P3396" s="3"/>
      <c r="Q3396" s="3"/>
      <c r="R3396" s="3"/>
      <c r="S3396" s="3"/>
      <c r="T3396" s="3"/>
      <c r="U3396" s="3"/>
      <c r="V3396" s="3"/>
      <c r="W3396" s="3"/>
      <c r="X3396" s="3"/>
      <c r="Y3396" s="4"/>
      <c r="Z3396"/>
      <c r="AA3396"/>
    </row>
    <row r="3397" spans="1:27" s="37" customFormat="1" x14ac:dyDescent="0.15">
      <c r="A3397" s="166"/>
      <c r="B3397" s="82"/>
      <c r="C3397" s="70"/>
      <c r="D3397" s="70"/>
      <c r="E3397" s="70"/>
      <c r="F3397" s="70"/>
      <c r="G3397" s="70"/>
      <c r="H3397" s="85"/>
      <c r="I3397" s="85"/>
      <c r="J3397" s="131"/>
      <c r="K3397" s="60"/>
      <c r="L3397" s="50"/>
      <c r="P3397" s="3"/>
      <c r="Q3397" s="3"/>
      <c r="R3397" s="3"/>
      <c r="S3397" s="3"/>
      <c r="T3397" s="3"/>
      <c r="U3397" s="3"/>
      <c r="V3397" s="3"/>
      <c r="W3397" s="3"/>
      <c r="X3397" s="3"/>
      <c r="Y3397" s="4"/>
      <c r="Z3397"/>
      <c r="AA3397"/>
    </row>
    <row r="3398" spans="1:27" s="37" customFormat="1" x14ac:dyDescent="0.15">
      <c r="A3398" s="166"/>
      <c r="B3398" s="82"/>
      <c r="C3398" s="70"/>
      <c r="D3398" s="70"/>
      <c r="E3398" s="70"/>
      <c r="F3398" s="70"/>
      <c r="G3398" s="70"/>
      <c r="H3398" s="85"/>
      <c r="I3398" s="85"/>
      <c r="J3398" s="131"/>
      <c r="K3398" s="60"/>
      <c r="L3398" s="50"/>
      <c r="P3398" s="3"/>
      <c r="Q3398" s="3"/>
      <c r="R3398" s="3"/>
      <c r="S3398" s="3"/>
      <c r="T3398" s="3"/>
      <c r="U3398" s="3"/>
      <c r="V3398" s="3"/>
      <c r="W3398" s="3"/>
      <c r="X3398" s="3"/>
      <c r="Y3398" s="4"/>
      <c r="Z3398"/>
      <c r="AA3398"/>
    </row>
    <row r="3399" spans="1:27" s="37" customFormat="1" x14ac:dyDescent="0.15">
      <c r="A3399" s="166"/>
      <c r="B3399" s="82"/>
      <c r="C3399" s="70"/>
      <c r="D3399" s="70"/>
      <c r="E3399" s="70"/>
      <c r="F3399" s="70"/>
      <c r="G3399" s="70"/>
      <c r="H3399" s="85"/>
      <c r="I3399" s="85"/>
      <c r="J3399" s="131"/>
      <c r="K3399" s="60"/>
      <c r="L3399" s="50"/>
      <c r="P3399" s="3"/>
      <c r="Q3399" s="3"/>
      <c r="R3399" s="3"/>
      <c r="S3399" s="3"/>
      <c r="T3399" s="3"/>
      <c r="U3399" s="3"/>
      <c r="V3399" s="3"/>
      <c r="W3399" s="3"/>
      <c r="X3399" s="3"/>
      <c r="Y3399" s="4"/>
      <c r="Z3399"/>
      <c r="AA3399"/>
    </row>
    <row r="3400" spans="1:27" s="37" customFormat="1" x14ac:dyDescent="0.15">
      <c r="A3400" s="166"/>
      <c r="B3400" s="82"/>
      <c r="C3400" s="70"/>
      <c r="D3400" s="70"/>
      <c r="E3400" s="70"/>
      <c r="F3400" s="70"/>
      <c r="G3400" s="70"/>
      <c r="H3400" s="85"/>
      <c r="I3400" s="85"/>
      <c r="J3400" s="131"/>
      <c r="K3400" s="60"/>
      <c r="L3400" s="50"/>
      <c r="P3400" s="3"/>
      <c r="Q3400" s="3"/>
      <c r="R3400" s="3"/>
      <c r="S3400" s="3"/>
      <c r="T3400" s="3"/>
      <c r="U3400" s="3"/>
      <c r="V3400" s="3"/>
      <c r="W3400" s="3"/>
      <c r="X3400" s="3"/>
      <c r="Y3400" s="4"/>
      <c r="Z3400"/>
      <c r="AA3400"/>
    </row>
    <row r="3401" spans="1:27" s="37" customFormat="1" x14ac:dyDescent="0.15">
      <c r="A3401" s="166"/>
      <c r="B3401" s="82"/>
      <c r="C3401" s="70"/>
      <c r="D3401" s="70"/>
      <c r="E3401" s="70"/>
      <c r="F3401" s="70"/>
      <c r="G3401" s="70"/>
      <c r="H3401" s="85"/>
      <c r="I3401" s="85"/>
      <c r="J3401" s="131"/>
      <c r="K3401" s="60"/>
      <c r="L3401" s="49"/>
      <c r="P3401" s="3"/>
      <c r="Q3401" s="3"/>
      <c r="R3401" s="3"/>
      <c r="S3401" s="3"/>
      <c r="T3401" s="3"/>
      <c r="U3401" s="3"/>
      <c r="V3401" s="3"/>
      <c r="W3401" s="3"/>
      <c r="X3401" s="3"/>
      <c r="Y3401" s="4"/>
      <c r="Z3401"/>
      <c r="AA3401"/>
    </row>
    <row r="3402" spans="1:27" s="37" customFormat="1" x14ac:dyDescent="0.15">
      <c r="A3402" s="166"/>
      <c r="B3402" s="82"/>
      <c r="C3402" s="70"/>
      <c r="D3402" s="70"/>
      <c r="E3402" s="70"/>
      <c r="F3402" s="70"/>
      <c r="G3402" s="70"/>
      <c r="H3402" s="85"/>
      <c r="I3402" s="85"/>
      <c r="J3402" s="131"/>
      <c r="K3402" s="60"/>
      <c r="L3402" s="49"/>
      <c r="P3402" s="3"/>
      <c r="Q3402" s="3"/>
      <c r="R3402" s="3"/>
      <c r="S3402" s="3"/>
      <c r="T3402" s="3"/>
      <c r="U3402" s="3"/>
      <c r="V3402" s="3"/>
      <c r="W3402" s="3"/>
      <c r="X3402" s="3"/>
      <c r="Y3402" s="4"/>
      <c r="Z3402"/>
      <c r="AA3402"/>
    </row>
    <row r="3403" spans="1:27" s="37" customFormat="1" x14ac:dyDescent="0.15">
      <c r="A3403" s="166"/>
      <c r="B3403" s="82"/>
      <c r="C3403" s="70"/>
      <c r="D3403" s="70"/>
      <c r="E3403" s="70"/>
      <c r="F3403" s="70"/>
      <c r="G3403" s="70"/>
      <c r="H3403" s="85"/>
      <c r="I3403" s="85"/>
      <c r="J3403" s="131"/>
      <c r="K3403" s="60"/>
      <c r="L3403" s="49"/>
      <c r="P3403" s="3"/>
      <c r="Q3403" s="3"/>
      <c r="R3403" s="3"/>
      <c r="S3403" s="3"/>
      <c r="T3403" s="3"/>
      <c r="U3403" s="3"/>
      <c r="V3403" s="3"/>
      <c r="W3403" s="3"/>
      <c r="X3403" s="3"/>
      <c r="Y3403" s="4"/>
      <c r="Z3403"/>
      <c r="AA3403"/>
    </row>
    <row r="3404" spans="1:27" s="37" customFormat="1" x14ac:dyDescent="0.15">
      <c r="A3404" s="166"/>
      <c r="B3404" s="82"/>
      <c r="C3404" s="70"/>
      <c r="D3404" s="70"/>
      <c r="E3404" s="70"/>
      <c r="F3404" s="70"/>
      <c r="G3404" s="70"/>
      <c r="H3404" s="85"/>
      <c r="I3404" s="85"/>
      <c r="J3404" s="131"/>
      <c r="K3404" s="60"/>
      <c r="L3404" s="50"/>
      <c r="P3404" s="3"/>
      <c r="Q3404" s="3"/>
      <c r="R3404" s="3"/>
      <c r="S3404" s="3"/>
      <c r="T3404" s="3"/>
      <c r="U3404" s="3"/>
      <c r="V3404" s="3"/>
      <c r="W3404" s="3"/>
      <c r="X3404" s="3"/>
      <c r="Y3404" s="4"/>
      <c r="Z3404"/>
      <c r="AA3404"/>
    </row>
    <row r="3405" spans="1:27" s="37" customFormat="1" x14ac:dyDescent="0.15">
      <c r="A3405" s="166"/>
      <c r="B3405" s="82"/>
      <c r="C3405" s="70"/>
      <c r="D3405" s="70"/>
      <c r="E3405" s="70"/>
      <c r="F3405" s="70"/>
      <c r="G3405" s="70"/>
      <c r="H3405" s="85"/>
      <c r="I3405" s="85"/>
      <c r="J3405" s="131"/>
      <c r="K3405" s="60"/>
      <c r="L3405" s="49"/>
      <c r="P3405" s="3"/>
      <c r="Q3405" s="3"/>
      <c r="R3405" s="3"/>
      <c r="S3405" s="3"/>
      <c r="T3405" s="3"/>
      <c r="U3405" s="3"/>
      <c r="V3405" s="3"/>
      <c r="W3405" s="3"/>
      <c r="X3405" s="3"/>
      <c r="Y3405" s="4"/>
      <c r="Z3405"/>
      <c r="AA3405"/>
    </row>
    <row r="3406" spans="1:27" s="37" customFormat="1" x14ac:dyDescent="0.15">
      <c r="A3406" s="166"/>
      <c r="B3406" s="82"/>
      <c r="C3406" s="70"/>
      <c r="D3406" s="70"/>
      <c r="E3406" s="70"/>
      <c r="F3406" s="70"/>
      <c r="G3406" s="70"/>
      <c r="H3406" s="85"/>
      <c r="I3406" s="85"/>
      <c r="J3406" s="131"/>
      <c r="K3406" s="60"/>
      <c r="L3406" s="49"/>
      <c r="P3406" s="3"/>
      <c r="Q3406" s="3"/>
      <c r="R3406" s="3"/>
      <c r="S3406" s="3"/>
      <c r="T3406" s="3"/>
      <c r="U3406" s="3"/>
      <c r="V3406" s="3"/>
      <c r="W3406" s="3"/>
      <c r="X3406" s="3"/>
      <c r="Y3406" s="4"/>
      <c r="Z3406"/>
      <c r="AA3406"/>
    </row>
    <row r="3407" spans="1:27" s="37" customFormat="1" x14ac:dyDescent="0.15">
      <c r="A3407" s="166"/>
      <c r="B3407" s="82"/>
      <c r="C3407" s="70"/>
      <c r="D3407" s="70"/>
      <c r="E3407" s="70"/>
      <c r="F3407" s="70"/>
      <c r="G3407" s="70"/>
      <c r="H3407" s="85"/>
      <c r="I3407" s="85"/>
      <c r="J3407" s="131"/>
      <c r="K3407" s="60"/>
      <c r="L3407" s="50"/>
      <c r="P3407" s="3"/>
      <c r="Q3407" s="3"/>
      <c r="R3407" s="3"/>
      <c r="S3407" s="3"/>
      <c r="T3407" s="3"/>
      <c r="U3407" s="3"/>
      <c r="V3407" s="3"/>
      <c r="W3407" s="3"/>
      <c r="X3407" s="3"/>
      <c r="Y3407" s="4"/>
      <c r="Z3407"/>
      <c r="AA3407"/>
    </row>
    <row r="3408" spans="1:27" s="37" customFormat="1" x14ac:dyDescent="0.15">
      <c r="A3408" s="166"/>
      <c r="B3408" s="82"/>
      <c r="C3408" s="70"/>
      <c r="D3408" s="70"/>
      <c r="E3408" s="70"/>
      <c r="F3408" s="70"/>
      <c r="G3408" s="70"/>
      <c r="H3408" s="85"/>
      <c r="I3408" s="85"/>
      <c r="J3408" s="131"/>
      <c r="K3408" s="60"/>
      <c r="L3408" s="49"/>
      <c r="P3408" s="3"/>
      <c r="Q3408" s="3"/>
      <c r="R3408" s="3"/>
      <c r="S3408" s="3"/>
      <c r="T3408" s="3"/>
      <c r="U3408" s="3"/>
      <c r="V3408" s="3"/>
      <c r="W3408" s="3"/>
      <c r="X3408" s="3"/>
      <c r="Y3408" s="4"/>
      <c r="Z3408"/>
      <c r="AA3408"/>
    </row>
    <row r="3409" spans="1:27" s="37" customFormat="1" x14ac:dyDescent="0.15">
      <c r="A3409" s="166"/>
      <c r="B3409" s="82"/>
      <c r="C3409" s="70"/>
      <c r="D3409" s="70"/>
      <c r="E3409" s="70"/>
      <c r="F3409" s="70"/>
      <c r="G3409" s="70"/>
      <c r="H3409" s="85"/>
      <c r="I3409" s="85"/>
      <c r="J3409" s="131"/>
      <c r="K3409" s="60"/>
      <c r="L3409" s="49"/>
      <c r="P3409" s="3"/>
      <c r="Q3409" s="3"/>
      <c r="R3409" s="3"/>
      <c r="S3409" s="3"/>
      <c r="T3409" s="3"/>
      <c r="U3409" s="3"/>
      <c r="V3409" s="3"/>
      <c r="W3409" s="3"/>
      <c r="X3409" s="3"/>
      <c r="Y3409" s="4"/>
      <c r="Z3409"/>
      <c r="AA3409"/>
    </row>
    <row r="3410" spans="1:27" s="37" customFormat="1" x14ac:dyDescent="0.15">
      <c r="A3410" s="166"/>
      <c r="B3410" s="82"/>
      <c r="C3410" s="70"/>
      <c r="D3410" s="70"/>
      <c r="E3410" s="70"/>
      <c r="F3410" s="70"/>
      <c r="G3410" s="70"/>
      <c r="H3410" s="85"/>
      <c r="I3410" s="85"/>
      <c r="J3410" s="131"/>
      <c r="K3410" s="60"/>
      <c r="L3410" s="49"/>
      <c r="P3410" s="3"/>
      <c r="Q3410" s="3"/>
      <c r="R3410" s="3"/>
      <c r="S3410" s="3"/>
      <c r="T3410" s="3"/>
      <c r="U3410" s="3"/>
      <c r="V3410" s="3"/>
      <c r="W3410" s="3"/>
      <c r="X3410" s="3"/>
      <c r="Y3410" s="4"/>
      <c r="Z3410"/>
      <c r="AA3410"/>
    </row>
    <row r="3411" spans="1:27" s="37" customFormat="1" x14ac:dyDescent="0.15">
      <c r="A3411" s="166"/>
      <c r="B3411" s="82"/>
      <c r="C3411" s="70"/>
      <c r="D3411" s="70"/>
      <c r="E3411" s="70"/>
      <c r="F3411" s="70"/>
      <c r="G3411" s="70"/>
      <c r="H3411" s="85"/>
      <c r="I3411" s="85"/>
      <c r="J3411" s="131"/>
      <c r="K3411" s="60"/>
      <c r="L3411" s="49"/>
      <c r="P3411" s="3"/>
      <c r="Q3411" s="3"/>
      <c r="R3411" s="3"/>
      <c r="S3411" s="3"/>
      <c r="T3411" s="3"/>
      <c r="U3411" s="3"/>
      <c r="V3411" s="3"/>
      <c r="W3411" s="3"/>
      <c r="X3411" s="3"/>
      <c r="Y3411" s="4"/>
      <c r="Z3411"/>
      <c r="AA3411"/>
    </row>
    <row r="3412" spans="1:27" s="37" customFormat="1" x14ac:dyDescent="0.15">
      <c r="A3412" s="166"/>
      <c r="B3412" s="82"/>
      <c r="C3412" s="70"/>
      <c r="D3412" s="70"/>
      <c r="E3412" s="70"/>
      <c r="F3412" s="70"/>
      <c r="G3412" s="70"/>
      <c r="H3412" s="85"/>
      <c r="I3412" s="85"/>
      <c r="J3412" s="131"/>
      <c r="K3412" s="60"/>
      <c r="L3412" s="49"/>
      <c r="P3412" s="3"/>
      <c r="Q3412" s="3"/>
      <c r="R3412" s="3"/>
      <c r="S3412" s="3"/>
      <c r="T3412" s="3"/>
      <c r="U3412" s="3"/>
      <c r="V3412" s="3"/>
      <c r="W3412" s="3"/>
      <c r="X3412" s="3"/>
      <c r="Y3412" s="4"/>
      <c r="Z3412"/>
      <c r="AA3412"/>
    </row>
    <row r="3413" spans="1:27" s="37" customFormat="1" x14ac:dyDescent="0.15">
      <c r="A3413" s="166"/>
      <c r="B3413" s="82"/>
      <c r="C3413" s="70"/>
      <c r="D3413" s="70"/>
      <c r="E3413" s="70"/>
      <c r="F3413" s="70"/>
      <c r="G3413" s="70"/>
      <c r="H3413" s="85"/>
      <c r="I3413" s="85"/>
      <c r="J3413" s="131"/>
      <c r="K3413" s="60"/>
      <c r="L3413" s="49"/>
      <c r="P3413" s="3"/>
      <c r="Q3413" s="3"/>
      <c r="R3413" s="3"/>
      <c r="S3413" s="3"/>
      <c r="T3413" s="3"/>
      <c r="U3413" s="3"/>
      <c r="V3413" s="3"/>
      <c r="W3413" s="3"/>
      <c r="X3413" s="3"/>
      <c r="Y3413" s="4"/>
      <c r="Z3413"/>
      <c r="AA3413"/>
    </row>
    <row r="3414" spans="1:27" s="37" customFormat="1" x14ac:dyDescent="0.15">
      <c r="A3414" s="166"/>
      <c r="B3414" s="82"/>
      <c r="C3414" s="70"/>
      <c r="D3414" s="70"/>
      <c r="E3414" s="70"/>
      <c r="F3414" s="70"/>
      <c r="G3414" s="70"/>
      <c r="H3414" s="85"/>
      <c r="I3414" s="85"/>
      <c r="J3414" s="131"/>
      <c r="K3414" s="60"/>
      <c r="L3414" s="49"/>
      <c r="P3414" s="3"/>
      <c r="Q3414" s="3"/>
      <c r="R3414" s="3"/>
      <c r="S3414" s="3"/>
      <c r="T3414" s="3"/>
      <c r="U3414" s="3"/>
      <c r="V3414" s="3"/>
      <c r="W3414" s="3"/>
      <c r="X3414" s="3"/>
      <c r="Y3414" s="4"/>
      <c r="Z3414"/>
      <c r="AA3414"/>
    </row>
    <row r="3415" spans="1:27" s="37" customFormat="1" x14ac:dyDescent="0.15">
      <c r="A3415" s="166"/>
      <c r="B3415" s="82"/>
      <c r="C3415" s="70"/>
      <c r="D3415" s="70"/>
      <c r="E3415" s="70"/>
      <c r="F3415" s="70"/>
      <c r="G3415" s="70"/>
      <c r="H3415" s="85"/>
      <c r="I3415" s="85"/>
      <c r="J3415" s="131"/>
      <c r="K3415" s="60"/>
      <c r="L3415" s="49"/>
      <c r="P3415" s="3"/>
      <c r="Q3415" s="3"/>
      <c r="R3415" s="3"/>
      <c r="S3415" s="3"/>
      <c r="T3415" s="3"/>
      <c r="U3415" s="3"/>
      <c r="V3415" s="3"/>
      <c r="W3415" s="3"/>
      <c r="X3415" s="3"/>
      <c r="Y3415" s="4"/>
      <c r="Z3415"/>
      <c r="AA3415"/>
    </row>
    <row r="3416" spans="1:27" s="37" customFormat="1" x14ac:dyDescent="0.15">
      <c r="A3416" s="166"/>
      <c r="B3416" s="82"/>
      <c r="C3416" s="70"/>
      <c r="D3416" s="70"/>
      <c r="E3416" s="70"/>
      <c r="F3416" s="70"/>
      <c r="G3416" s="70"/>
      <c r="H3416" s="85"/>
      <c r="I3416" s="85"/>
      <c r="J3416" s="131"/>
      <c r="K3416" s="60"/>
      <c r="L3416" s="49"/>
      <c r="P3416" s="3"/>
      <c r="Q3416" s="3"/>
      <c r="R3416" s="3"/>
      <c r="S3416" s="3"/>
      <c r="T3416" s="3"/>
      <c r="U3416" s="3"/>
      <c r="V3416" s="3"/>
      <c r="W3416" s="3"/>
      <c r="X3416" s="3"/>
      <c r="Y3416" s="4"/>
      <c r="Z3416"/>
      <c r="AA3416"/>
    </row>
    <row r="3417" spans="1:27" s="37" customFormat="1" x14ac:dyDescent="0.15">
      <c r="A3417" s="166"/>
      <c r="B3417" s="82"/>
      <c r="C3417" s="70"/>
      <c r="D3417" s="70"/>
      <c r="E3417" s="70"/>
      <c r="F3417" s="70"/>
      <c r="G3417" s="70"/>
      <c r="H3417" s="85"/>
      <c r="I3417" s="85"/>
      <c r="J3417" s="131"/>
      <c r="K3417" s="60"/>
      <c r="L3417" s="49"/>
      <c r="P3417" s="3"/>
      <c r="Q3417" s="3"/>
      <c r="R3417" s="3"/>
      <c r="S3417" s="3"/>
      <c r="T3417" s="3"/>
      <c r="U3417" s="3"/>
      <c r="V3417" s="3"/>
      <c r="W3417" s="3"/>
      <c r="X3417" s="3"/>
      <c r="Y3417" s="4"/>
      <c r="Z3417"/>
      <c r="AA3417"/>
    </row>
    <row r="3418" spans="1:27" s="37" customFormat="1" x14ac:dyDescent="0.15">
      <c r="A3418" s="166"/>
      <c r="B3418" s="82"/>
      <c r="C3418" s="70"/>
      <c r="D3418" s="70"/>
      <c r="E3418" s="70"/>
      <c r="F3418" s="70"/>
      <c r="G3418" s="70"/>
      <c r="H3418" s="85"/>
      <c r="I3418" s="85"/>
      <c r="J3418" s="131"/>
      <c r="K3418" s="60"/>
      <c r="L3418" s="49"/>
      <c r="P3418" s="3"/>
      <c r="Q3418" s="3"/>
      <c r="R3418" s="3"/>
      <c r="S3418" s="3"/>
      <c r="T3418" s="3"/>
      <c r="U3418" s="3"/>
      <c r="V3418" s="3"/>
      <c r="W3418" s="3"/>
      <c r="X3418" s="3"/>
      <c r="Y3418" s="4"/>
      <c r="Z3418"/>
      <c r="AA3418"/>
    </row>
    <row r="3419" spans="1:27" s="37" customFormat="1" x14ac:dyDescent="0.15">
      <c r="A3419" s="166"/>
      <c r="B3419" s="82"/>
      <c r="C3419" s="70"/>
      <c r="D3419" s="70"/>
      <c r="E3419" s="70"/>
      <c r="F3419" s="70"/>
      <c r="G3419" s="70"/>
      <c r="H3419" s="85"/>
      <c r="I3419" s="85"/>
      <c r="J3419" s="131"/>
      <c r="K3419" s="60"/>
      <c r="L3419" s="49"/>
      <c r="P3419" s="3"/>
      <c r="Q3419" s="3"/>
      <c r="R3419" s="3"/>
      <c r="S3419" s="3"/>
      <c r="T3419" s="3"/>
      <c r="U3419" s="3"/>
      <c r="V3419" s="3"/>
      <c r="W3419" s="3"/>
      <c r="X3419" s="3"/>
      <c r="Y3419" s="4"/>
      <c r="Z3419"/>
      <c r="AA3419"/>
    </row>
    <row r="3420" spans="1:27" s="37" customFormat="1" x14ac:dyDescent="0.15">
      <c r="A3420" s="166"/>
      <c r="B3420" s="82"/>
      <c r="C3420" s="70"/>
      <c r="D3420" s="70"/>
      <c r="E3420" s="70"/>
      <c r="F3420" s="70"/>
      <c r="G3420" s="70"/>
      <c r="H3420" s="85"/>
      <c r="I3420" s="85"/>
      <c r="J3420" s="131"/>
      <c r="K3420" s="60"/>
      <c r="L3420" s="49"/>
      <c r="P3420" s="3"/>
      <c r="Q3420" s="3"/>
      <c r="R3420" s="3"/>
      <c r="S3420" s="3"/>
      <c r="T3420" s="3"/>
      <c r="U3420" s="3"/>
      <c r="V3420" s="3"/>
      <c r="W3420" s="3"/>
      <c r="X3420" s="3"/>
      <c r="Y3420" s="4"/>
      <c r="Z3420"/>
      <c r="AA3420"/>
    </row>
    <row r="3421" spans="1:27" s="37" customFormat="1" x14ac:dyDescent="0.15">
      <c r="A3421" s="166"/>
      <c r="B3421" s="82"/>
      <c r="C3421" s="70"/>
      <c r="D3421" s="70"/>
      <c r="E3421" s="70"/>
      <c r="F3421" s="70"/>
      <c r="G3421" s="70"/>
      <c r="H3421" s="85"/>
      <c r="I3421" s="85"/>
      <c r="J3421" s="131"/>
      <c r="K3421" s="69"/>
      <c r="L3421" s="49"/>
      <c r="P3421" s="3"/>
      <c r="Q3421" s="3"/>
      <c r="R3421" s="3"/>
      <c r="S3421" s="3"/>
      <c r="T3421" s="3"/>
      <c r="U3421" s="3"/>
      <c r="V3421" s="3"/>
      <c r="W3421" s="3"/>
      <c r="X3421" s="3"/>
      <c r="Y3421" s="4"/>
      <c r="Z3421"/>
      <c r="AA3421"/>
    </row>
    <row r="3422" spans="1:27" s="37" customFormat="1" x14ac:dyDescent="0.15">
      <c r="A3422" s="166"/>
      <c r="B3422" s="82"/>
      <c r="C3422" s="70"/>
      <c r="D3422" s="70"/>
      <c r="E3422" s="70"/>
      <c r="F3422" s="70"/>
      <c r="G3422" s="70"/>
      <c r="H3422" s="85"/>
      <c r="I3422" s="85"/>
      <c r="J3422" s="131"/>
      <c r="K3422" s="60"/>
      <c r="L3422" s="49"/>
      <c r="P3422" s="3"/>
      <c r="Q3422" s="3"/>
      <c r="R3422" s="3"/>
      <c r="S3422" s="3"/>
      <c r="T3422" s="3"/>
      <c r="U3422" s="3"/>
      <c r="V3422" s="3"/>
      <c r="W3422" s="3"/>
      <c r="X3422" s="3"/>
      <c r="Y3422" s="4"/>
      <c r="Z3422"/>
      <c r="AA3422"/>
    </row>
    <row r="3423" spans="1:27" s="49" customFormat="1" x14ac:dyDescent="0.15">
      <c r="A3423" s="166"/>
      <c r="B3423" s="82"/>
      <c r="C3423" s="70"/>
      <c r="D3423" s="70"/>
      <c r="E3423" s="70"/>
      <c r="F3423" s="70"/>
      <c r="G3423" s="70"/>
      <c r="H3423" s="85"/>
      <c r="I3423" s="85"/>
      <c r="J3423" s="131"/>
      <c r="K3423" s="60"/>
      <c r="M3423" s="37"/>
      <c r="N3423" s="37"/>
      <c r="O3423" s="37"/>
      <c r="P3423" s="3"/>
      <c r="Q3423" s="3"/>
      <c r="R3423" s="3"/>
      <c r="S3423" s="3"/>
      <c r="T3423" s="3"/>
      <c r="U3423" s="3"/>
      <c r="V3423" s="3"/>
      <c r="W3423" s="3"/>
      <c r="X3423" s="3"/>
      <c r="Y3423" s="4"/>
      <c r="Z3423"/>
      <c r="AA3423"/>
    </row>
    <row r="3424" spans="1:27" s="49" customFormat="1" x14ac:dyDescent="0.15">
      <c r="A3424" s="166"/>
      <c r="B3424" s="82"/>
      <c r="C3424" s="70"/>
      <c r="D3424" s="70"/>
      <c r="E3424" s="70"/>
      <c r="F3424" s="70"/>
      <c r="G3424" s="70"/>
      <c r="H3424" s="85"/>
      <c r="I3424" s="85"/>
      <c r="J3424" s="131"/>
      <c r="K3424" s="69"/>
      <c r="M3424" s="37"/>
      <c r="N3424" s="37"/>
      <c r="O3424" s="37"/>
      <c r="P3424" s="3"/>
      <c r="Q3424" s="3"/>
      <c r="R3424" s="3"/>
      <c r="S3424" s="3"/>
      <c r="T3424" s="3"/>
      <c r="U3424" s="3"/>
      <c r="V3424" s="3"/>
      <c r="W3424" s="3"/>
      <c r="X3424" s="3"/>
      <c r="Y3424" s="4"/>
      <c r="Z3424"/>
      <c r="AA3424"/>
    </row>
    <row r="3425" spans="1:27" s="49" customFormat="1" x14ac:dyDescent="0.15">
      <c r="A3425" s="166"/>
      <c r="B3425" s="82"/>
      <c r="C3425" s="70"/>
      <c r="D3425" s="70"/>
      <c r="E3425" s="70"/>
      <c r="F3425" s="70"/>
      <c r="G3425" s="70"/>
      <c r="H3425" s="85"/>
      <c r="I3425" s="85"/>
      <c r="J3425" s="131"/>
      <c r="K3425" s="69"/>
      <c r="M3425" s="37"/>
      <c r="N3425" s="37"/>
      <c r="O3425" s="37"/>
      <c r="P3425" s="3"/>
      <c r="Q3425" s="3"/>
      <c r="R3425" s="3"/>
      <c r="S3425" s="3"/>
      <c r="T3425" s="3"/>
      <c r="U3425" s="3"/>
      <c r="V3425" s="3"/>
      <c r="W3425" s="3"/>
      <c r="X3425" s="3"/>
      <c r="Y3425" s="4"/>
      <c r="Z3425"/>
      <c r="AA3425"/>
    </row>
    <row r="3426" spans="1:27" s="49" customFormat="1" x14ac:dyDescent="0.15">
      <c r="A3426" s="166"/>
      <c r="B3426" s="82"/>
      <c r="C3426" s="70"/>
      <c r="D3426" s="70"/>
      <c r="E3426" s="70"/>
      <c r="F3426" s="70"/>
      <c r="G3426" s="70"/>
      <c r="H3426" s="85"/>
      <c r="I3426" s="85"/>
      <c r="J3426" s="131"/>
      <c r="K3426" s="69"/>
      <c r="M3426" s="37"/>
      <c r="N3426" s="37"/>
      <c r="O3426" s="37"/>
      <c r="P3426" s="3"/>
      <c r="Q3426" s="3"/>
      <c r="R3426" s="3"/>
      <c r="S3426" s="3"/>
      <c r="T3426" s="3"/>
      <c r="U3426" s="3"/>
      <c r="V3426" s="3"/>
      <c r="W3426" s="3"/>
      <c r="X3426" s="3"/>
      <c r="Y3426" s="4"/>
      <c r="Z3426"/>
      <c r="AA3426"/>
    </row>
    <row r="3427" spans="1:27" s="49" customFormat="1" x14ac:dyDescent="0.15">
      <c r="A3427" s="166"/>
      <c r="B3427" s="82"/>
      <c r="C3427" s="70"/>
      <c r="D3427" s="70"/>
      <c r="E3427" s="70"/>
      <c r="F3427" s="70"/>
      <c r="G3427" s="70"/>
      <c r="H3427" s="85"/>
      <c r="I3427" s="85"/>
      <c r="J3427" s="131"/>
      <c r="K3427" s="60"/>
      <c r="M3427" s="37"/>
      <c r="N3427" s="37"/>
      <c r="O3427" s="37"/>
      <c r="P3427" s="3"/>
      <c r="Q3427" s="3"/>
      <c r="R3427" s="3"/>
      <c r="S3427" s="3"/>
      <c r="T3427" s="3"/>
      <c r="U3427" s="3"/>
      <c r="V3427" s="3"/>
      <c r="W3427" s="3"/>
      <c r="X3427" s="3"/>
      <c r="Y3427" s="4"/>
      <c r="Z3427"/>
      <c r="AA3427"/>
    </row>
    <row r="3428" spans="1:27" s="49" customFormat="1" x14ac:dyDescent="0.15">
      <c r="A3428" s="166"/>
      <c r="B3428" s="82"/>
      <c r="C3428" s="70"/>
      <c r="D3428" s="70"/>
      <c r="E3428" s="70"/>
      <c r="F3428" s="70"/>
      <c r="G3428" s="70"/>
      <c r="H3428" s="85"/>
      <c r="I3428" s="85"/>
      <c r="J3428" s="131"/>
      <c r="K3428" s="60"/>
      <c r="M3428" s="37"/>
      <c r="N3428" s="37"/>
      <c r="O3428" s="37"/>
      <c r="P3428" s="3"/>
      <c r="Q3428" s="3"/>
      <c r="R3428" s="3"/>
      <c r="S3428" s="3"/>
      <c r="T3428" s="3"/>
      <c r="U3428" s="3"/>
      <c r="V3428" s="3"/>
      <c r="W3428" s="3"/>
      <c r="X3428" s="3"/>
      <c r="Y3428" s="4"/>
      <c r="Z3428"/>
      <c r="AA3428"/>
    </row>
    <row r="3429" spans="1:27" s="49" customFormat="1" x14ac:dyDescent="0.15">
      <c r="A3429" s="166"/>
      <c r="B3429" s="82"/>
      <c r="C3429" s="70"/>
      <c r="D3429" s="70"/>
      <c r="E3429" s="70"/>
      <c r="F3429" s="70"/>
      <c r="G3429" s="70"/>
      <c r="H3429" s="85"/>
      <c r="I3429" s="85"/>
      <c r="J3429" s="131"/>
      <c r="K3429" s="69"/>
      <c r="M3429" s="37"/>
      <c r="N3429" s="37"/>
      <c r="O3429" s="37"/>
      <c r="P3429" s="3"/>
      <c r="Q3429" s="3"/>
      <c r="R3429" s="3"/>
      <c r="S3429" s="3"/>
      <c r="T3429" s="3"/>
      <c r="U3429" s="3"/>
      <c r="V3429" s="3"/>
      <c r="W3429" s="3"/>
      <c r="X3429" s="3"/>
      <c r="Y3429" s="4"/>
      <c r="Z3429"/>
      <c r="AA3429"/>
    </row>
    <row r="3430" spans="1:27" s="49" customFormat="1" x14ac:dyDescent="0.15">
      <c r="A3430" s="166"/>
      <c r="B3430" s="82"/>
      <c r="C3430" s="70"/>
      <c r="D3430" s="70"/>
      <c r="E3430" s="70"/>
      <c r="F3430" s="70"/>
      <c r="G3430" s="70"/>
      <c r="H3430" s="85"/>
      <c r="I3430" s="85"/>
      <c r="J3430" s="131"/>
      <c r="K3430" s="69"/>
      <c r="M3430" s="37"/>
      <c r="N3430" s="37"/>
      <c r="O3430" s="37"/>
      <c r="P3430" s="3"/>
      <c r="Q3430" s="3"/>
      <c r="R3430" s="3"/>
      <c r="S3430" s="3"/>
      <c r="T3430" s="3"/>
      <c r="U3430" s="3"/>
      <c r="V3430" s="3"/>
      <c r="W3430" s="3"/>
      <c r="X3430" s="3"/>
      <c r="Y3430" s="4"/>
      <c r="Z3430"/>
      <c r="AA3430"/>
    </row>
    <row r="3431" spans="1:27" s="49" customFormat="1" x14ac:dyDescent="0.15">
      <c r="A3431" s="167"/>
      <c r="B3431" s="87"/>
      <c r="C3431" s="88"/>
      <c r="D3431" s="86"/>
      <c r="E3431" s="86"/>
      <c r="F3431" s="86"/>
      <c r="G3431" s="86"/>
      <c r="H3431" s="85"/>
      <c r="I3431" s="89"/>
      <c r="J3431" s="132"/>
      <c r="K3431" s="62"/>
      <c r="M3431" s="37"/>
      <c r="N3431" s="37"/>
      <c r="O3431" s="37"/>
      <c r="P3431" s="3"/>
      <c r="Q3431" s="3"/>
      <c r="R3431" s="3"/>
      <c r="S3431" s="3"/>
      <c r="T3431" s="3"/>
      <c r="U3431" s="3"/>
      <c r="V3431" s="3"/>
      <c r="W3431" s="3"/>
      <c r="X3431" s="3"/>
      <c r="Y3431" s="4"/>
      <c r="Z3431"/>
      <c r="AA3431"/>
    </row>
    <row r="3432" spans="1:27" s="49" customFormat="1" x14ac:dyDescent="0.15">
      <c r="A3432" s="167"/>
      <c r="B3432" s="87"/>
      <c r="C3432" s="88"/>
      <c r="D3432" s="86"/>
      <c r="E3432" s="86"/>
      <c r="F3432" s="86"/>
      <c r="G3432" s="86"/>
      <c r="H3432" s="85"/>
      <c r="I3432" s="89"/>
      <c r="J3432" s="132"/>
      <c r="K3432" s="62"/>
      <c r="M3432" s="37"/>
      <c r="N3432" s="37"/>
      <c r="O3432" s="37"/>
      <c r="P3432" s="3"/>
      <c r="Q3432" s="3"/>
      <c r="R3432" s="3"/>
      <c r="S3432" s="3"/>
      <c r="T3432" s="3"/>
      <c r="U3432" s="3"/>
      <c r="V3432" s="3"/>
      <c r="W3432" s="3"/>
      <c r="X3432" s="3"/>
      <c r="Y3432" s="4"/>
      <c r="Z3432"/>
      <c r="AA3432"/>
    </row>
    <row r="3433" spans="1:27" s="49" customFormat="1" x14ac:dyDescent="0.15">
      <c r="A3433" s="167"/>
      <c r="B3433" s="87"/>
      <c r="C3433" s="88"/>
      <c r="D3433" s="86"/>
      <c r="E3433" s="86"/>
      <c r="F3433" s="86"/>
      <c r="G3433" s="86"/>
      <c r="H3433" s="85"/>
      <c r="I3433" s="89"/>
      <c r="J3433" s="132"/>
      <c r="K3433" s="62"/>
      <c r="M3433" s="37"/>
      <c r="N3433" s="37"/>
      <c r="O3433" s="37"/>
      <c r="P3433" s="3"/>
      <c r="Q3433" s="3"/>
      <c r="R3433" s="3"/>
      <c r="S3433" s="3"/>
      <c r="T3433" s="3"/>
      <c r="U3433" s="3"/>
      <c r="V3433" s="3"/>
      <c r="W3433" s="3"/>
      <c r="X3433" s="3"/>
      <c r="Y3433" s="4"/>
      <c r="Z3433"/>
      <c r="AA3433"/>
    </row>
    <row r="3434" spans="1:27" s="49" customFormat="1" x14ac:dyDescent="0.15">
      <c r="A3434" s="167"/>
      <c r="B3434" s="87"/>
      <c r="C3434" s="88"/>
      <c r="D3434" s="86"/>
      <c r="E3434" s="86"/>
      <c r="F3434" s="86"/>
      <c r="G3434" s="86"/>
      <c r="H3434" s="85"/>
      <c r="I3434" s="89"/>
      <c r="J3434" s="132"/>
      <c r="K3434" s="62"/>
      <c r="M3434" s="37"/>
      <c r="N3434" s="37"/>
      <c r="O3434" s="37"/>
      <c r="P3434" s="3"/>
      <c r="Q3434" s="3"/>
      <c r="R3434" s="3"/>
      <c r="S3434" s="3"/>
      <c r="T3434" s="3"/>
      <c r="U3434" s="3"/>
      <c r="V3434" s="3"/>
      <c r="W3434" s="3"/>
      <c r="X3434" s="3"/>
      <c r="Y3434" s="4"/>
      <c r="Z3434"/>
      <c r="AA3434"/>
    </row>
    <row r="3435" spans="1:27" s="49" customFormat="1" x14ac:dyDescent="0.15">
      <c r="A3435" s="167"/>
      <c r="B3435" s="87"/>
      <c r="C3435" s="88"/>
      <c r="D3435" s="86"/>
      <c r="E3435" s="86"/>
      <c r="F3435" s="86"/>
      <c r="G3435" s="86"/>
      <c r="H3435" s="85"/>
      <c r="I3435" s="89"/>
      <c r="J3435" s="132"/>
      <c r="K3435" s="62"/>
      <c r="M3435" s="37"/>
      <c r="N3435" s="37"/>
      <c r="O3435" s="37"/>
      <c r="P3435" s="3"/>
      <c r="Q3435" s="3"/>
      <c r="R3435" s="3"/>
      <c r="S3435" s="3"/>
      <c r="T3435" s="3"/>
      <c r="U3435" s="3"/>
      <c r="V3435" s="3"/>
      <c r="W3435" s="3"/>
      <c r="X3435" s="3"/>
      <c r="Y3435" s="4"/>
      <c r="Z3435"/>
      <c r="AA3435"/>
    </row>
    <row r="3436" spans="1:27" s="49" customFormat="1" x14ac:dyDescent="0.15">
      <c r="A3436" s="167"/>
      <c r="B3436" s="87"/>
      <c r="C3436" s="88"/>
      <c r="D3436" s="86"/>
      <c r="E3436" s="86"/>
      <c r="F3436" s="86"/>
      <c r="G3436" s="86"/>
      <c r="H3436" s="85"/>
      <c r="I3436" s="89"/>
      <c r="J3436" s="132"/>
      <c r="K3436" s="62"/>
      <c r="M3436" s="37"/>
      <c r="N3436" s="37"/>
      <c r="O3436" s="37"/>
      <c r="P3436" s="3"/>
      <c r="Q3436" s="3"/>
      <c r="R3436" s="3"/>
      <c r="S3436" s="3"/>
      <c r="T3436" s="3"/>
      <c r="U3436" s="3"/>
      <c r="V3436" s="3"/>
      <c r="W3436" s="3"/>
      <c r="X3436" s="3"/>
      <c r="Y3436" s="4"/>
      <c r="Z3436"/>
      <c r="AA3436"/>
    </row>
    <row r="3437" spans="1:27" s="49" customFormat="1" x14ac:dyDescent="0.15">
      <c r="A3437" s="167"/>
      <c r="B3437" s="87"/>
      <c r="C3437" s="88"/>
      <c r="D3437" s="86"/>
      <c r="E3437" s="86"/>
      <c r="F3437" s="86"/>
      <c r="G3437" s="86"/>
      <c r="H3437" s="85"/>
      <c r="I3437" s="89"/>
      <c r="J3437" s="132"/>
      <c r="K3437" s="62"/>
      <c r="M3437" s="37"/>
      <c r="N3437" s="37"/>
      <c r="O3437" s="37"/>
      <c r="P3437" s="3"/>
      <c r="Q3437" s="3"/>
      <c r="R3437" s="3"/>
      <c r="S3437" s="3"/>
      <c r="T3437" s="3"/>
      <c r="U3437" s="3"/>
      <c r="V3437" s="3"/>
      <c r="W3437" s="3"/>
      <c r="X3437" s="3"/>
      <c r="Y3437" s="4"/>
      <c r="Z3437"/>
      <c r="AA3437"/>
    </row>
    <row r="3438" spans="1:27" s="49" customFormat="1" x14ac:dyDescent="0.15">
      <c r="A3438" s="167"/>
      <c r="B3438" s="87"/>
      <c r="C3438" s="88"/>
      <c r="D3438" s="86"/>
      <c r="E3438" s="86"/>
      <c r="F3438" s="86"/>
      <c r="G3438" s="86"/>
      <c r="H3438" s="85"/>
      <c r="I3438" s="89"/>
      <c r="J3438" s="132"/>
      <c r="K3438" s="62"/>
      <c r="M3438" s="37"/>
      <c r="N3438" s="37"/>
      <c r="O3438" s="37"/>
      <c r="P3438" s="3"/>
      <c r="Q3438" s="3"/>
      <c r="R3438" s="3"/>
      <c r="S3438" s="3"/>
      <c r="T3438" s="3"/>
      <c r="U3438" s="3"/>
      <c r="V3438" s="3"/>
      <c r="W3438" s="3"/>
      <c r="X3438" s="3"/>
      <c r="Y3438" s="4"/>
      <c r="Z3438"/>
      <c r="AA3438"/>
    </row>
    <row r="3439" spans="1:27" x14ac:dyDescent="0.15">
      <c r="A3439" s="167"/>
      <c r="B3439" s="87"/>
      <c r="C3439" s="88"/>
      <c r="D3439" s="86"/>
      <c r="E3439" s="86"/>
      <c r="F3439" s="86"/>
      <c r="G3439" s="86"/>
      <c r="H3439" s="85"/>
      <c r="I3439" s="89"/>
      <c r="J3439" s="132"/>
      <c r="K3439" s="62"/>
    </row>
    <row r="3440" spans="1:27" x14ac:dyDescent="0.15">
      <c r="A3440" s="167"/>
      <c r="B3440" s="87"/>
      <c r="C3440" s="88"/>
      <c r="D3440" s="86"/>
      <c r="E3440" s="86"/>
      <c r="F3440" s="86"/>
      <c r="G3440" s="86"/>
      <c r="H3440" s="85"/>
      <c r="I3440" s="89"/>
      <c r="J3440" s="132"/>
      <c r="K3440" s="62"/>
    </row>
    <row r="3441" spans="1:27" x14ac:dyDescent="0.15">
      <c r="A3441" s="167"/>
      <c r="B3441" s="87"/>
      <c r="C3441" s="88"/>
      <c r="D3441" s="86"/>
      <c r="E3441" s="86"/>
      <c r="F3441" s="86"/>
      <c r="G3441" s="86"/>
      <c r="H3441" s="85"/>
      <c r="I3441" s="89"/>
      <c r="J3441" s="132"/>
      <c r="K3441" s="62"/>
    </row>
    <row r="3442" spans="1:27" x14ac:dyDescent="0.15">
      <c r="A3442" s="166"/>
      <c r="B3442" s="82"/>
      <c r="C3442" s="70"/>
      <c r="D3442" s="70"/>
      <c r="E3442" s="70"/>
      <c r="F3442" s="70"/>
      <c r="G3442" s="70"/>
      <c r="H3442" s="85"/>
      <c r="I3442" s="85"/>
      <c r="J3442" s="131"/>
      <c r="K3442" s="63"/>
    </row>
    <row r="3443" spans="1:27" x14ac:dyDescent="0.15">
      <c r="A3443" s="166"/>
      <c r="B3443" s="82"/>
      <c r="C3443" s="70"/>
      <c r="D3443" s="70"/>
      <c r="E3443" s="70"/>
      <c r="F3443" s="70"/>
      <c r="G3443" s="70"/>
      <c r="H3443" s="85"/>
      <c r="I3443" s="85"/>
      <c r="J3443" s="131"/>
      <c r="K3443" s="60"/>
      <c r="L3443" s="33"/>
    </row>
    <row r="3444" spans="1:27" x14ac:dyDescent="0.15">
      <c r="A3444" s="166"/>
      <c r="B3444" s="82"/>
      <c r="C3444" s="70"/>
      <c r="D3444" s="70"/>
      <c r="E3444" s="70"/>
      <c r="F3444" s="70"/>
      <c r="G3444" s="70"/>
      <c r="H3444" s="85"/>
      <c r="I3444" s="85"/>
      <c r="J3444" s="131"/>
      <c r="K3444" s="63"/>
      <c r="L3444" s="33"/>
    </row>
    <row r="3445" spans="1:27" x14ac:dyDescent="0.15">
      <c r="A3445" s="166"/>
      <c r="B3445" s="82"/>
      <c r="C3445" s="70"/>
      <c r="D3445" s="70"/>
      <c r="E3445" s="70"/>
      <c r="F3445" s="70"/>
      <c r="G3445" s="70"/>
      <c r="H3445" s="85"/>
      <c r="I3445" s="85"/>
      <c r="J3445" s="131"/>
      <c r="K3445" s="60"/>
      <c r="L3445" s="33"/>
    </row>
    <row r="3446" spans="1:27" x14ac:dyDescent="0.15">
      <c r="A3446" s="166"/>
      <c r="B3446" s="82"/>
      <c r="C3446" s="70"/>
      <c r="D3446" s="70"/>
      <c r="E3446" s="70"/>
      <c r="F3446" s="70"/>
      <c r="G3446" s="70"/>
      <c r="H3446" s="85"/>
      <c r="I3446" s="85"/>
      <c r="J3446" s="131"/>
      <c r="K3446" s="63"/>
    </row>
    <row r="3447" spans="1:27" x14ac:dyDescent="0.15">
      <c r="A3447" s="166"/>
      <c r="B3447" s="82"/>
      <c r="C3447" s="70"/>
      <c r="D3447" s="70"/>
      <c r="E3447" s="70"/>
      <c r="F3447" s="70"/>
      <c r="G3447" s="70"/>
      <c r="H3447" s="85"/>
      <c r="I3447" s="85"/>
      <c r="J3447" s="131"/>
      <c r="K3447" s="63"/>
    </row>
    <row r="3448" spans="1:27" x14ac:dyDescent="0.15">
      <c r="A3448" s="166"/>
      <c r="B3448" s="82"/>
      <c r="C3448" s="70"/>
      <c r="D3448" s="70"/>
      <c r="E3448" s="70"/>
      <c r="F3448" s="70"/>
      <c r="G3448" s="70"/>
      <c r="H3448" s="85"/>
      <c r="I3448" s="85"/>
      <c r="J3448" s="131"/>
      <c r="K3448" s="63"/>
    </row>
    <row r="3449" spans="1:27" x14ac:dyDescent="0.15">
      <c r="A3449" s="166"/>
      <c r="B3449" s="93"/>
      <c r="C3449" s="70"/>
      <c r="D3449" s="70"/>
      <c r="E3449" s="70"/>
      <c r="F3449" s="70"/>
      <c r="G3449" s="70"/>
      <c r="H3449" s="85"/>
      <c r="I3449" s="85"/>
      <c r="J3449" s="131"/>
      <c r="K3449" s="60"/>
      <c r="P3449" s="6"/>
      <c r="Q3449" s="6"/>
      <c r="R3449" s="187"/>
      <c r="S3449" s="187"/>
      <c r="T3449" s="187"/>
      <c r="U3449" s="187"/>
      <c r="V3449" s="187"/>
      <c r="W3449" s="187"/>
      <c r="X3449" s="187"/>
      <c r="Y3449" s="188"/>
      <c r="Z3449" s="189"/>
      <c r="AA3449" s="189"/>
    </row>
    <row r="3450" spans="1:27" x14ac:dyDescent="0.15">
      <c r="A3450" s="167"/>
      <c r="B3450" s="87"/>
      <c r="C3450" s="88"/>
      <c r="D3450" s="86"/>
      <c r="E3450" s="86"/>
      <c r="F3450" s="86"/>
      <c r="G3450" s="86"/>
      <c r="H3450" s="85"/>
      <c r="I3450" s="89"/>
      <c r="J3450" s="132"/>
      <c r="K3450" s="68"/>
      <c r="L3450" s="54"/>
      <c r="R3450" s="12"/>
      <c r="S3450" s="12"/>
      <c r="T3450" s="12"/>
      <c r="U3450" s="12"/>
      <c r="V3450" s="12"/>
      <c r="W3450" s="12"/>
      <c r="X3450" s="12"/>
      <c r="Y3450" s="16"/>
      <c r="Z3450" s="13"/>
      <c r="AA3450" s="13"/>
    </row>
    <row r="3451" spans="1:27" x14ac:dyDescent="0.15">
      <c r="A3451" s="167"/>
      <c r="B3451" s="87"/>
      <c r="C3451" s="88"/>
      <c r="D3451" s="86"/>
      <c r="E3451" s="86"/>
      <c r="F3451" s="86"/>
      <c r="G3451" s="86"/>
      <c r="H3451" s="85"/>
      <c r="I3451" s="89"/>
      <c r="J3451" s="132"/>
      <c r="K3451" s="68"/>
      <c r="P3451"/>
      <c r="Q3451"/>
      <c r="R3451" s="12"/>
      <c r="S3451" s="12"/>
      <c r="T3451" s="12"/>
      <c r="U3451" s="12"/>
      <c r="V3451" s="12"/>
      <c r="W3451" s="12"/>
      <c r="X3451" s="12"/>
      <c r="Y3451" s="16"/>
      <c r="Z3451" s="13"/>
      <c r="AA3451" s="13"/>
    </row>
    <row r="3452" spans="1:27" x14ac:dyDescent="0.15">
      <c r="A3452" s="167"/>
      <c r="B3452" s="87"/>
      <c r="C3452" s="88"/>
      <c r="D3452" s="86"/>
      <c r="E3452" s="86"/>
      <c r="F3452" s="86"/>
      <c r="G3452" s="86"/>
      <c r="H3452" s="85"/>
      <c r="I3452" s="89"/>
      <c r="J3452" s="146"/>
      <c r="K3452" s="68"/>
      <c r="L3452" s="54"/>
    </row>
    <row r="3453" spans="1:27" x14ac:dyDescent="0.15">
      <c r="A3453" s="167"/>
      <c r="B3453" s="87"/>
      <c r="C3453" s="88"/>
      <c r="D3453" s="86"/>
      <c r="E3453" s="86"/>
      <c r="F3453" s="86"/>
      <c r="G3453" s="86"/>
      <c r="H3453" s="85"/>
      <c r="I3453" s="89"/>
      <c r="J3453" s="132"/>
      <c r="K3453" s="68"/>
      <c r="R3453" s="203"/>
      <c r="S3453" s="203"/>
      <c r="T3453" s="203"/>
      <c r="U3453" s="203"/>
      <c r="V3453" s="203"/>
      <c r="W3453" s="203"/>
      <c r="X3453" s="203"/>
      <c r="Y3453" s="204"/>
      <c r="Z3453" s="11"/>
      <c r="AA3453" s="11"/>
    </row>
    <row r="3454" spans="1:27" x14ac:dyDescent="0.15">
      <c r="A3454" s="167"/>
      <c r="B3454" s="87"/>
      <c r="C3454" s="88"/>
      <c r="D3454" s="86"/>
      <c r="E3454" s="86"/>
      <c r="F3454" s="86"/>
      <c r="G3454" s="86"/>
      <c r="H3454" s="85"/>
      <c r="I3454" s="89"/>
      <c r="J3454" s="146"/>
      <c r="K3454" s="68"/>
      <c r="R3454" s="12"/>
      <c r="S3454" s="12"/>
      <c r="T3454" s="12"/>
      <c r="U3454" s="12"/>
      <c r="V3454" s="12"/>
      <c r="W3454" s="12"/>
      <c r="X3454" s="12"/>
      <c r="Y3454" s="16"/>
      <c r="Z3454" s="13"/>
      <c r="AA3454" s="13"/>
    </row>
    <row r="3455" spans="1:27" x14ac:dyDescent="0.15">
      <c r="A3455" s="169"/>
      <c r="B3455" s="90"/>
      <c r="C3455" s="91"/>
      <c r="D3455" s="91"/>
      <c r="E3455" s="91"/>
      <c r="F3455" s="91"/>
      <c r="G3455" s="91"/>
      <c r="H3455" s="85"/>
      <c r="I3455" s="92"/>
      <c r="J3455" s="133"/>
      <c r="K3455" s="65"/>
    </row>
    <row r="3456" spans="1:27" x14ac:dyDescent="0.15">
      <c r="A3456" s="167"/>
      <c r="B3456" s="87"/>
      <c r="C3456" s="88"/>
      <c r="D3456" s="86"/>
      <c r="E3456" s="86"/>
      <c r="F3456" s="86"/>
      <c r="G3456" s="86"/>
      <c r="H3456" s="85"/>
      <c r="I3456" s="89"/>
      <c r="J3456" s="132"/>
      <c r="K3456" s="68"/>
      <c r="L3456" s="54"/>
    </row>
    <row r="3457" spans="1:27" x14ac:dyDescent="0.15">
      <c r="A3457" s="166"/>
      <c r="B3457" s="93"/>
      <c r="C3457" s="70"/>
      <c r="D3457" s="70"/>
      <c r="E3457" s="70"/>
      <c r="F3457" s="70"/>
      <c r="G3457" s="70"/>
      <c r="H3457" s="85"/>
      <c r="I3457" s="85"/>
      <c r="J3457" s="132"/>
      <c r="K3457" s="63"/>
      <c r="R3457" s="12"/>
      <c r="S3457" s="12"/>
      <c r="T3457" s="12"/>
      <c r="U3457" s="12"/>
      <c r="V3457" s="12"/>
      <c r="W3457" s="12"/>
      <c r="X3457" s="12"/>
      <c r="Y3457" s="16"/>
      <c r="Z3457" s="13"/>
      <c r="AA3457" s="13"/>
    </row>
    <row r="3458" spans="1:27" x14ac:dyDescent="0.15">
      <c r="A3458" s="166"/>
      <c r="B3458" s="82"/>
      <c r="C3458" s="70"/>
      <c r="D3458" s="70"/>
      <c r="E3458" s="70"/>
      <c r="F3458" s="70"/>
      <c r="G3458" s="70"/>
      <c r="H3458" s="85"/>
      <c r="I3458" s="85"/>
      <c r="J3458" s="131"/>
      <c r="K3458" s="63"/>
    </row>
    <row r="3459" spans="1:27" x14ac:dyDescent="0.15">
      <c r="A3459" s="167"/>
      <c r="B3459" s="87"/>
      <c r="C3459" s="88"/>
      <c r="D3459" s="86"/>
      <c r="E3459" s="86"/>
      <c r="F3459" s="86"/>
      <c r="G3459" s="86"/>
      <c r="H3459" s="85"/>
      <c r="I3459" s="89"/>
      <c r="J3459" s="132"/>
      <c r="K3459" s="68"/>
    </row>
    <row r="3460" spans="1:27" x14ac:dyDescent="0.15">
      <c r="A3460" s="167"/>
      <c r="B3460" s="87"/>
      <c r="C3460" s="88"/>
      <c r="D3460" s="86"/>
      <c r="E3460" s="86"/>
      <c r="F3460" s="86"/>
      <c r="G3460" s="86"/>
      <c r="H3460" s="85"/>
      <c r="I3460" s="89"/>
      <c r="J3460" s="132"/>
      <c r="K3460" s="68"/>
      <c r="L3460" s="54"/>
    </row>
    <row r="3461" spans="1:27" x14ac:dyDescent="0.15">
      <c r="A3461" s="166"/>
      <c r="B3461" s="93"/>
      <c r="C3461" s="70"/>
      <c r="D3461" s="70"/>
      <c r="E3461" s="70"/>
      <c r="F3461" s="70"/>
      <c r="G3461" s="70"/>
      <c r="H3461" s="85"/>
      <c r="I3461" s="85"/>
      <c r="J3461" s="131"/>
      <c r="K3461" s="60"/>
    </row>
    <row r="3462" spans="1:27" x14ac:dyDescent="0.15">
      <c r="A3462" s="166"/>
      <c r="B3462" s="82"/>
      <c r="C3462" s="70"/>
      <c r="D3462" s="70"/>
      <c r="E3462" s="70"/>
      <c r="F3462" s="70"/>
      <c r="G3462" s="70"/>
      <c r="H3462" s="98"/>
      <c r="I3462" s="98"/>
      <c r="J3462" s="131"/>
      <c r="K3462" s="62"/>
      <c r="L3462" s="33"/>
    </row>
    <row r="3463" spans="1:27" x14ac:dyDescent="0.15">
      <c r="A3463" s="166"/>
      <c r="B3463" s="82"/>
      <c r="C3463" s="70"/>
      <c r="D3463" s="70"/>
      <c r="E3463" s="70"/>
      <c r="F3463" s="70"/>
      <c r="G3463" s="70"/>
      <c r="H3463" s="98"/>
      <c r="I3463" s="98"/>
      <c r="J3463" s="131"/>
      <c r="K3463" s="62"/>
      <c r="L3463" s="33"/>
    </row>
    <row r="3464" spans="1:27" x14ac:dyDescent="0.15">
      <c r="A3464" s="166"/>
      <c r="B3464" s="93"/>
      <c r="C3464" s="70"/>
      <c r="D3464" s="70"/>
      <c r="E3464" s="70"/>
      <c r="F3464" s="70"/>
      <c r="G3464" s="70"/>
      <c r="H3464" s="85"/>
      <c r="I3464" s="85"/>
      <c r="J3464" s="131"/>
      <c r="K3464" s="60"/>
      <c r="L3464" s="33"/>
    </row>
    <row r="3465" spans="1:27" x14ac:dyDescent="0.15">
      <c r="A3465" s="166"/>
      <c r="B3465" s="93"/>
      <c r="C3465" s="70"/>
      <c r="D3465" s="70"/>
      <c r="E3465" s="70"/>
      <c r="F3465" s="70"/>
      <c r="G3465" s="70"/>
      <c r="H3465" s="85"/>
      <c r="I3465" s="85"/>
      <c r="J3465" s="131"/>
      <c r="K3465" s="60"/>
      <c r="L3465" s="33"/>
    </row>
    <row r="3466" spans="1:27" x14ac:dyDescent="0.15">
      <c r="A3466" s="166"/>
      <c r="B3466" s="93"/>
      <c r="C3466" s="70"/>
      <c r="D3466" s="70"/>
      <c r="E3466" s="70"/>
      <c r="F3466" s="70"/>
      <c r="G3466" s="70"/>
      <c r="H3466" s="85"/>
      <c r="I3466" s="85"/>
      <c r="J3466" s="131"/>
      <c r="K3466" s="60"/>
      <c r="L3466" s="33"/>
    </row>
    <row r="3467" spans="1:27" x14ac:dyDescent="0.15">
      <c r="A3467" s="166"/>
      <c r="B3467" s="93"/>
      <c r="C3467" s="70"/>
      <c r="D3467" s="70"/>
      <c r="E3467" s="70"/>
      <c r="F3467" s="70"/>
      <c r="G3467" s="70"/>
      <c r="H3467" s="85"/>
      <c r="I3467" s="85"/>
      <c r="J3467" s="131"/>
      <c r="K3467" s="60"/>
      <c r="L3467" s="33"/>
    </row>
    <row r="3468" spans="1:27" x14ac:dyDescent="0.15">
      <c r="A3468" s="166"/>
      <c r="B3468" s="93"/>
      <c r="C3468" s="70"/>
      <c r="D3468" s="70"/>
      <c r="E3468" s="70"/>
      <c r="F3468" s="70"/>
      <c r="G3468" s="70"/>
      <c r="H3468" s="85"/>
      <c r="I3468" s="85"/>
      <c r="J3468" s="131"/>
      <c r="K3468" s="60"/>
      <c r="L3468" s="33"/>
    </row>
    <row r="3469" spans="1:27" x14ac:dyDescent="0.15">
      <c r="A3469" s="166"/>
      <c r="B3469" s="93"/>
      <c r="C3469" s="70"/>
      <c r="D3469" s="70"/>
      <c r="E3469" s="70"/>
      <c r="F3469" s="70"/>
      <c r="G3469" s="70"/>
      <c r="H3469" s="85"/>
      <c r="I3469" s="85"/>
      <c r="J3469" s="131"/>
      <c r="K3469" s="60"/>
      <c r="L3469" s="53"/>
    </row>
    <row r="3470" spans="1:27" x14ac:dyDescent="0.15">
      <c r="A3470" s="166"/>
      <c r="B3470" s="93"/>
      <c r="C3470" s="70"/>
      <c r="D3470" s="70"/>
      <c r="E3470" s="70"/>
      <c r="F3470" s="70"/>
      <c r="G3470" s="70"/>
      <c r="H3470" s="85"/>
      <c r="I3470" s="85"/>
      <c r="J3470" s="131"/>
      <c r="K3470" s="60"/>
      <c r="L3470" s="33"/>
      <c r="P3470" s="6"/>
      <c r="Q3470" s="6"/>
    </row>
    <row r="3471" spans="1:27" s="3" customFormat="1" x14ac:dyDescent="0.15">
      <c r="A3471" s="166"/>
      <c r="B3471" s="93"/>
      <c r="C3471" s="70"/>
      <c r="D3471" s="70"/>
      <c r="E3471" s="70"/>
      <c r="F3471" s="70"/>
      <c r="G3471" s="70"/>
      <c r="H3471" s="85"/>
      <c r="I3471" s="85"/>
      <c r="J3471" s="131"/>
      <c r="K3471" s="60"/>
      <c r="L3471" s="33"/>
      <c r="M3471" s="37"/>
      <c r="N3471" s="37"/>
      <c r="O3471" s="37"/>
      <c r="P3471" s="6"/>
      <c r="Q3471" s="6"/>
      <c r="Y3471" s="4"/>
      <c r="Z3471"/>
      <c r="AA3471"/>
    </row>
    <row r="3472" spans="1:27" s="3" customFormat="1" x14ac:dyDescent="0.15">
      <c r="A3472" s="166"/>
      <c r="B3472" s="93"/>
      <c r="C3472" s="70"/>
      <c r="D3472" s="70"/>
      <c r="E3472" s="70"/>
      <c r="F3472" s="70"/>
      <c r="G3472" s="70"/>
      <c r="H3472" s="85"/>
      <c r="I3472" s="85"/>
      <c r="J3472" s="131"/>
      <c r="K3472" s="60"/>
      <c r="L3472" s="33"/>
      <c r="M3472" s="37"/>
      <c r="N3472" s="37"/>
      <c r="O3472" s="37"/>
      <c r="Y3472" s="4"/>
      <c r="Z3472"/>
      <c r="AA3472"/>
    </row>
    <row r="3473" spans="1:27" s="3" customFormat="1" ht="16" x14ac:dyDescent="0.2">
      <c r="A3473" s="166"/>
      <c r="B3473" s="93"/>
      <c r="C3473" s="70"/>
      <c r="D3473" s="70"/>
      <c r="E3473" s="70"/>
      <c r="F3473" s="70"/>
      <c r="G3473" s="70"/>
      <c r="H3473" s="85"/>
      <c r="I3473" s="85"/>
      <c r="J3473" s="131"/>
      <c r="K3473" s="60"/>
      <c r="L3473" s="47"/>
      <c r="M3473" s="37"/>
      <c r="N3473" s="37"/>
      <c r="O3473" s="37"/>
      <c r="Y3473" s="4"/>
      <c r="Z3473"/>
      <c r="AA3473"/>
    </row>
    <row r="3474" spans="1:27" s="3" customFormat="1" x14ac:dyDescent="0.15">
      <c r="A3474" s="166"/>
      <c r="B3474" s="93"/>
      <c r="C3474" s="70"/>
      <c r="D3474" s="70"/>
      <c r="E3474" s="70"/>
      <c r="F3474" s="70"/>
      <c r="G3474" s="70"/>
      <c r="H3474" s="85"/>
      <c r="I3474" s="85"/>
      <c r="J3474" s="131"/>
      <c r="K3474" s="60"/>
      <c r="L3474" s="33"/>
      <c r="M3474" s="37"/>
      <c r="N3474" s="37"/>
      <c r="O3474" s="37"/>
      <c r="Y3474" s="4"/>
      <c r="Z3474"/>
      <c r="AA3474"/>
    </row>
    <row r="3475" spans="1:27" s="3" customFormat="1" x14ac:dyDescent="0.15">
      <c r="A3475" s="166"/>
      <c r="B3475" s="93"/>
      <c r="C3475" s="70"/>
      <c r="D3475" s="70"/>
      <c r="E3475" s="70"/>
      <c r="F3475" s="70"/>
      <c r="G3475" s="70"/>
      <c r="H3475" s="85"/>
      <c r="I3475" s="85"/>
      <c r="J3475" s="131"/>
      <c r="K3475" s="60"/>
      <c r="L3475" s="33"/>
      <c r="M3475" s="37"/>
      <c r="N3475" s="37"/>
      <c r="O3475" s="37"/>
      <c r="Y3475" s="4"/>
      <c r="Z3475"/>
      <c r="AA3475"/>
    </row>
    <row r="3476" spans="1:27" s="3" customFormat="1" x14ac:dyDescent="0.15">
      <c r="A3476" s="166"/>
      <c r="B3476" s="93"/>
      <c r="C3476" s="70"/>
      <c r="D3476" s="70"/>
      <c r="E3476" s="70"/>
      <c r="F3476" s="70"/>
      <c r="G3476" s="70"/>
      <c r="H3476" s="85"/>
      <c r="I3476" s="85"/>
      <c r="J3476" s="131"/>
      <c r="K3476" s="60"/>
      <c r="L3476" s="33"/>
      <c r="M3476" s="37"/>
      <c r="N3476" s="37"/>
      <c r="O3476" s="37"/>
      <c r="Y3476" s="4"/>
      <c r="Z3476"/>
      <c r="AA3476"/>
    </row>
    <row r="3477" spans="1:27" s="3" customFormat="1" x14ac:dyDescent="0.15">
      <c r="A3477" s="166"/>
      <c r="B3477" s="93"/>
      <c r="C3477" s="70"/>
      <c r="D3477" s="70"/>
      <c r="E3477" s="70"/>
      <c r="F3477" s="70"/>
      <c r="G3477" s="70"/>
      <c r="H3477" s="85"/>
      <c r="I3477" s="85"/>
      <c r="J3477" s="131"/>
      <c r="K3477" s="60"/>
      <c r="L3477" s="33"/>
      <c r="M3477" s="37"/>
      <c r="N3477" s="37"/>
      <c r="O3477" s="37"/>
      <c r="Y3477" s="4"/>
      <c r="Z3477"/>
      <c r="AA3477"/>
    </row>
    <row r="3478" spans="1:27" s="3" customFormat="1" x14ac:dyDescent="0.15">
      <c r="A3478" s="166"/>
      <c r="B3478" s="93"/>
      <c r="C3478" s="70"/>
      <c r="D3478" s="70"/>
      <c r="E3478" s="70"/>
      <c r="F3478" s="70"/>
      <c r="G3478" s="70"/>
      <c r="H3478" s="85"/>
      <c r="I3478" s="85"/>
      <c r="J3478" s="131"/>
      <c r="K3478" s="63"/>
      <c r="L3478" s="33"/>
      <c r="M3478" s="37"/>
      <c r="N3478" s="37"/>
      <c r="O3478" s="37"/>
      <c r="Y3478" s="4"/>
      <c r="Z3478"/>
      <c r="AA3478"/>
    </row>
    <row r="3479" spans="1:27" s="3" customFormat="1" x14ac:dyDescent="0.15">
      <c r="A3479" s="166"/>
      <c r="B3479" s="93"/>
      <c r="C3479" s="70"/>
      <c r="D3479" s="70"/>
      <c r="E3479" s="70"/>
      <c r="F3479" s="70"/>
      <c r="G3479" s="70"/>
      <c r="H3479" s="85"/>
      <c r="I3479" s="85"/>
      <c r="J3479" s="131"/>
      <c r="K3479" s="63"/>
      <c r="L3479" s="33"/>
      <c r="M3479" s="37"/>
      <c r="N3479" s="37"/>
      <c r="O3479" s="37"/>
      <c r="Y3479" s="4"/>
      <c r="Z3479"/>
      <c r="AA3479"/>
    </row>
    <row r="3480" spans="1:27" s="3" customFormat="1" x14ac:dyDescent="0.15">
      <c r="A3480" s="166"/>
      <c r="B3480" s="93"/>
      <c r="C3480" s="70"/>
      <c r="D3480" s="70"/>
      <c r="E3480" s="70"/>
      <c r="F3480" s="70"/>
      <c r="G3480" s="70"/>
      <c r="H3480" s="85"/>
      <c r="I3480" s="85"/>
      <c r="J3480" s="131"/>
      <c r="K3480" s="60"/>
      <c r="L3480" s="33"/>
      <c r="M3480" s="37"/>
      <c r="N3480" s="37"/>
      <c r="O3480" s="37"/>
      <c r="Y3480" s="4"/>
      <c r="Z3480"/>
      <c r="AA3480"/>
    </row>
    <row r="3481" spans="1:27" s="3" customFormat="1" x14ac:dyDescent="0.15">
      <c r="A3481" s="166"/>
      <c r="B3481" s="93"/>
      <c r="C3481" s="70"/>
      <c r="D3481" s="70"/>
      <c r="E3481" s="70"/>
      <c r="F3481" s="70"/>
      <c r="G3481" s="70"/>
      <c r="H3481" s="85"/>
      <c r="I3481" s="85"/>
      <c r="J3481" s="131"/>
      <c r="K3481" s="60"/>
      <c r="L3481" s="33"/>
      <c r="M3481" s="37"/>
      <c r="N3481" s="37"/>
      <c r="O3481" s="37"/>
      <c r="Y3481" s="4"/>
      <c r="Z3481"/>
      <c r="AA3481"/>
    </row>
    <row r="3482" spans="1:27" s="3" customFormat="1" x14ac:dyDescent="0.15">
      <c r="A3482" s="166"/>
      <c r="B3482" s="93"/>
      <c r="C3482" s="70"/>
      <c r="D3482" s="70"/>
      <c r="E3482" s="70"/>
      <c r="F3482" s="70"/>
      <c r="G3482" s="70"/>
      <c r="H3482" s="85"/>
      <c r="I3482" s="85"/>
      <c r="J3482" s="131"/>
      <c r="K3482" s="61"/>
      <c r="L3482" s="33"/>
      <c r="M3482" s="37"/>
      <c r="N3482" s="37"/>
      <c r="O3482" s="37"/>
      <c r="Y3482" s="4"/>
      <c r="Z3482"/>
      <c r="AA3482"/>
    </row>
    <row r="3483" spans="1:27" s="3" customFormat="1" x14ac:dyDescent="0.15">
      <c r="A3483" s="166"/>
      <c r="B3483" s="93"/>
      <c r="C3483" s="88"/>
      <c r="D3483" s="70"/>
      <c r="E3483" s="70"/>
      <c r="F3483" s="70"/>
      <c r="G3483" s="70"/>
      <c r="H3483" s="98"/>
      <c r="I3483" s="98"/>
      <c r="J3483" s="131"/>
      <c r="K3483" s="61"/>
      <c r="L3483" s="35"/>
      <c r="M3483" s="37"/>
      <c r="N3483" s="37"/>
      <c r="O3483" s="37"/>
      <c r="Y3483" s="4"/>
      <c r="Z3483"/>
      <c r="AA3483"/>
    </row>
    <row r="3484" spans="1:27" s="3" customFormat="1" x14ac:dyDescent="0.15">
      <c r="A3484" s="166"/>
      <c r="B3484" s="82"/>
      <c r="C3484" s="180"/>
      <c r="D3484" s="70"/>
      <c r="E3484" s="70"/>
      <c r="F3484" s="70"/>
      <c r="G3484" s="70"/>
      <c r="H3484" s="85"/>
      <c r="I3484" s="85"/>
      <c r="J3484" s="131"/>
      <c r="K3484" s="61"/>
      <c r="L3484" s="33"/>
      <c r="M3484" s="35"/>
      <c r="N3484" s="37"/>
      <c r="O3484" s="37"/>
      <c r="Y3484" s="4"/>
      <c r="Z3484"/>
      <c r="AA3484"/>
    </row>
    <row r="3485" spans="1:27" s="3" customFormat="1" x14ac:dyDescent="0.15">
      <c r="A3485" s="166"/>
      <c r="B3485" s="93"/>
      <c r="C3485" s="70"/>
      <c r="D3485" s="70"/>
      <c r="E3485" s="70"/>
      <c r="F3485" s="70"/>
      <c r="G3485" s="70"/>
      <c r="H3485" s="85"/>
      <c r="I3485" s="85"/>
      <c r="J3485" s="131"/>
      <c r="K3485" s="61"/>
      <c r="L3485" s="33"/>
      <c r="M3485" s="37"/>
      <c r="N3485" s="37"/>
      <c r="O3485" s="37"/>
      <c r="Y3485" s="4"/>
      <c r="Z3485"/>
      <c r="AA3485"/>
    </row>
    <row r="3486" spans="1:27" s="3" customFormat="1" x14ac:dyDescent="0.15">
      <c r="A3486" s="166"/>
      <c r="B3486" s="93"/>
      <c r="C3486" s="70"/>
      <c r="D3486" s="70"/>
      <c r="E3486" s="70"/>
      <c r="F3486" s="70"/>
      <c r="G3486" s="70"/>
      <c r="H3486" s="85"/>
      <c r="I3486" s="85"/>
      <c r="J3486" s="131"/>
      <c r="K3486" s="61"/>
      <c r="L3486" s="33"/>
      <c r="M3486" s="37"/>
      <c r="N3486" s="37"/>
      <c r="O3486" s="37"/>
      <c r="Y3486" s="4"/>
      <c r="Z3486"/>
      <c r="AA3486"/>
    </row>
    <row r="3487" spans="1:27" x14ac:dyDescent="0.15">
      <c r="A3487" s="167"/>
      <c r="B3487" s="87"/>
      <c r="C3487" s="88"/>
      <c r="D3487" s="86"/>
      <c r="E3487" s="86"/>
      <c r="F3487" s="86"/>
      <c r="G3487" s="86"/>
      <c r="H3487" s="85"/>
      <c r="I3487" s="89"/>
      <c r="J3487" s="132"/>
      <c r="K3487" s="61"/>
      <c r="O3487" s="51"/>
    </row>
    <row r="3488" spans="1:27" x14ac:dyDescent="0.15">
      <c r="A3488" s="228"/>
      <c r="B3488" s="212"/>
      <c r="C3488" s="213"/>
      <c r="D3488" s="211"/>
      <c r="E3488" s="211"/>
      <c r="F3488" s="211"/>
      <c r="G3488" s="211"/>
      <c r="H3488" s="214"/>
      <c r="I3488" s="215"/>
      <c r="J3488" s="216"/>
      <c r="K3488" s="217"/>
      <c r="L3488" s="218"/>
      <c r="M3488" s="218"/>
      <c r="N3488" s="218"/>
      <c r="O3488" s="219"/>
      <c r="P3488" s="220"/>
      <c r="Q3488" s="220"/>
      <c r="R3488" s="220"/>
      <c r="S3488" s="220"/>
      <c r="T3488" s="220"/>
      <c r="U3488" s="220"/>
      <c r="V3488" s="220"/>
      <c r="W3488" s="220"/>
      <c r="X3488" s="220"/>
      <c r="Y3488" s="221"/>
      <c r="Z3488" s="222"/>
      <c r="AA3488" s="222"/>
    </row>
    <row r="3489" spans="1:27" ht="16" x14ac:dyDescent="0.2">
      <c r="A3489" s="167"/>
      <c r="B3489" s="87"/>
      <c r="C3489" s="88"/>
      <c r="D3489" s="86"/>
      <c r="E3489" s="86"/>
      <c r="F3489" s="86"/>
      <c r="G3489" s="86"/>
      <c r="H3489" s="85"/>
      <c r="I3489" s="89"/>
      <c r="J3489" s="132"/>
      <c r="K3489" s="61"/>
      <c r="M3489" s="48"/>
    </row>
    <row r="3490" spans="1:27" x14ac:dyDescent="0.15">
      <c r="A3490" s="167"/>
      <c r="B3490" s="87"/>
      <c r="C3490" s="88"/>
      <c r="D3490" s="86"/>
      <c r="E3490" s="86"/>
      <c r="F3490" s="86"/>
      <c r="G3490" s="86"/>
      <c r="H3490" s="85"/>
      <c r="I3490" s="89"/>
      <c r="J3490" s="132"/>
      <c r="K3490" s="61"/>
    </row>
    <row r="3491" spans="1:27" x14ac:dyDescent="0.15">
      <c r="A3491" s="167"/>
      <c r="B3491" s="87"/>
      <c r="C3491" s="88"/>
      <c r="D3491" s="86"/>
      <c r="E3491" s="86"/>
      <c r="F3491" s="86"/>
      <c r="G3491" s="86"/>
      <c r="H3491" s="85"/>
      <c r="I3491" s="89"/>
      <c r="J3491" s="132"/>
      <c r="K3491" s="61"/>
    </row>
    <row r="3492" spans="1:27" x14ac:dyDescent="0.15">
      <c r="A3492" s="167"/>
      <c r="B3492" s="87"/>
      <c r="C3492" s="88"/>
      <c r="D3492" s="86"/>
      <c r="E3492" s="86"/>
      <c r="F3492" s="86"/>
      <c r="G3492" s="86"/>
      <c r="H3492" s="85"/>
      <c r="I3492" s="89"/>
      <c r="J3492" s="132"/>
      <c r="K3492" s="61"/>
    </row>
    <row r="3493" spans="1:27" x14ac:dyDescent="0.15">
      <c r="A3493" s="167"/>
      <c r="B3493" s="87"/>
      <c r="C3493" s="88"/>
      <c r="D3493" s="86"/>
      <c r="E3493" s="86"/>
      <c r="F3493" s="86"/>
      <c r="G3493" s="86"/>
      <c r="H3493" s="85"/>
      <c r="I3493" s="89"/>
      <c r="J3493" s="132"/>
      <c r="K3493" s="61"/>
    </row>
    <row r="3494" spans="1:27" x14ac:dyDescent="0.15">
      <c r="A3494" s="167"/>
      <c r="B3494" s="87"/>
      <c r="C3494" s="88"/>
      <c r="D3494" s="86"/>
      <c r="E3494" s="86"/>
      <c r="F3494" s="86"/>
      <c r="G3494" s="86"/>
      <c r="H3494" s="85"/>
      <c r="I3494" s="89"/>
      <c r="J3494" s="132"/>
      <c r="K3494" s="61"/>
    </row>
    <row r="3495" spans="1:27" x14ac:dyDescent="0.15">
      <c r="A3495" s="167"/>
      <c r="B3495" s="87"/>
      <c r="C3495" s="88"/>
      <c r="D3495" s="86"/>
      <c r="E3495" s="86"/>
      <c r="F3495" s="86"/>
      <c r="G3495" s="86"/>
      <c r="H3495" s="85"/>
      <c r="I3495" s="89"/>
      <c r="J3495" s="132"/>
      <c r="K3495" s="61"/>
    </row>
    <row r="3496" spans="1:27" x14ac:dyDescent="0.15">
      <c r="A3496" s="167"/>
      <c r="B3496" s="87"/>
      <c r="C3496" s="88"/>
      <c r="D3496" s="86"/>
      <c r="E3496" s="86"/>
      <c r="F3496" s="86"/>
      <c r="G3496" s="86"/>
      <c r="H3496" s="85"/>
      <c r="I3496" s="89"/>
      <c r="J3496" s="132"/>
      <c r="K3496" s="61"/>
    </row>
    <row r="3497" spans="1:27" x14ac:dyDescent="0.15">
      <c r="A3497" s="167"/>
      <c r="B3497" s="87"/>
      <c r="C3497" s="88"/>
      <c r="D3497" s="86"/>
      <c r="E3497" s="86"/>
      <c r="F3497" s="86"/>
      <c r="G3497" s="86"/>
      <c r="H3497" s="85"/>
      <c r="I3497" s="89"/>
      <c r="J3497" s="132"/>
      <c r="K3497" s="61"/>
    </row>
    <row r="3498" spans="1:27" x14ac:dyDescent="0.15">
      <c r="A3498" s="167"/>
      <c r="B3498" s="87"/>
      <c r="C3498" s="88"/>
      <c r="D3498" s="86"/>
      <c r="E3498" s="86"/>
      <c r="F3498" s="86"/>
      <c r="G3498" s="86"/>
      <c r="H3498" s="85"/>
      <c r="I3498" s="89"/>
      <c r="J3498" s="132"/>
      <c r="K3498" s="61"/>
    </row>
    <row r="3499" spans="1:27" x14ac:dyDescent="0.15">
      <c r="A3499" s="167"/>
      <c r="B3499" s="87"/>
      <c r="C3499" s="88"/>
      <c r="D3499" s="86"/>
      <c r="E3499" s="86"/>
      <c r="F3499" s="86"/>
      <c r="G3499" s="86"/>
      <c r="H3499" s="85"/>
      <c r="I3499" s="89"/>
      <c r="J3499" s="132"/>
      <c r="K3499" s="62"/>
    </row>
    <row r="3500" spans="1:27" ht="16" x14ac:dyDescent="0.2">
      <c r="A3500" s="166"/>
      <c r="B3500" s="82"/>
      <c r="C3500" s="70"/>
      <c r="D3500" s="70"/>
      <c r="E3500" s="70"/>
      <c r="F3500" s="70"/>
      <c r="G3500" s="70"/>
      <c r="H3500" s="85"/>
      <c r="I3500" s="85"/>
      <c r="J3500" s="131"/>
      <c r="K3500" s="61"/>
      <c r="L3500" s="33"/>
      <c r="M3500" s="48"/>
      <c r="P3500" s="6"/>
      <c r="Q3500" s="6"/>
    </row>
    <row r="3501" spans="1:27" x14ac:dyDescent="0.15">
      <c r="A3501" s="167"/>
      <c r="B3501" s="87"/>
      <c r="C3501" s="88"/>
      <c r="D3501" s="86"/>
      <c r="E3501" s="86"/>
      <c r="F3501" s="86"/>
      <c r="G3501" s="86"/>
      <c r="H3501" s="85"/>
      <c r="I3501" s="89"/>
      <c r="J3501" s="132"/>
      <c r="K3501" s="62"/>
    </row>
    <row r="3502" spans="1:27" x14ac:dyDescent="0.15">
      <c r="A3502" s="166"/>
      <c r="B3502" s="93"/>
      <c r="C3502" s="70"/>
      <c r="D3502" s="70"/>
      <c r="E3502" s="70"/>
      <c r="F3502" s="70"/>
      <c r="G3502" s="70"/>
      <c r="H3502" s="85"/>
      <c r="I3502" s="85"/>
      <c r="J3502" s="131"/>
      <c r="K3502" s="60"/>
    </row>
    <row r="3503" spans="1:27" s="37" customFormat="1" x14ac:dyDescent="0.15">
      <c r="A3503" s="166"/>
      <c r="B3503" s="82"/>
      <c r="C3503" s="70"/>
      <c r="D3503" s="70"/>
      <c r="E3503" s="70"/>
      <c r="F3503" s="70"/>
      <c r="G3503" s="70"/>
      <c r="H3503" s="85"/>
      <c r="I3503" s="85"/>
      <c r="J3503" s="131"/>
      <c r="K3503" s="60"/>
      <c r="L3503" s="49"/>
      <c r="N3503" s="49"/>
      <c r="P3503" s="3"/>
      <c r="Q3503" s="3"/>
      <c r="R3503" s="3"/>
      <c r="S3503" s="3"/>
      <c r="T3503" s="3"/>
      <c r="U3503" s="3"/>
      <c r="V3503" s="3"/>
      <c r="W3503" s="3"/>
      <c r="X3503" s="3"/>
      <c r="Y3503" s="4"/>
      <c r="Z3503"/>
      <c r="AA3503"/>
    </row>
    <row r="3504" spans="1:27" s="37" customFormat="1" x14ac:dyDescent="0.15">
      <c r="A3504" s="166"/>
      <c r="B3504" s="82"/>
      <c r="C3504" s="70"/>
      <c r="D3504" s="70"/>
      <c r="E3504" s="70"/>
      <c r="F3504" s="70"/>
      <c r="G3504" s="70"/>
      <c r="H3504" s="85"/>
      <c r="I3504" s="85"/>
      <c r="J3504" s="131"/>
      <c r="K3504" s="60"/>
      <c r="L3504" s="49"/>
      <c r="P3504" s="3"/>
      <c r="Q3504" s="3"/>
      <c r="R3504" s="3"/>
      <c r="S3504" s="3"/>
      <c r="T3504" s="3"/>
      <c r="U3504" s="3"/>
      <c r="V3504" s="3"/>
      <c r="W3504" s="3"/>
      <c r="X3504" s="3"/>
      <c r="Y3504" s="4"/>
      <c r="Z3504"/>
      <c r="AA3504"/>
    </row>
    <row r="3505" spans="1:27" s="37" customFormat="1" x14ac:dyDescent="0.15">
      <c r="A3505" s="166"/>
      <c r="B3505" s="82"/>
      <c r="C3505" s="70"/>
      <c r="D3505" s="70"/>
      <c r="E3505" s="70"/>
      <c r="F3505" s="70"/>
      <c r="G3505" s="70"/>
      <c r="H3505" s="85"/>
      <c r="I3505" s="85"/>
      <c r="J3505" s="131"/>
      <c r="K3505" s="60"/>
      <c r="L3505" s="49"/>
      <c r="P3505" s="3"/>
      <c r="Q3505" s="3"/>
      <c r="R3505" s="3"/>
      <c r="S3505" s="3"/>
      <c r="T3505" s="3"/>
      <c r="U3505" s="3"/>
      <c r="V3505" s="3"/>
      <c r="W3505" s="3"/>
      <c r="X3505" s="3"/>
      <c r="Y3505" s="4"/>
      <c r="Z3505"/>
      <c r="AA3505"/>
    </row>
    <row r="3506" spans="1:27" s="37" customFormat="1" x14ac:dyDescent="0.15">
      <c r="A3506" s="166"/>
      <c r="B3506" s="93"/>
      <c r="C3506" s="70"/>
      <c r="D3506" s="70"/>
      <c r="E3506" s="70"/>
      <c r="F3506" s="70"/>
      <c r="G3506" s="70"/>
      <c r="H3506" s="85"/>
      <c r="I3506" s="85"/>
      <c r="J3506" s="131"/>
      <c r="K3506" s="60"/>
      <c r="L3506" s="49"/>
      <c r="P3506" s="3"/>
      <c r="Q3506" s="3"/>
      <c r="R3506" s="3"/>
      <c r="S3506" s="3"/>
      <c r="T3506" s="3"/>
      <c r="U3506" s="3"/>
      <c r="V3506" s="3"/>
      <c r="W3506" s="3"/>
      <c r="X3506" s="3"/>
      <c r="Y3506" s="4"/>
      <c r="Z3506"/>
      <c r="AA3506"/>
    </row>
    <row r="3507" spans="1:27" s="37" customFormat="1" x14ac:dyDescent="0.15">
      <c r="A3507" s="166"/>
      <c r="B3507" s="82"/>
      <c r="C3507" s="70"/>
      <c r="D3507" s="70"/>
      <c r="E3507" s="70"/>
      <c r="F3507" s="70"/>
      <c r="G3507" s="70"/>
      <c r="H3507" s="85"/>
      <c r="I3507" s="85"/>
      <c r="J3507" s="131"/>
      <c r="K3507" s="60"/>
      <c r="L3507" s="49"/>
      <c r="P3507" s="3"/>
      <c r="Q3507" s="3"/>
      <c r="R3507" s="3"/>
      <c r="S3507" s="3"/>
      <c r="T3507" s="3"/>
      <c r="U3507" s="3"/>
      <c r="V3507" s="3"/>
      <c r="W3507" s="3"/>
      <c r="X3507" s="3"/>
      <c r="Y3507" s="4"/>
      <c r="Z3507"/>
      <c r="AA3507"/>
    </row>
    <row r="3508" spans="1:27" s="37" customFormat="1" x14ac:dyDescent="0.15">
      <c r="A3508" s="166"/>
      <c r="B3508" s="93"/>
      <c r="C3508" s="70"/>
      <c r="D3508" s="70"/>
      <c r="E3508" s="70"/>
      <c r="F3508" s="70"/>
      <c r="G3508" s="70"/>
      <c r="H3508" s="85"/>
      <c r="I3508" s="85"/>
      <c r="J3508" s="131"/>
      <c r="K3508" s="60"/>
      <c r="L3508" s="49"/>
      <c r="P3508" s="3"/>
      <c r="Q3508" s="3"/>
      <c r="R3508" s="3"/>
      <c r="S3508" s="3"/>
      <c r="T3508" s="3"/>
      <c r="U3508" s="3"/>
      <c r="V3508" s="3"/>
      <c r="W3508" s="3"/>
      <c r="X3508" s="3"/>
      <c r="Y3508" s="4"/>
      <c r="Z3508"/>
      <c r="AA3508"/>
    </row>
    <row r="3509" spans="1:27" s="37" customFormat="1" x14ac:dyDescent="0.15">
      <c r="A3509" s="166"/>
      <c r="B3509" s="82"/>
      <c r="C3509" s="70"/>
      <c r="D3509" s="70"/>
      <c r="E3509" s="70"/>
      <c r="F3509" s="70"/>
      <c r="G3509" s="70"/>
      <c r="H3509" s="85"/>
      <c r="I3509" s="85"/>
      <c r="J3509" s="131"/>
      <c r="K3509" s="60"/>
      <c r="L3509" s="49"/>
      <c r="P3509" s="3"/>
      <c r="Q3509" s="3"/>
      <c r="R3509" s="3"/>
      <c r="S3509" s="3"/>
      <c r="T3509" s="3"/>
      <c r="U3509" s="3"/>
      <c r="V3509" s="3"/>
      <c r="W3509" s="3"/>
      <c r="X3509" s="3"/>
      <c r="Y3509" s="4"/>
      <c r="Z3509"/>
      <c r="AA3509"/>
    </row>
    <row r="3510" spans="1:27" s="37" customFormat="1" x14ac:dyDescent="0.15">
      <c r="A3510" s="166"/>
      <c r="B3510" s="82"/>
      <c r="C3510" s="70"/>
      <c r="D3510" s="70"/>
      <c r="E3510" s="70"/>
      <c r="F3510" s="70"/>
      <c r="G3510" s="70"/>
      <c r="H3510" s="85"/>
      <c r="I3510" s="85"/>
      <c r="J3510" s="131"/>
      <c r="K3510" s="60"/>
      <c r="L3510" s="49"/>
      <c r="P3510" s="3"/>
      <c r="Q3510" s="3"/>
      <c r="R3510" s="3"/>
      <c r="S3510" s="3"/>
      <c r="T3510" s="3"/>
      <c r="U3510" s="3"/>
      <c r="V3510" s="3"/>
      <c r="W3510" s="3"/>
      <c r="X3510" s="3"/>
      <c r="Y3510" s="4"/>
      <c r="Z3510"/>
      <c r="AA3510"/>
    </row>
    <row r="3511" spans="1:27" s="37" customFormat="1" x14ac:dyDescent="0.15">
      <c r="A3511" s="166"/>
      <c r="B3511" s="93"/>
      <c r="C3511" s="70"/>
      <c r="D3511" s="70"/>
      <c r="E3511" s="70"/>
      <c r="F3511" s="70"/>
      <c r="G3511" s="70"/>
      <c r="H3511" s="85"/>
      <c r="I3511" s="85"/>
      <c r="J3511" s="131"/>
      <c r="K3511" s="60"/>
      <c r="L3511" s="33"/>
      <c r="P3511" s="3"/>
      <c r="Q3511" s="3"/>
      <c r="R3511" s="3"/>
      <c r="S3511" s="3"/>
      <c r="T3511" s="3"/>
      <c r="U3511" s="3"/>
      <c r="V3511" s="3"/>
      <c r="W3511" s="3"/>
      <c r="X3511" s="3"/>
      <c r="Y3511" s="4"/>
      <c r="Z3511"/>
      <c r="AA3511"/>
    </row>
    <row r="3512" spans="1:27" s="37" customFormat="1" x14ac:dyDescent="0.15">
      <c r="A3512" s="166"/>
      <c r="B3512" s="82"/>
      <c r="C3512" s="70"/>
      <c r="D3512" s="70"/>
      <c r="E3512" s="70"/>
      <c r="F3512" s="70"/>
      <c r="G3512" s="70"/>
      <c r="H3512" s="85"/>
      <c r="I3512" s="85"/>
      <c r="J3512" s="131"/>
      <c r="K3512" s="60"/>
      <c r="L3512" s="49"/>
      <c r="P3512" s="3"/>
      <c r="Q3512" s="3"/>
      <c r="R3512" s="3"/>
      <c r="S3512" s="3"/>
      <c r="T3512" s="3"/>
      <c r="U3512" s="3"/>
      <c r="V3512" s="3"/>
      <c r="W3512" s="3"/>
      <c r="X3512" s="3"/>
      <c r="Y3512" s="4"/>
      <c r="Z3512"/>
      <c r="AA3512"/>
    </row>
    <row r="3513" spans="1:27" s="37" customFormat="1" x14ac:dyDescent="0.15">
      <c r="A3513" s="166"/>
      <c r="B3513" s="82"/>
      <c r="C3513" s="70"/>
      <c r="D3513" s="70"/>
      <c r="E3513" s="70"/>
      <c r="F3513" s="70"/>
      <c r="G3513" s="70"/>
      <c r="H3513" s="85"/>
      <c r="I3513" s="85"/>
      <c r="J3513" s="131"/>
      <c r="K3513" s="60"/>
      <c r="L3513" s="49"/>
      <c r="P3513" s="3"/>
      <c r="Q3513" s="3"/>
      <c r="R3513" s="3"/>
      <c r="S3513" s="3"/>
      <c r="T3513" s="3"/>
      <c r="U3513" s="3"/>
      <c r="V3513" s="3"/>
      <c r="W3513" s="3"/>
      <c r="X3513" s="3"/>
      <c r="Y3513" s="4"/>
      <c r="Z3513"/>
      <c r="AA3513"/>
    </row>
    <row r="3514" spans="1:27" s="37" customFormat="1" x14ac:dyDescent="0.15">
      <c r="A3514" s="166"/>
      <c r="B3514" s="82"/>
      <c r="C3514" s="70"/>
      <c r="D3514" s="70"/>
      <c r="E3514" s="70"/>
      <c r="F3514" s="70"/>
      <c r="G3514" s="70"/>
      <c r="H3514" s="85"/>
      <c r="I3514" s="85"/>
      <c r="J3514" s="131"/>
      <c r="K3514" s="60"/>
      <c r="L3514" s="49"/>
      <c r="P3514" s="3"/>
      <c r="Q3514" s="3"/>
      <c r="R3514" s="3"/>
      <c r="S3514" s="3"/>
      <c r="T3514" s="3"/>
      <c r="U3514" s="3"/>
      <c r="V3514" s="3"/>
      <c r="W3514" s="3"/>
      <c r="X3514" s="3"/>
      <c r="Y3514" s="4"/>
      <c r="Z3514"/>
      <c r="AA3514"/>
    </row>
    <row r="3515" spans="1:27" s="37" customFormat="1" x14ac:dyDescent="0.15">
      <c r="A3515" s="166"/>
      <c r="B3515" s="82"/>
      <c r="C3515" s="70"/>
      <c r="D3515" s="70"/>
      <c r="E3515" s="70"/>
      <c r="F3515" s="70"/>
      <c r="G3515" s="70"/>
      <c r="H3515" s="85"/>
      <c r="I3515" s="85"/>
      <c r="J3515" s="131"/>
      <c r="K3515" s="60"/>
      <c r="L3515" s="49"/>
      <c r="P3515" s="3"/>
      <c r="Q3515" s="3"/>
      <c r="R3515" s="3"/>
      <c r="S3515" s="3"/>
      <c r="T3515" s="3"/>
      <c r="U3515" s="3"/>
      <c r="V3515" s="3"/>
      <c r="W3515" s="3"/>
      <c r="X3515" s="3"/>
      <c r="Y3515" s="4"/>
      <c r="Z3515"/>
      <c r="AA3515"/>
    </row>
    <row r="3516" spans="1:27" s="37" customFormat="1" x14ac:dyDescent="0.15">
      <c r="A3516" s="166"/>
      <c r="B3516" s="93"/>
      <c r="C3516" s="70"/>
      <c r="D3516" s="70"/>
      <c r="E3516" s="70"/>
      <c r="F3516" s="70"/>
      <c r="G3516" s="70"/>
      <c r="H3516" s="85"/>
      <c r="I3516" s="94"/>
      <c r="J3516" s="131"/>
      <c r="K3516" s="60"/>
      <c r="L3516" s="33"/>
      <c r="P3516" s="3"/>
      <c r="Q3516" s="3"/>
      <c r="R3516" s="3"/>
      <c r="S3516" s="3"/>
      <c r="T3516" s="3"/>
      <c r="U3516" s="3"/>
      <c r="V3516" s="3"/>
      <c r="W3516" s="3"/>
      <c r="X3516" s="3"/>
      <c r="Y3516" s="4"/>
      <c r="Z3516"/>
      <c r="AA3516"/>
    </row>
    <row r="3517" spans="1:27" s="37" customFormat="1" x14ac:dyDescent="0.15">
      <c r="A3517" s="166"/>
      <c r="B3517" s="82"/>
      <c r="C3517" s="70"/>
      <c r="D3517" s="70"/>
      <c r="E3517" s="70"/>
      <c r="F3517" s="70"/>
      <c r="G3517" s="70"/>
      <c r="H3517" s="85"/>
      <c r="I3517" s="85"/>
      <c r="J3517" s="131"/>
      <c r="K3517" s="60"/>
      <c r="L3517" s="49"/>
      <c r="P3517" s="3"/>
      <c r="Q3517" s="3"/>
      <c r="R3517" s="3"/>
      <c r="S3517" s="3"/>
      <c r="T3517" s="3"/>
      <c r="U3517" s="3"/>
      <c r="V3517" s="3"/>
      <c r="W3517" s="3"/>
      <c r="X3517" s="3"/>
      <c r="Y3517" s="4"/>
      <c r="Z3517"/>
      <c r="AA3517"/>
    </row>
    <row r="3518" spans="1:27" s="37" customFormat="1" x14ac:dyDescent="0.15">
      <c r="A3518" s="166"/>
      <c r="B3518" s="82"/>
      <c r="C3518" s="70"/>
      <c r="D3518" s="70"/>
      <c r="E3518" s="70"/>
      <c r="F3518" s="70"/>
      <c r="G3518" s="70"/>
      <c r="H3518" s="85"/>
      <c r="I3518" s="85"/>
      <c r="J3518" s="131"/>
      <c r="K3518" s="60"/>
      <c r="L3518" s="49"/>
      <c r="P3518" s="3"/>
      <c r="Q3518" s="3"/>
      <c r="R3518" s="3"/>
      <c r="S3518" s="3"/>
      <c r="T3518" s="3"/>
      <c r="U3518" s="3"/>
      <c r="V3518" s="3"/>
      <c r="W3518" s="3"/>
      <c r="X3518" s="3"/>
      <c r="Y3518" s="4"/>
      <c r="Z3518"/>
      <c r="AA3518"/>
    </row>
    <row r="3519" spans="1:27" s="37" customFormat="1" x14ac:dyDescent="0.15">
      <c r="A3519" s="166"/>
      <c r="B3519" s="82"/>
      <c r="C3519" s="70"/>
      <c r="D3519" s="70"/>
      <c r="E3519" s="70"/>
      <c r="F3519" s="70"/>
      <c r="G3519" s="70"/>
      <c r="H3519" s="85"/>
      <c r="I3519" s="85"/>
      <c r="J3519" s="131"/>
      <c r="K3519" s="60"/>
      <c r="L3519" s="49"/>
      <c r="P3519" s="3"/>
      <c r="Q3519" s="3"/>
      <c r="R3519" s="3"/>
      <c r="S3519" s="3"/>
      <c r="T3519" s="3"/>
      <c r="U3519" s="3"/>
      <c r="V3519" s="3"/>
      <c r="W3519" s="3"/>
      <c r="X3519" s="3"/>
      <c r="Y3519" s="4"/>
      <c r="Z3519"/>
      <c r="AA3519"/>
    </row>
    <row r="3520" spans="1:27" s="37" customFormat="1" x14ac:dyDescent="0.15">
      <c r="A3520" s="166"/>
      <c r="B3520" s="82"/>
      <c r="C3520" s="70"/>
      <c r="D3520" s="70"/>
      <c r="E3520" s="70"/>
      <c r="F3520" s="70"/>
      <c r="G3520" s="70"/>
      <c r="H3520" s="85"/>
      <c r="I3520" s="85"/>
      <c r="J3520" s="131"/>
      <c r="K3520" s="60"/>
      <c r="L3520" s="49"/>
      <c r="P3520" s="3"/>
      <c r="Q3520" s="3"/>
      <c r="R3520" s="3"/>
      <c r="S3520" s="3"/>
      <c r="T3520" s="3"/>
      <c r="U3520" s="3"/>
      <c r="V3520" s="3"/>
      <c r="W3520" s="3"/>
      <c r="X3520" s="3"/>
      <c r="Y3520" s="4"/>
      <c r="Z3520"/>
      <c r="AA3520"/>
    </row>
    <row r="3521" spans="1:27" s="37" customFormat="1" x14ac:dyDescent="0.15">
      <c r="A3521" s="166"/>
      <c r="B3521" s="82"/>
      <c r="C3521" s="70"/>
      <c r="D3521" s="70"/>
      <c r="E3521" s="70"/>
      <c r="F3521" s="70"/>
      <c r="G3521" s="70"/>
      <c r="H3521" s="85"/>
      <c r="I3521" s="85"/>
      <c r="J3521" s="131"/>
      <c r="K3521" s="60"/>
      <c r="L3521" s="49"/>
      <c r="P3521" s="3"/>
      <c r="Q3521" s="3"/>
      <c r="R3521" s="3"/>
      <c r="S3521" s="3"/>
      <c r="T3521" s="3"/>
      <c r="U3521" s="3"/>
      <c r="V3521" s="3"/>
      <c r="W3521" s="3"/>
      <c r="X3521" s="3"/>
      <c r="Y3521" s="4"/>
      <c r="Z3521"/>
      <c r="AA3521"/>
    </row>
    <row r="3522" spans="1:27" s="37" customFormat="1" x14ac:dyDescent="0.15">
      <c r="A3522" s="166"/>
      <c r="B3522" s="82"/>
      <c r="C3522" s="70"/>
      <c r="D3522" s="70"/>
      <c r="E3522" s="70"/>
      <c r="F3522" s="70"/>
      <c r="G3522" s="70"/>
      <c r="H3522" s="85"/>
      <c r="I3522" s="85"/>
      <c r="J3522" s="131"/>
      <c r="K3522" s="60"/>
      <c r="L3522" s="49"/>
      <c r="P3522" s="3"/>
      <c r="Q3522" s="3"/>
      <c r="R3522" s="3"/>
      <c r="S3522" s="3"/>
      <c r="T3522" s="3"/>
      <c r="U3522" s="3"/>
      <c r="V3522" s="3"/>
      <c r="W3522" s="3"/>
      <c r="X3522" s="3"/>
      <c r="Y3522" s="4"/>
      <c r="Z3522"/>
      <c r="AA3522"/>
    </row>
    <row r="3523" spans="1:27" s="37" customFormat="1" x14ac:dyDescent="0.15">
      <c r="A3523" s="166"/>
      <c r="B3523" s="93"/>
      <c r="C3523" s="70"/>
      <c r="D3523" s="70"/>
      <c r="E3523" s="70"/>
      <c r="F3523" s="70"/>
      <c r="G3523" s="70"/>
      <c r="H3523" s="85"/>
      <c r="I3523" s="85"/>
      <c r="J3523" s="131"/>
      <c r="K3523" s="60"/>
      <c r="L3523" s="49"/>
      <c r="P3523" s="3"/>
      <c r="Q3523" s="3"/>
      <c r="R3523" s="3"/>
      <c r="S3523" s="3"/>
      <c r="T3523" s="3"/>
      <c r="U3523" s="3"/>
      <c r="V3523" s="3"/>
      <c r="W3523" s="3"/>
      <c r="X3523" s="3"/>
      <c r="Y3523" s="4"/>
      <c r="Z3523"/>
      <c r="AA3523"/>
    </row>
    <row r="3524" spans="1:27" s="37" customFormat="1" x14ac:dyDescent="0.15">
      <c r="A3524" s="166"/>
      <c r="B3524" s="93"/>
      <c r="C3524" s="70"/>
      <c r="D3524" s="70"/>
      <c r="E3524" s="70"/>
      <c r="F3524" s="70"/>
      <c r="G3524" s="70"/>
      <c r="H3524" s="85"/>
      <c r="I3524" s="85"/>
      <c r="J3524" s="131"/>
      <c r="K3524" s="60"/>
      <c r="L3524" s="49"/>
      <c r="P3524" s="3"/>
      <c r="Q3524" s="3"/>
      <c r="R3524" s="3"/>
      <c r="S3524" s="3"/>
      <c r="T3524" s="3"/>
      <c r="U3524" s="3"/>
      <c r="V3524" s="3"/>
      <c r="W3524" s="3"/>
      <c r="X3524" s="3"/>
      <c r="Y3524" s="4"/>
      <c r="Z3524"/>
      <c r="AA3524"/>
    </row>
    <row r="3525" spans="1:27" s="37" customFormat="1" x14ac:dyDescent="0.15">
      <c r="A3525" s="166"/>
      <c r="B3525" s="82"/>
      <c r="C3525" s="70"/>
      <c r="D3525" s="70"/>
      <c r="E3525" s="70"/>
      <c r="F3525" s="70"/>
      <c r="G3525" s="70"/>
      <c r="H3525" s="85"/>
      <c r="I3525" s="85"/>
      <c r="J3525" s="131"/>
      <c r="K3525" s="60"/>
      <c r="L3525" s="49"/>
      <c r="P3525" s="3"/>
      <c r="Q3525" s="3"/>
      <c r="R3525" s="3"/>
      <c r="S3525" s="3"/>
      <c r="T3525" s="3"/>
      <c r="U3525" s="3"/>
      <c r="V3525" s="3"/>
      <c r="W3525" s="3"/>
      <c r="X3525" s="3"/>
      <c r="Y3525" s="4"/>
      <c r="Z3525"/>
      <c r="AA3525"/>
    </row>
    <row r="3526" spans="1:27" s="37" customFormat="1" ht="16" x14ac:dyDescent="0.2">
      <c r="A3526" s="166"/>
      <c r="B3526" s="82"/>
      <c r="C3526" s="70"/>
      <c r="D3526" s="70"/>
      <c r="E3526" s="70"/>
      <c r="F3526" s="70"/>
      <c r="G3526" s="70"/>
      <c r="H3526" s="85"/>
      <c r="I3526" s="85"/>
      <c r="J3526" s="131"/>
      <c r="K3526" s="60"/>
      <c r="L3526" s="49"/>
      <c r="M3526" s="48"/>
      <c r="P3526" s="3"/>
      <c r="Q3526" s="3"/>
      <c r="R3526" s="3"/>
      <c r="S3526" s="3"/>
      <c r="T3526" s="3"/>
      <c r="U3526" s="3"/>
      <c r="V3526" s="3"/>
      <c r="W3526" s="3"/>
      <c r="X3526" s="3"/>
      <c r="Y3526" s="4"/>
      <c r="Z3526"/>
      <c r="AA3526"/>
    </row>
    <row r="3527" spans="1:27" s="37" customFormat="1" x14ac:dyDescent="0.15">
      <c r="A3527" s="166"/>
      <c r="B3527" s="82"/>
      <c r="C3527" s="70"/>
      <c r="D3527" s="70"/>
      <c r="E3527" s="70"/>
      <c r="F3527" s="70"/>
      <c r="G3527" s="70"/>
      <c r="H3527" s="85"/>
      <c r="I3527" s="85"/>
      <c r="J3527" s="131"/>
      <c r="K3527" s="60"/>
      <c r="L3527" s="49"/>
      <c r="P3527" s="3"/>
      <c r="Q3527" s="3"/>
      <c r="R3527" s="3"/>
      <c r="S3527" s="3"/>
      <c r="T3527" s="3"/>
      <c r="U3527" s="3"/>
      <c r="V3527" s="3"/>
      <c r="W3527" s="3"/>
      <c r="X3527" s="3"/>
      <c r="Y3527" s="4"/>
      <c r="Z3527"/>
      <c r="AA3527"/>
    </row>
    <row r="3528" spans="1:27" s="37" customFormat="1" x14ac:dyDescent="0.15">
      <c r="A3528" s="166"/>
      <c r="B3528" s="82"/>
      <c r="C3528" s="70"/>
      <c r="D3528" s="70"/>
      <c r="E3528" s="70"/>
      <c r="F3528" s="70"/>
      <c r="G3528" s="70"/>
      <c r="H3528" s="85"/>
      <c r="I3528" s="85"/>
      <c r="J3528" s="131"/>
      <c r="K3528" s="60"/>
      <c r="L3528" s="49"/>
      <c r="P3528" s="3"/>
      <c r="Q3528" s="3"/>
      <c r="R3528" s="3"/>
      <c r="S3528" s="3"/>
      <c r="T3528" s="3"/>
      <c r="U3528" s="3"/>
      <c r="V3528" s="3"/>
      <c r="W3528" s="3"/>
      <c r="X3528" s="3"/>
      <c r="Y3528" s="4"/>
      <c r="Z3528"/>
      <c r="AA3528"/>
    </row>
    <row r="3529" spans="1:27" s="37" customFormat="1" x14ac:dyDescent="0.15">
      <c r="A3529" s="166"/>
      <c r="B3529" s="82"/>
      <c r="C3529" s="70"/>
      <c r="D3529" s="70"/>
      <c r="E3529" s="70"/>
      <c r="F3529" s="70"/>
      <c r="G3529" s="70"/>
      <c r="H3529" s="85"/>
      <c r="I3529" s="85"/>
      <c r="J3529" s="131"/>
      <c r="K3529" s="60"/>
      <c r="L3529" s="49"/>
      <c r="P3529" s="3"/>
      <c r="Q3529" s="3"/>
      <c r="R3529" s="3"/>
      <c r="S3529" s="3"/>
      <c r="T3529" s="3"/>
      <c r="U3529" s="3"/>
      <c r="V3529" s="3"/>
      <c r="W3529" s="3"/>
      <c r="X3529" s="3"/>
      <c r="Y3529" s="4"/>
      <c r="Z3529"/>
      <c r="AA3529"/>
    </row>
    <row r="3530" spans="1:27" s="37" customFormat="1" x14ac:dyDescent="0.15">
      <c r="A3530" s="166"/>
      <c r="B3530" s="82"/>
      <c r="C3530" s="70"/>
      <c r="D3530" s="70"/>
      <c r="E3530" s="70"/>
      <c r="F3530" s="70"/>
      <c r="G3530" s="70"/>
      <c r="H3530" s="85"/>
      <c r="I3530" s="85"/>
      <c r="J3530" s="131"/>
      <c r="K3530" s="60"/>
      <c r="L3530" s="49"/>
      <c r="P3530" s="3"/>
      <c r="Q3530" s="3"/>
      <c r="R3530" s="3"/>
      <c r="S3530" s="3"/>
      <c r="T3530" s="3"/>
      <c r="U3530" s="3"/>
      <c r="V3530" s="3"/>
      <c r="W3530" s="3"/>
      <c r="X3530" s="3"/>
      <c r="Y3530" s="4"/>
      <c r="Z3530"/>
      <c r="AA3530"/>
    </row>
    <row r="3531" spans="1:27" s="37" customFormat="1" x14ac:dyDescent="0.15">
      <c r="A3531" s="166"/>
      <c r="B3531" s="82"/>
      <c r="C3531" s="70"/>
      <c r="D3531" s="70"/>
      <c r="E3531" s="70"/>
      <c r="F3531" s="70"/>
      <c r="G3531" s="70"/>
      <c r="H3531" s="85"/>
      <c r="I3531" s="85"/>
      <c r="J3531" s="131"/>
      <c r="K3531" s="60"/>
      <c r="L3531" s="33"/>
      <c r="M3531" s="52"/>
      <c r="P3531" s="3"/>
      <c r="Q3531" s="3"/>
      <c r="R3531" s="3"/>
      <c r="S3531" s="3"/>
      <c r="T3531" s="3"/>
      <c r="U3531" s="3"/>
      <c r="V3531" s="3"/>
      <c r="W3531" s="3"/>
      <c r="X3531" s="3"/>
      <c r="Y3531" s="4"/>
      <c r="Z3531"/>
      <c r="AA3531"/>
    </row>
    <row r="3532" spans="1:27" s="37" customFormat="1" x14ac:dyDescent="0.15">
      <c r="A3532" s="166"/>
      <c r="B3532" s="82"/>
      <c r="C3532" s="70"/>
      <c r="D3532" s="70"/>
      <c r="E3532" s="70"/>
      <c r="F3532" s="70"/>
      <c r="G3532" s="70"/>
      <c r="H3532" s="85"/>
      <c r="I3532" s="85"/>
      <c r="J3532" s="131"/>
      <c r="K3532" s="60"/>
      <c r="L3532" s="33"/>
      <c r="M3532" s="35"/>
      <c r="N3532" s="35"/>
      <c r="P3532" s="3"/>
      <c r="Q3532" s="3"/>
      <c r="R3532" s="3"/>
      <c r="S3532" s="3"/>
      <c r="T3532" s="3"/>
      <c r="U3532" s="3"/>
      <c r="V3532" s="3"/>
      <c r="W3532" s="3"/>
      <c r="X3532" s="3"/>
      <c r="Y3532" s="4"/>
      <c r="Z3532"/>
      <c r="AA3532"/>
    </row>
    <row r="3533" spans="1:27" s="37" customFormat="1" x14ac:dyDescent="0.15">
      <c r="A3533" s="166"/>
      <c r="B3533" s="82"/>
      <c r="C3533" s="70"/>
      <c r="D3533" s="70"/>
      <c r="E3533" s="70"/>
      <c r="F3533" s="70"/>
      <c r="G3533" s="70"/>
      <c r="H3533" s="85"/>
      <c r="I3533" s="85"/>
      <c r="J3533" s="131"/>
      <c r="K3533" s="60"/>
      <c r="L3533" s="49"/>
      <c r="P3533" s="3"/>
      <c r="Q3533" s="3"/>
      <c r="R3533" s="3"/>
      <c r="S3533" s="3"/>
      <c r="T3533" s="3"/>
      <c r="U3533" s="3"/>
      <c r="V3533" s="3"/>
      <c r="W3533" s="3"/>
      <c r="X3533" s="3"/>
      <c r="Y3533" s="4"/>
      <c r="Z3533"/>
      <c r="AA3533"/>
    </row>
    <row r="3534" spans="1:27" s="37" customFormat="1" x14ac:dyDescent="0.15">
      <c r="A3534" s="166"/>
      <c r="B3534" s="82"/>
      <c r="C3534" s="70"/>
      <c r="D3534" s="70"/>
      <c r="E3534" s="70"/>
      <c r="F3534" s="70"/>
      <c r="G3534" s="70"/>
      <c r="H3534" s="85"/>
      <c r="I3534" s="85"/>
      <c r="J3534" s="131"/>
      <c r="K3534" s="60"/>
      <c r="L3534" s="49"/>
      <c r="P3534" s="3"/>
      <c r="Q3534" s="3"/>
      <c r="R3534" s="3"/>
      <c r="S3534" s="3"/>
      <c r="T3534" s="3"/>
      <c r="U3534" s="3"/>
      <c r="V3534" s="3"/>
      <c r="W3534" s="3"/>
      <c r="X3534" s="3"/>
      <c r="Y3534" s="4"/>
      <c r="Z3534"/>
      <c r="AA3534"/>
    </row>
    <row r="3535" spans="1:27" s="37" customFormat="1" x14ac:dyDescent="0.15">
      <c r="A3535" s="166"/>
      <c r="B3535" s="82"/>
      <c r="C3535" s="70"/>
      <c r="D3535" s="70"/>
      <c r="E3535" s="70"/>
      <c r="F3535" s="70"/>
      <c r="G3535" s="70"/>
      <c r="H3535" s="85"/>
      <c r="I3535" s="85"/>
      <c r="J3535" s="131"/>
      <c r="K3535" s="66"/>
      <c r="L3535" s="49"/>
      <c r="P3535" s="3"/>
      <c r="Q3535" s="3"/>
      <c r="R3535" s="3"/>
      <c r="S3535" s="3"/>
      <c r="T3535" s="3"/>
      <c r="U3535" s="3"/>
      <c r="V3535" s="3"/>
      <c r="W3535" s="3"/>
      <c r="X3535" s="3"/>
      <c r="Y3535" s="4"/>
      <c r="Z3535"/>
      <c r="AA3535"/>
    </row>
    <row r="3536" spans="1:27" s="37" customFormat="1" x14ac:dyDescent="0.15">
      <c r="A3536" s="166"/>
      <c r="B3536" s="82"/>
      <c r="C3536" s="70"/>
      <c r="D3536" s="70"/>
      <c r="E3536" s="70"/>
      <c r="F3536" s="70"/>
      <c r="G3536" s="70"/>
      <c r="H3536" s="85"/>
      <c r="I3536" s="85"/>
      <c r="J3536" s="131"/>
      <c r="K3536" s="60"/>
      <c r="L3536" s="49"/>
      <c r="P3536" s="3"/>
      <c r="Q3536" s="3"/>
      <c r="R3536" s="3"/>
      <c r="S3536" s="3"/>
      <c r="T3536" s="3"/>
      <c r="U3536" s="3"/>
      <c r="V3536" s="3"/>
      <c r="W3536" s="3"/>
      <c r="X3536" s="3"/>
      <c r="Y3536" s="4"/>
      <c r="Z3536"/>
      <c r="AA3536"/>
    </row>
    <row r="3537" spans="1:27" s="37" customFormat="1" x14ac:dyDescent="0.15">
      <c r="A3537" s="166"/>
      <c r="B3537" s="82"/>
      <c r="C3537" s="70"/>
      <c r="D3537" s="70"/>
      <c r="E3537" s="70"/>
      <c r="F3537" s="70"/>
      <c r="G3537" s="70"/>
      <c r="H3537" s="85"/>
      <c r="I3537" s="85"/>
      <c r="J3537" s="131"/>
      <c r="K3537" s="60"/>
      <c r="L3537" s="49"/>
      <c r="P3537" s="3"/>
      <c r="Q3537" s="3"/>
      <c r="R3537" s="3"/>
      <c r="S3537" s="3"/>
      <c r="T3537" s="3"/>
      <c r="U3537" s="3"/>
      <c r="V3537" s="3"/>
      <c r="W3537" s="3"/>
      <c r="X3537" s="3"/>
      <c r="Y3537" s="4"/>
      <c r="Z3537"/>
      <c r="AA3537"/>
    </row>
    <row r="3538" spans="1:27" s="37" customFormat="1" x14ac:dyDescent="0.15">
      <c r="A3538" s="166"/>
      <c r="B3538" s="82"/>
      <c r="C3538" s="70"/>
      <c r="D3538" s="70"/>
      <c r="E3538" s="70"/>
      <c r="F3538" s="70"/>
      <c r="G3538" s="70"/>
      <c r="H3538" s="85"/>
      <c r="I3538" s="85"/>
      <c r="J3538" s="131"/>
      <c r="K3538" s="60"/>
      <c r="L3538" s="33"/>
      <c r="P3538" s="3"/>
      <c r="Q3538" s="3"/>
      <c r="R3538" s="3"/>
      <c r="S3538" s="3"/>
      <c r="T3538" s="3"/>
      <c r="U3538" s="3"/>
      <c r="V3538" s="3"/>
      <c r="W3538" s="3"/>
      <c r="X3538" s="3"/>
      <c r="Y3538" s="4"/>
      <c r="Z3538"/>
      <c r="AA3538"/>
    </row>
    <row r="3539" spans="1:27" s="37" customFormat="1" x14ac:dyDescent="0.15">
      <c r="A3539" s="166"/>
      <c r="B3539" s="82"/>
      <c r="C3539" s="70"/>
      <c r="D3539" s="70"/>
      <c r="E3539" s="70"/>
      <c r="F3539" s="70"/>
      <c r="G3539" s="70"/>
      <c r="H3539" s="85"/>
      <c r="I3539" s="85"/>
      <c r="J3539" s="131"/>
      <c r="K3539" s="60"/>
      <c r="L3539" s="49"/>
      <c r="P3539" s="3"/>
      <c r="Q3539" s="3"/>
      <c r="R3539" s="3"/>
      <c r="S3539" s="3"/>
      <c r="T3539" s="3"/>
      <c r="U3539" s="3"/>
      <c r="V3539" s="3"/>
      <c r="W3539" s="3"/>
      <c r="X3539" s="3"/>
      <c r="Y3539" s="4"/>
      <c r="Z3539"/>
      <c r="AA3539"/>
    </row>
    <row r="3540" spans="1:27" s="37" customFormat="1" x14ac:dyDescent="0.15">
      <c r="A3540" s="166"/>
      <c r="B3540" s="82"/>
      <c r="C3540" s="70"/>
      <c r="D3540" s="70"/>
      <c r="E3540" s="70"/>
      <c r="F3540" s="70"/>
      <c r="G3540" s="70"/>
      <c r="H3540" s="85"/>
      <c r="I3540" s="85"/>
      <c r="J3540" s="131"/>
      <c r="K3540" s="60"/>
      <c r="L3540" s="49"/>
      <c r="P3540" s="3"/>
      <c r="Q3540" s="3"/>
      <c r="R3540" s="3"/>
      <c r="S3540" s="3"/>
      <c r="T3540" s="3"/>
      <c r="U3540" s="3"/>
      <c r="V3540" s="3"/>
      <c r="W3540" s="3"/>
      <c r="X3540" s="3"/>
      <c r="Y3540" s="4"/>
      <c r="Z3540"/>
      <c r="AA3540"/>
    </row>
    <row r="3541" spans="1:27" s="37" customFormat="1" x14ac:dyDescent="0.15">
      <c r="A3541" s="166"/>
      <c r="B3541" s="82"/>
      <c r="C3541" s="70"/>
      <c r="D3541" s="70"/>
      <c r="E3541" s="70"/>
      <c r="F3541" s="70"/>
      <c r="G3541" s="70"/>
      <c r="H3541" s="85"/>
      <c r="I3541" s="85"/>
      <c r="J3541" s="131"/>
      <c r="K3541" s="60"/>
      <c r="L3541" s="49"/>
      <c r="P3541" s="3"/>
      <c r="Q3541" s="3"/>
      <c r="R3541" s="3"/>
      <c r="S3541" s="3"/>
      <c r="T3541" s="3"/>
      <c r="U3541" s="3"/>
      <c r="V3541" s="3"/>
      <c r="W3541" s="3"/>
      <c r="X3541" s="3"/>
      <c r="Y3541" s="4"/>
      <c r="Z3541"/>
      <c r="AA3541"/>
    </row>
    <row r="3542" spans="1:27" s="37" customFormat="1" x14ac:dyDescent="0.15">
      <c r="A3542" s="166"/>
      <c r="B3542" s="82"/>
      <c r="C3542" s="73"/>
      <c r="D3542" s="73"/>
      <c r="E3542" s="70"/>
      <c r="F3542" s="73"/>
      <c r="G3542" s="73"/>
      <c r="H3542" s="85"/>
      <c r="I3542" s="95"/>
      <c r="J3542" s="131"/>
      <c r="K3542" s="60"/>
      <c r="L3542" s="33"/>
      <c r="M3542" s="35"/>
      <c r="N3542" s="35"/>
      <c r="P3542" s="3"/>
      <c r="Q3542" s="3"/>
      <c r="R3542" s="3"/>
      <c r="S3542" s="3"/>
      <c r="T3542" s="3"/>
      <c r="U3542" s="3"/>
      <c r="V3542" s="3"/>
      <c r="W3542" s="3"/>
      <c r="X3542" s="3"/>
      <c r="Y3542" s="4"/>
      <c r="Z3542"/>
      <c r="AA3542"/>
    </row>
    <row r="3543" spans="1:27" s="37" customFormat="1" x14ac:dyDescent="0.15">
      <c r="A3543" s="166"/>
      <c r="B3543" s="82"/>
      <c r="C3543" s="70"/>
      <c r="D3543" s="70"/>
      <c r="E3543" s="70"/>
      <c r="F3543" s="70"/>
      <c r="G3543" s="70"/>
      <c r="H3543" s="85"/>
      <c r="I3543" s="85"/>
      <c r="J3543" s="131"/>
      <c r="K3543" s="60"/>
      <c r="L3543" s="33"/>
      <c r="M3543" s="35"/>
      <c r="P3543" s="3"/>
      <c r="Q3543" s="3"/>
      <c r="R3543" s="3"/>
      <c r="S3543" s="3"/>
      <c r="T3543" s="3"/>
      <c r="U3543" s="3"/>
      <c r="V3543" s="3"/>
      <c r="W3543" s="3"/>
      <c r="X3543" s="3"/>
      <c r="Y3543" s="4"/>
      <c r="Z3543"/>
      <c r="AA3543"/>
    </row>
    <row r="3544" spans="1:27" s="37" customFormat="1" x14ac:dyDescent="0.15">
      <c r="A3544" s="166"/>
      <c r="B3544" s="82"/>
      <c r="C3544" s="70"/>
      <c r="D3544" s="70"/>
      <c r="E3544" s="70"/>
      <c r="F3544" s="70"/>
      <c r="G3544" s="70"/>
      <c r="H3544" s="85"/>
      <c r="I3544" s="85"/>
      <c r="J3544" s="131"/>
      <c r="K3544" s="60"/>
      <c r="L3544" s="33"/>
      <c r="M3544" s="35"/>
      <c r="P3544" s="3"/>
      <c r="Q3544" s="3"/>
      <c r="R3544" s="3"/>
      <c r="S3544" s="3"/>
      <c r="T3544" s="3"/>
      <c r="U3544" s="3"/>
      <c r="V3544" s="3"/>
      <c r="W3544" s="3"/>
      <c r="X3544" s="3"/>
      <c r="Y3544" s="4"/>
      <c r="Z3544"/>
      <c r="AA3544"/>
    </row>
    <row r="3545" spans="1:27" s="37" customFormat="1" x14ac:dyDescent="0.15">
      <c r="A3545" s="166"/>
      <c r="B3545" s="82"/>
      <c r="C3545" s="70"/>
      <c r="D3545" s="70"/>
      <c r="E3545" s="70"/>
      <c r="F3545" s="70"/>
      <c r="G3545" s="70"/>
      <c r="H3545" s="85"/>
      <c r="I3545" s="85"/>
      <c r="J3545" s="131"/>
      <c r="K3545" s="60"/>
      <c r="L3545" s="33"/>
      <c r="M3545" s="35"/>
      <c r="P3545" s="3"/>
      <c r="Q3545" s="3"/>
      <c r="R3545" s="3"/>
      <c r="S3545" s="3"/>
      <c r="T3545" s="3"/>
      <c r="U3545" s="3"/>
      <c r="V3545" s="3"/>
      <c r="W3545" s="3"/>
      <c r="X3545" s="3"/>
      <c r="Y3545" s="4"/>
      <c r="Z3545"/>
      <c r="AA3545"/>
    </row>
    <row r="3546" spans="1:27" s="37" customFormat="1" x14ac:dyDescent="0.15">
      <c r="A3546" s="166"/>
      <c r="B3546" s="82"/>
      <c r="C3546" s="70"/>
      <c r="D3546" s="70"/>
      <c r="E3546" s="70"/>
      <c r="F3546" s="70"/>
      <c r="G3546" s="70"/>
      <c r="H3546" s="85"/>
      <c r="I3546" s="85"/>
      <c r="J3546" s="131"/>
      <c r="K3546" s="60"/>
      <c r="L3546" s="49"/>
      <c r="P3546" s="3"/>
      <c r="Q3546" s="3"/>
      <c r="R3546" s="3"/>
      <c r="S3546" s="3"/>
      <c r="T3546" s="3"/>
      <c r="U3546" s="3"/>
      <c r="V3546" s="3"/>
      <c r="W3546" s="3"/>
      <c r="X3546" s="3"/>
      <c r="Y3546" s="4"/>
      <c r="Z3546"/>
      <c r="AA3546"/>
    </row>
    <row r="3547" spans="1:27" s="37" customFormat="1" x14ac:dyDescent="0.15">
      <c r="A3547" s="166"/>
      <c r="B3547" s="82"/>
      <c r="C3547" s="70"/>
      <c r="D3547" s="70"/>
      <c r="E3547" s="70"/>
      <c r="F3547" s="70"/>
      <c r="G3547" s="70"/>
      <c r="H3547" s="85"/>
      <c r="I3547" s="85"/>
      <c r="J3547" s="131"/>
      <c r="K3547" s="60"/>
      <c r="L3547" s="49"/>
      <c r="P3547" s="3"/>
      <c r="Q3547" s="3"/>
      <c r="R3547" s="3"/>
      <c r="S3547" s="3"/>
      <c r="T3547" s="3"/>
      <c r="U3547" s="3"/>
      <c r="V3547" s="3"/>
      <c r="W3547" s="3"/>
      <c r="X3547" s="3"/>
      <c r="Y3547" s="4"/>
      <c r="Z3547"/>
      <c r="AA3547"/>
    </row>
    <row r="3548" spans="1:27" s="37" customFormat="1" x14ac:dyDescent="0.15">
      <c r="A3548" s="166"/>
      <c r="B3548" s="82"/>
      <c r="C3548" s="70"/>
      <c r="D3548" s="70"/>
      <c r="E3548" s="70"/>
      <c r="F3548" s="70"/>
      <c r="G3548" s="70"/>
      <c r="H3548" s="85"/>
      <c r="I3548" s="85"/>
      <c r="J3548" s="131"/>
      <c r="K3548" s="60"/>
      <c r="L3548" s="49"/>
      <c r="P3548" s="3"/>
      <c r="Q3548" s="3"/>
      <c r="R3548" s="3"/>
      <c r="S3548" s="3"/>
      <c r="T3548" s="3"/>
      <c r="U3548" s="3"/>
      <c r="V3548" s="3"/>
      <c r="W3548" s="3"/>
      <c r="X3548" s="3"/>
      <c r="Y3548" s="4"/>
      <c r="Z3548"/>
      <c r="AA3548"/>
    </row>
    <row r="3549" spans="1:27" s="37" customFormat="1" x14ac:dyDescent="0.15">
      <c r="A3549" s="166"/>
      <c r="B3549" s="82"/>
      <c r="C3549" s="70"/>
      <c r="D3549" s="70"/>
      <c r="E3549" s="70"/>
      <c r="F3549" s="70"/>
      <c r="G3549" s="70"/>
      <c r="H3549" s="85"/>
      <c r="I3549" s="85"/>
      <c r="J3549" s="131"/>
      <c r="K3549" s="60"/>
      <c r="L3549" s="33"/>
      <c r="P3549" s="3"/>
      <c r="Q3549" s="3"/>
      <c r="R3549" s="3"/>
      <c r="S3549" s="3"/>
      <c r="T3549" s="3"/>
      <c r="U3549" s="3"/>
      <c r="V3549" s="3"/>
      <c r="W3549" s="3"/>
      <c r="X3549" s="3"/>
      <c r="Y3549" s="4"/>
      <c r="Z3549"/>
      <c r="AA3549"/>
    </row>
    <row r="3550" spans="1:27" s="37" customFormat="1" x14ac:dyDescent="0.15">
      <c r="A3550" s="166"/>
      <c r="B3550" s="82"/>
      <c r="C3550" s="70"/>
      <c r="D3550" s="70"/>
      <c r="E3550" s="70"/>
      <c r="F3550" s="70"/>
      <c r="G3550" s="70"/>
      <c r="H3550" s="85"/>
      <c r="I3550" s="85"/>
      <c r="J3550" s="131"/>
      <c r="K3550" s="60"/>
      <c r="L3550" s="49"/>
      <c r="P3550" s="3"/>
      <c r="Q3550" s="3"/>
      <c r="R3550" s="3"/>
      <c r="S3550" s="3"/>
      <c r="T3550" s="3"/>
      <c r="U3550" s="3"/>
      <c r="V3550" s="3"/>
      <c r="W3550" s="3"/>
      <c r="X3550" s="3"/>
      <c r="Y3550" s="4"/>
      <c r="Z3550"/>
      <c r="AA3550"/>
    </row>
    <row r="3551" spans="1:27" s="37" customFormat="1" x14ac:dyDescent="0.15">
      <c r="A3551" s="166"/>
      <c r="B3551" s="82"/>
      <c r="C3551" s="70"/>
      <c r="D3551" s="70"/>
      <c r="E3551" s="70"/>
      <c r="F3551" s="70"/>
      <c r="G3551" s="70"/>
      <c r="H3551" s="85"/>
      <c r="I3551" s="85"/>
      <c r="J3551" s="131"/>
      <c r="K3551" s="60"/>
      <c r="L3551" s="49"/>
      <c r="P3551" s="3"/>
      <c r="Q3551" s="3"/>
      <c r="R3551" s="3"/>
      <c r="S3551" s="3"/>
      <c r="T3551" s="3"/>
      <c r="U3551" s="3"/>
      <c r="V3551" s="3"/>
      <c r="W3551" s="3"/>
      <c r="X3551" s="3"/>
      <c r="Y3551" s="4"/>
      <c r="Z3551"/>
      <c r="AA3551"/>
    </row>
    <row r="3552" spans="1:27" s="37" customFormat="1" x14ac:dyDescent="0.15">
      <c r="A3552" s="170"/>
      <c r="B3552" s="82"/>
      <c r="C3552" s="70"/>
      <c r="D3552" s="70"/>
      <c r="E3552" s="70"/>
      <c r="F3552" s="70"/>
      <c r="G3552" s="70"/>
      <c r="H3552" s="85"/>
      <c r="I3552" s="85"/>
      <c r="J3552" s="131"/>
      <c r="K3552" s="60"/>
      <c r="L3552" s="49"/>
      <c r="P3552" s="3"/>
      <c r="Q3552" s="3"/>
      <c r="R3552" s="3"/>
      <c r="S3552" s="3"/>
      <c r="T3552" s="3"/>
      <c r="U3552" s="3"/>
      <c r="V3552" s="3"/>
      <c r="W3552" s="3"/>
      <c r="X3552" s="3"/>
      <c r="Y3552" s="4"/>
      <c r="Z3552"/>
      <c r="AA3552"/>
    </row>
    <row r="3553" spans="1:27" s="37" customFormat="1" x14ac:dyDescent="0.15">
      <c r="A3553" s="166"/>
      <c r="B3553" s="82"/>
      <c r="C3553" s="70"/>
      <c r="D3553" s="70"/>
      <c r="E3553" s="70"/>
      <c r="F3553" s="70"/>
      <c r="G3553" s="70"/>
      <c r="H3553" s="85"/>
      <c r="I3553" s="85"/>
      <c r="J3553" s="131"/>
      <c r="K3553" s="60"/>
      <c r="L3553" s="49"/>
      <c r="P3553" s="3"/>
      <c r="Q3553" s="3"/>
      <c r="R3553" s="3"/>
      <c r="S3553" s="3"/>
      <c r="T3553" s="3"/>
      <c r="U3553" s="3"/>
      <c r="V3553" s="3"/>
      <c r="W3553" s="3"/>
      <c r="X3553" s="3"/>
      <c r="Y3553" s="4"/>
      <c r="Z3553"/>
      <c r="AA3553"/>
    </row>
    <row r="3554" spans="1:27" s="37" customFormat="1" x14ac:dyDescent="0.15">
      <c r="A3554" s="166"/>
      <c r="B3554" s="82"/>
      <c r="C3554" s="73"/>
      <c r="D3554" s="73"/>
      <c r="E3554" s="70"/>
      <c r="F3554" s="73"/>
      <c r="G3554" s="73"/>
      <c r="H3554" s="85"/>
      <c r="I3554" s="95"/>
      <c r="J3554" s="131"/>
      <c r="K3554" s="60"/>
      <c r="L3554" s="33"/>
      <c r="M3554" s="35"/>
      <c r="P3554" s="3"/>
      <c r="Q3554" s="3"/>
      <c r="R3554" s="3"/>
      <c r="S3554" s="3"/>
      <c r="T3554" s="3"/>
      <c r="U3554" s="3"/>
      <c r="V3554" s="3"/>
      <c r="W3554" s="3"/>
      <c r="X3554" s="3"/>
      <c r="Y3554" s="4"/>
      <c r="Z3554"/>
      <c r="AA3554"/>
    </row>
    <row r="3555" spans="1:27" s="37" customFormat="1" x14ac:dyDescent="0.15">
      <c r="A3555" s="166"/>
      <c r="B3555" s="82"/>
      <c r="C3555" s="70"/>
      <c r="D3555" s="70"/>
      <c r="E3555" s="70"/>
      <c r="F3555" s="70"/>
      <c r="G3555" s="70"/>
      <c r="H3555" s="85"/>
      <c r="I3555" s="85"/>
      <c r="J3555" s="131"/>
      <c r="K3555" s="60"/>
      <c r="L3555" s="49"/>
      <c r="P3555" s="3"/>
      <c r="Q3555" s="3"/>
      <c r="R3555" s="3"/>
      <c r="S3555" s="3"/>
      <c r="T3555" s="3"/>
      <c r="U3555" s="3"/>
      <c r="V3555" s="3"/>
      <c r="W3555" s="3"/>
      <c r="X3555" s="3"/>
      <c r="Y3555" s="4"/>
      <c r="Z3555"/>
      <c r="AA3555"/>
    </row>
    <row r="3556" spans="1:27" s="37" customFormat="1" x14ac:dyDescent="0.15">
      <c r="A3556" s="166"/>
      <c r="B3556" s="82"/>
      <c r="C3556" s="70"/>
      <c r="D3556" s="70"/>
      <c r="E3556" s="70"/>
      <c r="F3556" s="70"/>
      <c r="G3556" s="70"/>
      <c r="H3556" s="85"/>
      <c r="I3556" s="85"/>
      <c r="J3556" s="131"/>
      <c r="K3556" s="60"/>
      <c r="L3556" s="33"/>
      <c r="P3556" s="3"/>
      <c r="Q3556" s="3"/>
      <c r="R3556" s="3"/>
      <c r="S3556" s="3"/>
      <c r="T3556" s="3"/>
      <c r="U3556" s="3"/>
      <c r="V3556" s="3"/>
      <c r="W3556" s="3"/>
      <c r="X3556" s="3"/>
      <c r="Y3556" s="4"/>
      <c r="Z3556"/>
      <c r="AA3556"/>
    </row>
    <row r="3557" spans="1:27" s="37" customFormat="1" x14ac:dyDescent="0.15">
      <c r="A3557" s="166"/>
      <c r="B3557" s="82"/>
      <c r="C3557" s="70"/>
      <c r="D3557" s="70"/>
      <c r="E3557" s="70"/>
      <c r="F3557" s="70"/>
      <c r="G3557" s="70"/>
      <c r="H3557" s="85"/>
      <c r="I3557" s="85"/>
      <c r="J3557" s="131"/>
      <c r="K3557" s="60"/>
      <c r="L3557" s="49"/>
      <c r="P3557" s="3"/>
      <c r="Q3557" s="3"/>
      <c r="R3557" s="3"/>
      <c r="S3557" s="3"/>
      <c r="T3557" s="3"/>
      <c r="U3557" s="3"/>
      <c r="V3557" s="3"/>
      <c r="W3557" s="3"/>
      <c r="X3557" s="3"/>
      <c r="Y3557" s="4"/>
      <c r="Z3557"/>
      <c r="AA3557"/>
    </row>
    <row r="3558" spans="1:27" s="37" customFormat="1" x14ac:dyDescent="0.15">
      <c r="A3558" s="166"/>
      <c r="B3558" s="82"/>
      <c r="C3558" s="70"/>
      <c r="D3558" s="70"/>
      <c r="E3558" s="70"/>
      <c r="F3558" s="70"/>
      <c r="G3558" s="70"/>
      <c r="H3558" s="85"/>
      <c r="I3558" s="85"/>
      <c r="J3558" s="131"/>
      <c r="K3558" s="60"/>
      <c r="L3558" s="49"/>
      <c r="P3558" s="3"/>
      <c r="Q3558" s="3"/>
      <c r="R3558" s="3"/>
      <c r="S3558" s="3"/>
      <c r="T3558" s="3"/>
      <c r="U3558" s="3"/>
      <c r="V3558" s="3"/>
      <c r="W3558" s="3"/>
      <c r="X3558" s="3"/>
      <c r="Y3558" s="4"/>
      <c r="Z3558"/>
      <c r="AA3558"/>
    </row>
    <row r="3559" spans="1:27" s="37" customFormat="1" x14ac:dyDescent="0.15">
      <c r="A3559" s="166"/>
      <c r="B3559" s="82"/>
      <c r="C3559" s="70"/>
      <c r="D3559" s="70"/>
      <c r="E3559" s="70"/>
      <c r="F3559" s="70"/>
      <c r="G3559" s="70"/>
      <c r="H3559" s="85"/>
      <c r="I3559" s="85"/>
      <c r="J3559" s="131"/>
      <c r="K3559" s="60"/>
      <c r="L3559" s="33"/>
      <c r="M3559" s="35"/>
      <c r="P3559" s="3"/>
      <c r="Q3559" s="3"/>
      <c r="R3559" s="3"/>
      <c r="S3559" s="3"/>
      <c r="T3559" s="3"/>
      <c r="U3559" s="3"/>
      <c r="V3559" s="3"/>
      <c r="W3559" s="3"/>
      <c r="X3559" s="3"/>
      <c r="Y3559" s="4"/>
      <c r="Z3559"/>
      <c r="AA3559"/>
    </row>
    <row r="3560" spans="1:27" s="37" customFormat="1" x14ac:dyDescent="0.15">
      <c r="A3560" s="166"/>
      <c r="B3560" s="82"/>
      <c r="C3560" s="70"/>
      <c r="D3560" s="70"/>
      <c r="E3560" s="70"/>
      <c r="F3560" s="70"/>
      <c r="G3560" s="70"/>
      <c r="H3560" s="85"/>
      <c r="I3560" s="85"/>
      <c r="J3560" s="131"/>
      <c r="K3560" s="60"/>
      <c r="L3560" s="49"/>
      <c r="P3560" s="3"/>
      <c r="Q3560" s="3"/>
      <c r="R3560" s="3"/>
      <c r="S3560" s="3"/>
      <c r="T3560" s="3"/>
      <c r="U3560" s="3"/>
      <c r="V3560" s="3"/>
      <c r="W3560" s="3"/>
      <c r="X3560" s="3"/>
      <c r="Y3560" s="4"/>
      <c r="Z3560"/>
      <c r="AA3560"/>
    </row>
    <row r="3561" spans="1:27" s="37" customFormat="1" x14ac:dyDescent="0.15">
      <c r="A3561" s="166"/>
      <c r="B3561" s="82"/>
      <c r="C3561" s="70"/>
      <c r="D3561" s="70"/>
      <c r="E3561" s="70"/>
      <c r="F3561" s="70"/>
      <c r="G3561" s="70"/>
      <c r="H3561" s="85"/>
      <c r="I3561" s="85"/>
      <c r="J3561" s="131"/>
      <c r="K3561" s="60"/>
      <c r="L3561" s="49"/>
      <c r="P3561" s="3"/>
      <c r="Q3561" s="3"/>
      <c r="R3561" s="3"/>
      <c r="S3561" s="3"/>
      <c r="T3561" s="3"/>
      <c r="U3561" s="3"/>
      <c r="V3561" s="3"/>
      <c r="W3561" s="3"/>
      <c r="X3561" s="3"/>
      <c r="Y3561" s="4"/>
      <c r="Z3561"/>
      <c r="AA3561"/>
    </row>
    <row r="3562" spans="1:27" s="37" customFormat="1" x14ac:dyDescent="0.15">
      <c r="A3562" s="166"/>
      <c r="B3562" s="82"/>
      <c r="C3562" s="70"/>
      <c r="D3562" s="70"/>
      <c r="E3562" s="70"/>
      <c r="F3562" s="70"/>
      <c r="G3562" s="70"/>
      <c r="H3562" s="85"/>
      <c r="I3562" s="85"/>
      <c r="J3562" s="131"/>
      <c r="K3562" s="60"/>
      <c r="L3562" s="49"/>
      <c r="P3562" s="3"/>
      <c r="Q3562" s="3"/>
      <c r="R3562" s="3"/>
      <c r="S3562" s="3"/>
      <c r="T3562" s="3"/>
      <c r="U3562" s="3"/>
      <c r="V3562" s="3"/>
      <c r="W3562" s="3"/>
      <c r="X3562" s="3"/>
      <c r="Y3562" s="4"/>
      <c r="Z3562"/>
      <c r="AA3562"/>
    </row>
    <row r="3563" spans="1:27" s="37" customFormat="1" x14ac:dyDescent="0.15">
      <c r="A3563" s="166"/>
      <c r="B3563" s="82"/>
      <c r="C3563" s="70"/>
      <c r="D3563" s="70"/>
      <c r="E3563" s="70"/>
      <c r="F3563" s="70"/>
      <c r="G3563" s="70"/>
      <c r="H3563" s="85"/>
      <c r="I3563" s="85"/>
      <c r="J3563" s="131"/>
      <c r="K3563" s="60"/>
      <c r="L3563" s="49"/>
      <c r="P3563" s="3"/>
      <c r="Q3563" s="3"/>
      <c r="R3563" s="3"/>
      <c r="S3563" s="3"/>
      <c r="T3563" s="3"/>
      <c r="U3563" s="3"/>
      <c r="V3563" s="3"/>
      <c r="W3563" s="3"/>
      <c r="X3563" s="3"/>
      <c r="Y3563" s="4"/>
      <c r="Z3563"/>
      <c r="AA3563"/>
    </row>
    <row r="3564" spans="1:27" s="37" customFormat="1" x14ac:dyDescent="0.15">
      <c r="A3564" s="166"/>
      <c r="B3564" s="93"/>
      <c r="C3564" s="70"/>
      <c r="D3564" s="70"/>
      <c r="E3564" s="70"/>
      <c r="F3564" s="70"/>
      <c r="G3564" s="70"/>
      <c r="H3564" s="85"/>
      <c r="I3564" s="85"/>
      <c r="J3564" s="131"/>
      <c r="K3564" s="60"/>
      <c r="L3564" s="33"/>
      <c r="M3564" s="35"/>
      <c r="P3564" s="3"/>
      <c r="Q3564" s="3"/>
      <c r="R3564" s="3"/>
      <c r="S3564" s="3"/>
      <c r="T3564" s="3"/>
      <c r="U3564" s="3"/>
      <c r="V3564" s="3"/>
      <c r="W3564" s="3"/>
      <c r="X3564" s="3"/>
      <c r="Y3564" s="4"/>
      <c r="Z3564"/>
      <c r="AA3564"/>
    </row>
    <row r="3565" spans="1:27" s="37" customFormat="1" x14ac:dyDescent="0.15">
      <c r="A3565" s="166"/>
      <c r="B3565" s="93"/>
      <c r="C3565" s="70"/>
      <c r="D3565" s="70"/>
      <c r="E3565" s="70"/>
      <c r="F3565" s="70"/>
      <c r="G3565" s="70"/>
      <c r="H3565" s="85"/>
      <c r="I3565" s="85"/>
      <c r="J3565" s="131"/>
      <c r="K3565" s="60"/>
      <c r="L3565" s="33"/>
      <c r="M3565" s="35"/>
      <c r="P3565" s="3"/>
      <c r="Q3565" s="3"/>
      <c r="R3565" s="3"/>
      <c r="S3565" s="3"/>
      <c r="T3565" s="3"/>
      <c r="U3565" s="3"/>
      <c r="V3565" s="3"/>
      <c r="W3565" s="3"/>
      <c r="X3565" s="3"/>
      <c r="Y3565" s="4"/>
      <c r="Z3565"/>
      <c r="AA3565"/>
    </row>
    <row r="3566" spans="1:27" s="37" customFormat="1" x14ac:dyDescent="0.15">
      <c r="A3566" s="166"/>
      <c r="B3566" s="82"/>
      <c r="C3566" s="70"/>
      <c r="D3566" s="70"/>
      <c r="E3566" s="70"/>
      <c r="F3566" s="70"/>
      <c r="G3566" s="70"/>
      <c r="H3566" s="85"/>
      <c r="I3566" s="85"/>
      <c r="J3566" s="131"/>
      <c r="K3566" s="60"/>
      <c r="L3566" s="33"/>
      <c r="M3566" s="35"/>
      <c r="P3566" s="3"/>
      <c r="Q3566" s="3"/>
      <c r="R3566" s="3"/>
      <c r="S3566" s="3"/>
      <c r="T3566" s="3"/>
      <c r="U3566" s="3"/>
      <c r="V3566" s="3"/>
      <c r="W3566" s="3"/>
      <c r="X3566" s="3"/>
      <c r="Y3566" s="4"/>
      <c r="Z3566"/>
      <c r="AA3566"/>
    </row>
    <row r="3567" spans="1:27" s="37" customFormat="1" x14ac:dyDescent="0.15">
      <c r="A3567" s="166"/>
      <c r="B3567" s="82"/>
      <c r="C3567" s="70"/>
      <c r="D3567" s="70"/>
      <c r="E3567" s="70"/>
      <c r="F3567" s="70"/>
      <c r="G3567" s="70"/>
      <c r="H3567" s="85"/>
      <c r="I3567" s="85"/>
      <c r="J3567" s="131"/>
      <c r="K3567" s="60"/>
      <c r="L3567" s="33"/>
      <c r="M3567" s="35"/>
      <c r="P3567" s="3"/>
      <c r="Q3567" s="3"/>
      <c r="R3567" s="3"/>
      <c r="S3567" s="3"/>
      <c r="T3567" s="3"/>
      <c r="U3567" s="3"/>
      <c r="V3567" s="3"/>
      <c r="W3567" s="3"/>
      <c r="X3567" s="3"/>
      <c r="Y3567" s="4"/>
      <c r="Z3567"/>
      <c r="AA3567"/>
    </row>
    <row r="3568" spans="1:27" s="37" customFormat="1" x14ac:dyDescent="0.15">
      <c r="A3568" s="166"/>
      <c r="B3568" s="82"/>
      <c r="C3568" s="70"/>
      <c r="D3568" s="70"/>
      <c r="E3568" s="70"/>
      <c r="F3568" s="70"/>
      <c r="G3568" s="70"/>
      <c r="H3568" s="85"/>
      <c r="I3568" s="85"/>
      <c r="J3568" s="131"/>
      <c r="K3568" s="60"/>
      <c r="L3568" s="49"/>
      <c r="P3568" s="3"/>
      <c r="Q3568" s="3"/>
      <c r="R3568" s="3"/>
      <c r="S3568" s="3"/>
      <c r="T3568" s="3"/>
      <c r="U3568" s="3"/>
      <c r="V3568" s="3"/>
      <c r="W3568" s="3"/>
      <c r="X3568" s="3"/>
      <c r="Y3568" s="4"/>
      <c r="Z3568"/>
      <c r="AA3568"/>
    </row>
    <row r="3569" spans="1:27" s="37" customFormat="1" x14ac:dyDescent="0.15">
      <c r="A3569" s="166"/>
      <c r="B3569" s="82"/>
      <c r="C3569" s="70"/>
      <c r="D3569" s="70"/>
      <c r="E3569" s="70"/>
      <c r="F3569" s="70"/>
      <c r="G3569" s="70"/>
      <c r="H3569" s="85"/>
      <c r="I3569" s="85"/>
      <c r="J3569" s="131"/>
      <c r="K3569" s="60"/>
      <c r="L3569" s="49"/>
      <c r="P3569" s="3"/>
      <c r="Q3569" s="3"/>
      <c r="R3569" s="3"/>
      <c r="S3569" s="3"/>
      <c r="T3569" s="3"/>
      <c r="U3569" s="3"/>
      <c r="V3569" s="3"/>
      <c r="W3569" s="3"/>
      <c r="X3569" s="3"/>
      <c r="Y3569" s="4"/>
      <c r="Z3569"/>
      <c r="AA3569"/>
    </row>
    <row r="3570" spans="1:27" s="37" customFormat="1" x14ac:dyDescent="0.15">
      <c r="A3570" s="166"/>
      <c r="B3570" s="93"/>
      <c r="C3570" s="70"/>
      <c r="D3570" s="70"/>
      <c r="E3570" s="70"/>
      <c r="F3570" s="70"/>
      <c r="G3570" s="70"/>
      <c r="H3570" s="85"/>
      <c r="I3570" s="85"/>
      <c r="J3570" s="131"/>
      <c r="K3570" s="60"/>
      <c r="L3570" s="33"/>
      <c r="M3570" s="35"/>
      <c r="P3570" s="3"/>
      <c r="Q3570" s="3"/>
      <c r="R3570" s="3"/>
      <c r="S3570" s="3"/>
      <c r="T3570" s="3"/>
      <c r="U3570" s="3"/>
      <c r="V3570" s="3"/>
      <c r="W3570" s="3"/>
      <c r="X3570" s="3"/>
      <c r="Y3570" s="4"/>
      <c r="Z3570"/>
      <c r="AA3570"/>
    </row>
    <row r="3571" spans="1:27" s="37" customFormat="1" x14ac:dyDescent="0.15">
      <c r="A3571" s="166"/>
      <c r="B3571" s="93"/>
      <c r="C3571" s="73"/>
      <c r="D3571" s="73"/>
      <c r="E3571" s="70"/>
      <c r="F3571" s="73"/>
      <c r="G3571" s="73"/>
      <c r="H3571" s="85"/>
      <c r="I3571" s="95"/>
      <c r="J3571" s="131"/>
      <c r="K3571" s="60"/>
      <c r="L3571" s="33"/>
      <c r="M3571" s="35"/>
      <c r="P3571" s="3"/>
      <c r="Q3571" s="3"/>
      <c r="R3571" s="3"/>
      <c r="S3571" s="3"/>
      <c r="T3571" s="3"/>
      <c r="U3571" s="3"/>
      <c r="V3571" s="3"/>
      <c r="W3571" s="3"/>
      <c r="X3571" s="3"/>
      <c r="Y3571" s="4"/>
      <c r="Z3571"/>
      <c r="AA3571"/>
    </row>
    <row r="3572" spans="1:27" s="37" customFormat="1" x14ac:dyDescent="0.15">
      <c r="A3572" s="166"/>
      <c r="B3572" s="82"/>
      <c r="C3572" s="70"/>
      <c r="D3572" s="70"/>
      <c r="E3572" s="70"/>
      <c r="F3572" s="70"/>
      <c r="G3572" s="70"/>
      <c r="H3572" s="85"/>
      <c r="I3572" s="85"/>
      <c r="J3572" s="131"/>
      <c r="K3572" s="60"/>
      <c r="L3572" s="33"/>
      <c r="M3572" s="35"/>
      <c r="P3572" s="3"/>
      <c r="Q3572" s="3"/>
      <c r="R3572" s="3"/>
      <c r="S3572" s="3"/>
      <c r="T3572" s="3"/>
      <c r="U3572" s="3"/>
      <c r="V3572" s="3"/>
      <c r="W3572" s="3"/>
      <c r="X3572" s="3"/>
      <c r="Y3572" s="4"/>
      <c r="Z3572"/>
      <c r="AA3572"/>
    </row>
    <row r="3573" spans="1:27" s="37" customFormat="1" x14ac:dyDescent="0.15">
      <c r="A3573" s="166"/>
      <c r="B3573" s="93"/>
      <c r="C3573" s="73"/>
      <c r="D3573" s="73"/>
      <c r="E3573" s="70"/>
      <c r="F3573" s="73"/>
      <c r="G3573" s="73"/>
      <c r="H3573" s="85"/>
      <c r="I3573" s="95"/>
      <c r="J3573" s="131"/>
      <c r="K3573" s="60"/>
      <c r="L3573" s="33"/>
      <c r="M3573" s="35"/>
      <c r="P3573" s="3"/>
      <c r="Q3573" s="3"/>
      <c r="R3573" s="3"/>
      <c r="S3573" s="3"/>
      <c r="T3573" s="3"/>
      <c r="U3573" s="3"/>
      <c r="V3573" s="3"/>
      <c r="W3573" s="3"/>
      <c r="X3573" s="3"/>
      <c r="Y3573" s="4"/>
      <c r="Z3573"/>
      <c r="AA3573"/>
    </row>
    <row r="3574" spans="1:27" s="37" customFormat="1" x14ac:dyDescent="0.15">
      <c r="A3574" s="166"/>
      <c r="B3574" s="93"/>
      <c r="C3574" s="70"/>
      <c r="D3574" s="70"/>
      <c r="E3574" s="70"/>
      <c r="F3574" s="70"/>
      <c r="G3574" s="70"/>
      <c r="H3574" s="85"/>
      <c r="I3574" s="85"/>
      <c r="J3574" s="131"/>
      <c r="K3574" s="60"/>
      <c r="L3574" s="33"/>
      <c r="M3574" s="35"/>
      <c r="N3574" s="35"/>
      <c r="P3574" s="3"/>
      <c r="Q3574" s="3"/>
      <c r="R3574" s="3"/>
      <c r="S3574" s="3"/>
      <c r="T3574" s="3"/>
      <c r="U3574" s="3"/>
      <c r="V3574" s="3"/>
      <c r="W3574" s="3"/>
      <c r="X3574" s="3"/>
      <c r="Y3574" s="4"/>
      <c r="Z3574"/>
      <c r="AA3574"/>
    </row>
    <row r="3575" spans="1:27" s="37" customFormat="1" x14ac:dyDescent="0.15">
      <c r="A3575" s="166"/>
      <c r="B3575" s="82"/>
      <c r="C3575" s="70"/>
      <c r="D3575" s="70"/>
      <c r="E3575" s="70"/>
      <c r="F3575" s="70"/>
      <c r="G3575" s="70"/>
      <c r="H3575" s="85"/>
      <c r="I3575" s="85"/>
      <c r="J3575" s="131"/>
      <c r="K3575" s="60"/>
      <c r="L3575" s="49"/>
      <c r="P3575" s="3"/>
      <c r="Q3575" s="3"/>
      <c r="R3575" s="3"/>
      <c r="S3575" s="3"/>
      <c r="T3575" s="3"/>
      <c r="U3575" s="3"/>
      <c r="V3575" s="3"/>
      <c r="W3575" s="3"/>
      <c r="X3575" s="3"/>
      <c r="Y3575" s="4"/>
      <c r="Z3575"/>
      <c r="AA3575"/>
    </row>
    <row r="3576" spans="1:27" s="37" customFormat="1" x14ac:dyDescent="0.15">
      <c r="A3576" s="166"/>
      <c r="B3576" s="82"/>
      <c r="C3576" s="70"/>
      <c r="D3576" s="70"/>
      <c r="E3576" s="70"/>
      <c r="F3576" s="70"/>
      <c r="G3576" s="70"/>
      <c r="H3576" s="85"/>
      <c r="I3576" s="85"/>
      <c r="J3576" s="131"/>
      <c r="K3576" s="60"/>
      <c r="L3576" s="49"/>
      <c r="P3576" s="3"/>
      <c r="Q3576" s="3"/>
      <c r="R3576" s="3"/>
      <c r="S3576" s="3"/>
      <c r="T3576" s="3"/>
      <c r="U3576" s="3"/>
      <c r="V3576" s="3"/>
      <c r="W3576" s="3"/>
      <c r="X3576" s="3"/>
      <c r="Y3576" s="4"/>
      <c r="Z3576"/>
      <c r="AA3576"/>
    </row>
    <row r="3577" spans="1:27" s="37" customFormat="1" x14ac:dyDescent="0.15">
      <c r="A3577" s="166"/>
      <c r="B3577" s="82"/>
      <c r="C3577" s="73"/>
      <c r="D3577" s="73"/>
      <c r="E3577" s="70"/>
      <c r="F3577" s="73"/>
      <c r="G3577" s="73"/>
      <c r="H3577" s="85"/>
      <c r="I3577" s="95"/>
      <c r="J3577" s="131"/>
      <c r="K3577" s="60"/>
      <c r="L3577" s="33"/>
      <c r="M3577" s="35"/>
      <c r="P3577" s="3"/>
      <c r="Q3577" s="3"/>
      <c r="R3577" s="3"/>
      <c r="S3577" s="3"/>
      <c r="T3577" s="3"/>
      <c r="U3577" s="3"/>
      <c r="V3577" s="3"/>
      <c r="W3577" s="3"/>
      <c r="X3577" s="3"/>
      <c r="Y3577" s="4"/>
      <c r="Z3577"/>
      <c r="AA3577"/>
    </row>
    <row r="3578" spans="1:27" s="37" customFormat="1" x14ac:dyDescent="0.15">
      <c r="A3578" s="166"/>
      <c r="B3578" s="82"/>
      <c r="C3578" s="70"/>
      <c r="D3578" s="70"/>
      <c r="E3578" s="70"/>
      <c r="F3578" s="70"/>
      <c r="G3578" s="70"/>
      <c r="H3578" s="85"/>
      <c r="I3578" s="85"/>
      <c r="J3578" s="131"/>
      <c r="K3578" s="60"/>
      <c r="L3578" s="49"/>
      <c r="P3578" s="3"/>
      <c r="Q3578" s="3"/>
      <c r="R3578" s="3"/>
      <c r="S3578" s="3"/>
      <c r="T3578" s="3"/>
      <c r="U3578" s="3"/>
      <c r="V3578" s="3"/>
      <c r="W3578" s="3"/>
      <c r="X3578" s="3"/>
      <c r="Y3578" s="4"/>
      <c r="Z3578"/>
      <c r="AA3578"/>
    </row>
    <row r="3579" spans="1:27" s="37" customFormat="1" ht="16" x14ac:dyDescent="0.2">
      <c r="A3579" s="166"/>
      <c r="B3579" s="82"/>
      <c r="C3579" s="70"/>
      <c r="D3579" s="70"/>
      <c r="E3579" s="70"/>
      <c r="F3579" s="70"/>
      <c r="G3579" s="70"/>
      <c r="H3579" s="85"/>
      <c r="I3579" s="85"/>
      <c r="J3579" s="131"/>
      <c r="K3579" s="60"/>
      <c r="L3579" s="49"/>
      <c r="M3579" s="48"/>
      <c r="P3579" s="3"/>
      <c r="Q3579" s="3"/>
      <c r="R3579" s="3"/>
      <c r="S3579" s="3"/>
      <c r="T3579" s="3"/>
      <c r="U3579" s="3"/>
      <c r="V3579" s="3"/>
      <c r="W3579" s="3"/>
      <c r="X3579" s="3"/>
      <c r="Y3579" s="4"/>
      <c r="Z3579"/>
      <c r="AA3579"/>
    </row>
    <row r="3580" spans="1:27" s="37" customFormat="1" x14ac:dyDescent="0.15">
      <c r="A3580" s="166"/>
      <c r="B3580" s="82"/>
      <c r="C3580" s="70"/>
      <c r="D3580" s="70"/>
      <c r="E3580" s="70"/>
      <c r="F3580" s="70"/>
      <c r="G3580" s="70"/>
      <c r="H3580" s="85"/>
      <c r="I3580" s="85"/>
      <c r="J3580" s="131"/>
      <c r="K3580" s="60"/>
      <c r="L3580" s="49"/>
      <c r="P3580" s="3"/>
      <c r="Q3580" s="3"/>
      <c r="R3580" s="3"/>
      <c r="S3580" s="3"/>
      <c r="T3580" s="3"/>
      <c r="U3580" s="3"/>
      <c r="V3580" s="3"/>
      <c r="W3580" s="3"/>
      <c r="X3580" s="3"/>
      <c r="Y3580" s="4"/>
      <c r="Z3580"/>
      <c r="AA3580"/>
    </row>
    <row r="3581" spans="1:27" s="37" customFormat="1" x14ac:dyDescent="0.15">
      <c r="A3581" s="166"/>
      <c r="B3581" s="93"/>
      <c r="C3581" s="70"/>
      <c r="D3581" s="70"/>
      <c r="E3581" s="70"/>
      <c r="F3581" s="70"/>
      <c r="G3581" s="70"/>
      <c r="H3581" s="85"/>
      <c r="I3581" s="85"/>
      <c r="J3581" s="131"/>
      <c r="K3581" s="60"/>
      <c r="L3581" s="33"/>
      <c r="M3581" s="35"/>
      <c r="P3581" s="3"/>
      <c r="Q3581" s="3"/>
      <c r="R3581" s="3"/>
      <c r="S3581" s="3"/>
      <c r="T3581" s="3"/>
      <c r="U3581" s="3"/>
      <c r="V3581" s="3"/>
      <c r="W3581" s="3"/>
      <c r="X3581" s="3"/>
      <c r="Y3581" s="4"/>
      <c r="Z3581"/>
      <c r="AA3581"/>
    </row>
    <row r="3582" spans="1:27" s="37" customFormat="1" x14ac:dyDescent="0.15">
      <c r="A3582" s="166"/>
      <c r="B3582" s="82"/>
      <c r="C3582" s="70"/>
      <c r="D3582" s="70"/>
      <c r="E3582" s="70"/>
      <c r="F3582" s="70"/>
      <c r="G3582" s="70"/>
      <c r="H3582" s="85"/>
      <c r="I3582" s="85"/>
      <c r="J3582" s="131"/>
      <c r="K3582" s="60"/>
      <c r="L3582" s="49"/>
      <c r="P3582" s="3"/>
      <c r="Q3582" s="3"/>
      <c r="R3582" s="3"/>
      <c r="S3582" s="3"/>
      <c r="T3582" s="3"/>
      <c r="U3582" s="3"/>
      <c r="V3582" s="3"/>
      <c r="W3582" s="3"/>
      <c r="X3582" s="3"/>
      <c r="Y3582" s="4"/>
      <c r="Z3582"/>
      <c r="AA3582"/>
    </row>
    <row r="3583" spans="1:27" s="37" customFormat="1" x14ac:dyDescent="0.15">
      <c r="A3583" s="166"/>
      <c r="B3583" s="82"/>
      <c r="C3583" s="70"/>
      <c r="D3583" s="70"/>
      <c r="E3583" s="70"/>
      <c r="F3583" s="70"/>
      <c r="G3583" s="70"/>
      <c r="H3583" s="85"/>
      <c r="I3583" s="85"/>
      <c r="J3583" s="131"/>
      <c r="K3583" s="60"/>
      <c r="L3583" s="49"/>
      <c r="P3583" s="3"/>
      <c r="Q3583" s="3"/>
      <c r="R3583" s="3"/>
      <c r="S3583" s="3"/>
      <c r="T3583" s="3"/>
      <c r="U3583" s="3"/>
      <c r="V3583" s="3"/>
      <c r="W3583" s="3"/>
      <c r="X3583" s="3"/>
      <c r="Y3583" s="4"/>
      <c r="Z3583"/>
      <c r="AA3583"/>
    </row>
    <row r="3584" spans="1:27" s="37" customFormat="1" x14ac:dyDescent="0.15">
      <c r="A3584" s="166"/>
      <c r="B3584" s="93"/>
      <c r="C3584" s="70"/>
      <c r="D3584" s="70"/>
      <c r="E3584" s="70"/>
      <c r="F3584" s="70"/>
      <c r="G3584" s="70"/>
      <c r="H3584" s="85"/>
      <c r="I3584" s="85"/>
      <c r="J3584" s="131"/>
      <c r="K3584" s="60"/>
      <c r="L3584" s="49"/>
      <c r="P3584" s="3"/>
      <c r="Q3584" s="3"/>
      <c r="R3584" s="3"/>
      <c r="S3584" s="3"/>
      <c r="T3584" s="3"/>
      <c r="U3584" s="3"/>
      <c r="V3584" s="3"/>
      <c r="W3584" s="3"/>
      <c r="X3584" s="3"/>
      <c r="Y3584" s="4"/>
      <c r="Z3584"/>
      <c r="AA3584"/>
    </row>
    <row r="3585" spans="1:27" s="37" customFormat="1" x14ac:dyDescent="0.15">
      <c r="A3585" s="166"/>
      <c r="B3585" s="82"/>
      <c r="C3585" s="70"/>
      <c r="D3585" s="70"/>
      <c r="E3585" s="70"/>
      <c r="F3585" s="70"/>
      <c r="G3585" s="70"/>
      <c r="H3585" s="85"/>
      <c r="I3585" s="85"/>
      <c r="J3585" s="131"/>
      <c r="K3585" s="60"/>
      <c r="L3585" s="49"/>
      <c r="P3585" s="3"/>
      <c r="Q3585" s="3"/>
      <c r="R3585" s="3"/>
      <c r="S3585" s="3"/>
      <c r="T3585" s="3"/>
      <c r="U3585" s="3"/>
      <c r="V3585" s="3"/>
      <c r="W3585" s="3"/>
      <c r="X3585" s="3"/>
      <c r="Y3585" s="4"/>
      <c r="Z3585"/>
      <c r="AA3585"/>
    </row>
    <row r="3586" spans="1:27" s="37" customFormat="1" ht="16" x14ac:dyDescent="0.2">
      <c r="A3586" s="166"/>
      <c r="B3586" s="82"/>
      <c r="C3586" s="70"/>
      <c r="D3586" s="70"/>
      <c r="E3586" s="70"/>
      <c r="F3586" s="70"/>
      <c r="G3586" s="70"/>
      <c r="H3586" s="85"/>
      <c r="I3586" s="85"/>
      <c r="J3586" s="131"/>
      <c r="K3586" s="60"/>
      <c r="L3586" s="49"/>
      <c r="M3586" s="48"/>
      <c r="P3586" s="3"/>
      <c r="Q3586" s="3"/>
      <c r="R3586" s="3"/>
      <c r="S3586" s="3"/>
      <c r="T3586" s="3"/>
      <c r="U3586" s="3"/>
      <c r="V3586" s="3"/>
      <c r="W3586" s="3"/>
      <c r="X3586" s="3"/>
      <c r="Y3586" s="4"/>
      <c r="Z3586"/>
      <c r="AA3586"/>
    </row>
    <row r="3587" spans="1:27" s="37" customFormat="1" x14ac:dyDescent="0.15">
      <c r="A3587" s="166"/>
      <c r="B3587" s="93"/>
      <c r="C3587" s="70"/>
      <c r="D3587" s="70"/>
      <c r="E3587" s="70"/>
      <c r="F3587" s="70"/>
      <c r="G3587" s="70"/>
      <c r="H3587" s="85"/>
      <c r="I3587" s="85"/>
      <c r="J3587" s="131"/>
      <c r="K3587" s="60"/>
      <c r="L3587" s="49"/>
      <c r="P3587" s="3"/>
      <c r="Q3587" s="3"/>
      <c r="R3587" s="3"/>
      <c r="S3587" s="3"/>
      <c r="T3587" s="3"/>
      <c r="U3587" s="3"/>
      <c r="V3587" s="3"/>
      <c r="W3587" s="3"/>
      <c r="X3587" s="3"/>
      <c r="Y3587" s="4"/>
      <c r="Z3587"/>
      <c r="AA3587"/>
    </row>
    <row r="3588" spans="1:27" s="37" customFormat="1" x14ac:dyDescent="0.15">
      <c r="A3588" s="166"/>
      <c r="B3588" s="82"/>
      <c r="C3588" s="70"/>
      <c r="D3588" s="70"/>
      <c r="E3588" s="70"/>
      <c r="F3588" s="70"/>
      <c r="G3588" s="70"/>
      <c r="H3588" s="85"/>
      <c r="I3588" s="85"/>
      <c r="J3588" s="131"/>
      <c r="K3588" s="60"/>
      <c r="L3588" s="49"/>
      <c r="P3588" s="3"/>
      <c r="Q3588" s="3"/>
      <c r="R3588" s="3"/>
      <c r="S3588" s="3"/>
      <c r="T3588" s="3"/>
      <c r="U3588" s="3"/>
      <c r="V3588" s="3"/>
      <c r="W3588" s="3"/>
      <c r="X3588" s="3"/>
      <c r="Y3588" s="4"/>
      <c r="Z3588"/>
      <c r="AA3588"/>
    </row>
    <row r="3589" spans="1:27" s="37" customFormat="1" x14ac:dyDescent="0.15">
      <c r="A3589" s="166"/>
      <c r="B3589" s="82"/>
      <c r="C3589" s="70"/>
      <c r="D3589" s="70"/>
      <c r="E3589" s="70"/>
      <c r="F3589" s="70"/>
      <c r="G3589" s="70"/>
      <c r="H3589" s="85"/>
      <c r="I3589" s="85"/>
      <c r="J3589" s="131"/>
      <c r="K3589" s="60"/>
      <c r="L3589" s="49"/>
      <c r="P3589" s="3"/>
      <c r="Q3589" s="3"/>
      <c r="R3589" s="3"/>
      <c r="S3589" s="3"/>
      <c r="T3589" s="3"/>
      <c r="U3589" s="3"/>
      <c r="V3589" s="3"/>
      <c r="W3589" s="3"/>
      <c r="X3589" s="3"/>
      <c r="Y3589" s="4"/>
      <c r="Z3589"/>
      <c r="AA3589"/>
    </row>
    <row r="3590" spans="1:27" s="37" customFormat="1" x14ac:dyDescent="0.15">
      <c r="A3590" s="166"/>
      <c r="B3590" s="82"/>
      <c r="C3590" s="70"/>
      <c r="D3590" s="70"/>
      <c r="E3590" s="70"/>
      <c r="F3590" s="70"/>
      <c r="G3590" s="70"/>
      <c r="H3590" s="85"/>
      <c r="I3590" s="85"/>
      <c r="J3590" s="131"/>
      <c r="K3590" s="60"/>
      <c r="L3590" s="49"/>
      <c r="P3590" s="3"/>
      <c r="Q3590" s="3"/>
      <c r="R3590" s="3"/>
      <c r="S3590" s="3"/>
      <c r="T3590" s="3"/>
      <c r="U3590" s="3"/>
      <c r="V3590" s="3"/>
      <c r="W3590" s="3"/>
      <c r="X3590" s="3"/>
      <c r="Y3590" s="4"/>
      <c r="Z3590"/>
      <c r="AA3590"/>
    </row>
    <row r="3591" spans="1:27" s="37" customFormat="1" x14ac:dyDescent="0.15">
      <c r="A3591" s="166"/>
      <c r="B3591" s="82"/>
      <c r="C3591" s="70"/>
      <c r="D3591" s="70"/>
      <c r="E3591" s="70"/>
      <c r="F3591" s="70"/>
      <c r="G3591" s="70"/>
      <c r="H3591" s="85"/>
      <c r="I3591" s="85"/>
      <c r="J3591" s="131"/>
      <c r="K3591" s="60"/>
      <c r="L3591" s="49"/>
      <c r="P3591" s="3"/>
      <c r="Q3591" s="3"/>
      <c r="R3591" s="3"/>
      <c r="S3591" s="3"/>
      <c r="T3591" s="3"/>
      <c r="U3591" s="3"/>
      <c r="V3591" s="3"/>
      <c r="W3591" s="3"/>
      <c r="X3591" s="3"/>
      <c r="Y3591" s="4"/>
      <c r="Z3591"/>
      <c r="AA3591"/>
    </row>
    <row r="3592" spans="1:27" s="37" customFormat="1" x14ac:dyDescent="0.15">
      <c r="A3592" s="166"/>
      <c r="B3592" s="93"/>
      <c r="C3592" s="70"/>
      <c r="D3592" s="70"/>
      <c r="E3592" s="70"/>
      <c r="F3592" s="70"/>
      <c r="G3592" s="70"/>
      <c r="H3592" s="85"/>
      <c r="I3592" s="85"/>
      <c r="J3592" s="131"/>
      <c r="K3592" s="60"/>
      <c r="L3592" s="33"/>
      <c r="M3592" s="35"/>
      <c r="P3592" s="3"/>
      <c r="Q3592" s="3"/>
      <c r="R3592" s="3"/>
      <c r="S3592" s="3"/>
      <c r="T3592" s="3"/>
      <c r="U3592" s="3"/>
      <c r="V3592" s="3"/>
      <c r="W3592" s="3"/>
      <c r="X3592" s="3"/>
      <c r="Y3592" s="4"/>
      <c r="Z3592"/>
      <c r="AA3592"/>
    </row>
    <row r="3593" spans="1:27" s="37" customFormat="1" x14ac:dyDescent="0.15">
      <c r="A3593" s="166"/>
      <c r="B3593" s="93"/>
      <c r="C3593" s="73"/>
      <c r="D3593" s="73"/>
      <c r="E3593" s="70"/>
      <c r="F3593" s="73"/>
      <c r="G3593" s="73"/>
      <c r="H3593" s="85"/>
      <c r="I3593" s="95"/>
      <c r="J3593" s="131"/>
      <c r="K3593" s="60"/>
      <c r="L3593" s="33"/>
      <c r="M3593" s="35"/>
      <c r="P3593" s="3"/>
      <c r="Q3593" s="3"/>
      <c r="R3593" s="3"/>
      <c r="S3593" s="3"/>
      <c r="T3593" s="3"/>
      <c r="U3593" s="3"/>
      <c r="V3593" s="3"/>
      <c r="W3593" s="3"/>
      <c r="X3593" s="3"/>
      <c r="Y3593" s="4"/>
      <c r="Z3593"/>
      <c r="AA3593"/>
    </row>
    <row r="3594" spans="1:27" s="37" customFormat="1" x14ac:dyDescent="0.15">
      <c r="A3594" s="166"/>
      <c r="B3594" s="93"/>
      <c r="C3594" s="70"/>
      <c r="D3594" s="70"/>
      <c r="E3594" s="70"/>
      <c r="F3594" s="70"/>
      <c r="G3594" s="70"/>
      <c r="H3594" s="85"/>
      <c r="I3594" s="85"/>
      <c r="J3594" s="131"/>
      <c r="K3594" s="60"/>
      <c r="L3594" s="33"/>
      <c r="M3594" s="35"/>
      <c r="P3594" s="3"/>
      <c r="Q3594" s="3"/>
      <c r="R3594" s="3"/>
      <c r="S3594" s="3"/>
      <c r="T3594" s="3"/>
      <c r="U3594" s="3"/>
      <c r="V3594" s="3"/>
      <c r="W3594" s="3"/>
      <c r="X3594" s="3"/>
      <c r="Y3594" s="4"/>
      <c r="Z3594"/>
      <c r="AA3594"/>
    </row>
    <row r="3595" spans="1:27" s="37" customFormat="1" x14ac:dyDescent="0.15">
      <c r="A3595" s="166"/>
      <c r="B3595" s="93"/>
      <c r="C3595" s="73"/>
      <c r="D3595" s="73"/>
      <c r="E3595" s="70"/>
      <c r="F3595" s="73"/>
      <c r="G3595" s="73"/>
      <c r="H3595" s="85"/>
      <c r="I3595" s="95"/>
      <c r="J3595" s="131"/>
      <c r="K3595" s="60"/>
      <c r="L3595" s="33"/>
      <c r="M3595" s="35"/>
      <c r="P3595" s="3"/>
      <c r="Q3595" s="3"/>
      <c r="R3595" s="3"/>
      <c r="S3595" s="3"/>
      <c r="T3595" s="3"/>
      <c r="U3595" s="3"/>
      <c r="V3595" s="3"/>
      <c r="W3595" s="3"/>
      <c r="X3595" s="3"/>
      <c r="Y3595" s="4"/>
      <c r="Z3595"/>
      <c r="AA3595"/>
    </row>
    <row r="3596" spans="1:27" s="37" customFormat="1" x14ac:dyDescent="0.15">
      <c r="A3596" s="166"/>
      <c r="B3596" s="93"/>
      <c r="C3596" s="70"/>
      <c r="D3596" s="70"/>
      <c r="E3596" s="70"/>
      <c r="F3596" s="70"/>
      <c r="G3596" s="70"/>
      <c r="H3596" s="85"/>
      <c r="I3596" s="85"/>
      <c r="J3596" s="131"/>
      <c r="K3596" s="60"/>
      <c r="L3596" s="33"/>
      <c r="M3596" s="35"/>
      <c r="P3596" s="3"/>
      <c r="Q3596" s="3"/>
      <c r="R3596" s="3"/>
      <c r="S3596" s="3"/>
      <c r="T3596" s="3"/>
      <c r="U3596" s="3"/>
      <c r="V3596" s="3"/>
      <c r="W3596" s="3"/>
      <c r="X3596" s="3"/>
      <c r="Y3596" s="4"/>
      <c r="Z3596"/>
      <c r="AA3596"/>
    </row>
    <row r="3597" spans="1:27" s="37" customFormat="1" x14ac:dyDescent="0.15">
      <c r="A3597" s="166"/>
      <c r="B3597" s="93"/>
      <c r="C3597" s="70"/>
      <c r="D3597" s="73"/>
      <c r="E3597" s="70"/>
      <c r="F3597" s="73"/>
      <c r="G3597" s="73"/>
      <c r="H3597" s="85"/>
      <c r="I3597" s="95"/>
      <c r="J3597" s="131"/>
      <c r="K3597" s="60"/>
      <c r="L3597" s="33"/>
      <c r="M3597" s="35"/>
      <c r="P3597" s="3"/>
      <c r="Q3597" s="3"/>
      <c r="R3597" s="3"/>
      <c r="S3597" s="3"/>
      <c r="T3597" s="3"/>
      <c r="U3597" s="3"/>
      <c r="V3597" s="3"/>
      <c r="W3597" s="3"/>
      <c r="X3597" s="3"/>
      <c r="Y3597" s="4"/>
      <c r="Z3597"/>
      <c r="AA3597"/>
    </row>
    <row r="3598" spans="1:27" s="37" customFormat="1" x14ac:dyDescent="0.15">
      <c r="A3598" s="166"/>
      <c r="B3598" s="93"/>
      <c r="C3598" s="73"/>
      <c r="D3598" s="73"/>
      <c r="E3598" s="70"/>
      <c r="F3598" s="73"/>
      <c r="G3598" s="73"/>
      <c r="H3598" s="85"/>
      <c r="I3598" s="95"/>
      <c r="J3598" s="131"/>
      <c r="K3598" s="60"/>
      <c r="L3598" s="33"/>
      <c r="M3598" s="35"/>
      <c r="P3598" s="3"/>
      <c r="Q3598" s="3"/>
      <c r="R3598" s="3"/>
      <c r="S3598" s="3"/>
      <c r="T3598" s="3"/>
      <c r="U3598" s="3"/>
      <c r="V3598" s="3"/>
      <c r="W3598" s="3"/>
      <c r="X3598" s="3"/>
      <c r="Y3598" s="4"/>
      <c r="Z3598"/>
      <c r="AA3598"/>
    </row>
    <row r="3599" spans="1:27" s="37" customFormat="1" x14ac:dyDescent="0.15">
      <c r="A3599" s="166"/>
      <c r="B3599" s="93"/>
      <c r="C3599" s="73"/>
      <c r="D3599" s="73"/>
      <c r="E3599" s="70"/>
      <c r="F3599" s="73"/>
      <c r="G3599" s="73"/>
      <c r="H3599" s="85"/>
      <c r="I3599" s="95"/>
      <c r="J3599" s="131"/>
      <c r="K3599" s="60"/>
      <c r="L3599" s="33"/>
      <c r="M3599" s="35"/>
      <c r="P3599" s="3"/>
      <c r="Q3599" s="3"/>
      <c r="R3599" s="3"/>
      <c r="S3599" s="3"/>
      <c r="T3599" s="3"/>
      <c r="U3599" s="3"/>
      <c r="V3599" s="3"/>
      <c r="W3599" s="3"/>
      <c r="X3599" s="3"/>
      <c r="Y3599" s="4"/>
      <c r="Z3599"/>
      <c r="AA3599"/>
    </row>
    <row r="3600" spans="1:27" s="37" customFormat="1" x14ac:dyDescent="0.15">
      <c r="A3600" s="166"/>
      <c r="B3600" s="93"/>
      <c r="C3600" s="70"/>
      <c r="D3600" s="70"/>
      <c r="E3600" s="70"/>
      <c r="F3600" s="70"/>
      <c r="G3600" s="70"/>
      <c r="H3600" s="85"/>
      <c r="I3600" s="85"/>
      <c r="J3600" s="131"/>
      <c r="K3600" s="60"/>
      <c r="L3600" s="33"/>
      <c r="M3600" s="35"/>
      <c r="P3600" s="3"/>
      <c r="Q3600" s="3"/>
      <c r="R3600" s="3"/>
      <c r="S3600" s="3"/>
      <c r="T3600" s="3"/>
      <c r="U3600" s="3"/>
      <c r="V3600" s="3"/>
      <c r="W3600" s="3"/>
      <c r="X3600" s="3"/>
      <c r="Y3600" s="4"/>
      <c r="Z3600"/>
      <c r="AA3600"/>
    </row>
    <row r="3601" spans="1:27" s="37" customFormat="1" x14ac:dyDescent="0.15">
      <c r="A3601" s="166"/>
      <c r="B3601" s="93"/>
      <c r="C3601" s="70"/>
      <c r="D3601" s="70"/>
      <c r="E3601" s="70"/>
      <c r="F3601" s="70"/>
      <c r="G3601" s="70"/>
      <c r="H3601" s="85"/>
      <c r="I3601" s="85"/>
      <c r="J3601" s="131"/>
      <c r="K3601" s="60"/>
      <c r="L3601" s="33"/>
      <c r="M3601" s="35"/>
      <c r="P3601" s="3"/>
      <c r="Q3601" s="3"/>
      <c r="R3601" s="3"/>
      <c r="S3601" s="3"/>
      <c r="T3601" s="3"/>
      <c r="U3601" s="3"/>
      <c r="V3601" s="3"/>
      <c r="W3601" s="3"/>
      <c r="X3601" s="3"/>
      <c r="Y3601" s="4"/>
      <c r="Z3601"/>
      <c r="AA3601"/>
    </row>
    <row r="3602" spans="1:27" s="37" customFormat="1" x14ac:dyDescent="0.15">
      <c r="A3602" s="166"/>
      <c r="B3602" s="93"/>
      <c r="C3602" s="73"/>
      <c r="D3602" s="73"/>
      <c r="E3602" s="70"/>
      <c r="F3602" s="73"/>
      <c r="G3602" s="73"/>
      <c r="H3602" s="85"/>
      <c r="I3602" s="95"/>
      <c r="J3602" s="131"/>
      <c r="K3602" s="60"/>
      <c r="L3602" s="33"/>
      <c r="M3602" s="35"/>
      <c r="P3602" s="3"/>
      <c r="Q3602" s="3"/>
      <c r="R3602" s="3"/>
      <c r="S3602" s="3"/>
      <c r="T3602" s="3"/>
      <c r="U3602" s="3"/>
      <c r="V3602" s="3"/>
      <c r="W3602" s="3"/>
      <c r="X3602" s="3"/>
      <c r="Y3602" s="4"/>
      <c r="Z3602"/>
      <c r="AA3602"/>
    </row>
    <row r="3603" spans="1:27" s="37" customFormat="1" x14ac:dyDescent="0.15">
      <c r="A3603" s="166"/>
      <c r="B3603" s="93"/>
      <c r="C3603" s="70"/>
      <c r="D3603" s="70"/>
      <c r="E3603" s="70"/>
      <c r="F3603" s="70"/>
      <c r="G3603" s="70"/>
      <c r="H3603" s="85"/>
      <c r="I3603" s="85"/>
      <c r="J3603" s="131"/>
      <c r="K3603" s="60"/>
      <c r="L3603" s="33"/>
      <c r="M3603" s="35"/>
      <c r="P3603" s="3"/>
      <c r="Q3603" s="3"/>
      <c r="R3603" s="3"/>
      <c r="S3603" s="3"/>
      <c r="T3603" s="3"/>
      <c r="U3603" s="3"/>
      <c r="V3603" s="3"/>
      <c r="W3603" s="3"/>
      <c r="X3603" s="3"/>
      <c r="Y3603" s="4"/>
      <c r="Z3603"/>
      <c r="AA3603"/>
    </row>
    <row r="3604" spans="1:27" s="37" customFormat="1" x14ac:dyDescent="0.15">
      <c r="A3604" s="166"/>
      <c r="B3604" s="93"/>
      <c r="C3604" s="70"/>
      <c r="D3604" s="70"/>
      <c r="E3604" s="70"/>
      <c r="F3604" s="70"/>
      <c r="G3604" s="70"/>
      <c r="H3604" s="85"/>
      <c r="I3604" s="85"/>
      <c r="J3604" s="131"/>
      <c r="K3604" s="60"/>
      <c r="L3604" s="33"/>
      <c r="M3604" s="35"/>
      <c r="P3604" s="3"/>
      <c r="Q3604" s="3"/>
      <c r="R3604" s="3"/>
      <c r="S3604" s="3"/>
      <c r="T3604" s="3"/>
      <c r="U3604" s="3"/>
      <c r="V3604" s="3"/>
      <c r="W3604" s="3"/>
      <c r="X3604" s="3"/>
      <c r="Y3604" s="4"/>
      <c r="Z3604"/>
      <c r="AA3604"/>
    </row>
    <row r="3605" spans="1:27" s="37" customFormat="1" x14ac:dyDescent="0.15">
      <c r="A3605" s="166"/>
      <c r="B3605" s="93"/>
      <c r="C3605" s="73"/>
      <c r="D3605" s="73"/>
      <c r="E3605" s="70"/>
      <c r="F3605" s="73"/>
      <c r="G3605" s="73"/>
      <c r="H3605" s="85"/>
      <c r="I3605" s="95"/>
      <c r="J3605" s="131"/>
      <c r="K3605" s="60"/>
      <c r="L3605" s="33"/>
      <c r="M3605" s="35"/>
      <c r="P3605" s="3"/>
      <c r="Q3605" s="3"/>
      <c r="R3605" s="3"/>
      <c r="S3605" s="3"/>
      <c r="T3605" s="3"/>
      <c r="U3605" s="3"/>
      <c r="V3605" s="3"/>
      <c r="W3605" s="3"/>
      <c r="X3605" s="3"/>
      <c r="Y3605" s="4"/>
      <c r="Z3605"/>
      <c r="AA3605"/>
    </row>
    <row r="3606" spans="1:27" s="37" customFormat="1" x14ac:dyDescent="0.15">
      <c r="A3606" s="166"/>
      <c r="B3606" s="82"/>
      <c r="C3606" s="73"/>
      <c r="D3606" s="73"/>
      <c r="E3606" s="70"/>
      <c r="F3606" s="73"/>
      <c r="G3606" s="73"/>
      <c r="H3606" s="85"/>
      <c r="I3606" s="95"/>
      <c r="J3606" s="131"/>
      <c r="K3606" s="60"/>
      <c r="L3606" s="33"/>
      <c r="M3606" s="35"/>
      <c r="P3606" s="3"/>
      <c r="Q3606" s="3"/>
      <c r="R3606" s="3"/>
      <c r="S3606" s="3"/>
      <c r="T3606" s="3"/>
      <c r="U3606" s="3"/>
      <c r="V3606" s="3"/>
      <c r="W3606" s="3"/>
      <c r="X3606" s="3"/>
      <c r="Y3606" s="4"/>
      <c r="Z3606"/>
      <c r="AA3606"/>
    </row>
    <row r="3607" spans="1:27" s="37" customFormat="1" ht="16" x14ac:dyDescent="0.2">
      <c r="A3607" s="166"/>
      <c r="B3607" s="93"/>
      <c r="C3607" s="70"/>
      <c r="D3607" s="70"/>
      <c r="E3607" s="70"/>
      <c r="F3607" s="70"/>
      <c r="G3607" s="70"/>
      <c r="H3607" s="85"/>
      <c r="I3607" s="85"/>
      <c r="J3607" s="131"/>
      <c r="K3607" s="60"/>
      <c r="L3607" s="47"/>
      <c r="M3607" s="35"/>
      <c r="P3607" s="3"/>
      <c r="Q3607" s="3"/>
      <c r="R3607" s="3"/>
      <c r="S3607" s="3"/>
      <c r="T3607" s="3"/>
      <c r="U3607" s="3"/>
      <c r="V3607" s="3"/>
      <c r="W3607" s="3"/>
      <c r="X3607" s="3"/>
      <c r="Y3607" s="4"/>
      <c r="Z3607"/>
      <c r="AA3607"/>
    </row>
    <row r="3608" spans="1:27" s="37" customFormat="1" x14ac:dyDescent="0.15">
      <c r="A3608" s="166"/>
      <c r="B3608" s="93"/>
      <c r="C3608" s="70"/>
      <c r="D3608" s="70"/>
      <c r="E3608" s="70"/>
      <c r="F3608" s="70"/>
      <c r="G3608" s="70"/>
      <c r="H3608" s="85"/>
      <c r="I3608" s="85"/>
      <c r="J3608" s="131"/>
      <c r="K3608" s="60"/>
      <c r="L3608" s="33"/>
      <c r="M3608" s="35"/>
      <c r="P3608" s="3"/>
      <c r="Q3608" s="3"/>
      <c r="R3608" s="3"/>
      <c r="S3608" s="3"/>
      <c r="T3608" s="3"/>
      <c r="U3608" s="3"/>
      <c r="V3608" s="3"/>
      <c r="W3608" s="3"/>
      <c r="X3608" s="3"/>
      <c r="Y3608" s="4"/>
      <c r="Z3608"/>
      <c r="AA3608"/>
    </row>
    <row r="3609" spans="1:27" s="37" customFormat="1" x14ac:dyDescent="0.15">
      <c r="A3609" s="166"/>
      <c r="B3609" s="93"/>
      <c r="C3609" s="70"/>
      <c r="D3609" s="70"/>
      <c r="E3609" s="70"/>
      <c r="F3609" s="70"/>
      <c r="G3609" s="70"/>
      <c r="H3609" s="85"/>
      <c r="I3609" s="85"/>
      <c r="J3609" s="131"/>
      <c r="K3609" s="60"/>
      <c r="L3609" s="33"/>
      <c r="M3609" s="35"/>
      <c r="P3609" s="3"/>
      <c r="Q3609" s="3"/>
      <c r="R3609" s="3"/>
      <c r="S3609" s="3"/>
      <c r="T3609" s="3"/>
      <c r="U3609" s="3"/>
      <c r="V3609" s="3"/>
      <c r="W3609" s="3"/>
      <c r="X3609" s="3"/>
      <c r="Y3609" s="4"/>
      <c r="Z3609"/>
      <c r="AA3609"/>
    </row>
    <row r="3610" spans="1:27" s="37" customFormat="1" x14ac:dyDescent="0.15">
      <c r="A3610" s="166"/>
      <c r="B3610" s="93"/>
      <c r="C3610" s="70"/>
      <c r="D3610" s="70"/>
      <c r="E3610" s="70"/>
      <c r="F3610" s="70"/>
      <c r="G3610" s="70"/>
      <c r="H3610" s="85"/>
      <c r="I3610" s="85"/>
      <c r="J3610" s="131"/>
      <c r="K3610" s="60"/>
      <c r="L3610" s="33"/>
      <c r="P3610" s="3"/>
      <c r="Q3610" s="3"/>
      <c r="R3610" s="3"/>
      <c r="S3610" s="3"/>
      <c r="T3610" s="3"/>
      <c r="U3610" s="3"/>
      <c r="V3610" s="3"/>
      <c r="W3610" s="3"/>
      <c r="X3610" s="3"/>
      <c r="Y3610" s="4"/>
      <c r="Z3610"/>
      <c r="AA3610"/>
    </row>
    <row r="3611" spans="1:27" s="37" customFormat="1" x14ac:dyDescent="0.15">
      <c r="A3611" s="166"/>
      <c r="B3611" s="93"/>
      <c r="C3611" s="73"/>
      <c r="D3611" s="73"/>
      <c r="E3611" s="70"/>
      <c r="F3611" s="73"/>
      <c r="G3611" s="73"/>
      <c r="H3611" s="85"/>
      <c r="I3611" s="95"/>
      <c r="J3611" s="131"/>
      <c r="K3611" s="60"/>
      <c r="L3611" s="33"/>
      <c r="P3611" s="3"/>
      <c r="Q3611" s="3"/>
      <c r="R3611" s="3"/>
      <c r="S3611" s="3"/>
      <c r="T3611" s="3"/>
      <c r="U3611" s="3"/>
      <c r="V3611" s="3"/>
      <c r="W3611" s="3"/>
      <c r="X3611" s="3"/>
      <c r="Y3611" s="4"/>
      <c r="Z3611"/>
      <c r="AA3611"/>
    </row>
    <row r="3612" spans="1:27" s="37" customFormat="1" ht="16" x14ac:dyDescent="0.2">
      <c r="A3612" s="166"/>
      <c r="B3612" s="93"/>
      <c r="C3612" s="73"/>
      <c r="D3612" s="73"/>
      <c r="E3612" s="70"/>
      <c r="F3612" s="73"/>
      <c r="G3612" s="73"/>
      <c r="H3612" s="85"/>
      <c r="I3612" s="95"/>
      <c r="J3612" s="131"/>
      <c r="K3612" s="60"/>
      <c r="L3612" s="47"/>
      <c r="P3612" s="3"/>
      <c r="Q3612" s="3"/>
      <c r="R3612" s="3"/>
      <c r="S3612" s="3"/>
      <c r="T3612" s="3"/>
      <c r="U3612" s="3"/>
      <c r="V3612" s="3"/>
      <c r="W3612" s="3"/>
      <c r="X3612" s="3"/>
      <c r="Y3612" s="4"/>
      <c r="Z3612"/>
      <c r="AA3612"/>
    </row>
    <row r="3613" spans="1:27" s="37" customFormat="1" x14ac:dyDescent="0.15">
      <c r="A3613" s="166"/>
      <c r="B3613" s="93"/>
      <c r="C3613" s="70"/>
      <c r="D3613" s="70"/>
      <c r="E3613" s="70"/>
      <c r="F3613" s="70"/>
      <c r="G3613" s="70"/>
      <c r="H3613" s="85"/>
      <c r="I3613" s="85"/>
      <c r="J3613" s="131"/>
      <c r="K3613" s="60"/>
      <c r="L3613" s="33"/>
      <c r="P3613" s="3"/>
      <c r="Q3613" s="3"/>
      <c r="R3613" s="3"/>
      <c r="S3613" s="3"/>
      <c r="T3613" s="3"/>
      <c r="U3613" s="3"/>
      <c r="V3613" s="3"/>
      <c r="W3613" s="3"/>
      <c r="X3613" s="3"/>
      <c r="Y3613" s="4"/>
      <c r="Z3613"/>
      <c r="AA3613"/>
    </row>
    <row r="3614" spans="1:27" s="37" customFormat="1" x14ac:dyDescent="0.15">
      <c r="A3614" s="166"/>
      <c r="B3614" s="93"/>
      <c r="C3614" s="70"/>
      <c r="D3614" s="70"/>
      <c r="E3614" s="70"/>
      <c r="F3614" s="70"/>
      <c r="G3614" s="70"/>
      <c r="H3614" s="85"/>
      <c r="I3614" s="85"/>
      <c r="J3614" s="131"/>
      <c r="K3614" s="60"/>
      <c r="L3614" s="33"/>
      <c r="P3614" s="3"/>
      <c r="Q3614" s="3"/>
      <c r="R3614" s="3"/>
      <c r="S3614" s="3"/>
      <c r="T3614" s="3"/>
      <c r="U3614" s="3"/>
      <c r="V3614" s="3"/>
      <c r="W3614" s="3"/>
      <c r="X3614" s="3"/>
      <c r="Y3614" s="4"/>
      <c r="Z3614"/>
      <c r="AA3614"/>
    </row>
    <row r="3615" spans="1:27" s="37" customFormat="1" ht="16" x14ac:dyDescent="0.2">
      <c r="A3615" s="166"/>
      <c r="B3615" s="93"/>
      <c r="C3615" s="70"/>
      <c r="D3615" s="70"/>
      <c r="E3615" s="70"/>
      <c r="F3615" s="70"/>
      <c r="G3615" s="70"/>
      <c r="H3615" s="85"/>
      <c r="I3615" s="85"/>
      <c r="J3615" s="131"/>
      <c r="K3615" s="60"/>
      <c r="L3615" s="33"/>
      <c r="M3615" s="48"/>
      <c r="P3615" s="3"/>
      <c r="Q3615" s="3"/>
      <c r="R3615" s="3"/>
      <c r="S3615" s="3"/>
      <c r="T3615" s="3"/>
      <c r="U3615" s="3"/>
      <c r="V3615" s="3"/>
      <c r="W3615" s="3"/>
      <c r="X3615" s="3"/>
      <c r="Y3615" s="4"/>
      <c r="Z3615"/>
      <c r="AA3615"/>
    </row>
    <row r="3616" spans="1:27" s="37" customFormat="1" x14ac:dyDescent="0.15">
      <c r="A3616" s="166"/>
      <c r="B3616" s="93"/>
      <c r="C3616" s="73"/>
      <c r="D3616" s="73"/>
      <c r="E3616" s="70"/>
      <c r="F3616" s="73"/>
      <c r="G3616" s="73"/>
      <c r="H3616" s="85"/>
      <c r="I3616" s="95"/>
      <c r="J3616" s="131"/>
      <c r="K3616" s="60"/>
      <c r="L3616" s="33"/>
      <c r="P3616" s="3"/>
      <c r="Q3616" s="3"/>
      <c r="R3616" s="3"/>
      <c r="S3616" s="3"/>
      <c r="T3616" s="3"/>
      <c r="U3616" s="3"/>
      <c r="V3616" s="3"/>
      <c r="W3616" s="3"/>
      <c r="X3616" s="3"/>
      <c r="Y3616" s="4"/>
      <c r="Z3616"/>
      <c r="AA3616"/>
    </row>
    <row r="3617" spans="1:27" s="37" customFormat="1" x14ac:dyDescent="0.15">
      <c r="A3617" s="166"/>
      <c r="B3617" s="93"/>
      <c r="C3617" s="70"/>
      <c r="D3617" s="70"/>
      <c r="E3617" s="70"/>
      <c r="F3617" s="70"/>
      <c r="G3617" s="70"/>
      <c r="H3617" s="85"/>
      <c r="I3617" s="85"/>
      <c r="J3617" s="131"/>
      <c r="K3617" s="60"/>
      <c r="L3617" s="33"/>
      <c r="P3617" s="3"/>
      <c r="Q3617" s="3"/>
      <c r="R3617" s="3"/>
      <c r="S3617" s="3"/>
      <c r="T3617" s="3"/>
      <c r="U3617" s="3"/>
      <c r="V3617" s="3"/>
      <c r="W3617" s="3"/>
      <c r="X3617" s="3"/>
      <c r="Y3617" s="4"/>
      <c r="Z3617"/>
      <c r="AA3617"/>
    </row>
    <row r="3618" spans="1:27" s="37" customFormat="1" x14ac:dyDescent="0.15">
      <c r="A3618" s="170"/>
      <c r="B3618" s="93"/>
      <c r="C3618" s="70"/>
      <c r="D3618" s="70"/>
      <c r="E3618" s="70"/>
      <c r="F3618" s="70"/>
      <c r="G3618" s="70"/>
      <c r="H3618" s="85"/>
      <c r="I3618" s="85"/>
      <c r="J3618" s="131"/>
      <c r="K3618" s="60"/>
      <c r="L3618" s="33"/>
      <c r="P3618" s="3"/>
      <c r="Q3618" s="3"/>
      <c r="R3618" s="3"/>
      <c r="S3618" s="3"/>
      <c r="T3618" s="3"/>
      <c r="U3618" s="3"/>
      <c r="V3618" s="3"/>
      <c r="W3618" s="3"/>
      <c r="X3618" s="3"/>
      <c r="Y3618" s="4"/>
      <c r="Z3618"/>
      <c r="AA3618"/>
    </row>
    <row r="3619" spans="1:27" s="37" customFormat="1" x14ac:dyDescent="0.15">
      <c r="A3619" s="166"/>
      <c r="B3619" s="93"/>
      <c r="C3619" s="70"/>
      <c r="D3619" s="70"/>
      <c r="E3619" s="70"/>
      <c r="F3619" s="70"/>
      <c r="G3619" s="70"/>
      <c r="H3619" s="85"/>
      <c r="I3619" s="85"/>
      <c r="J3619" s="131"/>
      <c r="K3619" s="60"/>
      <c r="L3619" s="33"/>
      <c r="P3619" s="3"/>
      <c r="Q3619" s="3"/>
      <c r="R3619" s="3"/>
      <c r="S3619" s="3"/>
      <c r="T3619" s="3"/>
      <c r="U3619" s="3"/>
      <c r="V3619" s="3"/>
      <c r="W3619" s="3"/>
      <c r="X3619" s="3"/>
      <c r="Y3619" s="4"/>
      <c r="Z3619"/>
      <c r="AA3619"/>
    </row>
    <row r="3620" spans="1:27" s="37" customFormat="1" x14ac:dyDescent="0.15">
      <c r="A3620" s="166"/>
      <c r="B3620" s="93"/>
      <c r="C3620" s="70"/>
      <c r="D3620" s="70"/>
      <c r="E3620" s="70"/>
      <c r="F3620" s="70"/>
      <c r="G3620" s="70"/>
      <c r="H3620" s="85"/>
      <c r="I3620" s="85"/>
      <c r="J3620" s="131"/>
      <c r="K3620" s="60"/>
      <c r="L3620" s="33"/>
      <c r="P3620" s="3"/>
      <c r="Q3620" s="3"/>
      <c r="R3620" s="3"/>
      <c r="S3620" s="3"/>
      <c r="T3620" s="3"/>
      <c r="U3620" s="3"/>
      <c r="V3620" s="3"/>
      <c r="W3620" s="3"/>
      <c r="X3620" s="3"/>
      <c r="Y3620" s="4"/>
      <c r="Z3620"/>
      <c r="AA3620"/>
    </row>
    <row r="3621" spans="1:27" s="37" customFormat="1" x14ac:dyDescent="0.15">
      <c r="A3621" s="166"/>
      <c r="B3621" s="93"/>
      <c r="C3621" s="73"/>
      <c r="D3621" s="73"/>
      <c r="E3621" s="70"/>
      <c r="F3621" s="73"/>
      <c r="G3621" s="73"/>
      <c r="H3621" s="85"/>
      <c r="I3621" s="95"/>
      <c r="J3621" s="131"/>
      <c r="K3621" s="60"/>
      <c r="L3621" s="33"/>
      <c r="P3621" s="3"/>
      <c r="Q3621" s="3"/>
      <c r="R3621" s="3"/>
      <c r="S3621" s="3"/>
      <c r="T3621" s="3"/>
      <c r="U3621" s="3"/>
      <c r="V3621" s="3"/>
      <c r="W3621" s="3"/>
      <c r="X3621" s="3"/>
      <c r="Y3621" s="4"/>
      <c r="Z3621"/>
      <c r="AA3621"/>
    </row>
    <row r="3622" spans="1:27" s="37" customFormat="1" ht="16" x14ac:dyDescent="0.2">
      <c r="A3622" s="166"/>
      <c r="B3622" s="93"/>
      <c r="C3622" s="70"/>
      <c r="D3622" s="70"/>
      <c r="E3622" s="70"/>
      <c r="F3622" s="70"/>
      <c r="G3622" s="70"/>
      <c r="H3622" s="85"/>
      <c r="I3622" s="85"/>
      <c r="J3622" s="131"/>
      <c r="K3622" s="60"/>
      <c r="L3622" s="33"/>
      <c r="M3622" s="48"/>
      <c r="P3622" s="3"/>
      <c r="Q3622" s="3"/>
      <c r="R3622" s="3"/>
      <c r="S3622" s="3"/>
      <c r="T3622" s="3"/>
      <c r="U3622" s="3"/>
      <c r="V3622" s="3"/>
      <c r="W3622" s="3"/>
      <c r="X3622" s="3"/>
      <c r="Y3622" s="4"/>
      <c r="Z3622"/>
      <c r="AA3622"/>
    </row>
    <row r="3623" spans="1:27" s="37" customFormat="1" ht="16" x14ac:dyDescent="0.2">
      <c r="A3623" s="166"/>
      <c r="B3623" s="93"/>
      <c r="C3623" s="73"/>
      <c r="D3623" s="73"/>
      <c r="E3623" s="70"/>
      <c r="F3623" s="73"/>
      <c r="G3623" s="73"/>
      <c r="H3623" s="85"/>
      <c r="I3623" s="95"/>
      <c r="J3623" s="131"/>
      <c r="K3623" s="60"/>
      <c r="L3623" s="33"/>
      <c r="M3623" s="48"/>
      <c r="P3623" s="3"/>
      <c r="Q3623" s="3"/>
      <c r="R3623" s="3"/>
      <c r="S3623" s="3"/>
      <c r="T3623" s="3"/>
      <c r="U3623" s="3"/>
      <c r="V3623" s="3"/>
      <c r="W3623" s="3"/>
      <c r="X3623" s="3"/>
      <c r="Y3623" s="4"/>
      <c r="Z3623"/>
      <c r="AA3623"/>
    </row>
    <row r="3624" spans="1:27" s="37" customFormat="1" ht="16" x14ac:dyDescent="0.2">
      <c r="A3624" s="166"/>
      <c r="B3624" s="93"/>
      <c r="C3624" s="70"/>
      <c r="D3624" s="70"/>
      <c r="E3624" s="70"/>
      <c r="F3624" s="70"/>
      <c r="G3624" s="70"/>
      <c r="H3624" s="85"/>
      <c r="I3624" s="85"/>
      <c r="J3624" s="131"/>
      <c r="K3624" s="60"/>
      <c r="L3624" s="47"/>
      <c r="M3624" s="48"/>
      <c r="P3624" s="3"/>
      <c r="Q3624" s="3"/>
      <c r="R3624" s="3"/>
      <c r="S3624" s="3"/>
      <c r="T3624" s="3"/>
      <c r="U3624" s="3"/>
      <c r="V3624" s="3"/>
      <c r="W3624" s="3"/>
      <c r="X3624" s="3"/>
      <c r="Y3624" s="4"/>
      <c r="Z3624"/>
      <c r="AA3624"/>
    </row>
    <row r="3625" spans="1:27" s="37" customFormat="1" ht="16" x14ac:dyDescent="0.2">
      <c r="A3625" s="166"/>
      <c r="B3625" s="93"/>
      <c r="C3625" s="70"/>
      <c r="D3625" s="70"/>
      <c r="E3625" s="70"/>
      <c r="F3625" s="70"/>
      <c r="G3625" s="70"/>
      <c r="H3625" s="85"/>
      <c r="I3625" s="85"/>
      <c r="J3625" s="131"/>
      <c r="K3625" s="60"/>
      <c r="L3625" s="33"/>
      <c r="M3625" s="48"/>
      <c r="P3625" s="3"/>
      <c r="Q3625" s="3"/>
      <c r="R3625" s="3"/>
      <c r="S3625" s="3"/>
      <c r="T3625" s="3"/>
      <c r="U3625" s="3"/>
      <c r="V3625" s="3"/>
      <c r="W3625" s="3"/>
      <c r="X3625" s="3"/>
      <c r="Y3625" s="4"/>
      <c r="Z3625"/>
      <c r="AA3625"/>
    </row>
    <row r="3626" spans="1:27" s="37" customFormat="1" ht="16" x14ac:dyDescent="0.2">
      <c r="A3626" s="166"/>
      <c r="B3626" s="93"/>
      <c r="C3626" s="70"/>
      <c r="D3626" s="70"/>
      <c r="E3626" s="70"/>
      <c r="F3626" s="70"/>
      <c r="G3626" s="70"/>
      <c r="H3626" s="85"/>
      <c r="I3626" s="85"/>
      <c r="J3626" s="131"/>
      <c r="K3626" s="60"/>
      <c r="L3626" s="33"/>
      <c r="M3626" s="48"/>
      <c r="P3626" s="3"/>
      <c r="Q3626" s="3"/>
      <c r="R3626" s="3"/>
      <c r="S3626" s="3"/>
      <c r="T3626" s="3"/>
      <c r="U3626" s="3"/>
      <c r="V3626" s="3"/>
      <c r="W3626" s="3"/>
      <c r="X3626" s="3"/>
      <c r="Y3626" s="4"/>
      <c r="Z3626"/>
      <c r="AA3626"/>
    </row>
    <row r="3627" spans="1:27" s="37" customFormat="1" x14ac:dyDescent="0.15">
      <c r="A3627" s="166"/>
      <c r="B3627" s="93"/>
      <c r="C3627" s="70"/>
      <c r="D3627" s="70"/>
      <c r="E3627" s="70"/>
      <c r="F3627" s="70"/>
      <c r="G3627" s="70"/>
      <c r="H3627" s="85"/>
      <c r="I3627" s="85"/>
      <c r="J3627" s="131"/>
      <c r="K3627" s="60"/>
      <c r="L3627" s="33"/>
      <c r="P3627" s="3"/>
      <c r="Q3627" s="3"/>
      <c r="R3627" s="3"/>
      <c r="S3627" s="3"/>
      <c r="T3627" s="3"/>
      <c r="U3627" s="3"/>
      <c r="V3627" s="3"/>
      <c r="W3627" s="3"/>
      <c r="X3627" s="3"/>
      <c r="Y3627" s="4"/>
      <c r="Z3627"/>
      <c r="AA3627"/>
    </row>
    <row r="3628" spans="1:27" s="37" customFormat="1" x14ac:dyDescent="0.15">
      <c r="A3628" s="166"/>
      <c r="B3628" s="93"/>
      <c r="C3628" s="70"/>
      <c r="D3628" s="70"/>
      <c r="E3628" s="70"/>
      <c r="F3628" s="70"/>
      <c r="G3628" s="70"/>
      <c r="H3628" s="85"/>
      <c r="I3628" s="85"/>
      <c r="J3628" s="131"/>
      <c r="K3628" s="60"/>
      <c r="L3628" s="33"/>
      <c r="P3628" s="3"/>
      <c r="Q3628" s="3"/>
      <c r="R3628" s="3"/>
      <c r="S3628" s="3"/>
      <c r="T3628" s="3"/>
      <c r="U3628" s="3"/>
      <c r="V3628" s="3"/>
      <c r="W3628" s="3"/>
      <c r="X3628" s="3"/>
      <c r="Y3628" s="4"/>
      <c r="Z3628"/>
      <c r="AA3628"/>
    </row>
    <row r="3629" spans="1:27" s="37" customFormat="1" x14ac:dyDescent="0.15">
      <c r="A3629" s="166"/>
      <c r="B3629" s="82"/>
      <c r="C3629" s="70"/>
      <c r="D3629" s="70"/>
      <c r="E3629" s="70"/>
      <c r="F3629" s="70"/>
      <c r="G3629" s="70"/>
      <c r="H3629" s="85"/>
      <c r="I3629" s="85"/>
      <c r="J3629" s="131"/>
      <c r="K3629" s="60"/>
      <c r="L3629" s="49"/>
      <c r="M3629" s="35"/>
      <c r="P3629" s="3"/>
      <c r="Q3629" s="3"/>
      <c r="R3629" s="3"/>
      <c r="S3629" s="3"/>
      <c r="T3629" s="3"/>
      <c r="U3629" s="3"/>
      <c r="V3629" s="3"/>
      <c r="W3629" s="3"/>
      <c r="X3629" s="3"/>
      <c r="Y3629" s="4"/>
      <c r="Z3629"/>
      <c r="AA3629"/>
    </row>
    <row r="3630" spans="1:27" s="37" customFormat="1" x14ac:dyDescent="0.15">
      <c r="A3630" s="166"/>
      <c r="B3630" s="93"/>
      <c r="C3630" s="70"/>
      <c r="D3630" s="70"/>
      <c r="E3630" s="70"/>
      <c r="F3630" s="70"/>
      <c r="G3630" s="70"/>
      <c r="H3630" s="85"/>
      <c r="I3630" s="85"/>
      <c r="J3630" s="131"/>
      <c r="K3630" s="60"/>
      <c r="L3630" s="33"/>
      <c r="P3630" s="3"/>
      <c r="Q3630" s="3"/>
      <c r="R3630" s="3"/>
      <c r="S3630" s="3"/>
      <c r="T3630" s="3"/>
      <c r="U3630" s="3"/>
      <c r="V3630" s="3"/>
      <c r="W3630" s="3"/>
      <c r="X3630" s="3"/>
      <c r="Y3630" s="4"/>
      <c r="Z3630"/>
      <c r="AA3630"/>
    </row>
    <row r="3631" spans="1:27" s="37" customFormat="1" x14ac:dyDescent="0.15">
      <c r="A3631" s="166"/>
      <c r="B3631" s="93"/>
      <c r="C3631" s="70"/>
      <c r="D3631" s="70"/>
      <c r="E3631" s="70"/>
      <c r="F3631" s="70"/>
      <c r="G3631" s="70"/>
      <c r="H3631" s="85"/>
      <c r="I3631" s="85"/>
      <c r="J3631" s="131"/>
      <c r="K3631" s="60"/>
      <c r="L3631" s="33"/>
      <c r="M3631" s="35"/>
      <c r="P3631" s="3"/>
      <c r="Q3631" s="3"/>
      <c r="R3631" s="3"/>
      <c r="S3631" s="3"/>
      <c r="T3631" s="3"/>
      <c r="U3631" s="3"/>
      <c r="V3631" s="3"/>
      <c r="W3631" s="3"/>
      <c r="X3631" s="3"/>
      <c r="Y3631" s="4"/>
      <c r="Z3631"/>
      <c r="AA3631"/>
    </row>
    <row r="3632" spans="1:27" s="37" customFormat="1" x14ac:dyDescent="0.15">
      <c r="A3632" s="166"/>
      <c r="B3632" s="82"/>
      <c r="C3632" s="70"/>
      <c r="D3632" s="70"/>
      <c r="E3632" s="70"/>
      <c r="F3632" s="70"/>
      <c r="G3632" s="70"/>
      <c r="H3632" s="85"/>
      <c r="I3632" s="85"/>
      <c r="J3632" s="131"/>
      <c r="K3632" s="60"/>
      <c r="L3632" s="49"/>
      <c r="P3632" s="3"/>
      <c r="Q3632" s="3"/>
      <c r="R3632" s="3"/>
      <c r="S3632" s="3"/>
      <c r="T3632" s="3"/>
      <c r="U3632" s="3"/>
      <c r="V3632" s="3"/>
      <c r="W3632" s="3"/>
      <c r="X3632" s="3"/>
      <c r="Y3632" s="4"/>
      <c r="Z3632"/>
      <c r="AA3632"/>
    </row>
    <row r="3633" spans="1:27" s="37" customFormat="1" x14ac:dyDescent="0.15">
      <c r="A3633" s="166"/>
      <c r="B3633" s="93"/>
      <c r="C3633" s="70"/>
      <c r="D3633" s="70"/>
      <c r="E3633" s="70"/>
      <c r="F3633" s="70"/>
      <c r="G3633" s="70"/>
      <c r="H3633" s="85"/>
      <c r="I3633" s="85"/>
      <c r="J3633" s="131"/>
      <c r="K3633" s="60"/>
      <c r="L3633" s="33"/>
      <c r="P3633" s="3"/>
      <c r="Q3633" s="3"/>
      <c r="R3633" s="3"/>
      <c r="S3633" s="3"/>
      <c r="T3633" s="3"/>
      <c r="U3633" s="3"/>
      <c r="V3633" s="3"/>
      <c r="W3633" s="3"/>
      <c r="X3633" s="3"/>
      <c r="Y3633" s="4"/>
      <c r="Z3633"/>
      <c r="AA3633"/>
    </row>
    <row r="3634" spans="1:27" s="37" customFormat="1" x14ac:dyDescent="0.15">
      <c r="A3634" s="166"/>
      <c r="B3634" s="93"/>
      <c r="C3634" s="70"/>
      <c r="D3634" s="70"/>
      <c r="E3634" s="70"/>
      <c r="F3634" s="70"/>
      <c r="G3634" s="70"/>
      <c r="H3634" s="85"/>
      <c r="I3634" s="85"/>
      <c r="J3634" s="131"/>
      <c r="K3634" s="60"/>
      <c r="L3634" s="33"/>
      <c r="P3634" s="3"/>
      <c r="Q3634" s="3"/>
      <c r="R3634" s="3"/>
      <c r="S3634" s="3"/>
      <c r="T3634" s="3"/>
      <c r="U3634" s="3"/>
      <c r="V3634" s="3"/>
      <c r="W3634" s="3"/>
      <c r="X3634" s="3"/>
      <c r="Y3634" s="4"/>
      <c r="Z3634"/>
      <c r="AA3634"/>
    </row>
    <row r="3635" spans="1:27" s="37" customFormat="1" x14ac:dyDescent="0.15">
      <c r="A3635" s="166"/>
      <c r="B3635" s="93"/>
      <c r="C3635" s="70"/>
      <c r="D3635" s="70"/>
      <c r="E3635" s="70"/>
      <c r="F3635" s="70"/>
      <c r="G3635" s="70"/>
      <c r="H3635" s="85"/>
      <c r="I3635" s="85"/>
      <c r="J3635" s="131"/>
      <c r="K3635" s="60"/>
      <c r="L3635" s="33"/>
      <c r="P3635" s="3"/>
      <c r="Q3635" s="3"/>
      <c r="R3635" s="3"/>
      <c r="S3635" s="3"/>
      <c r="T3635" s="3"/>
      <c r="U3635" s="3"/>
      <c r="V3635" s="3"/>
      <c r="W3635" s="3"/>
      <c r="X3635" s="3"/>
      <c r="Y3635" s="4"/>
      <c r="Z3635"/>
      <c r="AA3635"/>
    </row>
    <row r="3636" spans="1:27" s="37" customFormat="1" x14ac:dyDescent="0.15">
      <c r="A3636" s="166"/>
      <c r="B3636" s="82"/>
      <c r="C3636" s="70"/>
      <c r="D3636" s="70"/>
      <c r="E3636" s="70"/>
      <c r="F3636" s="70"/>
      <c r="G3636" s="70"/>
      <c r="H3636" s="85"/>
      <c r="I3636" s="85"/>
      <c r="J3636" s="131"/>
      <c r="K3636" s="60"/>
      <c r="L3636" s="49"/>
      <c r="P3636" s="3"/>
      <c r="Q3636" s="3"/>
      <c r="R3636" s="3"/>
      <c r="S3636" s="3"/>
      <c r="T3636" s="3"/>
      <c r="U3636" s="3"/>
      <c r="V3636" s="3"/>
      <c r="W3636" s="3"/>
      <c r="X3636" s="3"/>
      <c r="Y3636" s="4"/>
      <c r="Z3636"/>
      <c r="AA3636"/>
    </row>
    <row r="3637" spans="1:27" s="37" customFormat="1" x14ac:dyDescent="0.15">
      <c r="A3637" s="166"/>
      <c r="B3637" s="82"/>
      <c r="C3637" s="70"/>
      <c r="D3637" s="70"/>
      <c r="E3637" s="70"/>
      <c r="F3637" s="70"/>
      <c r="G3637" s="70"/>
      <c r="H3637" s="85"/>
      <c r="I3637" s="85"/>
      <c r="J3637" s="131"/>
      <c r="K3637" s="60"/>
      <c r="L3637" s="49"/>
      <c r="P3637" s="3"/>
      <c r="Q3637" s="3"/>
      <c r="R3637" s="3"/>
      <c r="S3637" s="3"/>
      <c r="T3637" s="3"/>
      <c r="U3637" s="3"/>
      <c r="V3637" s="3"/>
      <c r="W3637" s="3"/>
      <c r="X3637" s="3"/>
      <c r="Y3637" s="4"/>
      <c r="Z3637"/>
      <c r="AA3637"/>
    </row>
    <row r="3638" spans="1:27" s="37" customFormat="1" x14ac:dyDescent="0.15">
      <c r="A3638" s="166"/>
      <c r="B3638" s="82"/>
      <c r="C3638" s="70"/>
      <c r="D3638" s="70"/>
      <c r="E3638" s="70"/>
      <c r="F3638" s="70"/>
      <c r="G3638" s="70"/>
      <c r="H3638" s="85"/>
      <c r="I3638" s="85"/>
      <c r="J3638" s="131"/>
      <c r="K3638" s="60"/>
      <c r="L3638" s="49"/>
      <c r="P3638" s="3"/>
      <c r="Q3638" s="3"/>
      <c r="R3638" s="3"/>
      <c r="S3638" s="3"/>
      <c r="T3638" s="3"/>
      <c r="U3638" s="3"/>
      <c r="V3638" s="3"/>
      <c r="W3638" s="3"/>
      <c r="X3638" s="3"/>
      <c r="Y3638" s="4"/>
      <c r="Z3638"/>
      <c r="AA3638"/>
    </row>
    <row r="3639" spans="1:27" s="37" customFormat="1" x14ac:dyDescent="0.15">
      <c r="A3639" s="166"/>
      <c r="B3639" s="82"/>
      <c r="C3639" s="70"/>
      <c r="D3639" s="70"/>
      <c r="E3639" s="70"/>
      <c r="F3639" s="70"/>
      <c r="G3639" s="70"/>
      <c r="H3639" s="85"/>
      <c r="I3639" s="85"/>
      <c r="J3639" s="134"/>
      <c r="K3639" s="63"/>
      <c r="L3639" s="49"/>
      <c r="P3639" s="3"/>
      <c r="Q3639" s="3"/>
      <c r="R3639" s="3"/>
      <c r="S3639" s="3"/>
      <c r="T3639" s="3"/>
      <c r="U3639" s="3"/>
      <c r="V3639" s="3"/>
      <c r="W3639" s="3"/>
      <c r="X3639" s="3"/>
      <c r="Y3639" s="4"/>
      <c r="Z3639"/>
      <c r="AA3639"/>
    </row>
    <row r="3640" spans="1:27" s="37" customFormat="1" x14ac:dyDescent="0.15">
      <c r="A3640" s="166"/>
      <c r="B3640" s="82"/>
      <c r="C3640" s="70"/>
      <c r="D3640" s="70"/>
      <c r="E3640" s="70"/>
      <c r="F3640" s="70"/>
      <c r="G3640" s="70"/>
      <c r="H3640" s="85"/>
      <c r="I3640" s="85"/>
      <c r="J3640" s="131"/>
      <c r="K3640" s="60"/>
      <c r="L3640" s="49"/>
      <c r="P3640" s="3"/>
      <c r="Q3640" s="3"/>
      <c r="R3640" s="3"/>
      <c r="S3640" s="3"/>
      <c r="T3640" s="3"/>
      <c r="U3640" s="3"/>
      <c r="V3640" s="3"/>
      <c r="W3640" s="3"/>
      <c r="X3640" s="3"/>
      <c r="Y3640" s="4"/>
      <c r="Z3640"/>
      <c r="AA3640"/>
    </row>
    <row r="3641" spans="1:27" s="37" customFormat="1" x14ac:dyDescent="0.15">
      <c r="A3641" s="166"/>
      <c r="B3641" s="82"/>
      <c r="C3641" s="70"/>
      <c r="D3641" s="70"/>
      <c r="E3641" s="70"/>
      <c r="F3641" s="70"/>
      <c r="G3641" s="70"/>
      <c r="H3641" s="85"/>
      <c r="I3641" s="85"/>
      <c r="J3641" s="131"/>
      <c r="K3641" s="60"/>
      <c r="L3641" s="49"/>
      <c r="P3641" s="3"/>
      <c r="Q3641" s="3"/>
      <c r="R3641" s="3"/>
      <c r="S3641" s="3"/>
      <c r="T3641" s="3"/>
      <c r="U3641" s="3"/>
      <c r="V3641" s="3"/>
      <c r="W3641" s="3"/>
      <c r="X3641" s="3"/>
      <c r="Y3641" s="4"/>
      <c r="Z3641"/>
      <c r="AA3641"/>
    </row>
    <row r="3642" spans="1:27" s="37" customFormat="1" x14ac:dyDescent="0.15">
      <c r="A3642" s="166"/>
      <c r="B3642" s="82"/>
      <c r="C3642" s="70"/>
      <c r="D3642" s="70"/>
      <c r="E3642" s="70"/>
      <c r="F3642" s="70"/>
      <c r="G3642" s="70"/>
      <c r="H3642" s="85"/>
      <c r="I3642" s="85"/>
      <c r="J3642" s="131"/>
      <c r="K3642" s="60"/>
      <c r="L3642" s="49"/>
      <c r="P3642" s="3"/>
      <c r="Q3642" s="3"/>
      <c r="R3642" s="3"/>
      <c r="S3642" s="3"/>
      <c r="T3642" s="3"/>
      <c r="U3642" s="3"/>
      <c r="V3642" s="3"/>
      <c r="W3642" s="3"/>
      <c r="X3642" s="3"/>
      <c r="Y3642" s="4"/>
      <c r="Z3642"/>
      <c r="AA3642"/>
    </row>
    <row r="3643" spans="1:27" s="37" customFormat="1" x14ac:dyDescent="0.15">
      <c r="A3643" s="166"/>
      <c r="B3643" s="93"/>
      <c r="C3643" s="70"/>
      <c r="D3643" s="70"/>
      <c r="E3643" s="70"/>
      <c r="F3643" s="70"/>
      <c r="G3643" s="70"/>
      <c r="H3643" s="85"/>
      <c r="I3643" s="85"/>
      <c r="J3643" s="131"/>
      <c r="K3643" s="60"/>
      <c r="L3643" s="33"/>
      <c r="P3643" s="3"/>
      <c r="Q3643" s="3"/>
      <c r="R3643" s="3"/>
      <c r="S3643" s="3"/>
      <c r="T3643" s="3"/>
      <c r="U3643" s="3"/>
      <c r="V3643" s="3"/>
      <c r="W3643" s="3"/>
      <c r="X3643" s="3"/>
      <c r="Y3643" s="4"/>
      <c r="Z3643"/>
      <c r="AA3643"/>
    </row>
    <row r="3644" spans="1:27" s="37" customFormat="1" x14ac:dyDescent="0.15">
      <c r="A3644" s="166"/>
      <c r="B3644" s="82"/>
      <c r="C3644" s="70"/>
      <c r="D3644" s="70"/>
      <c r="E3644" s="70"/>
      <c r="F3644" s="70"/>
      <c r="G3644" s="70"/>
      <c r="H3644" s="85"/>
      <c r="I3644" s="85"/>
      <c r="J3644" s="131"/>
      <c r="K3644" s="60"/>
      <c r="L3644" s="49"/>
      <c r="P3644" s="3"/>
      <c r="Q3644" s="3"/>
      <c r="R3644" s="3"/>
      <c r="S3644" s="3"/>
      <c r="T3644" s="3"/>
      <c r="U3644" s="3"/>
      <c r="V3644" s="3"/>
      <c r="W3644" s="3"/>
      <c r="X3644" s="3"/>
      <c r="Y3644" s="4"/>
      <c r="Z3644"/>
      <c r="AA3644"/>
    </row>
    <row r="3645" spans="1:27" s="37" customFormat="1" x14ac:dyDescent="0.15">
      <c r="A3645" s="166"/>
      <c r="B3645" s="93"/>
      <c r="C3645" s="70"/>
      <c r="D3645" s="70"/>
      <c r="E3645" s="70"/>
      <c r="F3645" s="70"/>
      <c r="G3645" s="70"/>
      <c r="H3645" s="85"/>
      <c r="I3645" s="85"/>
      <c r="J3645" s="131"/>
      <c r="K3645" s="60"/>
      <c r="L3645" s="33"/>
      <c r="P3645" s="3"/>
      <c r="Q3645" s="3"/>
      <c r="R3645" s="3"/>
      <c r="S3645" s="3"/>
      <c r="T3645" s="3"/>
      <c r="U3645" s="3"/>
      <c r="V3645" s="3"/>
      <c r="W3645" s="3"/>
      <c r="X3645" s="3"/>
      <c r="Y3645" s="4"/>
      <c r="Z3645"/>
      <c r="AA3645"/>
    </row>
    <row r="3646" spans="1:27" s="37" customFormat="1" x14ac:dyDescent="0.15">
      <c r="A3646" s="166"/>
      <c r="B3646" s="82"/>
      <c r="C3646" s="70"/>
      <c r="D3646" s="70"/>
      <c r="E3646" s="70"/>
      <c r="F3646" s="70"/>
      <c r="G3646" s="70"/>
      <c r="H3646" s="85"/>
      <c r="I3646" s="85"/>
      <c r="J3646" s="131"/>
      <c r="K3646" s="60"/>
      <c r="L3646" s="33"/>
      <c r="P3646" s="3"/>
      <c r="Q3646" s="3"/>
      <c r="R3646" s="3"/>
      <c r="S3646" s="3"/>
      <c r="T3646" s="3"/>
      <c r="U3646" s="3"/>
      <c r="V3646" s="3"/>
      <c r="W3646" s="3"/>
      <c r="X3646" s="3"/>
      <c r="Y3646" s="4"/>
      <c r="Z3646"/>
      <c r="AA3646"/>
    </row>
    <row r="3647" spans="1:27" s="37" customFormat="1" x14ac:dyDescent="0.15">
      <c r="A3647" s="166"/>
      <c r="B3647" s="93"/>
      <c r="C3647" s="70"/>
      <c r="D3647" s="70"/>
      <c r="E3647" s="70"/>
      <c r="F3647" s="70"/>
      <c r="G3647" s="70"/>
      <c r="H3647" s="85"/>
      <c r="I3647" s="85"/>
      <c r="J3647" s="131"/>
      <c r="K3647" s="60"/>
      <c r="L3647" s="33"/>
      <c r="P3647" s="3"/>
      <c r="Q3647" s="3"/>
      <c r="R3647" s="3"/>
      <c r="S3647" s="3"/>
      <c r="T3647" s="3"/>
      <c r="U3647" s="3"/>
      <c r="V3647" s="3"/>
      <c r="W3647" s="3"/>
      <c r="X3647" s="3"/>
      <c r="Y3647" s="4"/>
      <c r="Z3647"/>
      <c r="AA3647"/>
    </row>
    <row r="3648" spans="1:27" s="37" customFormat="1" x14ac:dyDescent="0.15">
      <c r="A3648" s="166"/>
      <c r="B3648" s="93"/>
      <c r="C3648" s="70"/>
      <c r="D3648" s="70"/>
      <c r="E3648" s="70"/>
      <c r="F3648" s="70"/>
      <c r="G3648" s="70"/>
      <c r="H3648" s="85"/>
      <c r="I3648" s="85"/>
      <c r="J3648" s="131"/>
      <c r="K3648" s="60"/>
      <c r="L3648" s="33"/>
      <c r="P3648" s="3"/>
      <c r="Q3648" s="3"/>
      <c r="R3648" s="3"/>
      <c r="S3648" s="3"/>
      <c r="T3648" s="3"/>
      <c r="U3648" s="3"/>
      <c r="V3648" s="3"/>
      <c r="W3648" s="3"/>
      <c r="X3648" s="3"/>
      <c r="Y3648" s="4"/>
      <c r="Z3648"/>
      <c r="AA3648"/>
    </row>
    <row r="3649" spans="1:27" s="37" customFormat="1" x14ac:dyDescent="0.15">
      <c r="A3649" s="166"/>
      <c r="B3649" s="93"/>
      <c r="C3649" s="70"/>
      <c r="D3649" s="70"/>
      <c r="E3649" s="70"/>
      <c r="F3649" s="70"/>
      <c r="G3649" s="70"/>
      <c r="H3649" s="85"/>
      <c r="I3649" s="85"/>
      <c r="J3649" s="131"/>
      <c r="K3649" s="60"/>
      <c r="L3649" s="33"/>
      <c r="P3649" s="3"/>
      <c r="Q3649" s="3"/>
      <c r="R3649" s="3"/>
      <c r="S3649" s="3"/>
      <c r="T3649" s="3"/>
      <c r="U3649" s="3"/>
      <c r="V3649" s="3"/>
      <c r="W3649" s="3"/>
      <c r="X3649" s="3"/>
      <c r="Y3649" s="4"/>
      <c r="Z3649"/>
      <c r="AA3649"/>
    </row>
    <row r="3650" spans="1:27" s="37" customFormat="1" x14ac:dyDescent="0.15">
      <c r="A3650" s="166"/>
      <c r="B3650" s="82"/>
      <c r="C3650" s="70"/>
      <c r="D3650" s="70"/>
      <c r="E3650" s="70"/>
      <c r="F3650" s="70"/>
      <c r="G3650" s="70"/>
      <c r="H3650" s="85"/>
      <c r="I3650" s="85"/>
      <c r="J3650" s="131"/>
      <c r="K3650" s="60"/>
      <c r="L3650" s="49"/>
      <c r="P3650" s="3"/>
      <c r="Q3650" s="3"/>
      <c r="R3650" s="3"/>
      <c r="S3650" s="3"/>
      <c r="T3650" s="3"/>
      <c r="U3650" s="3"/>
      <c r="V3650" s="3"/>
      <c r="W3650" s="3"/>
      <c r="X3650" s="3"/>
      <c r="Y3650" s="4"/>
      <c r="Z3650"/>
      <c r="AA3650"/>
    </row>
    <row r="3651" spans="1:27" s="37" customFormat="1" x14ac:dyDescent="0.15">
      <c r="A3651" s="166"/>
      <c r="B3651" s="82"/>
      <c r="C3651" s="70"/>
      <c r="D3651" s="70"/>
      <c r="E3651" s="70"/>
      <c r="F3651" s="70"/>
      <c r="G3651" s="70"/>
      <c r="H3651" s="85"/>
      <c r="I3651" s="85"/>
      <c r="J3651" s="131"/>
      <c r="K3651" s="60"/>
      <c r="L3651" s="33"/>
      <c r="P3651" s="3"/>
      <c r="Q3651" s="3"/>
      <c r="R3651" s="3"/>
      <c r="S3651" s="3"/>
      <c r="T3651" s="3"/>
      <c r="U3651" s="3"/>
      <c r="V3651" s="3"/>
      <c r="W3651" s="3"/>
      <c r="X3651" s="3"/>
      <c r="Y3651" s="4"/>
      <c r="Z3651"/>
      <c r="AA3651"/>
    </row>
    <row r="3652" spans="1:27" s="37" customFormat="1" x14ac:dyDescent="0.15">
      <c r="A3652" s="166"/>
      <c r="B3652" s="82"/>
      <c r="C3652" s="70"/>
      <c r="D3652" s="70"/>
      <c r="E3652" s="70"/>
      <c r="F3652" s="70"/>
      <c r="G3652" s="70"/>
      <c r="H3652" s="85"/>
      <c r="I3652" s="85"/>
      <c r="J3652" s="131"/>
      <c r="K3652" s="60"/>
      <c r="L3652" s="49"/>
      <c r="P3652" s="3"/>
      <c r="Q3652" s="3"/>
      <c r="R3652" s="3"/>
      <c r="S3652" s="3"/>
      <c r="T3652" s="3"/>
      <c r="U3652" s="3"/>
      <c r="V3652" s="3"/>
      <c r="W3652" s="3"/>
      <c r="X3652" s="3"/>
      <c r="Y3652" s="4"/>
      <c r="Z3652"/>
      <c r="AA3652"/>
    </row>
    <row r="3653" spans="1:27" s="37" customFormat="1" x14ac:dyDescent="0.15">
      <c r="A3653" s="166"/>
      <c r="B3653" s="93"/>
      <c r="C3653" s="70"/>
      <c r="D3653" s="70"/>
      <c r="E3653" s="70"/>
      <c r="F3653" s="70"/>
      <c r="G3653" s="70"/>
      <c r="H3653" s="85"/>
      <c r="I3653" s="85"/>
      <c r="J3653" s="131"/>
      <c r="K3653" s="60"/>
      <c r="L3653" s="33"/>
      <c r="P3653" s="3"/>
      <c r="Q3653" s="3"/>
      <c r="R3653" s="3"/>
      <c r="S3653" s="3"/>
      <c r="T3653" s="3"/>
      <c r="U3653" s="3"/>
      <c r="V3653" s="3"/>
      <c r="W3653" s="3"/>
      <c r="X3653" s="3"/>
      <c r="Y3653" s="4"/>
      <c r="Z3653"/>
      <c r="AA3653"/>
    </row>
    <row r="3654" spans="1:27" s="37" customFormat="1" x14ac:dyDescent="0.15">
      <c r="A3654" s="166"/>
      <c r="B3654" s="82"/>
      <c r="C3654" s="70"/>
      <c r="D3654" s="70"/>
      <c r="E3654" s="70"/>
      <c r="F3654" s="70"/>
      <c r="G3654" s="70"/>
      <c r="H3654" s="85"/>
      <c r="I3654" s="85"/>
      <c r="J3654" s="131"/>
      <c r="K3654" s="60"/>
      <c r="L3654" s="49"/>
      <c r="P3654" s="3"/>
      <c r="Q3654" s="3"/>
      <c r="R3654" s="3"/>
      <c r="S3654" s="3"/>
      <c r="T3654" s="3"/>
      <c r="U3654" s="3"/>
      <c r="V3654" s="3"/>
      <c r="W3654" s="3"/>
      <c r="X3654" s="3"/>
      <c r="Y3654" s="4"/>
      <c r="Z3654"/>
      <c r="AA3654"/>
    </row>
    <row r="3655" spans="1:27" s="37" customFormat="1" ht="16" x14ac:dyDescent="0.2">
      <c r="A3655" s="166"/>
      <c r="B3655" s="82"/>
      <c r="C3655" s="70"/>
      <c r="D3655" s="70"/>
      <c r="E3655" s="70"/>
      <c r="F3655" s="70"/>
      <c r="G3655" s="70"/>
      <c r="H3655" s="85"/>
      <c r="I3655" s="85"/>
      <c r="J3655" s="131"/>
      <c r="K3655" s="67"/>
      <c r="L3655" s="49"/>
      <c r="M3655" s="48"/>
      <c r="P3655" s="3"/>
      <c r="Q3655" s="3"/>
      <c r="R3655" s="3"/>
      <c r="S3655" s="3"/>
      <c r="T3655" s="3"/>
      <c r="U3655" s="3"/>
      <c r="V3655" s="3"/>
      <c r="W3655" s="3"/>
      <c r="X3655" s="3"/>
      <c r="Y3655" s="4"/>
      <c r="Z3655"/>
      <c r="AA3655"/>
    </row>
    <row r="3656" spans="1:27" s="37" customFormat="1" x14ac:dyDescent="0.15">
      <c r="A3656" s="166"/>
      <c r="B3656" s="82"/>
      <c r="C3656" s="70"/>
      <c r="D3656" s="70"/>
      <c r="E3656" s="70"/>
      <c r="F3656" s="70"/>
      <c r="G3656" s="70"/>
      <c r="H3656" s="85"/>
      <c r="I3656" s="85"/>
      <c r="J3656" s="131"/>
      <c r="K3656" s="60"/>
      <c r="L3656" s="49"/>
      <c r="P3656" s="3"/>
      <c r="Q3656" s="3"/>
      <c r="R3656" s="3"/>
      <c r="S3656" s="3"/>
      <c r="T3656" s="3"/>
      <c r="U3656" s="3"/>
      <c r="V3656" s="3"/>
      <c r="W3656" s="3"/>
      <c r="X3656" s="3"/>
      <c r="Y3656" s="4"/>
      <c r="Z3656"/>
      <c r="AA3656"/>
    </row>
    <row r="3657" spans="1:27" s="37" customFormat="1" x14ac:dyDescent="0.15">
      <c r="A3657" s="166"/>
      <c r="B3657" s="93"/>
      <c r="C3657" s="70"/>
      <c r="D3657" s="70"/>
      <c r="E3657" s="70"/>
      <c r="F3657" s="70"/>
      <c r="G3657" s="70"/>
      <c r="H3657" s="85"/>
      <c r="I3657" s="85"/>
      <c r="J3657" s="131"/>
      <c r="K3657" s="60"/>
      <c r="L3657" s="33"/>
      <c r="P3657" s="3"/>
      <c r="Q3657" s="3"/>
      <c r="R3657" s="3"/>
      <c r="S3657" s="3"/>
      <c r="T3657" s="3"/>
      <c r="U3657" s="3"/>
      <c r="V3657" s="3"/>
      <c r="W3657" s="3"/>
      <c r="X3657" s="3"/>
      <c r="Y3657" s="4"/>
      <c r="Z3657"/>
      <c r="AA3657"/>
    </row>
    <row r="3658" spans="1:27" s="37" customFormat="1" x14ac:dyDescent="0.15">
      <c r="A3658" s="166"/>
      <c r="B3658" s="93"/>
      <c r="C3658" s="70"/>
      <c r="D3658" s="70"/>
      <c r="E3658" s="70"/>
      <c r="F3658" s="70"/>
      <c r="G3658" s="70"/>
      <c r="H3658" s="85"/>
      <c r="I3658" s="85"/>
      <c r="J3658" s="131"/>
      <c r="K3658" s="60"/>
      <c r="L3658" s="33"/>
      <c r="P3658" s="3"/>
      <c r="Q3658" s="3"/>
      <c r="R3658" s="3"/>
      <c r="S3658" s="3"/>
      <c r="T3658" s="3"/>
      <c r="U3658" s="3"/>
      <c r="V3658" s="3"/>
      <c r="W3658" s="3"/>
      <c r="X3658" s="3"/>
      <c r="Y3658" s="4"/>
      <c r="Z3658"/>
      <c r="AA3658"/>
    </row>
    <row r="3659" spans="1:27" s="37" customFormat="1" x14ac:dyDescent="0.15">
      <c r="A3659" s="166"/>
      <c r="B3659" s="82"/>
      <c r="C3659" s="70"/>
      <c r="D3659" s="70"/>
      <c r="E3659" s="70"/>
      <c r="F3659" s="70"/>
      <c r="G3659" s="70"/>
      <c r="H3659" s="85"/>
      <c r="I3659" s="85"/>
      <c r="J3659" s="131"/>
      <c r="K3659" s="60"/>
      <c r="L3659" s="49"/>
      <c r="P3659" s="3"/>
      <c r="Q3659" s="3"/>
      <c r="R3659" s="3"/>
      <c r="S3659" s="3"/>
      <c r="T3659" s="3"/>
      <c r="U3659" s="3"/>
      <c r="V3659" s="3"/>
      <c r="W3659" s="3"/>
      <c r="X3659" s="3"/>
      <c r="Y3659" s="4"/>
      <c r="Z3659"/>
      <c r="AA3659"/>
    </row>
    <row r="3660" spans="1:27" s="37" customFormat="1" ht="16" x14ac:dyDescent="0.2">
      <c r="A3660" s="166"/>
      <c r="B3660" s="82"/>
      <c r="C3660" s="70"/>
      <c r="D3660" s="70"/>
      <c r="E3660" s="70"/>
      <c r="F3660" s="70"/>
      <c r="G3660" s="70"/>
      <c r="H3660" s="85"/>
      <c r="I3660" s="85"/>
      <c r="J3660" s="131"/>
      <c r="K3660" s="60"/>
      <c r="L3660" s="49"/>
      <c r="M3660" s="48"/>
      <c r="P3660" s="3"/>
      <c r="Q3660" s="3"/>
      <c r="R3660" s="3"/>
      <c r="S3660" s="3"/>
      <c r="T3660" s="3"/>
      <c r="U3660" s="3"/>
      <c r="V3660" s="3"/>
      <c r="W3660" s="3"/>
      <c r="X3660" s="3"/>
      <c r="Y3660" s="4"/>
      <c r="Z3660"/>
      <c r="AA3660"/>
    </row>
    <row r="3661" spans="1:27" s="37" customFormat="1" x14ac:dyDescent="0.15">
      <c r="A3661" s="166"/>
      <c r="B3661" s="82"/>
      <c r="C3661" s="70"/>
      <c r="D3661" s="70"/>
      <c r="E3661" s="70"/>
      <c r="F3661" s="70"/>
      <c r="G3661" s="70"/>
      <c r="H3661" s="85"/>
      <c r="I3661" s="85"/>
      <c r="J3661" s="131"/>
      <c r="K3661" s="60"/>
      <c r="L3661" s="49"/>
      <c r="P3661" s="3"/>
      <c r="Q3661" s="3"/>
      <c r="R3661" s="3"/>
      <c r="S3661" s="3"/>
      <c r="T3661" s="3"/>
      <c r="U3661" s="3"/>
      <c r="V3661" s="3"/>
      <c r="W3661" s="3"/>
      <c r="X3661" s="3"/>
      <c r="Y3661" s="4"/>
      <c r="Z3661"/>
      <c r="AA3661"/>
    </row>
    <row r="3662" spans="1:27" s="37" customFormat="1" x14ac:dyDescent="0.15">
      <c r="A3662" s="166"/>
      <c r="B3662" s="93"/>
      <c r="C3662" s="70"/>
      <c r="D3662" s="70"/>
      <c r="E3662" s="70"/>
      <c r="F3662" s="70"/>
      <c r="G3662" s="70"/>
      <c r="H3662" s="85"/>
      <c r="I3662" s="85"/>
      <c r="J3662" s="131"/>
      <c r="K3662" s="60"/>
      <c r="L3662" s="33"/>
      <c r="P3662" s="3"/>
      <c r="Q3662" s="3"/>
      <c r="R3662" s="3"/>
      <c r="S3662" s="3"/>
      <c r="T3662" s="3"/>
      <c r="U3662" s="3"/>
      <c r="V3662" s="3"/>
      <c r="W3662" s="3"/>
      <c r="X3662" s="3"/>
      <c r="Y3662" s="4"/>
      <c r="Z3662"/>
      <c r="AA3662"/>
    </row>
    <row r="3663" spans="1:27" s="3" customFormat="1" x14ac:dyDescent="0.15">
      <c r="A3663" s="166"/>
      <c r="B3663" s="93"/>
      <c r="C3663" s="70"/>
      <c r="D3663" s="70"/>
      <c r="E3663" s="70"/>
      <c r="F3663" s="70"/>
      <c r="G3663" s="70"/>
      <c r="H3663" s="85"/>
      <c r="I3663" s="85"/>
      <c r="J3663" s="131"/>
      <c r="K3663" s="60"/>
      <c r="L3663" s="33"/>
      <c r="M3663" s="37"/>
      <c r="N3663" s="37"/>
      <c r="O3663" s="37"/>
      <c r="Y3663" s="4"/>
      <c r="Z3663"/>
      <c r="AA3663"/>
    </row>
    <row r="3664" spans="1:27" s="3" customFormat="1" ht="14" x14ac:dyDescent="0.15">
      <c r="A3664" s="166"/>
      <c r="B3664" s="93"/>
      <c r="C3664" s="73"/>
      <c r="D3664" s="73"/>
      <c r="E3664" s="70"/>
      <c r="F3664" s="73"/>
      <c r="G3664" s="73"/>
      <c r="H3664" s="85"/>
      <c r="I3664" s="116"/>
      <c r="J3664" s="131"/>
      <c r="K3664" s="60"/>
      <c r="L3664" s="33"/>
      <c r="M3664" s="37"/>
      <c r="N3664" s="37"/>
      <c r="O3664" s="37"/>
      <c r="Y3664" s="4"/>
      <c r="Z3664"/>
      <c r="AA3664"/>
    </row>
    <row r="3665" spans="1:27" s="3" customFormat="1" x14ac:dyDescent="0.15">
      <c r="A3665" s="166"/>
      <c r="B3665" s="82"/>
      <c r="C3665" s="70"/>
      <c r="D3665" s="70"/>
      <c r="E3665" s="70"/>
      <c r="F3665" s="70"/>
      <c r="G3665" s="70"/>
      <c r="H3665" s="85"/>
      <c r="I3665" s="85"/>
      <c r="J3665" s="131"/>
      <c r="K3665" s="60"/>
      <c r="L3665" s="49"/>
      <c r="M3665" s="37"/>
      <c r="N3665" s="37"/>
      <c r="O3665" s="37"/>
      <c r="Y3665" s="4"/>
      <c r="Z3665"/>
      <c r="AA3665"/>
    </row>
    <row r="3666" spans="1:27" s="3" customFormat="1" x14ac:dyDescent="0.15">
      <c r="A3666" s="166"/>
      <c r="B3666" s="82"/>
      <c r="C3666" s="70"/>
      <c r="D3666" s="70"/>
      <c r="E3666" s="70"/>
      <c r="F3666" s="70"/>
      <c r="G3666" s="70"/>
      <c r="H3666" s="85"/>
      <c r="I3666" s="85"/>
      <c r="J3666" s="131"/>
      <c r="K3666" s="67"/>
      <c r="L3666" s="49"/>
      <c r="M3666" s="37"/>
      <c r="N3666" s="37"/>
      <c r="O3666" s="37"/>
      <c r="Y3666" s="4"/>
      <c r="Z3666"/>
      <c r="AA3666"/>
    </row>
    <row r="3667" spans="1:27" s="3" customFormat="1" x14ac:dyDescent="0.15">
      <c r="A3667" s="166"/>
      <c r="B3667" s="82"/>
      <c r="C3667" s="70"/>
      <c r="D3667" s="70"/>
      <c r="E3667" s="70"/>
      <c r="F3667" s="70"/>
      <c r="G3667" s="70"/>
      <c r="H3667" s="85"/>
      <c r="I3667" s="85"/>
      <c r="J3667" s="131"/>
      <c r="K3667" s="60"/>
      <c r="L3667" s="49"/>
      <c r="M3667" s="37"/>
      <c r="N3667" s="37"/>
      <c r="O3667" s="37"/>
      <c r="Y3667" s="4"/>
      <c r="Z3667"/>
      <c r="AA3667"/>
    </row>
    <row r="3668" spans="1:27" s="3" customFormat="1" x14ac:dyDescent="0.15">
      <c r="A3668" s="166"/>
      <c r="B3668" s="82"/>
      <c r="C3668" s="70"/>
      <c r="D3668" s="70"/>
      <c r="E3668" s="70"/>
      <c r="F3668" s="70"/>
      <c r="G3668" s="70"/>
      <c r="H3668" s="85"/>
      <c r="I3668" s="85"/>
      <c r="J3668" s="131"/>
      <c r="K3668" s="60"/>
      <c r="L3668" s="49"/>
      <c r="M3668" s="37"/>
      <c r="N3668" s="37"/>
      <c r="O3668" s="37"/>
      <c r="Y3668" s="4"/>
      <c r="Z3668"/>
      <c r="AA3668"/>
    </row>
    <row r="3669" spans="1:27" s="3" customFormat="1" ht="16" x14ac:dyDescent="0.2">
      <c r="A3669" s="166"/>
      <c r="B3669" s="82"/>
      <c r="C3669" s="70"/>
      <c r="D3669" s="70"/>
      <c r="E3669" s="70"/>
      <c r="F3669" s="70"/>
      <c r="G3669" s="70"/>
      <c r="H3669" s="85"/>
      <c r="I3669" s="85"/>
      <c r="J3669" s="131"/>
      <c r="K3669" s="60"/>
      <c r="L3669" s="33"/>
      <c r="M3669" s="48"/>
      <c r="N3669" s="37"/>
      <c r="O3669" s="37"/>
      <c r="P3669" s="6"/>
      <c r="Q3669" s="6"/>
      <c r="Y3669" s="4"/>
      <c r="Z3669"/>
      <c r="AA3669"/>
    </row>
    <row r="3670" spans="1:27" s="3" customFormat="1" x14ac:dyDescent="0.15">
      <c r="A3670" s="166"/>
      <c r="B3670" s="93"/>
      <c r="C3670" s="70"/>
      <c r="D3670" s="70"/>
      <c r="E3670" s="70"/>
      <c r="F3670" s="70"/>
      <c r="G3670" s="70"/>
      <c r="H3670" s="85"/>
      <c r="I3670" s="85"/>
      <c r="J3670" s="131"/>
      <c r="K3670" s="60"/>
      <c r="L3670" s="33"/>
      <c r="M3670" s="37"/>
      <c r="N3670" s="37"/>
      <c r="O3670" s="37"/>
      <c r="P3670" s="6"/>
      <c r="Q3670" s="6"/>
      <c r="Y3670" s="4"/>
      <c r="Z3670"/>
      <c r="AA3670"/>
    </row>
    <row r="3671" spans="1:27" s="3" customFormat="1" x14ac:dyDescent="0.15">
      <c r="A3671" s="166"/>
      <c r="B3671" s="93"/>
      <c r="C3671" s="70"/>
      <c r="D3671" s="70"/>
      <c r="E3671" s="70"/>
      <c r="F3671" s="70"/>
      <c r="G3671" s="70"/>
      <c r="H3671" s="85"/>
      <c r="I3671" s="85"/>
      <c r="J3671" s="131"/>
      <c r="K3671" s="60"/>
      <c r="L3671" s="33"/>
      <c r="M3671" s="37"/>
      <c r="N3671" s="37"/>
      <c r="O3671" s="37"/>
      <c r="P3671" s="6"/>
      <c r="Q3671" s="6"/>
      <c r="Y3671" s="4"/>
      <c r="Z3671"/>
      <c r="AA3671"/>
    </row>
    <row r="3672" spans="1:27" s="3" customFormat="1" x14ac:dyDescent="0.15">
      <c r="A3672" s="170"/>
      <c r="B3672" s="93"/>
      <c r="C3672" s="70"/>
      <c r="D3672" s="70"/>
      <c r="E3672" s="70"/>
      <c r="F3672" s="70"/>
      <c r="G3672" s="70"/>
      <c r="H3672" s="85"/>
      <c r="I3672" s="85"/>
      <c r="J3672" s="131"/>
      <c r="K3672" s="60"/>
      <c r="L3672" s="33"/>
      <c r="M3672" s="37"/>
      <c r="N3672" s="37"/>
      <c r="O3672" s="37"/>
      <c r="P3672" s="6"/>
      <c r="Q3672" s="6"/>
      <c r="Y3672" s="4"/>
      <c r="Z3672"/>
      <c r="AA3672"/>
    </row>
    <row r="3673" spans="1:27" s="3" customFormat="1" x14ac:dyDescent="0.15">
      <c r="A3673" s="166"/>
      <c r="B3673" s="93"/>
      <c r="C3673" s="70"/>
      <c r="D3673" s="70"/>
      <c r="E3673" s="70"/>
      <c r="F3673" s="70"/>
      <c r="G3673" s="70"/>
      <c r="H3673" s="85"/>
      <c r="I3673" s="85"/>
      <c r="J3673" s="131"/>
      <c r="K3673" s="60"/>
      <c r="L3673" s="33"/>
      <c r="M3673" s="37"/>
      <c r="N3673" s="37"/>
      <c r="O3673" s="37"/>
      <c r="P3673" s="6"/>
      <c r="Q3673" s="6"/>
      <c r="Y3673" s="4"/>
      <c r="Z3673"/>
      <c r="AA3673"/>
    </row>
    <row r="3674" spans="1:27" s="3" customFormat="1" x14ac:dyDescent="0.15">
      <c r="A3674" s="166"/>
      <c r="B3674" s="82"/>
      <c r="C3674" s="70"/>
      <c r="D3674" s="70"/>
      <c r="E3674" s="70"/>
      <c r="F3674" s="70"/>
      <c r="G3674" s="70"/>
      <c r="H3674" s="85"/>
      <c r="I3674" s="85"/>
      <c r="J3674" s="131"/>
      <c r="K3674" s="60"/>
      <c r="L3674" s="33"/>
      <c r="M3674" s="37"/>
      <c r="N3674" s="37"/>
      <c r="O3674" s="37"/>
      <c r="P3674" s="6"/>
      <c r="Q3674" s="6"/>
      <c r="Y3674" s="4"/>
      <c r="Z3674"/>
      <c r="AA3674"/>
    </row>
    <row r="3675" spans="1:27" s="3" customFormat="1" x14ac:dyDescent="0.15">
      <c r="A3675" s="166"/>
      <c r="B3675" s="82"/>
      <c r="C3675" s="70"/>
      <c r="D3675" s="70"/>
      <c r="E3675" s="70"/>
      <c r="F3675" s="70"/>
      <c r="G3675" s="70"/>
      <c r="H3675" s="85"/>
      <c r="I3675" s="85"/>
      <c r="J3675" s="131"/>
      <c r="K3675" s="60"/>
      <c r="L3675" s="49"/>
      <c r="M3675" s="37"/>
      <c r="N3675" s="37"/>
      <c r="O3675" s="37"/>
      <c r="P3675" s="6"/>
      <c r="Q3675" s="6"/>
      <c r="Y3675" s="4"/>
      <c r="Z3675"/>
      <c r="AA3675"/>
    </row>
    <row r="3676" spans="1:27" s="3" customFormat="1" x14ac:dyDescent="0.15">
      <c r="A3676" s="166"/>
      <c r="B3676" s="82"/>
      <c r="C3676" s="70"/>
      <c r="D3676" s="70"/>
      <c r="E3676" s="70"/>
      <c r="F3676" s="70"/>
      <c r="G3676" s="70"/>
      <c r="H3676" s="85"/>
      <c r="I3676" s="85"/>
      <c r="J3676" s="131"/>
      <c r="K3676" s="60"/>
      <c r="L3676" s="49"/>
      <c r="M3676" s="37"/>
      <c r="N3676" s="37"/>
      <c r="O3676" s="37"/>
      <c r="P3676" s="6"/>
      <c r="Q3676" s="6"/>
      <c r="Y3676" s="4"/>
      <c r="Z3676"/>
      <c r="AA3676"/>
    </row>
    <row r="3677" spans="1:27" s="3" customFormat="1" x14ac:dyDescent="0.15">
      <c r="A3677" s="166"/>
      <c r="B3677" s="82"/>
      <c r="C3677" s="70"/>
      <c r="D3677" s="70"/>
      <c r="E3677" s="70"/>
      <c r="F3677" s="70"/>
      <c r="G3677" s="70"/>
      <c r="H3677" s="85"/>
      <c r="I3677" s="85"/>
      <c r="J3677" s="131"/>
      <c r="K3677" s="60"/>
      <c r="L3677" s="49"/>
      <c r="M3677" s="37"/>
      <c r="N3677" s="37"/>
      <c r="O3677" s="37"/>
      <c r="P3677" s="6"/>
      <c r="Q3677" s="6"/>
      <c r="Y3677" s="4"/>
      <c r="Z3677"/>
      <c r="AA3677"/>
    </row>
    <row r="3678" spans="1:27" s="3" customFormat="1" x14ac:dyDescent="0.15">
      <c r="A3678" s="166"/>
      <c r="B3678" s="82"/>
      <c r="C3678" s="70"/>
      <c r="D3678" s="70"/>
      <c r="E3678" s="70"/>
      <c r="F3678" s="70"/>
      <c r="G3678" s="70"/>
      <c r="H3678" s="85"/>
      <c r="I3678" s="85"/>
      <c r="J3678" s="131"/>
      <c r="K3678" s="60"/>
      <c r="L3678" s="49"/>
      <c r="M3678" s="37"/>
      <c r="N3678" s="37"/>
      <c r="O3678" s="37"/>
      <c r="P3678" s="6"/>
      <c r="Q3678" s="6"/>
      <c r="Y3678" s="4"/>
      <c r="Z3678"/>
      <c r="AA3678"/>
    </row>
    <row r="3679" spans="1:27" s="3" customFormat="1" x14ac:dyDescent="0.15">
      <c r="A3679" s="166"/>
      <c r="B3679" s="82"/>
      <c r="C3679" s="70"/>
      <c r="D3679" s="70"/>
      <c r="E3679" s="70"/>
      <c r="F3679" s="70"/>
      <c r="G3679" s="70"/>
      <c r="H3679" s="85"/>
      <c r="I3679" s="85"/>
      <c r="J3679" s="131"/>
      <c r="K3679" s="60"/>
      <c r="L3679" s="49"/>
      <c r="M3679" s="37"/>
      <c r="N3679" s="37"/>
      <c r="O3679" s="37"/>
      <c r="P3679" s="6"/>
      <c r="Q3679" s="6"/>
      <c r="Y3679" s="4"/>
      <c r="Z3679"/>
      <c r="AA3679"/>
    </row>
    <row r="3680" spans="1:27" s="3" customFormat="1" x14ac:dyDescent="0.15">
      <c r="A3680" s="166"/>
      <c r="B3680" s="82"/>
      <c r="C3680" s="70"/>
      <c r="D3680" s="70"/>
      <c r="E3680" s="70"/>
      <c r="F3680" s="70"/>
      <c r="G3680" s="70"/>
      <c r="H3680" s="85"/>
      <c r="I3680" s="85"/>
      <c r="J3680" s="131"/>
      <c r="K3680" s="60"/>
      <c r="L3680" s="49"/>
      <c r="M3680" s="37"/>
      <c r="N3680" s="37"/>
      <c r="O3680" s="37"/>
      <c r="P3680"/>
      <c r="Q3680"/>
      <c r="Y3680" s="4"/>
      <c r="Z3680"/>
      <c r="AA3680"/>
    </row>
    <row r="3681" spans="1:27" s="3" customFormat="1" x14ac:dyDescent="0.15">
      <c r="A3681" s="166"/>
      <c r="B3681" s="82"/>
      <c r="C3681" s="70"/>
      <c r="D3681" s="70"/>
      <c r="E3681" s="70"/>
      <c r="F3681" s="70"/>
      <c r="G3681" s="70"/>
      <c r="H3681" s="85"/>
      <c r="I3681" s="85"/>
      <c r="J3681" s="131"/>
      <c r="K3681" s="60"/>
      <c r="L3681" s="33"/>
      <c r="M3681" s="37"/>
      <c r="N3681" s="37"/>
      <c r="O3681" s="37"/>
      <c r="P3681"/>
      <c r="Q3681"/>
      <c r="Y3681" s="4"/>
      <c r="Z3681"/>
      <c r="AA3681"/>
    </row>
    <row r="3682" spans="1:27" s="3" customFormat="1" x14ac:dyDescent="0.15">
      <c r="A3682" s="166"/>
      <c r="B3682" s="82"/>
      <c r="C3682" s="70"/>
      <c r="D3682" s="70"/>
      <c r="E3682" s="70"/>
      <c r="F3682" s="70"/>
      <c r="G3682" s="70"/>
      <c r="H3682" s="85"/>
      <c r="I3682" s="85"/>
      <c r="J3682" s="131"/>
      <c r="K3682" s="60"/>
      <c r="L3682" s="33"/>
      <c r="M3682" s="37"/>
      <c r="N3682" s="37"/>
      <c r="O3682" s="37"/>
      <c r="P3682"/>
      <c r="Q3682"/>
      <c r="Y3682" s="4"/>
      <c r="Z3682"/>
      <c r="AA3682"/>
    </row>
    <row r="3683" spans="1:27" s="3" customFormat="1" x14ac:dyDescent="0.15">
      <c r="A3683" s="166"/>
      <c r="B3683" s="93"/>
      <c r="C3683" s="70"/>
      <c r="D3683" s="70"/>
      <c r="E3683" s="70"/>
      <c r="F3683" s="70"/>
      <c r="G3683" s="70"/>
      <c r="H3683" s="85"/>
      <c r="I3683" s="85"/>
      <c r="J3683" s="131"/>
      <c r="K3683" s="60"/>
      <c r="L3683" s="33"/>
      <c r="M3683" s="37"/>
      <c r="N3683" s="37"/>
      <c r="O3683" s="37"/>
      <c r="P3683"/>
      <c r="Q3683"/>
      <c r="Y3683" s="4"/>
      <c r="Z3683"/>
      <c r="AA3683"/>
    </row>
    <row r="3684" spans="1:27" s="3" customFormat="1" ht="16" x14ac:dyDescent="0.2">
      <c r="A3684" s="166"/>
      <c r="B3684" s="93"/>
      <c r="C3684" s="70"/>
      <c r="D3684" s="70"/>
      <c r="E3684" s="70"/>
      <c r="F3684" s="70"/>
      <c r="G3684" s="70"/>
      <c r="H3684" s="85"/>
      <c r="I3684" s="85"/>
      <c r="J3684" s="131"/>
      <c r="K3684" s="60"/>
      <c r="L3684" s="33"/>
      <c r="M3684" s="48"/>
      <c r="N3684" s="37"/>
      <c r="O3684" s="37"/>
      <c r="P3684"/>
      <c r="Q3684"/>
      <c r="Y3684" s="4"/>
      <c r="Z3684"/>
      <c r="AA3684"/>
    </row>
    <row r="3685" spans="1:27" s="3" customFormat="1" x14ac:dyDescent="0.15">
      <c r="A3685" s="166"/>
      <c r="B3685" s="82"/>
      <c r="C3685" s="70"/>
      <c r="D3685" s="70"/>
      <c r="E3685" s="70"/>
      <c r="F3685" s="70"/>
      <c r="G3685" s="70"/>
      <c r="H3685" s="85"/>
      <c r="I3685" s="85"/>
      <c r="J3685" s="131"/>
      <c r="K3685" s="60"/>
      <c r="L3685" s="49"/>
      <c r="M3685" s="37"/>
      <c r="N3685" s="37"/>
      <c r="O3685" s="37"/>
      <c r="P3685"/>
      <c r="Q3685"/>
      <c r="Y3685" s="4"/>
      <c r="Z3685"/>
      <c r="AA3685"/>
    </row>
    <row r="3686" spans="1:27" s="3" customFormat="1" x14ac:dyDescent="0.15">
      <c r="A3686" s="166"/>
      <c r="B3686" s="93"/>
      <c r="C3686" s="70"/>
      <c r="D3686" s="70"/>
      <c r="E3686" s="70"/>
      <c r="F3686" s="70"/>
      <c r="G3686" s="70"/>
      <c r="H3686" s="85"/>
      <c r="I3686" s="85"/>
      <c r="J3686" s="131"/>
      <c r="K3686" s="60"/>
      <c r="L3686" s="33"/>
      <c r="M3686" s="37"/>
      <c r="N3686" s="37"/>
      <c r="O3686" s="37"/>
      <c r="P3686"/>
      <c r="Q3686"/>
      <c r="Y3686" s="4"/>
      <c r="Z3686"/>
      <c r="AA3686"/>
    </row>
    <row r="3687" spans="1:27" s="3" customFormat="1" x14ac:dyDescent="0.15">
      <c r="A3687" s="166"/>
      <c r="B3687" s="82"/>
      <c r="C3687" s="70"/>
      <c r="D3687" s="70"/>
      <c r="E3687" s="70"/>
      <c r="F3687" s="70"/>
      <c r="G3687" s="70"/>
      <c r="H3687" s="85"/>
      <c r="I3687" s="85"/>
      <c r="J3687" s="131"/>
      <c r="K3687" s="60"/>
      <c r="L3687" s="49"/>
      <c r="M3687" s="37"/>
      <c r="N3687" s="37"/>
      <c r="O3687" s="37"/>
      <c r="P3687"/>
      <c r="Q3687"/>
      <c r="Y3687" s="4"/>
      <c r="Z3687"/>
      <c r="AA3687"/>
    </row>
    <row r="3688" spans="1:27" s="3" customFormat="1" x14ac:dyDescent="0.15">
      <c r="A3688" s="166"/>
      <c r="B3688" s="82"/>
      <c r="C3688" s="70"/>
      <c r="D3688" s="70"/>
      <c r="E3688" s="70"/>
      <c r="F3688" s="70"/>
      <c r="G3688" s="70"/>
      <c r="H3688" s="85"/>
      <c r="I3688" s="85"/>
      <c r="J3688" s="131"/>
      <c r="K3688" s="60"/>
      <c r="L3688" s="49"/>
      <c r="M3688" s="37"/>
      <c r="N3688" s="37"/>
      <c r="O3688" s="37"/>
      <c r="P3688"/>
      <c r="Q3688"/>
      <c r="Y3688" s="4"/>
      <c r="Z3688"/>
      <c r="AA3688"/>
    </row>
    <row r="3689" spans="1:27" s="3" customFormat="1" x14ac:dyDescent="0.15">
      <c r="A3689" s="166"/>
      <c r="B3689" s="82"/>
      <c r="C3689" s="70"/>
      <c r="D3689" s="70"/>
      <c r="E3689" s="70"/>
      <c r="F3689" s="70"/>
      <c r="G3689" s="70"/>
      <c r="H3689" s="85"/>
      <c r="I3689" s="85"/>
      <c r="J3689" s="131"/>
      <c r="K3689" s="60"/>
      <c r="L3689" s="49"/>
      <c r="M3689" s="37"/>
      <c r="N3689" s="37"/>
      <c r="O3689" s="37"/>
      <c r="P3689"/>
      <c r="Q3689"/>
      <c r="Y3689" s="4"/>
      <c r="Z3689"/>
      <c r="AA3689"/>
    </row>
    <row r="3690" spans="1:27" s="3" customFormat="1" x14ac:dyDescent="0.15">
      <c r="A3690" s="166"/>
      <c r="B3690" s="93"/>
      <c r="C3690" s="70"/>
      <c r="D3690" s="70"/>
      <c r="E3690" s="70"/>
      <c r="F3690" s="70"/>
      <c r="G3690" s="70"/>
      <c r="H3690" s="85"/>
      <c r="I3690" s="85"/>
      <c r="J3690" s="131"/>
      <c r="K3690" s="60"/>
      <c r="L3690" s="33"/>
      <c r="M3690" s="37"/>
      <c r="N3690" s="37"/>
      <c r="O3690" s="37"/>
      <c r="Y3690" s="4"/>
      <c r="Z3690"/>
      <c r="AA3690"/>
    </row>
    <row r="3691" spans="1:27" s="3" customFormat="1" x14ac:dyDescent="0.15">
      <c r="A3691" s="166"/>
      <c r="B3691" s="93"/>
      <c r="C3691" s="70"/>
      <c r="D3691" s="70"/>
      <c r="E3691" s="70"/>
      <c r="F3691" s="70"/>
      <c r="G3691" s="70"/>
      <c r="H3691" s="85"/>
      <c r="I3691" s="85"/>
      <c r="J3691" s="131"/>
      <c r="K3691" s="60"/>
      <c r="L3691" s="33"/>
      <c r="M3691" s="37"/>
      <c r="N3691" s="37"/>
      <c r="O3691" s="37"/>
      <c r="Y3691" s="4"/>
      <c r="Z3691"/>
      <c r="AA3691"/>
    </row>
    <row r="3692" spans="1:27" s="3" customFormat="1" x14ac:dyDescent="0.15">
      <c r="A3692" s="166"/>
      <c r="B3692" s="93"/>
      <c r="C3692" s="70"/>
      <c r="D3692" s="70"/>
      <c r="E3692" s="70"/>
      <c r="F3692" s="70"/>
      <c r="G3692" s="70"/>
      <c r="H3692" s="85"/>
      <c r="I3692" s="85"/>
      <c r="J3692" s="131"/>
      <c r="K3692" s="60"/>
      <c r="L3692" s="33"/>
      <c r="M3692" s="37"/>
      <c r="N3692" s="37"/>
      <c r="O3692" s="37"/>
      <c r="Y3692" s="4"/>
      <c r="Z3692"/>
      <c r="AA3692"/>
    </row>
    <row r="3693" spans="1:27" s="3" customFormat="1" x14ac:dyDescent="0.15">
      <c r="A3693" s="166"/>
      <c r="B3693" s="82"/>
      <c r="C3693" s="70"/>
      <c r="D3693" s="70"/>
      <c r="E3693" s="70"/>
      <c r="F3693" s="70"/>
      <c r="G3693" s="70"/>
      <c r="H3693" s="85"/>
      <c r="I3693" s="85"/>
      <c r="J3693" s="131"/>
      <c r="K3693" s="60"/>
      <c r="L3693" s="49"/>
      <c r="M3693" s="37"/>
      <c r="N3693" s="37"/>
      <c r="O3693" s="37"/>
      <c r="Y3693" s="4"/>
      <c r="Z3693"/>
      <c r="AA3693"/>
    </row>
    <row r="3694" spans="1:27" s="3" customFormat="1" x14ac:dyDescent="0.15">
      <c r="A3694" s="166"/>
      <c r="B3694" s="82"/>
      <c r="C3694" s="70"/>
      <c r="D3694" s="70"/>
      <c r="E3694" s="70"/>
      <c r="F3694" s="70"/>
      <c r="G3694" s="70"/>
      <c r="H3694" s="85"/>
      <c r="I3694" s="85"/>
      <c r="J3694" s="131"/>
      <c r="K3694" s="60"/>
      <c r="L3694" s="49"/>
      <c r="M3694" s="37"/>
      <c r="N3694" s="37"/>
      <c r="O3694" s="37"/>
      <c r="Y3694" s="4"/>
      <c r="Z3694"/>
      <c r="AA3694"/>
    </row>
    <row r="3695" spans="1:27" ht="16" x14ac:dyDescent="0.2">
      <c r="A3695" s="166"/>
      <c r="B3695" s="82"/>
      <c r="C3695" s="70"/>
      <c r="D3695" s="70"/>
      <c r="E3695" s="70"/>
      <c r="F3695" s="70"/>
      <c r="G3695" s="70"/>
      <c r="H3695" s="85"/>
      <c r="I3695" s="85"/>
      <c r="J3695" s="131"/>
      <c r="K3695" s="60"/>
      <c r="M3695" s="48"/>
    </row>
    <row r="3696" spans="1:27" x14ac:dyDescent="0.15">
      <c r="A3696" s="166"/>
      <c r="B3696" s="93"/>
      <c r="C3696" s="70"/>
      <c r="D3696" s="70"/>
      <c r="E3696" s="70"/>
      <c r="F3696" s="70"/>
      <c r="G3696" s="70"/>
      <c r="H3696" s="85"/>
      <c r="I3696" s="85"/>
      <c r="J3696" s="131"/>
      <c r="K3696" s="60"/>
      <c r="L3696" s="33"/>
    </row>
    <row r="3697" spans="1:27" x14ac:dyDescent="0.15">
      <c r="A3697" s="166"/>
      <c r="B3697" s="93"/>
      <c r="C3697" s="73"/>
      <c r="D3697" s="73"/>
      <c r="E3697" s="70"/>
      <c r="F3697" s="73"/>
      <c r="G3697" s="73"/>
      <c r="H3697" s="85"/>
      <c r="I3697" s="95"/>
      <c r="J3697" s="131"/>
      <c r="K3697" s="60"/>
      <c r="L3697" s="33"/>
      <c r="R3697"/>
      <c r="S3697"/>
      <c r="T3697"/>
      <c r="U3697"/>
      <c r="V3697"/>
      <c r="W3697"/>
      <c r="X3697"/>
      <c r="Y3697"/>
    </row>
    <row r="3698" spans="1:27" x14ac:dyDescent="0.15">
      <c r="A3698" s="166"/>
      <c r="B3698" s="93"/>
      <c r="C3698" s="73"/>
      <c r="D3698" s="73"/>
      <c r="E3698" s="70"/>
      <c r="F3698" s="73"/>
      <c r="G3698" s="73"/>
      <c r="H3698" s="85"/>
      <c r="I3698" s="95"/>
      <c r="J3698" s="131"/>
      <c r="K3698" s="60"/>
      <c r="L3698" s="33"/>
    </row>
    <row r="3699" spans="1:27" x14ac:dyDescent="0.15">
      <c r="A3699" s="166"/>
      <c r="B3699" s="82"/>
      <c r="C3699" s="70"/>
      <c r="D3699" s="70"/>
      <c r="E3699" s="70"/>
      <c r="F3699" s="70"/>
      <c r="G3699" s="70"/>
      <c r="H3699" s="85"/>
      <c r="I3699" s="85"/>
      <c r="J3699" s="131"/>
      <c r="K3699" s="60"/>
    </row>
    <row r="3700" spans="1:27" x14ac:dyDescent="0.15">
      <c r="A3700" s="166"/>
      <c r="B3700" s="82"/>
      <c r="C3700" s="70"/>
      <c r="D3700" s="70"/>
      <c r="E3700" s="70"/>
      <c r="F3700" s="70"/>
      <c r="G3700" s="70"/>
      <c r="H3700" s="85"/>
      <c r="I3700" s="85"/>
      <c r="J3700" s="131"/>
      <c r="K3700" s="60"/>
    </row>
    <row r="3701" spans="1:27" ht="16" x14ac:dyDescent="0.2">
      <c r="A3701" s="166"/>
      <c r="B3701" s="82"/>
      <c r="C3701" s="70"/>
      <c r="D3701" s="70"/>
      <c r="E3701" s="70"/>
      <c r="F3701" s="70"/>
      <c r="G3701" s="70"/>
      <c r="H3701" s="85"/>
      <c r="I3701" s="85"/>
      <c r="J3701" s="131"/>
      <c r="K3701" s="60"/>
      <c r="M3701" s="48"/>
      <c r="R3701"/>
      <c r="S3701"/>
      <c r="T3701"/>
      <c r="U3701"/>
      <c r="V3701"/>
      <c r="W3701"/>
      <c r="X3701"/>
      <c r="Y3701"/>
    </row>
    <row r="3702" spans="1:27" x14ac:dyDescent="0.15">
      <c r="A3702" s="166"/>
      <c r="B3702" s="82"/>
      <c r="C3702" s="70"/>
      <c r="D3702" s="70"/>
      <c r="E3702" s="70"/>
      <c r="F3702" s="70"/>
      <c r="G3702" s="70"/>
      <c r="H3702" s="85"/>
      <c r="I3702" s="85"/>
      <c r="J3702" s="131"/>
      <c r="K3702" s="60"/>
    </row>
    <row r="3703" spans="1:27" x14ac:dyDescent="0.15">
      <c r="A3703" s="166"/>
      <c r="B3703" s="82"/>
      <c r="C3703" s="70"/>
      <c r="D3703" s="70"/>
      <c r="E3703" s="70"/>
      <c r="F3703" s="70"/>
      <c r="G3703" s="70"/>
      <c r="H3703" s="85"/>
      <c r="I3703" s="85"/>
      <c r="J3703" s="131"/>
      <c r="K3703" s="67"/>
    </row>
    <row r="3704" spans="1:27" x14ac:dyDescent="0.15">
      <c r="A3704" s="166"/>
      <c r="B3704" s="82"/>
      <c r="C3704" s="70"/>
      <c r="D3704" s="70"/>
      <c r="E3704" s="70"/>
      <c r="F3704" s="70"/>
      <c r="G3704" s="70"/>
      <c r="H3704" s="85"/>
      <c r="I3704" s="85"/>
      <c r="J3704" s="131"/>
      <c r="K3704" s="60"/>
      <c r="P3704" s="6"/>
      <c r="Q3704" s="6"/>
    </row>
    <row r="3705" spans="1:27" x14ac:dyDescent="0.15">
      <c r="A3705" s="166"/>
      <c r="B3705" s="82"/>
      <c r="C3705" s="70"/>
      <c r="D3705" s="70"/>
      <c r="E3705" s="70"/>
      <c r="F3705" s="70"/>
      <c r="G3705" s="70"/>
      <c r="H3705" s="85"/>
      <c r="I3705" s="85"/>
      <c r="J3705" s="131"/>
      <c r="K3705" s="60"/>
    </row>
    <row r="3706" spans="1:27" x14ac:dyDescent="0.15">
      <c r="A3706" s="166"/>
      <c r="B3706" s="82"/>
      <c r="C3706" s="70"/>
      <c r="D3706" s="70"/>
      <c r="E3706" s="70"/>
      <c r="F3706" s="70"/>
      <c r="G3706" s="70"/>
      <c r="H3706" s="85"/>
      <c r="I3706" s="85"/>
      <c r="J3706" s="131"/>
      <c r="K3706" s="60"/>
    </row>
    <row r="3707" spans="1:27" x14ac:dyDescent="0.15">
      <c r="A3707" s="166"/>
      <c r="B3707" s="82"/>
      <c r="C3707" s="70"/>
      <c r="D3707" s="70"/>
      <c r="E3707" s="70"/>
      <c r="F3707" s="70"/>
      <c r="G3707" s="70"/>
      <c r="H3707" s="85"/>
      <c r="I3707" s="85"/>
      <c r="J3707" s="131"/>
      <c r="K3707" s="60"/>
    </row>
    <row r="3708" spans="1:27" x14ac:dyDescent="0.15">
      <c r="A3708" s="166"/>
      <c r="B3708" s="82"/>
      <c r="C3708" s="73"/>
      <c r="D3708" s="73"/>
      <c r="E3708" s="70"/>
      <c r="F3708" s="73"/>
      <c r="G3708" s="73"/>
      <c r="H3708" s="85"/>
      <c r="I3708" s="95"/>
      <c r="J3708" s="131"/>
      <c r="K3708" s="60"/>
      <c r="L3708" s="33"/>
    </row>
    <row r="3709" spans="1:27" ht="16" x14ac:dyDescent="0.2">
      <c r="A3709" s="166"/>
      <c r="B3709" s="93"/>
      <c r="C3709" s="70"/>
      <c r="D3709" s="70"/>
      <c r="E3709" s="70"/>
      <c r="F3709" s="70"/>
      <c r="G3709" s="70"/>
      <c r="H3709" s="85"/>
      <c r="I3709" s="85"/>
      <c r="J3709" s="131"/>
      <c r="K3709" s="60"/>
      <c r="M3709" s="48"/>
    </row>
    <row r="3710" spans="1:27" ht="16" x14ac:dyDescent="0.2">
      <c r="A3710" s="166"/>
      <c r="B3710" s="93"/>
      <c r="C3710" s="70"/>
      <c r="D3710" s="70"/>
      <c r="E3710" s="70"/>
      <c r="F3710" s="70"/>
      <c r="G3710" s="70"/>
      <c r="H3710" s="85"/>
      <c r="I3710" s="85"/>
      <c r="J3710" s="131"/>
      <c r="K3710" s="60"/>
      <c r="L3710" s="33"/>
      <c r="M3710" s="48"/>
      <c r="O3710" s="35"/>
    </row>
    <row r="3711" spans="1:27" s="37" customFormat="1" x14ac:dyDescent="0.15">
      <c r="A3711" s="166"/>
      <c r="B3711" s="93"/>
      <c r="C3711" s="73"/>
      <c r="D3711" s="73"/>
      <c r="E3711" s="70"/>
      <c r="F3711" s="73"/>
      <c r="G3711" s="73"/>
      <c r="H3711" s="85"/>
      <c r="I3711" s="95"/>
      <c r="J3711" s="131"/>
      <c r="K3711" s="60"/>
      <c r="L3711" s="33"/>
      <c r="P3711" s="3"/>
      <c r="Q3711" s="3"/>
      <c r="R3711" s="3"/>
      <c r="S3711" s="3"/>
      <c r="T3711" s="3"/>
      <c r="U3711" s="3"/>
      <c r="V3711" s="3"/>
      <c r="W3711" s="3"/>
      <c r="X3711" s="3"/>
      <c r="Y3711" s="4"/>
      <c r="Z3711"/>
      <c r="AA3711"/>
    </row>
    <row r="3712" spans="1:27" s="37" customFormat="1" x14ac:dyDescent="0.15">
      <c r="A3712" s="166"/>
      <c r="B3712" s="93"/>
      <c r="C3712" s="70"/>
      <c r="D3712" s="70"/>
      <c r="E3712" s="70"/>
      <c r="F3712" s="70"/>
      <c r="G3712" s="70"/>
      <c r="H3712" s="85"/>
      <c r="I3712" s="85"/>
      <c r="J3712" s="131"/>
      <c r="K3712" s="60"/>
      <c r="L3712" s="33"/>
      <c r="P3712" s="3"/>
      <c r="Q3712" s="3"/>
      <c r="R3712" s="3"/>
      <c r="S3712" s="3"/>
      <c r="T3712" s="3"/>
      <c r="U3712" s="3"/>
      <c r="V3712" s="3"/>
      <c r="W3712" s="3"/>
      <c r="X3712" s="3"/>
      <c r="Y3712" s="4"/>
      <c r="Z3712"/>
      <c r="AA3712"/>
    </row>
    <row r="3713" spans="1:27" s="37" customFormat="1" x14ac:dyDescent="0.15">
      <c r="A3713" s="166"/>
      <c r="B3713" s="82"/>
      <c r="C3713" s="70"/>
      <c r="D3713" s="70"/>
      <c r="E3713" s="70"/>
      <c r="F3713" s="70"/>
      <c r="G3713" s="70"/>
      <c r="H3713" s="85"/>
      <c r="I3713" s="85"/>
      <c r="J3713" s="131"/>
      <c r="K3713" s="60"/>
      <c r="L3713" s="33"/>
      <c r="P3713" s="3"/>
      <c r="Q3713" s="3"/>
      <c r="R3713" s="3"/>
      <c r="S3713" s="3"/>
      <c r="T3713" s="3"/>
      <c r="U3713" s="3"/>
      <c r="V3713" s="3"/>
      <c r="W3713" s="3"/>
      <c r="X3713" s="3"/>
      <c r="Y3713" s="4"/>
      <c r="Z3713"/>
      <c r="AA3713"/>
    </row>
    <row r="3714" spans="1:27" s="37" customFormat="1" x14ac:dyDescent="0.15">
      <c r="A3714" s="166"/>
      <c r="B3714" s="93"/>
      <c r="C3714" s="73"/>
      <c r="D3714" s="73"/>
      <c r="E3714" s="70"/>
      <c r="F3714" s="73"/>
      <c r="G3714" s="73"/>
      <c r="H3714" s="85"/>
      <c r="I3714" s="95"/>
      <c r="J3714" s="131"/>
      <c r="K3714" s="60"/>
      <c r="L3714" s="33"/>
      <c r="P3714" s="3"/>
      <c r="Q3714" s="3"/>
      <c r="R3714" s="3"/>
      <c r="S3714" s="3"/>
      <c r="T3714" s="3"/>
      <c r="U3714" s="3"/>
      <c r="V3714" s="3"/>
      <c r="W3714" s="3"/>
      <c r="X3714" s="3"/>
      <c r="Y3714" s="4"/>
      <c r="Z3714"/>
      <c r="AA3714"/>
    </row>
    <row r="3715" spans="1:27" s="37" customFormat="1" x14ac:dyDescent="0.15">
      <c r="A3715" s="166"/>
      <c r="B3715" s="93"/>
      <c r="C3715" s="70"/>
      <c r="D3715" s="70"/>
      <c r="E3715" s="70"/>
      <c r="F3715" s="70"/>
      <c r="G3715" s="70"/>
      <c r="H3715" s="85"/>
      <c r="I3715" s="85"/>
      <c r="J3715" s="131"/>
      <c r="K3715" s="60"/>
      <c r="L3715" s="33"/>
      <c r="P3715" s="3"/>
      <c r="Q3715" s="3"/>
      <c r="R3715" s="3"/>
      <c r="S3715" s="3"/>
      <c r="T3715" s="3"/>
      <c r="U3715" s="3"/>
      <c r="V3715" s="3"/>
      <c r="W3715" s="3"/>
      <c r="X3715" s="3"/>
      <c r="Y3715" s="4"/>
      <c r="Z3715"/>
      <c r="AA3715"/>
    </row>
    <row r="3716" spans="1:27" s="37" customFormat="1" x14ac:dyDescent="0.15">
      <c r="A3716" s="166"/>
      <c r="B3716" s="93"/>
      <c r="C3716" s="70"/>
      <c r="D3716" s="70"/>
      <c r="E3716" s="70"/>
      <c r="F3716" s="70"/>
      <c r="G3716" s="70"/>
      <c r="H3716" s="85"/>
      <c r="I3716" s="85"/>
      <c r="J3716" s="131"/>
      <c r="K3716" s="60"/>
      <c r="L3716" s="33"/>
      <c r="P3716" s="3"/>
      <c r="Q3716" s="3"/>
      <c r="R3716" s="3"/>
      <c r="S3716" s="3"/>
      <c r="T3716" s="3"/>
      <c r="U3716" s="3"/>
      <c r="V3716" s="3"/>
      <c r="W3716" s="3"/>
      <c r="X3716" s="3"/>
      <c r="Y3716" s="4"/>
      <c r="Z3716"/>
      <c r="AA3716"/>
    </row>
    <row r="3717" spans="1:27" s="37" customFormat="1" x14ac:dyDescent="0.15">
      <c r="A3717" s="166"/>
      <c r="B3717" s="93"/>
      <c r="C3717" s="73"/>
      <c r="D3717" s="73"/>
      <c r="E3717" s="70"/>
      <c r="F3717" s="73"/>
      <c r="G3717" s="73"/>
      <c r="H3717" s="85"/>
      <c r="I3717" s="95"/>
      <c r="J3717" s="131"/>
      <c r="K3717" s="60"/>
      <c r="L3717" s="33"/>
      <c r="P3717" s="3"/>
      <c r="Q3717" s="3"/>
      <c r="R3717" s="3"/>
      <c r="S3717" s="3"/>
      <c r="T3717" s="3"/>
      <c r="U3717" s="3"/>
      <c r="V3717" s="3"/>
      <c r="W3717" s="3"/>
      <c r="X3717" s="3"/>
      <c r="Y3717" s="4"/>
      <c r="Z3717"/>
      <c r="AA3717"/>
    </row>
    <row r="3718" spans="1:27" s="37" customFormat="1" x14ac:dyDescent="0.15">
      <c r="A3718" s="166"/>
      <c r="B3718" s="93"/>
      <c r="C3718" s="70"/>
      <c r="D3718" s="70"/>
      <c r="E3718" s="70"/>
      <c r="F3718" s="70"/>
      <c r="G3718" s="70"/>
      <c r="H3718" s="85"/>
      <c r="I3718" s="85"/>
      <c r="J3718" s="131"/>
      <c r="K3718" s="60"/>
      <c r="L3718" s="33"/>
      <c r="P3718" s="3"/>
      <c r="Q3718" s="3"/>
      <c r="R3718" s="3"/>
      <c r="S3718" s="3"/>
      <c r="T3718" s="3"/>
      <c r="U3718" s="3"/>
      <c r="V3718" s="3"/>
      <c r="W3718" s="3"/>
      <c r="X3718" s="3"/>
      <c r="Y3718" s="4"/>
      <c r="Z3718"/>
      <c r="AA3718"/>
    </row>
    <row r="3719" spans="1:27" s="37" customFormat="1" x14ac:dyDescent="0.15">
      <c r="A3719" s="166"/>
      <c r="B3719" s="93"/>
      <c r="C3719" s="70"/>
      <c r="D3719" s="70"/>
      <c r="E3719" s="70"/>
      <c r="F3719" s="70"/>
      <c r="G3719" s="70"/>
      <c r="H3719" s="85"/>
      <c r="I3719" s="85"/>
      <c r="J3719" s="131"/>
      <c r="K3719" s="60"/>
      <c r="L3719" s="33"/>
      <c r="P3719" s="3"/>
      <c r="Q3719" s="3"/>
      <c r="R3719" s="3"/>
      <c r="S3719" s="3"/>
      <c r="T3719" s="3"/>
      <c r="U3719" s="3"/>
      <c r="V3719" s="3"/>
      <c r="W3719" s="3"/>
      <c r="X3719" s="3"/>
      <c r="Y3719" s="4"/>
      <c r="Z3719"/>
      <c r="AA3719"/>
    </row>
    <row r="3720" spans="1:27" s="37" customFormat="1" x14ac:dyDescent="0.15">
      <c r="A3720" s="166"/>
      <c r="B3720" s="93"/>
      <c r="C3720" s="70"/>
      <c r="D3720" s="70"/>
      <c r="E3720" s="70"/>
      <c r="F3720" s="70"/>
      <c r="G3720" s="70"/>
      <c r="H3720" s="85"/>
      <c r="I3720" s="85"/>
      <c r="J3720" s="131"/>
      <c r="K3720" s="60"/>
      <c r="L3720" s="33"/>
      <c r="P3720" s="3"/>
      <c r="Q3720" s="3"/>
      <c r="R3720" s="3"/>
      <c r="S3720" s="3"/>
      <c r="T3720" s="3"/>
      <c r="U3720" s="3"/>
      <c r="V3720" s="3"/>
      <c r="W3720" s="3"/>
      <c r="X3720" s="3"/>
      <c r="Y3720" s="4"/>
      <c r="Z3720"/>
      <c r="AA3720"/>
    </row>
    <row r="3721" spans="1:27" s="37" customFormat="1" x14ac:dyDescent="0.15">
      <c r="A3721" s="166"/>
      <c r="B3721" s="82"/>
      <c r="C3721" s="70"/>
      <c r="D3721" s="70"/>
      <c r="E3721" s="70"/>
      <c r="F3721" s="70"/>
      <c r="G3721" s="70"/>
      <c r="H3721" s="85"/>
      <c r="I3721" s="85"/>
      <c r="J3721" s="131"/>
      <c r="K3721" s="60"/>
      <c r="L3721" s="49"/>
      <c r="P3721" s="3"/>
      <c r="Q3721" s="3"/>
      <c r="R3721" s="3"/>
      <c r="S3721" s="3"/>
      <c r="T3721" s="3"/>
      <c r="U3721" s="3"/>
      <c r="V3721" s="3"/>
      <c r="W3721" s="3"/>
      <c r="X3721" s="3"/>
      <c r="Y3721" s="4"/>
      <c r="Z3721"/>
      <c r="AA3721"/>
    </row>
    <row r="3722" spans="1:27" s="37" customFormat="1" x14ac:dyDescent="0.15">
      <c r="A3722" s="166"/>
      <c r="B3722" s="82"/>
      <c r="C3722" s="70"/>
      <c r="D3722" s="70"/>
      <c r="E3722" s="70"/>
      <c r="F3722" s="70"/>
      <c r="G3722" s="70"/>
      <c r="H3722" s="85"/>
      <c r="I3722" s="85"/>
      <c r="J3722" s="131"/>
      <c r="K3722" s="60"/>
      <c r="L3722" s="49"/>
      <c r="P3722" s="3"/>
      <c r="Q3722" s="3"/>
      <c r="R3722" s="3"/>
      <c r="S3722" s="3"/>
      <c r="T3722" s="3"/>
      <c r="U3722" s="3"/>
      <c r="V3722" s="3"/>
      <c r="W3722" s="3"/>
      <c r="X3722" s="3"/>
      <c r="Y3722" s="4"/>
      <c r="Z3722"/>
      <c r="AA3722"/>
    </row>
    <row r="3723" spans="1:27" s="37" customFormat="1" x14ac:dyDescent="0.15">
      <c r="A3723" s="166"/>
      <c r="B3723" s="82"/>
      <c r="C3723" s="70"/>
      <c r="D3723" s="70"/>
      <c r="E3723" s="70"/>
      <c r="F3723" s="70"/>
      <c r="G3723" s="70"/>
      <c r="H3723" s="85"/>
      <c r="I3723" s="85"/>
      <c r="J3723" s="131"/>
      <c r="K3723" s="60"/>
      <c r="L3723" s="49"/>
      <c r="P3723" s="3"/>
      <c r="Q3723" s="3"/>
      <c r="R3723" s="3"/>
      <c r="S3723" s="3"/>
      <c r="T3723" s="3"/>
      <c r="U3723" s="3"/>
      <c r="V3723" s="3"/>
      <c r="W3723" s="3"/>
      <c r="X3723" s="3"/>
      <c r="Y3723" s="4"/>
      <c r="Z3723"/>
      <c r="AA3723"/>
    </row>
    <row r="3724" spans="1:27" s="37" customFormat="1" x14ac:dyDescent="0.15">
      <c r="A3724" s="166"/>
      <c r="B3724" s="82"/>
      <c r="C3724" s="70"/>
      <c r="D3724" s="70"/>
      <c r="E3724" s="70"/>
      <c r="F3724" s="70"/>
      <c r="G3724" s="70"/>
      <c r="H3724" s="85"/>
      <c r="I3724" s="85"/>
      <c r="J3724" s="131"/>
      <c r="K3724" s="60"/>
      <c r="L3724" s="49"/>
      <c r="P3724" s="3"/>
      <c r="Q3724" s="3"/>
      <c r="R3724" s="3"/>
      <c r="S3724" s="3"/>
      <c r="T3724" s="3"/>
      <c r="U3724" s="3"/>
      <c r="V3724" s="3"/>
      <c r="W3724" s="3"/>
      <c r="X3724" s="3"/>
      <c r="Y3724" s="4"/>
      <c r="Z3724"/>
      <c r="AA3724"/>
    </row>
    <row r="3725" spans="1:27" s="37" customFormat="1" x14ac:dyDescent="0.15">
      <c r="A3725" s="166"/>
      <c r="B3725" s="82"/>
      <c r="C3725" s="70"/>
      <c r="D3725" s="70"/>
      <c r="E3725" s="70"/>
      <c r="F3725" s="70"/>
      <c r="G3725" s="70"/>
      <c r="H3725" s="85"/>
      <c r="I3725" s="85"/>
      <c r="J3725" s="131"/>
      <c r="K3725" s="60"/>
      <c r="L3725" s="49"/>
      <c r="P3725" s="3"/>
      <c r="Q3725" s="3"/>
      <c r="R3725" s="3"/>
      <c r="S3725" s="3"/>
      <c r="T3725" s="3"/>
      <c r="U3725" s="3"/>
      <c r="V3725" s="3"/>
      <c r="W3725" s="3"/>
      <c r="X3725" s="3"/>
      <c r="Y3725" s="4"/>
      <c r="Z3725"/>
      <c r="AA3725"/>
    </row>
    <row r="3726" spans="1:27" s="37" customFormat="1" x14ac:dyDescent="0.15">
      <c r="A3726" s="166"/>
      <c r="B3726" s="82"/>
      <c r="C3726" s="70"/>
      <c r="D3726" s="70"/>
      <c r="E3726" s="70"/>
      <c r="F3726" s="70"/>
      <c r="G3726" s="70"/>
      <c r="H3726" s="85"/>
      <c r="I3726" s="85"/>
      <c r="J3726" s="131"/>
      <c r="K3726" s="60"/>
      <c r="L3726" s="49"/>
      <c r="P3726" s="3"/>
      <c r="Q3726" s="3"/>
      <c r="R3726" s="3"/>
      <c r="S3726" s="3"/>
      <c r="T3726" s="3"/>
      <c r="U3726" s="3"/>
      <c r="V3726" s="3"/>
      <c r="W3726" s="3"/>
      <c r="X3726" s="3"/>
      <c r="Y3726" s="4"/>
      <c r="Z3726"/>
      <c r="AA3726"/>
    </row>
    <row r="3727" spans="1:27" s="37" customFormat="1" x14ac:dyDescent="0.15">
      <c r="A3727" s="166"/>
      <c r="B3727" s="82"/>
      <c r="C3727" s="70"/>
      <c r="D3727" s="70"/>
      <c r="E3727" s="70"/>
      <c r="F3727" s="70"/>
      <c r="G3727" s="70"/>
      <c r="H3727" s="85"/>
      <c r="I3727" s="85"/>
      <c r="J3727" s="131"/>
      <c r="K3727" s="60"/>
      <c r="L3727" s="49"/>
      <c r="P3727" s="3"/>
      <c r="Q3727" s="3"/>
      <c r="R3727" s="3"/>
      <c r="S3727" s="3"/>
      <c r="T3727" s="3"/>
      <c r="U3727" s="3"/>
      <c r="V3727" s="3"/>
      <c r="W3727" s="3"/>
      <c r="X3727" s="3"/>
      <c r="Y3727" s="4"/>
      <c r="Z3727"/>
      <c r="AA3727"/>
    </row>
    <row r="3728" spans="1:27" s="37" customFormat="1" x14ac:dyDescent="0.15">
      <c r="A3728" s="170"/>
      <c r="B3728" s="82"/>
      <c r="C3728" s="83"/>
      <c r="D3728" s="83"/>
      <c r="E3728" s="83"/>
      <c r="F3728" s="83"/>
      <c r="G3728" s="83"/>
      <c r="H3728" s="85"/>
      <c r="I3728" s="84"/>
      <c r="J3728" s="136"/>
      <c r="K3728" s="69"/>
      <c r="L3728" s="49"/>
      <c r="P3728" s="3"/>
      <c r="Q3728" s="3"/>
      <c r="R3728" s="3"/>
      <c r="S3728" s="3"/>
      <c r="T3728" s="3"/>
      <c r="U3728" s="3"/>
      <c r="V3728" s="3"/>
      <c r="W3728" s="3"/>
      <c r="X3728" s="3"/>
      <c r="Y3728" s="4"/>
      <c r="Z3728"/>
      <c r="AA3728"/>
    </row>
    <row r="3729" spans="1:27" s="37" customFormat="1" x14ac:dyDescent="0.15">
      <c r="A3729" s="166"/>
      <c r="B3729" s="82"/>
      <c r="C3729" s="70"/>
      <c r="D3729" s="70"/>
      <c r="E3729" s="70"/>
      <c r="F3729" s="70"/>
      <c r="G3729" s="70"/>
      <c r="H3729" s="85"/>
      <c r="I3729" s="85"/>
      <c r="J3729" s="131"/>
      <c r="K3729" s="60"/>
      <c r="L3729" s="49"/>
      <c r="P3729" s="3"/>
      <c r="Q3729" s="3"/>
      <c r="R3729" s="3"/>
      <c r="S3729" s="3"/>
      <c r="T3729" s="3"/>
      <c r="U3729" s="3"/>
      <c r="V3729" s="3"/>
      <c r="W3729" s="3"/>
      <c r="X3729" s="3"/>
      <c r="Y3729" s="4"/>
      <c r="Z3729"/>
      <c r="AA3729"/>
    </row>
    <row r="3730" spans="1:27" s="37" customFormat="1" x14ac:dyDescent="0.15">
      <c r="A3730" s="166"/>
      <c r="B3730" s="82"/>
      <c r="C3730" s="70"/>
      <c r="D3730" s="70"/>
      <c r="E3730" s="70"/>
      <c r="F3730" s="70"/>
      <c r="G3730" s="70"/>
      <c r="H3730" s="85"/>
      <c r="I3730" s="85"/>
      <c r="J3730" s="131"/>
      <c r="K3730" s="60"/>
      <c r="L3730" s="49"/>
      <c r="P3730" s="3"/>
      <c r="Q3730" s="3"/>
      <c r="R3730" s="3"/>
      <c r="S3730" s="3"/>
      <c r="T3730" s="3"/>
      <c r="U3730" s="3"/>
      <c r="V3730" s="3"/>
      <c r="W3730" s="3"/>
      <c r="X3730" s="3"/>
      <c r="Y3730" s="4"/>
      <c r="Z3730"/>
      <c r="AA3730"/>
    </row>
    <row r="3731" spans="1:27" s="37" customFormat="1" x14ac:dyDescent="0.15">
      <c r="A3731" s="166"/>
      <c r="B3731" s="82"/>
      <c r="C3731" s="73"/>
      <c r="D3731" s="73"/>
      <c r="E3731" s="70"/>
      <c r="F3731" s="73"/>
      <c r="G3731" s="73"/>
      <c r="H3731" s="85"/>
      <c r="I3731" s="95"/>
      <c r="J3731" s="131"/>
      <c r="K3731" s="60"/>
      <c r="L3731" s="49"/>
      <c r="P3731" s="3"/>
      <c r="Q3731" s="3"/>
      <c r="R3731" s="3"/>
      <c r="S3731" s="3"/>
      <c r="T3731" s="3"/>
      <c r="U3731" s="3"/>
      <c r="V3731" s="3"/>
      <c r="W3731" s="3"/>
      <c r="X3731" s="3"/>
      <c r="Y3731" s="4"/>
      <c r="Z3731"/>
      <c r="AA3731"/>
    </row>
    <row r="3732" spans="1:27" s="37" customFormat="1" ht="16" x14ac:dyDescent="0.2">
      <c r="A3732" s="166"/>
      <c r="B3732" s="93"/>
      <c r="C3732" s="70"/>
      <c r="D3732" s="70"/>
      <c r="E3732" s="70"/>
      <c r="F3732" s="70"/>
      <c r="G3732" s="70"/>
      <c r="H3732" s="85"/>
      <c r="I3732" s="85"/>
      <c r="J3732" s="131"/>
      <c r="K3732" s="60"/>
      <c r="L3732" s="33"/>
      <c r="M3732" s="48"/>
      <c r="P3732" s="3"/>
      <c r="Q3732" s="3"/>
      <c r="R3732" s="3"/>
      <c r="S3732" s="3"/>
      <c r="T3732" s="3"/>
      <c r="U3732" s="3"/>
      <c r="V3732" s="3"/>
      <c r="W3732" s="3"/>
      <c r="X3732" s="3"/>
      <c r="Y3732" s="4"/>
      <c r="Z3732"/>
      <c r="AA3732"/>
    </row>
    <row r="3733" spans="1:27" s="37" customFormat="1" x14ac:dyDescent="0.15">
      <c r="A3733" s="166"/>
      <c r="B3733" s="82"/>
      <c r="C3733" s="70"/>
      <c r="D3733" s="70"/>
      <c r="E3733" s="70"/>
      <c r="F3733" s="70"/>
      <c r="G3733" s="70"/>
      <c r="H3733" s="85"/>
      <c r="I3733" s="85"/>
      <c r="J3733" s="131"/>
      <c r="K3733" s="67"/>
      <c r="L3733" s="49"/>
      <c r="P3733" s="3"/>
      <c r="Q3733" s="3"/>
      <c r="R3733" s="3"/>
      <c r="S3733" s="3"/>
      <c r="T3733" s="3"/>
      <c r="U3733" s="3"/>
      <c r="V3733" s="3"/>
      <c r="W3733" s="3"/>
      <c r="X3733" s="3"/>
      <c r="Y3733" s="4"/>
      <c r="Z3733"/>
      <c r="AA3733"/>
    </row>
    <row r="3734" spans="1:27" s="37" customFormat="1" x14ac:dyDescent="0.15">
      <c r="A3734" s="166"/>
      <c r="B3734" s="82"/>
      <c r="C3734" s="70"/>
      <c r="D3734" s="70"/>
      <c r="E3734" s="70"/>
      <c r="F3734" s="70"/>
      <c r="G3734" s="70"/>
      <c r="H3734" s="85"/>
      <c r="I3734" s="85"/>
      <c r="J3734" s="131"/>
      <c r="K3734" s="67"/>
      <c r="L3734" s="49"/>
      <c r="P3734" s="3"/>
      <c r="Q3734" s="3"/>
      <c r="R3734" s="3"/>
      <c r="S3734" s="3"/>
      <c r="T3734" s="3"/>
      <c r="U3734" s="3"/>
      <c r="V3734" s="3"/>
      <c r="W3734" s="3"/>
      <c r="X3734" s="3"/>
      <c r="Y3734" s="4"/>
      <c r="Z3734"/>
      <c r="AA3734"/>
    </row>
    <row r="3735" spans="1:27" s="37" customFormat="1" x14ac:dyDescent="0.15">
      <c r="A3735" s="166"/>
      <c r="B3735" s="82"/>
      <c r="C3735" s="70"/>
      <c r="D3735" s="70"/>
      <c r="E3735" s="70"/>
      <c r="F3735" s="70"/>
      <c r="G3735" s="70"/>
      <c r="H3735" s="85"/>
      <c r="I3735" s="85"/>
      <c r="J3735" s="131"/>
      <c r="K3735" s="67"/>
      <c r="L3735" s="49"/>
      <c r="P3735" s="3"/>
      <c r="Q3735" s="3"/>
      <c r="R3735" s="3"/>
      <c r="S3735" s="3"/>
      <c r="T3735" s="3"/>
      <c r="U3735" s="3"/>
      <c r="V3735" s="3"/>
      <c r="W3735" s="3"/>
      <c r="X3735" s="3"/>
      <c r="Y3735" s="4"/>
      <c r="Z3735"/>
      <c r="AA3735"/>
    </row>
    <row r="3736" spans="1:27" s="37" customFormat="1" x14ac:dyDescent="0.15">
      <c r="A3736" s="166"/>
      <c r="B3736" s="82"/>
      <c r="C3736" s="70"/>
      <c r="D3736" s="70"/>
      <c r="E3736" s="70"/>
      <c r="F3736" s="70"/>
      <c r="G3736" s="70"/>
      <c r="H3736" s="85"/>
      <c r="I3736" s="85"/>
      <c r="J3736" s="131"/>
      <c r="K3736" s="67"/>
      <c r="L3736" s="49"/>
      <c r="P3736" s="3"/>
      <c r="Q3736" s="3"/>
      <c r="R3736" s="3"/>
      <c r="S3736" s="3"/>
      <c r="T3736" s="3"/>
      <c r="U3736" s="3"/>
      <c r="V3736" s="3"/>
      <c r="W3736" s="3"/>
      <c r="X3736" s="3"/>
      <c r="Y3736" s="4"/>
      <c r="Z3736"/>
      <c r="AA3736"/>
    </row>
    <row r="3737" spans="1:27" s="37" customFormat="1" x14ac:dyDescent="0.15">
      <c r="A3737" s="166"/>
      <c r="B3737" s="82"/>
      <c r="C3737" s="70"/>
      <c r="D3737" s="70"/>
      <c r="E3737" s="70"/>
      <c r="F3737" s="70"/>
      <c r="G3737" s="70"/>
      <c r="H3737" s="85"/>
      <c r="I3737" s="85"/>
      <c r="J3737" s="131"/>
      <c r="K3737" s="67"/>
      <c r="L3737" s="49"/>
      <c r="P3737" s="3"/>
      <c r="Q3737" s="3"/>
      <c r="R3737" s="3"/>
      <c r="S3737" s="3"/>
      <c r="T3737" s="3"/>
      <c r="U3737" s="3"/>
      <c r="V3737" s="3"/>
      <c r="W3737" s="3"/>
      <c r="X3737" s="3"/>
      <c r="Y3737" s="4"/>
      <c r="Z3737"/>
      <c r="AA3737"/>
    </row>
    <row r="3738" spans="1:27" s="37" customFormat="1" x14ac:dyDescent="0.15">
      <c r="A3738" s="166"/>
      <c r="B3738" s="82"/>
      <c r="C3738" s="70"/>
      <c r="D3738" s="70"/>
      <c r="E3738" s="70"/>
      <c r="F3738" s="70"/>
      <c r="G3738" s="70"/>
      <c r="H3738" s="85"/>
      <c r="I3738" s="85"/>
      <c r="J3738" s="131"/>
      <c r="K3738" s="60"/>
      <c r="L3738" s="49"/>
      <c r="P3738" s="3"/>
      <c r="Q3738" s="3"/>
      <c r="R3738" s="3"/>
      <c r="S3738" s="3"/>
      <c r="T3738" s="3"/>
      <c r="U3738" s="3"/>
      <c r="V3738" s="3"/>
      <c r="W3738" s="3"/>
      <c r="X3738" s="3"/>
      <c r="Y3738" s="4"/>
      <c r="Z3738"/>
      <c r="AA3738"/>
    </row>
    <row r="3739" spans="1:27" s="37" customFormat="1" x14ac:dyDescent="0.15">
      <c r="A3739" s="166"/>
      <c r="B3739" s="82"/>
      <c r="C3739" s="70"/>
      <c r="D3739" s="70"/>
      <c r="E3739" s="70"/>
      <c r="F3739" s="70"/>
      <c r="G3739" s="70"/>
      <c r="H3739" s="85"/>
      <c r="I3739" s="85"/>
      <c r="J3739" s="131"/>
      <c r="K3739" s="60"/>
      <c r="L3739" s="49"/>
      <c r="P3739" s="3"/>
      <c r="Q3739" s="3"/>
      <c r="R3739" s="3"/>
      <c r="S3739" s="3"/>
      <c r="T3739" s="3"/>
      <c r="U3739" s="3"/>
      <c r="V3739" s="3"/>
      <c r="W3739" s="3"/>
      <c r="X3739" s="3"/>
      <c r="Y3739" s="4"/>
      <c r="Z3739"/>
      <c r="AA3739"/>
    </row>
    <row r="3740" spans="1:27" s="37" customFormat="1" x14ac:dyDescent="0.15">
      <c r="A3740" s="166"/>
      <c r="B3740" s="82"/>
      <c r="C3740" s="70"/>
      <c r="D3740" s="70"/>
      <c r="E3740" s="70"/>
      <c r="F3740" s="70"/>
      <c r="G3740" s="70"/>
      <c r="H3740" s="85"/>
      <c r="I3740" s="85"/>
      <c r="J3740" s="131"/>
      <c r="K3740" s="60"/>
      <c r="L3740" s="49"/>
      <c r="P3740" s="3"/>
      <c r="Q3740" s="3"/>
      <c r="R3740" s="3"/>
      <c r="S3740" s="3"/>
      <c r="T3740" s="3"/>
      <c r="U3740" s="3"/>
      <c r="V3740" s="3"/>
      <c r="W3740" s="3"/>
      <c r="X3740" s="3"/>
      <c r="Y3740" s="4"/>
      <c r="Z3740"/>
      <c r="AA3740"/>
    </row>
    <row r="3741" spans="1:27" s="37" customFormat="1" x14ac:dyDescent="0.15">
      <c r="A3741" s="166"/>
      <c r="B3741" s="93"/>
      <c r="C3741" s="70"/>
      <c r="D3741" s="70"/>
      <c r="E3741" s="70"/>
      <c r="F3741" s="70"/>
      <c r="G3741" s="70"/>
      <c r="H3741" s="85"/>
      <c r="I3741" s="85"/>
      <c r="J3741" s="131"/>
      <c r="K3741" s="60"/>
      <c r="L3741" s="49"/>
      <c r="P3741" s="3"/>
      <c r="Q3741" s="3"/>
      <c r="R3741" s="3"/>
      <c r="S3741" s="3"/>
      <c r="T3741" s="3"/>
      <c r="U3741" s="3"/>
      <c r="V3741" s="3"/>
      <c r="W3741" s="3"/>
      <c r="X3741" s="3"/>
      <c r="Y3741" s="4"/>
      <c r="Z3741"/>
      <c r="AA3741"/>
    </row>
    <row r="3742" spans="1:27" s="37" customFormat="1" x14ac:dyDescent="0.15">
      <c r="A3742" s="166"/>
      <c r="B3742" s="82"/>
      <c r="C3742" s="70"/>
      <c r="D3742" s="70"/>
      <c r="E3742" s="70"/>
      <c r="F3742" s="70"/>
      <c r="G3742" s="70"/>
      <c r="H3742" s="85"/>
      <c r="I3742" s="85"/>
      <c r="J3742" s="131"/>
      <c r="K3742" s="60"/>
      <c r="L3742" s="49"/>
      <c r="P3742" s="3"/>
      <c r="Q3742" s="3"/>
      <c r="R3742" s="3"/>
      <c r="S3742" s="3"/>
      <c r="T3742" s="3"/>
      <c r="U3742" s="3"/>
      <c r="V3742" s="3"/>
      <c r="W3742" s="3"/>
      <c r="X3742" s="3"/>
      <c r="Y3742" s="4"/>
      <c r="Z3742"/>
      <c r="AA3742"/>
    </row>
    <row r="3743" spans="1:27" s="37" customFormat="1" x14ac:dyDescent="0.15">
      <c r="A3743" s="166"/>
      <c r="B3743" s="93"/>
      <c r="C3743" s="70"/>
      <c r="D3743" s="70"/>
      <c r="E3743" s="70"/>
      <c r="F3743" s="70"/>
      <c r="G3743" s="70"/>
      <c r="H3743" s="85"/>
      <c r="I3743" s="85"/>
      <c r="J3743" s="131"/>
      <c r="K3743" s="60"/>
      <c r="L3743" s="33"/>
      <c r="P3743" s="3"/>
      <c r="Q3743" s="3"/>
      <c r="R3743" s="3"/>
      <c r="S3743" s="3"/>
      <c r="T3743" s="3"/>
      <c r="U3743" s="3"/>
      <c r="V3743" s="3"/>
      <c r="W3743" s="3"/>
      <c r="X3743" s="3"/>
      <c r="Y3743" s="4"/>
      <c r="Z3743"/>
      <c r="AA3743"/>
    </row>
    <row r="3744" spans="1:27" s="37" customFormat="1" x14ac:dyDescent="0.15">
      <c r="A3744" s="166"/>
      <c r="B3744" s="93"/>
      <c r="C3744" s="70"/>
      <c r="D3744" s="70"/>
      <c r="E3744" s="70"/>
      <c r="F3744" s="70"/>
      <c r="G3744" s="70"/>
      <c r="H3744" s="85"/>
      <c r="I3744" s="85"/>
      <c r="J3744" s="131"/>
      <c r="K3744" s="60"/>
      <c r="L3744" s="33"/>
      <c r="P3744" s="3"/>
      <c r="Q3744" s="3"/>
      <c r="R3744" s="3"/>
      <c r="S3744" s="3"/>
      <c r="T3744" s="3"/>
      <c r="U3744" s="3"/>
      <c r="V3744" s="3"/>
      <c r="W3744" s="3"/>
      <c r="X3744" s="3"/>
      <c r="Y3744" s="4"/>
      <c r="Z3744"/>
      <c r="AA3744"/>
    </row>
    <row r="3745" spans="1:27" s="37" customFormat="1" x14ac:dyDescent="0.15">
      <c r="A3745" s="166"/>
      <c r="B3745" s="93"/>
      <c r="C3745" s="70"/>
      <c r="D3745" s="70"/>
      <c r="E3745" s="70"/>
      <c r="F3745" s="70"/>
      <c r="G3745" s="70"/>
      <c r="H3745" s="85"/>
      <c r="I3745" s="85"/>
      <c r="J3745" s="131"/>
      <c r="K3745" s="60"/>
      <c r="L3745" s="33"/>
      <c r="P3745" s="3"/>
      <c r="Q3745" s="3"/>
      <c r="R3745" s="3"/>
      <c r="S3745" s="3"/>
      <c r="T3745" s="3"/>
      <c r="U3745" s="3"/>
      <c r="V3745" s="3"/>
      <c r="W3745" s="3"/>
      <c r="X3745" s="3"/>
      <c r="Y3745" s="4"/>
      <c r="Z3745"/>
      <c r="AA3745"/>
    </row>
    <row r="3746" spans="1:27" s="37" customFormat="1" x14ac:dyDescent="0.15">
      <c r="A3746" s="166"/>
      <c r="B3746" s="82"/>
      <c r="C3746" s="70"/>
      <c r="D3746" s="70"/>
      <c r="E3746" s="70"/>
      <c r="F3746" s="70"/>
      <c r="G3746" s="70"/>
      <c r="H3746" s="85"/>
      <c r="I3746" s="85"/>
      <c r="J3746" s="131"/>
      <c r="K3746" s="60"/>
      <c r="L3746" s="49"/>
      <c r="P3746" s="3"/>
      <c r="Q3746" s="3"/>
      <c r="R3746" s="3"/>
      <c r="S3746" s="3"/>
      <c r="T3746" s="3"/>
      <c r="U3746" s="3"/>
      <c r="V3746" s="3"/>
      <c r="W3746" s="3"/>
      <c r="X3746" s="3"/>
      <c r="Y3746" s="4"/>
      <c r="Z3746"/>
      <c r="AA3746"/>
    </row>
    <row r="3747" spans="1:27" s="37" customFormat="1" x14ac:dyDescent="0.15">
      <c r="A3747" s="166"/>
      <c r="B3747" s="82"/>
      <c r="C3747" s="70"/>
      <c r="D3747" s="70"/>
      <c r="E3747" s="70"/>
      <c r="F3747" s="70"/>
      <c r="G3747" s="70"/>
      <c r="H3747" s="85"/>
      <c r="I3747" s="85"/>
      <c r="J3747" s="131"/>
      <c r="K3747" s="60"/>
      <c r="L3747" s="49"/>
      <c r="P3747" s="3"/>
      <c r="Q3747" s="3"/>
      <c r="R3747" s="3"/>
      <c r="S3747" s="3"/>
      <c r="T3747" s="3"/>
      <c r="U3747" s="3"/>
      <c r="V3747" s="3"/>
      <c r="W3747" s="3"/>
      <c r="X3747" s="3"/>
      <c r="Y3747" s="4"/>
      <c r="Z3747"/>
      <c r="AA3747"/>
    </row>
    <row r="3748" spans="1:27" s="37" customFormat="1" x14ac:dyDescent="0.15">
      <c r="A3748" s="166"/>
      <c r="B3748" s="93"/>
      <c r="C3748" s="70"/>
      <c r="D3748" s="70"/>
      <c r="E3748" s="70"/>
      <c r="F3748" s="70"/>
      <c r="G3748" s="70"/>
      <c r="H3748" s="85"/>
      <c r="I3748" s="85"/>
      <c r="J3748" s="131"/>
      <c r="K3748" s="60"/>
      <c r="L3748" s="49"/>
      <c r="P3748" s="3"/>
      <c r="Q3748" s="3"/>
      <c r="R3748" s="3"/>
      <c r="S3748" s="3"/>
      <c r="T3748" s="3"/>
      <c r="U3748" s="3"/>
      <c r="V3748" s="3"/>
      <c r="W3748" s="3"/>
      <c r="X3748" s="3"/>
      <c r="Y3748" s="4"/>
      <c r="Z3748"/>
      <c r="AA3748"/>
    </row>
    <row r="3749" spans="1:27" s="37" customFormat="1" x14ac:dyDescent="0.15">
      <c r="A3749" s="166"/>
      <c r="B3749" s="82"/>
      <c r="C3749" s="70"/>
      <c r="D3749" s="70"/>
      <c r="E3749" s="70"/>
      <c r="F3749" s="70"/>
      <c r="G3749" s="70"/>
      <c r="H3749" s="85"/>
      <c r="I3749" s="85"/>
      <c r="J3749" s="131"/>
      <c r="K3749" s="60"/>
      <c r="L3749" s="49"/>
      <c r="P3749" s="3"/>
      <c r="Q3749" s="3"/>
      <c r="R3749" s="3"/>
      <c r="S3749" s="3"/>
      <c r="T3749" s="3"/>
      <c r="U3749" s="3"/>
      <c r="V3749" s="3"/>
      <c r="W3749" s="3"/>
      <c r="X3749" s="3"/>
      <c r="Y3749" s="4"/>
      <c r="Z3749"/>
      <c r="AA3749"/>
    </row>
    <row r="3750" spans="1:27" s="37" customFormat="1" x14ac:dyDescent="0.15">
      <c r="A3750" s="166"/>
      <c r="B3750" s="93"/>
      <c r="C3750" s="70"/>
      <c r="D3750" s="70"/>
      <c r="E3750" s="70"/>
      <c r="F3750" s="70"/>
      <c r="G3750" s="70"/>
      <c r="H3750" s="85"/>
      <c r="I3750" s="85"/>
      <c r="J3750" s="131"/>
      <c r="K3750" s="60"/>
      <c r="L3750" s="33"/>
      <c r="P3750" s="3"/>
      <c r="Q3750" s="3"/>
      <c r="R3750" s="3"/>
      <c r="S3750" s="3"/>
      <c r="T3750" s="3"/>
      <c r="U3750" s="3"/>
      <c r="V3750" s="3"/>
      <c r="W3750" s="3"/>
      <c r="X3750" s="3"/>
      <c r="Y3750" s="4"/>
      <c r="Z3750"/>
      <c r="AA3750"/>
    </row>
    <row r="3751" spans="1:27" s="37" customFormat="1" x14ac:dyDescent="0.15">
      <c r="A3751" s="166"/>
      <c r="B3751" s="82"/>
      <c r="C3751" s="70"/>
      <c r="D3751" s="70"/>
      <c r="E3751" s="70"/>
      <c r="F3751" s="70"/>
      <c r="G3751" s="70"/>
      <c r="H3751" s="85"/>
      <c r="I3751" s="85"/>
      <c r="J3751" s="131"/>
      <c r="K3751" s="60"/>
      <c r="L3751" s="49"/>
      <c r="P3751" s="3"/>
      <c r="Q3751" s="3"/>
      <c r="R3751" s="3"/>
      <c r="S3751" s="3"/>
      <c r="T3751" s="3"/>
      <c r="U3751" s="3"/>
      <c r="V3751" s="3"/>
      <c r="W3751" s="3"/>
      <c r="X3751" s="3"/>
      <c r="Y3751" s="4"/>
      <c r="Z3751"/>
      <c r="AA3751"/>
    </row>
    <row r="3752" spans="1:27" s="37" customFormat="1" x14ac:dyDescent="0.15">
      <c r="A3752" s="166"/>
      <c r="B3752" s="82"/>
      <c r="C3752" s="70"/>
      <c r="D3752" s="70"/>
      <c r="E3752" s="70"/>
      <c r="F3752" s="70"/>
      <c r="G3752" s="70"/>
      <c r="H3752" s="85"/>
      <c r="I3752" s="85"/>
      <c r="J3752" s="131"/>
      <c r="K3752" s="60"/>
      <c r="L3752" s="49"/>
      <c r="P3752" s="3"/>
      <c r="Q3752" s="3"/>
      <c r="R3752" s="3"/>
      <c r="S3752" s="3"/>
      <c r="T3752" s="3"/>
      <c r="U3752" s="3"/>
      <c r="V3752" s="3"/>
      <c r="W3752" s="3"/>
      <c r="X3752" s="3"/>
      <c r="Y3752" s="4"/>
      <c r="Z3752"/>
      <c r="AA3752"/>
    </row>
    <row r="3753" spans="1:27" s="37" customFormat="1" x14ac:dyDescent="0.15">
      <c r="A3753" s="166"/>
      <c r="B3753" s="82"/>
      <c r="C3753" s="70"/>
      <c r="D3753" s="70"/>
      <c r="E3753" s="70"/>
      <c r="F3753" s="70"/>
      <c r="G3753" s="70"/>
      <c r="H3753" s="85"/>
      <c r="I3753" s="85"/>
      <c r="J3753" s="131"/>
      <c r="K3753" s="60"/>
      <c r="L3753" s="49"/>
      <c r="P3753" s="3"/>
      <c r="Q3753" s="3"/>
      <c r="R3753" s="3"/>
      <c r="S3753" s="3"/>
      <c r="T3753" s="3"/>
      <c r="U3753" s="3"/>
      <c r="V3753" s="3"/>
      <c r="W3753" s="3"/>
      <c r="X3753" s="3"/>
      <c r="Y3753" s="4"/>
      <c r="Z3753"/>
      <c r="AA3753"/>
    </row>
    <row r="3754" spans="1:27" s="37" customFormat="1" x14ac:dyDescent="0.15">
      <c r="A3754" s="166"/>
      <c r="B3754" s="82"/>
      <c r="C3754" s="70"/>
      <c r="D3754" s="70"/>
      <c r="E3754" s="70"/>
      <c r="F3754" s="70"/>
      <c r="G3754" s="70"/>
      <c r="H3754" s="85"/>
      <c r="I3754" s="85"/>
      <c r="J3754" s="131"/>
      <c r="K3754" s="60"/>
      <c r="L3754" s="49"/>
      <c r="P3754" s="3"/>
      <c r="Q3754" s="3"/>
      <c r="R3754" s="3"/>
      <c r="S3754" s="3"/>
      <c r="T3754" s="3"/>
      <c r="U3754" s="3"/>
      <c r="V3754" s="3"/>
      <c r="W3754" s="3"/>
      <c r="X3754" s="3"/>
      <c r="Y3754" s="4"/>
      <c r="Z3754"/>
      <c r="AA3754"/>
    </row>
    <row r="3755" spans="1:27" s="37" customFormat="1" ht="16" x14ac:dyDescent="0.2">
      <c r="A3755" s="166"/>
      <c r="B3755" s="93"/>
      <c r="C3755" s="70"/>
      <c r="D3755" s="70"/>
      <c r="E3755" s="70"/>
      <c r="F3755" s="70"/>
      <c r="G3755" s="70"/>
      <c r="H3755" s="85"/>
      <c r="I3755" s="85"/>
      <c r="J3755" s="131"/>
      <c r="K3755" s="60"/>
      <c r="L3755" s="49"/>
      <c r="M3755" s="48"/>
      <c r="P3755" s="3"/>
      <c r="Q3755" s="3"/>
      <c r="R3755" s="3"/>
      <c r="S3755" s="3"/>
      <c r="T3755" s="3"/>
      <c r="U3755" s="3"/>
      <c r="V3755" s="3"/>
      <c r="W3755" s="3"/>
      <c r="X3755" s="3"/>
      <c r="Y3755" s="4"/>
      <c r="Z3755"/>
      <c r="AA3755"/>
    </row>
    <row r="3756" spans="1:27" s="37" customFormat="1" x14ac:dyDescent="0.15">
      <c r="A3756" s="166"/>
      <c r="B3756" s="82"/>
      <c r="C3756" s="70"/>
      <c r="D3756" s="70"/>
      <c r="E3756" s="70"/>
      <c r="F3756" s="70"/>
      <c r="G3756" s="70"/>
      <c r="H3756" s="85"/>
      <c r="I3756" s="85"/>
      <c r="J3756" s="131"/>
      <c r="K3756" s="60"/>
      <c r="L3756" s="49"/>
      <c r="P3756" s="3"/>
      <c r="Q3756" s="3"/>
      <c r="R3756" s="3"/>
      <c r="S3756" s="3"/>
      <c r="T3756" s="3"/>
      <c r="U3756" s="3"/>
      <c r="V3756" s="3"/>
      <c r="W3756" s="3"/>
      <c r="X3756" s="3"/>
      <c r="Y3756" s="4"/>
      <c r="Z3756"/>
      <c r="AA3756"/>
    </row>
    <row r="3757" spans="1:27" s="37" customFormat="1" ht="16" x14ac:dyDescent="0.2">
      <c r="A3757" s="166"/>
      <c r="B3757" s="82"/>
      <c r="C3757" s="70"/>
      <c r="D3757" s="70"/>
      <c r="E3757" s="70"/>
      <c r="F3757" s="70"/>
      <c r="G3757" s="70"/>
      <c r="H3757" s="85"/>
      <c r="I3757" s="85"/>
      <c r="J3757" s="131"/>
      <c r="K3757" s="60"/>
      <c r="L3757" s="47"/>
      <c r="P3757" s="3"/>
      <c r="Q3757" s="3"/>
      <c r="R3757" s="3"/>
      <c r="S3757" s="3"/>
      <c r="T3757" s="3"/>
      <c r="U3757" s="3"/>
      <c r="V3757" s="3"/>
      <c r="W3757" s="3"/>
      <c r="X3757" s="3"/>
      <c r="Y3757" s="4"/>
      <c r="Z3757"/>
      <c r="AA3757"/>
    </row>
    <row r="3758" spans="1:27" s="37" customFormat="1" x14ac:dyDescent="0.15">
      <c r="A3758" s="166"/>
      <c r="B3758" s="93"/>
      <c r="C3758" s="73"/>
      <c r="D3758" s="73"/>
      <c r="E3758" s="70"/>
      <c r="F3758" s="73"/>
      <c r="G3758" s="73"/>
      <c r="H3758" s="85"/>
      <c r="I3758" s="95"/>
      <c r="J3758" s="131"/>
      <c r="K3758" s="60"/>
      <c r="L3758" s="33"/>
      <c r="P3758" s="3"/>
      <c r="Q3758" s="3"/>
      <c r="R3758" s="3"/>
      <c r="S3758" s="3"/>
      <c r="T3758" s="3"/>
      <c r="U3758" s="3"/>
      <c r="V3758" s="3"/>
      <c r="W3758" s="3"/>
      <c r="X3758" s="3"/>
      <c r="Y3758" s="4"/>
      <c r="Z3758"/>
      <c r="AA3758"/>
    </row>
    <row r="3759" spans="1:27" s="37" customFormat="1" x14ac:dyDescent="0.15">
      <c r="A3759" s="166"/>
      <c r="B3759" s="93"/>
      <c r="C3759" s="70"/>
      <c r="D3759" s="70"/>
      <c r="E3759" s="70"/>
      <c r="F3759" s="70"/>
      <c r="G3759" s="70"/>
      <c r="H3759" s="85"/>
      <c r="I3759" s="85"/>
      <c r="J3759" s="131"/>
      <c r="K3759" s="60"/>
      <c r="L3759" s="33"/>
      <c r="P3759" s="3"/>
      <c r="Q3759" s="3"/>
      <c r="R3759" s="3"/>
      <c r="S3759" s="3"/>
      <c r="T3759" s="3"/>
      <c r="U3759" s="3"/>
      <c r="V3759" s="3"/>
      <c r="W3759" s="3"/>
      <c r="X3759" s="3"/>
      <c r="Y3759" s="4"/>
      <c r="Z3759"/>
      <c r="AA3759"/>
    </row>
    <row r="3760" spans="1:27" s="37" customFormat="1" x14ac:dyDescent="0.15">
      <c r="A3760" s="166"/>
      <c r="B3760" s="82"/>
      <c r="C3760" s="70"/>
      <c r="D3760" s="70"/>
      <c r="E3760" s="70"/>
      <c r="F3760" s="70"/>
      <c r="G3760" s="70"/>
      <c r="H3760" s="85"/>
      <c r="I3760" s="85"/>
      <c r="J3760" s="131"/>
      <c r="K3760" s="60"/>
      <c r="L3760" s="49"/>
      <c r="P3760" s="3"/>
      <c r="Q3760" s="3"/>
      <c r="R3760" s="3"/>
      <c r="S3760" s="3"/>
      <c r="T3760" s="3"/>
      <c r="U3760" s="3"/>
      <c r="V3760" s="3"/>
      <c r="W3760" s="3"/>
      <c r="X3760" s="3"/>
      <c r="Y3760" s="4"/>
      <c r="Z3760"/>
      <c r="AA3760"/>
    </row>
    <row r="3761" spans="1:27" s="37" customFormat="1" x14ac:dyDescent="0.15">
      <c r="A3761" s="166"/>
      <c r="B3761" s="82"/>
      <c r="C3761" s="70"/>
      <c r="D3761" s="70"/>
      <c r="E3761" s="70"/>
      <c r="F3761" s="70"/>
      <c r="G3761" s="70"/>
      <c r="H3761" s="85"/>
      <c r="I3761" s="85"/>
      <c r="J3761" s="131"/>
      <c r="K3761" s="60"/>
      <c r="L3761" s="49"/>
      <c r="P3761" s="3"/>
      <c r="Q3761" s="3"/>
      <c r="R3761" s="3"/>
      <c r="S3761" s="3"/>
      <c r="T3761" s="3"/>
      <c r="U3761" s="3"/>
      <c r="V3761" s="3"/>
      <c r="W3761" s="3"/>
      <c r="X3761" s="3"/>
      <c r="Y3761" s="4"/>
      <c r="Z3761"/>
      <c r="AA3761"/>
    </row>
    <row r="3762" spans="1:27" s="37" customFormat="1" x14ac:dyDescent="0.15">
      <c r="A3762" s="166"/>
      <c r="B3762" s="82"/>
      <c r="C3762" s="70"/>
      <c r="D3762" s="70"/>
      <c r="E3762" s="70"/>
      <c r="F3762" s="70"/>
      <c r="G3762" s="70"/>
      <c r="H3762" s="85"/>
      <c r="I3762" s="85"/>
      <c r="J3762" s="131"/>
      <c r="K3762" s="60"/>
      <c r="L3762" s="49"/>
      <c r="P3762" s="3"/>
      <c r="Q3762" s="3"/>
      <c r="R3762" s="3"/>
      <c r="S3762" s="3"/>
      <c r="T3762" s="3"/>
      <c r="U3762" s="3"/>
      <c r="V3762" s="3"/>
      <c r="W3762" s="3"/>
      <c r="X3762" s="3"/>
      <c r="Y3762" s="4"/>
      <c r="Z3762"/>
      <c r="AA3762"/>
    </row>
    <row r="3763" spans="1:27" s="37" customFormat="1" x14ac:dyDescent="0.15">
      <c r="A3763" s="166"/>
      <c r="B3763" s="93"/>
      <c r="C3763" s="70"/>
      <c r="D3763" s="70"/>
      <c r="E3763" s="70"/>
      <c r="F3763" s="70"/>
      <c r="G3763" s="70"/>
      <c r="H3763" s="85"/>
      <c r="I3763" s="85"/>
      <c r="J3763" s="131"/>
      <c r="K3763" s="60"/>
      <c r="L3763" s="33"/>
      <c r="P3763" s="3"/>
      <c r="Q3763" s="3"/>
      <c r="R3763" s="3"/>
      <c r="S3763" s="3"/>
      <c r="T3763" s="3"/>
      <c r="U3763" s="3"/>
      <c r="V3763" s="3"/>
      <c r="W3763" s="3"/>
      <c r="X3763" s="3"/>
      <c r="Y3763" s="4"/>
      <c r="Z3763"/>
      <c r="AA3763"/>
    </row>
    <row r="3764" spans="1:27" s="37" customFormat="1" ht="16" x14ac:dyDescent="0.2">
      <c r="A3764" s="166"/>
      <c r="B3764" s="82"/>
      <c r="C3764" s="70"/>
      <c r="D3764" s="70"/>
      <c r="E3764" s="70"/>
      <c r="F3764" s="70"/>
      <c r="G3764" s="70"/>
      <c r="H3764" s="85"/>
      <c r="I3764" s="85"/>
      <c r="J3764" s="131"/>
      <c r="K3764" s="60"/>
      <c r="L3764" s="49"/>
      <c r="M3764" s="48"/>
      <c r="P3764" s="3"/>
      <c r="Q3764" s="3"/>
      <c r="R3764" s="3"/>
      <c r="S3764" s="3"/>
      <c r="T3764" s="3"/>
      <c r="U3764" s="3"/>
      <c r="V3764" s="3"/>
      <c r="W3764" s="3"/>
      <c r="X3764" s="3"/>
      <c r="Y3764" s="4"/>
      <c r="Z3764"/>
      <c r="AA3764"/>
    </row>
    <row r="3765" spans="1:27" s="37" customFormat="1" x14ac:dyDescent="0.15">
      <c r="A3765" s="166"/>
      <c r="B3765" s="82"/>
      <c r="C3765" s="70"/>
      <c r="D3765" s="70"/>
      <c r="E3765" s="70"/>
      <c r="F3765" s="70"/>
      <c r="G3765" s="70"/>
      <c r="H3765" s="85"/>
      <c r="I3765" s="85"/>
      <c r="J3765" s="131"/>
      <c r="K3765" s="60"/>
      <c r="L3765" s="49"/>
      <c r="P3765" s="3"/>
      <c r="Q3765" s="3"/>
      <c r="R3765" s="3"/>
      <c r="S3765" s="3"/>
      <c r="T3765" s="3"/>
      <c r="U3765" s="3"/>
      <c r="V3765" s="3"/>
      <c r="W3765" s="3"/>
      <c r="X3765" s="3"/>
      <c r="Y3765" s="4"/>
      <c r="Z3765"/>
      <c r="AA3765"/>
    </row>
    <row r="3766" spans="1:27" s="37" customFormat="1" x14ac:dyDescent="0.15">
      <c r="A3766" s="166"/>
      <c r="B3766" s="93"/>
      <c r="C3766" s="70"/>
      <c r="D3766" s="70"/>
      <c r="E3766" s="70"/>
      <c r="F3766" s="70"/>
      <c r="G3766" s="70"/>
      <c r="H3766" s="85"/>
      <c r="I3766" s="85"/>
      <c r="J3766" s="131"/>
      <c r="K3766" s="60"/>
      <c r="L3766" s="33"/>
      <c r="P3766" s="3"/>
      <c r="Q3766" s="3"/>
      <c r="R3766" s="3"/>
      <c r="S3766" s="3"/>
      <c r="T3766" s="3"/>
      <c r="U3766" s="3"/>
      <c r="V3766" s="3"/>
      <c r="W3766" s="3"/>
      <c r="X3766" s="3"/>
      <c r="Y3766" s="4"/>
      <c r="Z3766"/>
      <c r="AA3766"/>
    </row>
    <row r="3767" spans="1:27" s="37" customFormat="1" x14ac:dyDescent="0.15">
      <c r="A3767" s="166"/>
      <c r="B3767" s="93"/>
      <c r="C3767" s="70"/>
      <c r="D3767" s="70"/>
      <c r="E3767" s="70"/>
      <c r="F3767" s="70"/>
      <c r="G3767" s="70"/>
      <c r="H3767" s="85"/>
      <c r="I3767" s="85"/>
      <c r="J3767" s="131"/>
      <c r="K3767" s="60"/>
      <c r="L3767" s="33"/>
      <c r="P3767" s="3"/>
      <c r="Q3767" s="3"/>
      <c r="R3767" s="3"/>
      <c r="S3767" s="3"/>
      <c r="T3767" s="3"/>
      <c r="U3767" s="3"/>
      <c r="V3767" s="3"/>
      <c r="W3767" s="3"/>
      <c r="X3767" s="3"/>
      <c r="Y3767" s="4"/>
      <c r="Z3767"/>
      <c r="AA3767"/>
    </row>
    <row r="3768" spans="1:27" s="37" customFormat="1" ht="16" x14ac:dyDescent="0.2">
      <c r="A3768" s="166"/>
      <c r="B3768" s="93"/>
      <c r="C3768" s="70"/>
      <c r="D3768" s="70"/>
      <c r="E3768" s="70"/>
      <c r="F3768" s="70"/>
      <c r="G3768" s="70"/>
      <c r="H3768" s="85"/>
      <c r="I3768" s="85"/>
      <c r="J3768" s="131"/>
      <c r="K3768" s="60"/>
      <c r="L3768" s="33"/>
      <c r="M3768" s="48"/>
      <c r="P3768" s="3"/>
      <c r="Q3768" s="3"/>
      <c r="R3768" s="3"/>
      <c r="S3768" s="3"/>
      <c r="T3768" s="3"/>
      <c r="U3768" s="3"/>
      <c r="V3768" s="3"/>
      <c r="W3768" s="3"/>
      <c r="X3768" s="3"/>
      <c r="Y3768" s="4"/>
      <c r="Z3768"/>
      <c r="AA3768"/>
    </row>
    <row r="3769" spans="1:27" s="37" customFormat="1" x14ac:dyDescent="0.15">
      <c r="A3769" s="166"/>
      <c r="B3769" s="93"/>
      <c r="C3769" s="70"/>
      <c r="D3769" s="70"/>
      <c r="E3769" s="70"/>
      <c r="F3769" s="70"/>
      <c r="G3769" s="70"/>
      <c r="H3769" s="85"/>
      <c r="I3769" s="85"/>
      <c r="J3769" s="131"/>
      <c r="K3769" s="60"/>
      <c r="L3769" s="33"/>
      <c r="P3769" s="3"/>
      <c r="Q3769" s="3"/>
      <c r="R3769" s="3"/>
      <c r="S3769" s="3"/>
      <c r="T3769" s="3"/>
      <c r="U3769" s="3"/>
      <c r="V3769" s="3"/>
      <c r="W3769" s="3"/>
      <c r="X3769" s="3"/>
      <c r="Y3769" s="4"/>
      <c r="Z3769"/>
      <c r="AA3769"/>
    </row>
    <row r="3770" spans="1:27" s="37" customFormat="1" x14ac:dyDescent="0.15">
      <c r="A3770" s="166"/>
      <c r="B3770" s="93"/>
      <c r="C3770" s="70"/>
      <c r="D3770" s="70"/>
      <c r="E3770" s="70"/>
      <c r="F3770" s="70"/>
      <c r="G3770" s="70"/>
      <c r="H3770" s="85"/>
      <c r="I3770" s="85"/>
      <c r="J3770" s="131"/>
      <c r="K3770" s="60"/>
      <c r="L3770" s="33"/>
      <c r="P3770" s="3"/>
      <c r="Q3770" s="3"/>
      <c r="R3770" s="3"/>
      <c r="S3770" s="3"/>
      <c r="T3770" s="3"/>
      <c r="U3770" s="3"/>
      <c r="V3770" s="3"/>
      <c r="W3770" s="3"/>
      <c r="X3770" s="3"/>
      <c r="Y3770" s="4"/>
      <c r="Z3770"/>
      <c r="AA3770"/>
    </row>
    <row r="3771" spans="1:27" s="37" customFormat="1" x14ac:dyDescent="0.15">
      <c r="A3771" s="166"/>
      <c r="B3771" s="93"/>
      <c r="C3771" s="70"/>
      <c r="D3771" s="70"/>
      <c r="E3771" s="70"/>
      <c r="F3771" s="70"/>
      <c r="G3771" s="70"/>
      <c r="H3771" s="85"/>
      <c r="I3771" s="85"/>
      <c r="J3771" s="131"/>
      <c r="K3771" s="60"/>
      <c r="L3771" s="33"/>
      <c r="P3771" s="3"/>
      <c r="Q3771" s="3"/>
      <c r="R3771" s="3"/>
      <c r="S3771" s="3"/>
      <c r="T3771" s="3"/>
      <c r="U3771" s="3"/>
      <c r="V3771" s="3"/>
      <c r="W3771" s="3"/>
      <c r="X3771" s="3"/>
      <c r="Y3771" s="4"/>
      <c r="Z3771"/>
      <c r="AA3771"/>
    </row>
    <row r="3772" spans="1:27" s="37" customFormat="1" x14ac:dyDescent="0.15">
      <c r="A3772" s="166"/>
      <c r="B3772" s="82"/>
      <c r="C3772" s="70"/>
      <c r="D3772" s="70"/>
      <c r="E3772" s="70"/>
      <c r="F3772" s="70"/>
      <c r="G3772" s="70"/>
      <c r="H3772" s="85"/>
      <c r="I3772" s="85"/>
      <c r="J3772" s="131"/>
      <c r="K3772" s="60"/>
      <c r="L3772" s="49"/>
      <c r="P3772" s="3"/>
      <c r="Q3772" s="3"/>
      <c r="R3772" s="3"/>
      <c r="S3772" s="3"/>
      <c r="T3772" s="3"/>
      <c r="U3772" s="3"/>
      <c r="V3772" s="3"/>
      <c r="W3772" s="3"/>
      <c r="X3772" s="3"/>
      <c r="Y3772" s="4"/>
      <c r="Z3772"/>
      <c r="AA3772"/>
    </row>
    <row r="3773" spans="1:27" s="37" customFormat="1" x14ac:dyDescent="0.15">
      <c r="A3773" s="166"/>
      <c r="B3773" s="82"/>
      <c r="C3773" s="70"/>
      <c r="D3773" s="70"/>
      <c r="E3773" s="70"/>
      <c r="F3773" s="70"/>
      <c r="G3773" s="70"/>
      <c r="H3773" s="85"/>
      <c r="I3773" s="85"/>
      <c r="J3773" s="131"/>
      <c r="K3773" s="60"/>
      <c r="L3773" s="49"/>
      <c r="P3773" s="3"/>
      <c r="Q3773" s="3"/>
      <c r="R3773" s="3"/>
      <c r="S3773" s="3"/>
      <c r="T3773" s="3"/>
      <c r="U3773" s="3"/>
      <c r="V3773" s="3"/>
      <c r="W3773" s="3"/>
      <c r="X3773" s="3"/>
      <c r="Y3773" s="4"/>
      <c r="Z3773"/>
      <c r="AA3773"/>
    </row>
    <row r="3774" spans="1:27" s="37" customFormat="1" ht="16" x14ac:dyDescent="0.2">
      <c r="A3774" s="166"/>
      <c r="B3774" s="82"/>
      <c r="C3774" s="70"/>
      <c r="D3774" s="70"/>
      <c r="E3774" s="70"/>
      <c r="F3774" s="70"/>
      <c r="G3774" s="70"/>
      <c r="H3774" s="85"/>
      <c r="I3774" s="85"/>
      <c r="J3774" s="131"/>
      <c r="K3774" s="60"/>
      <c r="L3774" s="49"/>
      <c r="M3774" s="48"/>
      <c r="P3774" s="3"/>
      <c r="Q3774" s="3"/>
      <c r="R3774" s="3"/>
      <c r="S3774" s="3"/>
      <c r="T3774" s="3"/>
      <c r="U3774" s="3"/>
      <c r="V3774" s="3"/>
      <c r="W3774" s="3"/>
      <c r="X3774" s="3"/>
      <c r="Y3774" s="4"/>
      <c r="Z3774"/>
      <c r="AA3774"/>
    </row>
    <row r="3775" spans="1:27" ht="16" x14ac:dyDescent="0.2">
      <c r="A3775" s="166"/>
      <c r="B3775" s="82"/>
      <c r="C3775" s="70"/>
      <c r="D3775" s="70"/>
      <c r="E3775" s="70"/>
      <c r="F3775" s="70"/>
      <c r="G3775" s="70"/>
      <c r="H3775" s="85"/>
      <c r="I3775" s="85"/>
      <c r="J3775" s="131"/>
      <c r="K3775" s="60"/>
      <c r="M3775" s="48"/>
      <c r="R3775" s="14"/>
      <c r="S3775" s="14"/>
      <c r="T3775" s="14"/>
      <c r="U3775" s="14"/>
      <c r="V3775" s="14"/>
      <c r="W3775" s="14"/>
      <c r="X3775" s="14"/>
      <c r="Y3775" s="17"/>
      <c r="Z3775" s="15"/>
      <c r="AA3775" s="15"/>
    </row>
    <row r="3776" spans="1:27" ht="16" x14ac:dyDescent="0.2">
      <c r="A3776" s="166"/>
      <c r="B3776" s="93"/>
      <c r="C3776" s="70"/>
      <c r="D3776" s="70"/>
      <c r="E3776" s="70"/>
      <c r="F3776" s="70"/>
      <c r="G3776" s="70"/>
      <c r="H3776" s="85"/>
      <c r="I3776" s="85"/>
      <c r="J3776" s="131"/>
      <c r="K3776" s="60"/>
      <c r="M3776" s="48"/>
    </row>
    <row r="3777" spans="1:27" x14ac:dyDescent="0.15">
      <c r="A3777" s="166"/>
      <c r="B3777" s="93"/>
      <c r="C3777" s="70"/>
      <c r="D3777" s="70"/>
      <c r="E3777" s="70"/>
      <c r="F3777" s="70"/>
      <c r="G3777" s="70"/>
      <c r="H3777" s="85"/>
      <c r="I3777" s="85"/>
      <c r="J3777" s="131"/>
      <c r="K3777" s="60"/>
      <c r="L3777" s="33"/>
    </row>
    <row r="3778" spans="1:27" x14ac:dyDescent="0.15">
      <c r="A3778" s="166"/>
      <c r="B3778" s="82"/>
      <c r="C3778" s="70"/>
      <c r="D3778" s="70"/>
      <c r="E3778" s="70"/>
      <c r="F3778" s="70"/>
      <c r="G3778" s="70"/>
      <c r="H3778" s="85"/>
      <c r="I3778" s="85"/>
      <c r="J3778" s="131"/>
      <c r="K3778" s="60"/>
    </row>
    <row r="3779" spans="1:27" x14ac:dyDescent="0.15">
      <c r="A3779" s="166"/>
      <c r="B3779" s="82"/>
      <c r="C3779" s="70"/>
      <c r="D3779" s="70"/>
      <c r="E3779" s="70"/>
      <c r="F3779" s="70"/>
      <c r="G3779" s="70"/>
      <c r="H3779" s="85"/>
      <c r="I3779" s="85"/>
      <c r="J3779" s="131"/>
      <c r="K3779" s="60"/>
    </row>
    <row r="3780" spans="1:27" x14ac:dyDescent="0.15">
      <c r="A3780" s="166"/>
      <c r="B3780" s="82"/>
      <c r="C3780" s="70"/>
      <c r="D3780" s="70"/>
      <c r="E3780" s="70"/>
      <c r="F3780" s="70"/>
      <c r="G3780" s="70"/>
      <c r="H3780" s="85"/>
      <c r="I3780" s="85"/>
      <c r="J3780" s="131"/>
      <c r="K3780" s="60"/>
    </row>
    <row r="3781" spans="1:27" x14ac:dyDescent="0.15">
      <c r="A3781" s="166"/>
      <c r="B3781" s="82"/>
      <c r="C3781" s="70"/>
      <c r="D3781" s="70"/>
      <c r="E3781" s="70"/>
      <c r="F3781" s="70"/>
      <c r="G3781" s="70"/>
      <c r="H3781" s="85"/>
      <c r="I3781" s="85"/>
      <c r="J3781" s="131"/>
      <c r="K3781" s="60"/>
    </row>
    <row r="3782" spans="1:27" x14ac:dyDescent="0.15">
      <c r="A3782" s="166"/>
      <c r="B3782" s="82"/>
      <c r="C3782" s="70"/>
      <c r="D3782" s="70"/>
      <c r="E3782" s="70"/>
      <c r="F3782" s="70"/>
      <c r="G3782" s="70"/>
      <c r="H3782" s="85"/>
      <c r="I3782" s="85"/>
      <c r="J3782" s="131"/>
      <c r="K3782" s="60"/>
    </row>
    <row r="3783" spans="1:27" x14ac:dyDescent="0.15">
      <c r="A3783" s="166"/>
      <c r="B3783" s="93"/>
      <c r="C3783" s="70"/>
      <c r="D3783" s="70"/>
      <c r="E3783" s="70"/>
      <c r="F3783" s="70"/>
      <c r="G3783" s="70"/>
      <c r="H3783" s="85"/>
      <c r="I3783" s="85"/>
      <c r="J3783" s="131"/>
      <c r="K3783" s="60"/>
      <c r="L3783" s="33"/>
    </row>
    <row r="3784" spans="1:27" x14ac:dyDescent="0.15">
      <c r="A3784" s="166"/>
      <c r="B3784" s="93"/>
      <c r="C3784" s="70"/>
      <c r="D3784" s="70"/>
      <c r="E3784" s="70"/>
      <c r="F3784" s="70"/>
      <c r="G3784" s="70"/>
      <c r="H3784" s="85"/>
      <c r="I3784" s="85"/>
      <c r="J3784" s="131"/>
      <c r="K3784" s="60"/>
      <c r="L3784" s="33"/>
    </row>
    <row r="3785" spans="1:27" ht="16" x14ac:dyDescent="0.2">
      <c r="A3785" s="166"/>
      <c r="B3785" s="82"/>
      <c r="C3785" s="70"/>
      <c r="D3785" s="70"/>
      <c r="E3785" s="70"/>
      <c r="F3785" s="70"/>
      <c r="G3785" s="70"/>
      <c r="H3785" s="85"/>
      <c r="I3785" s="85"/>
      <c r="J3785" s="131"/>
      <c r="K3785" s="60"/>
      <c r="M3785" s="48"/>
    </row>
    <row r="3786" spans="1:27" x14ac:dyDescent="0.15">
      <c r="A3786" s="166"/>
      <c r="B3786" s="82"/>
      <c r="C3786" s="73"/>
      <c r="D3786" s="73"/>
      <c r="E3786" s="73"/>
      <c r="F3786" s="73"/>
      <c r="G3786" s="73"/>
      <c r="H3786" s="85"/>
      <c r="I3786" s="95"/>
      <c r="J3786" s="131"/>
      <c r="K3786" s="60"/>
    </row>
    <row r="3787" spans="1:27" x14ac:dyDescent="0.15">
      <c r="A3787" s="166"/>
      <c r="B3787" s="93"/>
      <c r="C3787" s="70"/>
      <c r="D3787" s="70"/>
      <c r="E3787" s="70"/>
      <c r="F3787" s="70"/>
      <c r="G3787" s="70"/>
      <c r="H3787" s="85"/>
      <c r="I3787" s="85"/>
      <c r="J3787" s="131"/>
      <c r="K3787" s="60"/>
      <c r="L3787" s="33"/>
    </row>
    <row r="3788" spans="1:27" ht="16" x14ac:dyDescent="0.2">
      <c r="A3788" s="166"/>
      <c r="B3788" s="82"/>
      <c r="C3788" s="70"/>
      <c r="D3788" s="70"/>
      <c r="E3788" s="70"/>
      <c r="F3788" s="70"/>
      <c r="G3788" s="70"/>
      <c r="H3788" s="85"/>
      <c r="I3788" s="85"/>
      <c r="J3788" s="131"/>
      <c r="K3788" s="60"/>
      <c r="M3788" s="48"/>
    </row>
    <row r="3789" spans="1:27" x14ac:dyDescent="0.15">
      <c r="A3789" s="166"/>
      <c r="B3789" s="82"/>
      <c r="C3789" s="70"/>
      <c r="D3789" s="70"/>
      <c r="E3789" s="70"/>
      <c r="F3789" s="70"/>
      <c r="G3789" s="70"/>
      <c r="H3789" s="85"/>
      <c r="I3789" s="85"/>
      <c r="J3789" s="131"/>
      <c r="K3789" s="60"/>
    </row>
    <row r="3790" spans="1:27" x14ac:dyDescent="0.15">
      <c r="A3790" s="166"/>
      <c r="B3790" s="82"/>
      <c r="C3790" s="70"/>
      <c r="D3790" s="70"/>
      <c r="E3790" s="70"/>
      <c r="F3790" s="70"/>
      <c r="G3790" s="70"/>
      <c r="H3790" s="85"/>
      <c r="I3790" s="85"/>
      <c r="J3790" s="131"/>
      <c r="K3790" s="60"/>
    </row>
    <row r="3791" spans="1:27" s="37" customFormat="1" x14ac:dyDescent="0.15">
      <c r="A3791" s="166"/>
      <c r="B3791" s="82"/>
      <c r="C3791" s="70"/>
      <c r="D3791" s="70"/>
      <c r="E3791" s="70"/>
      <c r="F3791" s="70"/>
      <c r="G3791" s="70"/>
      <c r="H3791" s="85"/>
      <c r="I3791" s="85"/>
      <c r="J3791" s="131"/>
      <c r="K3791" s="60"/>
      <c r="L3791" s="49"/>
      <c r="P3791" s="3"/>
      <c r="Q3791" s="3"/>
      <c r="R3791" s="3"/>
      <c r="S3791" s="3"/>
      <c r="T3791" s="3"/>
      <c r="U3791" s="3"/>
      <c r="V3791" s="3"/>
      <c r="W3791" s="3"/>
      <c r="X3791" s="3"/>
      <c r="Y3791" s="4"/>
      <c r="Z3791"/>
      <c r="AA3791"/>
    </row>
    <row r="3792" spans="1:27" s="37" customFormat="1" x14ac:dyDescent="0.15">
      <c r="A3792" s="166"/>
      <c r="B3792" s="82"/>
      <c r="C3792" s="70"/>
      <c r="D3792" s="70"/>
      <c r="E3792" s="70"/>
      <c r="F3792" s="70"/>
      <c r="G3792" s="70"/>
      <c r="H3792" s="85"/>
      <c r="I3792" s="85"/>
      <c r="J3792" s="131"/>
      <c r="K3792" s="60"/>
      <c r="L3792" s="33"/>
      <c r="P3792" s="3"/>
      <c r="Q3792" s="3"/>
      <c r="R3792" s="3"/>
      <c r="S3792" s="3"/>
      <c r="T3792" s="3"/>
      <c r="U3792" s="3"/>
      <c r="V3792" s="3"/>
      <c r="W3792" s="3"/>
      <c r="X3792" s="3"/>
      <c r="Y3792" s="4"/>
      <c r="Z3792"/>
      <c r="AA3792"/>
    </row>
    <row r="3793" spans="1:27" s="37" customFormat="1" x14ac:dyDescent="0.15">
      <c r="A3793" s="166"/>
      <c r="B3793" s="82"/>
      <c r="C3793" s="70"/>
      <c r="D3793" s="70"/>
      <c r="E3793" s="70"/>
      <c r="F3793" s="70"/>
      <c r="G3793" s="70"/>
      <c r="H3793" s="85"/>
      <c r="I3793" s="85"/>
      <c r="J3793" s="131"/>
      <c r="K3793" s="60"/>
      <c r="L3793" s="33"/>
      <c r="P3793" s="3"/>
      <c r="Q3793" s="3"/>
      <c r="R3793" s="3"/>
      <c r="S3793" s="3"/>
      <c r="T3793" s="3"/>
      <c r="U3793" s="3"/>
      <c r="V3793" s="3"/>
      <c r="W3793" s="3"/>
      <c r="X3793" s="3"/>
      <c r="Y3793" s="4"/>
      <c r="Z3793"/>
      <c r="AA3793"/>
    </row>
    <row r="3794" spans="1:27" s="37" customFormat="1" x14ac:dyDescent="0.15">
      <c r="A3794" s="166"/>
      <c r="B3794" s="93"/>
      <c r="C3794" s="70"/>
      <c r="D3794" s="70"/>
      <c r="E3794" s="70"/>
      <c r="F3794" s="70"/>
      <c r="G3794" s="70"/>
      <c r="H3794" s="85"/>
      <c r="I3794" s="85"/>
      <c r="J3794" s="131"/>
      <c r="K3794" s="60"/>
      <c r="L3794" s="33"/>
      <c r="P3794" s="3"/>
      <c r="Q3794" s="3"/>
      <c r="R3794" s="3"/>
      <c r="S3794" s="3"/>
      <c r="T3794" s="3"/>
      <c r="U3794" s="3"/>
      <c r="V3794" s="3"/>
      <c r="W3794" s="3"/>
      <c r="X3794" s="3"/>
      <c r="Y3794" s="4"/>
      <c r="Z3794"/>
      <c r="AA3794"/>
    </row>
    <row r="3795" spans="1:27" s="37" customFormat="1" ht="16" x14ac:dyDescent="0.2">
      <c r="A3795" s="166"/>
      <c r="B3795" s="93"/>
      <c r="C3795" s="70"/>
      <c r="D3795" s="70"/>
      <c r="E3795" s="70"/>
      <c r="F3795" s="70"/>
      <c r="G3795" s="70"/>
      <c r="H3795" s="85"/>
      <c r="I3795" s="85"/>
      <c r="J3795" s="131"/>
      <c r="K3795" s="60"/>
      <c r="L3795" s="33"/>
      <c r="M3795" s="48"/>
      <c r="P3795" s="3"/>
      <c r="Q3795" s="3"/>
      <c r="R3795" s="3"/>
      <c r="S3795" s="3"/>
      <c r="T3795" s="3"/>
      <c r="U3795" s="3"/>
      <c r="V3795" s="3"/>
      <c r="W3795" s="3"/>
      <c r="X3795" s="3"/>
      <c r="Y3795" s="4"/>
      <c r="Z3795"/>
      <c r="AA3795"/>
    </row>
    <row r="3796" spans="1:27" s="37" customFormat="1" x14ac:dyDescent="0.15">
      <c r="A3796" s="166"/>
      <c r="B3796" s="93"/>
      <c r="C3796" s="70"/>
      <c r="D3796" s="70"/>
      <c r="E3796" s="70"/>
      <c r="F3796" s="70"/>
      <c r="G3796" s="70"/>
      <c r="H3796" s="85"/>
      <c r="I3796" s="85"/>
      <c r="J3796" s="131"/>
      <c r="K3796" s="60"/>
      <c r="L3796" s="33"/>
      <c r="P3796" s="3"/>
      <c r="Q3796" s="3"/>
      <c r="R3796" s="3"/>
      <c r="S3796" s="3"/>
      <c r="T3796" s="3"/>
      <c r="U3796" s="3"/>
      <c r="V3796" s="3"/>
      <c r="W3796" s="3"/>
      <c r="X3796" s="3"/>
      <c r="Y3796" s="4"/>
      <c r="Z3796"/>
      <c r="AA3796"/>
    </row>
    <row r="3797" spans="1:27" s="37" customFormat="1" x14ac:dyDescent="0.15">
      <c r="A3797" s="166"/>
      <c r="B3797" s="93"/>
      <c r="C3797" s="70"/>
      <c r="D3797" s="70"/>
      <c r="E3797" s="70"/>
      <c r="F3797" s="70"/>
      <c r="G3797" s="70"/>
      <c r="H3797" s="85"/>
      <c r="I3797" s="85"/>
      <c r="J3797" s="131"/>
      <c r="K3797" s="60"/>
      <c r="L3797" s="33"/>
      <c r="P3797" s="3"/>
      <c r="Q3797" s="3"/>
      <c r="R3797" s="3"/>
      <c r="S3797" s="3"/>
      <c r="T3797" s="3"/>
      <c r="U3797" s="3"/>
      <c r="V3797" s="3"/>
      <c r="W3797" s="3"/>
      <c r="X3797" s="3"/>
      <c r="Y3797" s="4"/>
      <c r="Z3797"/>
      <c r="AA3797"/>
    </row>
    <row r="3798" spans="1:27" s="37" customFormat="1" x14ac:dyDescent="0.15">
      <c r="A3798" s="166"/>
      <c r="B3798" s="93"/>
      <c r="C3798" s="70"/>
      <c r="D3798" s="70"/>
      <c r="E3798" s="70"/>
      <c r="F3798" s="70"/>
      <c r="G3798" s="70"/>
      <c r="H3798" s="85"/>
      <c r="I3798" s="85"/>
      <c r="J3798" s="131"/>
      <c r="K3798" s="60"/>
      <c r="L3798" s="33"/>
      <c r="P3798" s="3"/>
      <c r="Q3798" s="3"/>
      <c r="R3798" s="3"/>
      <c r="S3798" s="3"/>
      <c r="T3798" s="3"/>
      <c r="U3798" s="3"/>
      <c r="V3798" s="3"/>
      <c r="W3798" s="3"/>
      <c r="X3798" s="3"/>
      <c r="Y3798" s="4"/>
      <c r="Z3798"/>
      <c r="AA3798"/>
    </row>
    <row r="3799" spans="1:27" s="37" customFormat="1" x14ac:dyDescent="0.15">
      <c r="A3799" s="166"/>
      <c r="B3799" s="93"/>
      <c r="C3799" s="70"/>
      <c r="D3799" s="70"/>
      <c r="E3799" s="70"/>
      <c r="F3799" s="70"/>
      <c r="G3799" s="70"/>
      <c r="H3799" s="85"/>
      <c r="I3799" s="85"/>
      <c r="J3799" s="131"/>
      <c r="K3799" s="60"/>
      <c r="L3799" s="33"/>
      <c r="P3799" s="3"/>
      <c r="Q3799" s="3"/>
      <c r="R3799" s="3"/>
      <c r="S3799" s="3"/>
      <c r="T3799" s="3"/>
      <c r="U3799" s="3"/>
      <c r="V3799" s="3"/>
      <c r="W3799" s="3"/>
      <c r="X3799" s="3"/>
      <c r="Y3799" s="4"/>
      <c r="Z3799"/>
      <c r="AA3799"/>
    </row>
    <row r="3800" spans="1:27" s="37" customFormat="1" x14ac:dyDescent="0.15">
      <c r="A3800" s="166"/>
      <c r="B3800" s="82"/>
      <c r="C3800" s="70"/>
      <c r="D3800" s="70"/>
      <c r="E3800" s="70"/>
      <c r="F3800" s="70"/>
      <c r="G3800" s="70"/>
      <c r="H3800" s="85"/>
      <c r="I3800" s="85"/>
      <c r="J3800" s="131"/>
      <c r="K3800" s="60"/>
      <c r="L3800" s="49"/>
      <c r="P3800" s="3"/>
      <c r="Q3800" s="3"/>
      <c r="R3800" s="3"/>
      <c r="S3800" s="3"/>
      <c r="T3800" s="3"/>
      <c r="U3800" s="3"/>
      <c r="V3800" s="3"/>
      <c r="W3800" s="3"/>
      <c r="X3800" s="3"/>
      <c r="Y3800" s="4"/>
      <c r="Z3800"/>
      <c r="AA3800"/>
    </row>
    <row r="3801" spans="1:27" s="37" customFormat="1" x14ac:dyDescent="0.15">
      <c r="A3801" s="166"/>
      <c r="B3801" s="82"/>
      <c r="C3801" s="70"/>
      <c r="D3801" s="70"/>
      <c r="E3801" s="70"/>
      <c r="F3801" s="70"/>
      <c r="G3801" s="70"/>
      <c r="H3801" s="85"/>
      <c r="I3801" s="85"/>
      <c r="J3801" s="131"/>
      <c r="K3801" s="60"/>
      <c r="L3801" s="33"/>
      <c r="P3801" s="3"/>
      <c r="Q3801" s="3"/>
      <c r="R3801" s="3"/>
      <c r="S3801" s="3"/>
      <c r="T3801" s="3"/>
      <c r="U3801" s="3"/>
      <c r="V3801" s="3"/>
      <c r="W3801" s="3"/>
      <c r="X3801" s="3"/>
      <c r="Y3801" s="4"/>
      <c r="Z3801"/>
      <c r="AA3801"/>
    </row>
    <row r="3802" spans="1:27" s="37" customFormat="1" x14ac:dyDescent="0.15">
      <c r="A3802" s="166"/>
      <c r="B3802" s="82"/>
      <c r="C3802" s="70"/>
      <c r="D3802" s="70"/>
      <c r="E3802" s="70"/>
      <c r="F3802" s="70"/>
      <c r="G3802" s="70"/>
      <c r="H3802" s="85"/>
      <c r="I3802" s="85"/>
      <c r="J3802" s="131"/>
      <c r="K3802" s="60"/>
      <c r="L3802" s="49"/>
      <c r="P3802" s="3"/>
      <c r="Q3802" s="3"/>
      <c r="R3802" s="3"/>
      <c r="S3802" s="3"/>
      <c r="T3802" s="3"/>
      <c r="U3802" s="3"/>
      <c r="V3802" s="3"/>
      <c r="W3802" s="3"/>
      <c r="X3802" s="3"/>
      <c r="Y3802" s="4"/>
      <c r="Z3802"/>
      <c r="AA3802"/>
    </row>
    <row r="3803" spans="1:27" s="37" customFormat="1" x14ac:dyDescent="0.15">
      <c r="A3803" s="166"/>
      <c r="B3803" s="93"/>
      <c r="C3803" s="70"/>
      <c r="D3803" s="70"/>
      <c r="E3803" s="70"/>
      <c r="F3803" s="70"/>
      <c r="G3803" s="70"/>
      <c r="H3803" s="85"/>
      <c r="I3803" s="85"/>
      <c r="J3803" s="131"/>
      <c r="K3803" s="60"/>
      <c r="L3803" s="33"/>
      <c r="P3803" s="3"/>
      <c r="Q3803" s="3"/>
      <c r="R3803" s="3"/>
      <c r="S3803" s="3"/>
      <c r="T3803" s="3"/>
      <c r="U3803" s="3"/>
      <c r="V3803" s="3"/>
      <c r="W3803" s="3"/>
      <c r="X3803" s="3"/>
      <c r="Y3803" s="4"/>
      <c r="Z3803"/>
      <c r="AA3803"/>
    </row>
    <row r="3804" spans="1:27" s="37" customFormat="1" x14ac:dyDescent="0.15">
      <c r="A3804" s="166"/>
      <c r="B3804" s="93"/>
      <c r="C3804" s="70"/>
      <c r="D3804" s="70"/>
      <c r="E3804" s="70"/>
      <c r="F3804" s="70"/>
      <c r="G3804" s="70"/>
      <c r="H3804" s="85"/>
      <c r="I3804" s="85"/>
      <c r="J3804" s="131"/>
      <c r="K3804" s="60"/>
      <c r="L3804" s="33"/>
      <c r="P3804" s="3"/>
      <c r="Q3804" s="3"/>
      <c r="R3804" s="3"/>
      <c r="S3804" s="3"/>
      <c r="T3804" s="3"/>
      <c r="U3804" s="3"/>
      <c r="V3804" s="3"/>
      <c r="W3804" s="3"/>
      <c r="X3804" s="3"/>
      <c r="Y3804" s="4"/>
      <c r="Z3804"/>
      <c r="AA3804"/>
    </row>
    <row r="3805" spans="1:27" s="37" customFormat="1" x14ac:dyDescent="0.15">
      <c r="A3805" s="166"/>
      <c r="B3805" s="82"/>
      <c r="C3805" s="70"/>
      <c r="D3805" s="70"/>
      <c r="E3805" s="70"/>
      <c r="F3805" s="70"/>
      <c r="G3805" s="70"/>
      <c r="H3805" s="85"/>
      <c r="I3805" s="85"/>
      <c r="J3805" s="131"/>
      <c r="K3805" s="60"/>
      <c r="L3805" s="49"/>
      <c r="P3805" s="3"/>
      <c r="Q3805" s="3"/>
      <c r="R3805" s="3"/>
      <c r="S3805" s="3"/>
      <c r="T3805" s="3"/>
      <c r="U3805" s="3"/>
      <c r="V3805" s="3"/>
      <c r="W3805" s="3"/>
      <c r="X3805" s="3"/>
      <c r="Y3805" s="4"/>
      <c r="Z3805"/>
      <c r="AA3805"/>
    </row>
    <row r="3806" spans="1:27" s="37" customFormat="1" x14ac:dyDescent="0.15">
      <c r="A3806" s="166"/>
      <c r="B3806" s="82"/>
      <c r="C3806" s="70"/>
      <c r="D3806" s="70"/>
      <c r="E3806" s="70"/>
      <c r="F3806" s="70"/>
      <c r="G3806" s="70"/>
      <c r="H3806" s="85"/>
      <c r="I3806" s="85"/>
      <c r="J3806" s="131"/>
      <c r="K3806" s="60"/>
      <c r="L3806" s="49"/>
      <c r="P3806" s="3"/>
      <c r="Q3806" s="3"/>
      <c r="R3806" s="3"/>
      <c r="S3806" s="3"/>
      <c r="T3806" s="3"/>
      <c r="U3806" s="3"/>
      <c r="V3806" s="3"/>
      <c r="W3806" s="3"/>
      <c r="X3806" s="3"/>
      <c r="Y3806" s="4"/>
      <c r="Z3806"/>
      <c r="AA3806"/>
    </row>
    <row r="3807" spans="1:27" s="37" customFormat="1" x14ac:dyDescent="0.15">
      <c r="A3807" s="166"/>
      <c r="B3807" s="82"/>
      <c r="C3807" s="70"/>
      <c r="D3807" s="70"/>
      <c r="E3807" s="70"/>
      <c r="F3807" s="70"/>
      <c r="G3807" s="70"/>
      <c r="H3807" s="85"/>
      <c r="I3807" s="85"/>
      <c r="J3807" s="131"/>
      <c r="K3807" s="60"/>
      <c r="L3807" s="49"/>
      <c r="P3807" s="3"/>
      <c r="Q3807" s="3"/>
      <c r="R3807" s="3"/>
      <c r="S3807" s="3"/>
      <c r="T3807" s="3"/>
      <c r="U3807" s="3"/>
      <c r="V3807" s="3"/>
      <c r="W3807" s="3"/>
      <c r="X3807" s="3"/>
      <c r="Y3807" s="4"/>
      <c r="Z3807"/>
      <c r="AA3807"/>
    </row>
    <row r="3808" spans="1:27" s="37" customFormat="1" x14ac:dyDescent="0.15">
      <c r="A3808" s="166"/>
      <c r="B3808" s="82"/>
      <c r="C3808" s="70"/>
      <c r="D3808" s="70"/>
      <c r="E3808" s="70"/>
      <c r="F3808" s="70"/>
      <c r="G3808" s="70"/>
      <c r="H3808" s="85"/>
      <c r="I3808" s="85"/>
      <c r="J3808" s="131"/>
      <c r="K3808" s="60"/>
      <c r="L3808" s="49"/>
      <c r="P3808" s="3"/>
      <c r="Q3808" s="3"/>
      <c r="R3808" s="3"/>
      <c r="S3808" s="3"/>
      <c r="T3808" s="3"/>
      <c r="U3808" s="3"/>
      <c r="V3808" s="3"/>
      <c r="W3808" s="3"/>
      <c r="X3808" s="3"/>
      <c r="Y3808" s="4"/>
      <c r="Z3808"/>
      <c r="AA3808"/>
    </row>
    <row r="3809" spans="1:27" s="37" customFormat="1" x14ac:dyDescent="0.15">
      <c r="A3809" s="166"/>
      <c r="B3809" s="82"/>
      <c r="C3809" s="73"/>
      <c r="D3809" s="73"/>
      <c r="E3809" s="70"/>
      <c r="F3809" s="73"/>
      <c r="G3809" s="73"/>
      <c r="H3809" s="85"/>
      <c r="I3809" s="85"/>
      <c r="J3809" s="131"/>
      <c r="K3809" s="60"/>
      <c r="L3809" s="49"/>
      <c r="P3809" s="3"/>
      <c r="Q3809" s="3"/>
      <c r="R3809" s="3"/>
      <c r="S3809" s="3"/>
      <c r="T3809" s="3"/>
      <c r="U3809" s="3"/>
      <c r="V3809" s="3"/>
      <c r="W3809" s="3"/>
      <c r="X3809" s="3"/>
      <c r="Y3809" s="4"/>
      <c r="Z3809"/>
      <c r="AA3809"/>
    </row>
    <row r="3810" spans="1:27" s="37" customFormat="1" x14ac:dyDescent="0.15">
      <c r="A3810" s="166"/>
      <c r="B3810" s="82"/>
      <c r="C3810" s="70"/>
      <c r="D3810" s="70"/>
      <c r="E3810" s="73"/>
      <c r="F3810" s="70"/>
      <c r="G3810" s="70"/>
      <c r="H3810" s="85"/>
      <c r="I3810" s="85"/>
      <c r="J3810" s="131"/>
      <c r="K3810" s="60"/>
      <c r="L3810" s="49"/>
      <c r="P3810" s="3"/>
      <c r="Q3810" s="3"/>
      <c r="R3810" s="3"/>
      <c r="S3810" s="3"/>
      <c r="T3810" s="3"/>
      <c r="U3810" s="3"/>
      <c r="V3810" s="3"/>
      <c r="W3810" s="3"/>
      <c r="X3810" s="3"/>
      <c r="Y3810" s="4"/>
      <c r="Z3810"/>
      <c r="AA3810"/>
    </row>
    <row r="3811" spans="1:27" s="37" customFormat="1" x14ac:dyDescent="0.15">
      <c r="A3811" s="166"/>
      <c r="B3811" s="82"/>
      <c r="C3811" s="73"/>
      <c r="D3811" s="73"/>
      <c r="E3811" s="70"/>
      <c r="F3811" s="73"/>
      <c r="G3811" s="73"/>
      <c r="H3811" s="85"/>
      <c r="I3811" s="95"/>
      <c r="J3811" s="131"/>
      <c r="K3811" s="60"/>
      <c r="L3811" s="49"/>
      <c r="P3811" s="3"/>
      <c r="Q3811" s="3"/>
      <c r="R3811" s="3"/>
      <c r="S3811" s="3"/>
      <c r="T3811" s="3"/>
      <c r="U3811" s="3"/>
      <c r="V3811" s="3"/>
      <c r="W3811" s="3"/>
      <c r="X3811" s="3"/>
      <c r="Y3811" s="4"/>
      <c r="Z3811"/>
      <c r="AA3811"/>
    </row>
    <row r="3812" spans="1:27" s="37" customFormat="1" x14ac:dyDescent="0.15">
      <c r="A3812" s="166"/>
      <c r="B3812" s="82"/>
      <c r="C3812" s="70"/>
      <c r="D3812" s="70"/>
      <c r="E3812" s="70"/>
      <c r="F3812" s="70"/>
      <c r="G3812" s="70"/>
      <c r="H3812" s="85"/>
      <c r="I3812" s="85"/>
      <c r="J3812" s="131"/>
      <c r="K3812" s="60"/>
      <c r="L3812" s="49"/>
      <c r="P3812" s="3"/>
      <c r="Q3812" s="3"/>
      <c r="R3812" s="3"/>
      <c r="S3812" s="3"/>
      <c r="T3812" s="3"/>
      <c r="U3812" s="3"/>
      <c r="V3812" s="3"/>
      <c r="W3812" s="3"/>
      <c r="X3812" s="3"/>
      <c r="Y3812" s="4"/>
      <c r="Z3812"/>
      <c r="AA3812"/>
    </row>
    <row r="3813" spans="1:27" s="37" customFormat="1" x14ac:dyDescent="0.15">
      <c r="A3813" s="166"/>
      <c r="B3813" s="82"/>
      <c r="C3813" s="70"/>
      <c r="D3813" s="70"/>
      <c r="E3813" s="70"/>
      <c r="F3813" s="70"/>
      <c r="G3813" s="70"/>
      <c r="H3813" s="85"/>
      <c r="I3813" s="85"/>
      <c r="J3813" s="131"/>
      <c r="K3813" s="60"/>
      <c r="L3813" s="49"/>
      <c r="P3813" s="3"/>
      <c r="Q3813" s="3"/>
      <c r="R3813" s="3"/>
      <c r="S3813" s="3"/>
      <c r="T3813" s="3"/>
      <c r="U3813" s="3"/>
      <c r="V3813" s="3"/>
      <c r="W3813" s="3"/>
      <c r="X3813" s="3"/>
      <c r="Y3813" s="4"/>
      <c r="Z3813"/>
      <c r="AA3813"/>
    </row>
    <row r="3814" spans="1:27" s="37" customFormat="1" x14ac:dyDescent="0.15">
      <c r="A3814" s="166"/>
      <c r="B3814" s="93"/>
      <c r="C3814" s="70"/>
      <c r="D3814" s="70"/>
      <c r="E3814" s="70"/>
      <c r="F3814" s="70"/>
      <c r="G3814" s="70"/>
      <c r="H3814" s="85"/>
      <c r="I3814" s="85"/>
      <c r="J3814" s="131"/>
      <c r="K3814" s="60"/>
      <c r="L3814" s="33"/>
      <c r="P3814" s="3"/>
      <c r="Q3814" s="3"/>
      <c r="R3814" s="3"/>
      <c r="S3814" s="3"/>
      <c r="T3814" s="3"/>
      <c r="U3814" s="3"/>
      <c r="V3814" s="3"/>
      <c r="W3814" s="3"/>
      <c r="X3814" s="3"/>
      <c r="Y3814" s="4"/>
      <c r="Z3814"/>
      <c r="AA3814"/>
    </row>
    <row r="3815" spans="1:27" s="37" customFormat="1" x14ac:dyDescent="0.15">
      <c r="A3815" s="166"/>
      <c r="B3815" s="93"/>
      <c r="C3815" s="70"/>
      <c r="D3815" s="70"/>
      <c r="E3815" s="70"/>
      <c r="F3815" s="70"/>
      <c r="G3815" s="70"/>
      <c r="H3815" s="85"/>
      <c r="I3815" s="85"/>
      <c r="J3815" s="131"/>
      <c r="K3815" s="60"/>
      <c r="L3815" s="33"/>
      <c r="P3815" s="3"/>
      <c r="Q3815" s="3"/>
      <c r="R3815" s="3"/>
      <c r="S3815" s="3"/>
      <c r="T3815" s="3"/>
      <c r="U3815" s="3"/>
      <c r="V3815" s="3"/>
      <c r="W3815" s="3"/>
      <c r="X3815" s="3"/>
      <c r="Y3815" s="4"/>
      <c r="Z3815"/>
      <c r="AA3815"/>
    </row>
    <row r="3816" spans="1:27" s="37" customFormat="1" x14ac:dyDescent="0.15">
      <c r="A3816" s="166"/>
      <c r="B3816" s="93"/>
      <c r="C3816" s="70"/>
      <c r="D3816" s="70"/>
      <c r="E3816" s="70"/>
      <c r="F3816" s="70"/>
      <c r="G3816" s="70"/>
      <c r="H3816" s="85"/>
      <c r="I3816" s="85"/>
      <c r="J3816" s="131"/>
      <c r="K3816" s="60"/>
      <c r="L3816" s="33"/>
      <c r="P3816" s="3"/>
      <c r="Q3816" s="3"/>
      <c r="R3816" s="3"/>
      <c r="S3816" s="3"/>
      <c r="T3816" s="3"/>
      <c r="U3816" s="3"/>
      <c r="V3816" s="3"/>
      <c r="W3816" s="3"/>
      <c r="X3816" s="3"/>
      <c r="Y3816" s="4"/>
      <c r="Z3816"/>
      <c r="AA3816"/>
    </row>
    <row r="3817" spans="1:27" s="37" customFormat="1" x14ac:dyDescent="0.15">
      <c r="A3817" s="166"/>
      <c r="B3817" s="82"/>
      <c r="C3817" s="70"/>
      <c r="D3817" s="70"/>
      <c r="E3817" s="70"/>
      <c r="F3817" s="70"/>
      <c r="G3817" s="70"/>
      <c r="H3817" s="85"/>
      <c r="I3817" s="85"/>
      <c r="J3817" s="131"/>
      <c r="K3817" s="60"/>
      <c r="L3817" s="49"/>
      <c r="P3817" s="3"/>
      <c r="Q3817" s="3"/>
      <c r="R3817" s="3"/>
      <c r="S3817" s="3"/>
      <c r="T3817" s="3"/>
      <c r="U3817" s="3"/>
      <c r="V3817" s="3"/>
      <c r="W3817" s="3"/>
      <c r="X3817" s="3"/>
      <c r="Y3817" s="4"/>
      <c r="Z3817"/>
      <c r="AA3817"/>
    </row>
    <row r="3818" spans="1:27" s="37" customFormat="1" x14ac:dyDescent="0.15">
      <c r="A3818" s="166"/>
      <c r="B3818" s="82"/>
      <c r="C3818" s="70"/>
      <c r="D3818" s="70"/>
      <c r="E3818" s="70"/>
      <c r="F3818" s="70"/>
      <c r="G3818" s="70"/>
      <c r="H3818" s="85"/>
      <c r="I3818" s="85"/>
      <c r="J3818" s="131"/>
      <c r="K3818" s="60"/>
      <c r="L3818" s="49"/>
      <c r="P3818" s="3"/>
      <c r="Q3818" s="3"/>
      <c r="R3818" s="3"/>
      <c r="S3818" s="3"/>
      <c r="T3818" s="3"/>
      <c r="U3818" s="3"/>
      <c r="V3818" s="3"/>
      <c r="W3818" s="3"/>
      <c r="X3818" s="3"/>
      <c r="Y3818" s="4"/>
      <c r="Z3818"/>
      <c r="AA3818"/>
    </row>
    <row r="3819" spans="1:27" s="37" customFormat="1" ht="16" x14ac:dyDescent="0.2">
      <c r="A3819" s="166"/>
      <c r="B3819" s="82"/>
      <c r="C3819" s="70"/>
      <c r="D3819" s="70"/>
      <c r="E3819" s="70"/>
      <c r="F3819" s="70"/>
      <c r="G3819" s="70"/>
      <c r="H3819" s="85"/>
      <c r="I3819" s="85"/>
      <c r="J3819" s="131"/>
      <c r="K3819" s="60"/>
      <c r="L3819" s="47"/>
      <c r="P3819" s="3"/>
      <c r="Q3819" s="3"/>
      <c r="R3819" s="3"/>
      <c r="S3819" s="3"/>
      <c r="T3819" s="3"/>
      <c r="U3819" s="3"/>
      <c r="V3819" s="3"/>
      <c r="W3819" s="3"/>
      <c r="X3819" s="3"/>
      <c r="Y3819" s="4"/>
      <c r="Z3819"/>
      <c r="AA3819"/>
    </row>
    <row r="3820" spans="1:27" s="37" customFormat="1" x14ac:dyDescent="0.15">
      <c r="A3820" s="166"/>
      <c r="B3820" s="93"/>
      <c r="C3820" s="70"/>
      <c r="D3820" s="70"/>
      <c r="E3820" s="70"/>
      <c r="F3820" s="70"/>
      <c r="G3820" s="70"/>
      <c r="H3820" s="85"/>
      <c r="I3820" s="85"/>
      <c r="J3820" s="131"/>
      <c r="K3820" s="60"/>
      <c r="L3820" s="33"/>
      <c r="P3820" s="3"/>
      <c r="Q3820" s="3"/>
      <c r="R3820" s="3"/>
      <c r="S3820" s="3"/>
      <c r="T3820" s="3"/>
      <c r="U3820" s="3"/>
      <c r="V3820" s="3"/>
      <c r="W3820" s="3"/>
      <c r="X3820" s="3"/>
      <c r="Y3820" s="4"/>
      <c r="Z3820"/>
      <c r="AA3820"/>
    </row>
    <row r="3821" spans="1:27" s="37" customFormat="1" x14ac:dyDescent="0.15">
      <c r="A3821" s="166"/>
      <c r="B3821" s="82"/>
      <c r="C3821" s="70"/>
      <c r="D3821" s="70"/>
      <c r="E3821" s="70"/>
      <c r="F3821" s="70"/>
      <c r="G3821" s="70"/>
      <c r="H3821" s="85"/>
      <c r="I3821" s="85"/>
      <c r="J3821" s="131"/>
      <c r="K3821" s="60"/>
      <c r="L3821" s="49"/>
      <c r="P3821" s="3"/>
      <c r="Q3821" s="3"/>
      <c r="R3821" s="3"/>
      <c r="S3821" s="3"/>
      <c r="T3821" s="3"/>
      <c r="U3821" s="3"/>
      <c r="V3821" s="3"/>
      <c r="W3821" s="3"/>
      <c r="X3821" s="3"/>
      <c r="Y3821" s="4"/>
      <c r="Z3821"/>
      <c r="AA3821"/>
    </row>
    <row r="3822" spans="1:27" s="37" customFormat="1" x14ac:dyDescent="0.15">
      <c r="A3822" s="166"/>
      <c r="B3822" s="82"/>
      <c r="C3822" s="70"/>
      <c r="D3822" s="70"/>
      <c r="E3822" s="70"/>
      <c r="F3822" s="70"/>
      <c r="G3822" s="70"/>
      <c r="H3822" s="85"/>
      <c r="I3822" s="85"/>
      <c r="J3822" s="131"/>
      <c r="K3822" s="60"/>
      <c r="L3822" s="33"/>
      <c r="P3822" s="3"/>
      <c r="Q3822" s="3"/>
      <c r="R3822" s="3"/>
      <c r="S3822" s="3"/>
      <c r="T3822" s="3"/>
      <c r="U3822" s="3"/>
      <c r="V3822" s="3"/>
      <c r="W3822" s="3"/>
      <c r="X3822" s="3"/>
      <c r="Y3822" s="4"/>
      <c r="Z3822"/>
      <c r="AA3822"/>
    </row>
    <row r="3823" spans="1:27" ht="16" x14ac:dyDescent="0.2">
      <c r="A3823" s="166"/>
      <c r="B3823" s="82"/>
      <c r="C3823" s="70"/>
      <c r="D3823" s="70"/>
      <c r="E3823" s="70"/>
      <c r="F3823" s="70"/>
      <c r="G3823" s="70"/>
      <c r="H3823" s="85"/>
      <c r="I3823" s="85"/>
      <c r="J3823" s="131"/>
      <c r="K3823" s="60"/>
      <c r="L3823" s="33"/>
      <c r="M3823" s="48"/>
    </row>
    <row r="3824" spans="1:27" x14ac:dyDescent="0.15">
      <c r="A3824" s="166"/>
      <c r="B3824" s="82"/>
      <c r="C3824" s="70"/>
      <c r="D3824" s="70"/>
      <c r="E3824" s="70"/>
      <c r="F3824" s="70"/>
      <c r="G3824" s="70"/>
      <c r="H3824" s="85"/>
      <c r="I3824" s="85"/>
      <c r="J3824" s="131"/>
      <c r="K3824" s="60"/>
    </row>
    <row r="3825" spans="1:27" ht="16" x14ac:dyDescent="0.2">
      <c r="A3825" s="166"/>
      <c r="B3825" s="82"/>
      <c r="C3825" s="70"/>
      <c r="D3825" s="70"/>
      <c r="E3825" s="70"/>
      <c r="F3825" s="70"/>
      <c r="G3825" s="70"/>
      <c r="H3825" s="85"/>
      <c r="I3825" s="85"/>
      <c r="J3825" s="131"/>
      <c r="K3825" s="60"/>
      <c r="L3825" s="47"/>
    </row>
    <row r="3826" spans="1:27" x14ac:dyDescent="0.15">
      <c r="A3826" s="166"/>
      <c r="B3826" s="82"/>
      <c r="C3826" s="70"/>
      <c r="D3826" s="70"/>
      <c r="E3826" s="70"/>
      <c r="F3826" s="70"/>
      <c r="G3826" s="70"/>
      <c r="H3826" s="85"/>
      <c r="I3826" s="85"/>
      <c r="J3826" s="131"/>
      <c r="K3826" s="60"/>
    </row>
    <row r="3827" spans="1:27" x14ac:dyDescent="0.15">
      <c r="A3827" s="166"/>
      <c r="B3827" s="82"/>
      <c r="C3827" s="70"/>
      <c r="D3827" s="70"/>
      <c r="E3827" s="70"/>
      <c r="F3827" s="70"/>
      <c r="G3827" s="70"/>
      <c r="H3827" s="85"/>
      <c r="I3827" s="85"/>
      <c r="J3827" s="131"/>
      <c r="K3827" s="60"/>
    </row>
    <row r="3828" spans="1:27" ht="16" x14ac:dyDescent="0.2">
      <c r="A3828" s="166"/>
      <c r="B3828" s="82"/>
      <c r="C3828" s="70"/>
      <c r="D3828" s="70"/>
      <c r="E3828" s="73"/>
      <c r="F3828" s="70"/>
      <c r="G3828" s="70"/>
      <c r="H3828" s="85"/>
      <c r="I3828" s="85"/>
      <c r="J3828" s="131"/>
      <c r="K3828" s="60"/>
      <c r="M3828" s="48"/>
    </row>
    <row r="3829" spans="1:27" ht="16" x14ac:dyDescent="0.2">
      <c r="A3829" s="166"/>
      <c r="B3829" s="82"/>
      <c r="C3829" s="70"/>
      <c r="D3829" s="70"/>
      <c r="E3829" s="70"/>
      <c r="F3829" s="70"/>
      <c r="G3829" s="70"/>
      <c r="H3829" s="85"/>
      <c r="I3829" s="85"/>
      <c r="J3829" s="131"/>
      <c r="K3829" s="60"/>
      <c r="M3829" s="48"/>
    </row>
    <row r="3830" spans="1:27" x14ac:dyDescent="0.15">
      <c r="A3830" s="166"/>
      <c r="B3830" s="82"/>
      <c r="C3830" s="70"/>
      <c r="D3830" s="70"/>
      <c r="E3830" s="70"/>
      <c r="F3830" s="70"/>
      <c r="G3830" s="70"/>
      <c r="H3830" s="85"/>
      <c r="I3830" s="85"/>
      <c r="J3830" s="131"/>
      <c r="K3830" s="60"/>
    </row>
    <row r="3831" spans="1:27" x14ac:dyDescent="0.15">
      <c r="A3831" s="166"/>
      <c r="B3831" s="93"/>
      <c r="C3831" s="70"/>
      <c r="D3831" s="70"/>
      <c r="E3831" s="70"/>
      <c r="F3831" s="70"/>
      <c r="G3831" s="70"/>
      <c r="H3831" s="85"/>
      <c r="I3831" s="85"/>
      <c r="J3831" s="131"/>
      <c r="K3831" s="60"/>
    </row>
    <row r="3832" spans="1:27" x14ac:dyDescent="0.15">
      <c r="A3832" s="166"/>
      <c r="B3832" s="93"/>
      <c r="C3832" s="70"/>
      <c r="D3832" s="70"/>
      <c r="E3832" s="70"/>
      <c r="F3832" s="70"/>
      <c r="G3832" s="70"/>
      <c r="H3832" s="85"/>
      <c r="I3832" s="85"/>
      <c r="J3832" s="131"/>
      <c r="K3832" s="60"/>
      <c r="L3832" s="33"/>
      <c r="R3832" s="12"/>
      <c r="S3832" s="12"/>
      <c r="T3832" s="12"/>
      <c r="U3832" s="12"/>
      <c r="V3832" s="12"/>
      <c r="W3832" s="12"/>
      <c r="X3832" s="12"/>
      <c r="Y3832" s="16"/>
      <c r="Z3832" s="13"/>
      <c r="AA3832" s="13"/>
    </row>
    <row r="3833" spans="1:27" x14ac:dyDescent="0.15">
      <c r="A3833" s="166"/>
      <c r="B3833" s="82"/>
      <c r="C3833" s="70"/>
      <c r="D3833" s="70"/>
      <c r="E3833" s="70"/>
      <c r="F3833" s="70"/>
      <c r="G3833" s="70"/>
      <c r="H3833" s="85"/>
      <c r="I3833" s="85"/>
      <c r="J3833" s="131"/>
      <c r="K3833" s="60"/>
      <c r="L3833" s="33"/>
    </row>
    <row r="3834" spans="1:27" ht="16" x14ac:dyDescent="0.2">
      <c r="A3834" s="166"/>
      <c r="B3834" s="82"/>
      <c r="C3834" s="70"/>
      <c r="D3834" s="70"/>
      <c r="E3834" s="70"/>
      <c r="F3834" s="70"/>
      <c r="G3834" s="70"/>
      <c r="H3834" s="85"/>
      <c r="I3834" s="85"/>
      <c r="J3834" s="131"/>
      <c r="K3834" s="60"/>
      <c r="L3834" s="33"/>
      <c r="M3834" s="48"/>
    </row>
    <row r="3835" spans="1:27" ht="16" x14ac:dyDescent="0.2">
      <c r="A3835" s="166"/>
      <c r="B3835" s="82"/>
      <c r="C3835" s="73"/>
      <c r="D3835" s="73"/>
      <c r="E3835" s="70"/>
      <c r="F3835" s="73"/>
      <c r="G3835" s="73"/>
      <c r="H3835" s="85"/>
      <c r="I3835" s="95"/>
      <c r="J3835" s="131"/>
      <c r="K3835" s="60"/>
      <c r="L3835" s="33"/>
      <c r="M3835" s="48"/>
    </row>
    <row r="3836" spans="1:27" ht="16" x14ac:dyDescent="0.2">
      <c r="A3836" s="166"/>
      <c r="B3836" s="93"/>
      <c r="C3836" s="70"/>
      <c r="D3836" s="70"/>
      <c r="E3836" s="70"/>
      <c r="F3836" s="70"/>
      <c r="G3836" s="70"/>
      <c r="H3836" s="85"/>
      <c r="I3836" s="85"/>
      <c r="J3836" s="131"/>
      <c r="K3836" s="60"/>
      <c r="L3836" s="33"/>
      <c r="M3836" s="48"/>
    </row>
    <row r="3837" spans="1:27" x14ac:dyDescent="0.15">
      <c r="A3837" s="166"/>
      <c r="B3837" s="93"/>
      <c r="C3837" s="73"/>
      <c r="D3837" s="73"/>
      <c r="E3837" s="70"/>
      <c r="F3837" s="70"/>
      <c r="G3837" s="70"/>
      <c r="H3837" s="85"/>
      <c r="I3837" s="85"/>
      <c r="J3837" s="131"/>
      <c r="K3837" s="60"/>
      <c r="L3837" s="33"/>
    </row>
    <row r="3838" spans="1:27" x14ac:dyDescent="0.15">
      <c r="A3838" s="166"/>
      <c r="B3838" s="82"/>
      <c r="C3838" s="70"/>
      <c r="D3838" s="70"/>
      <c r="E3838" s="70"/>
      <c r="F3838" s="70"/>
      <c r="G3838" s="70"/>
      <c r="H3838" s="85"/>
      <c r="I3838" s="85"/>
      <c r="J3838" s="131"/>
      <c r="K3838" s="60"/>
      <c r="L3838" s="33"/>
    </row>
    <row r="3839" spans="1:27" s="37" customFormat="1" x14ac:dyDescent="0.15">
      <c r="A3839" s="166"/>
      <c r="B3839" s="82"/>
      <c r="C3839" s="70"/>
      <c r="D3839" s="70"/>
      <c r="E3839" s="70"/>
      <c r="F3839" s="70"/>
      <c r="G3839" s="70"/>
      <c r="H3839" s="85"/>
      <c r="I3839" s="85"/>
      <c r="J3839" s="131"/>
      <c r="K3839" s="60"/>
      <c r="L3839" s="33"/>
      <c r="P3839" s="3"/>
      <c r="Q3839" s="3"/>
      <c r="R3839" s="3"/>
      <c r="S3839" s="3"/>
      <c r="T3839" s="3"/>
      <c r="U3839" s="3"/>
      <c r="V3839" s="3"/>
      <c r="W3839" s="3"/>
      <c r="X3839" s="3"/>
      <c r="Y3839" s="4"/>
      <c r="Z3839"/>
      <c r="AA3839"/>
    </row>
    <row r="3840" spans="1:27" s="37" customFormat="1" x14ac:dyDescent="0.15">
      <c r="A3840" s="166"/>
      <c r="B3840" s="82"/>
      <c r="C3840" s="70"/>
      <c r="D3840" s="70"/>
      <c r="E3840" s="70"/>
      <c r="F3840" s="70"/>
      <c r="G3840" s="70"/>
      <c r="H3840" s="85"/>
      <c r="I3840" s="85"/>
      <c r="J3840" s="131"/>
      <c r="K3840" s="60"/>
      <c r="L3840" s="49"/>
      <c r="P3840" s="3"/>
      <c r="Q3840" s="3"/>
      <c r="R3840" s="3"/>
      <c r="S3840" s="3"/>
      <c r="T3840" s="3"/>
      <c r="U3840" s="3"/>
      <c r="V3840" s="3"/>
      <c r="W3840" s="3"/>
      <c r="X3840" s="3"/>
      <c r="Y3840" s="4"/>
      <c r="Z3840"/>
      <c r="AA3840"/>
    </row>
    <row r="3841" spans="1:27" s="37" customFormat="1" x14ac:dyDescent="0.15">
      <c r="A3841" s="166"/>
      <c r="B3841" s="93"/>
      <c r="C3841" s="70"/>
      <c r="D3841" s="70"/>
      <c r="E3841" s="70"/>
      <c r="F3841" s="70"/>
      <c r="G3841" s="70"/>
      <c r="H3841" s="85"/>
      <c r="I3841" s="85"/>
      <c r="J3841" s="131"/>
      <c r="K3841" s="60"/>
      <c r="L3841" s="33"/>
      <c r="P3841" s="3"/>
      <c r="Q3841" s="3"/>
      <c r="R3841" s="3"/>
      <c r="S3841" s="3"/>
      <c r="T3841" s="3"/>
      <c r="U3841" s="3"/>
      <c r="V3841" s="3"/>
      <c r="W3841" s="3"/>
      <c r="X3841" s="3"/>
      <c r="Y3841" s="4"/>
      <c r="Z3841"/>
      <c r="AA3841"/>
    </row>
    <row r="3842" spans="1:27" s="37" customFormat="1" ht="16" x14ac:dyDescent="0.2">
      <c r="A3842" s="166"/>
      <c r="B3842" s="82"/>
      <c r="C3842" s="70"/>
      <c r="D3842" s="70"/>
      <c r="E3842" s="70"/>
      <c r="F3842" s="70"/>
      <c r="G3842" s="70"/>
      <c r="H3842" s="85"/>
      <c r="I3842" s="210"/>
      <c r="J3842" s="131"/>
      <c r="K3842" s="60"/>
      <c r="L3842" s="33"/>
      <c r="M3842" s="48"/>
      <c r="P3842" s="3"/>
      <c r="Q3842" s="3"/>
      <c r="R3842" s="3"/>
      <c r="S3842" s="3"/>
      <c r="T3842" s="3"/>
      <c r="U3842" s="3"/>
      <c r="V3842" s="3"/>
      <c r="W3842" s="3"/>
      <c r="X3842" s="3"/>
      <c r="Y3842" s="4"/>
      <c r="Z3842"/>
      <c r="AA3842"/>
    </row>
    <row r="3843" spans="1:27" s="37" customFormat="1" x14ac:dyDescent="0.15">
      <c r="A3843" s="166"/>
      <c r="B3843" s="82"/>
      <c r="C3843" s="70"/>
      <c r="D3843" s="70"/>
      <c r="E3843" s="70"/>
      <c r="F3843" s="70"/>
      <c r="G3843" s="70"/>
      <c r="H3843" s="85"/>
      <c r="I3843" s="85"/>
      <c r="J3843" s="131"/>
      <c r="K3843" s="60"/>
      <c r="L3843" s="49"/>
      <c r="P3843" s="3"/>
      <c r="Q3843" s="3"/>
      <c r="R3843" s="3"/>
      <c r="S3843" s="3"/>
      <c r="T3843" s="3"/>
      <c r="U3843" s="3"/>
      <c r="V3843" s="3"/>
      <c r="W3843" s="3"/>
      <c r="X3843" s="3"/>
      <c r="Y3843" s="4"/>
      <c r="Z3843"/>
      <c r="AA3843"/>
    </row>
    <row r="3844" spans="1:27" s="37" customFormat="1" x14ac:dyDescent="0.15">
      <c r="A3844" s="166"/>
      <c r="B3844" s="82"/>
      <c r="C3844" s="70"/>
      <c r="D3844" s="70"/>
      <c r="E3844" s="70"/>
      <c r="F3844" s="70"/>
      <c r="G3844" s="70"/>
      <c r="H3844" s="85"/>
      <c r="I3844" s="85"/>
      <c r="J3844" s="131"/>
      <c r="K3844" s="60"/>
      <c r="L3844" s="49"/>
      <c r="P3844" s="3"/>
      <c r="Q3844" s="3"/>
      <c r="R3844" s="3"/>
      <c r="S3844" s="3"/>
      <c r="T3844" s="3"/>
      <c r="U3844" s="3"/>
      <c r="V3844" s="3"/>
      <c r="W3844" s="3"/>
      <c r="X3844" s="3"/>
      <c r="Y3844" s="4"/>
      <c r="Z3844"/>
      <c r="AA3844"/>
    </row>
    <row r="3845" spans="1:27" s="37" customFormat="1" x14ac:dyDescent="0.15">
      <c r="A3845" s="166"/>
      <c r="B3845" s="82"/>
      <c r="C3845" s="70"/>
      <c r="D3845" s="70"/>
      <c r="E3845" s="70"/>
      <c r="F3845" s="70"/>
      <c r="G3845" s="70"/>
      <c r="H3845" s="85"/>
      <c r="I3845" s="85"/>
      <c r="J3845" s="131"/>
      <c r="K3845" s="60"/>
      <c r="L3845" s="49"/>
      <c r="P3845" s="3"/>
      <c r="Q3845" s="3"/>
      <c r="R3845" s="3"/>
      <c r="S3845" s="3"/>
      <c r="T3845" s="3"/>
      <c r="U3845" s="3"/>
      <c r="V3845" s="3"/>
      <c r="W3845" s="3"/>
      <c r="X3845" s="3"/>
      <c r="Y3845" s="4"/>
      <c r="Z3845"/>
      <c r="AA3845"/>
    </row>
    <row r="3846" spans="1:27" s="37" customFormat="1" x14ac:dyDescent="0.15">
      <c r="A3846" s="166"/>
      <c r="B3846" s="82"/>
      <c r="C3846" s="70"/>
      <c r="D3846" s="70"/>
      <c r="E3846" s="73"/>
      <c r="F3846" s="70"/>
      <c r="G3846" s="70"/>
      <c r="H3846" s="85"/>
      <c r="I3846" s="85"/>
      <c r="J3846" s="131"/>
      <c r="K3846" s="60"/>
      <c r="L3846" s="49"/>
      <c r="P3846" s="3"/>
      <c r="Q3846" s="3"/>
      <c r="R3846" s="3"/>
      <c r="S3846" s="3"/>
      <c r="T3846" s="3"/>
      <c r="U3846" s="3"/>
      <c r="V3846" s="3"/>
      <c r="W3846" s="3"/>
      <c r="X3846" s="3"/>
      <c r="Y3846" s="4"/>
      <c r="Z3846"/>
      <c r="AA3846"/>
    </row>
    <row r="3847" spans="1:27" s="37" customFormat="1" x14ac:dyDescent="0.15">
      <c r="A3847" s="166"/>
      <c r="B3847" s="82"/>
      <c r="C3847" s="70"/>
      <c r="D3847" s="70"/>
      <c r="E3847" s="70"/>
      <c r="F3847" s="70"/>
      <c r="G3847" s="70"/>
      <c r="H3847" s="85"/>
      <c r="I3847" s="85"/>
      <c r="J3847" s="131"/>
      <c r="K3847" s="60"/>
      <c r="L3847" s="49"/>
      <c r="P3847" s="3"/>
      <c r="Q3847" s="3"/>
      <c r="R3847" s="3"/>
      <c r="S3847" s="3"/>
      <c r="T3847" s="3"/>
      <c r="U3847" s="3"/>
      <c r="V3847" s="3"/>
      <c r="W3847" s="3"/>
      <c r="X3847" s="3"/>
      <c r="Y3847" s="4"/>
      <c r="Z3847"/>
      <c r="AA3847"/>
    </row>
    <row r="3848" spans="1:27" s="37" customFormat="1" x14ac:dyDescent="0.15">
      <c r="A3848" s="166"/>
      <c r="B3848" s="82"/>
      <c r="C3848" s="70"/>
      <c r="D3848" s="70"/>
      <c r="E3848" s="70"/>
      <c r="F3848" s="70"/>
      <c r="G3848" s="70"/>
      <c r="H3848" s="85"/>
      <c r="I3848" s="85"/>
      <c r="J3848" s="131"/>
      <c r="K3848" s="60"/>
      <c r="L3848" s="49"/>
      <c r="P3848" s="3"/>
      <c r="Q3848" s="3"/>
      <c r="R3848" s="3"/>
      <c r="S3848" s="3"/>
      <c r="T3848" s="3"/>
      <c r="U3848" s="3"/>
      <c r="V3848" s="3"/>
      <c r="W3848" s="3"/>
      <c r="X3848" s="3"/>
      <c r="Y3848" s="4"/>
      <c r="Z3848"/>
      <c r="AA3848"/>
    </row>
    <row r="3849" spans="1:27" s="37" customFormat="1" x14ac:dyDescent="0.15">
      <c r="A3849" s="166"/>
      <c r="B3849" s="82"/>
      <c r="C3849" s="70"/>
      <c r="D3849" s="70"/>
      <c r="E3849" s="70"/>
      <c r="F3849" s="70"/>
      <c r="G3849" s="70"/>
      <c r="H3849" s="85"/>
      <c r="I3849" s="85"/>
      <c r="J3849" s="131"/>
      <c r="K3849" s="60"/>
      <c r="L3849" s="49"/>
      <c r="P3849" s="3"/>
      <c r="Q3849" s="3"/>
      <c r="R3849" s="3"/>
      <c r="S3849" s="3"/>
      <c r="T3849" s="3"/>
      <c r="U3849" s="3"/>
      <c r="V3849" s="3"/>
      <c r="W3849" s="3"/>
      <c r="X3849" s="3"/>
      <c r="Y3849" s="4"/>
      <c r="Z3849"/>
      <c r="AA3849"/>
    </row>
    <row r="3850" spans="1:27" s="37" customFormat="1" x14ac:dyDescent="0.15">
      <c r="A3850" s="166"/>
      <c r="B3850" s="82"/>
      <c r="C3850" s="70"/>
      <c r="D3850" s="70"/>
      <c r="E3850" s="70"/>
      <c r="F3850" s="70"/>
      <c r="G3850" s="70"/>
      <c r="H3850" s="85"/>
      <c r="I3850" s="85"/>
      <c r="J3850" s="131"/>
      <c r="K3850" s="60"/>
      <c r="L3850" s="49"/>
      <c r="P3850" s="3"/>
      <c r="Q3850" s="3"/>
      <c r="R3850" s="3"/>
      <c r="S3850" s="3"/>
      <c r="T3850" s="3"/>
      <c r="U3850" s="3"/>
      <c r="V3850" s="3"/>
      <c r="W3850" s="3"/>
      <c r="X3850" s="3"/>
      <c r="Y3850" s="4"/>
      <c r="Z3850"/>
      <c r="AA3850"/>
    </row>
    <row r="3851" spans="1:27" s="37" customFormat="1" x14ac:dyDescent="0.15">
      <c r="A3851" s="166"/>
      <c r="B3851" s="82"/>
      <c r="C3851" s="70"/>
      <c r="D3851" s="70"/>
      <c r="E3851" s="70"/>
      <c r="F3851" s="70"/>
      <c r="G3851" s="70"/>
      <c r="H3851" s="85"/>
      <c r="I3851" s="85"/>
      <c r="J3851" s="131"/>
      <c r="K3851" s="60"/>
      <c r="L3851" s="49"/>
      <c r="P3851" s="3"/>
      <c r="Q3851" s="3"/>
      <c r="R3851" s="3"/>
      <c r="S3851" s="3"/>
      <c r="T3851" s="3"/>
      <c r="U3851" s="3"/>
      <c r="V3851" s="3"/>
      <c r="W3851" s="3"/>
      <c r="X3851" s="3"/>
      <c r="Y3851" s="4"/>
      <c r="Z3851"/>
      <c r="AA3851"/>
    </row>
    <row r="3852" spans="1:27" s="37" customFormat="1" x14ac:dyDescent="0.15">
      <c r="A3852" s="166"/>
      <c r="B3852" s="82"/>
      <c r="C3852" s="70"/>
      <c r="D3852" s="70"/>
      <c r="E3852" s="70"/>
      <c r="F3852" s="70"/>
      <c r="G3852" s="70"/>
      <c r="H3852" s="85"/>
      <c r="I3852" s="85"/>
      <c r="J3852" s="131"/>
      <c r="K3852" s="60"/>
      <c r="L3852" s="49"/>
      <c r="P3852" s="3"/>
      <c r="Q3852" s="3"/>
      <c r="R3852" s="3"/>
      <c r="S3852" s="3"/>
      <c r="T3852" s="3"/>
      <c r="U3852" s="3"/>
      <c r="V3852" s="3"/>
      <c r="W3852" s="3"/>
      <c r="X3852" s="3"/>
      <c r="Y3852" s="4"/>
      <c r="Z3852"/>
      <c r="AA3852"/>
    </row>
    <row r="3853" spans="1:27" s="37" customFormat="1" x14ac:dyDescent="0.15">
      <c r="A3853" s="166"/>
      <c r="B3853" s="93"/>
      <c r="C3853" s="70"/>
      <c r="D3853" s="70"/>
      <c r="E3853" s="70"/>
      <c r="F3853" s="70"/>
      <c r="G3853" s="70"/>
      <c r="H3853" s="85"/>
      <c r="I3853" s="85"/>
      <c r="J3853" s="131"/>
      <c r="K3853" s="60"/>
      <c r="L3853" s="49"/>
      <c r="P3853" s="3"/>
      <c r="Q3853" s="3"/>
      <c r="R3853" s="3"/>
      <c r="S3853" s="3"/>
      <c r="T3853" s="3"/>
      <c r="U3853" s="3"/>
      <c r="V3853" s="3"/>
      <c r="W3853" s="3"/>
      <c r="X3853" s="3"/>
      <c r="Y3853" s="4"/>
      <c r="Z3853"/>
      <c r="AA3853"/>
    </row>
    <row r="3854" spans="1:27" s="37" customFormat="1" x14ac:dyDescent="0.15">
      <c r="A3854" s="166"/>
      <c r="B3854" s="82"/>
      <c r="C3854" s="70"/>
      <c r="D3854" s="70"/>
      <c r="E3854" s="70"/>
      <c r="F3854" s="70"/>
      <c r="G3854" s="70"/>
      <c r="H3854" s="85"/>
      <c r="I3854" s="85"/>
      <c r="J3854" s="131"/>
      <c r="K3854" s="60"/>
      <c r="L3854" s="49"/>
      <c r="P3854" s="3"/>
      <c r="Q3854" s="3"/>
      <c r="R3854" s="3"/>
      <c r="S3854" s="3"/>
      <c r="T3854" s="3"/>
      <c r="U3854" s="3"/>
      <c r="V3854" s="3"/>
      <c r="W3854" s="3"/>
      <c r="X3854" s="3"/>
      <c r="Y3854" s="4"/>
      <c r="Z3854"/>
      <c r="AA3854"/>
    </row>
    <row r="3855" spans="1:27" s="37" customFormat="1" x14ac:dyDescent="0.15">
      <c r="A3855" s="166"/>
      <c r="B3855" s="82"/>
      <c r="C3855" s="70"/>
      <c r="D3855" s="70"/>
      <c r="E3855" s="70"/>
      <c r="F3855" s="70"/>
      <c r="G3855" s="70"/>
      <c r="H3855" s="85"/>
      <c r="I3855" s="85"/>
      <c r="J3855" s="131"/>
      <c r="K3855" s="60"/>
      <c r="L3855" s="49"/>
      <c r="P3855" s="3"/>
      <c r="Q3855" s="3"/>
      <c r="R3855" s="3"/>
      <c r="S3855" s="3"/>
      <c r="T3855" s="3"/>
      <c r="U3855" s="3"/>
      <c r="V3855" s="3"/>
      <c r="W3855" s="3"/>
      <c r="X3855" s="3"/>
      <c r="Y3855" s="4"/>
      <c r="Z3855"/>
      <c r="AA3855"/>
    </row>
    <row r="3856" spans="1:27" s="37" customFormat="1" x14ac:dyDescent="0.15">
      <c r="A3856" s="166"/>
      <c r="B3856" s="82"/>
      <c r="C3856" s="70"/>
      <c r="D3856" s="70"/>
      <c r="E3856" s="70"/>
      <c r="F3856" s="70"/>
      <c r="G3856" s="70"/>
      <c r="H3856" s="85"/>
      <c r="I3856" s="85"/>
      <c r="J3856" s="131"/>
      <c r="K3856" s="60"/>
      <c r="L3856" s="49"/>
      <c r="P3856" s="3"/>
      <c r="Q3856" s="3"/>
      <c r="R3856" s="3"/>
      <c r="S3856" s="3"/>
      <c r="T3856" s="3"/>
      <c r="U3856" s="3"/>
      <c r="V3856" s="3"/>
      <c r="W3856" s="3"/>
      <c r="X3856" s="3"/>
      <c r="Y3856" s="4"/>
      <c r="Z3856"/>
      <c r="AA3856"/>
    </row>
    <row r="3857" spans="1:27" s="37" customFormat="1" x14ac:dyDescent="0.15">
      <c r="A3857" s="166"/>
      <c r="B3857" s="82"/>
      <c r="C3857" s="70"/>
      <c r="D3857" s="70"/>
      <c r="E3857" s="70"/>
      <c r="F3857" s="70"/>
      <c r="G3857" s="70"/>
      <c r="H3857" s="85"/>
      <c r="I3857" s="85"/>
      <c r="J3857" s="131"/>
      <c r="K3857" s="60"/>
      <c r="L3857" s="49"/>
      <c r="P3857" s="3"/>
      <c r="Q3857" s="3"/>
      <c r="R3857" s="3"/>
      <c r="S3857" s="3"/>
      <c r="T3857" s="3"/>
      <c r="U3857" s="3"/>
      <c r="V3857" s="3"/>
      <c r="W3857" s="3"/>
      <c r="X3857" s="3"/>
      <c r="Y3857" s="4"/>
      <c r="Z3857"/>
      <c r="AA3857"/>
    </row>
    <row r="3858" spans="1:27" s="37" customFormat="1" x14ac:dyDescent="0.15">
      <c r="A3858" s="166"/>
      <c r="B3858" s="82"/>
      <c r="C3858" s="70"/>
      <c r="D3858" s="70"/>
      <c r="E3858" s="70"/>
      <c r="F3858" s="70"/>
      <c r="G3858" s="70"/>
      <c r="H3858" s="85"/>
      <c r="I3858" s="85"/>
      <c r="J3858" s="131"/>
      <c r="K3858" s="60"/>
      <c r="L3858" s="49"/>
      <c r="P3858" s="3"/>
      <c r="Q3858" s="3"/>
      <c r="R3858" s="3"/>
      <c r="S3858" s="3"/>
      <c r="T3858" s="3"/>
      <c r="U3858" s="3"/>
      <c r="V3858" s="3"/>
      <c r="W3858" s="3"/>
      <c r="X3858" s="3"/>
      <c r="Y3858" s="4"/>
      <c r="Z3858"/>
      <c r="AA3858"/>
    </row>
    <row r="3859" spans="1:27" s="37" customFormat="1" x14ac:dyDescent="0.15">
      <c r="A3859" s="166"/>
      <c r="B3859" s="82"/>
      <c r="C3859" s="70"/>
      <c r="D3859" s="70"/>
      <c r="E3859" s="70"/>
      <c r="F3859" s="70"/>
      <c r="G3859" s="70"/>
      <c r="H3859" s="85"/>
      <c r="I3859" s="85"/>
      <c r="J3859" s="131"/>
      <c r="K3859" s="60"/>
      <c r="L3859" s="49"/>
      <c r="P3859" s="3"/>
      <c r="Q3859" s="3"/>
      <c r="R3859" s="3"/>
      <c r="S3859" s="3"/>
      <c r="T3859" s="3"/>
      <c r="U3859" s="3"/>
      <c r="V3859" s="3"/>
      <c r="W3859" s="3"/>
      <c r="X3859" s="3"/>
      <c r="Y3859" s="4"/>
      <c r="Z3859"/>
      <c r="AA3859"/>
    </row>
    <row r="3860" spans="1:27" s="37" customFormat="1" x14ac:dyDescent="0.15">
      <c r="A3860" s="166"/>
      <c r="B3860" s="82"/>
      <c r="C3860" s="70"/>
      <c r="D3860" s="70"/>
      <c r="E3860" s="70"/>
      <c r="F3860" s="70"/>
      <c r="G3860" s="70"/>
      <c r="H3860" s="85"/>
      <c r="I3860" s="85"/>
      <c r="J3860" s="131"/>
      <c r="K3860" s="60"/>
      <c r="L3860" s="49"/>
      <c r="P3860" s="3"/>
      <c r="Q3860" s="3"/>
      <c r="R3860" s="3"/>
      <c r="S3860" s="3"/>
      <c r="T3860" s="3"/>
      <c r="U3860" s="3"/>
      <c r="V3860" s="3"/>
      <c r="W3860" s="3"/>
      <c r="X3860" s="3"/>
      <c r="Y3860" s="4"/>
      <c r="Z3860"/>
      <c r="AA3860"/>
    </row>
    <row r="3861" spans="1:27" s="37" customFormat="1" x14ac:dyDescent="0.15">
      <c r="A3861" s="166"/>
      <c r="B3861" s="82"/>
      <c r="C3861" s="70"/>
      <c r="D3861" s="70"/>
      <c r="E3861" s="70"/>
      <c r="F3861" s="70"/>
      <c r="G3861" s="70"/>
      <c r="H3861" s="85"/>
      <c r="I3861" s="85"/>
      <c r="J3861" s="131"/>
      <c r="K3861" s="60"/>
      <c r="L3861" s="49"/>
      <c r="P3861" s="3"/>
      <c r="Q3861" s="3"/>
      <c r="R3861" s="3"/>
      <c r="S3861" s="3"/>
      <c r="T3861" s="3"/>
      <c r="U3861" s="3"/>
      <c r="V3861" s="3"/>
      <c r="W3861" s="3"/>
      <c r="X3861" s="3"/>
      <c r="Y3861" s="4"/>
      <c r="Z3861"/>
      <c r="AA3861"/>
    </row>
    <row r="3862" spans="1:27" s="37" customFormat="1" x14ac:dyDescent="0.15">
      <c r="A3862" s="166"/>
      <c r="B3862" s="82"/>
      <c r="C3862" s="70"/>
      <c r="D3862" s="70"/>
      <c r="E3862" s="70"/>
      <c r="F3862" s="70"/>
      <c r="G3862" s="70"/>
      <c r="H3862" s="85"/>
      <c r="I3862" s="85"/>
      <c r="J3862" s="131"/>
      <c r="K3862" s="60"/>
      <c r="L3862" s="49"/>
      <c r="P3862" s="3"/>
      <c r="Q3862" s="3"/>
      <c r="R3862" s="3"/>
      <c r="S3862" s="3"/>
      <c r="T3862" s="3"/>
      <c r="U3862" s="3"/>
      <c r="V3862" s="3"/>
      <c r="W3862" s="3"/>
      <c r="X3862" s="3"/>
      <c r="Y3862" s="4"/>
      <c r="Z3862"/>
      <c r="AA3862"/>
    </row>
    <row r="3863" spans="1:27" s="37" customFormat="1" x14ac:dyDescent="0.15">
      <c r="A3863" s="166"/>
      <c r="B3863" s="93"/>
      <c r="C3863" s="70"/>
      <c r="D3863" s="70"/>
      <c r="E3863" s="70"/>
      <c r="F3863" s="70"/>
      <c r="G3863" s="70"/>
      <c r="H3863" s="85"/>
      <c r="I3863" s="85"/>
      <c r="J3863" s="131"/>
      <c r="K3863" s="60"/>
      <c r="L3863" s="49"/>
      <c r="P3863" s="3"/>
      <c r="Q3863" s="3"/>
      <c r="R3863" s="3"/>
      <c r="S3863" s="3"/>
      <c r="T3863" s="3"/>
      <c r="U3863" s="3"/>
      <c r="V3863" s="3"/>
      <c r="W3863" s="3"/>
      <c r="X3863" s="3"/>
      <c r="Y3863" s="4"/>
      <c r="Z3863"/>
      <c r="AA3863"/>
    </row>
    <row r="3864" spans="1:27" s="37" customFormat="1" x14ac:dyDescent="0.15">
      <c r="A3864" s="166"/>
      <c r="B3864" s="82"/>
      <c r="C3864" s="70"/>
      <c r="D3864" s="70"/>
      <c r="E3864" s="70"/>
      <c r="F3864" s="70"/>
      <c r="G3864" s="70"/>
      <c r="H3864" s="85"/>
      <c r="I3864" s="85"/>
      <c r="J3864" s="131"/>
      <c r="K3864" s="60"/>
      <c r="L3864" s="49"/>
      <c r="P3864" s="3"/>
      <c r="Q3864" s="3"/>
      <c r="R3864" s="3"/>
      <c r="S3864" s="3"/>
      <c r="T3864" s="3"/>
      <c r="U3864" s="3"/>
      <c r="V3864" s="3"/>
      <c r="W3864" s="3"/>
      <c r="X3864" s="3"/>
      <c r="Y3864" s="4"/>
      <c r="Z3864"/>
      <c r="AA3864"/>
    </row>
    <row r="3865" spans="1:27" s="37" customFormat="1" x14ac:dyDescent="0.15">
      <c r="A3865" s="166"/>
      <c r="B3865" s="93"/>
      <c r="C3865" s="70"/>
      <c r="D3865" s="70"/>
      <c r="E3865" s="70"/>
      <c r="F3865" s="70"/>
      <c r="G3865" s="70"/>
      <c r="H3865" s="85"/>
      <c r="I3865" s="85"/>
      <c r="J3865" s="131"/>
      <c r="K3865" s="60"/>
      <c r="L3865" s="49"/>
      <c r="P3865" s="3"/>
      <c r="Q3865" s="3"/>
      <c r="R3865" s="3"/>
      <c r="S3865" s="3"/>
      <c r="T3865" s="3"/>
      <c r="U3865" s="3"/>
      <c r="V3865" s="3"/>
      <c r="W3865" s="3"/>
      <c r="X3865" s="3"/>
      <c r="Y3865" s="4"/>
      <c r="Z3865"/>
      <c r="AA3865"/>
    </row>
    <row r="3866" spans="1:27" s="37" customFormat="1" x14ac:dyDescent="0.15">
      <c r="A3866" s="166"/>
      <c r="B3866" s="82"/>
      <c r="C3866" s="70"/>
      <c r="D3866" s="70"/>
      <c r="E3866" s="70"/>
      <c r="F3866" s="70"/>
      <c r="G3866" s="70"/>
      <c r="H3866" s="85"/>
      <c r="I3866" s="85"/>
      <c r="J3866" s="131"/>
      <c r="K3866" s="60"/>
      <c r="L3866" s="49"/>
      <c r="P3866" s="3"/>
      <c r="Q3866" s="3"/>
      <c r="R3866" s="3"/>
      <c r="S3866" s="3"/>
      <c r="T3866" s="3"/>
      <c r="U3866" s="3"/>
      <c r="V3866" s="3"/>
      <c r="W3866" s="3"/>
      <c r="X3866" s="3"/>
      <c r="Y3866" s="4"/>
      <c r="Z3866"/>
      <c r="AA3866"/>
    </row>
    <row r="3867" spans="1:27" s="37" customFormat="1" x14ac:dyDescent="0.15">
      <c r="A3867" s="166"/>
      <c r="B3867" s="93"/>
      <c r="C3867" s="70"/>
      <c r="D3867" s="70"/>
      <c r="E3867" s="70"/>
      <c r="F3867" s="70"/>
      <c r="G3867" s="70"/>
      <c r="H3867" s="85"/>
      <c r="I3867" s="85"/>
      <c r="J3867" s="131"/>
      <c r="K3867" s="60"/>
      <c r="L3867" s="33"/>
      <c r="P3867" s="3"/>
      <c r="Q3867" s="3"/>
      <c r="R3867" s="3"/>
      <c r="S3867" s="3"/>
      <c r="T3867" s="3"/>
      <c r="U3867" s="3"/>
      <c r="V3867" s="3"/>
      <c r="W3867" s="3"/>
      <c r="X3867" s="3"/>
      <c r="Y3867" s="4"/>
      <c r="Z3867"/>
      <c r="AA3867"/>
    </row>
    <row r="3868" spans="1:27" s="37" customFormat="1" x14ac:dyDescent="0.15">
      <c r="A3868" s="166"/>
      <c r="B3868" s="93"/>
      <c r="C3868" s="70"/>
      <c r="D3868" s="70"/>
      <c r="E3868" s="70"/>
      <c r="F3868" s="70"/>
      <c r="G3868" s="70"/>
      <c r="H3868" s="85"/>
      <c r="I3868" s="85"/>
      <c r="J3868" s="131"/>
      <c r="K3868" s="60"/>
      <c r="L3868" s="49"/>
      <c r="P3868" s="3"/>
      <c r="Q3868" s="3"/>
      <c r="R3868" s="3"/>
      <c r="S3868" s="3"/>
      <c r="T3868" s="3"/>
      <c r="U3868" s="3"/>
      <c r="V3868" s="3"/>
      <c r="W3868" s="3"/>
      <c r="X3868" s="3"/>
      <c r="Y3868" s="4"/>
      <c r="Z3868"/>
      <c r="AA3868"/>
    </row>
    <row r="3869" spans="1:27" s="37" customFormat="1" x14ac:dyDescent="0.15">
      <c r="A3869" s="166"/>
      <c r="B3869" s="93"/>
      <c r="C3869" s="70"/>
      <c r="D3869" s="70"/>
      <c r="E3869" s="70"/>
      <c r="F3869" s="70"/>
      <c r="G3869" s="70"/>
      <c r="H3869" s="85"/>
      <c r="I3869" s="85"/>
      <c r="J3869" s="131"/>
      <c r="K3869" s="60"/>
      <c r="L3869" s="49"/>
      <c r="P3869" s="3"/>
      <c r="Q3869" s="3"/>
      <c r="R3869" s="3"/>
      <c r="S3869" s="3"/>
      <c r="T3869" s="3"/>
      <c r="U3869" s="3"/>
      <c r="V3869" s="3"/>
      <c r="W3869" s="3"/>
      <c r="X3869" s="3"/>
      <c r="Y3869" s="4"/>
      <c r="Z3869"/>
      <c r="AA3869"/>
    </row>
    <row r="3870" spans="1:27" s="37" customFormat="1" x14ac:dyDescent="0.15">
      <c r="A3870" s="166"/>
      <c r="B3870" s="93"/>
      <c r="C3870" s="70"/>
      <c r="D3870" s="70"/>
      <c r="E3870" s="70"/>
      <c r="F3870" s="70"/>
      <c r="G3870" s="70"/>
      <c r="H3870" s="85"/>
      <c r="I3870" s="85"/>
      <c r="J3870" s="131"/>
      <c r="K3870" s="60"/>
      <c r="L3870" s="49"/>
      <c r="P3870" s="3"/>
      <c r="Q3870" s="3"/>
      <c r="R3870" s="3"/>
      <c r="S3870" s="3"/>
      <c r="T3870" s="3"/>
      <c r="U3870" s="3"/>
      <c r="V3870" s="3"/>
      <c r="W3870" s="3"/>
      <c r="X3870" s="3"/>
      <c r="Y3870" s="4"/>
      <c r="Z3870"/>
      <c r="AA3870"/>
    </row>
    <row r="3871" spans="1:27" s="37" customFormat="1" x14ac:dyDescent="0.15">
      <c r="A3871" s="166"/>
      <c r="B3871" s="82"/>
      <c r="C3871" s="70"/>
      <c r="D3871" s="70"/>
      <c r="E3871" s="70"/>
      <c r="F3871" s="70"/>
      <c r="G3871" s="70"/>
      <c r="H3871" s="85"/>
      <c r="I3871" s="85"/>
      <c r="J3871" s="131"/>
      <c r="K3871" s="60"/>
      <c r="L3871" s="49"/>
      <c r="P3871" s="3"/>
      <c r="Q3871" s="3"/>
      <c r="R3871" s="3"/>
      <c r="S3871" s="3"/>
      <c r="T3871" s="3"/>
      <c r="U3871" s="3"/>
      <c r="V3871" s="3"/>
      <c r="W3871" s="3"/>
      <c r="X3871" s="3"/>
      <c r="Y3871" s="4"/>
      <c r="Z3871"/>
      <c r="AA3871"/>
    </row>
    <row r="3872" spans="1:27" s="37" customFormat="1" x14ac:dyDescent="0.15">
      <c r="A3872" s="166"/>
      <c r="B3872" s="93"/>
      <c r="C3872" s="70"/>
      <c r="D3872" s="70"/>
      <c r="E3872" s="70"/>
      <c r="F3872" s="70"/>
      <c r="G3872" s="70"/>
      <c r="H3872" s="85"/>
      <c r="I3872" s="85"/>
      <c r="J3872" s="131"/>
      <c r="K3872" s="60"/>
      <c r="L3872" s="49"/>
      <c r="P3872" s="3"/>
      <c r="Q3872" s="3"/>
      <c r="R3872" s="3"/>
      <c r="S3872" s="3"/>
      <c r="T3872" s="3"/>
      <c r="U3872" s="3"/>
      <c r="V3872" s="3"/>
      <c r="W3872" s="3"/>
      <c r="X3872" s="3"/>
      <c r="Y3872" s="4"/>
      <c r="Z3872"/>
      <c r="AA3872"/>
    </row>
    <row r="3873" spans="1:27" s="37" customFormat="1" x14ac:dyDescent="0.15">
      <c r="A3873" s="166"/>
      <c r="B3873" s="82"/>
      <c r="C3873" s="70"/>
      <c r="D3873" s="70"/>
      <c r="E3873" s="70"/>
      <c r="F3873" s="70"/>
      <c r="G3873" s="70"/>
      <c r="H3873" s="85"/>
      <c r="I3873" s="85"/>
      <c r="J3873" s="131"/>
      <c r="K3873" s="60"/>
      <c r="L3873" s="49"/>
      <c r="P3873" s="3"/>
      <c r="Q3873" s="3"/>
      <c r="R3873" s="3"/>
      <c r="S3873" s="3"/>
      <c r="T3873" s="3"/>
      <c r="U3873" s="3"/>
      <c r="V3873" s="3"/>
      <c r="W3873" s="3"/>
      <c r="X3873" s="3"/>
      <c r="Y3873" s="4"/>
      <c r="Z3873"/>
      <c r="AA3873"/>
    </row>
    <row r="3874" spans="1:27" s="37" customFormat="1" x14ac:dyDescent="0.15">
      <c r="A3874" s="166"/>
      <c r="B3874" s="93"/>
      <c r="C3874" s="70"/>
      <c r="D3874" s="70"/>
      <c r="E3874" s="70"/>
      <c r="F3874" s="70"/>
      <c r="G3874" s="70"/>
      <c r="H3874" s="85"/>
      <c r="I3874" s="85"/>
      <c r="J3874" s="131"/>
      <c r="K3874" s="60"/>
      <c r="L3874" s="49"/>
      <c r="P3874" s="3"/>
      <c r="Q3874" s="3"/>
      <c r="R3874" s="3"/>
      <c r="S3874" s="3"/>
      <c r="T3874" s="3"/>
      <c r="U3874" s="3"/>
      <c r="V3874" s="3"/>
      <c r="W3874" s="3"/>
      <c r="X3874" s="3"/>
      <c r="Y3874" s="4"/>
      <c r="Z3874"/>
      <c r="AA3874"/>
    </row>
    <row r="3875" spans="1:27" s="37" customFormat="1" ht="16" x14ac:dyDescent="0.2">
      <c r="A3875" s="166"/>
      <c r="B3875" s="82"/>
      <c r="C3875" s="73"/>
      <c r="D3875" s="73"/>
      <c r="E3875" s="70"/>
      <c r="F3875" s="73"/>
      <c r="G3875" s="73"/>
      <c r="H3875" s="85"/>
      <c r="I3875" s="95"/>
      <c r="J3875" s="131"/>
      <c r="K3875" s="60"/>
      <c r="L3875" s="47"/>
      <c r="P3875" s="3"/>
      <c r="Q3875" s="3"/>
      <c r="R3875" s="3"/>
      <c r="S3875" s="3"/>
      <c r="T3875" s="3"/>
      <c r="U3875" s="3"/>
      <c r="V3875" s="3"/>
      <c r="W3875" s="3"/>
      <c r="X3875" s="3"/>
      <c r="Y3875" s="4"/>
      <c r="Z3875"/>
      <c r="AA3875"/>
    </row>
    <row r="3876" spans="1:27" s="37" customFormat="1" x14ac:dyDescent="0.15">
      <c r="A3876" s="166"/>
      <c r="B3876" s="93"/>
      <c r="C3876" s="70"/>
      <c r="D3876" s="70"/>
      <c r="E3876" s="70"/>
      <c r="F3876" s="70"/>
      <c r="G3876" s="70"/>
      <c r="H3876" s="85"/>
      <c r="I3876" s="85"/>
      <c r="J3876" s="131"/>
      <c r="K3876" s="60"/>
      <c r="L3876" s="49"/>
      <c r="P3876" s="3"/>
      <c r="Q3876" s="3"/>
      <c r="R3876" s="3"/>
      <c r="S3876" s="3"/>
      <c r="T3876" s="3"/>
      <c r="U3876" s="3"/>
      <c r="V3876" s="3"/>
      <c r="W3876" s="3"/>
      <c r="X3876" s="3"/>
      <c r="Y3876" s="4"/>
      <c r="Z3876"/>
      <c r="AA3876"/>
    </row>
    <row r="3877" spans="1:27" s="37" customFormat="1" x14ac:dyDescent="0.15">
      <c r="A3877" s="206"/>
      <c r="B3877" s="93"/>
      <c r="C3877" s="70"/>
      <c r="D3877" s="70"/>
      <c r="E3877" s="70"/>
      <c r="F3877" s="70"/>
      <c r="G3877" s="70"/>
      <c r="H3877" s="85"/>
      <c r="I3877" s="85"/>
      <c r="J3877" s="131"/>
      <c r="K3877" s="60"/>
      <c r="L3877" s="49"/>
      <c r="P3877" s="3"/>
      <c r="Q3877" s="3"/>
      <c r="R3877" s="3"/>
      <c r="S3877" s="3"/>
      <c r="T3877" s="3"/>
      <c r="U3877" s="3"/>
      <c r="V3877" s="3"/>
      <c r="W3877" s="3"/>
      <c r="X3877" s="3"/>
      <c r="Y3877" s="4"/>
      <c r="Z3877"/>
      <c r="AA3877"/>
    </row>
    <row r="3878" spans="1:27" s="37" customFormat="1" x14ac:dyDescent="0.15">
      <c r="A3878" s="166"/>
      <c r="B3878" s="82"/>
      <c r="C3878" s="70"/>
      <c r="D3878" s="70"/>
      <c r="E3878" s="70"/>
      <c r="F3878" s="70"/>
      <c r="G3878" s="70"/>
      <c r="H3878" s="85"/>
      <c r="I3878" s="85"/>
      <c r="J3878" s="131"/>
      <c r="K3878" s="60"/>
      <c r="L3878" s="49"/>
      <c r="P3878" s="3"/>
      <c r="Q3878" s="3"/>
      <c r="R3878" s="3"/>
      <c r="S3878" s="3"/>
      <c r="T3878" s="3"/>
      <c r="U3878" s="3"/>
      <c r="V3878" s="3"/>
      <c r="W3878" s="3"/>
      <c r="X3878" s="3"/>
      <c r="Y3878" s="4"/>
      <c r="Z3878"/>
      <c r="AA3878"/>
    </row>
    <row r="3879" spans="1:27" s="37" customFormat="1" x14ac:dyDescent="0.15">
      <c r="A3879" s="166"/>
      <c r="B3879" s="82"/>
      <c r="C3879" s="70"/>
      <c r="D3879" s="70"/>
      <c r="E3879" s="70"/>
      <c r="F3879" s="70"/>
      <c r="G3879" s="70"/>
      <c r="H3879" s="85"/>
      <c r="I3879" s="85"/>
      <c r="J3879" s="131"/>
      <c r="K3879" s="60"/>
      <c r="L3879" s="49"/>
      <c r="P3879" s="3"/>
      <c r="Q3879" s="3"/>
      <c r="R3879" s="3"/>
      <c r="S3879" s="3"/>
      <c r="T3879" s="3"/>
      <c r="U3879" s="3"/>
      <c r="V3879" s="3"/>
      <c r="W3879" s="3"/>
      <c r="X3879" s="3"/>
      <c r="Y3879" s="4"/>
      <c r="Z3879"/>
      <c r="AA3879"/>
    </row>
    <row r="3880" spans="1:27" s="37" customFormat="1" x14ac:dyDescent="0.15">
      <c r="A3880" s="166"/>
      <c r="B3880" s="82"/>
      <c r="C3880" s="70"/>
      <c r="D3880" s="70"/>
      <c r="E3880" s="70"/>
      <c r="F3880" s="70"/>
      <c r="G3880" s="70"/>
      <c r="H3880" s="85"/>
      <c r="I3880" s="85"/>
      <c r="J3880" s="131"/>
      <c r="K3880" s="60"/>
      <c r="L3880" s="49"/>
      <c r="P3880" s="3"/>
      <c r="Q3880" s="3"/>
      <c r="R3880" s="3"/>
      <c r="S3880" s="3"/>
      <c r="T3880" s="3"/>
      <c r="U3880" s="3"/>
      <c r="V3880" s="3"/>
      <c r="W3880" s="3"/>
      <c r="X3880" s="3"/>
      <c r="Y3880" s="4"/>
      <c r="Z3880"/>
      <c r="AA3880"/>
    </row>
    <row r="3881" spans="1:27" s="37" customFormat="1" x14ac:dyDescent="0.15">
      <c r="A3881" s="166"/>
      <c r="B3881" s="82"/>
      <c r="C3881" s="70"/>
      <c r="D3881" s="70"/>
      <c r="E3881" s="70"/>
      <c r="F3881" s="70"/>
      <c r="G3881" s="70"/>
      <c r="H3881" s="85"/>
      <c r="I3881" s="85"/>
      <c r="J3881" s="131"/>
      <c r="K3881" s="60"/>
      <c r="L3881" s="49"/>
      <c r="P3881" s="3"/>
      <c r="Q3881" s="3"/>
      <c r="R3881" s="3"/>
      <c r="S3881" s="3"/>
      <c r="T3881" s="3"/>
      <c r="U3881" s="3"/>
      <c r="V3881" s="3"/>
      <c r="W3881" s="3"/>
      <c r="X3881" s="3"/>
      <c r="Y3881" s="4"/>
      <c r="Z3881"/>
      <c r="AA3881"/>
    </row>
    <row r="3882" spans="1:27" s="37" customFormat="1" x14ac:dyDescent="0.15">
      <c r="A3882" s="166"/>
      <c r="B3882" s="82"/>
      <c r="C3882" s="70"/>
      <c r="D3882" s="70"/>
      <c r="E3882" s="70"/>
      <c r="F3882" s="70"/>
      <c r="G3882" s="70"/>
      <c r="H3882" s="85"/>
      <c r="I3882" s="85"/>
      <c r="J3882" s="131"/>
      <c r="K3882" s="60"/>
      <c r="L3882" s="49"/>
      <c r="P3882" s="3"/>
      <c r="Q3882" s="3"/>
      <c r="R3882" s="3"/>
      <c r="S3882" s="3"/>
      <c r="T3882" s="3"/>
      <c r="U3882" s="3"/>
      <c r="V3882" s="3"/>
      <c r="W3882" s="3"/>
      <c r="X3882" s="3"/>
      <c r="Y3882" s="4"/>
      <c r="Z3882"/>
      <c r="AA3882"/>
    </row>
    <row r="3883" spans="1:27" s="37" customFormat="1" x14ac:dyDescent="0.15">
      <c r="A3883" s="166"/>
      <c r="B3883" s="82"/>
      <c r="C3883" s="70"/>
      <c r="D3883" s="70"/>
      <c r="E3883" s="70"/>
      <c r="F3883" s="70"/>
      <c r="G3883" s="70"/>
      <c r="H3883" s="85"/>
      <c r="I3883" s="85"/>
      <c r="J3883" s="131"/>
      <c r="K3883" s="60"/>
      <c r="L3883" s="49"/>
      <c r="P3883" s="3"/>
      <c r="Q3883" s="3"/>
      <c r="R3883" s="3"/>
      <c r="S3883" s="3"/>
      <c r="T3883" s="3"/>
      <c r="U3883" s="3"/>
      <c r="V3883" s="3"/>
      <c r="W3883" s="3"/>
      <c r="X3883" s="3"/>
      <c r="Y3883" s="4"/>
      <c r="Z3883"/>
      <c r="AA3883"/>
    </row>
    <row r="3884" spans="1:27" s="37" customFormat="1" x14ac:dyDescent="0.15">
      <c r="A3884" s="166"/>
      <c r="B3884" s="82"/>
      <c r="C3884" s="70"/>
      <c r="D3884" s="70"/>
      <c r="E3884" s="70"/>
      <c r="F3884" s="70"/>
      <c r="G3884" s="70"/>
      <c r="H3884" s="85"/>
      <c r="I3884" s="85"/>
      <c r="J3884" s="131"/>
      <c r="K3884" s="60"/>
      <c r="L3884" s="49"/>
      <c r="P3884" s="3"/>
      <c r="Q3884" s="3"/>
      <c r="R3884" s="3"/>
      <c r="S3884" s="3"/>
      <c r="T3884" s="3"/>
      <c r="U3884" s="3"/>
      <c r="V3884" s="3"/>
      <c r="W3884" s="3"/>
      <c r="X3884" s="3"/>
      <c r="Y3884" s="4"/>
      <c r="Z3884"/>
      <c r="AA3884"/>
    </row>
    <row r="3885" spans="1:27" s="37" customFormat="1" x14ac:dyDescent="0.15">
      <c r="A3885" s="166"/>
      <c r="B3885" s="82"/>
      <c r="C3885" s="70"/>
      <c r="D3885" s="70"/>
      <c r="E3885" s="70"/>
      <c r="F3885" s="70"/>
      <c r="G3885" s="70"/>
      <c r="H3885" s="85"/>
      <c r="I3885" s="85"/>
      <c r="J3885" s="131"/>
      <c r="K3885" s="60"/>
      <c r="L3885" s="49"/>
      <c r="P3885" s="3"/>
      <c r="Q3885" s="3"/>
      <c r="R3885" s="3"/>
      <c r="S3885" s="3"/>
      <c r="T3885" s="3"/>
      <c r="U3885" s="3"/>
      <c r="V3885" s="3"/>
      <c r="W3885" s="3"/>
      <c r="X3885" s="3"/>
      <c r="Y3885" s="4"/>
      <c r="Z3885"/>
      <c r="AA3885"/>
    </row>
    <row r="3886" spans="1:27" s="37" customFormat="1" x14ac:dyDescent="0.15">
      <c r="A3886" s="166"/>
      <c r="B3886" s="82"/>
      <c r="C3886" s="73"/>
      <c r="D3886" s="73"/>
      <c r="E3886" s="70"/>
      <c r="F3886" s="73"/>
      <c r="G3886" s="73"/>
      <c r="H3886" s="85"/>
      <c r="I3886" s="85"/>
      <c r="J3886" s="131"/>
      <c r="K3886" s="60"/>
      <c r="L3886" s="49"/>
      <c r="P3886" s="3"/>
      <c r="Q3886" s="3"/>
      <c r="R3886" s="3"/>
      <c r="S3886" s="3"/>
      <c r="T3886" s="3"/>
      <c r="U3886" s="3"/>
      <c r="V3886" s="3"/>
      <c r="W3886" s="3"/>
      <c r="X3886" s="3"/>
      <c r="Y3886" s="4"/>
      <c r="Z3886"/>
      <c r="AA3886"/>
    </row>
    <row r="3887" spans="1:27" s="3" customFormat="1" x14ac:dyDescent="0.15">
      <c r="A3887" s="166"/>
      <c r="B3887" s="82"/>
      <c r="C3887" s="70"/>
      <c r="D3887" s="70"/>
      <c r="E3887" s="70"/>
      <c r="F3887" s="70"/>
      <c r="G3887" s="70"/>
      <c r="H3887" s="85"/>
      <c r="I3887" s="85"/>
      <c r="J3887" s="131"/>
      <c r="K3887" s="60"/>
      <c r="L3887" s="49"/>
      <c r="M3887" s="37"/>
      <c r="N3887" s="37"/>
      <c r="O3887" s="37"/>
      <c r="Y3887" s="4"/>
      <c r="Z3887"/>
      <c r="AA3887"/>
    </row>
    <row r="3888" spans="1:27" s="3" customFormat="1" x14ac:dyDescent="0.15">
      <c r="A3888" s="166"/>
      <c r="B3888" s="82"/>
      <c r="C3888" s="70"/>
      <c r="D3888" s="70"/>
      <c r="E3888" s="70"/>
      <c r="F3888" s="70"/>
      <c r="G3888" s="70"/>
      <c r="H3888" s="85"/>
      <c r="I3888" s="85"/>
      <c r="J3888" s="131"/>
      <c r="K3888" s="60"/>
      <c r="L3888" s="49"/>
      <c r="M3888" s="37"/>
      <c r="N3888" s="37"/>
      <c r="O3888" s="37"/>
      <c r="P3888" s="6"/>
      <c r="Q3888" s="6"/>
      <c r="Y3888" s="4"/>
      <c r="Z3888"/>
      <c r="AA3888"/>
    </row>
    <row r="3889" spans="1:27" s="3" customFormat="1" ht="16" x14ac:dyDescent="0.2">
      <c r="A3889" s="166"/>
      <c r="B3889" s="82"/>
      <c r="C3889" s="70"/>
      <c r="D3889" s="70"/>
      <c r="E3889" s="70"/>
      <c r="F3889" s="70"/>
      <c r="G3889" s="70"/>
      <c r="H3889" s="85"/>
      <c r="I3889" s="85"/>
      <c r="J3889" s="131"/>
      <c r="K3889" s="60"/>
      <c r="L3889" s="49"/>
      <c r="M3889" s="48"/>
      <c r="N3889" s="37"/>
      <c r="O3889" s="37"/>
      <c r="P3889" s="6"/>
      <c r="Q3889" s="6"/>
      <c r="Y3889" s="4"/>
      <c r="Z3889"/>
      <c r="AA3889"/>
    </row>
    <row r="3890" spans="1:27" s="3" customFormat="1" x14ac:dyDescent="0.15">
      <c r="A3890" s="166"/>
      <c r="B3890" s="82"/>
      <c r="C3890" s="70"/>
      <c r="D3890" s="70"/>
      <c r="E3890" s="70"/>
      <c r="F3890" s="70"/>
      <c r="G3890" s="70"/>
      <c r="H3890" s="85"/>
      <c r="I3890" s="85"/>
      <c r="J3890" s="131"/>
      <c r="K3890" s="60"/>
      <c r="L3890" s="49"/>
      <c r="M3890" s="37"/>
      <c r="N3890" s="37"/>
      <c r="O3890" s="37"/>
      <c r="P3890"/>
      <c r="Q3890"/>
      <c r="Y3890" s="4"/>
      <c r="Z3890"/>
      <c r="AA3890"/>
    </row>
    <row r="3891" spans="1:27" s="3" customFormat="1" x14ac:dyDescent="0.15">
      <c r="A3891" s="70"/>
      <c r="B3891" s="82"/>
      <c r="C3891" s="70"/>
      <c r="D3891" s="70"/>
      <c r="E3891" s="70"/>
      <c r="F3891" s="70"/>
      <c r="G3891" s="70"/>
      <c r="H3891" s="85"/>
      <c r="I3891" s="85"/>
      <c r="J3891" s="131"/>
      <c r="K3891" s="60"/>
      <c r="L3891" s="49"/>
      <c r="M3891" s="37"/>
      <c r="N3891" s="37"/>
      <c r="O3891" s="37"/>
      <c r="P3891" s="6"/>
      <c r="Q3891" s="6"/>
      <c r="Y3891" s="4"/>
      <c r="Z3891"/>
      <c r="AA3891"/>
    </row>
    <row r="3892" spans="1:27" s="3" customFormat="1" x14ac:dyDescent="0.15">
      <c r="A3892" s="166"/>
      <c r="B3892" s="82"/>
      <c r="C3892" s="70"/>
      <c r="D3892" s="70"/>
      <c r="E3892" s="70"/>
      <c r="F3892" s="70"/>
      <c r="G3892" s="70"/>
      <c r="H3892" s="85"/>
      <c r="I3892" s="85"/>
      <c r="J3892" s="131"/>
      <c r="K3892" s="60"/>
      <c r="L3892" s="49"/>
      <c r="M3892" s="37"/>
      <c r="N3892" s="37"/>
      <c r="O3892" s="37"/>
      <c r="P3892" s="6"/>
      <c r="Q3892" s="6"/>
      <c r="Y3892" s="4"/>
      <c r="Z3892"/>
      <c r="AA3892"/>
    </row>
    <row r="3893" spans="1:27" s="3" customFormat="1" x14ac:dyDescent="0.15">
      <c r="A3893" s="166"/>
      <c r="B3893" s="82"/>
      <c r="C3893" s="70"/>
      <c r="D3893" s="70"/>
      <c r="E3893" s="70"/>
      <c r="F3893" s="70"/>
      <c r="G3893" s="70"/>
      <c r="H3893" s="85"/>
      <c r="I3893" s="85"/>
      <c r="J3893" s="131"/>
      <c r="K3893" s="60"/>
      <c r="L3893" s="49"/>
      <c r="M3893" s="37"/>
      <c r="N3893" s="37"/>
      <c r="O3893" s="37"/>
      <c r="Y3893" s="4"/>
      <c r="Z3893"/>
      <c r="AA3893"/>
    </row>
    <row r="3894" spans="1:27" s="3" customFormat="1" x14ac:dyDescent="0.15">
      <c r="A3894" s="166"/>
      <c r="B3894" s="82"/>
      <c r="C3894" s="70"/>
      <c r="D3894" s="70"/>
      <c r="E3894" s="70"/>
      <c r="F3894" s="70"/>
      <c r="G3894" s="70"/>
      <c r="H3894" s="85"/>
      <c r="I3894" s="85"/>
      <c r="J3894" s="131"/>
      <c r="K3894" s="60"/>
      <c r="L3894" s="49"/>
      <c r="M3894" s="37"/>
      <c r="N3894" s="37"/>
      <c r="O3894" s="37"/>
      <c r="Y3894" s="4"/>
      <c r="Z3894"/>
      <c r="AA3894"/>
    </row>
    <row r="3895" spans="1:27" s="3" customFormat="1" x14ac:dyDescent="0.15">
      <c r="A3895" s="166"/>
      <c r="B3895" s="82"/>
      <c r="C3895" s="70"/>
      <c r="D3895" s="70"/>
      <c r="E3895" s="70"/>
      <c r="F3895" s="70"/>
      <c r="G3895" s="70"/>
      <c r="H3895" s="85"/>
      <c r="I3895" s="85"/>
      <c r="J3895" s="131"/>
      <c r="K3895" s="60"/>
      <c r="L3895" s="49"/>
      <c r="M3895" s="37"/>
      <c r="N3895" s="37"/>
      <c r="O3895" s="37"/>
      <c r="Y3895" s="4"/>
      <c r="Z3895"/>
      <c r="AA3895"/>
    </row>
    <row r="3896" spans="1:27" s="3" customFormat="1" x14ac:dyDescent="0.15">
      <c r="A3896" s="166"/>
      <c r="B3896" s="82"/>
      <c r="C3896" s="70"/>
      <c r="D3896" s="70"/>
      <c r="E3896" s="70"/>
      <c r="F3896" s="70"/>
      <c r="G3896" s="70"/>
      <c r="H3896" s="85"/>
      <c r="I3896" s="85"/>
      <c r="J3896" s="131"/>
      <c r="K3896" s="60"/>
      <c r="L3896" s="49"/>
      <c r="M3896" s="37"/>
      <c r="N3896" s="37"/>
      <c r="O3896" s="37"/>
      <c r="Y3896" s="4"/>
      <c r="Z3896"/>
      <c r="AA3896"/>
    </row>
    <row r="3897" spans="1:27" s="3" customFormat="1" x14ac:dyDescent="0.15">
      <c r="A3897" s="166"/>
      <c r="B3897" s="82"/>
      <c r="C3897" s="70"/>
      <c r="D3897" s="70"/>
      <c r="E3897" s="70"/>
      <c r="F3897" s="70"/>
      <c r="G3897" s="70"/>
      <c r="H3897" s="85"/>
      <c r="I3897" s="85"/>
      <c r="J3897" s="131"/>
      <c r="K3897" s="60"/>
      <c r="L3897" s="49"/>
      <c r="M3897" s="37"/>
      <c r="N3897" s="37"/>
      <c r="O3897" s="37"/>
      <c r="Y3897" s="4"/>
      <c r="Z3897"/>
      <c r="AA3897"/>
    </row>
    <row r="3898" spans="1:27" s="3" customFormat="1" x14ac:dyDescent="0.15">
      <c r="A3898" s="166"/>
      <c r="B3898" s="82"/>
      <c r="C3898" s="70"/>
      <c r="D3898" s="70"/>
      <c r="E3898" s="70"/>
      <c r="F3898" s="70"/>
      <c r="G3898" s="70"/>
      <c r="H3898" s="85"/>
      <c r="I3898" s="85"/>
      <c r="J3898" s="131"/>
      <c r="K3898" s="60"/>
      <c r="L3898" s="49"/>
      <c r="M3898" s="37"/>
      <c r="N3898" s="37"/>
      <c r="O3898" s="37"/>
      <c r="Y3898" s="4"/>
      <c r="Z3898"/>
      <c r="AA3898"/>
    </row>
    <row r="3899" spans="1:27" s="3" customFormat="1" x14ac:dyDescent="0.15">
      <c r="A3899" s="166"/>
      <c r="B3899" s="82"/>
      <c r="C3899" s="70"/>
      <c r="D3899" s="70"/>
      <c r="E3899" s="70"/>
      <c r="F3899" s="70"/>
      <c r="G3899" s="70"/>
      <c r="H3899" s="85"/>
      <c r="I3899" s="85"/>
      <c r="J3899" s="131"/>
      <c r="K3899" s="60"/>
      <c r="L3899" s="49"/>
      <c r="M3899" s="37"/>
      <c r="N3899" s="37"/>
      <c r="O3899" s="37"/>
      <c r="Y3899" s="4"/>
      <c r="Z3899"/>
      <c r="AA3899"/>
    </row>
    <row r="3900" spans="1:27" s="3" customFormat="1" x14ac:dyDescent="0.15">
      <c r="A3900" s="166"/>
      <c r="B3900" s="82"/>
      <c r="C3900" s="70"/>
      <c r="D3900" s="70"/>
      <c r="E3900" s="70"/>
      <c r="F3900" s="70"/>
      <c r="G3900" s="70"/>
      <c r="H3900" s="85"/>
      <c r="I3900" s="85"/>
      <c r="J3900" s="131"/>
      <c r="K3900" s="60"/>
      <c r="L3900" s="49"/>
      <c r="M3900" s="37"/>
      <c r="N3900" s="37"/>
      <c r="O3900" s="37"/>
      <c r="Y3900" s="4"/>
      <c r="Z3900"/>
      <c r="AA3900"/>
    </row>
    <row r="3901" spans="1:27" s="3" customFormat="1" x14ac:dyDescent="0.15">
      <c r="A3901" s="166"/>
      <c r="B3901" s="82"/>
      <c r="C3901" s="70"/>
      <c r="D3901" s="70"/>
      <c r="E3901" s="70"/>
      <c r="F3901" s="70"/>
      <c r="G3901" s="70"/>
      <c r="H3901" s="85"/>
      <c r="I3901" s="85"/>
      <c r="J3901" s="131"/>
      <c r="K3901" s="60"/>
      <c r="L3901" s="49"/>
      <c r="M3901" s="37"/>
      <c r="N3901" s="37"/>
      <c r="O3901" s="37"/>
      <c r="Y3901" s="4"/>
      <c r="Z3901"/>
      <c r="AA3901"/>
    </row>
    <row r="3902" spans="1:27" s="3" customFormat="1" x14ac:dyDescent="0.15">
      <c r="A3902" s="166"/>
      <c r="B3902" s="82"/>
      <c r="C3902" s="70"/>
      <c r="D3902" s="70"/>
      <c r="E3902" s="70"/>
      <c r="F3902" s="70"/>
      <c r="G3902" s="70"/>
      <c r="H3902" s="85"/>
      <c r="I3902" s="85"/>
      <c r="J3902" s="131"/>
      <c r="K3902" s="60"/>
      <c r="L3902" s="49"/>
      <c r="M3902" s="37"/>
      <c r="N3902" s="37"/>
      <c r="O3902" s="37"/>
      <c r="Y3902" s="4"/>
      <c r="Z3902"/>
      <c r="AA3902"/>
    </row>
    <row r="3903" spans="1:27" ht="16" x14ac:dyDescent="0.2">
      <c r="A3903" s="166"/>
      <c r="B3903" s="93"/>
      <c r="C3903" s="70"/>
      <c r="D3903" s="70"/>
      <c r="E3903" s="70"/>
      <c r="F3903" s="70"/>
      <c r="G3903" s="70"/>
      <c r="H3903" s="85"/>
      <c r="I3903" s="85"/>
      <c r="J3903" s="131"/>
      <c r="K3903" s="60"/>
      <c r="L3903" s="33"/>
      <c r="M3903" s="48"/>
    </row>
    <row r="3904" spans="1:27" x14ac:dyDescent="0.15">
      <c r="A3904" s="166"/>
      <c r="B3904" s="82"/>
      <c r="C3904" s="70"/>
      <c r="D3904" s="70"/>
      <c r="E3904" s="70"/>
      <c r="F3904" s="70"/>
      <c r="G3904" s="70"/>
      <c r="H3904" s="85"/>
      <c r="I3904" s="85"/>
      <c r="J3904" s="131"/>
      <c r="K3904" s="60"/>
    </row>
    <row r="3905" spans="1:27" x14ac:dyDescent="0.15">
      <c r="A3905" s="166"/>
      <c r="B3905" s="82"/>
      <c r="C3905" s="70"/>
      <c r="D3905" s="70"/>
      <c r="E3905" s="70"/>
      <c r="F3905" s="70"/>
      <c r="G3905" s="70"/>
      <c r="H3905" s="85"/>
      <c r="I3905" s="85"/>
      <c r="J3905" s="131"/>
      <c r="K3905" s="60"/>
    </row>
    <row r="3906" spans="1:27" x14ac:dyDescent="0.15">
      <c r="A3906" s="166"/>
      <c r="B3906" s="82"/>
      <c r="C3906" s="70"/>
      <c r="D3906" s="70"/>
      <c r="E3906" s="70"/>
      <c r="F3906" s="70"/>
      <c r="G3906" s="70"/>
      <c r="H3906" s="85"/>
      <c r="I3906" s="85"/>
      <c r="J3906" s="131"/>
      <c r="K3906" s="60"/>
    </row>
    <row r="3907" spans="1:27" x14ac:dyDescent="0.15">
      <c r="A3907" s="166"/>
      <c r="B3907" s="82"/>
      <c r="C3907" s="70"/>
      <c r="D3907" s="70"/>
      <c r="E3907" s="70"/>
      <c r="F3907" s="70"/>
      <c r="G3907" s="70"/>
      <c r="H3907" s="85"/>
      <c r="I3907" s="85"/>
      <c r="J3907" s="131"/>
      <c r="K3907" s="60"/>
    </row>
    <row r="3908" spans="1:27" x14ac:dyDescent="0.15">
      <c r="A3908" s="166"/>
      <c r="B3908" s="82"/>
      <c r="C3908" s="70"/>
      <c r="D3908" s="70"/>
      <c r="E3908" s="70"/>
      <c r="F3908" s="70"/>
      <c r="G3908" s="70"/>
      <c r="H3908" s="85"/>
      <c r="I3908" s="85"/>
      <c r="J3908" s="131"/>
      <c r="K3908" s="60"/>
    </row>
    <row r="3909" spans="1:27" x14ac:dyDescent="0.15">
      <c r="A3909" s="166"/>
      <c r="B3909" s="82"/>
      <c r="C3909" s="70"/>
      <c r="D3909" s="70"/>
      <c r="E3909" s="70"/>
      <c r="F3909" s="70"/>
      <c r="G3909" s="70"/>
      <c r="H3909" s="85"/>
      <c r="I3909" s="85"/>
      <c r="J3909" s="131"/>
      <c r="K3909" s="60"/>
    </row>
    <row r="3910" spans="1:27" x14ac:dyDescent="0.15">
      <c r="A3910" s="166"/>
      <c r="B3910" s="82"/>
      <c r="C3910" s="70"/>
      <c r="D3910" s="70"/>
      <c r="E3910" s="70"/>
      <c r="F3910" s="70"/>
      <c r="G3910" s="70"/>
      <c r="H3910" s="85"/>
      <c r="I3910" s="85"/>
      <c r="J3910" s="131"/>
      <c r="K3910" s="60"/>
    </row>
    <row r="3911" spans="1:27" x14ac:dyDescent="0.15">
      <c r="A3911" s="166"/>
      <c r="B3911" s="82"/>
      <c r="C3911" s="70"/>
      <c r="D3911" s="70"/>
      <c r="E3911" s="70"/>
      <c r="F3911" s="70"/>
      <c r="G3911" s="70"/>
      <c r="H3911" s="85"/>
      <c r="I3911" s="85"/>
      <c r="J3911" s="131"/>
      <c r="K3911" s="60"/>
    </row>
    <row r="3912" spans="1:27" ht="16" x14ac:dyDescent="0.2">
      <c r="A3912" s="166"/>
      <c r="B3912" s="82"/>
      <c r="C3912" s="70"/>
      <c r="D3912" s="70"/>
      <c r="E3912" s="70"/>
      <c r="F3912" s="70"/>
      <c r="G3912" s="70"/>
      <c r="H3912" s="85"/>
      <c r="I3912" s="85"/>
      <c r="J3912" s="131"/>
      <c r="K3912" s="60"/>
      <c r="M3912" s="48"/>
    </row>
    <row r="3913" spans="1:27" x14ac:dyDescent="0.15">
      <c r="A3913" s="166"/>
      <c r="B3913" s="82"/>
      <c r="C3913" s="70"/>
      <c r="D3913" s="70"/>
      <c r="E3913" s="70"/>
      <c r="F3913" s="70"/>
      <c r="G3913" s="70"/>
      <c r="H3913" s="85"/>
      <c r="I3913" s="85"/>
      <c r="J3913" s="131"/>
      <c r="K3913" s="60"/>
      <c r="R3913" s="14"/>
      <c r="S3913" s="14"/>
      <c r="T3913" s="14"/>
      <c r="U3913" s="14"/>
      <c r="V3913" s="14"/>
      <c r="W3913" s="14"/>
      <c r="X3913" s="14"/>
      <c r="Y3913" s="17"/>
      <c r="Z3913" s="15"/>
      <c r="AA3913" s="15"/>
    </row>
    <row r="3914" spans="1:27" x14ac:dyDescent="0.15">
      <c r="A3914" s="70"/>
      <c r="B3914" s="82"/>
      <c r="C3914" s="70"/>
      <c r="D3914" s="70"/>
      <c r="E3914" s="70"/>
      <c r="F3914" s="70"/>
      <c r="G3914" s="70"/>
      <c r="H3914" s="85"/>
      <c r="I3914" s="85"/>
      <c r="J3914" s="131"/>
      <c r="K3914" s="60"/>
    </row>
    <row r="3915" spans="1:27" x14ac:dyDescent="0.15">
      <c r="A3915" s="166"/>
      <c r="B3915" s="82"/>
      <c r="C3915" s="70"/>
      <c r="D3915" s="70"/>
      <c r="E3915" s="70"/>
      <c r="F3915" s="70"/>
      <c r="G3915" s="70"/>
      <c r="H3915" s="85"/>
      <c r="I3915" s="85"/>
      <c r="J3915" s="131"/>
      <c r="K3915" s="60"/>
    </row>
    <row r="3916" spans="1:27" x14ac:dyDescent="0.15">
      <c r="A3916" s="166"/>
      <c r="B3916" s="82"/>
      <c r="C3916" s="70"/>
      <c r="D3916" s="70"/>
      <c r="E3916" s="70"/>
      <c r="F3916" s="70"/>
      <c r="G3916" s="70"/>
      <c r="H3916" s="85"/>
      <c r="I3916" s="85"/>
      <c r="J3916" s="131"/>
      <c r="K3916" s="60"/>
    </row>
    <row r="3917" spans="1:27" x14ac:dyDescent="0.15">
      <c r="A3917" s="166"/>
      <c r="B3917" s="93"/>
      <c r="C3917" s="70"/>
      <c r="D3917" s="70"/>
      <c r="E3917" s="70"/>
      <c r="F3917" s="70"/>
      <c r="G3917" s="70"/>
      <c r="H3917" s="85"/>
      <c r="I3917" s="85"/>
      <c r="J3917" s="131"/>
      <c r="K3917" s="60"/>
      <c r="L3917" s="33"/>
    </row>
    <row r="3918" spans="1:27" x14ac:dyDescent="0.15">
      <c r="A3918" s="166"/>
      <c r="B3918" s="82"/>
      <c r="C3918" s="70"/>
      <c r="D3918" s="70"/>
      <c r="E3918" s="70"/>
      <c r="F3918" s="70"/>
      <c r="G3918" s="70"/>
      <c r="H3918" s="85"/>
      <c r="I3918" s="85"/>
      <c r="J3918" s="131"/>
      <c r="K3918" s="60"/>
    </row>
    <row r="3919" spans="1:27" x14ac:dyDescent="0.15">
      <c r="A3919" s="166"/>
      <c r="B3919" s="82"/>
      <c r="C3919" s="70"/>
      <c r="D3919" s="70"/>
      <c r="E3919" s="70"/>
      <c r="F3919" s="70"/>
      <c r="G3919" s="70"/>
      <c r="H3919" s="85"/>
      <c r="I3919" s="85"/>
      <c r="J3919" s="131"/>
      <c r="K3919" s="60"/>
      <c r="R3919" s="14"/>
      <c r="S3919" s="14"/>
      <c r="T3919" s="14"/>
      <c r="U3919" s="14"/>
      <c r="V3919" s="14"/>
      <c r="W3919" s="14"/>
      <c r="X3919" s="14"/>
      <c r="Y3919" s="17"/>
      <c r="Z3919" s="15"/>
      <c r="AA3919" s="15"/>
    </row>
    <row r="3920" spans="1:27" x14ac:dyDescent="0.15">
      <c r="A3920" s="166"/>
      <c r="B3920" s="82"/>
      <c r="C3920" s="70"/>
      <c r="D3920" s="70"/>
      <c r="E3920" s="70"/>
      <c r="F3920" s="70"/>
      <c r="G3920" s="70"/>
      <c r="H3920" s="85"/>
      <c r="I3920" s="85"/>
      <c r="J3920" s="131"/>
      <c r="K3920" s="60"/>
    </row>
    <row r="3921" spans="1:27" x14ac:dyDescent="0.15">
      <c r="A3921" s="166"/>
      <c r="B3921" s="82"/>
      <c r="C3921" s="70"/>
      <c r="D3921" s="70"/>
      <c r="E3921" s="70"/>
      <c r="F3921" s="70"/>
      <c r="G3921" s="70"/>
      <c r="H3921" s="85"/>
      <c r="I3921" s="85"/>
      <c r="J3921" s="131"/>
      <c r="K3921" s="60"/>
      <c r="R3921" s="14"/>
      <c r="S3921" s="14"/>
      <c r="T3921" s="14"/>
      <c r="U3921" s="14"/>
      <c r="V3921" s="14"/>
      <c r="W3921" s="14"/>
      <c r="X3921" s="14"/>
      <c r="Y3921" s="17"/>
      <c r="Z3921" s="15"/>
      <c r="AA3921" s="15"/>
    </row>
    <row r="3922" spans="1:27" x14ac:dyDescent="0.15">
      <c r="A3922" s="166"/>
      <c r="B3922" s="82"/>
      <c r="C3922" s="70"/>
      <c r="D3922" s="70"/>
      <c r="E3922" s="70"/>
      <c r="F3922" s="70"/>
      <c r="G3922" s="70"/>
      <c r="H3922" s="85"/>
      <c r="I3922" s="85"/>
      <c r="J3922" s="131"/>
      <c r="K3922" s="60"/>
    </row>
    <row r="3923" spans="1:27" x14ac:dyDescent="0.15">
      <c r="A3923" s="166"/>
      <c r="B3923" s="82"/>
      <c r="C3923" s="70"/>
      <c r="D3923" s="70"/>
      <c r="E3923" s="70"/>
      <c r="F3923" s="70"/>
      <c r="G3923" s="70"/>
      <c r="H3923" s="85"/>
      <c r="I3923" s="85"/>
      <c r="J3923" s="131"/>
      <c r="K3923" s="60"/>
    </row>
    <row r="3924" spans="1:27" x14ac:dyDescent="0.15">
      <c r="A3924" s="166"/>
      <c r="B3924" s="82"/>
      <c r="C3924" s="70"/>
      <c r="D3924" s="70"/>
      <c r="E3924" s="70"/>
      <c r="F3924" s="70"/>
      <c r="G3924" s="70"/>
      <c r="H3924" s="85"/>
      <c r="I3924" s="85"/>
      <c r="J3924" s="131"/>
      <c r="K3924" s="60"/>
    </row>
    <row r="3925" spans="1:27" x14ac:dyDescent="0.15">
      <c r="A3925" s="166"/>
      <c r="B3925" s="82"/>
      <c r="C3925" s="70"/>
      <c r="D3925" s="70"/>
      <c r="E3925" s="70"/>
      <c r="F3925" s="70"/>
      <c r="G3925" s="70"/>
      <c r="H3925" s="85"/>
      <c r="I3925" s="85"/>
      <c r="J3925" s="131"/>
      <c r="K3925" s="60"/>
    </row>
    <row r="3926" spans="1:27" ht="16" x14ac:dyDescent="0.2">
      <c r="A3926" s="166"/>
      <c r="B3926" s="82"/>
      <c r="C3926" s="70"/>
      <c r="D3926" s="70"/>
      <c r="E3926" s="70"/>
      <c r="F3926" s="70"/>
      <c r="G3926" s="70"/>
      <c r="H3926" s="85"/>
      <c r="I3926" s="85"/>
      <c r="J3926" s="131"/>
      <c r="K3926" s="60"/>
      <c r="M3926" s="48"/>
    </row>
    <row r="3927" spans="1:27" x14ac:dyDescent="0.15">
      <c r="A3927" s="166"/>
      <c r="B3927" s="82"/>
      <c r="C3927" s="70"/>
      <c r="D3927" s="70"/>
      <c r="E3927" s="70"/>
      <c r="F3927" s="70"/>
      <c r="G3927" s="70"/>
      <c r="H3927" s="85"/>
      <c r="I3927" s="85"/>
      <c r="J3927" s="131"/>
      <c r="K3927" s="60"/>
    </row>
    <row r="3928" spans="1:27" x14ac:dyDescent="0.15">
      <c r="A3928" s="166"/>
      <c r="B3928" s="82"/>
      <c r="C3928" s="70"/>
      <c r="D3928" s="70"/>
      <c r="E3928" s="73"/>
      <c r="F3928" s="70"/>
      <c r="G3928" s="70"/>
      <c r="H3928" s="85"/>
      <c r="I3928" s="85"/>
      <c r="J3928" s="131"/>
      <c r="K3928" s="60"/>
    </row>
    <row r="3929" spans="1:27" x14ac:dyDescent="0.15">
      <c r="A3929" s="166"/>
      <c r="B3929" s="82"/>
      <c r="C3929" s="70"/>
      <c r="D3929" s="70"/>
      <c r="E3929" s="70"/>
      <c r="F3929" s="70"/>
      <c r="G3929" s="70"/>
      <c r="H3929" s="85"/>
      <c r="I3929" s="85"/>
      <c r="J3929" s="131"/>
      <c r="K3929" s="60"/>
    </row>
    <row r="3930" spans="1:27" x14ac:dyDescent="0.15">
      <c r="A3930" s="166"/>
      <c r="B3930" s="82"/>
      <c r="C3930" s="70"/>
      <c r="D3930" s="70"/>
      <c r="E3930" s="70"/>
      <c r="F3930" s="70"/>
      <c r="G3930" s="70"/>
      <c r="H3930" s="85"/>
      <c r="I3930" s="85"/>
      <c r="J3930" s="131"/>
      <c r="K3930" s="60"/>
    </row>
    <row r="3931" spans="1:27" x14ac:dyDescent="0.15">
      <c r="A3931" s="166"/>
      <c r="B3931" s="82"/>
      <c r="C3931" s="70"/>
      <c r="D3931" s="70"/>
      <c r="E3931" s="70"/>
      <c r="F3931" s="70"/>
      <c r="G3931" s="70"/>
      <c r="H3931" s="85"/>
      <c r="I3931" s="85"/>
      <c r="J3931" s="131"/>
      <c r="K3931" s="60"/>
    </row>
    <row r="3932" spans="1:27" x14ac:dyDescent="0.15">
      <c r="A3932" s="166"/>
      <c r="B3932" s="82"/>
      <c r="C3932" s="70"/>
      <c r="D3932" s="70"/>
      <c r="E3932" s="70"/>
      <c r="F3932" s="70"/>
      <c r="G3932" s="70"/>
      <c r="H3932" s="85"/>
      <c r="I3932" s="85"/>
      <c r="J3932" s="131"/>
      <c r="K3932" s="60"/>
    </row>
    <row r="3933" spans="1:27" x14ac:dyDescent="0.15">
      <c r="A3933" s="166"/>
      <c r="B3933" s="82"/>
      <c r="C3933" s="70"/>
      <c r="D3933" s="70"/>
      <c r="E3933" s="70"/>
      <c r="F3933" s="70"/>
      <c r="G3933" s="70"/>
      <c r="H3933" s="85"/>
      <c r="I3933" s="85"/>
      <c r="J3933" s="131"/>
      <c r="K3933" s="60"/>
    </row>
    <row r="3934" spans="1:27" x14ac:dyDescent="0.15">
      <c r="A3934" s="166"/>
      <c r="B3934" s="82"/>
      <c r="C3934" s="70"/>
      <c r="D3934" s="70"/>
      <c r="E3934" s="70"/>
      <c r="F3934" s="70"/>
      <c r="G3934" s="70"/>
      <c r="H3934" s="85"/>
      <c r="I3934" s="85"/>
      <c r="J3934" s="131"/>
      <c r="K3934" s="60"/>
    </row>
    <row r="3935" spans="1:27" s="37" customFormat="1" x14ac:dyDescent="0.15">
      <c r="A3935" s="166"/>
      <c r="B3935" s="82"/>
      <c r="C3935" s="70"/>
      <c r="D3935" s="70"/>
      <c r="E3935" s="70"/>
      <c r="F3935" s="70"/>
      <c r="G3935" s="70"/>
      <c r="H3935" s="85"/>
      <c r="I3935" s="85"/>
      <c r="J3935" s="131"/>
      <c r="K3935" s="63"/>
      <c r="L3935" s="49"/>
      <c r="P3935" s="3"/>
      <c r="Q3935" s="3"/>
      <c r="R3935" s="3"/>
      <c r="S3935" s="3"/>
      <c r="T3935" s="3"/>
      <c r="U3935" s="3"/>
      <c r="V3935" s="3"/>
      <c r="W3935" s="3"/>
      <c r="X3935" s="3"/>
      <c r="Y3935" s="4"/>
      <c r="Z3935"/>
      <c r="AA3935"/>
    </row>
    <row r="3936" spans="1:27" s="37" customFormat="1" x14ac:dyDescent="0.15">
      <c r="A3936" s="70"/>
      <c r="B3936" s="82"/>
      <c r="C3936" s="70"/>
      <c r="D3936" s="70"/>
      <c r="E3936" s="70"/>
      <c r="F3936" s="70"/>
      <c r="G3936" s="70"/>
      <c r="H3936" s="85"/>
      <c r="I3936" s="85"/>
      <c r="J3936" s="131"/>
      <c r="K3936" s="63"/>
      <c r="L3936" s="49"/>
      <c r="P3936" s="3"/>
      <c r="Q3936" s="3"/>
      <c r="R3936" s="3"/>
      <c r="S3936" s="3"/>
      <c r="T3936" s="3"/>
      <c r="U3936" s="3"/>
      <c r="V3936" s="3"/>
      <c r="W3936" s="3"/>
      <c r="X3936" s="3"/>
      <c r="Y3936" s="4"/>
      <c r="Z3936"/>
      <c r="AA3936"/>
    </row>
    <row r="3937" spans="1:27" s="37" customFormat="1" x14ac:dyDescent="0.15">
      <c r="A3937" s="70"/>
      <c r="B3937" s="82"/>
      <c r="C3937" s="70"/>
      <c r="D3937" s="70"/>
      <c r="E3937" s="70"/>
      <c r="F3937" s="70"/>
      <c r="G3937" s="70"/>
      <c r="H3937" s="85"/>
      <c r="I3937" s="85"/>
      <c r="J3937" s="131"/>
      <c r="K3937" s="60"/>
      <c r="L3937" s="49"/>
      <c r="P3937" s="3"/>
      <c r="Q3937" s="3"/>
      <c r="R3937" s="3"/>
      <c r="S3937" s="3"/>
      <c r="T3937" s="3"/>
      <c r="U3937" s="3"/>
      <c r="V3937" s="3"/>
      <c r="W3937" s="3"/>
      <c r="X3937" s="3"/>
      <c r="Y3937" s="4"/>
      <c r="Z3937"/>
      <c r="AA3937"/>
    </row>
    <row r="3938" spans="1:27" s="37" customFormat="1" x14ac:dyDescent="0.15">
      <c r="A3938" s="169"/>
      <c r="B3938" s="90"/>
      <c r="C3938" s="91"/>
      <c r="D3938" s="91"/>
      <c r="E3938" s="91"/>
      <c r="F3938" s="91"/>
      <c r="G3938" s="91"/>
      <c r="H3938" s="85"/>
      <c r="I3938" s="92"/>
      <c r="J3938" s="133"/>
      <c r="K3938" s="64"/>
      <c r="L3938" s="49"/>
      <c r="P3938" s="3"/>
      <c r="Q3938" s="3"/>
      <c r="R3938" s="3"/>
      <c r="S3938" s="3"/>
      <c r="T3938" s="3"/>
      <c r="U3938" s="3"/>
      <c r="V3938" s="3"/>
      <c r="W3938" s="3"/>
      <c r="X3938" s="3"/>
      <c r="Y3938" s="4"/>
      <c r="Z3938"/>
      <c r="AA3938"/>
    </row>
    <row r="3939" spans="1:27" s="37" customFormat="1" x14ac:dyDescent="0.15">
      <c r="A3939" s="166"/>
      <c r="B3939" s="82"/>
      <c r="C3939" s="70"/>
      <c r="D3939" s="70"/>
      <c r="E3939" s="70"/>
      <c r="F3939" s="70"/>
      <c r="G3939" s="70"/>
      <c r="H3939" s="85"/>
      <c r="I3939" s="85"/>
      <c r="J3939" s="131"/>
      <c r="K3939" s="60"/>
      <c r="L3939" s="49"/>
      <c r="P3939" s="3"/>
      <c r="Q3939" s="3"/>
      <c r="R3939" s="3"/>
      <c r="S3939" s="3"/>
      <c r="T3939" s="3"/>
      <c r="U3939" s="3"/>
      <c r="V3939" s="3"/>
      <c r="W3939" s="3"/>
      <c r="X3939" s="3"/>
      <c r="Y3939" s="4"/>
      <c r="Z3939"/>
      <c r="AA3939"/>
    </row>
    <row r="3940" spans="1:27" s="37" customFormat="1" x14ac:dyDescent="0.15">
      <c r="A3940" s="166"/>
      <c r="B3940" s="82"/>
      <c r="C3940" s="73"/>
      <c r="D3940" s="73"/>
      <c r="E3940" s="73"/>
      <c r="F3940" s="73"/>
      <c r="G3940" s="73"/>
      <c r="H3940" s="85"/>
      <c r="I3940" s="85"/>
      <c r="J3940" s="131"/>
      <c r="K3940" s="63"/>
      <c r="L3940" s="49"/>
      <c r="P3940" s="3"/>
      <c r="Q3940" s="3"/>
      <c r="R3940" s="3"/>
      <c r="S3940" s="3"/>
      <c r="T3940" s="3"/>
      <c r="U3940" s="3"/>
      <c r="V3940" s="3"/>
      <c r="W3940" s="3"/>
      <c r="X3940" s="3"/>
      <c r="Y3940" s="4"/>
      <c r="Z3940"/>
      <c r="AA3940"/>
    </row>
    <row r="3941" spans="1:27" s="37" customFormat="1" x14ac:dyDescent="0.15">
      <c r="A3941" s="166"/>
      <c r="B3941" s="93"/>
      <c r="C3941" s="70"/>
      <c r="D3941" s="70"/>
      <c r="E3941" s="70"/>
      <c r="F3941" s="70"/>
      <c r="G3941" s="70"/>
      <c r="H3941" s="85"/>
      <c r="I3941" s="85"/>
      <c r="J3941" s="131"/>
      <c r="K3941" s="60"/>
      <c r="L3941" s="33"/>
      <c r="P3941" s="3"/>
      <c r="Q3941" s="3"/>
      <c r="R3941" s="3"/>
      <c r="S3941" s="3"/>
      <c r="T3941" s="3"/>
      <c r="U3941" s="3"/>
      <c r="V3941" s="3"/>
      <c r="W3941" s="3"/>
      <c r="X3941" s="3"/>
      <c r="Y3941" s="4"/>
      <c r="Z3941"/>
      <c r="AA3941"/>
    </row>
    <row r="3942" spans="1:27" s="37" customFormat="1" x14ac:dyDescent="0.15">
      <c r="A3942" s="166"/>
      <c r="B3942" s="82"/>
      <c r="C3942" s="70"/>
      <c r="D3942" s="70"/>
      <c r="E3942" s="70"/>
      <c r="F3942" s="70"/>
      <c r="G3942" s="70"/>
      <c r="H3942" s="85"/>
      <c r="I3942" s="85"/>
      <c r="J3942" s="131"/>
      <c r="K3942" s="60"/>
      <c r="L3942" s="49"/>
      <c r="P3942" s="3"/>
      <c r="Q3942" s="3"/>
      <c r="R3942" s="3"/>
      <c r="S3942" s="3"/>
      <c r="T3942" s="3"/>
      <c r="U3942" s="3"/>
      <c r="V3942" s="3"/>
      <c r="W3942" s="3"/>
      <c r="X3942" s="3"/>
      <c r="Y3942" s="4"/>
      <c r="Z3942"/>
      <c r="AA3942"/>
    </row>
    <row r="3943" spans="1:27" s="37" customFormat="1" x14ac:dyDescent="0.15">
      <c r="A3943" s="70"/>
      <c r="B3943" s="82"/>
      <c r="C3943" s="70"/>
      <c r="D3943" s="70"/>
      <c r="E3943" s="70"/>
      <c r="F3943" s="70"/>
      <c r="G3943" s="70"/>
      <c r="H3943" s="85"/>
      <c r="I3943" s="95"/>
      <c r="J3943" s="131"/>
      <c r="K3943" s="60"/>
      <c r="L3943" s="33"/>
      <c r="P3943" s="3"/>
      <c r="Q3943" s="3"/>
      <c r="R3943" s="3"/>
      <c r="S3943" s="3"/>
      <c r="T3943" s="3"/>
      <c r="U3943" s="3"/>
      <c r="V3943" s="3"/>
      <c r="W3943" s="3"/>
      <c r="X3943" s="3"/>
      <c r="Y3943" s="4"/>
      <c r="Z3943"/>
      <c r="AA3943"/>
    </row>
    <row r="3944" spans="1:27" s="37" customFormat="1" x14ac:dyDescent="0.15">
      <c r="A3944" s="166"/>
      <c r="B3944" s="82"/>
      <c r="C3944" s="73"/>
      <c r="D3944" s="73"/>
      <c r="E3944" s="73"/>
      <c r="F3944" s="73"/>
      <c r="G3944" s="73"/>
      <c r="H3944" s="85"/>
      <c r="I3944" s="95"/>
      <c r="J3944" s="131"/>
      <c r="K3944" s="60"/>
      <c r="L3944" s="33"/>
      <c r="P3944" s="3"/>
      <c r="Q3944" s="3"/>
      <c r="R3944" s="3"/>
      <c r="S3944" s="3"/>
      <c r="T3944" s="3"/>
      <c r="U3944" s="3"/>
      <c r="V3944" s="3"/>
      <c r="W3944" s="3"/>
      <c r="X3944" s="3"/>
      <c r="Y3944" s="4"/>
      <c r="Z3944"/>
      <c r="AA3944"/>
    </row>
    <row r="3945" spans="1:27" s="37" customFormat="1" x14ac:dyDescent="0.15">
      <c r="A3945" s="166"/>
      <c r="B3945" s="82"/>
      <c r="C3945" s="73"/>
      <c r="D3945" s="73"/>
      <c r="E3945" s="73"/>
      <c r="F3945" s="73"/>
      <c r="G3945" s="73"/>
      <c r="H3945" s="85"/>
      <c r="I3945" s="95"/>
      <c r="J3945" s="131"/>
      <c r="K3945" s="60"/>
      <c r="L3945" s="33"/>
      <c r="P3945" s="3"/>
      <c r="Q3945" s="3"/>
      <c r="R3945" s="3"/>
      <c r="S3945" s="3"/>
      <c r="T3945" s="3"/>
      <c r="U3945" s="3"/>
      <c r="V3945" s="3"/>
      <c r="W3945" s="3"/>
      <c r="X3945" s="3"/>
      <c r="Y3945" s="4"/>
      <c r="Z3945"/>
      <c r="AA3945"/>
    </row>
    <row r="3946" spans="1:27" s="37" customFormat="1" x14ac:dyDescent="0.15">
      <c r="A3946" s="166"/>
      <c r="B3946" s="82"/>
      <c r="C3946" s="70"/>
      <c r="D3946" s="70"/>
      <c r="E3946" s="70"/>
      <c r="F3946" s="70"/>
      <c r="G3946" s="70"/>
      <c r="H3946" s="85"/>
      <c r="I3946" s="85"/>
      <c r="J3946" s="131"/>
      <c r="K3946" s="60"/>
      <c r="L3946" s="33"/>
      <c r="P3946" s="3"/>
      <c r="Q3946" s="3"/>
      <c r="R3946" s="3"/>
      <c r="S3946" s="3"/>
      <c r="T3946" s="3"/>
      <c r="U3946" s="3"/>
      <c r="V3946" s="3"/>
      <c r="W3946" s="3"/>
      <c r="X3946" s="3"/>
      <c r="Y3946" s="4"/>
      <c r="Z3946"/>
      <c r="AA3946"/>
    </row>
    <row r="3947" spans="1:27" s="37" customFormat="1" x14ac:dyDescent="0.15">
      <c r="A3947" s="166"/>
      <c r="B3947" s="82"/>
      <c r="C3947" s="70"/>
      <c r="D3947" s="70"/>
      <c r="E3947" s="70"/>
      <c r="F3947" s="70"/>
      <c r="G3947" s="70"/>
      <c r="H3947" s="85"/>
      <c r="I3947" s="85"/>
      <c r="J3947" s="131"/>
      <c r="K3947" s="60"/>
      <c r="L3947" s="49"/>
      <c r="P3947" s="3"/>
      <c r="Q3947" s="3"/>
      <c r="R3947" s="3"/>
      <c r="S3947" s="3"/>
      <c r="T3947" s="3"/>
      <c r="U3947" s="3"/>
      <c r="V3947" s="3"/>
      <c r="W3947" s="3"/>
      <c r="X3947" s="3"/>
      <c r="Y3947" s="4"/>
      <c r="Z3947"/>
      <c r="AA3947"/>
    </row>
    <row r="3948" spans="1:27" s="37" customFormat="1" x14ac:dyDescent="0.15">
      <c r="A3948" s="166"/>
      <c r="B3948" s="82"/>
      <c r="C3948" s="70"/>
      <c r="D3948" s="70"/>
      <c r="E3948" s="70"/>
      <c r="F3948" s="70"/>
      <c r="G3948" s="70"/>
      <c r="H3948" s="85"/>
      <c r="I3948" s="85"/>
      <c r="J3948" s="131"/>
      <c r="K3948" s="60"/>
      <c r="L3948" s="33"/>
      <c r="P3948" s="3"/>
      <c r="Q3948" s="3"/>
      <c r="R3948" s="3"/>
      <c r="S3948" s="3"/>
      <c r="T3948" s="3"/>
      <c r="U3948" s="3"/>
      <c r="V3948" s="3"/>
      <c r="W3948" s="3"/>
      <c r="X3948" s="3"/>
      <c r="Y3948" s="4"/>
      <c r="Z3948"/>
      <c r="AA3948"/>
    </row>
    <row r="3949" spans="1:27" s="37" customFormat="1" x14ac:dyDescent="0.15">
      <c r="A3949" s="166"/>
      <c r="B3949" s="82"/>
      <c r="C3949" s="70"/>
      <c r="D3949" s="70"/>
      <c r="E3949" s="70"/>
      <c r="F3949" s="70"/>
      <c r="G3949" s="70"/>
      <c r="H3949" s="85"/>
      <c r="I3949" s="85"/>
      <c r="J3949" s="131"/>
      <c r="K3949" s="60"/>
      <c r="L3949" s="33"/>
      <c r="P3949" s="3"/>
      <c r="Q3949" s="3"/>
      <c r="R3949" s="3"/>
      <c r="S3949" s="3"/>
      <c r="T3949" s="3"/>
      <c r="U3949" s="3"/>
      <c r="V3949" s="3"/>
      <c r="W3949" s="3"/>
      <c r="X3949" s="3"/>
      <c r="Y3949" s="4"/>
      <c r="Z3949"/>
      <c r="AA3949"/>
    </row>
    <row r="3950" spans="1:27" s="37" customFormat="1" x14ac:dyDescent="0.15">
      <c r="A3950" s="166"/>
      <c r="B3950" s="82"/>
      <c r="C3950" s="70"/>
      <c r="D3950" s="70"/>
      <c r="E3950" s="70"/>
      <c r="F3950" s="70"/>
      <c r="G3950" s="70"/>
      <c r="H3950" s="85"/>
      <c r="I3950" s="85"/>
      <c r="J3950" s="131"/>
      <c r="K3950" s="60"/>
      <c r="L3950" s="33"/>
      <c r="P3950" s="3"/>
      <c r="Q3950" s="3"/>
      <c r="R3950" s="3"/>
      <c r="S3950" s="3"/>
      <c r="T3950" s="3"/>
      <c r="U3950" s="3"/>
      <c r="V3950" s="3"/>
      <c r="W3950" s="3"/>
      <c r="X3950" s="3"/>
      <c r="Y3950" s="4"/>
      <c r="Z3950"/>
      <c r="AA3950"/>
    </row>
    <row r="3951" spans="1:27" s="37" customFormat="1" x14ac:dyDescent="0.15">
      <c r="A3951" s="166"/>
      <c r="B3951" s="82"/>
      <c r="C3951" s="70"/>
      <c r="D3951" s="70"/>
      <c r="E3951" s="70"/>
      <c r="F3951" s="70"/>
      <c r="G3951" s="70"/>
      <c r="H3951" s="85"/>
      <c r="I3951" s="85"/>
      <c r="J3951" s="131"/>
      <c r="K3951" s="60"/>
      <c r="L3951" s="49"/>
      <c r="P3951" s="3"/>
      <c r="Q3951" s="3"/>
      <c r="R3951" s="3"/>
      <c r="S3951" s="3"/>
      <c r="T3951" s="3"/>
      <c r="U3951" s="3"/>
      <c r="V3951" s="3"/>
      <c r="W3951" s="3"/>
      <c r="X3951" s="3"/>
      <c r="Y3951" s="4"/>
      <c r="Z3951"/>
      <c r="AA3951"/>
    </row>
    <row r="3952" spans="1:27" s="37" customFormat="1" x14ac:dyDescent="0.15">
      <c r="A3952" s="166"/>
      <c r="B3952" s="82"/>
      <c r="C3952" s="70"/>
      <c r="D3952" s="70"/>
      <c r="E3952" s="70"/>
      <c r="F3952" s="70"/>
      <c r="G3952" s="70"/>
      <c r="H3952" s="85"/>
      <c r="I3952" s="85"/>
      <c r="J3952" s="131"/>
      <c r="K3952" s="60"/>
      <c r="L3952" s="33"/>
      <c r="P3952" s="3"/>
      <c r="Q3952" s="3"/>
      <c r="R3952" s="3"/>
      <c r="S3952" s="3"/>
      <c r="T3952" s="3"/>
      <c r="U3952" s="3"/>
      <c r="V3952" s="3"/>
      <c r="W3952" s="3"/>
      <c r="X3952" s="3"/>
      <c r="Y3952" s="4"/>
      <c r="Z3952"/>
      <c r="AA3952"/>
    </row>
    <row r="3953" spans="1:27" s="37" customFormat="1" x14ac:dyDescent="0.15">
      <c r="A3953" s="166"/>
      <c r="B3953" s="82"/>
      <c r="C3953" s="73"/>
      <c r="D3953" s="73"/>
      <c r="E3953" s="70"/>
      <c r="F3953" s="73"/>
      <c r="G3953" s="73"/>
      <c r="H3953" s="85"/>
      <c r="I3953" s="95"/>
      <c r="J3953" s="131"/>
      <c r="K3953" s="60"/>
      <c r="L3953" s="33"/>
      <c r="P3953" s="3"/>
      <c r="Q3953" s="3"/>
      <c r="R3953" s="3"/>
      <c r="S3953" s="3"/>
      <c r="T3953" s="3"/>
      <c r="U3953" s="3"/>
      <c r="V3953" s="3"/>
      <c r="W3953" s="3"/>
      <c r="X3953" s="3"/>
      <c r="Y3953" s="4"/>
      <c r="Z3953"/>
      <c r="AA3953"/>
    </row>
    <row r="3954" spans="1:27" s="37" customFormat="1" x14ac:dyDescent="0.15">
      <c r="A3954" s="166"/>
      <c r="B3954" s="82"/>
      <c r="C3954" s="73"/>
      <c r="D3954" s="73"/>
      <c r="E3954" s="73"/>
      <c r="F3954" s="73"/>
      <c r="G3954" s="73"/>
      <c r="H3954" s="85"/>
      <c r="I3954" s="95"/>
      <c r="J3954" s="131"/>
      <c r="K3954" s="60"/>
      <c r="L3954" s="33"/>
      <c r="P3954" s="3"/>
      <c r="Q3954" s="3"/>
      <c r="R3954" s="3"/>
      <c r="S3954" s="3"/>
      <c r="T3954" s="3"/>
      <c r="U3954" s="3"/>
      <c r="V3954" s="3"/>
      <c r="W3954" s="3"/>
      <c r="X3954" s="3"/>
      <c r="Y3954" s="4"/>
      <c r="Z3954"/>
      <c r="AA3954"/>
    </row>
    <row r="3955" spans="1:27" s="37" customFormat="1" x14ac:dyDescent="0.15">
      <c r="A3955" s="166"/>
      <c r="B3955" s="82"/>
      <c r="C3955" s="70"/>
      <c r="D3955" s="70"/>
      <c r="E3955" s="70"/>
      <c r="F3955" s="70"/>
      <c r="G3955" s="70"/>
      <c r="H3955" s="85"/>
      <c r="I3955" s="85"/>
      <c r="J3955" s="131"/>
      <c r="K3955" s="60"/>
      <c r="L3955" s="49"/>
      <c r="P3955" s="3"/>
      <c r="Q3955" s="3"/>
      <c r="R3955" s="3"/>
      <c r="S3955" s="3"/>
      <c r="T3955" s="3"/>
      <c r="U3955" s="3"/>
      <c r="V3955" s="3"/>
      <c r="W3955" s="3"/>
      <c r="X3955" s="3"/>
      <c r="Y3955" s="4"/>
      <c r="Z3955"/>
      <c r="AA3955"/>
    </row>
    <row r="3956" spans="1:27" s="37" customFormat="1" x14ac:dyDescent="0.15">
      <c r="A3956" s="166"/>
      <c r="B3956" s="93"/>
      <c r="C3956" s="70"/>
      <c r="D3956" s="70"/>
      <c r="E3956" s="70"/>
      <c r="F3956" s="70"/>
      <c r="G3956" s="70"/>
      <c r="H3956" s="85"/>
      <c r="I3956" s="85"/>
      <c r="J3956" s="131"/>
      <c r="K3956" s="60"/>
      <c r="L3956" s="33"/>
      <c r="P3956" s="3"/>
      <c r="Q3956" s="3"/>
      <c r="R3956" s="3"/>
      <c r="S3956" s="3"/>
      <c r="T3956" s="3"/>
      <c r="U3956" s="3"/>
      <c r="V3956" s="3"/>
      <c r="W3956" s="3"/>
      <c r="X3956" s="3"/>
      <c r="Y3956" s="4"/>
      <c r="Z3956"/>
      <c r="AA3956"/>
    </row>
    <row r="3957" spans="1:27" s="37" customFormat="1" x14ac:dyDescent="0.15">
      <c r="A3957" s="166"/>
      <c r="B3957" s="82"/>
      <c r="C3957" s="73"/>
      <c r="D3957" s="73"/>
      <c r="E3957" s="73"/>
      <c r="F3957" s="73"/>
      <c r="G3957" s="73"/>
      <c r="H3957" s="85"/>
      <c r="I3957" s="95"/>
      <c r="J3957" s="131"/>
      <c r="K3957" s="60"/>
      <c r="L3957" s="33"/>
      <c r="P3957" s="3"/>
      <c r="Q3957" s="3"/>
      <c r="R3957" s="3"/>
      <c r="S3957" s="3"/>
      <c r="T3957" s="3"/>
      <c r="U3957" s="3"/>
      <c r="V3957" s="3"/>
      <c r="W3957" s="3"/>
      <c r="X3957" s="3"/>
      <c r="Y3957" s="4"/>
      <c r="Z3957"/>
      <c r="AA3957"/>
    </row>
    <row r="3958" spans="1:27" s="37" customFormat="1" x14ac:dyDescent="0.15">
      <c r="A3958" s="166"/>
      <c r="B3958" s="82"/>
      <c r="C3958" s="73"/>
      <c r="D3958" s="73"/>
      <c r="E3958" s="73"/>
      <c r="F3958" s="73"/>
      <c r="G3958" s="73"/>
      <c r="H3958" s="85"/>
      <c r="I3958" s="95"/>
      <c r="J3958" s="131"/>
      <c r="K3958" s="60"/>
      <c r="L3958" s="33"/>
      <c r="P3958" s="3"/>
      <c r="Q3958" s="3"/>
      <c r="R3958" s="3"/>
      <c r="S3958" s="3"/>
      <c r="T3958" s="3"/>
      <c r="U3958" s="3"/>
      <c r="V3958" s="3"/>
      <c r="W3958" s="3"/>
      <c r="X3958" s="3"/>
      <c r="Y3958" s="4"/>
      <c r="Z3958"/>
      <c r="AA3958"/>
    </row>
    <row r="3959" spans="1:27" s="37" customFormat="1" x14ac:dyDescent="0.15">
      <c r="A3959" s="166"/>
      <c r="B3959" s="82"/>
      <c r="C3959" s="70"/>
      <c r="D3959" s="70"/>
      <c r="E3959" s="70"/>
      <c r="F3959" s="70"/>
      <c r="G3959" s="70"/>
      <c r="H3959" s="85"/>
      <c r="I3959" s="85"/>
      <c r="J3959" s="131"/>
      <c r="K3959" s="60"/>
      <c r="L3959" s="33"/>
      <c r="P3959" s="3"/>
      <c r="Q3959" s="3"/>
      <c r="R3959" s="3"/>
      <c r="S3959" s="3"/>
      <c r="T3959" s="3"/>
      <c r="U3959" s="3"/>
      <c r="V3959" s="3"/>
      <c r="W3959" s="3"/>
      <c r="X3959" s="3"/>
      <c r="Y3959" s="4"/>
      <c r="Z3959"/>
      <c r="AA3959"/>
    </row>
    <row r="3960" spans="1:27" s="37" customFormat="1" x14ac:dyDescent="0.15">
      <c r="A3960" s="166"/>
      <c r="B3960" s="93"/>
      <c r="C3960" s="70"/>
      <c r="D3960" s="70"/>
      <c r="E3960" s="70"/>
      <c r="F3960" s="70"/>
      <c r="G3960" s="70"/>
      <c r="H3960" s="85"/>
      <c r="I3960" s="85"/>
      <c r="J3960" s="131"/>
      <c r="K3960" s="60"/>
      <c r="L3960" s="33"/>
      <c r="P3960" s="3"/>
      <c r="Q3960" s="3"/>
      <c r="R3960" s="3"/>
      <c r="S3960" s="3"/>
      <c r="T3960" s="3"/>
      <c r="U3960" s="3"/>
      <c r="V3960" s="3"/>
      <c r="W3960" s="3"/>
      <c r="X3960" s="3"/>
      <c r="Y3960" s="4"/>
      <c r="Z3960"/>
      <c r="AA3960"/>
    </row>
    <row r="3961" spans="1:27" s="37" customFormat="1" ht="16" x14ac:dyDescent="0.2">
      <c r="A3961" s="166"/>
      <c r="B3961" s="82"/>
      <c r="C3961" s="70"/>
      <c r="D3961" s="70"/>
      <c r="E3961" s="70"/>
      <c r="F3961" s="70"/>
      <c r="G3961" s="70"/>
      <c r="H3961" s="85"/>
      <c r="I3961" s="85"/>
      <c r="J3961" s="131"/>
      <c r="K3961" s="60"/>
      <c r="L3961" s="49"/>
      <c r="M3961" s="48"/>
      <c r="P3961" s="3"/>
      <c r="Q3961" s="3"/>
      <c r="R3961" s="3"/>
      <c r="S3961" s="3"/>
      <c r="T3961" s="3"/>
      <c r="U3961" s="3"/>
      <c r="V3961" s="3"/>
      <c r="W3961" s="3"/>
      <c r="X3961" s="3"/>
      <c r="Y3961" s="4"/>
      <c r="Z3961"/>
      <c r="AA3961"/>
    </row>
    <row r="3962" spans="1:27" s="37" customFormat="1" x14ac:dyDescent="0.15">
      <c r="A3962" s="166"/>
      <c r="B3962" s="82"/>
      <c r="C3962" s="70"/>
      <c r="D3962" s="70"/>
      <c r="E3962" s="70"/>
      <c r="F3962" s="70"/>
      <c r="G3962" s="70"/>
      <c r="H3962" s="85"/>
      <c r="I3962" s="85"/>
      <c r="J3962" s="131"/>
      <c r="K3962" s="60"/>
      <c r="L3962" s="49"/>
      <c r="P3962" s="3"/>
      <c r="Q3962" s="3"/>
      <c r="R3962" s="3"/>
      <c r="S3962" s="3"/>
      <c r="T3962" s="3"/>
      <c r="U3962" s="3"/>
      <c r="V3962" s="3"/>
      <c r="W3962" s="3"/>
      <c r="X3962" s="3"/>
      <c r="Y3962" s="4"/>
      <c r="Z3962"/>
      <c r="AA3962"/>
    </row>
    <row r="3963" spans="1:27" s="37" customFormat="1" x14ac:dyDescent="0.15">
      <c r="A3963" s="166"/>
      <c r="B3963" s="93"/>
      <c r="C3963" s="70"/>
      <c r="D3963" s="70"/>
      <c r="E3963" s="70"/>
      <c r="F3963" s="70"/>
      <c r="G3963" s="70"/>
      <c r="H3963" s="85"/>
      <c r="I3963" s="99"/>
      <c r="J3963" s="131"/>
      <c r="K3963" s="60"/>
      <c r="L3963" s="33"/>
      <c r="P3963" s="3"/>
      <c r="Q3963" s="3"/>
      <c r="R3963" s="3"/>
      <c r="S3963" s="3"/>
      <c r="T3963" s="3"/>
      <c r="U3963" s="3"/>
      <c r="V3963" s="3"/>
      <c r="W3963" s="3"/>
      <c r="X3963" s="3"/>
      <c r="Y3963" s="4"/>
      <c r="Z3963"/>
      <c r="AA3963"/>
    </row>
    <row r="3964" spans="1:27" s="37" customFormat="1" x14ac:dyDescent="0.15">
      <c r="A3964" s="166"/>
      <c r="B3964" s="93"/>
      <c r="C3964" s="70"/>
      <c r="D3964" s="70"/>
      <c r="E3964" s="70"/>
      <c r="F3964" s="70"/>
      <c r="G3964" s="70"/>
      <c r="H3964" s="85"/>
      <c r="I3964" s="85"/>
      <c r="J3964" s="131"/>
      <c r="K3964" s="60"/>
      <c r="L3964" s="33"/>
      <c r="P3964" s="3"/>
      <c r="Q3964" s="3"/>
      <c r="R3964" s="3"/>
      <c r="S3964" s="3"/>
      <c r="T3964" s="3"/>
      <c r="U3964" s="3"/>
      <c r="V3964" s="3"/>
      <c r="W3964" s="3"/>
      <c r="X3964" s="3"/>
      <c r="Y3964" s="4"/>
      <c r="Z3964"/>
      <c r="AA3964"/>
    </row>
    <row r="3965" spans="1:27" s="37" customFormat="1" ht="16" x14ac:dyDescent="0.2">
      <c r="A3965" s="166"/>
      <c r="B3965" s="93"/>
      <c r="C3965" s="73"/>
      <c r="D3965" s="73"/>
      <c r="E3965" s="73"/>
      <c r="F3965" s="73"/>
      <c r="G3965" s="73"/>
      <c r="H3965" s="85"/>
      <c r="I3965" s="95"/>
      <c r="J3965" s="131"/>
      <c r="K3965" s="60"/>
      <c r="L3965" s="47"/>
      <c r="P3965" s="3"/>
      <c r="Q3965" s="3"/>
      <c r="R3965" s="3"/>
      <c r="S3965" s="3"/>
      <c r="T3965" s="3"/>
      <c r="U3965" s="3"/>
      <c r="V3965" s="3"/>
      <c r="W3965" s="3"/>
      <c r="X3965" s="3"/>
      <c r="Y3965" s="4"/>
      <c r="Z3965"/>
      <c r="AA3965"/>
    </row>
    <row r="3966" spans="1:27" s="37" customFormat="1" x14ac:dyDescent="0.15">
      <c r="A3966" s="166"/>
      <c r="B3966" s="93"/>
      <c r="C3966" s="70"/>
      <c r="D3966" s="70"/>
      <c r="E3966" s="70"/>
      <c r="F3966" s="70"/>
      <c r="G3966" s="70"/>
      <c r="H3966" s="85"/>
      <c r="I3966" s="85"/>
      <c r="J3966" s="131"/>
      <c r="K3966" s="60"/>
      <c r="L3966" s="49"/>
      <c r="P3966" s="3"/>
      <c r="Q3966" s="3"/>
      <c r="R3966" s="3"/>
      <c r="S3966" s="3"/>
      <c r="T3966" s="3"/>
      <c r="U3966" s="3"/>
      <c r="V3966" s="3"/>
      <c r="W3966" s="3"/>
      <c r="X3966" s="3"/>
      <c r="Y3966" s="4"/>
      <c r="Z3966"/>
      <c r="AA3966"/>
    </row>
    <row r="3967" spans="1:27" x14ac:dyDescent="0.15">
      <c r="A3967" s="166"/>
      <c r="B3967" s="82"/>
      <c r="C3967" s="70"/>
      <c r="D3967" s="70"/>
      <c r="E3967" s="70"/>
      <c r="F3967" s="70"/>
      <c r="G3967" s="70"/>
      <c r="H3967" s="85"/>
      <c r="I3967" s="85"/>
      <c r="J3967" s="131"/>
      <c r="K3967" s="60"/>
      <c r="L3967" s="33"/>
    </row>
    <row r="3968" spans="1:27" x14ac:dyDescent="0.15">
      <c r="A3968" s="166"/>
      <c r="B3968" s="82"/>
      <c r="C3968" s="70"/>
      <c r="D3968" s="70"/>
      <c r="E3968" s="70"/>
      <c r="F3968" s="70"/>
      <c r="G3968" s="70"/>
      <c r="H3968" s="85"/>
      <c r="I3968" s="85"/>
      <c r="J3968" s="131"/>
      <c r="K3968" s="60"/>
      <c r="L3968" s="33"/>
    </row>
    <row r="3969" spans="1:27" x14ac:dyDescent="0.15">
      <c r="A3969" s="166"/>
      <c r="B3969" s="93"/>
      <c r="C3969" s="73"/>
      <c r="D3969" s="73"/>
      <c r="E3969" s="73"/>
      <c r="F3969" s="73"/>
      <c r="G3969" s="73"/>
      <c r="H3969" s="85"/>
      <c r="I3969" s="95"/>
      <c r="J3969" s="131"/>
      <c r="K3969" s="60"/>
      <c r="L3969" s="33"/>
    </row>
    <row r="3970" spans="1:27" x14ac:dyDescent="0.15">
      <c r="A3970" s="166"/>
      <c r="B3970" s="93"/>
      <c r="C3970" s="70"/>
      <c r="D3970" s="70"/>
      <c r="E3970" s="70"/>
      <c r="F3970" s="70"/>
      <c r="G3970" s="70"/>
      <c r="H3970" s="85"/>
      <c r="I3970" s="85"/>
      <c r="J3970" s="134"/>
      <c r="K3970" s="63"/>
      <c r="L3970" s="33"/>
    </row>
    <row r="3971" spans="1:27" x14ac:dyDescent="0.15">
      <c r="A3971" s="166"/>
      <c r="B3971" s="93"/>
      <c r="C3971" s="70"/>
      <c r="D3971" s="70"/>
      <c r="E3971" s="70"/>
      <c r="F3971" s="70"/>
      <c r="G3971" s="70"/>
      <c r="H3971" s="85"/>
      <c r="I3971" s="85"/>
      <c r="J3971" s="131"/>
      <c r="K3971" s="60"/>
      <c r="L3971" s="33"/>
    </row>
    <row r="3972" spans="1:27" x14ac:dyDescent="0.15">
      <c r="A3972" s="166"/>
      <c r="B3972" s="93"/>
      <c r="C3972" s="70"/>
      <c r="D3972" s="70"/>
      <c r="E3972" s="70"/>
      <c r="F3972" s="70"/>
      <c r="G3972" s="70"/>
      <c r="H3972" s="85"/>
      <c r="I3972" s="85"/>
      <c r="J3972" s="131"/>
      <c r="K3972" s="60"/>
      <c r="L3972" s="33"/>
    </row>
    <row r="3973" spans="1:27" x14ac:dyDescent="0.15">
      <c r="A3973" s="166"/>
      <c r="B3973" s="93"/>
      <c r="C3973" s="70"/>
      <c r="D3973" s="70"/>
      <c r="E3973" s="70"/>
      <c r="F3973" s="70"/>
      <c r="G3973" s="70"/>
      <c r="H3973" s="85"/>
      <c r="I3973" s="85"/>
      <c r="J3973" s="131"/>
      <c r="K3973" s="60"/>
    </row>
    <row r="3974" spans="1:27" x14ac:dyDescent="0.15">
      <c r="A3974" s="166"/>
      <c r="B3974" s="93"/>
      <c r="C3974" s="70"/>
      <c r="D3974" s="70"/>
      <c r="E3974" s="73"/>
      <c r="F3974" s="70"/>
      <c r="G3974" s="70"/>
      <c r="H3974" s="85"/>
      <c r="I3974" s="85"/>
      <c r="J3974" s="131"/>
      <c r="K3974" s="60"/>
      <c r="L3974" s="33"/>
    </row>
    <row r="3975" spans="1:27" x14ac:dyDescent="0.15">
      <c r="A3975" s="166"/>
      <c r="B3975" s="93"/>
      <c r="C3975" s="70"/>
      <c r="D3975" s="70"/>
      <c r="E3975" s="73"/>
      <c r="F3975" s="70"/>
      <c r="G3975" s="70"/>
      <c r="H3975" s="85"/>
      <c r="I3975" s="85"/>
      <c r="J3975" s="131"/>
      <c r="K3975" s="60"/>
      <c r="L3975" s="33"/>
    </row>
    <row r="3976" spans="1:27" ht="16" x14ac:dyDescent="0.2">
      <c r="A3976" s="166"/>
      <c r="B3976" s="93"/>
      <c r="C3976" s="70"/>
      <c r="D3976" s="70"/>
      <c r="E3976" s="70"/>
      <c r="F3976" s="70"/>
      <c r="G3976" s="70"/>
      <c r="H3976" s="85"/>
      <c r="I3976" s="85"/>
      <c r="J3976" s="131"/>
      <c r="K3976" s="60"/>
      <c r="L3976" s="47"/>
    </row>
    <row r="3977" spans="1:27" x14ac:dyDescent="0.15">
      <c r="A3977" s="70"/>
      <c r="B3977" s="93"/>
      <c r="C3977" s="70"/>
      <c r="D3977" s="70"/>
      <c r="E3977" s="70"/>
      <c r="F3977" s="70"/>
      <c r="G3977" s="70"/>
      <c r="H3977" s="85"/>
      <c r="I3977" s="85"/>
      <c r="J3977" s="131"/>
      <c r="K3977" s="60"/>
      <c r="L3977" s="33"/>
    </row>
    <row r="3978" spans="1:27" x14ac:dyDescent="0.15">
      <c r="A3978" s="166"/>
      <c r="B3978" s="93"/>
      <c r="C3978" s="70"/>
      <c r="D3978" s="70"/>
      <c r="E3978" s="70"/>
      <c r="F3978" s="70"/>
      <c r="G3978" s="70"/>
      <c r="H3978" s="85"/>
      <c r="I3978" s="85"/>
      <c r="J3978" s="131"/>
      <c r="K3978" s="60"/>
    </row>
    <row r="3979" spans="1:27" x14ac:dyDescent="0.15">
      <c r="A3979" s="166"/>
      <c r="B3979" s="93"/>
      <c r="C3979" s="70"/>
      <c r="D3979" s="70"/>
      <c r="E3979" s="70"/>
      <c r="F3979" s="70"/>
      <c r="G3979" s="70"/>
      <c r="H3979" s="85"/>
      <c r="I3979" s="85"/>
      <c r="J3979" s="131"/>
      <c r="K3979" s="60"/>
      <c r="L3979" s="33"/>
    </row>
    <row r="3980" spans="1:27" x14ac:dyDescent="0.15">
      <c r="A3980" s="166"/>
      <c r="B3980" s="93"/>
      <c r="C3980" s="70"/>
      <c r="D3980" s="70"/>
      <c r="E3980" s="70"/>
      <c r="F3980" s="70"/>
      <c r="G3980" s="70"/>
      <c r="H3980" s="85"/>
      <c r="I3980" s="85"/>
      <c r="J3980" s="131"/>
      <c r="K3980" s="60"/>
      <c r="L3980" s="33"/>
      <c r="Y3980" s="3"/>
      <c r="Z3980" s="3"/>
      <c r="AA3980" s="4"/>
    </row>
    <row r="3981" spans="1:27" x14ac:dyDescent="0.15">
      <c r="A3981" s="166"/>
      <c r="B3981" s="82"/>
      <c r="C3981" s="70"/>
      <c r="D3981" s="70"/>
      <c r="E3981" s="70"/>
      <c r="F3981" s="70"/>
      <c r="G3981" s="70"/>
      <c r="H3981" s="85"/>
      <c r="I3981" s="85"/>
      <c r="J3981" s="131"/>
      <c r="K3981" s="60"/>
      <c r="Y3981" s="3"/>
      <c r="Z3981" s="3"/>
      <c r="AA3981" s="4"/>
    </row>
    <row r="3982" spans="1:27" x14ac:dyDescent="0.15">
      <c r="A3982" s="166"/>
      <c r="B3982" s="93"/>
      <c r="C3982" s="70"/>
      <c r="D3982" s="70"/>
      <c r="E3982" s="70"/>
      <c r="F3982" s="70"/>
      <c r="G3982" s="70"/>
      <c r="H3982" s="85"/>
      <c r="I3982" s="85"/>
      <c r="J3982" s="131"/>
      <c r="K3982" s="60"/>
      <c r="L3982" s="33"/>
      <c r="Y3982" s="3"/>
      <c r="Z3982" s="3"/>
      <c r="AA3982" s="4"/>
    </row>
    <row r="3983" spans="1:27" x14ac:dyDescent="0.15">
      <c r="A3983" s="166"/>
      <c r="B3983" s="82"/>
      <c r="C3983" s="70"/>
      <c r="D3983" s="70"/>
      <c r="E3983" s="70"/>
      <c r="F3983" s="70"/>
      <c r="G3983" s="70"/>
      <c r="H3983" s="85"/>
      <c r="I3983" s="85"/>
      <c r="J3983" s="131"/>
      <c r="K3983" s="60"/>
      <c r="Y3983" s="3"/>
      <c r="Z3983" s="3"/>
      <c r="AA3983" s="4"/>
    </row>
    <row r="3984" spans="1:27" x14ac:dyDescent="0.15">
      <c r="A3984" s="166"/>
      <c r="B3984" s="93"/>
      <c r="C3984" s="70"/>
      <c r="D3984" s="70"/>
      <c r="E3984" s="70"/>
      <c r="F3984" s="70"/>
      <c r="G3984" s="70"/>
      <c r="H3984" s="85"/>
      <c r="I3984" s="85"/>
      <c r="J3984" s="131"/>
      <c r="K3984" s="60"/>
      <c r="L3984" s="33"/>
      <c r="Y3984" s="3"/>
      <c r="Z3984" s="3"/>
      <c r="AA3984" s="4"/>
    </row>
    <row r="3985" spans="1:27" ht="16" x14ac:dyDescent="0.2">
      <c r="A3985" s="166"/>
      <c r="B3985" s="93"/>
      <c r="C3985" s="70"/>
      <c r="D3985" s="70"/>
      <c r="E3985" s="70"/>
      <c r="F3985" s="70"/>
      <c r="G3985" s="70"/>
      <c r="H3985" s="85"/>
      <c r="I3985" s="85"/>
      <c r="J3985" s="131"/>
      <c r="K3985" s="60"/>
      <c r="L3985" s="47"/>
      <c r="M3985" s="32"/>
      <c r="Y3985" s="3"/>
      <c r="Z3985" s="3"/>
      <c r="AA3985" s="4"/>
    </row>
    <row r="3986" spans="1:27" x14ac:dyDescent="0.15">
      <c r="A3986" s="166"/>
      <c r="B3986" s="93"/>
      <c r="C3986" s="70"/>
      <c r="D3986" s="70"/>
      <c r="E3986" s="70"/>
      <c r="F3986" s="70"/>
      <c r="G3986" s="70"/>
      <c r="H3986" s="85"/>
      <c r="I3986" s="85"/>
      <c r="J3986" s="131"/>
      <c r="K3986" s="60"/>
      <c r="L3986" s="33"/>
      <c r="Y3986" s="3"/>
      <c r="Z3986" s="3"/>
      <c r="AA3986" s="4"/>
    </row>
    <row r="3987" spans="1:27" x14ac:dyDescent="0.15">
      <c r="A3987" s="166"/>
      <c r="B3987" s="93"/>
      <c r="C3987" s="70"/>
      <c r="D3987" s="70"/>
      <c r="E3987" s="70"/>
      <c r="F3987" s="70"/>
      <c r="G3987" s="70"/>
      <c r="H3987" s="85"/>
      <c r="I3987" s="85"/>
      <c r="J3987" s="131"/>
      <c r="K3987" s="60"/>
      <c r="L3987" s="33"/>
      <c r="Y3987" s="3"/>
      <c r="Z3987" s="3"/>
      <c r="AA3987" s="4"/>
    </row>
    <row r="3988" spans="1:27" x14ac:dyDescent="0.15">
      <c r="A3988" s="166"/>
      <c r="B3988" s="93"/>
      <c r="C3988" s="70"/>
      <c r="D3988" s="70"/>
      <c r="E3988" s="70"/>
      <c r="F3988" s="70"/>
      <c r="G3988" s="70"/>
      <c r="H3988" s="85"/>
      <c r="I3988" s="114"/>
      <c r="J3988" s="131"/>
      <c r="K3988" s="60"/>
      <c r="L3988" s="33"/>
      <c r="Y3988" s="3"/>
      <c r="Z3988" s="3"/>
      <c r="AA3988" s="4"/>
    </row>
    <row r="3989" spans="1:27" x14ac:dyDescent="0.15">
      <c r="A3989" s="166"/>
      <c r="B3989" s="82"/>
      <c r="C3989" s="70"/>
      <c r="D3989" s="70"/>
      <c r="E3989" s="70"/>
      <c r="F3989" s="70"/>
      <c r="G3989" s="70"/>
      <c r="H3989" s="85"/>
      <c r="I3989" s="85"/>
      <c r="J3989" s="131"/>
      <c r="K3989" s="60"/>
      <c r="Y3989" s="3"/>
      <c r="Z3989" s="3"/>
      <c r="AA3989" s="4"/>
    </row>
    <row r="3990" spans="1:27" x14ac:dyDescent="0.15">
      <c r="A3990" s="166"/>
      <c r="B3990" s="82"/>
      <c r="C3990" s="70"/>
      <c r="D3990" s="70"/>
      <c r="E3990" s="70"/>
      <c r="F3990" s="70"/>
      <c r="G3990" s="70"/>
      <c r="H3990" s="85"/>
      <c r="I3990" s="85"/>
      <c r="J3990" s="131"/>
      <c r="K3990" s="60"/>
      <c r="L3990" s="33"/>
      <c r="Y3990" s="3"/>
      <c r="Z3990" s="3"/>
      <c r="AA3990" s="4"/>
    </row>
    <row r="3991" spans="1:27" x14ac:dyDescent="0.15">
      <c r="A3991" s="166"/>
      <c r="B3991" s="82"/>
      <c r="C3991" s="70"/>
      <c r="D3991" s="70"/>
      <c r="E3991" s="70"/>
      <c r="F3991" s="70"/>
      <c r="G3991" s="70"/>
      <c r="H3991" s="85"/>
      <c r="I3991" s="85"/>
      <c r="J3991" s="131"/>
      <c r="K3991" s="60"/>
      <c r="Y3991" s="3"/>
      <c r="Z3991" s="3"/>
      <c r="AA3991" s="4"/>
    </row>
    <row r="3992" spans="1:27" x14ac:dyDescent="0.15">
      <c r="A3992" s="166"/>
      <c r="B3992" s="96"/>
      <c r="C3992" s="70"/>
      <c r="D3992" s="70"/>
      <c r="E3992" s="70"/>
      <c r="F3992" s="70"/>
      <c r="G3992" s="70"/>
      <c r="H3992" s="85"/>
      <c r="I3992" s="85"/>
      <c r="J3992" s="131"/>
      <c r="K3992" s="60"/>
      <c r="L3992" s="33"/>
      <c r="Y3992" s="3"/>
      <c r="Z3992" s="3"/>
      <c r="AA3992" s="4"/>
    </row>
    <row r="3993" spans="1:27" x14ac:dyDescent="0.15">
      <c r="A3993" s="166"/>
      <c r="B3993" s="82"/>
      <c r="C3993" s="70"/>
      <c r="D3993" s="70"/>
      <c r="E3993" s="70"/>
      <c r="F3993" s="70"/>
      <c r="G3993" s="70"/>
      <c r="H3993" s="85"/>
      <c r="I3993" s="85"/>
      <c r="J3993" s="131"/>
      <c r="K3993" s="60"/>
      <c r="Y3993" s="3"/>
      <c r="Z3993" s="3"/>
      <c r="AA3993" s="4"/>
    </row>
    <row r="3994" spans="1:27" x14ac:dyDescent="0.15">
      <c r="A3994" s="170"/>
      <c r="B3994" s="82"/>
      <c r="C3994" s="83"/>
      <c r="D3994" s="83"/>
      <c r="E3994" s="83"/>
      <c r="F3994" s="83"/>
      <c r="G3994" s="83"/>
      <c r="H3994" s="85"/>
      <c r="I3994" s="84"/>
      <c r="J3994" s="136"/>
      <c r="K3994" s="69"/>
      <c r="L3994" s="31"/>
      <c r="Y3994" s="3"/>
      <c r="Z3994" s="3"/>
      <c r="AA3994" s="4"/>
    </row>
    <row r="3995" spans="1:27" ht="16" x14ac:dyDescent="0.2">
      <c r="A3995" s="166"/>
      <c r="B3995" s="82"/>
      <c r="C3995" s="70"/>
      <c r="D3995" s="70"/>
      <c r="E3995" s="73"/>
      <c r="F3995" s="70"/>
      <c r="G3995" s="70"/>
      <c r="H3995" s="85"/>
      <c r="I3995" s="85"/>
      <c r="J3995" s="131"/>
      <c r="K3995" s="60"/>
      <c r="L3995" s="47"/>
      <c r="Y3995" s="3"/>
      <c r="Z3995" s="3"/>
      <c r="AA3995" s="4"/>
    </row>
    <row r="3996" spans="1:27" x14ac:dyDescent="0.15">
      <c r="A3996" s="166"/>
      <c r="B3996" s="82"/>
      <c r="C3996" s="70"/>
      <c r="D3996" s="70"/>
      <c r="E3996" s="70"/>
      <c r="F3996" s="70"/>
      <c r="G3996" s="70"/>
      <c r="H3996" s="85"/>
      <c r="I3996" s="85"/>
      <c r="J3996" s="131"/>
      <c r="K3996" s="60"/>
      <c r="M3996" s="49"/>
      <c r="Y3996" s="3"/>
      <c r="Z3996" s="3"/>
      <c r="AA3996" s="4"/>
    </row>
    <row r="3997" spans="1:27" x14ac:dyDescent="0.15">
      <c r="A3997" s="166"/>
      <c r="B3997" s="82"/>
      <c r="C3997" s="70"/>
      <c r="D3997" s="70"/>
      <c r="E3997" s="70"/>
      <c r="F3997" s="70"/>
      <c r="G3997" s="70"/>
      <c r="H3997" s="85"/>
      <c r="I3997" s="85"/>
      <c r="J3997" s="131"/>
      <c r="K3997" s="60"/>
      <c r="L3997" s="33"/>
      <c r="Y3997" s="3"/>
      <c r="Z3997" s="3"/>
      <c r="AA3997" s="4"/>
    </row>
    <row r="3998" spans="1:27" x14ac:dyDescent="0.15">
      <c r="A3998" s="166"/>
      <c r="B3998" s="82"/>
      <c r="C3998" s="70"/>
      <c r="D3998" s="70"/>
      <c r="E3998" s="70"/>
      <c r="F3998" s="70"/>
      <c r="G3998" s="70"/>
      <c r="H3998" s="85"/>
      <c r="I3998" s="85"/>
      <c r="J3998" s="131"/>
      <c r="K3998" s="60"/>
      <c r="L3998" s="33"/>
      <c r="Y3998" s="3"/>
      <c r="Z3998" s="3"/>
      <c r="AA3998" s="4"/>
    </row>
    <row r="3999" spans="1:27" x14ac:dyDescent="0.15">
      <c r="A3999" s="166"/>
      <c r="B3999" s="82"/>
      <c r="C3999" s="70"/>
      <c r="D3999" s="70"/>
      <c r="E3999" s="70"/>
      <c r="F3999" s="70"/>
      <c r="G3999" s="70"/>
      <c r="H3999" s="85"/>
      <c r="I3999" s="85"/>
      <c r="J3999" s="131"/>
      <c r="K3999" s="60"/>
      <c r="L3999" s="33"/>
      <c r="Y3999" s="3"/>
      <c r="Z3999" s="3"/>
      <c r="AA3999" s="4"/>
    </row>
    <row r="4000" spans="1:27" x14ac:dyDescent="0.15">
      <c r="A4000" s="166"/>
      <c r="B4000" s="82"/>
      <c r="C4000" s="70"/>
      <c r="D4000" s="70"/>
      <c r="E4000" s="70"/>
      <c r="F4000" s="70"/>
      <c r="G4000" s="70"/>
      <c r="H4000" s="85"/>
      <c r="I4000" s="85"/>
      <c r="J4000" s="131"/>
      <c r="K4000" s="60"/>
      <c r="L4000" s="33"/>
      <c r="Y4000" s="3"/>
      <c r="Z4000" s="3"/>
      <c r="AA4000" s="4"/>
    </row>
    <row r="4001" spans="1:27" x14ac:dyDescent="0.15">
      <c r="A4001" s="166"/>
      <c r="B4001" s="82"/>
      <c r="C4001" s="70"/>
      <c r="D4001" s="70"/>
      <c r="E4001" s="70"/>
      <c r="F4001" s="70"/>
      <c r="G4001" s="70"/>
      <c r="H4001" s="85"/>
      <c r="I4001" s="85"/>
      <c r="J4001" s="131"/>
      <c r="K4001" s="60"/>
      <c r="L4001" s="33"/>
      <c r="Y4001" s="3"/>
      <c r="Z4001" s="3"/>
      <c r="AA4001" s="4"/>
    </row>
    <row r="4002" spans="1:27" x14ac:dyDescent="0.15">
      <c r="A4002" s="166"/>
      <c r="B4002" s="82"/>
      <c r="C4002" s="70"/>
      <c r="D4002" s="70"/>
      <c r="E4002" s="70"/>
      <c r="F4002" s="70"/>
      <c r="G4002" s="70"/>
      <c r="H4002" s="85"/>
      <c r="I4002" s="85"/>
      <c r="J4002" s="131"/>
      <c r="K4002" s="60"/>
      <c r="L4002" s="33"/>
      <c r="Y4002" s="3"/>
      <c r="Z4002" s="3"/>
      <c r="AA4002" s="4"/>
    </row>
    <row r="4003" spans="1:27" x14ac:dyDescent="0.15">
      <c r="A4003" s="166"/>
      <c r="B4003" s="82"/>
      <c r="C4003" s="73"/>
      <c r="D4003" s="73"/>
      <c r="E4003" s="73"/>
      <c r="F4003" s="73"/>
      <c r="G4003" s="73"/>
      <c r="H4003" s="85"/>
      <c r="I4003" s="95"/>
      <c r="J4003" s="131"/>
      <c r="K4003" s="60"/>
      <c r="L4003" s="33"/>
      <c r="Y4003" s="3"/>
      <c r="Z4003" s="3"/>
      <c r="AA4003" s="4"/>
    </row>
    <row r="4004" spans="1:27" x14ac:dyDescent="0.15">
      <c r="A4004" s="166"/>
      <c r="B4004" s="82"/>
      <c r="C4004" s="70"/>
      <c r="D4004" s="70"/>
      <c r="E4004" s="70"/>
      <c r="F4004" s="70"/>
      <c r="G4004" s="70"/>
      <c r="H4004" s="85"/>
      <c r="I4004" s="85"/>
      <c r="J4004" s="131"/>
      <c r="K4004" s="60"/>
      <c r="L4004" s="33"/>
      <c r="N4004" s="35"/>
      <c r="Y4004" s="3"/>
      <c r="Z4004" s="3"/>
      <c r="AA4004" s="4"/>
    </row>
    <row r="4005" spans="1:27" x14ac:dyDescent="0.15">
      <c r="A4005" s="166"/>
      <c r="B4005" s="82"/>
      <c r="C4005" s="70"/>
      <c r="D4005" s="70"/>
      <c r="E4005" s="70"/>
      <c r="F4005" s="70"/>
      <c r="G4005" s="70"/>
      <c r="H4005" s="85"/>
      <c r="I4005" s="85"/>
      <c r="J4005" s="131"/>
      <c r="K4005" s="60"/>
      <c r="L4005" s="33"/>
      <c r="Y4005" s="3"/>
      <c r="Z4005" s="3"/>
      <c r="AA4005" s="4"/>
    </row>
    <row r="4006" spans="1:27" x14ac:dyDescent="0.15">
      <c r="A4006" s="166"/>
      <c r="B4006" s="82"/>
      <c r="C4006" s="70"/>
      <c r="D4006" s="70"/>
      <c r="E4006" s="70"/>
      <c r="F4006" s="70"/>
      <c r="G4006" s="70"/>
      <c r="H4006" s="85"/>
      <c r="I4006" s="85"/>
      <c r="J4006" s="131"/>
      <c r="K4006" s="60"/>
      <c r="L4006" s="33"/>
      <c r="Y4006" s="3"/>
      <c r="Z4006" s="3"/>
      <c r="AA4006" s="4"/>
    </row>
    <row r="4007" spans="1:27" x14ac:dyDescent="0.15">
      <c r="A4007" s="166"/>
      <c r="B4007" s="82"/>
      <c r="C4007" s="70"/>
      <c r="D4007" s="70"/>
      <c r="E4007" s="70"/>
      <c r="F4007" s="70"/>
      <c r="G4007" s="70"/>
      <c r="H4007" s="85"/>
      <c r="I4007" s="85"/>
      <c r="J4007" s="131"/>
      <c r="K4007" s="60"/>
      <c r="Y4007" s="3"/>
      <c r="Z4007" s="3"/>
      <c r="AA4007" s="4"/>
    </row>
    <row r="4008" spans="1:27" x14ac:dyDescent="0.15">
      <c r="A4008" s="166"/>
      <c r="B4008" s="82"/>
      <c r="C4008" s="70"/>
      <c r="D4008" s="70"/>
      <c r="E4008" s="70"/>
      <c r="F4008" s="70"/>
      <c r="G4008" s="70"/>
      <c r="H4008" s="85"/>
      <c r="I4008" s="85"/>
      <c r="J4008" s="131"/>
      <c r="K4008" s="60"/>
      <c r="L4008" s="33"/>
      <c r="Y4008" s="3"/>
      <c r="Z4008" s="3"/>
      <c r="AA4008" s="4"/>
    </row>
    <row r="4009" spans="1:27" x14ac:dyDescent="0.15">
      <c r="A4009" s="166"/>
      <c r="B4009" s="82"/>
      <c r="C4009" s="70"/>
      <c r="D4009" s="70"/>
      <c r="E4009" s="70"/>
      <c r="F4009" s="70"/>
      <c r="G4009" s="70"/>
      <c r="H4009" s="85"/>
      <c r="I4009" s="85"/>
      <c r="J4009" s="131"/>
      <c r="K4009" s="60"/>
      <c r="L4009" s="33"/>
      <c r="Y4009" s="3"/>
      <c r="Z4009" s="3"/>
      <c r="AA4009" s="4"/>
    </row>
    <row r="4010" spans="1:27" x14ac:dyDescent="0.15">
      <c r="A4010" s="166"/>
      <c r="B4010" s="82"/>
      <c r="C4010" s="70"/>
      <c r="D4010" s="70"/>
      <c r="E4010" s="70"/>
      <c r="F4010" s="70"/>
      <c r="G4010" s="70"/>
      <c r="H4010" s="85"/>
      <c r="I4010" s="85"/>
      <c r="J4010" s="131"/>
      <c r="K4010" s="60"/>
      <c r="Y4010" s="3"/>
      <c r="Z4010" s="3"/>
      <c r="AA4010" s="4"/>
    </row>
    <row r="4011" spans="1:27" x14ac:dyDescent="0.15">
      <c r="A4011" s="166"/>
      <c r="B4011" s="82"/>
      <c r="C4011" s="70"/>
      <c r="D4011" s="70"/>
      <c r="E4011" s="70"/>
      <c r="F4011" s="70"/>
      <c r="G4011" s="70"/>
      <c r="H4011" s="85"/>
      <c r="I4011" s="85"/>
      <c r="J4011" s="131"/>
      <c r="K4011" s="60"/>
      <c r="Y4011" s="3"/>
      <c r="Z4011" s="3"/>
      <c r="AA4011" s="4"/>
    </row>
    <row r="4012" spans="1:27" x14ac:dyDescent="0.15">
      <c r="A4012" s="70"/>
      <c r="B4012" s="82"/>
      <c r="C4012" s="70"/>
      <c r="D4012" s="70"/>
      <c r="E4012" s="70"/>
      <c r="F4012" s="70"/>
      <c r="G4012" s="70"/>
      <c r="H4012" s="85"/>
      <c r="I4012" s="85"/>
      <c r="J4012" s="131"/>
      <c r="K4012" s="60"/>
      <c r="L4012" s="33"/>
      <c r="Y4012" s="3"/>
      <c r="Z4012" s="3"/>
      <c r="AA4012" s="4"/>
    </row>
    <row r="4013" spans="1:27" x14ac:dyDescent="0.15">
      <c r="A4013" s="166"/>
      <c r="B4013" s="82"/>
      <c r="C4013" s="70"/>
      <c r="D4013" s="70"/>
      <c r="E4013" s="70"/>
      <c r="F4013" s="70"/>
      <c r="G4013" s="70"/>
      <c r="H4013" s="85"/>
      <c r="I4013" s="85"/>
      <c r="J4013" s="131"/>
      <c r="K4013" s="60"/>
      <c r="L4013" s="33"/>
      <c r="Y4013" s="3"/>
      <c r="Z4013" s="3"/>
      <c r="AA4013" s="4"/>
    </row>
    <row r="4014" spans="1:27" x14ac:dyDescent="0.15">
      <c r="A4014" s="166"/>
      <c r="B4014" s="82"/>
      <c r="C4014" s="70"/>
      <c r="D4014" s="70"/>
      <c r="E4014" s="70"/>
      <c r="F4014" s="70"/>
      <c r="G4014" s="70"/>
      <c r="H4014" s="85"/>
      <c r="I4014" s="95"/>
      <c r="J4014" s="131"/>
      <c r="K4014" s="60"/>
      <c r="L4014" s="33"/>
      <c r="Y4014" s="3"/>
      <c r="Z4014" s="3"/>
      <c r="AA4014" s="4"/>
    </row>
    <row r="4015" spans="1:27" x14ac:dyDescent="0.15">
      <c r="A4015" s="166"/>
      <c r="B4015" s="82"/>
      <c r="C4015" s="73"/>
      <c r="D4015" s="73"/>
      <c r="E4015" s="70"/>
      <c r="F4015" s="73"/>
      <c r="G4015" s="73"/>
      <c r="H4015" s="85"/>
      <c r="I4015" s="95"/>
      <c r="J4015" s="131"/>
      <c r="K4015" s="60"/>
      <c r="L4015" s="33"/>
      <c r="Y4015" s="3"/>
      <c r="Z4015" s="3"/>
      <c r="AA4015" s="4"/>
    </row>
    <row r="4016" spans="1:27" x14ac:dyDescent="0.15">
      <c r="A4016" s="166"/>
      <c r="B4016" s="82"/>
      <c r="C4016" s="73"/>
      <c r="D4016" s="73"/>
      <c r="E4016" s="70"/>
      <c r="F4016" s="73"/>
      <c r="G4016" s="73"/>
      <c r="H4016" s="85"/>
      <c r="I4016" s="95"/>
      <c r="J4016" s="131"/>
      <c r="K4016" s="60"/>
      <c r="L4016" s="33"/>
      <c r="Y4016" s="3"/>
      <c r="Z4016" s="3"/>
      <c r="AA4016" s="4"/>
    </row>
    <row r="4017" spans="1:27" x14ac:dyDescent="0.15">
      <c r="A4017" s="166"/>
      <c r="B4017" s="82"/>
      <c r="C4017" s="70"/>
      <c r="D4017" s="70"/>
      <c r="E4017" s="70"/>
      <c r="F4017" s="70"/>
      <c r="G4017" s="70"/>
      <c r="H4017" s="85"/>
      <c r="I4017" s="85"/>
      <c r="J4017" s="131"/>
      <c r="K4017" s="60"/>
      <c r="L4017" s="33"/>
      <c r="Y4017" s="3"/>
      <c r="Z4017" s="3"/>
      <c r="AA4017" s="4"/>
    </row>
    <row r="4018" spans="1:27" x14ac:dyDescent="0.15">
      <c r="A4018" s="166"/>
      <c r="B4018" s="82"/>
      <c r="C4018" s="70"/>
      <c r="D4018" s="70"/>
      <c r="E4018" s="70"/>
      <c r="F4018" s="70"/>
      <c r="G4018" s="70"/>
      <c r="H4018" s="85"/>
      <c r="I4018" s="85"/>
      <c r="J4018" s="131"/>
      <c r="K4018" s="60"/>
      <c r="Y4018" s="3"/>
      <c r="Z4018" s="3"/>
      <c r="AA4018" s="4"/>
    </row>
    <row r="4019" spans="1:27" x14ac:dyDescent="0.15">
      <c r="A4019" s="166"/>
      <c r="B4019" s="82"/>
      <c r="C4019" s="70"/>
      <c r="D4019" s="70"/>
      <c r="E4019" s="70"/>
      <c r="F4019" s="70"/>
      <c r="G4019" s="70"/>
      <c r="H4019" s="85"/>
      <c r="I4019" s="85"/>
      <c r="J4019" s="131"/>
      <c r="K4019" s="60"/>
      <c r="L4019" s="33"/>
      <c r="Y4019" s="3"/>
      <c r="Z4019" s="3"/>
      <c r="AA4019" s="4"/>
    </row>
    <row r="4020" spans="1:27" x14ac:dyDescent="0.15">
      <c r="A4020" s="166"/>
      <c r="B4020" s="82"/>
      <c r="C4020" s="70"/>
      <c r="D4020" s="70"/>
      <c r="E4020" s="70"/>
      <c r="F4020" s="70"/>
      <c r="G4020" s="70"/>
      <c r="H4020" s="85"/>
      <c r="I4020" s="85"/>
      <c r="J4020" s="131"/>
      <c r="K4020" s="60"/>
      <c r="Y4020" s="3"/>
      <c r="Z4020" s="3"/>
      <c r="AA4020" s="4"/>
    </row>
    <row r="4021" spans="1:27" x14ac:dyDescent="0.15">
      <c r="A4021" s="166"/>
      <c r="B4021" s="82"/>
      <c r="C4021" s="70"/>
      <c r="D4021" s="70"/>
      <c r="E4021" s="70"/>
      <c r="F4021" s="70"/>
      <c r="G4021" s="70"/>
      <c r="H4021" s="85"/>
      <c r="I4021" s="85"/>
      <c r="J4021" s="131"/>
      <c r="K4021" s="60"/>
      <c r="Y4021" s="3"/>
      <c r="Z4021" s="3"/>
      <c r="AA4021" s="4"/>
    </row>
    <row r="4022" spans="1:27" ht="16" x14ac:dyDescent="0.2">
      <c r="A4022" s="166"/>
      <c r="B4022" s="93"/>
      <c r="C4022" s="70"/>
      <c r="D4022" s="70"/>
      <c r="E4022" s="73"/>
      <c r="F4022" s="70"/>
      <c r="G4022" s="70"/>
      <c r="H4022" s="85"/>
      <c r="I4022" s="85"/>
      <c r="J4022" s="131"/>
      <c r="K4022" s="60"/>
      <c r="L4022" s="47"/>
      <c r="Y4022" s="3"/>
      <c r="Z4022" s="3"/>
      <c r="AA4022" s="4"/>
    </row>
    <row r="4023" spans="1:27" x14ac:dyDescent="0.15">
      <c r="A4023" s="166"/>
      <c r="B4023" s="82"/>
      <c r="C4023" s="73"/>
      <c r="D4023" s="73"/>
      <c r="E4023" s="70"/>
      <c r="F4023" s="73"/>
      <c r="G4023" s="73"/>
      <c r="H4023" s="85"/>
      <c r="I4023" s="95"/>
      <c r="J4023" s="131"/>
      <c r="K4023" s="60"/>
      <c r="L4023" s="33"/>
      <c r="Y4023" s="3"/>
      <c r="Z4023" s="3"/>
      <c r="AA4023" s="4"/>
    </row>
    <row r="4024" spans="1:27" x14ac:dyDescent="0.15">
      <c r="A4024" s="166"/>
      <c r="B4024" s="82"/>
      <c r="C4024" s="70"/>
      <c r="D4024" s="70"/>
      <c r="E4024" s="70"/>
      <c r="F4024" s="70"/>
      <c r="G4024" s="70"/>
      <c r="H4024" s="85"/>
      <c r="I4024" s="85"/>
      <c r="J4024" s="131"/>
      <c r="K4024" s="60"/>
      <c r="L4024" s="33"/>
      <c r="Y4024" s="3"/>
      <c r="Z4024" s="3"/>
      <c r="AA4024" s="4"/>
    </row>
    <row r="4025" spans="1:27" x14ac:dyDescent="0.15">
      <c r="A4025" s="166"/>
      <c r="B4025" s="82"/>
      <c r="C4025" s="70"/>
      <c r="D4025" s="70"/>
      <c r="E4025" s="70"/>
      <c r="F4025" s="70"/>
      <c r="G4025" s="70"/>
      <c r="H4025" s="85"/>
      <c r="I4025" s="85"/>
      <c r="J4025" s="131"/>
      <c r="K4025" s="60"/>
      <c r="L4025" s="33"/>
      <c r="Y4025" s="3"/>
      <c r="Z4025" s="3"/>
      <c r="AA4025" s="4"/>
    </row>
    <row r="4026" spans="1:27" x14ac:dyDescent="0.15">
      <c r="A4026" s="166"/>
      <c r="B4026" s="82"/>
      <c r="C4026" s="70"/>
      <c r="D4026" s="70"/>
      <c r="E4026" s="70"/>
      <c r="F4026" s="70"/>
      <c r="G4026" s="70"/>
      <c r="H4026" s="85"/>
      <c r="I4026" s="85"/>
      <c r="J4026" s="131"/>
      <c r="K4026" s="60"/>
      <c r="L4026" s="33"/>
      <c r="Y4026" s="3"/>
      <c r="Z4026" s="3"/>
      <c r="AA4026" s="4"/>
    </row>
    <row r="4027" spans="1:27" x14ac:dyDescent="0.15">
      <c r="A4027" s="166"/>
      <c r="B4027" s="82"/>
      <c r="C4027" s="70"/>
      <c r="D4027" s="70"/>
      <c r="E4027" s="70"/>
      <c r="F4027" s="70"/>
      <c r="G4027" s="70"/>
      <c r="H4027" s="85"/>
      <c r="I4027" s="85"/>
      <c r="J4027" s="131"/>
      <c r="K4027" s="60"/>
      <c r="Y4027" s="3"/>
      <c r="Z4027" s="3"/>
      <c r="AA4027" s="4"/>
    </row>
    <row r="4028" spans="1:27" x14ac:dyDescent="0.15">
      <c r="A4028" s="166"/>
      <c r="B4028" s="82"/>
      <c r="C4028" s="73"/>
      <c r="D4028" s="73"/>
      <c r="E4028" s="70"/>
      <c r="F4028" s="73"/>
      <c r="G4028" s="73"/>
      <c r="H4028" s="85"/>
      <c r="I4028" s="85"/>
      <c r="J4028" s="131"/>
      <c r="K4028" s="60"/>
      <c r="L4028" s="33"/>
      <c r="Y4028" s="3"/>
      <c r="Z4028" s="3"/>
      <c r="AA4028" s="4"/>
    </row>
    <row r="4029" spans="1:27" x14ac:dyDescent="0.15">
      <c r="A4029" s="166"/>
      <c r="B4029" s="82"/>
      <c r="C4029" s="70"/>
      <c r="D4029" s="70"/>
      <c r="E4029" s="70"/>
      <c r="F4029" s="70"/>
      <c r="G4029" s="70"/>
      <c r="H4029" s="85"/>
      <c r="I4029" s="85"/>
      <c r="J4029" s="131"/>
      <c r="K4029" s="60"/>
      <c r="Y4029" s="3"/>
      <c r="Z4029" s="3"/>
      <c r="AA4029" s="4"/>
    </row>
    <row r="4030" spans="1:27" x14ac:dyDescent="0.15">
      <c r="A4030" s="166"/>
      <c r="B4030" s="82"/>
      <c r="C4030" s="70"/>
      <c r="D4030" s="70"/>
      <c r="E4030" s="70"/>
      <c r="F4030" s="70"/>
      <c r="G4030" s="70"/>
      <c r="H4030" s="85"/>
      <c r="I4030" s="85"/>
      <c r="J4030" s="131"/>
      <c r="K4030" s="60"/>
      <c r="Y4030" s="3"/>
      <c r="Z4030" s="3"/>
      <c r="AA4030" s="4"/>
    </row>
    <row r="4031" spans="1:27" x14ac:dyDescent="0.15">
      <c r="A4031" s="70"/>
      <c r="B4031" s="82"/>
      <c r="C4031" s="70"/>
      <c r="D4031" s="70"/>
      <c r="E4031" s="70"/>
      <c r="F4031" s="70"/>
      <c r="G4031" s="70"/>
      <c r="H4031" s="85"/>
      <c r="I4031" s="85"/>
      <c r="J4031" s="131"/>
      <c r="K4031" s="60"/>
      <c r="Y4031" s="3"/>
      <c r="Z4031" s="3"/>
      <c r="AA4031" s="4"/>
    </row>
    <row r="4032" spans="1:27" x14ac:dyDescent="0.15">
      <c r="A4032" s="166"/>
      <c r="B4032" s="82"/>
      <c r="C4032" s="70"/>
      <c r="D4032" s="70"/>
      <c r="E4032" s="70"/>
      <c r="F4032" s="70"/>
      <c r="G4032" s="70"/>
      <c r="H4032" s="85"/>
      <c r="I4032" s="85"/>
      <c r="J4032" s="131"/>
      <c r="K4032" s="60"/>
      <c r="M4032" s="33"/>
      <c r="Y4032" s="3"/>
      <c r="Z4032" s="3"/>
      <c r="AA4032" s="4"/>
    </row>
    <row r="4033" spans="1:27" x14ac:dyDescent="0.15">
      <c r="A4033" s="166"/>
      <c r="B4033" s="82"/>
      <c r="C4033" s="70"/>
      <c r="D4033" s="70"/>
      <c r="E4033" s="70"/>
      <c r="F4033" s="70"/>
      <c r="G4033" s="70"/>
      <c r="H4033" s="85"/>
      <c r="I4033" s="85"/>
      <c r="J4033" s="131"/>
      <c r="K4033" s="60"/>
      <c r="Y4033" s="3"/>
      <c r="Z4033" s="3"/>
      <c r="AA4033" s="4"/>
    </row>
    <row r="4034" spans="1:27" x14ac:dyDescent="0.15">
      <c r="A4034" s="166"/>
      <c r="B4034" s="82"/>
      <c r="C4034" s="70"/>
      <c r="D4034" s="70"/>
      <c r="E4034" s="70"/>
      <c r="F4034" s="70"/>
      <c r="G4034" s="70"/>
      <c r="H4034" s="85"/>
      <c r="I4034" s="85"/>
      <c r="J4034" s="131"/>
      <c r="K4034" s="60"/>
      <c r="L4034" s="33"/>
      <c r="Y4034" s="3"/>
      <c r="Z4034" s="3"/>
      <c r="AA4034" s="4"/>
    </row>
    <row r="4035" spans="1:27" x14ac:dyDescent="0.15">
      <c r="A4035" s="70"/>
      <c r="B4035" s="82"/>
      <c r="C4035" s="70"/>
      <c r="D4035" s="70"/>
      <c r="E4035" s="70"/>
      <c r="F4035" s="70"/>
      <c r="G4035" s="70"/>
      <c r="H4035" s="85"/>
      <c r="I4035" s="85"/>
      <c r="J4035" s="131"/>
      <c r="K4035" s="60"/>
      <c r="L4035" s="33"/>
      <c r="Y4035" s="3"/>
      <c r="Z4035" s="3"/>
      <c r="AA4035" s="4"/>
    </row>
    <row r="4036" spans="1:27" x14ac:dyDescent="0.15">
      <c r="A4036" s="70"/>
      <c r="B4036" s="82"/>
      <c r="C4036" s="70"/>
      <c r="D4036" s="70"/>
      <c r="E4036" s="70"/>
      <c r="F4036" s="70"/>
      <c r="G4036" s="70"/>
      <c r="H4036" s="85"/>
      <c r="I4036" s="85"/>
      <c r="J4036" s="131"/>
      <c r="K4036" s="60"/>
      <c r="L4036" s="33"/>
      <c r="Y4036" s="3"/>
      <c r="Z4036" s="3"/>
      <c r="AA4036" s="4"/>
    </row>
    <row r="4037" spans="1:27" x14ac:dyDescent="0.15">
      <c r="A4037" s="70"/>
      <c r="B4037" s="82"/>
      <c r="C4037" s="70"/>
      <c r="D4037" s="70"/>
      <c r="E4037" s="70"/>
      <c r="F4037" s="70"/>
      <c r="G4037" s="70"/>
      <c r="H4037" s="85"/>
      <c r="I4037" s="85"/>
      <c r="J4037" s="131"/>
      <c r="K4037" s="60"/>
      <c r="L4037" s="33"/>
      <c r="Y4037" s="3"/>
      <c r="Z4037" s="3"/>
      <c r="AA4037" s="4"/>
    </row>
    <row r="4038" spans="1:27" x14ac:dyDescent="0.15">
      <c r="A4038" s="166"/>
      <c r="B4038" s="82"/>
      <c r="C4038" s="73"/>
      <c r="D4038" s="73"/>
      <c r="E4038" s="70"/>
      <c r="F4038" s="73"/>
      <c r="G4038" s="73"/>
      <c r="H4038" s="85"/>
      <c r="I4038" s="95"/>
      <c r="J4038" s="131"/>
      <c r="K4038" s="60"/>
      <c r="L4038" s="33"/>
      <c r="Y4038" s="3"/>
      <c r="Z4038" s="3"/>
      <c r="AA4038" s="4"/>
    </row>
    <row r="4039" spans="1:27" x14ac:dyDescent="0.15">
      <c r="A4039" s="166"/>
      <c r="B4039" s="82"/>
      <c r="C4039" s="70"/>
      <c r="D4039" s="70"/>
      <c r="E4039" s="70"/>
      <c r="F4039" s="70"/>
      <c r="G4039" s="70"/>
      <c r="H4039" s="85"/>
      <c r="I4039" s="85"/>
      <c r="J4039" s="131"/>
      <c r="K4039" s="60"/>
      <c r="L4039" s="33"/>
      <c r="Y4039" s="3"/>
      <c r="Z4039" s="3"/>
      <c r="AA4039" s="4"/>
    </row>
    <row r="4040" spans="1:27" x14ac:dyDescent="0.15">
      <c r="A4040" s="166"/>
      <c r="B4040" s="82"/>
      <c r="C4040" s="73"/>
      <c r="D4040" s="73"/>
      <c r="E4040" s="70"/>
      <c r="F4040" s="73"/>
      <c r="G4040" s="73"/>
      <c r="H4040" s="85"/>
      <c r="I4040" s="95"/>
      <c r="J4040" s="131"/>
      <c r="K4040" s="60"/>
      <c r="L4040" s="33"/>
      <c r="Y4040" s="3"/>
      <c r="Z4040" s="3"/>
      <c r="AA4040" s="4"/>
    </row>
    <row r="4041" spans="1:27" x14ac:dyDescent="0.15">
      <c r="A4041" s="166"/>
      <c r="B4041" s="82"/>
      <c r="C4041" s="70"/>
      <c r="D4041" s="70"/>
      <c r="E4041" s="70"/>
      <c r="F4041" s="70"/>
      <c r="G4041" s="70"/>
      <c r="H4041" s="85"/>
      <c r="I4041" s="85"/>
      <c r="J4041" s="131"/>
      <c r="K4041" s="60"/>
      <c r="L4041" s="33"/>
      <c r="Y4041" s="3"/>
      <c r="Z4041" s="3"/>
      <c r="AA4041" s="4"/>
    </row>
    <row r="4042" spans="1:27" x14ac:dyDescent="0.15">
      <c r="A4042" s="166"/>
      <c r="B4042" s="82"/>
      <c r="C4042" s="70"/>
      <c r="D4042" s="70"/>
      <c r="E4042" s="70"/>
      <c r="F4042" s="70"/>
      <c r="G4042" s="70"/>
      <c r="H4042" s="85"/>
      <c r="I4042" s="85"/>
      <c r="J4042" s="131"/>
      <c r="K4042" s="60"/>
      <c r="L4042" s="33"/>
      <c r="Y4042" s="3"/>
      <c r="Z4042" s="3"/>
      <c r="AA4042" s="4"/>
    </row>
    <row r="4043" spans="1:27" x14ac:dyDescent="0.15">
      <c r="A4043" s="166"/>
      <c r="B4043" s="82"/>
      <c r="C4043" s="73"/>
      <c r="D4043" s="73"/>
      <c r="E4043" s="70"/>
      <c r="F4043" s="73"/>
      <c r="G4043" s="73"/>
      <c r="H4043" s="85"/>
      <c r="I4043" s="95"/>
      <c r="J4043" s="131"/>
      <c r="K4043" s="60"/>
      <c r="L4043" s="33"/>
      <c r="Y4043" s="3"/>
      <c r="Z4043" s="3"/>
      <c r="AA4043" s="4"/>
    </row>
    <row r="4044" spans="1:27" x14ac:dyDescent="0.15">
      <c r="A4044" s="166"/>
      <c r="B4044" s="96"/>
      <c r="C4044" s="73"/>
      <c r="D4044" s="73"/>
      <c r="E4044" s="73"/>
      <c r="F4044" s="73"/>
      <c r="G4044" s="73"/>
      <c r="H4044" s="85"/>
      <c r="I4044" s="95"/>
      <c r="J4044" s="131"/>
      <c r="K4044" s="60"/>
      <c r="L4044" s="33"/>
      <c r="Y4044" s="3"/>
      <c r="Z4044" s="3"/>
      <c r="AA4044" s="4"/>
    </row>
    <row r="4045" spans="1:27" x14ac:dyDescent="0.15">
      <c r="A4045" s="166"/>
      <c r="B4045" s="82"/>
      <c r="C4045" s="73"/>
      <c r="D4045" s="73"/>
      <c r="E4045" s="73"/>
      <c r="F4045" s="73"/>
      <c r="G4045" s="73"/>
      <c r="H4045" s="85"/>
      <c r="I4045" s="95"/>
      <c r="J4045" s="131"/>
      <c r="K4045" s="60"/>
      <c r="L4045" s="33"/>
      <c r="Y4045" s="3"/>
      <c r="Z4045" s="3"/>
      <c r="AA4045" s="4"/>
    </row>
    <row r="4046" spans="1:27" ht="16" x14ac:dyDescent="0.2">
      <c r="A4046" s="166"/>
      <c r="B4046" s="82"/>
      <c r="C4046" s="73"/>
      <c r="D4046" s="73"/>
      <c r="E4046" s="73"/>
      <c r="F4046" s="73"/>
      <c r="G4046" s="73"/>
      <c r="H4046" s="85"/>
      <c r="I4046" s="95"/>
      <c r="J4046" s="131"/>
      <c r="K4046" s="60"/>
      <c r="L4046" s="33"/>
      <c r="M4046" s="48"/>
      <c r="N4046" s="33"/>
      <c r="Y4046" s="3"/>
      <c r="Z4046" s="3"/>
      <c r="AA4046" s="4"/>
    </row>
    <row r="4047" spans="1:27" x14ac:dyDescent="0.15">
      <c r="A4047" s="166"/>
      <c r="B4047" s="82"/>
      <c r="C4047" s="73"/>
      <c r="D4047" s="73"/>
      <c r="E4047" s="73"/>
      <c r="F4047" s="73"/>
      <c r="G4047" s="73"/>
      <c r="H4047" s="85"/>
      <c r="I4047" s="95"/>
      <c r="J4047" s="131"/>
      <c r="K4047" s="60"/>
      <c r="L4047" s="33"/>
      <c r="Y4047" s="3"/>
      <c r="Z4047" s="3"/>
      <c r="AA4047" s="4"/>
    </row>
    <row r="4048" spans="1:27" x14ac:dyDescent="0.15">
      <c r="A4048" s="166"/>
      <c r="B4048" s="82"/>
      <c r="C4048" s="70"/>
      <c r="D4048" s="70"/>
      <c r="E4048" s="70"/>
      <c r="F4048" s="70"/>
      <c r="G4048" s="70"/>
      <c r="H4048" s="85"/>
      <c r="I4048" s="85"/>
      <c r="J4048" s="131"/>
      <c r="K4048" s="60"/>
      <c r="Y4048" s="3"/>
      <c r="Z4048" s="3"/>
      <c r="AA4048" s="4"/>
    </row>
    <row r="4049" spans="1:27" x14ac:dyDescent="0.15">
      <c r="A4049" s="166"/>
      <c r="B4049" s="82"/>
      <c r="C4049" s="70"/>
      <c r="D4049" s="70"/>
      <c r="E4049" s="70"/>
      <c r="F4049" s="70"/>
      <c r="G4049" s="70"/>
      <c r="H4049" s="85"/>
      <c r="I4049" s="85"/>
      <c r="J4049" s="131"/>
      <c r="K4049" s="60"/>
      <c r="Y4049" s="3"/>
      <c r="Z4049" s="3"/>
      <c r="AA4049" s="4"/>
    </row>
    <row r="4050" spans="1:27" x14ac:dyDescent="0.15">
      <c r="A4050" s="166"/>
      <c r="B4050" s="82"/>
      <c r="C4050" s="70"/>
      <c r="D4050" s="70"/>
      <c r="E4050" s="70"/>
      <c r="F4050" s="70"/>
      <c r="G4050" s="70"/>
      <c r="H4050" s="85"/>
      <c r="I4050" s="85"/>
      <c r="J4050" s="131"/>
      <c r="K4050" s="60"/>
      <c r="L4050" s="33"/>
      <c r="Y4050" s="3"/>
      <c r="Z4050" s="3"/>
      <c r="AA4050" s="4"/>
    </row>
    <row r="4051" spans="1:27" ht="16" x14ac:dyDescent="0.2">
      <c r="A4051" s="166"/>
      <c r="B4051" s="82"/>
      <c r="C4051" s="70"/>
      <c r="D4051" s="70"/>
      <c r="E4051" s="70"/>
      <c r="F4051" s="70"/>
      <c r="G4051" s="70"/>
      <c r="H4051" s="85"/>
      <c r="I4051" s="85"/>
      <c r="J4051" s="131"/>
      <c r="K4051" s="60"/>
      <c r="M4051" s="48"/>
      <c r="Y4051" s="3"/>
      <c r="Z4051" s="3"/>
      <c r="AA4051" s="4"/>
    </row>
    <row r="4052" spans="1:27" x14ac:dyDescent="0.15">
      <c r="A4052" s="166"/>
      <c r="B4052" s="93"/>
      <c r="C4052" s="73"/>
      <c r="D4052" s="73"/>
      <c r="E4052" s="73"/>
      <c r="F4052" s="73"/>
      <c r="G4052" s="73"/>
      <c r="H4052" s="85"/>
      <c r="I4052" s="95"/>
      <c r="J4052" s="131"/>
      <c r="K4052" s="60"/>
      <c r="L4052" s="33"/>
      <c r="Y4052" s="3"/>
      <c r="Z4052" s="3"/>
      <c r="AA4052" s="4"/>
    </row>
    <row r="4053" spans="1:27" x14ac:dyDescent="0.15">
      <c r="A4053" s="166"/>
      <c r="B4053" s="93"/>
      <c r="C4053" s="73"/>
      <c r="D4053" s="73"/>
      <c r="E4053" s="73"/>
      <c r="F4053" s="73"/>
      <c r="G4053" s="73"/>
      <c r="H4053" s="85"/>
      <c r="I4053" s="95"/>
      <c r="J4053" s="131"/>
      <c r="K4053" s="60"/>
      <c r="Y4053" s="3"/>
      <c r="Z4053" s="3"/>
      <c r="AA4053" s="4"/>
    </row>
    <row r="4054" spans="1:27" ht="16" x14ac:dyDescent="0.2">
      <c r="A4054" s="166"/>
      <c r="B4054" s="93"/>
      <c r="C4054" s="73"/>
      <c r="D4054" s="73"/>
      <c r="E4054" s="70"/>
      <c r="F4054" s="73"/>
      <c r="G4054" s="73"/>
      <c r="H4054" s="85"/>
      <c r="I4054" s="85"/>
      <c r="J4054" s="131"/>
      <c r="K4054" s="60"/>
      <c r="L4054" s="47"/>
      <c r="Y4054" s="3"/>
      <c r="Z4054" s="3"/>
      <c r="AA4054" s="4"/>
    </row>
    <row r="4055" spans="1:27" x14ac:dyDescent="0.15">
      <c r="A4055" s="166"/>
      <c r="B4055" s="82"/>
      <c r="C4055" s="70"/>
      <c r="D4055" s="70"/>
      <c r="E4055" s="70"/>
      <c r="F4055" s="70"/>
      <c r="G4055" s="70"/>
      <c r="H4055" s="85"/>
      <c r="I4055" s="85"/>
      <c r="J4055" s="131"/>
      <c r="K4055" s="60"/>
      <c r="Y4055" s="3"/>
      <c r="Z4055" s="3"/>
      <c r="AA4055" s="4"/>
    </row>
    <row r="4056" spans="1:27" x14ac:dyDescent="0.15">
      <c r="A4056" s="166"/>
      <c r="B4056" s="82"/>
      <c r="C4056" s="70"/>
      <c r="D4056" s="70"/>
      <c r="E4056" s="70"/>
      <c r="F4056" s="70"/>
      <c r="G4056" s="70"/>
      <c r="H4056" s="85"/>
      <c r="I4056" s="85"/>
      <c r="J4056" s="131"/>
      <c r="K4056" s="60"/>
      <c r="Y4056" s="3"/>
      <c r="Z4056" s="3"/>
      <c r="AA4056" s="4"/>
    </row>
    <row r="4057" spans="1:27" x14ac:dyDescent="0.15">
      <c r="A4057" s="166"/>
      <c r="B4057" s="82"/>
      <c r="C4057" s="70"/>
      <c r="D4057" s="70"/>
      <c r="E4057" s="70"/>
      <c r="F4057" s="70"/>
      <c r="G4057" s="70"/>
      <c r="H4057" s="85"/>
      <c r="I4057" s="85"/>
      <c r="J4057" s="131"/>
      <c r="K4057" s="69"/>
      <c r="L4057" s="33"/>
      <c r="Y4057" s="3"/>
      <c r="Z4057" s="3"/>
      <c r="AA4057" s="4"/>
    </row>
    <row r="4058" spans="1:27" x14ac:dyDescent="0.15">
      <c r="A4058" s="166"/>
      <c r="B4058" s="82"/>
      <c r="C4058" s="70"/>
      <c r="D4058" s="70"/>
      <c r="E4058" s="70"/>
      <c r="F4058" s="70"/>
      <c r="G4058" s="70"/>
      <c r="H4058" s="85"/>
      <c r="I4058" s="85"/>
      <c r="J4058" s="131"/>
      <c r="K4058" s="60"/>
      <c r="L4058" s="33"/>
      <c r="Y4058" s="3"/>
      <c r="Z4058" s="3"/>
      <c r="AA4058" s="4"/>
    </row>
    <row r="4059" spans="1:27" ht="16" x14ac:dyDescent="0.2">
      <c r="A4059" s="166"/>
      <c r="B4059" s="82"/>
      <c r="C4059" s="70"/>
      <c r="D4059" s="70"/>
      <c r="E4059" s="70"/>
      <c r="F4059" s="70"/>
      <c r="G4059" s="70"/>
      <c r="H4059" s="85"/>
      <c r="I4059" s="85"/>
      <c r="J4059" s="131"/>
      <c r="K4059" s="60"/>
      <c r="M4059" s="48"/>
      <c r="Y4059" s="3"/>
      <c r="Z4059" s="3"/>
      <c r="AA4059" s="4"/>
    </row>
    <row r="4060" spans="1:27" x14ac:dyDescent="0.15">
      <c r="A4060" s="166"/>
      <c r="B4060" s="93"/>
      <c r="C4060" s="70"/>
      <c r="D4060" s="70"/>
      <c r="E4060" s="70"/>
      <c r="F4060" s="70"/>
      <c r="G4060" s="70"/>
      <c r="H4060" s="85"/>
      <c r="I4060" s="85"/>
      <c r="J4060" s="131"/>
      <c r="K4060" s="60"/>
      <c r="L4060" s="33"/>
      <c r="Y4060" s="3"/>
      <c r="Z4060" s="3"/>
      <c r="AA4060" s="4"/>
    </row>
    <row r="4061" spans="1:27" x14ac:dyDescent="0.15">
      <c r="A4061" s="166"/>
      <c r="B4061" s="93"/>
      <c r="C4061" s="73"/>
      <c r="D4061" s="73"/>
      <c r="E4061" s="73"/>
      <c r="F4061" s="73"/>
      <c r="G4061" s="73"/>
      <c r="H4061" s="85"/>
      <c r="I4061" s="85"/>
      <c r="J4061" s="131"/>
      <c r="K4061" s="60"/>
      <c r="L4061" s="33"/>
      <c r="Y4061" s="3"/>
      <c r="Z4061" s="3"/>
      <c r="AA4061" s="4"/>
    </row>
    <row r="4062" spans="1:27" ht="16" x14ac:dyDescent="0.2">
      <c r="A4062" s="166"/>
      <c r="B4062" s="93"/>
      <c r="C4062" s="70"/>
      <c r="D4062" s="70"/>
      <c r="E4062" s="70"/>
      <c r="F4062" s="70"/>
      <c r="G4062" s="70"/>
      <c r="H4062" s="85"/>
      <c r="I4062" s="85"/>
      <c r="J4062" s="131"/>
      <c r="K4062" s="60"/>
      <c r="L4062" s="47"/>
      <c r="Y4062" s="3"/>
      <c r="Z4062" s="3"/>
      <c r="AA4062" s="4"/>
    </row>
    <row r="4063" spans="1:27" x14ac:dyDescent="0.15">
      <c r="A4063" s="166"/>
      <c r="B4063" s="93"/>
      <c r="C4063" s="70"/>
      <c r="D4063" s="70"/>
      <c r="E4063" s="70"/>
      <c r="F4063" s="70"/>
      <c r="G4063" s="70"/>
      <c r="H4063" s="85"/>
      <c r="I4063" s="85"/>
      <c r="J4063" s="131"/>
      <c r="K4063" s="60"/>
      <c r="L4063" s="33"/>
      <c r="Y4063" s="3"/>
      <c r="Z4063" s="3"/>
      <c r="AA4063" s="4"/>
    </row>
    <row r="4064" spans="1:27" x14ac:dyDescent="0.15">
      <c r="A4064" s="166"/>
      <c r="B4064" s="93"/>
      <c r="C4064" s="73"/>
      <c r="D4064" s="73"/>
      <c r="E4064" s="70"/>
      <c r="F4064" s="73"/>
      <c r="G4064" s="73"/>
      <c r="H4064" s="85"/>
      <c r="I4064" s="95"/>
      <c r="J4064" s="131"/>
      <c r="K4064" s="60"/>
      <c r="L4064" s="33"/>
      <c r="Y4064" s="3"/>
      <c r="Z4064" s="3"/>
      <c r="AA4064" s="4"/>
    </row>
    <row r="4065" spans="1:27" x14ac:dyDescent="0.15">
      <c r="A4065" s="166"/>
      <c r="B4065" s="82"/>
      <c r="C4065" s="73"/>
      <c r="D4065" s="73"/>
      <c r="E4065" s="70"/>
      <c r="F4065" s="73"/>
      <c r="G4065" s="73"/>
      <c r="H4065" s="85"/>
      <c r="I4065" s="95"/>
      <c r="J4065" s="131"/>
      <c r="K4065" s="60"/>
      <c r="L4065" s="33"/>
      <c r="Y4065" s="3"/>
      <c r="Z4065" s="3"/>
      <c r="AA4065" s="4"/>
    </row>
    <row r="4066" spans="1:27" x14ac:dyDescent="0.15">
      <c r="A4066" s="166"/>
      <c r="B4066" s="82"/>
      <c r="C4066" s="70"/>
      <c r="D4066" s="70"/>
      <c r="E4066" s="70"/>
      <c r="F4066" s="70"/>
      <c r="G4066" s="70"/>
      <c r="H4066" s="85"/>
      <c r="I4066" s="85"/>
      <c r="J4066" s="131"/>
      <c r="K4066" s="60"/>
      <c r="L4066" s="33"/>
      <c r="Y4066" s="3"/>
      <c r="Z4066" s="3"/>
      <c r="AA4066" s="4"/>
    </row>
    <row r="4067" spans="1:27" x14ac:dyDescent="0.15">
      <c r="A4067" s="166"/>
      <c r="B4067" s="82"/>
      <c r="C4067" s="70"/>
      <c r="D4067" s="70"/>
      <c r="E4067" s="70"/>
      <c r="F4067" s="70"/>
      <c r="G4067" s="70"/>
      <c r="H4067" s="85"/>
      <c r="I4067" s="85"/>
      <c r="J4067" s="131"/>
      <c r="K4067" s="60"/>
      <c r="L4067" s="33"/>
      <c r="Y4067" s="3"/>
      <c r="Z4067" s="3"/>
      <c r="AA4067" s="4"/>
    </row>
    <row r="4068" spans="1:27" x14ac:dyDescent="0.15">
      <c r="A4068" s="166"/>
      <c r="B4068" s="82"/>
      <c r="C4068" s="70"/>
      <c r="D4068" s="70"/>
      <c r="E4068" s="70"/>
      <c r="F4068" s="70"/>
      <c r="G4068" s="70"/>
      <c r="H4068" s="85"/>
      <c r="I4068" s="85"/>
      <c r="J4068" s="131"/>
      <c r="K4068" s="60"/>
      <c r="Y4068" s="3"/>
      <c r="Z4068" s="3"/>
      <c r="AA4068" s="4"/>
    </row>
    <row r="4069" spans="1:27" x14ac:dyDescent="0.15">
      <c r="A4069" s="166"/>
      <c r="B4069" s="82"/>
      <c r="C4069" s="70"/>
      <c r="D4069" s="70"/>
      <c r="E4069" s="70"/>
      <c r="F4069" s="70"/>
      <c r="G4069" s="70"/>
      <c r="H4069" s="85"/>
      <c r="I4069" s="85"/>
      <c r="J4069" s="131"/>
      <c r="K4069" s="60"/>
      <c r="Y4069" s="3"/>
      <c r="Z4069" s="3"/>
      <c r="AA4069" s="4"/>
    </row>
    <row r="4070" spans="1:27" x14ac:dyDescent="0.15">
      <c r="A4070" s="166"/>
      <c r="B4070" s="82"/>
      <c r="C4070" s="70"/>
      <c r="D4070" s="70"/>
      <c r="E4070" s="70"/>
      <c r="F4070" s="70"/>
      <c r="G4070" s="70"/>
      <c r="H4070" s="85"/>
      <c r="I4070" s="85"/>
      <c r="J4070" s="131"/>
      <c r="K4070" s="60"/>
      <c r="L4070" s="33"/>
      <c r="Y4070" s="3"/>
      <c r="Z4070" s="3"/>
      <c r="AA4070" s="4"/>
    </row>
    <row r="4071" spans="1:27" x14ac:dyDescent="0.15">
      <c r="A4071" s="166"/>
      <c r="B4071" s="82"/>
      <c r="C4071" s="70"/>
      <c r="D4071" s="70"/>
      <c r="E4071" s="70"/>
      <c r="F4071" s="70"/>
      <c r="G4071" s="70"/>
      <c r="H4071" s="85"/>
      <c r="I4071" s="85"/>
      <c r="J4071" s="131"/>
      <c r="K4071" s="60"/>
      <c r="Y4071" s="3"/>
      <c r="Z4071" s="3"/>
      <c r="AA4071" s="4"/>
    </row>
    <row r="4072" spans="1:27" x14ac:dyDescent="0.15">
      <c r="A4072" s="166"/>
      <c r="B4072" s="82"/>
      <c r="C4072" s="70"/>
      <c r="D4072" s="70"/>
      <c r="E4072" s="70"/>
      <c r="F4072" s="70"/>
      <c r="G4072" s="70"/>
      <c r="H4072" s="85"/>
      <c r="I4072" s="85"/>
      <c r="J4072" s="131"/>
      <c r="K4072" s="60"/>
      <c r="Y4072" s="3"/>
      <c r="Z4072" s="3"/>
      <c r="AA4072" s="4"/>
    </row>
    <row r="4073" spans="1:27" x14ac:dyDescent="0.15">
      <c r="A4073" s="166"/>
      <c r="B4073" s="82"/>
      <c r="C4073" s="70"/>
      <c r="D4073" s="70"/>
      <c r="E4073" s="70"/>
      <c r="F4073" s="70"/>
      <c r="G4073" s="70"/>
      <c r="H4073" s="85"/>
      <c r="I4073" s="85"/>
      <c r="J4073" s="131"/>
      <c r="K4073" s="60"/>
      <c r="Y4073" s="3"/>
      <c r="Z4073" s="3"/>
      <c r="AA4073" s="4"/>
    </row>
    <row r="4074" spans="1:27" ht="16" x14ac:dyDescent="0.2">
      <c r="A4074" s="166"/>
      <c r="B4074" s="93"/>
      <c r="C4074" s="70"/>
      <c r="D4074" s="70"/>
      <c r="E4074" s="73"/>
      <c r="F4074" s="70"/>
      <c r="G4074" s="70"/>
      <c r="H4074" s="85"/>
      <c r="I4074" s="85"/>
      <c r="J4074" s="131"/>
      <c r="K4074" s="60"/>
      <c r="M4074" s="48"/>
      <c r="Y4074" s="3"/>
      <c r="Z4074" s="3"/>
      <c r="AA4074" s="4"/>
    </row>
    <row r="4075" spans="1:27" x14ac:dyDescent="0.15">
      <c r="A4075" s="166"/>
      <c r="B4075" s="93"/>
      <c r="C4075" s="70"/>
      <c r="D4075" s="70"/>
      <c r="E4075" s="70"/>
      <c r="F4075" s="70"/>
      <c r="G4075" s="70"/>
      <c r="H4075" s="85"/>
      <c r="I4075" s="85"/>
      <c r="J4075" s="131"/>
      <c r="K4075" s="60"/>
      <c r="L4075" s="33"/>
      <c r="Y4075" s="3"/>
      <c r="Z4075" s="3"/>
      <c r="AA4075" s="4"/>
    </row>
    <row r="4076" spans="1:27" x14ac:dyDescent="0.15">
      <c r="A4076" s="166"/>
      <c r="B4076" s="82"/>
      <c r="C4076" s="70"/>
      <c r="D4076" s="70"/>
      <c r="E4076" s="70"/>
      <c r="F4076" s="70"/>
      <c r="G4076" s="70"/>
      <c r="H4076" s="85"/>
      <c r="I4076" s="85"/>
      <c r="J4076" s="131"/>
      <c r="K4076" s="60"/>
      <c r="L4076" s="33"/>
      <c r="Y4076" s="3"/>
      <c r="Z4076" s="3"/>
      <c r="AA4076" s="4"/>
    </row>
    <row r="4077" spans="1:27" ht="16" x14ac:dyDescent="0.2">
      <c r="A4077" s="166"/>
      <c r="B4077" s="82"/>
      <c r="C4077" s="70"/>
      <c r="D4077" s="70"/>
      <c r="E4077" s="70"/>
      <c r="F4077" s="70"/>
      <c r="G4077" s="70"/>
      <c r="H4077" s="85"/>
      <c r="I4077" s="85"/>
      <c r="J4077" s="131"/>
      <c r="K4077" s="60"/>
      <c r="M4077" s="48"/>
      <c r="Y4077" s="3"/>
      <c r="Z4077" s="3"/>
      <c r="AA4077" s="4"/>
    </row>
    <row r="4078" spans="1:27" x14ac:dyDescent="0.15">
      <c r="A4078" s="166"/>
      <c r="B4078" s="82"/>
      <c r="C4078" s="70"/>
      <c r="D4078" s="70"/>
      <c r="E4078" s="70"/>
      <c r="F4078" s="70"/>
      <c r="G4078" s="70"/>
      <c r="H4078" s="85"/>
      <c r="I4078" s="85"/>
      <c r="J4078" s="131"/>
      <c r="K4078" s="60"/>
      <c r="L4078" s="33"/>
      <c r="Y4078" s="3"/>
      <c r="Z4078" s="3"/>
      <c r="AA4078" s="4"/>
    </row>
    <row r="4079" spans="1:27" x14ac:dyDescent="0.15">
      <c r="A4079" s="70"/>
      <c r="B4079" s="93"/>
      <c r="C4079" s="70"/>
      <c r="D4079" s="70"/>
      <c r="E4079" s="70"/>
      <c r="F4079" s="70"/>
      <c r="G4079" s="70"/>
      <c r="H4079" s="85"/>
      <c r="I4079" s="85"/>
      <c r="J4079" s="131"/>
      <c r="K4079" s="60"/>
      <c r="L4079" s="33"/>
      <c r="Y4079" s="3"/>
      <c r="Z4079" s="3"/>
      <c r="AA4079" s="4"/>
    </row>
    <row r="4080" spans="1:27" x14ac:dyDescent="0.15">
      <c r="A4080" s="70"/>
      <c r="B4080" s="82"/>
      <c r="C4080" s="70"/>
      <c r="D4080" s="70"/>
      <c r="E4080" s="70"/>
      <c r="F4080" s="70"/>
      <c r="G4080" s="70"/>
      <c r="H4080" s="85"/>
      <c r="I4080" s="85"/>
      <c r="J4080" s="131"/>
      <c r="K4080" s="60"/>
      <c r="L4080" s="33"/>
      <c r="Y4080" s="3"/>
      <c r="Z4080" s="3"/>
      <c r="AA4080" s="4"/>
    </row>
    <row r="4081" spans="1:27" ht="16" x14ac:dyDescent="0.2">
      <c r="A4081" s="70"/>
      <c r="B4081" s="82"/>
      <c r="C4081" s="70"/>
      <c r="D4081" s="70"/>
      <c r="E4081" s="70"/>
      <c r="F4081" s="70"/>
      <c r="G4081" s="70"/>
      <c r="H4081" s="85"/>
      <c r="I4081" s="85"/>
      <c r="J4081" s="131"/>
      <c r="K4081" s="60"/>
      <c r="M4081" s="48"/>
      <c r="Y4081" s="3"/>
      <c r="Z4081" s="3"/>
      <c r="AA4081" s="4"/>
    </row>
    <row r="4082" spans="1:27" ht="16" x14ac:dyDescent="0.2">
      <c r="A4082" s="70"/>
      <c r="B4082" s="93"/>
      <c r="C4082" s="70"/>
      <c r="D4082" s="70"/>
      <c r="E4082" s="70"/>
      <c r="F4082" s="70"/>
      <c r="G4082" s="70"/>
      <c r="H4082" s="85"/>
      <c r="I4082" s="85"/>
      <c r="J4082" s="131"/>
      <c r="K4082" s="60"/>
      <c r="L4082" s="47"/>
      <c r="Y4082" s="3"/>
      <c r="Z4082" s="3"/>
      <c r="AA4082" s="4"/>
    </row>
    <row r="4083" spans="1:27" x14ac:dyDescent="0.15">
      <c r="A4083" s="70"/>
      <c r="B4083" s="93"/>
      <c r="C4083" s="70"/>
      <c r="D4083" s="70"/>
      <c r="E4083" s="70"/>
      <c r="F4083" s="70"/>
      <c r="G4083" s="70"/>
      <c r="H4083" s="85"/>
      <c r="I4083" s="85"/>
      <c r="J4083" s="131"/>
      <c r="K4083" s="60"/>
      <c r="L4083" s="33"/>
      <c r="Y4083" s="3"/>
      <c r="Z4083" s="3"/>
      <c r="AA4083" s="4"/>
    </row>
    <row r="4084" spans="1:27" x14ac:dyDescent="0.15">
      <c r="A4084" s="70"/>
      <c r="B4084" s="93"/>
      <c r="C4084" s="70"/>
      <c r="D4084" s="70"/>
      <c r="E4084" s="70"/>
      <c r="F4084" s="70"/>
      <c r="G4084" s="70"/>
      <c r="H4084" s="85"/>
      <c r="I4084" s="85"/>
      <c r="J4084" s="131"/>
      <c r="K4084" s="60"/>
      <c r="L4084" s="33"/>
      <c r="Y4084" s="3"/>
      <c r="Z4084" s="3"/>
      <c r="AA4084" s="4"/>
    </row>
    <row r="4085" spans="1:27" x14ac:dyDescent="0.15">
      <c r="A4085" s="70"/>
      <c r="B4085" s="93"/>
      <c r="C4085" s="70"/>
      <c r="D4085" s="70"/>
      <c r="E4085" s="70"/>
      <c r="F4085" s="70"/>
      <c r="G4085" s="70"/>
      <c r="H4085" s="85"/>
      <c r="I4085" s="85"/>
      <c r="J4085" s="148"/>
      <c r="K4085" s="60"/>
      <c r="L4085" s="33"/>
      <c r="Y4085" s="3"/>
      <c r="Z4085" s="3"/>
      <c r="AA4085" s="4"/>
    </row>
    <row r="4086" spans="1:27" x14ac:dyDescent="0.15">
      <c r="A4086" s="70"/>
      <c r="B4086" s="93"/>
      <c r="C4086" s="70"/>
      <c r="D4086" s="70"/>
      <c r="E4086" s="70"/>
      <c r="F4086" s="70"/>
      <c r="G4086" s="70"/>
      <c r="H4086" s="85"/>
      <c r="I4086" s="85"/>
      <c r="J4086" s="131"/>
      <c r="K4086" s="60"/>
      <c r="L4086" s="33"/>
      <c r="Y4086" s="3"/>
      <c r="Z4086" s="3"/>
      <c r="AA4086" s="4"/>
    </row>
    <row r="4087" spans="1:27" x14ac:dyDescent="0.15">
      <c r="A4087" s="83"/>
      <c r="B4087" s="82"/>
      <c r="C4087" s="70"/>
      <c r="D4087" s="70"/>
      <c r="E4087" s="70"/>
      <c r="F4087" s="70"/>
      <c r="G4087" s="70"/>
      <c r="H4087" s="85"/>
      <c r="I4087" s="85"/>
      <c r="J4087" s="131"/>
      <c r="K4087" s="60"/>
      <c r="L4087" s="33"/>
      <c r="Y4087" s="3"/>
      <c r="Z4087" s="3"/>
      <c r="AA4087" s="4"/>
    </row>
    <row r="4088" spans="1:27" x14ac:dyDescent="0.15">
      <c r="A4088" s="70"/>
      <c r="B4088" s="93"/>
      <c r="C4088" s="70"/>
      <c r="D4088" s="70"/>
      <c r="E4088" s="70"/>
      <c r="F4088" s="70"/>
      <c r="G4088" s="70"/>
      <c r="H4088" s="85"/>
      <c r="I4088" s="85"/>
      <c r="J4088" s="131"/>
      <c r="K4088" s="60"/>
      <c r="L4088" s="33"/>
      <c r="Y4088" s="3"/>
      <c r="Z4088" s="3"/>
      <c r="AA4088" s="4"/>
    </row>
    <row r="4089" spans="1:27" x14ac:dyDescent="0.15">
      <c r="A4089" s="70"/>
      <c r="B4089" s="93"/>
      <c r="C4089" s="70"/>
      <c r="D4089" s="70"/>
      <c r="E4089" s="70"/>
      <c r="F4089" s="70"/>
      <c r="G4089" s="70"/>
      <c r="H4089" s="85"/>
      <c r="I4089" s="85"/>
      <c r="J4089" s="131"/>
      <c r="K4089" s="60"/>
      <c r="L4089" s="33"/>
      <c r="Y4089" s="3"/>
      <c r="Z4089" s="3"/>
      <c r="AA4089" s="4"/>
    </row>
    <row r="4090" spans="1:27" ht="16" x14ac:dyDescent="0.2">
      <c r="A4090" s="70"/>
      <c r="B4090" s="82"/>
      <c r="C4090" s="70"/>
      <c r="D4090" s="70"/>
      <c r="E4090" s="70"/>
      <c r="F4090" s="70"/>
      <c r="G4090" s="70"/>
      <c r="H4090" s="85"/>
      <c r="I4090" s="85"/>
      <c r="J4090" s="148"/>
      <c r="K4090" s="60"/>
      <c r="L4090" s="47"/>
      <c r="Y4090" s="3"/>
      <c r="Z4090" s="3"/>
      <c r="AA4090" s="4"/>
    </row>
    <row r="4091" spans="1:27" ht="16" x14ac:dyDescent="0.2">
      <c r="A4091" s="70"/>
      <c r="B4091" s="93"/>
      <c r="C4091" s="70"/>
      <c r="D4091" s="70"/>
      <c r="E4091" s="73"/>
      <c r="F4091" s="70"/>
      <c r="G4091" s="70"/>
      <c r="H4091" s="85"/>
      <c r="I4091" s="85"/>
      <c r="J4091" s="131"/>
      <c r="K4091" s="60"/>
      <c r="L4091" s="47"/>
      <c r="Y4091" s="3"/>
      <c r="Z4091" s="3"/>
      <c r="AA4091" s="4"/>
    </row>
    <row r="4092" spans="1:27" x14ac:dyDescent="0.15">
      <c r="A4092" s="70"/>
      <c r="B4092" s="82"/>
      <c r="C4092" s="70"/>
      <c r="D4092" s="70"/>
      <c r="E4092" s="70"/>
      <c r="F4092" s="70"/>
      <c r="G4092" s="70"/>
      <c r="H4092" s="85"/>
      <c r="I4092" s="85"/>
      <c r="J4092" s="131"/>
      <c r="K4092" s="60"/>
      <c r="M4092" s="35"/>
      <c r="Y4092" s="3"/>
      <c r="Z4092" s="3"/>
      <c r="AA4092" s="4"/>
    </row>
    <row r="4093" spans="1:27" x14ac:dyDescent="0.15">
      <c r="A4093" s="70"/>
      <c r="B4093" s="93"/>
      <c r="C4093" s="73"/>
      <c r="D4093" s="73"/>
      <c r="E4093" s="73"/>
      <c r="F4093" s="73"/>
      <c r="G4093" s="73"/>
      <c r="H4093" s="85"/>
      <c r="I4093" s="85"/>
      <c r="J4093" s="131"/>
      <c r="K4093" s="60"/>
      <c r="L4093" s="33"/>
      <c r="Y4093" s="3"/>
      <c r="Z4093" s="3"/>
      <c r="AA4093" s="4"/>
    </row>
    <row r="4094" spans="1:27" x14ac:dyDescent="0.15">
      <c r="A4094" s="70"/>
      <c r="B4094" s="82"/>
      <c r="C4094" s="70"/>
      <c r="D4094" s="70"/>
      <c r="E4094" s="70"/>
      <c r="F4094" s="70"/>
      <c r="G4094" s="70"/>
      <c r="H4094" s="85"/>
      <c r="I4094" s="85"/>
      <c r="J4094" s="131"/>
      <c r="K4094" s="60"/>
      <c r="Y4094" s="3"/>
      <c r="Z4094" s="3"/>
      <c r="AA4094" s="4"/>
    </row>
    <row r="4095" spans="1:27" x14ac:dyDescent="0.15">
      <c r="A4095" s="70"/>
      <c r="B4095" s="93"/>
      <c r="C4095" s="70"/>
      <c r="D4095" s="70"/>
      <c r="E4095" s="70"/>
      <c r="F4095" s="70"/>
      <c r="G4095" s="70"/>
      <c r="H4095" s="85"/>
      <c r="I4095" s="85"/>
      <c r="J4095" s="131"/>
      <c r="K4095" s="60"/>
      <c r="L4095" s="33"/>
      <c r="Y4095" s="3"/>
      <c r="Z4095" s="3"/>
      <c r="AA4095" s="4"/>
    </row>
    <row r="4096" spans="1:27" x14ac:dyDescent="0.15">
      <c r="A4096" s="70"/>
      <c r="B4096" s="82"/>
      <c r="C4096" s="70"/>
      <c r="D4096" s="70"/>
      <c r="E4096" s="70"/>
      <c r="F4096" s="70"/>
      <c r="G4096" s="70"/>
      <c r="H4096" s="85"/>
      <c r="I4096" s="85"/>
      <c r="J4096" s="131"/>
      <c r="K4096" s="60"/>
      <c r="L4096" s="33"/>
      <c r="M4096" s="32"/>
      <c r="Y4096" s="3"/>
      <c r="Z4096" s="3"/>
      <c r="AA4096" s="4"/>
    </row>
    <row r="4097" spans="1:27" x14ac:dyDescent="0.15">
      <c r="A4097" s="62"/>
      <c r="B4097" s="115"/>
      <c r="C4097" s="61"/>
      <c r="D4097" s="61"/>
      <c r="E4097" s="61"/>
      <c r="F4097" s="61"/>
      <c r="G4097" s="61"/>
      <c r="H4097" s="103"/>
      <c r="I4097" s="103"/>
      <c r="J4097" s="141"/>
      <c r="K4097" s="67"/>
      <c r="L4097" s="35"/>
      <c r="M4097" s="35"/>
      <c r="N4097" s="35"/>
      <c r="Y4097" s="3"/>
      <c r="Z4097" s="3"/>
      <c r="AA4097" s="4"/>
    </row>
    <row r="4098" spans="1:27" x14ac:dyDescent="0.15">
      <c r="A4098" s="70"/>
      <c r="B4098" s="93"/>
      <c r="C4098" s="70"/>
      <c r="D4098" s="70"/>
      <c r="E4098" s="70"/>
      <c r="F4098" s="70"/>
      <c r="G4098" s="70"/>
      <c r="H4098" s="85"/>
      <c r="I4098" s="85"/>
      <c r="J4098" s="131"/>
      <c r="K4098" s="60"/>
      <c r="L4098" s="33"/>
      <c r="Y4098" s="3"/>
      <c r="Z4098" s="3"/>
      <c r="AA4098" s="4"/>
    </row>
    <row r="4099" spans="1:27" x14ac:dyDescent="0.15">
      <c r="A4099" s="70"/>
      <c r="B4099" s="93"/>
      <c r="C4099" s="73"/>
      <c r="D4099" s="73"/>
      <c r="E4099" s="73"/>
      <c r="F4099" s="73"/>
      <c r="G4099" s="73"/>
      <c r="H4099" s="85"/>
      <c r="I4099" s="85"/>
      <c r="J4099" s="131"/>
      <c r="K4099" s="60"/>
      <c r="L4099" s="33"/>
      <c r="Y4099" s="3"/>
      <c r="Z4099" s="3"/>
      <c r="AA4099" s="4"/>
    </row>
    <row r="4100" spans="1:27" x14ac:dyDescent="0.15">
      <c r="A4100" s="70"/>
      <c r="B4100" s="93"/>
      <c r="C4100" s="70"/>
      <c r="D4100" s="70"/>
      <c r="E4100" s="70"/>
      <c r="F4100" s="70"/>
      <c r="G4100" s="70"/>
      <c r="H4100" s="85"/>
      <c r="I4100" s="85"/>
      <c r="J4100" s="131"/>
      <c r="K4100" s="60"/>
      <c r="L4100" s="33"/>
      <c r="Y4100" s="3"/>
      <c r="Z4100" s="3"/>
      <c r="AA4100" s="4"/>
    </row>
    <row r="4101" spans="1:27" x14ac:dyDescent="0.15">
      <c r="A4101" s="70"/>
      <c r="B4101" s="82"/>
      <c r="C4101" s="70"/>
      <c r="D4101" s="70"/>
      <c r="E4101" s="70"/>
      <c r="F4101" s="70"/>
      <c r="G4101" s="70"/>
      <c r="H4101" s="85"/>
      <c r="I4101" s="85"/>
      <c r="J4101" s="131"/>
      <c r="K4101" s="60"/>
      <c r="L4101" s="33"/>
      <c r="Y4101" s="3"/>
      <c r="Z4101" s="3"/>
      <c r="AA4101" s="4"/>
    </row>
    <row r="4102" spans="1:27" x14ac:dyDescent="0.15">
      <c r="A4102" s="70"/>
      <c r="B4102" s="93"/>
      <c r="C4102" s="73"/>
      <c r="D4102" s="73"/>
      <c r="E4102" s="73"/>
      <c r="F4102" s="73"/>
      <c r="G4102" s="73"/>
      <c r="H4102" s="85"/>
      <c r="I4102" s="95"/>
      <c r="J4102" s="131"/>
      <c r="K4102" s="60"/>
      <c r="L4102" s="33"/>
      <c r="Y4102" s="3"/>
      <c r="Z4102" s="3"/>
      <c r="AA4102" s="4"/>
    </row>
    <row r="4103" spans="1:27" x14ac:dyDescent="0.15">
      <c r="A4103" s="70"/>
      <c r="B4103" s="93"/>
      <c r="C4103" s="70"/>
      <c r="D4103" s="70"/>
      <c r="E4103" s="70"/>
      <c r="F4103" s="70"/>
      <c r="G4103" s="70"/>
      <c r="H4103" s="85"/>
      <c r="I4103" s="85"/>
      <c r="J4103" s="131"/>
      <c r="K4103" s="60"/>
      <c r="L4103" s="33"/>
      <c r="Y4103" s="3"/>
      <c r="Z4103" s="3"/>
      <c r="AA4103" s="4"/>
    </row>
    <row r="4104" spans="1:27" x14ac:dyDescent="0.15">
      <c r="A4104" s="70"/>
      <c r="B4104" s="93"/>
      <c r="C4104" s="70"/>
      <c r="D4104" s="70"/>
      <c r="E4104" s="70"/>
      <c r="F4104" s="70"/>
      <c r="G4104" s="70"/>
      <c r="H4104" s="85"/>
      <c r="I4104" s="85"/>
      <c r="J4104" s="131"/>
      <c r="K4104" s="60"/>
      <c r="L4104" s="33"/>
      <c r="Y4104" s="3"/>
      <c r="Z4104" s="3"/>
      <c r="AA4104" s="4"/>
    </row>
    <row r="4105" spans="1:27" ht="16" x14ac:dyDescent="0.2">
      <c r="A4105" s="70"/>
      <c r="B4105" s="93"/>
      <c r="C4105" s="70"/>
      <c r="D4105" s="70"/>
      <c r="E4105" s="70"/>
      <c r="F4105" s="70"/>
      <c r="G4105" s="70"/>
      <c r="H4105" s="85"/>
      <c r="I4105" s="85"/>
      <c r="J4105" s="131"/>
      <c r="K4105" s="60"/>
      <c r="L4105" s="47"/>
      <c r="Y4105" s="3"/>
      <c r="Z4105" s="3"/>
      <c r="AA4105" s="4"/>
    </row>
    <row r="4106" spans="1:27" x14ac:dyDescent="0.15">
      <c r="A4106" s="70"/>
      <c r="B4106" s="93"/>
      <c r="C4106" s="70"/>
      <c r="D4106" s="70"/>
      <c r="E4106" s="70"/>
      <c r="F4106" s="70"/>
      <c r="G4106" s="70"/>
      <c r="H4106" s="85"/>
      <c r="I4106" s="85"/>
      <c r="J4106" s="131"/>
      <c r="K4106" s="60"/>
      <c r="L4106" s="33"/>
      <c r="Y4106" s="3"/>
      <c r="Z4106" s="3"/>
      <c r="AA4106" s="4"/>
    </row>
    <row r="4107" spans="1:27" x14ac:dyDescent="0.15">
      <c r="A4107" s="70"/>
      <c r="B4107" s="82"/>
      <c r="C4107" s="73"/>
      <c r="D4107" s="73"/>
      <c r="E4107" s="73"/>
      <c r="F4107" s="73"/>
      <c r="G4107" s="73"/>
      <c r="H4107" s="85"/>
      <c r="I4107" s="85"/>
      <c r="J4107" s="131"/>
      <c r="K4107" s="60"/>
      <c r="L4107" s="33"/>
      <c r="P4107" s="6"/>
      <c r="Q4107" s="6"/>
      <c r="Y4107" s="3"/>
      <c r="Z4107" s="3"/>
      <c r="AA4107" s="4"/>
    </row>
    <row r="4108" spans="1:27" x14ac:dyDescent="0.15">
      <c r="A4108" s="70"/>
      <c r="B4108" s="93"/>
      <c r="C4108" s="70"/>
      <c r="D4108" s="70"/>
      <c r="E4108" s="70"/>
      <c r="F4108" s="70"/>
      <c r="G4108" s="70"/>
      <c r="H4108" s="85"/>
      <c r="I4108" s="85"/>
      <c r="J4108" s="131"/>
      <c r="K4108" s="60"/>
      <c r="L4108" s="33"/>
      <c r="P4108" s="6"/>
      <c r="Q4108" s="6"/>
      <c r="Y4108" s="3"/>
      <c r="Z4108" s="3"/>
      <c r="AA4108" s="4"/>
    </row>
    <row r="4109" spans="1:27" x14ac:dyDescent="0.15">
      <c r="A4109" s="70"/>
      <c r="B4109" s="93"/>
      <c r="C4109" s="70"/>
      <c r="D4109" s="70"/>
      <c r="E4109" s="70"/>
      <c r="F4109" s="70"/>
      <c r="G4109" s="70"/>
      <c r="H4109" s="85"/>
      <c r="I4109" s="85"/>
      <c r="J4109" s="131"/>
      <c r="K4109" s="60"/>
      <c r="L4109" s="33"/>
      <c r="P4109" s="6"/>
      <c r="Q4109" s="6"/>
      <c r="Y4109" s="3"/>
      <c r="Z4109" s="3"/>
      <c r="AA4109" s="4"/>
    </row>
    <row r="4110" spans="1:27" x14ac:dyDescent="0.15">
      <c r="A4110" s="70"/>
      <c r="B4110" s="93"/>
      <c r="C4110" s="73"/>
      <c r="D4110" s="73"/>
      <c r="E4110" s="73"/>
      <c r="F4110" s="73"/>
      <c r="G4110" s="73"/>
      <c r="H4110" s="85"/>
      <c r="I4110" s="95"/>
      <c r="J4110" s="131"/>
      <c r="K4110" s="60"/>
      <c r="L4110" s="33"/>
      <c r="P4110" s="6"/>
      <c r="Q4110" s="6"/>
      <c r="Y4110" s="3"/>
      <c r="Z4110" s="3"/>
      <c r="AA4110" s="4"/>
    </row>
    <row r="4111" spans="1:27" x14ac:dyDescent="0.15">
      <c r="A4111" s="70"/>
      <c r="B4111" s="93"/>
      <c r="C4111" s="70"/>
      <c r="D4111" s="70"/>
      <c r="E4111" s="73"/>
      <c r="F4111" s="70"/>
      <c r="G4111" s="70"/>
      <c r="H4111" s="85"/>
      <c r="I4111" s="85"/>
      <c r="J4111" s="131"/>
      <c r="K4111" s="60"/>
      <c r="L4111" s="33"/>
      <c r="P4111" s="6"/>
      <c r="Q4111" s="6"/>
      <c r="Y4111" s="3"/>
      <c r="Z4111" s="3"/>
      <c r="AA4111" s="4"/>
    </row>
    <row r="4112" spans="1:27" x14ac:dyDescent="0.15">
      <c r="A4112" s="70"/>
      <c r="B4112" s="82"/>
      <c r="C4112" s="70"/>
      <c r="D4112" s="70"/>
      <c r="E4112" s="70"/>
      <c r="F4112" s="70"/>
      <c r="G4112" s="70"/>
      <c r="H4112" s="85"/>
      <c r="I4112" s="85"/>
      <c r="J4112" s="131"/>
      <c r="K4112" s="60"/>
      <c r="P4112" s="6"/>
      <c r="Q4112" s="6"/>
      <c r="Y4112" s="3"/>
      <c r="Z4112" s="3"/>
      <c r="AA4112" s="4"/>
    </row>
    <row r="4113" spans="1:27" x14ac:dyDescent="0.15">
      <c r="A4113" s="70"/>
      <c r="B4113" s="82"/>
      <c r="C4113" s="70"/>
      <c r="D4113" s="70"/>
      <c r="E4113" s="70"/>
      <c r="F4113" s="70"/>
      <c r="G4113" s="70"/>
      <c r="H4113" s="85"/>
      <c r="I4113" s="85"/>
      <c r="J4113" s="131"/>
      <c r="K4113" s="60"/>
      <c r="P4113" s="6"/>
      <c r="Q4113" s="6"/>
      <c r="Y4113" s="3"/>
      <c r="Z4113" s="3"/>
      <c r="AA4113" s="4"/>
    </row>
    <row r="4114" spans="1:27" x14ac:dyDescent="0.15">
      <c r="A4114" s="70"/>
      <c r="B4114" s="93"/>
      <c r="C4114" s="70"/>
      <c r="D4114" s="70"/>
      <c r="E4114" s="70"/>
      <c r="F4114" s="70"/>
      <c r="G4114" s="70"/>
      <c r="H4114" s="85"/>
      <c r="I4114" s="85"/>
      <c r="J4114" s="131"/>
      <c r="K4114" s="60"/>
      <c r="L4114" s="33"/>
      <c r="P4114" s="6"/>
      <c r="Q4114" s="6"/>
      <c r="Y4114" s="3"/>
      <c r="Z4114" s="3"/>
      <c r="AA4114" s="4"/>
    </row>
    <row r="4115" spans="1:27" x14ac:dyDescent="0.15">
      <c r="A4115" s="70"/>
      <c r="B4115" s="93"/>
      <c r="C4115" s="70"/>
      <c r="D4115" s="70"/>
      <c r="E4115" s="70"/>
      <c r="F4115" s="70"/>
      <c r="G4115" s="70"/>
      <c r="H4115" s="85"/>
      <c r="I4115" s="85"/>
      <c r="J4115" s="131"/>
      <c r="K4115" s="60"/>
      <c r="L4115" s="33"/>
      <c r="P4115" s="6"/>
      <c r="Q4115" s="6"/>
      <c r="Y4115" s="3"/>
      <c r="Z4115" s="3"/>
      <c r="AA4115" s="4"/>
    </row>
    <row r="4116" spans="1:27" x14ac:dyDescent="0.15">
      <c r="A4116" s="70"/>
      <c r="B4116" s="93"/>
      <c r="C4116" s="70"/>
      <c r="D4116" s="70"/>
      <c r="E4116" s="70"/>
      <c r="F4116" s="70"/>
      <c r="G4116" s="70"/>
      <c r="H4116" s="85"/>
      <c r="I4116" s="85"/>
      <c r="J4116" s="131"/>
      <c r="K4116" s="60"/>
      <c r="L4116" s="33"/>
      <c r="P4116" s="2"/>
      <c r="Q4116" s="2"/>
      <c r="Y4116" s="3"/>
      <c r="Z4116" s="3"/>
      <c r="AA4116" s="4"/>
    </row>
    <row r="4117" spans="1:27" ht="16" x14ac:dyDescent="0.2">
      <c r="A4117" s="70"/>
      <c r="B4117" s="93"/>
      <c r="C4117" s="70"/>
      <c r="D4117" s="70"/>
      <c r="E4117" s="70"/>
      <c r="F4117" s="70"/>
      <c r="G4117" s="70"/>
      <c r="H4117" s="85"/>
      <c r="I4117" s="85"/>
      <c r="J4117" s="131"/>
      <c r="K4117" s="70"/>
      <c r="L4117" s="47"/>
      <c r="P4117"/>
      <c r="Q4117"/>
      <c r="Y4117" s="3"/>
      <c r="Z4117" s="3"/>
      <c r="AA4117" s="4"/>
    </row>
    <row r="4118" spans="1:27" x14ac:dyDescent="0.15">
      <c r="A4118" s="70"/>
      <c r="B4118" s="82"/>
      <c r="C4118" s="70"/>
      <c r="D4118" s="70"/>
      <c r="E4118" s="70"/>
      <c r="F4118" s="70"/>
      <c r="G4118" s="70"/>
      <c r="H4118" s="85"/>
      <c r="I4118" s="85"/>
      <c r="J4118" s="131"/>
      <c r="K4118" s="60"/>
      <c r="Y4118" s="3"/>
      <c r="Z4118" s="3"/>
      <c r="AA4118" s="4"/>
    </row>
    <row r="4119" spans="1:27" ht="16" x14ac:dyDescent="0.2">
      <c r="A4119" s="70"/>
      <c r="B4119" s="93"/>
      <c r="C4119" s="70"/>
      <c r="D4119" s="70"/>
      <c r="E4119" s="70"/>
      <c r="F4119" s="70"/>
      <c r="G4119" s="70"/>
      <c r="H4119" s="85"/>
      <c r="I4119" s="85"/>
      <c r="J4119" s="131"/>
      <c r="K4119" s="60"/>
      <c r="L4119" s="47"/>
      <c r="Y4119" s="3"/>
      <c r="Z4119" s="3"/>
      <c r="AA4119" s="4"/>
    </row>
    <row r="4120" spans="1:27" x14ac:dyDescent="0.15">
      <c r="A4120" s="70"/>
      <c r="B4120" s="93"/>
      <c r="C4120" s="70"/>
      <c r="D4120" s="70"/>
      <c r="E4120" s="70"/>
      <c r="F4120" s="70"/>
      <c r="G4120" s="70"/>
      <c r="H4120" s="85"/>
      <c r="I4120" s="85"/>
      <c r="J4120" s="131"/>
      <c r="K4120" s="60"/>
      <c r="L4120" s="33"/>
      <c r="Y4120" s="3"/>
      <c r="Z4120" s="3"/>
      <c r="AA4120" s="4"/>
    </row>
    <row r="4121" spans="1:27" x14ac:dyDescent="0.15">
      <c r="A4121" s="70"/>
      <c r="B4121" s="93"/>
      <c r="C4121" s="70"/>
      <c r="D4121" s="70"/>
      <c r="E4121" s="73"/>
      <c r="F4121" s="70"/>
      <c r="G4121" s="70"/>
      <c r="H4121" s="85"/>
      <c r="I4121" s="85"/>
      <c r="J4121" s="131"/>
      <c r="K4121" s="60"/>
      <c r="L4121" s="33"/>
      <c r="Y4121" s="3"/>
      <c r="Z4121" s="3"/>
      <c r="AA4121" s="4"/>
    </row>
    <row r="4122" spans="1:27" x14ac:dyDescent="0.15">
      <c r="A4122" s="70"/>
      <c r="B4122" s="93"/>
      <c r="C4122" s="70"/>
      <c r="D4122" s="70"/>
      <c r="E4122" s="70"/>
      <c r="F4122" s="70"/>
      <c r="G4122" s="70"/>
      <c r="H4122" s="85"/>
      <c r="I4122" s="85"/>
      <c r="J4122" s="131"/>
      <c r="K4122" s="70"/>
      <c r="L4122" s="33"/>
      <c r="Y4122" s="3"/>
      <c r="Z4122" s="3"/>
      <c r="AA4122" s="4"/>
    </row>
    <row r="4123" spans="1:27" x14ac:dyDescent="0.15">
      <c r="A4123" s="70"/>
      <c r="B4123" s="93"/>
      <c r="C4123" s="70"/>
      <c r="D4123" s="70"/>
      <c r="E4123" s="70"/>
      <c r="F4123" s="70"/>
      <c r="G4123" s="70"/>
      <c r="H4123" s="85"/>
      <c r="I4123" s="85"/>
      <c r="J4123" s="131"/>
      <c r="K4123" s="60"/>
      <c r="L4123" s="33"/>
      <c r="Y4123" s="3"/>
      <c r="Z4123" s="3"/>
      <c r="AA4123" s="4"/>
    </row>
    <row r="4124" spans="1:27" ht="16" x14ac:dyDescent="0.2">
      <c r="A4124" s="70"/>
      <c r="B4124" s="93"/>
      <c r="C4124" s="73"/>
      <c r="D4124" s="73"/>
      <c r="E4124" s="73"/>
      <c r="F4124" s="73"/>
      <c r="G4124" s="73"/>
      <c r="H4124" s="85"/>
      <c r="I4124" s="95"/>
      <c r="J4124" s="131"/>
      <c r="K4124" s="60"/>
      <c r="L4124" s="47"/>
      <c r="Y4124" s="3"/>
      <c r="Z4124" s="3"/>
      <c r="AA4124" s="4"/>
    </row>
    <row r="4125" spans="1:27" x14ac:dyDescent="0.15">
      <c r="A4125" s="70"/>
      <c r="B4125" s="93"/>
      <c r="C4125" s="70"/>
      <c r="D4125" s="70"/>
      <c r="E4125" s="70"/>
      <c r="F4125" s="70"/>
      <c r="G4125" s="70"/>
      <c r="H4125" s="85"/>
      <c r="I4125" s="85"/>
      <c r="J4125" s="131"/>
      <c r="K4125" s="60"/>
      <c r="L4125" s="33"/>
      <c r="Y4125" s="3"/>
      <c r="Z4125" s="3"/>
      <c r="AA4125" s="4"/>
    </row>
    <row r="4126" spans="1:27" ht="16" x14ac:dyDescent="0.2">
      <c r="A4126" s="70"/>
      <c r="B4126" s="82"/>
      <c r="C4126" s="70"/>
      <c r="D4126" s="70"/>
      <c r="E4126" s="70"/>
      <c r="F4126" s="70"/>
      <c r="G4126" s="70"/>
      <c r="H4126" s="85"/>
      <c r="I4126" s="85"/>
      <c r="J4126" s="131"/>
      <c r="K4126" s="60"/>
      <c r="M4126" s="48"/>
      <c r="Y4126" s="3"/>
      <c r="Z4126" s="3"/>
      <c r="AA4126" s="4"/>
    </row>
    <row r="4127" spans="1:27" x14ac:dyDescent="0.15">
      <c r="A4127" s="70"/>
      <c r="B4127" s="93"/>
      <c r="C4127" s="70"/>
      <c r="D4127" s="70"/>
      <c r="E4127" s="70"/>
      <c r="F4127" s="70"/>
      <c r="G4127" s="70"/>
      <c r="H4127" s="85"/>
      <c r="I4127" s="85"/>
      <c r="J4127" s="131"/>
      <c r="K4127" s="60"/>
      <c r="L4127" s="33"/>
      <c r="Y4127" s="3"/>
      <c r="Z4127" s="3"/>
      <c r="AA4127" s="4"/>
    </row>
    <row r="4128" spans="1:27" x14ac:dyDescent="0.15">
      <c r="A4128" s="70"/>
      <c r="B4128" s="82"/>
      <c r="C4128" s="70"/>
      <c r="D4128" s="70"/>
      <c r="E4128" s="70"/>
      <c r="F4128" s="70"/>
      <c r="G4128" s="70"/>
      <c r="H4128" s="85"/>
      <c r="I4128" s="85"/>
      <c r="J4128" s="131"/>
      <c r="K4128" s="60"/>
      <c r="Y4128" s="3"/>
      <c r="Z4128" s="3"/>
      <c r="AA4128" s="4"/>
    </row>
    <row r="4129" spans="1:27" x14ac:dyDescent="0.15">
      <c r="A4129" s="70"/>
      <c r="B4129" s="82"/>
      <c r="C4129" s="70"/>
      <c r="D4129" s="70"/>
      <c r="E4129" s="70"/>
      <c r="F4129" s="70"/>
      <c r="G4129" s="70"/>
      <c r="H4129" s="85"/>
      <c r="I4129" s="85"/>
      <c r="J4129" s="131"/>
      <c r="K4129" s="60"/>
      <c r="Y4129" s="3"/>
      <c r="Z4129" s="3"/>
      <c r="AA4129" s="4"/>
    </row>
    <row r="4130" spans="1:27" x14ac:dyDescent="0.15">
      <c r="A4130" s="70"/>
      <c r="B4130" s="93"/>
      <c r="C4130" s="70"/>
      <c r="D4130" s="70"/>
      <c r="E4130" s="70"/>
      <c r="F4130" s="70"/>
      <c r="G4130" s="70"/>
      <c r="H4130" s="85"/>
      <c r="I4130" s="85"/>
      <c r="J4130" s="131"/>
      <c r="K4130" s="60"/>
      <c r="L4130" s="33"/>
      <c r="Y4130" s="3"/>
      <c r="Z4130" s="3"/>
      <c r="AA4130" s="4"/>
    </row>
    <row r="4131" spans="1:27" x14ac:dyDescent="0.15">
      <c r="A4131" s="70"/>
      <c r="B4131" s="82"/>
      <c r="C4131" s="70"/>
      <c r="D4131" s="70"/>
      <c r="E4131" s="70"/>
      <c r="F4131" s="70"/>
      <c r="G4131" s="70"/>
      <c r="H4131" s="85"/>
      <c r="I4131" s="85"/>
      <c r="J4131" s="131"/>
      <c r="K4131" s="60"/>
      <c r="Y4131" s="3"/>
      <c r="Z4131" s="3"/>
      <c r="AA4131" s="4"/>
    </row>
    <row r="4132" spans="1:27" x14ac:dyDescent="0.15">
      <c r="A4132" s="70"/>
      <c r="B4132" s="82"/>
      <c r="C4132" s="70"/>
      <c r="D4132" s="70"/>
      <c r="E4132" s="70"/>
      <c r="F4132" s="70"/>
      <c r="G4132" s="70"/>
      <c r="H4132" s="85"/>
      <c r="I4132" s="85"/>
      <c r="J4132" s="131"/>
      <c r="K4132" s="60"/>
      <c r="Y4132" s="3"/>
      <c r="Z4132" s="3"/>
      <c r="AA4132" s="4"/>
    </row>
    <row r="4133" spans="1:27" x14ac:dyDescent="0.15">
      <c r="A4133" s="70"/>
      <c r="B4133" s="93"/>
      <c r="C4133" s="70"/>
      <c r="D4133" s="70"/>
      <c r="E4133" s="70"/>
      <c r="F4133" s="70"/>
      <c r="G4133" s="70"/>
      <c r="H4133" s="85"/>
      <c r="I4133" s="85"/>
      <c r="J4133" s="131"/>
      <c r="K4133" s="60"/>
      <c r="L4133" s="33"/>
      <c r="Y4133" s="3"/>
      <c r="Z4133" s="3"/>
      <c r="AA4133" s="4"/>
    </row>
    <row r="4134" spans="1:27" x14ac:dyDescent="0.15">
      <c r="A4134" s="70"/>
      <c r="B4134" s="82"/>
      <c r="C4134" s="70"/>
      <c r="D4134" s="70"/>
      <c r="E4134" s="70"/>
      <c r="F4134" s="70"/>
      <c r="G4134" s="70"/>
      <c r="H4134" s="85"/>
      <c r="I4134" s="85"/>
      <c r="J4134" s="131"/>
      <c r="K4134" s="60"/>
      <c r="L4134" s="33"/>
      <c r="Y4134" s="3"/>
      <c r="Z4134" s="3"/>
      <c r="AA4134" s="4"/>
    </row>
    <row r="4135" spans="1:27" x14ac:dyDescent="0.15">
      <c r="A4135" s="70"/>
      <c r="B4135" s="93"/>
      <c r="C4135" s="73"/>
      <c r="D4135" s="73"/>
      <c r="E4135" s="73"/>
      <c r="F4135" s="73"/>
      <c r="G4135" s="73"/>
      <c r="H4135" s="85"/>
      <c r="I4135" s="95"/>
      <c r="J4135" s="131"/>
      <c r="K4135" s="60"/>
      <c r="L4135" s="33"/>
      <c r="Y4135" s="3"/>
      <c r="Z4135" s="3"/>
      <c r="AA4135" s="4"/>
    </row>
    <row r="4136" spans="1:27" x14ac:dyDescent="0.15">
      <c r="A4136" s="70"/>
      <c r="B4136" s="93"/>
      <c r="C4136" s="70"/>
      <c r="D4136" s="70"/>
      <c r="E4136" s="70"/>
      <c r="F4136" s="70"/>
      <c r="G4136" s="70"/>
      <c r="H4136" s="85"/>
      <c r="I4136" s="85"/>
      <c r="J4136" s="131"/>
      <c r="K4136" s="60"/>
      <c r="L4136" s="33"/>
      <c r="Y4136" s="3"/>
      <c r="Z4136" s="3"/>
      <c r="AA4136" s="4"/>
    </row>
    <row r="4137" spans="1:27" x14ac:dyDescent="0.15">
      <c r="A4137" s="70"/>
      <c r="B4137" s="93"/>
      <c r="C4137" s="70"/>
      <c r="D4137" s="70"/>
      <c r="E4137" s="70"/>
      <c r="F4137" s="70"/>
      <c r="G4137" s="70"/>
      <c r="H4137" s="85"/>
      <c r="I4137" s="85"/>
      <c r="J4137" s="131"/>
      <c r="K4137" s="60"/>
      <c r="L4137" s="33"/>
      <c r="Y4137" s="3"/>
      <c r="Z4137" s="3"/>
      <c r="AA4137" s="4"/>
    </row>
    <row r="4138" spans="1:27" x14ac:dyDescent="0.15">
      <c r="A4138" s="70"/>
      <c r="B4138" s="93"/>
      <c r="C4138" s="70"/>
      <c r="D4138" s="70"/>
      <c r="E4138" s="70"/>
      <c r="F4138" s="70"/>
      <c r="G4138" s="70"/>
      <c r="H4138" s="85"/>
      <c r="I4138" s="85"/>
      <c r="J4138" s="131"/>
      <c r="K4138" s="60"/>
      <c r="L4138" s="33"/>
      <c r="Y4138" s="3"/>
      <c r="Z4138" s="3"/>
      <c r="AA4138" s="4"/>
    </row>
    <row r="4139" spans="1:27" x14ac:dyDescent="0.15">
      <c r="A4139" s="70"/>
      <c r="B4139" s="93"/>
      <c r="C4139" s="70"/>
      <c r="D4139" s="70"/>
      <c r="E4139" s="70"/>
      <c r="F4139" s="70"/>
      <c r="G4139" s="70"/>
      <c r="H4139" s="85"/>
      <c r="I4139" s="85"/>
      <c r="J4139" s="134"/>
      <c r="K4139" s="60"/>
      <c r="M4139" s="46"/>
      <c r="Y4139" s="3"/>
      <c r="Z4139" s="3"/>
      <c r="AA4139" s="4"/>
    </row>
    <row r="4140" spans="1:27" x14ac:dyDescent="0.15">
      <c r="A4140" s="70"/>
      <c r="B4140" s="82"/>
      <c r="C4140" s="70"/>
      <c r="D4140" s="70"/>
      <c r="E4140" s="70"/>
      <c r="F4140" s="70"/>
      <c r="G4140" s="70"/>
      <c r="H4140" s="85"/>
      <c r="I4140" s="85"/>
      <c r="J4140" s="131"/>
      <c r="K4140" s="60"/>
      <c r="Y4140" s="3"/>
      <c r="Z4140" s="3"/>
      <c r="AA4140" s="4"/>
    </row>
    <row r="4141" spans="1:27" x14ac:dyDescent="0.15">
      <c r="A4141" s="70"/>
      <c r="B4141" s="82"/>
      <c r="C4141" s="70"/>
      <c r="D4141" s="70"/>
      <c r="E4141" s="70"/>
      <c r="F4141" s="70"/>
      <c r="G4141" s="70"/>
      <c r="H4141" s="85"/>
      <c r="I4141" s="85"/>
      <c r="J4141" s="131"/>
      <c r="K4141" s="60"/>
      <c r="Y4141" s="3"/>
      <c r="Z4141" s="3"/>
      <c r="AA4141" s="4"/>
    </row>
    <row r="4142" spans="1:27" ht="16" x14ac:dyDescent="0.2">
      <c r="A4142" s="70"/>
      <c r="B4142" s="82"/>
      <c r="C4142" s="70"/>
      <c r="D4142" s="70"/>
      <c r="E4142" s="70"/>
      <c r="F4142" s="70"/>
      <c r="G4142" s="70"/>
      <c r="H4142" s="85"/>
      <c r="I4142" s="85"/>
      <c r="J4142" s="131"/>
      <c r="K4142" s="60"/>
      <c r="L4142" s="33"/>
      <c r="M4142" s="48"/>
      <c r="N4142" s="33"/>
      <c r="Y4142" s="3"/>
      <c r="Z4142" s="3"/>
      <c r="AA4142" s="4"/>
    </row>
    <row r="4143" spans="1:27" x14ac:dyDescent="0.15">
      <c r="A4143" s="70"/>
      <c r="B4143" s="93"/>
      <c r="C4143" s="70"/>
      <c r="D4143" s="70"/>
      <c r="E4143" s="70"/>
      <c r="F4143" s="70"/>
      <c r="G4143" s="70"/>
      <c r="H4143" s="85"/>
      <c r="I4143" s="85"/>
      <c r="J4143" s="131"/>
      <c r="K4143" s="60"/>
      <c r="L4143" s="33"/>
      <c r="Y4143" s="3"/>
      <c r="Z4143" s="3"/>
      <c r="AA4143" s="4"/>
    </row>
    <row r="4144" spans="1:27" x14ac:dyDescent="0.15">
      <c r="A4144" s="70"/>
      <c r="B4144" s="93"/>
      <c r="C4144" s="70"/>
      <c r="D4144" s="70"/>
      <c r="E4144" s="70"/>
      <c r="F4144" s="70"/>
      <c r="G4144" s="70"/>
      <c r="H4144" s="85"/>
      <c r="I4144" s="85"/>
      <c r="J4144" s="131"/>
      <c r="K4144" s="60"/>
      <c r="L4144" s="33"/>
      <c r="Y4144" s="3"/>
      <c r="Z4144" s="3"/>
      <c r="AA4144" s="4"/>
    </row>
    <row r="4145" spans="1:27" ht="16" x14ac:dyDescent="0.2">
      <c r="A4145" s="70"/>
      <c r="B4145" s="93"/>
      <c r="C4145" s="70"/>
      <c r="D4145" s="70"/>
      <c r="E4145" s="70"/>
      <c r="F4145" s="70"/>
      <c r="G4145" s="70"/>
      <c r="H4145" s="85"/>
      <c r="I4145" s="85"/>
      <c r="J4145" s="131"/>
      <c r="K4145" s="60"/>
      <c r="L4145" s="33"/>
      <c r="M4145" s="48"/>
      <c r="Y4145" s="3"/>
      <c r="Z4145" s="3"/>
      <c r="AA4145" s="4"/>
    </row>
    <row r="4146" spans="1:27" x14ac:dyDescent="0.15">
      <c r="A4146" s="70"/>
      <c r="B4146" s="93"/>
      <c r="C4146" s="70"/>
      <c r="D4146" s="70"/>
      <c r="E4146" s="70"/>
      <c r="F4146" s="70"/>
      <c r="G4146" s="70"/>
      <c r="H4146" s="85"/>
      <c r="I4146" s="85"/>
      <c r="J4146" s="131"/>
      <c r="K4146" s="60"/>
      <c r="L4146" s="33"/>
      <c r="Y4146" s="3"/>
      <c r="Z4146" s="3"/>
      <c r="AA4146" s="4"/>
    </row>
    <row r="4147" spans="1:27" x14ac:dyDescent="0.15">
      <c r="A4147" s="70"/>
      <c r="B4147" s="93"/>
      <c r="C4147" s="70"/>
      <c r="D4147" s="70"/>
      <c r="E4147" s="70"/>
      <c r="F4147" s="70"/>
      <c r="G4147" s="70"/>
      <c r="H4147" s="85"/>
      <c r="I4147" s="85"/>
      <c r="J4147" s="131"/>
      <c r="K4147" s="60"/>
      <c r="L4147" s="33"/>
      <c r="Y4147" s="3"/>
      <c r="Z4147" s="3"/>
      <c r="AA4147" s="4"/>
    </row>
    <row r="4148" spans="1:27" x14ac:dyDescent="0.15">
      <c r="A4148" s="70"/>
      <c r="B4148" s="93"/>
      <c r="C4148" s="70"/>
      <c r="D4148" s="70"/>
      <c r="E4148" s="70"/>
      <c r="F4148" s="70"/>
      <c r="G4148" s="70"/>
      <c r="H4148" s="85"/>
      <c r="I4148" s="85"/>
      <c r="J4148" s="131"/>
      <c r="K4148" s="60"/>
      <c r="L4148" s="33"/>
      <c r="Y4148" s="3"/>
      <c r="Z4148" s="3"/>
      <c r="AA4148" s="4"/>
    </row>
    <row r="4149" spans="1:27" x14ac:dyDescent="0.15">
      <c r="A4149" s="70"/>
      <c r="B4149" s="93"/>
      <c r="C4149" s="70"/>
      <c r="D4149" s="70"/>
      <c r="E4149" s="70"/>
      <c r="F4149" s="70"/>
      <c r="G4149" s="70"/>
      <c r="H4149" s="85"/>
      <c r="I4149" s="85"/>
      <c r="J4149" s="131"/>
      <c r="K4149" s="60"/>
      <c r="L4149" s="33"/>
      <c r="Y4149" s="3"/>
      <c r="Z4149" s="3"/>
      <c r="AA4149" s="4"/>
    </row>
    <row r="4150" spans="1:27" x14ac:dyDescent="0.15">
      <c r="A4150" s="70"/>
      <c r="B4150" s="93"/>
      <c r="C4150" s="70"/>
      <c r="D4150" s="70"/>
      <c r="E4150" s="73"/>
      <c r="F4150" s="70"/>
      <c r="G4150" s="70"/>
      <c r="H4150" s="85"/>
      <c r="I4150" s="85"/>
      <c r="J4150" s="131"/>
      <c r="K4150" s="60"/>
      <c r="L4150" s="33"/>
      <c r="Y4150" s="3"/>
      <c r="Z4150" s="3"/>
      <c r="AA4150" s="4"/>
    </row>
    <row r="4151" spans="1:27" x14ac:dyDescent="0.15">
      <c r="A4151" s="70"/>
      <c r="B4151" s="93"/>
      <c r="C4151" s="70"/>
      <c r="D4151" s="70"/>
      <c r="E4151" s="70"/>
      <c r="F4151" s="70"/>
      <c r="G4151" s="70"/>
      <c r="H4151" s="85"/>
      <c r="I4151" s="85"/>
      <c r="J4151" s="131"/>
      <c r="K4151" s="60"/>
      <c r="L4151" s="33"/>
      <c r="Y4151" s="3"/>
      <c r="Z4151" s="3"/>
      <c r="AA4151" s="4"/>
    </row>
    <row r="4152" spans="1:27" ht="16" x14ac:dyDescent="0.2">
      <c r="A4152" s="70"/>
      <c r="B4152" s="93"/>
      <c r="C4152" s="70"/>
      <c r="D4152" s="70"/>
      <c r="E4152" s="70"/>
      <c r="F4152" s="70"/>
      <c r="G4152" s="70"/>
      <c r="H4152" s="85"/>
      <c r="I4152" s="85"/>
      <c r="J4152" s="131"/>
      <c r="K4152" s="60"/>
      <c r="L4152" s="47"/>
      <c r="Y4152" s="3"/>
      <c r="Z4152" s="3"/>
      <c r="AA4152" s="4"/>
    </row>
    <row r="4153" spans="1:27" ht="16" x14ac:dyDescent="0.2">
      <c r="A4153" s="70"/>
      <c r="B4153" s="93"/>
      <c r="C4153" s="70"/>
      <c r="D4153" s="70"/>
      <c r="E4153" s="70"/>
      <c r="F4153" s="70"/>
      <c r="G4153" s="70"/>
      <c r="H4153" s="85"/>
      <c r="I4153" s="85"/>
      <c r="J4153" s="131"/>
      <c r="K4153" s="60"/>
      <c r="L4153" s="47"/>
      <c r="Y4153" s="3"/>
      <c r="Z4153" s="3"/>
      <c r="AA4153" s="4"/>
    </row>
    <row r="4154" spans="1:27" x14ac:dyDescent="0.15">
      <c r="A4154" s="70"/>
      <c r="B4154" s="93"/>
      <c r="C4154" s="70"/>
      <c r="D4154" s="70"/>
      <c r="E4154" s="73"/>
      <c r="F4154" s="70"/>
      <c r="G4154" s="70"/>
      <c r="H4154" s="85"/>
      <c r="I4154" s="85"/>
      <c r="J4154" s="131"/>
      <c r="K4154" s="60"/>
      <c r="L4154" s="33"/>
      <c r="Y4154" s="3"/>
      <c r="Z4154" s="3"/>
      <c r="AA4154" s="4"/>
    </row>
    <row r="4155" spans="1:27" x14ac:dyDescent="0.15">
      <c r="A4155" s="70"/>
      <c r="B4155" s="93"/>
      <c r="C4155" s="70"/>
      <c r="D4155" s="70"/>
      <c r="E4155" s="70"/>
      <c r="F4155" s="70"/>
      <c r="G4155" s="70"/>
      <c r="H4155" s="85"/>
      <c r="I4155" s="85"/>
      <c r="J4155" s="131"/>
      <c r="K4155" s="60"/>
      <c r="L4155" s="33"/>
      <c r="Y4155" s="3"/>
      <c r="Z4155" s="3"/>
      <c r="AA4155" s="4"/>
    </row>
    <row r="4156" spans="1:27" x14ac:dyDescent="0.15">
      <c r="A4156" s="70"/>
      <c r="B4156" s="93"/>
      <c r="C4156" s="70"/>
      <c r="D4156" s="70"/>
      <c r="E4156" s="70"/>
      <c r="F4156" s="70"/>
      <c r="G4156" s="70"/>
      <c r="H4156" s="85"/>
      <c r="I4156" s="85"/>
      <c r="J4156" s="131"/>
      <c r="K4156" s="60"/>
      <c r="L4156" s="33"/>
      <c r="Y4156" s="3"/>
      <c r="Z4156" s="3"/>
      <c r="AA4156" s="4"/>
    </row>
    <row r="4157" spans="1:27" x14ac:dyDescent="0.15">
      <c r="A4157" s="70"/>
      <c r="B4157" s="93"/>
      <c r="C4157" s="73"/>
      <c r="D4157" s="73"/>
      <c r="E4157" s="73"/>
      <c r="F4157" s="73"/>
      <c r="G4157" s="73"/>
      <c r="H4157" s="85"/>
      <c r="I4157" s="95"/>
      <c r="J4157" s="131"/>
      <c r="K4157" s="60"/>
      <c r="L4157" s="33"/>
      <c r="Y4157" s="3"/>
      <c r="Z4157" s="3"/>
      <c r="AA4157" s="4"/>
    </row>
    <row r="4158" spans="1:27" x14ac:dyDescent="0.15">
      <c r="A4158" s="70"/>
      <c r="B4158" s="93"/>
      <c r="C4158" s="73"/>
      <c r="D4158" s="73"/>
      <c r="E4158" s="73"/>
      <c r="F4158" s="73"/>
      <c r="G4158" s="73"/>
      <c r="H4158" s="85"/>
      <c r="I4158" s="95"/>
      <c r="J4158" s="131"/>
      <c r="K4158" s="60"/>
      <c r="L4158" s="33"/>
      <c r="Y4158" s="3"/>
      <c r="Z4158" s="3"/>
      <c r="AA4158" s="4"/>
    </row>
    <row r="4159" spans="1:27" x14ac:dyDescent="0.15">
      <c r="A4159" s="70"/>
      <c r="B4159" s="93"/>
      <c r="C4159" s="70"/>
      <c r="D4159" s="70"/>
      <c r="E4159" s="70"/>
      <c r="F4159" s="70"/>
      <c r="G4159" s="70"/>
      <c r="H4159" s="85"/>
      <c r="I4159" s="85"/>
      <c r="J4159" s="131"/>
      <c r="K4159" s="60"/>
      <c r="L4159" s="33"/>
      <c r="Y4159" s="3"/>
      <c r="Z4159" s="3"/>
      <c r="AA4159" s="4"/>
    </row>
    <row r="4160" spans="1:27" x14ac:dyDescent="0.15">
      <c r="A4160" s="70"/>
      <c r="B4160" s="93"/>
      <c r="C4160" s="70"/>
      <c r="D4160" s="70"/>
      <c r="E4160" s="70"/>
      <c r="F4160" s="70"/>
      <c r="G4160" s="70"/>
      <c r="H4160" s="85"/>
      <c r="I4160" s="85"/>
      <c r="J4160" s="131"/>
      <c r="K4160" s="60"/>
      <c r="L4160" s="33"/>
      <c r="Y4160" s="3"/>
      <c r="Z4160" s="3"/>
      <c r="AA4160" s="4"/>
    </row>
    <row r="4161" spans="1:27" x14ac:dyDescent="0.15">
      <c r="A4161" s="70"/>
      <c r="B4161" s="93"/>
      <c r="C4161" s="70"/>
      <c r="D4161" s="70"/>
      <c r="E4161" s="70"/>
      <c r="F4161" s="70"/>
      <c r="G4161" s="70"/>
      <c r="H4161" s="85"/>
      <c r="I4161" s="85"/>
      <c r="J4161" s="131"/>
      <c r="K4161" s="60"/>
      <c r="L4161" s="33"/>
      <c r="Y4161" s="3"/>
      <c r="Z4161" s="3"/>
      <c r="AA4161" s="4"/>
    </row>
    <row r="4162" spans="1:27" x14ac:dyDescent="0.15">
      <c r="A4162" s="70"/>
      <c r="B4162" s="93"/>
      <c r="C4162" s="73"/>
      <c r="D4162" s="73"/>
      <c r="E4162" s="73"/>
      <c r="F4162" s="73"/>
      <c r="G4162" s="73"/>
      <c r="H4162" s="85"/>
      <c r="I4162" s="95"/>
      <c r="J4162" s="131"/>
      <c r="K4162" s="60"/>
      <c r="L4162" s="33"/>
      <c r="Y4162" s="3"/>
      <c r="Z4162" s="3"/>
      <c r="AA4162" s="4"/>
    </row>
    <row r="4163" spans="1:27" x14ac:dyDescent="0.15">
      <c r="A4163" s="70"/>
      <c r="B4163" s="93"/>
      <c r="C4163" s="70"/>
      <c r="D4163" s="70"/>
      <c r="E4163" s="70"/>
      <c r="F4163" s="70"/>
      <c r="G4163" s="70"/>
      <c r="H4163" s="85"/>
      <c r="I4163" s="85"/>
      <c r="J4163" s="131"/>
      <c r="K4163" s="60"/>
      <c r="L4163" s="33"/>
      <c r="Y4163" s="3"/>
      <c r="Z4163" s="3"/>
      <c r="AA4163" s="4"/>
    </row>
    <row r="4164" spans="1:27" ht="16" x14ac:dyDescent="0.2">
      <c r="A4164" s="70"/>
      <c r="B4164" s="93"/>
      <c r="C4164" s="73"/>
      <c r="D4164" s="73"/>
      <c r="E4164" s="73"/>
      <c r="F4164" s="73"/>
      <c r="G4164" s="73"/>
      <c r="H4164" s="85"/>
      <c r="I4164" s="95"/>
      <c r="J4164" s="131"/>
      <c r="K4164" s="60"/>
      <c r="L4164" s="47"/>
      <c r="Y4164" s="3"/>
      <c r="Z4164" s="3"/>
      <c r="AA4164" s="4"/>
    </row>
    <row r="4165" spans="1:27" x14ac:dyDescent="0.15">
      <c r="A4165" s="70"/>
      <c r="B4165" s="82"/>
      <c r="C4165" s="70"/>
      <c r="D4165" s="70"/>
      <c r="E4165" s="70"/>
      <c r="F4165" s="70"/>
      <c r="G4165" s="70"/>
      <c r="H4165" s="85"/>
      <c r="I4165" s="85"/>
      <c r="J4165" s="131"/>
      <c r="K4165" s="60"/>
      <c r="Y4165" s="3"/>
      <c r="Z4165" s="3"/>
      <c r="AA4165" s="4"/>
    </row>
    <row r="4166" spans="1:27" x14ac:dyDescent="0.15">
      <c r="A4166" s="70"/>
      <c r="B4166" s="93"/>
      <c r="C4166" s="70"/>
      <c r="D4166" s="70"/>
      <c r="E4166" s="70"/>
      <c r="F4166" s="70"/>
      <c r="G4166" s="70"/>
      <c r="H4166" s="85"/>
      <c r="I4166" s="85"/>
      <c r="J4166" s="131"/>
      <c r="K4166" s="60"/>
      <c r="L4166" s="33"/>
      <c r="M4166" s="46"/>
      <c r="Y4166" s="3"/>
      <c r="Z4166" s="3"/>
      <c r="AA4166" s="4"/>
    </row>
    <row r="4167" spans="1:27" x14ac:dyDescent="0.15">
      <c r="A4167" s="70"/>
      <c r="B4167" s="93"/>
      <c r="C4167" s="70"/>
      <c r="D4167" s="70"/>
      <c r="E4167" s="70"/>
      <c r="F4167" s="70"/>
      <c r="G4167" s="70"/>
      <c r="H4167" s="85"/>
      <c r="I4167" s="85"/>
      <c r="J4167" s="131"/>
      <c r="K4167" s="60"/>
      <c r="L4167" s="33"/>
      <c r="M4167" s="46"/>
      <c r="Y4167" s="3"/>
      <c r="Z4167" s="3"/>
      <c r="AA4167" s="4"/>
    </row>
    <row r="4168" spans="1:27" x14ac:dyDescent="0.15">
      <c r="A4168" s="70"/>
      <c r="B4168" s="93"/>
      <c r="C4168" s="70"/>
      <c r="D4168" s="70"/>
      <c r="E4168" s="70"/>
      <c r="F4168" s="70"/>
      <c r="G4168" s="70"/>
      <c r="H4168" s="85"/>
      <c r="I4168" s="85"/>
      <c r="J4168" s="131"/>
      <c r="K4168" s="60"/>
      <c r="L4168" s="33"/>
      <c r="Y4168" s="3"/>
      <c r="Z4168" s="3"/>
      <c r="AA4168" s="4"/>
    </row>
    <row r="4169" spans="1:27" x14ac:dyDescent="0.15">
      <c r="A4169" s="70"/>
      <c r="B4169" s="93"/>
      <c r="C4169" s="73"/>
      <c r="D4169" s="73"/>
      <c r="E4169" s="73"/>
      <c r="F4169" s="70"/>
      <c r="G4169" s="70"/>
      <c r="H4169" s="85"/>
      <c r="I4169" s="85"/>
      <c r="J4169" s="131"/>
      <c r="K4169" s="60"/>
      <c r="L4169" s="33"/>
      <c r="Y4169" s="3"/>
      <c r="Z4169" s="3"/>
      <c r="AA4169" s="4"/>
    </row>
    <row r="4170" spans="1:27" ht="16" x14ac:dyDescent="0.2">
      <c r="A4170" s="70"/>
      <c r="B4170" s="82"/>
      <c r="C4170" s="70"/>
      <c r="D4170" s="70"/>
      <c r="E4170" s="70"/>
      <c r="F4170" s="70"/>
      <c r="G4170" s="70"/>
      <c r="H4170" s="85"/>
      <c r="I4170" s="85"/>
      <c r="J4170" s="131"/>
      <c r="K4170" s="60"/>
      <c r="M4170" s="48"/>
      <c r="Y4170" s="3"/>
      <c r="Z4170" s="3"/>
      <c r="AA4170" s="4"/>
    </row>
    <row r="4171" spans="1:27" x14ac:dyDescent="0.15">
      <c r="A4171" s="70"/>
      <c r="B4171" s="82"/>
      <c r="C4171" s="70"/>
      <c r="D4171" s="70"/>
      <c r="E4171" s="70"/>
      <c r="F4171" s="70"/>
      <c r="G4171" s="70"/>
      <c r="H4171" s="85"/>
      <c r="I4171" s="85"/>
      <c r="J4171" s="131"/>
      <c r="K4171" s="60"/>
      <c r="L4171" s="33"/>
      <c r="Y4171" s="3"/>
      <c r="Z4171" s="3"/>
      <c r="AA4171" s="4"/>
    </row>
    <row r="4172" spans="1:27" x14ac:dyDescent="0.15">
      <c r="A4172" s="70"/>
      <c r="B4172" s="82"/>
      <c r="C4172" s="70"/>
      <c r="D4172" s="70"/>
      <c r="E4172" s="70"/>
      <c r="F4172" s="70"/>
      <c r="G4172" s="70"/>
      <c r="H4172" s="85"/>
      <c r="I4172" s="85"/>
      <c r="J4172" s="131"/>
      <c r="K4172" s="60"/>
      <c r="L4172" s="33"/>
      <c r="M4172" s="46"/>
      <c r="Y4172" s="3"/>
      <c r="Z4172" s="3"/>
      <c r="AA4172" s="4"/>
    </row>
    <row r="4173" spans="1:27" x14ac:dyDescent="0.15">
      <c r="A4173" s="70"/>
      <c r="B4173" s="93"/>
      <c r="C4173" s="70"/>
      <c r="D4173" s="70"/>
      <c r="E4173" s="70"/>
      <c r="F4173" s="70"/>
      <c r="G4173" s="70"/>
      <c r="H4173" s="85"/>
      <c r="I4173" s="85"/>
      <c r="J4173" s="131"/>
      <c r="K4173" s="60"/>
      <c r="L4173" s="33"/>
      <c r="Y4173" s="3"/>
      <c r="Z4173" s="3"/>
      <c r="AA4173" s="4"/>
    </row>
    <row r="4174" spans="1:27" x14ac:dyDescent="0.15">
      <c r="A4174" s="70"/>
      <c r="B4174" s="82"/>
      <c r="C4174" s="70"/>
      <c r="D4174" s="70"/>
      <c r="E4174" s="70"/>
      <c r="F4174" s="70"/>
      <c r="G4174" s="70"/>
      <c r="H4174" s="85"/>
      <c r="I4174" s="85"/>
      <c r="J4174" s="131"/>
      <c r="K4174" s="60"/>
      <c r="Y4174" s="3"/>
      <c r="Z4174" s="3"/>
      <c r="AA4174" s="4"/>
    </row>
    <row r="4175" spans="1:27" ht="16" x14ac:dyDescent="0.2">
      <c r="A4175" s="70"/>
      <c r="B4175" s="93"/>
      <c r="C4175" s="73"/>
      <c r="D4175" s="73"/>
      <c r="E4175" s="73"/>
      <c r="F4175" s="73"/>
      <c r="G4175" s="73"/>
      <c r="H4175" s="85"/>
      <c r="I4175" s="95"/>
      <c r="J4175" s="131"/>
      <c r="K4175" s="60"/>
      <c r="L4175" s="47"/>
      <c r="Y4175" s="3"/>
      <c r="Z4175" s="3"/>
      <c r="AA4175" s="4"/>
    </row>
    <row r="4176" spans="1:27" x14ac:dyDescent="0.15">
      <c r="A4176" s="70"/>
      <c r="B4176" s="82"/>
      <c r="C4176" s="70"/>
      <c r="D4176" s="70"/>
      <c r="E4176" s="70"/>
      <c r="F4176" s="70"/>
      <c r="G4176" s="70"/>
      <c r="H4176" s="85"/>
      <c r="I4176" s="85"/>
      <c r="J4176" s="131"/>
      <c r="K4176" s="60"/>
      <c r="L4176" s="33"/>
      <c r="Y4176" s="3"/>
      <c r="Z4176" s="3"/>
      <c r="AA4176" s="4"/>
    </row>
    <row r="4177" spans="1:27" x14ac:dyDescent="0.15">
      <c r="A4177" s="70"/>
      <c r="B4177" s="82"/>
      <c r="C4177" s="70"/>
      <c r="D4177" s="70"/>
      <c r="E4177" s="70"/>
      <c r="F4177" s="70"/>
      <c r="G4177" s="70"/>
      <c r="H4177" s="85"/>
      <c r="I4177" s="85"/>
      <c r="J4177" s="131"/>
      <c r="K4177" s="60"/>
      <c r="Y4177" s="3"/>
      <c r="Z4177" s="3"/>
      <c r="AA4177" s="4"/>
    </row>
    <row r="4178" spans="1:27" x14ac:dyDescent="0.15">
      <c r="A4178" s="70"/>
      <c r="B4178" s="93"/>
      <c r="C4178" s="70"/>
      <c r="D4178" s="70"/>
      <c r="E4178" s="70"/>
      <c r="F4178" s="70"/>
      <c r="G4178" s="70"/>
      <c r="H4178" s="85"/>
      <c r="I4178" s="85"/>
      <c r="J4178" s="131"/>
      <c r="K4178" s="60"/>
      <c r="L4178" s="33"/>
      <c r="Y4178" s="3"/>
      <c r="Z4178" s="3"/>
      <c r="AA4178" s="4"/>
    </row>
    <row r="4179" spans="1:27" x14ac:dyDescent="0.15">
      <c r="A4179" s="70"/>
      <c r="B4179" s="93"/>
      <c r="C4179" s="70"/>
      <c r="D4179" s="70"/>
      <c r="E4179" s="70"/>
      <c r="F4179" s="70"/>
      <c r="G4179" s="70"/>
      <c r="H4179" s="85"/>
      <c r="I4179" s="85"/>
      <c r="J4179" s="134"/>
      <c r="K4179" s="60"/>
      <c r="M4179" s="46"/>
      <c r="Y4179" s="3"/>
      <c r="Z4179" s="3"/>
      <c r="AA4179" s="4"/>
    </row>
    <row r="4180" spans="1:27" x14ac:dyDescent="0.15">
      <c r="A4180" s="70"/>
      <c r="B4180" s="93"/>
      <c r="C4180" s="73"/>
      <c r="D4180" s="73"/>
      <c r="E4180" s="73"/>
      <c r="F4180" s="73"/>
      <c r="G4180" s="73"/>
      <c r="H4180" s="85"/>
      <c r="I4180" s="85"/>
      <c r="J4180" s="131"/>
      <c r="K4180" s="60"/>
      <c r="L4180" s="33"/>
      <c r="Y4180" s="3"/>
      <c r="Z4180" s="3"/>
      <c r="AA4180" s="4"/>
    </row>
    <row r="4181" spans="1:27" x14ac:dyDescent="0.15">
      <c r="A4181" s="70"/>
      <c r="B4181" s="93"/>
      <c r="C4181" s="70"/>
      <c r="D4181" s="70"/>
      <c r="E4181" s="70"/>
      <c r="F4181" s="70"/>
      <c r="G4181" s="70"/>
      <c r="H4181" s="85"/>
      <c r="I4181" s="85"/>
      <c r="J4181" s="131"/>
      <c r="K4181" s="60"/>
      <c r="L4181" s="33"/>
      <c r="Y4181" s="3"/>
      <c r="Z4181" s="3"/>
      <c r="AA4181" s="4"/>
    </row>
    <row r="4182" spans="1:27" x14ac:dyDescent="0.15">
      <c r="A4182" s="70"/>
      <c r="B4182" s="82"/>
      <c r="C4182" s="70"/>
      <c r="D4182" s="70"/>
      <c r="E4182" s="70"/>
      <c r="F4182" s="70"/>
      <c r="G4182" s="70"/>
      <c r="H4182" s="85"/>
      <c r="I4182" s="85"/>
      <c r="J4182" s="131"/>
      <c r="K4182" s="60"/>
      <c r="Y4182" s="3"/>
      <c r="Z4182" s="3"/>
      <c r="AA4182" s="4"/>
    </row>
    <row r="4183" spans="1:27" ht="16" x14ac:dyDescent="0.2">
      <c r="A4183" s="70"/>
      <c r="B4183" s="93"/>
      <c r="C4183" s="70"/>
      <c r="D4183" s="70"/>
      <c r="E4183" s="70"/>
      <c r="F4183" s="70"/>
      <c r="G4183" s="70"/>
      <c r="H4183" s="85"/>
      <c r="I4183" s="85"/>
      <c r="J4183" s="131"/>
      <c r="K4183" s="60"/>
      <c r="L4183" s="47"/>
      <c r="Y4183" s="3"/>
      <c r="Z4183" s="3"/>
      <c r="AA4183" s="4"/>
    </row>
    <row r="4184" spans="1:27" x14ac:dyDescent="0.15">
      <c r="A4184" s="70"/>
      <c r="B4184" s="93"/>
      <c r="C4184" s="70"/>
      <c r="D4184" s="70"/>
      <c r="E4184" s="73"/>
      <c r="F4184" s="70"/>
      <c r="G4184" s="70"/>
      <c r="H4184" s="85"/>
      <c r="I4184" s="85"/>
      <c r="J4184" s="131"/>
      <c r="K4184" s="60"/>
      <c r="L4184" s="33"/>
      <c r="Y4184" s="3"/>
      <c r="Z4184" s="3"/>
      <c r="AA4184" s="4"/>
    </row>
    <row r="4185" spans="1:27" x14ac:dyDescent="0.15">
      <c r="A4185" s="70"/>
      <c r="B4185" s="93"/>
      <c r="C4185" s="70"/>
      <c r="D4185" s="70"/>
      <c r="E4185" s="70"/>
      <c r="F4185" s="70"/>
      <c r="G4185" s="70"/>
      <c r="H4185" s="85"/>
      <c r="I4185" s="85"/>
      <c r="J4185" s="131"/>
      <c r="K4185" s="60"/>
      <c r="L4185" s="33"/>
      <c r="Y4185" s="3"/>
      <c r="Z4185" s="3"/>
      <c r="AA4185" s="4"/>
    </row>
    <row r="4186" spans="1:27" x14ac:dyDescent="0.15">
      <c r="A4186" s="70"/>
      <c r="B4186" s="93"/>
      <c r="C4186" s="70"/>
      <c r="D4186" s="70"/>
      <c r="E4186" s="70"/>
      <c r="F4186" s="70"/>
      <c r="G4186" s="70"/>
      <c r="H4186" s="85"/>
      <c r="I4186" s="85"/>
      <c r="J4186" s="131"/>
      <c r="K4186" s="60"/>
      <c r="L4186" s="33"/>
      <c r="Y4186" s="3"/>
      <c r="Z4186" s="3"/>
      <c r="AA4186" s="4"/>
    </row>
    <row r="4187" spans="1:27" ht="16" x14ac:dyDescent="0.2">
      <c r="A4187" s="70"/>
      <c r="B4187" s="93"/>
      <c r="C4187" s="73"/>
      <c r="D4187" s="73"/>
      <c r="E4187" s="73"/>
      <c r="F4187" s="73"/>
      <c r="G4187" s="73"/>
      <c r="H4187" s="85"/>
      <c r="I4187" s="85"/>
      <c r="J4187" s="131"/>
      <c r="K4187" s="60"/>
      <c r="L4187" s="33"/>
      <c r="M4187" s="48"/>
      <c r="Y4187" s="3"/>
      <c r="Z4187" s="3"/>
      <c r="AA4187" s="4"/>
    </row>
    <row r="4188" spans="1:27" x14ac:dyDescent="0.15">
      <c r="A4188" s="70"/>
      <c r="B4188" s="93"/>
      <c r="C4188" s="70"/>
      <c r="D4188" s="70"/>
      <c r="E4188" s="70"/>
      <c r="F4188" s="70"/>
      <c r="G4188" s="70"/>
      <c r="H4188" s="85"/>
      <c r="I4188" s="85"/>
      <c r="J4188" s="131"/>
      <c r="K4188" s="60"/>
      <c r="L4188" s="33"/>
      <c r="Y4188" s="3"/>
      <c r="Z4188" s="3"/>
      <c r="AA4188" s="4"/>
    </row>
    <row r="4189" spans="1:27" x14ac:dyDescent="0.15">
      <c r="A4189" s="70"/>
      <c r="B4189" s="82"/>
      <c r="C4189" s="70"/>
      <c r="D4189" s="70"/>
      <c r="E4189" s="70"/>
      <c r="F4189" s="70"/>
      <c r="G4189" s="70"/>
      <c r="H4189" s="85"/>
      <c r="I4189" s="85"/>
      <c r="J4189" s="131"/>
      <c r="K4189" s="60"/>
      <c r="Y4189" s="3"/>
      <c r="Z4189" s="3"/>
      <c r="AA4189" s="4"/>
    </row>
    <row r="4190" spans="1:27" x14ac:dyDescent="0.15">
      <c r="A4190" s="70"/>
      <c r="B4190" s="93"/>
      <c r="C4190" s="70"/>
      <c r="D4190" s="70"/>
      <c r="E4190" s="70"/>
      <c r="F4190" s="70"/>
      <c r="G4190" s="70"/>
      <c r="H4190" s="85"/>
      <c r="I4190" s="85"/>
      <c r="J4190" s="131"/>
      <c r="K4190" s="60"/>
      <c r="L4190" s="33"/>
      <c r="Y4190" s="3"/>
      <c r="Z4190" s="3"/>
      <c r="AA4190" s="4"/>
    </row>
    <row r="4191" spans="1:27" x14ac:dyDescent="0.15">
      <c r="A4191" s="70"/>
      <c r="B4191" s="93"/>
      <c r="C4191" s="73"/>
      <c r="D4191" s="73"/>
      <c r="E4191" s="73"/>
      <c r="F4191" s="73"/>
      <c r="G4191" s="73"/>
      <c r="H4191" s="85"/>
      <c r="I4191" s="95"/>
      <c r="J4191" s="131"/>
      <c r="K4191" s="60"/>
      <c r="L4191" s="33"/>
      <c r="Y4191" s="3"/>
      <c r="Z4191" s="3"/>
      <c r="AA4191" s="4"/>
    </row>
    <row r="4192" spans="1:27" x14ac:dyDescent="0.15">
      <c r="A4192" s="83"/>
      <c r="B4192" s="82"/>
      <c r="C4192" s="83"/>
      <c r="D4192" s="83"/>
      <c r="E4192" s="83"/>
      <c r="F4192" s="83"/>
      <c r="G4192" s="83"/>
      <c r="H4192" s="85"/>
      <c r="I4192" s="84"/>
      <c r="J4192" s="139"/>
      <c r="K4192" s="72"/>
      <c r="L4192" s="31"/>
      <c r="Y4192" s="3"/>
      <c r="Z4192" s="3"/>
      <c r="AA4192" s="4"/>
    </row>
    <row r="4193" spans="1:27" x14ac:dyDescent="0.15">
      <c r="A4193" s="70"/>
      <c r="B4193" s="93"/>
      <c r="C4193" s="70"/>
      <c r="D4193" s="70"/>
      <c r="E4193" s="70"/>
      <c r="F4193" s="70"/>
      <c r="G4193" s="70"/>
      <c r="H4193" s="85"/>
      <c r="I4193" s="85"/>
      <c r="J4193" s="131"/>
      <c r="K4193" s="60"/>
      <c r="L4193" s="33"/>
      <c r="Y4193" s="3"/>
      <c r="Z4193" s="3"/>
      <c r="AA4193" s="4"/>
    </row>
    <row r="4194" spans="1:27" x14ac:dyDescent="0.15">
      <c r="A4194" s="70"/>
      <c r="B4194" s="93"/>
      <c r="C4194" s="73"/>
      <c r="D4194" s="73"/>
      <c r="E4194" s="73"/>
      <c r="F4194" s="73"/>
      <c r="G4194" s="73"/>
      <c r="H4194" s="85"/>
      <c r="I4194" s="85"/>
      <c r="J4194" s="131"/>
      <c r="K4194" s="60"/>
      <c r="L4194" s="33"/>
      <c r="Y4194" s="3"/>
      <c r="Z4194" s="3"/>
      <c r="AA4194" s="4"/>
    </row>
    <row r="4195" spans="1:27" x14ac:dyDescent="0.15">
      <c r="A4195" s="70"/>
      <c r="B4195" s="93"/>
      <c r="C4195" s="70"/>
      <c r="D4195" s="70"/>
      <c r="E4195" s="70"/>
      <c r="F4195" s="70"/>
      <c r="G4195" s="70"/>
      <c r="H4195" s="85"/>
      <c r="I4195" s="85"/>
      <c r="J4195" s="131"/>
      <c r="K4195" s="60"/>
      <c r="L4195" s="33"/>
      <c r="Y4195" s="3"/>
      <c r="Z4195" s="3"/>
      <c r="AA4195" s="4"/>
    </row>
    <row r="4196" spans="1:27" x14ac:dyDescent="0.15">
      <c r="A4196" s="70"/>
      <c r="B4196" s="93"/>
      <c r="C4196" s="70"/>
      <c r="D4196" s="70"/>
      <c r="E4196" s="70"/>
      <c r="F4196" s="70"/>
      <c r="G4196" s="70"/>
      <c r="H4196" s="85"/>
      <c r="I4196" s="85"/>
      <c r="J4196" s="131"/>
      <c r="K4196" s="60"/>
      <c r="L4196" s="33"/>
      <c r="Y4196" s="3"/>
      <c r="Z4196" s="3"/>
      <c r="AA4196" s="4"/>
    </row>
    <row r="4197" spans="1:27" ht="16" x14ac:dyDescent="0.2">
      <c r="A4197" s="70"/>
      <c r="B4197" s="93"/>
      <c r="C4197" s="70"/>
      <c r="D4197" s="70"/>
      <c r="E4197" s="70"/>
      <c r="F4197" s="70"/>
      <c r="G4197" s="70"/>
      <c r="H4197" s="85"/>
      <c r="I4197" s="85"/>
      <c r="J4197" s="131"/>
      <c r="K4197" s="60"/>
      <c r="L4197" s="33"/>
      <c r="M4197" s="48"/>
      <c r="Y4197" s="3"/>
      <c r="Z4197" s="3"/>
      <c r="AA4197" s="4"/>
    </row>
    <row r="4198" spans="1:27" x14ac:dyDescent="0.15">
      <c r="A4198" s="70"/>
      <c r="B4198" s="93"/>
      <c r="C4198" s="73"/>
      <c r="D4198" s="73"/>
      <c r="E4198" s="73"/>
      <c r="F4198" s="73"/>
      <c r="G4198" s="73"/>
      <c r="H4198" s="85"/>
      <c r="I4198" s="85"/>
      <c r="J4198" s="131"/>
      <c r="K4198" s="60"/>
      <c r="L4198" s="33"/>
      <c r="Y4198" s="3"/>
      <c r="Z4198" s="3"/>
      <c r="AA4198" s="4"/>
    </row>
    <row r="4199" spans="1:27" x14ac:dyDescent="0.15">
      <c r="A4199" s="70"/>
      <c r="B4199" s="93"/>
      <c r="C4199" s="70"/>
      <c r="D4199" s="70"/>
      <c r="E4199" s="70"/>
      <c r="F4199" s="70"/>
      <c r="G4199" s="70"/>
      <c r="H4199" s="85"/>
      <c r="I4199" s="85"/>
      <c r="J4199" s="131"/>
      <c r="K4199" s="60"/>
      <c r="L4199" s="33"/>
      <c r="Y4199" s="3"/>
      <c r="Z4199" s="3"/>
      <c r="AA4199" s="4"/>
    </row>
    <row r="4200" spans="1:27" x14ac:dyDescent="0.15">
      <c r="A4200" s="70"/>
      <c r="B4200" s="93"/>
      <c r="C4200" s="70"/>
      <c r="D4200" s="70"/>
      <c r="E4200" s="70"/>
      <c r="F4200" s="70"/>
      <c r="G4200" s="70"/>
      <c r="H4200" s="85"/>
      <c r="I4200" s="85"/>
      <c r="J4200" s="131"/>
      <c r="K4200" s="60"/>
      <c r="L4200" s="33"/>
      <c r="Y4200" s="3"/>
      <c r="Z4200" s="3"/>
      <c r="AA4200" s="4"/>
    </row>
    <row r="4201" spans="1:27" ht="16" x14ac:dyDescent="0.2">
      <c r="A4201" s="70"/>
      <c r="B4201" s="82"/>
      <c r="C4201" s="70"/>
      <c r="D4201" s="70"/>
      <c r="E4201" s="70"/>
      <c r="F4201" s="70"/>
      <c r="G4201" s="70"/>
      <c r="H4201" s="85"/>
      <c r="I4201" s="85"/>
      <c r="J4201" s="131"/>
      <c r="K4201" s="60"/>
      <c r="L4201" s="47"/>
      <c r="Y4201" s="3"/>
      <c r="Z4201" s="3"/>
      <c r="AA4201" s="4"/>
    </row>
    <row r="4202" spans="1:27" x14ac:dyDescent="0.15">
      <c r="A4202" s="70"/>
      <c r="B4202" s="93"/>
      <c r="C4202" s="70"/>
      <c r="D4202" s="70"/>
      <c r="E4202" s="70"/>
      <c r="F4202" s="70"/>
      <c r="G4202" s="70"/>
      <c r="H4202" s="85"/>
      <c r="I4202" s="85"/>
      <c r="J4202" s="131"/>
      <c r="K4202" s="60"/>
      <c r="L4202" s="33"/>
      <c r="Y4202" s="3"/>
      <c r="Z4202" s="3"/>
      <c r="AA4202" s="4"/>
    </row>
    <row r="4203" spans="1:27" ht="16" x14ac:dyDescent="0.2">
      <c r="A4203" s="70"/>
      <c r="B4203" s="93"/>
      <c r="C4203" s="70"/>
      <c r="D4203" s="70"/>
      <c r="E4203" s="70"/>
      <c r="F4203" s="70"/>
      <c r="G4203" s="70"/>
      <c r="H4203" s="85"/>
      <c r="I4203" s="85"/>
      <c r="J4203" s="131"/>
      <c r="K4203" s="60"/>
      <c r="L4203" s="47"/>
      <c r="R4203" s="14"/>
      <c r="S4203" s="14"/>
      <c r="T4203" s="14"/>
      <c r="U4203" s="14"/>
      <c r="V4203" s="14"/>
      <c r="W4203" s="14"/>
      <c r="X4203" s="14"/>
      <c r="Y4203" s="14"/>
      <c r="Z4203" s="14"/>
      <c r="AA4203" s="17"/>
    </row>
    <row r="4204" spans="1:27" x14ac:dyDescent="0.15">
      <c r="A4204" s="70"/>
      <c r="B4204" s="93"/>
      <c r="C4204" s="70"/>
      <c r="D4204" s="70"/>
      <c r="E4204" s="70"/>
      <c r="F4204" s="70"/>
      <c r="G4204" s="70"/>
      <c r="H4204" s="85"/>
      <c r="I4204" s="85"/>
      <c r="J4204" s="131"/>
      <c r="K4204" s="60"/>
      <c r="L4204" s="33"/>
      <c r="Y4204" s="3"/>
      <c r="Z4204" s="3"/>
      <c r="AA4204" s="4"/>
    </row>
    <row r="4205" spans="1:27" ht="16" x14ac:dyDescent="0.2">
      <c r="A4205" s="70"/>
      <c r="B4205" s="93"/>
      <c r="C4205" s="70"/>
      <c r="D4205" s="70"/>
      <c r="E4205" s="73"/>
      <c r="F4205" s="70"/>
      <c r="G4205" s="70"/>
      <c r="H4205" s="85"/>
      <c r="I4205" s="85"/>
      <c r="J4205" s="131"/>
      <c r="K4205" s="60"/>
      <c r="L4205" s="33"/>
      <c r="M4205" s="48"/>
      <c r="Y4205" s="3"/>
      <c r="Z4205" s="3"/>
      <c r="AA4205" s="4"/>
    </row>
    <row r="4206" spans="1:27" ht="16" x14ac:dyDescent="0.2">
      <c r="A4206" s="70"/>
      <c r="B4206" s="93"/>
      <c r="C4206" s="70"/>
      <c r="D4206" s="70"/>
      <c r="E4206" s="70"/>
      <c r="F4206" s="70"/>
      <c r="G4206" s="70"/>
      <c r="H4206" s="85"/>
      <c r="I4206" s="85"/>
      <c r="J4206" s="131"/>
      <c r="K4206" s="60"/>
      <c r="L4206" s="47"/>
      <c r="Y4206" s="3"/>
      <c r="Z4206" s="3"/>
      <c r="AA4206" s="4"/>
    </row>
    <row r="4207" spans="1:27" x14ac:dyDescent="0.15">
      <c r="A4207" s="70"/>
      <c r="B4207" s="93"/>
      <c r="C4207" s="70"/>
      <c r="D4207" s="70"/>
      <c r="E4207" s="70"/>
      <c r="F4207" s="70"/>
      <c r="G4207" s="70"/>
      <c r="H4207" s="85"/>
      <c r="I4207" s="85"/>
      <c r="J4207" s="131"/>
      <c r="K4207" s="60"/>
      <c r="L4207" s="33"/>
      <c r="Y4207" s="3"/>
      <c r="Z4207" s="3"/>
      <c r="AA4207" s="4"/>
    </row>
    <row r="4208" spans="1:27" x14ac:dyDescent="0.15">
      <c r="A4208" s="70"/>
      <c r="B4208" s="93"/>
      <c r="C4208" s="70"/>
      <c r="D4208" s="70"/>
      <c r="E4208" s="70"/>
      <c r="F4208" s="70"/>
      <c r="G4208" s="70"/>
      <c r="H4208" s="85"/>
      <c r="I4208" s="85"/>
      <c r="J4208" s="131"/>
      <c r="K4208" s="60"/>
      <c r="L4208" s="33"/>
      <c r="Y4208" s="3"/>
      <c r="Z4208" s="3"/>
      <c r="AA4208" s="4"/>
    </row>
    <row r="4209" spans="1:27" x14ac:dyDescent="0.15">
      <c r="A4209" s="70"/>
      <c r="B4209" s="93"/>
      <c r="C4209" s="70"/>
      <c r="D4209" s="70"/>
      <c r="E4209" s="70"/>
      <c r="F4209" s="70"/>
      <c r="G4209" s="70"/>
      <c r="H4209" s="85"/>
      <c r="I4209" s="85"/>
      <c r="J4209" s="131"/>
      <c r="K4209" s="60"/>
      <c r="L4209" s="33"/>
    </row>
    <row r="4210" spans="1:27" x14ac:dyDescent="0.15">
      <c r="A4210" s="70"/>
      <c r="B4210" s="82"/>
      <c r="C4210" s="70"/>
      <c r="D4210" s="70"/>
      <c r="E4210" s="70"/>
      <c r="F4210" s="70"/>
      <c r="G4210" s="70"/>
      <c r="H4210" s="85"/>
      <c r="I4210" s="85"/>
      <c r="J4210" s="131"/>
      <c r="K4210" s="60"/>
    </row>
    <row r="4211" spans="1:27" x14ac:dyDescent="0.15">
      <c r="A4211" s="70"/>
      <c r="B4211" s="93"/>
      <c r="C4211" s="70"/>
      <c r="D4211" s="70"/>
      <c r="E4211" s="70"/>
      <c r="F4211" s="70"/>
      <c r="G4211" s="70"/>
      <c r="H4211" s="85"/>
      <c r="I4211" s="85"/>
      <c r="J4211" s="131"/>
      <c r="K4211" s="60"/>
      <c r="L4211" s="33"/>
    </row>
    <row r="4212" spans="1:27" ht="16" x14ac:dyDescent="0.2">
      <c r="A4212" s="70"/>
      <c r="B4212" s="82"/>
      <c r="C4212" s="70"/>
      <c r="D4212" s="70"/>
      <c r="E4212" s="70"/>
      <c r="F4212" s="70"/>
      <c r="G4212" s="70"/>
      <c r="H4212" s="85"/>
      <c r="I4212" s="85"/>
      <c r="J4212" s="131"/>
      <c r="K4212" s="60"/>
      <c r="L4212" s="33"/>
      <c r="M4212" s="48"/>
    </row>
    <row r="4213" spans="1:27" x14ac:dyDescent="0.15">
      <c r="A4213" s="70"/>
      <c r="B4213" s="93"/>
      <c r="C4213" s="70"/>
      <c r="D4213" s="70"/>
      <c r="E4213" s="70"/>
      <c r="F4213" s="70"/>
      <c r="G4213" s="70"/>
      <c r="H4213" s="85"/>
      <c r="I4213" s="85"/>
      <c r="J4213" s="131"/>
      <c r="K4213" s="60"/>
      <c r="L4213" s="33"/>
    </row>
    <row r="4214" spans="1:27" x14ac:dyDescent="0.15">
      <c r="A4214" s="70"/>
      <c r="B4214" s="93"/>
      <c r="C4214" s="70"/>
      <c r="D4214" s="70"/>
      <c r="E4214" s="70"/>
      <c r="F4214" s="70"/>
      <c r="G4214" s="70"/>
      <c r="H4214" s="85"/>
      <c r="I4214" s="85"/>
      <c r="J4214" s="131"/>
      <c r="K4214" s="60"/>
      <c r="L4214" s="33"/>
    </row>
    <row r="4215" spans="1:27" x14ac:dyDescent="0.15">
      <c r="A4215" s="70"/>
      <c r="B4215" s="93"/>
      <c r="C4215" s="70"/>
      <c r="D4215" s="70"/>
      <c r="E4215" s="70"/>
      <c r="F4215" s="70"/>
      <c r="G4215" s="70"/>
      <c r="H4215" s="85"/>
      <c r="I4215" s="85"/>
      <c r="J4215" s="131"/>
      <c r="K4215" s="60"/>
      <c r="L4215" s="33"/>
    </row>
    <row r="4216" spans="1:27" x14ac:dyDescent="0.15">
      <c r="A4216" s="70"/>
      <c r="B4216" s="82"/>
      <c r="C4216" s="70"/>
      <c r="D4216" s="70"/>
      <c r="E4216" s="70"/>
      <c r="F4216" s="70"/>
      <c r="G4216" s="70"/>
      <c r="H4216" s="85"/>
      <c r="I4216" s="85"/>
      <c r="J4216" s="131"/>
      <c r="K4216" s="60"/>
    </row>
    <row r="4217" spans="1:27" x14ac:dyDescent="0.15">
      <c r="A4217" s="70"/>
      <c r="B4217" s="93"/>
      <c r="C4217" s="70"/>
      <c r="D4217" s="70"/>
      <c r="E4217" s="70"/>
      <c r="F4217" s="70"/>
      <c r="G4217" s="70"/>
      <c r="H4217" s="85"/>
      <c r="I4217" s="85"/>
      <c r="J4217" s="131"/>
      <c r="K4217" s="60"/>
      <c r="L4217" s="33"/>
    </row>
    <row r="4218" spans="1:27" x14ac:dyDescent="0.15">
      <c r="A4218" s="70"/>
      <c r="B4218" s="93"/>
      <c r="C4218" s="70"/>
      <c r="D4218" s="70"/>
      <c r="E4218" s="70"/>
      <c r="F4218" s="70"/>
      <c r="G4218" s="70"/>
      <c r="H4218" s="85"/>
      <c r="I4218" s="85"/>
      <c r="J4218" s="131"/>
      <c r="K4218" s="60"/>
      <c r="L4218" s="33"/>
    </row>
    <row r="4219" spans="1:27" x14ac:dyDescent="0.15">
      <c r="A4219" s="70"/>
      <c r="B4219" s="93"/>
      <c r="C4219" s="70"/>
      <c r="D4219" s="70"/>
      <c r="E4219" s="70"/>
      <c r="F4219" s="70"/>
      <c r="G4219" s="70"/>
      <c r="H4219" s="85"/>
      <c r="I4219" s="85"/>
      <c r="J4219" s="131"/>
      <c r="K4219" s="60"/>
      <c r="L4219" s="33"/>
    </row>
    <row r="4220" spans="1:27" ht="16" x14ac:dyDescent="0.2">
      <c r="A4220" s="70"/>
      <c r="B4220" s="93"/>
      <c r="C4220" s="73"/>
      <c r="D4220" s="73"/>
      <c r="E4220" s="73"/>
      <c r="F4220" s="73"/>
      <c r="G4220" s="73"/>
      <c r="H4220" s="85"/>
      <c r="I4220" s="85"/>
      <c r="J4220" s="131"/>
      <c r="K4220" s="60"/>
      <c r="L4220" s="33"/>
      <c r="M4220" s="48"/>
    </row>
    <row r="4221" spans="1:27" x14ac:dyDescent="0.15">
      <c r="A4221" s="70"/>
      <c r="B4221" s="93"/>
      <c r="C4221" s="70"/>
      <c r="D4221" s="70"/>
      <c r="E4221" s="70"/>
      <c r="F4221" s="70"/>
      <c r="G4221" s="70"/>
      <c r="H4221" s="85"/>
      <c r="I4221" s="85"/>
      <c r="J4221" s="131"/>
      <c r="K4221" s="60"/>
      <c r="L4221" s="33"/>
    </row>
    <row r="4222" spans="1:27" x14ac:dyDescent="0.15">
      <c r="A4222" s="70"/>
      <c r="B4222" s="93"/>
      <c r="C4222" s="70"/>
      <c r="D4222" s="70"/>
      <c r="E4222" s="70"/>
      <c r="F4222" s="70"/>
      <c r="G4222" s="70"/>
      <c r="H4222" s="85"/>
      <c r="I4222" s="85"/>
      <c r="J4222" s="131"/>
      <c r="K4222" s="60"/>
      <c r="L4222" s="33"/>
    </row>
    <row r="4223" spans="1:27" s="37" customFormat="1" x14ac:dyDescent="0.15">
      <c r="A4223" s="70"/>
      <c r="B4223" s="93"/>
      <c r="C4223" s="70"/>
      <c r="D4223" s="70"/>
      <c r="E4223" s="70"/>
      <c r="F4223" s="70"/>
      <c r="G4223" s="70"/>
      <c r="H4223" s="85"/>
      <c r="I4223" s="85"/>
      <c r="J4223" s="131"/>
      <c r="K4223" s="60"/>
      <c r="L4223" s="33"/>
      <c r="P4223" s="3"/>
      <c r="Q4223" s="3"/>
      <c r="R4223" s="3"/>
      <c r="S4223" s="3"/>
      <c r="T4223" s="3"/>
      <c r="U4223" s="3"/>
      <c r="V4223" s="3"/>
      <c r="W4223" s="3"/>
      <c r="X4223" s="3"/>
      <c r="Y4223" s="4"/>
      <c r="Z4223"/>
      <c r="AA4223"/>
    </row>
    <row r="4224" spans="1:27" s="37" customFormat="1" x14ac:dyDescent="0.15">
      <c r="A4224" s="70"/>
      <c r="B4224" s="93"/>
      <c r="C4224" s="70"/>
      <c r="D4224" s="70"/>
      <c r="E4224" s="70"/>
      <c r="F4224" s="70"/>
      <c r="G4224" s="70"/>
      <c r="H4224" s="85"/>
      <c r="I4224" s="85"/>
      <c r="J4224" s="131"/>
      <c r="K4224" s="60"/>
      <c r="L4224" s="33"/>
      <c r="P4224" s="3"/>
      <c r="Q4224" s="3"/>
      <c r="R4224" s="3"/>
      <c r="S4224" s="3"/>
      <c r="T4224" s="3"/>
      <c r="U4224" s="3"/>
      <c r="V4224" s="3"/>
      <c r="W4224" s="3"/>
      <c r="X4224" s="3"/>
      <c r="Y4224" s="4"/>
      <c r="Z4224"/>
      <c r="AA4224"/>
    </row>
    <row r="4225" spans="1:27" s="37" customFormat="1" x14ac:dyDescent="0.15">
      <c r="A4225" s="70"/>
      <c r="B4225" s="82"/>
      <c r="C4225" s="70"/>
      <c r="D4225" s="70"/>
      <c r="E4225" s="70"/>
      <c r="F4225" s="70"/>
      <c r="G4225" s="70"/>
      <c r="H4225" s="85"/>
      <c r="I4225" s="85"/>
      <c r="J4225" s="131"/>
      <c r="K4225" s="60"/>
      <c r="L4225" s="33"/>
      <c r="P4225" s="3"/>
      <c r="Q4225" s="3"/>
      <c r="R4225" s="3"/>
      <c r="S4225" s="3"/>
      <c r="T4225" s="3"/>
      <c r="U4225" s="3"/>
      <c r="V4225" s="3"/>
      <c r="W4225" s="3"/>
      <c r="X4225" s="3"/>
      <c r="Y4225" s="4"/>
      <c r="Z4225"/>
      <c r="AA4225"/>
    </row>
    <row r="4226" spans="1:27" s="37" customFormat="1" x14ac:dyDescent="0.15">
      <c r="A4226" s="70"/>
      <c r="B4226" s="82"/>
      <c r="C4226" s="70"/>
      <c r="D4226" s="70"/>
      <c r="E4226" s="73"/>
      <c r="F4226" s="70"/>
      <c r="G4226" s="70"/>
      <c r="H4226" s="85"/>
      <c r="I4226" s="85"/>
      <c r="J4226" s="131"/>
      <c r="K4226" s="60"/>
      <c r="L4226" s="33"/>
      <c r="P4226" s="3"/>
      <c r="Q4226" s="3"/>
      <c r="R4226" s="3"/>
      <c r="S4226" s="3"/>
      <c r="T4226" s="3"/>
      <c r="U4226" s="3"/>
      <c r="V4226" s="3"/>
      <c r="W4226" s="3"/>
      <c r="X4226" s="3"/>
      <c r="Y4226" s="4"/>
      <c r="Z4226"/>
      <c r="AA4226"/>
    </row>
    <row r="4227" spans="1:27" s="37" customFormat="1" x14ac:dyDescent="0.15">
      <c r="A4227" s="70"/>
      <c r="B4227" s="82"/>
      <c r="C4227" s="70"/>
      <c r="D4227" s="70"/>
      <c r="E4227" s="70"/>
      <c r="F4227" s="70"/>
      <c r="G4227" s="70"/>
      <c r="H4227" s="85"/>
      <c r="I4227" s="85"/>
      <c r="J4227" s="131"/>
      <c r="K4227" s="60"/>
      <c r="L4227" s="49"/>
      <c r="P4227" s="3"/>
      <c r="Q4227" s="3"/>
      <c r="R4227" s="3"/>
      <c r="S4227" s="3"/>
      <c r="T4227" s="3"/>
      <c r="U4227" s="3"/>
      <c r="V4227" s="3"/>
      <c r="W4227" s="3"/>
      <c r="X4227" s="3"/>
      <c r="Y4227" s="4"/>
      <c r="Z4227"/>
      <c r="AA4227"/>
    </row>
    <row r="4228" spans="1:27" s="37" customFormat="1" x14ac:dyDescent="0.15">
      <c r="A4228" s="70"/>
      <c r="B4228" s="82"/>
      <c r="C4228" s="70"/>
      <c r="D4228" s="70"/>
      <c r="E4228" s="70"/>
      <c r="F4228" s="70"/>
      <c r="G4228" s="70"/>
      <c r="H4228" s="85"/>
      <c r="I4228" s="85"/>
      <c r="J4228" s="131"/>
      <c r="K4228" s="60"/>
      <c r="L4228" s="49"/>
      <c r="P4228" s="3"/>
      <c r="Q4228" s="3"/>
      <c r="R4228" s="3"/>
      <c r="S4228" s="3"/>
      <c r="T4228" s="3"/>
      <c r="U4228" s="3"/>
      <c r="V4228" s="3"/>
      <c r="W4228" s="3"/>
      <c r="X4228" s="3"/>
      <c r="Y4228" s="4"/>
      <c r="Z4228"/>
      <c r="AA4228"/>
    </row>
    <row r="4229" spans="1:27" s="37" customFormat="1" x14ac:dyDescent="0.15">
      <c r="A4229" s="70"/>
      <c r="B4229" s="82"/>
      <c r="C4229" s="70"/>
      <c r="D4229" s="70"/>
      <c r="E4229" s="70"/>
      <c r="F4229" s="70"/>
      <c r="G4229" s="70"/>
      <c r="H4229" s="85"/>
      <c r="I4229" s="85"/>
      <c r="J4229" s="131"/>
      <c r="K4229" s="60"/>
      <c r="L4229" s="33"/>
      <c r="P4229" s="3"/>
      <c r="Q4229" s="3"/>
      <c r="R4229" s="3"/>
      <c r="S4229" s="3"/>
      <c r="T4229" s="3"/>
      <c r="U4229" s="3"/>
      <c r="V4229" s="3"/>
      <c r="W4229" s="3"/>
      <c r="X4229" s="3"/>
      <c r="Y4229" s="4"/>
      <c r="Z4229"/>
      <c r="AA4229"/>
    </row>
    <row r="4230" spans="1:27" s="37" customFormat="1" ht="16" x14ac:dyDescent="0.2">
      <c r="A4230" s="70"/>
      <c r="B4230" s="93"/>
      <c r="C4230" s="70"/>
      <c r="D4230" s="70"/>
      <c r="E4230" s="73"/>
      <c r="F4230" s="70"/>
      <c r="G4230" s="70"/>
      <c r="H4230" s="85"/>
      <c r="I4230" s="85"/>
      <c r="J4230" s="131"/>
      <c r="K4230" s="60"/>
      <c r="L4230" s="33"/>
      <c r="M4230" s="48"/>
      <c r="P4230" s="3"/>
      <c r="Q4230" s="3"/>
      <c r="R4230" s="3"/>
      <c r="S4230" s="3"/>
      <c r="T4230" s="3"/>
      <c r="U4230" s="3"/>
      <c r="V4230" s="3"/>
      <c r="W4230" s="3"/>
      <c r="X4230" s="3"/>
      <c r="Y4230" s="4"/>
      <c r="Z4230"/>
      <c r="AA4230"/>
    </row>
    <row r="4231" spans="1:27" s="37" customFormat="1" x14ac:dyDescent="0.15">
      <c r="A4231" s="70"/>
      <c r="B4231" s="93"/>
      <c r="C4231" s="70"/>
      <c r="D4231" s="70"/>
      <c r="E4231" s="73"/>
      <c r="F4231" s="70"/>
      <c r="G4231" s="70"/>
      <c r="H4231" s="85"/>
      <c r="I4231" s="85"/>
      <c r="J4231" s="131"/>
      <c r="K4231" s="60"/>
      <c r="L4231" s="49"/>
      <c r="P4231" s="3"/>
      <c r="Q4231" s="3"/>
      <c r="R4231" s="3"/>
      <c r="S4231" s="3"/>
      <c r="T4231" s="3"/>
      <c r="U4231" s="3"/>
      <c r="V4231" s="3"/>
      <c r="W4231" s="3"/>
      <c r="X4231" s="3"/>
      <c r="Y4231" s="4"/>
      <c r="Z4231"/>
      <c r="AA4231"/>
    </row>
    <row r="4232" spans="1:27" s="37" customFormat="1" x14ac:dyDescent="0.15">
      <c r="A4232" s="70"/>
      <c r="B4232" s="93"/>
      <c r="C4232" s="70"/>
      <c r="D4232" s="70"/>
      <c r="E4232" s="70"/>
      <c r="F4232" s="70"/>
      <c r="G4232" s="70"/>
      <c r="H4232" s="85"/>
      <c r="I4232" s="85"/>
      <c r="J4232" s="131"/>
      <c r="K4232" s="60"/>
      <c r="L4232" s="33"/>
      <c r="P4232" s="3"/>
      <c r="Q4232" s="3"/>
      <c r="R4232" s="3"/>
      <c r="S4232" s="3"/>
      <c r="T4232" s="3"/>
      <c r="U4232" s="3"/>
      <c r="V4232" s="3"/>
      <c r="W4232" s="3"/>
      <c r="X4232" s="3"/>
      <c r="Y4232" s="4"/>
      <c r="Z4232"/>
      <c r="AA4232"/>
    </row>
    <row r="4233" spans="1:27" s="37" customFormat="1" x14ac:dyDescent="0.15">
      <c r="A4233" s="70"/>
      <c r="B4233" s="82"/>
      <c r="C4233" s="70"/>
      <c r="D4233" s="70"/>
      <c r="E4233" s="70"/>
      <c r="F4233" s="70"/>
      <c r="G4233" s="70"/>
      <c r="H4233" s="85"/>
      <c r="I4233" s="85"/>
      <c r="J4233" s="131"/>
      <c r="K4233" s="60"/>
      <c r="L4233" s="49"/>
      <c r="P4233" s="3"/>
      <c r="Q4233" s="3"/>
      <c r="R4233" s="3"/>
      <c r="S4233" s="3"/>
      <c r="T4233" s="3"/>
      <c r="U4233" s="3"/>
      <c r="V4233" s="3"/>
      <c r="W4233" s="3"/>
      <c r="X4233" s="3"/>
      <c r="Y4233" s="4"/>
      <c r="Z4233"/>
      <c r="AA4233"/>
    </row>
    <row r="4234" spans="1:27" s="37" customFormat="1" x14ac:dyDescent="0.15">
      <c r="A4234" s="70"/>
      <c r="B4234" s="82"/>
      <c r="C4234" s="70"/>
      <c r="D4234" s="70"/>
      <c r="E4234" s="70"/>
      <c r="F4234" s="70"/>
      <c r="G4234" s="70"/>
      <c r="H4234" s="85"/>
      <c r="I4234" s="85"/>
      <c r="J4234" s="131"/>
      <c r="K4234" s="60"/>
      <c r="L4234" s="33"/>
      <c r="P4234" s="3"/>
      <c r="Q4234" s="3"/>
      <c r="R4234" s="3"/>
      <c r="S4234" s="3"/>
      <c r="T4234" s="3"/>
      <c r="U4234" s="3"/>
      <c r="V4234" s="3"/>
      <c r="W4234" s="3"/>
      <c r="X4234" s="3"/>
      <c r="Y4234" s="4"/>
      <c r="Z4234"/>
      <c r="AA4234"/>
    </row>
    <row r="4235" spans="1:27" s="37" customFormat="1" x14ac:dyDescent="0.15">
      <c r="A4235" s="70"/>
      <c r="B4235" s="93"/>
      <c r="C4235" s="70"/>
      <c r="D4235" s="70"/>
      <c r="E4235" s="70"/>
      <c r="F4235" s="70"/>
      <c r="G4235" s="70"/>
      <c r="H4235" s="85"/>
      <c r="I4235" s="85"/>
      <c r="J4235" s="131"/>
      <c r="K4235" s="60"/>
      <c r="L4235" s="33"/>
      <c r="P4235" s="3"/>
      <c r="Q4235" s="3"/>
      <c r="R4235" s="3"/>
      <c r="S4235" s="3"/>
      <c r="T4235" s="3"/>
      <c r="U4235" s="3"/>
      <c r="V4235" s="3"/>
      <c r="W4235" s="3"/>
      <c r="X4235" s="3"/>
      <c r="Y4235" s="4"/>
      <c r="Z4235"/>
      <c r="AA4235"/>
    </row>
    <row r="4236" spans="1:27" s="37" customFormat="1" x14ac:dyDescent="0.15">
      <c r="A4236" s="70"/>
      <c r="B4236" s="93"/>
      <c r="C4236" s="70"/>
      <c r="D4236" s="70"/>
      <c r="E4236" s="70"/>
      <c r="F4236" s="70"/>
      <c r="G4236" s="70"/>
      <c r="H4236" s="85"/>
      <c r="I4236" s="85"/>
      <c r="J4236" s="131"/>
      <c r="K4236" s="60"/>
      <c r="L4236" s="33"/>
      <c r="P4236" s="3"/>
      <c r="Q4236" s="3"/>
      <c r="R4236" s="3"/>
      <c r="S4236" s="3"/>
      <c r="T4236" s="3"/>
      <c r="U4236" s="3"/>
      <c r="V4236" s="3"/>
      <c r="W4236" s="3"/>
      <c r="X4236" s="3"/>
      <c r="Y4236" s="4"/>
      <c r="Z4236"/>
      <c r="AA4236"/>
    </row>
    <row r="4237" spans="1:27" s="37" customFormat="1" ht="16" x14ac:dyDescent="0.2">
      <c r="A4237" s="70"/>
      <c r="B4237" s="93"/>
      <c r="C4237" s="70"/>
      <c r="D4237" s="70"/>
      <c r="E4237" s="70"/>
      <c r="F4237" s="70"/>
      <c r="G4237" s="70"/>
      <c r="H4237" s="85"/>
      <c r="I4237" s="85"/>
      <c r="J4237" s="131"/>
      <c r="K4237" s="60"/>
      <c r="L4237" s="33"/>
      <c r="M4237" s="48"/>
      <c r="P4237" s="3"/>
      <c r="Q4237" s="3"/>
      <c r="R4237" s="3"/>
      <c r="S4237" s="3"/>
      <c r="T4237" s="3"/>
      <c r="U4237" s="3"/>
      <c r="V4237" s="3"/>
      <c r="W4237" s="3"/>
      <c r="X4237" s="3"/>
      <c r="Y4237" s="4"/>
      <c r="Z4237"/>
      <c r="AA4237"/>
    </row>
    <row r="4238" spans="1:27" s="37" customFormat="1" x14ac:dyDescent="0.15">
      <c r="A4238" s="70"/>
      <c r="B4238" s="93"/>
      <c r="C4238" s="70"/>
      <c r="D4238" s="70"/>
      <c r="E4238" s="70"/>
      <c r="F4238" s="70"/>
      <c r="G4238" s="70"/>
      <c r="H4238" s="85"/>
      <c r="I4238" s="85"/>
      <c r="J4238" s="131"/>
      <c r="K4238" s="67"/>
      <c r="L4238" s="33"/>
      <c r="P4238" s="3"/>
      <c r="Q4238" s="3"/>
      <c r="R4238" s="3"/>
      <c r="S4238" s="3"/>
      <c r="T4238" s="3"/>
      <c r="U4238" s="3"/>
      <c r="V4238" s="3"/>
      <c r="W4238" s="3"/>
      <c r="X4238" s="3"/>
      <c r="Y4238" s="4"/>
      <c r="Z4238"/>
      <c r="AA4238"/>
    </row>
    <row r="4239" spans="1:27" s="37" customFormat="1" x14ac:dyDescent="0.15">
      <c r="A4239" s="70"/>
      <c r="B4239" s="82"/>
      <c r="C4239" s="70"/>
      <c r="D4239" s="70"/>
      <c r="E4239" s="73"/>
      <c r="F4239" s="70"/>
      <c r="G4239" s="70"/>
      <c r="H4239" s="85"/>
      <c r="I4239" s="85"/>
      <c r="J4239" s="131"/>
      <c r="K4239" s="60"/>
      <c r="L4239" s="49"/>
      <c r="P4239" s="3"/>
      <c r="Q4239" s="3"/>
      <c r="R4239" s="3"/>
      <c r="S4239" s="3"/>
      <c r="T4239" s="3"/>
      <c r="U4239" s="3"/>
      <c r="V4239" s="3"/>
      <c r="W4239" s="3"/>
      <c r="X4239" s="3"/>
      <c r="Y4239" s="4"/>
      <c r="Z4239"/>
      <c r="AA4239"/>
    </row>
    <row r="4240" spans="1:27" s="37" customFormat="1" x14ac:dyDescent="0.15">
      <c r="A4240" s="70"/>
      <c r="B4240" s="93"/>
      <c r="C4240" s="73"/>
      <c r="D4240" s="73"/>
      <c r="E4240" s="70"/>
      <c r="F4240" s="73"/>
      <c r="G4240" s="73"/>
      <c r="H4240" s="85"/>
      <c r="I4240" s="85"/>
      <c r="J4240" s="131"/>
      <c r="K4240" s="60"/>
      <c r="L4240" s="33"/>
      <c r="P4240" s="3"/>
      <c r="Q4240" s="3"/>
      <c r="R4240" s="3"/>
      <c r="S4240" s="3"/>
      <c r="T4240" s="3"/>
      <c r="U4240" s="3"/>
      <c r="V4240" s="3"/>
      <c r="W4240" s="3"/>
      <c r="X4240" s="3"/>
      <c r="Y4240" s="4"/>
      <c r="Z4240"/>
      <c r="AA4240"/>
    </row>
    <row r="4241" spans="1:27" s="37" customFormat="1" x14ac:dyDescent="0.15">
      <c r="A4241" s="70"/>
      <c r="B4241" s="93"/>
      <c r="C4241" s="70"/>
      <c r="D4241" s="70"/>
      <c r="E4241" s="70"/>
      <c r="F4241" s="70"/>
      <c r="G4241" s="70"/>
      <c r="H4241" s="85"/>
      <c r="I4241" s="85"/>
      <c r="J4241" s="131"/>
      <c r="K4241" s="60"/>
      <c r="L4241" s="33"/>
      <c r="P4241" s="3"/>
      <c r="Q4241" s="3"/>
      <c r="R4241" s="3"/>
      <c r="S4241" s="3"/>
      <c r="T4241" s="3"/>
      <c r="U4241" s="3"/>
      <c r="V4241" s="3"/>
      <c r="W4241" s="3"/>
      <c r="X4241" s="3"/>
      <c r="Y4241" s="4"/>
      <c r="Z4241"/>
      <c r="AA4241"/>
    </row>
    <row r="4242" spans="1:27" s="37" customFormat="1" x14ac:dyDescent="0.15">
      <c r="A4242" s="70"/>
      <c r="B4242" s="93"/>
      <c r="C4242" s="70"/>
      <c r="D4242" s="70"/>
      <c r="E4242" s="70"/>
      <c r="F4242" s="70"/>
      <c r="G4242" s="70"/>
      <c r="H4242" s="85"/>
      <c r="I4242" s="85"/>
      <c r="J4242" s="131"/>
      <c r="K4242" s="60"/>
      <c r="L4242" s="33"/>
      <c r="P4242" s="3"/>
      <c r="Q4242" s="3"/>
      <c r="R4242" s="3"/>
      <c r="S4242" s="3"/>
      <c r="T4242" s="3"/>
      <c r="U4242" s="3"/>
      <c r="V4242" s="3"/>
      <c r="W4242" s="3"/>
      <c r="X4242" s="3"/>
      <c r="Y4242" s="4"/>
      <c r="Z4242"/>
      <c r="AA4242"/>
    </row>
    <row r="4243" spans="1:27" s="37" customFormat="1" x14ac:dyDescent="0.15">
      <c r="A4243" s="70"/>
      <c r="B4243" s="93"/>
      <c r="C4243" s="70"/>
      <c r="D4243" s="70"/>
      <c r="E4243" s="70"/>
      <c r="F4243" s="70"/>
      <c r="G4243" s="70"/>
      <c r="H4243" s="85"/>
      <c r="I4243" s="85"/>
      <c r="J4243" s="131"/>
      <c r="K4243" s="60"/>
      <c r="L4243" s="33"/>
      <c r="P4243" s="3"/>
      <c r="Q4243" s="3"/>
      <c r="R4243" s="3"/>
      <c r="S4243" s="3"/>
      <c r="T4243" s="3"/>
      <c r="U4243" s="3"/>
      <c r="V4243" s="3"/>
      <c r="W4243" s="3"/>
      <c r="X4243" s="3"/>
      <c r="Y4243" s="4"/>
      <c r="Z4243"/>
      <c r="AA4243"/>
    </row>
    <row r="4244" spans="1:27" s="37" customFormat="1" x14ac:dyDescent="0.15">
      <c r="A4244" s="70"/>
      <c r="B4244" s="82"/>
      <c r="C4244" s="70"/>
      <c r="D4244" s="70"/>
      <c r="E4244" s="70"/>
      <c r="F4244" s="70"/>
      <c r="G4244" s="70"/>
      <c r="H4244" s="85"/>
      <c r="I4244" s="85"/>
      <c r="J4244" s="131"/>
      <c r="K4244" s="60"/>
      <c r="L4244" s="33"/>
      <c r="P4244" s="3"/>
      <c r="Q4244" s="3"/>
      <c r="R4244" s="3"/>
      <c r="S4244" s="3"/>
      <c r="T4244" s="3"/>
      <c r="U4244" s="3"/>
      <c r="V4244" s="3"/>
      <c r="W4244" s="3"/>
      <c r="X4244" s="3"/>
      <c r="Y4244" s="4"/>
      <c r="Z4244"/>
      <c r="AA4244"/>
    </row>
    <row r="4245" spans="1:27" s="37" customFormat="1" ht="16" x14ac:dyDescent="0.2">
      <c r="A4245" s="70"/>
      <c r="B4245" s="93"/>
      <c r="C4245" s="70"/>
      <c r="D4245" s="70"/>
      <c r="E4245" s="70"/>
      <c r="F4245" s="70"/>
      <c r="G4245" s="70"/>
      <c r="H4245" s="85"/>
      <c r="I4245" s="85"/>
      <c r="J4245" s="131"/>
      <c r="K4245" s="60"/>
      <c r="L4245" s="47"/>
      <c r="P4245" s="3"/>
      <c r="Q4245" s="3"/>
      <c r="R4245" s="3"/>
      <c r="S4245" s="3"/>
      <c r="T4245" s="3"/>
      <c r="U4245" s="3"/>
      <c r="V4245" s="3"/>
      <c r="W4245" s="3"/>
      <c r="X4245" s="3"/>
      <c r="Y4245" s="4"/>
      <c r="Z4245"/>
      <c r="AA4245"/>
    </row>
    <row r="4246" spans="1:27" s="37" customFormat="1" x14ac:dyDescent="0.15">
      <c r="A4246" s="70"/>
      <c r="B4246" s="82"/>
      <c r="C4246" s="70"/>
      <c r="D4246" s="70"/>
      <c r="E4246" s="70"/>
      <c r="F4246" s="70"/>
      <c r="G4246" s="70"/>
      <c r="H4246" s="85"/>
      <c r="I4246" s="85"/>
      <c r="J4246" s="131"/>
      <c r="K4246" s="60"/>
      <c r="L4246" s="33"/>
      <c r="P4246" s="3"/>
      <c r="Q4246" s="3"/>
      <c r="R4246" s="3"/>
      <c r="S4246" s="3"/>
      <c r="T4246" s="3"/>
      <c r="U4246" s="3"/>
      <c r="V4246" s="3"/>
      <c r="W4246" s="3"/>
      <c r="X4246" s="3"/>
      <c r="Y4246" s="4"/>
      <c r="Z4246"/>
      <c r="AA4246"/>
    </row>
    <row r="4247" spans="1:27" s="37" customFormat="1" x14ac:dyDescent="0.15">
      <c r="A4247" s="70"/>
      <c r="B4247" s="93"/>
      <c r="C4247" s="70"/>
      <c r="D4247" s="70"/>
      <c r="E4247" s="70"/>
      <c r="F4247" s="70"/>
      <c r="G4247" s="70"/>
      <c r="H4247" s="85"/>
      <c r="I4247" s="85"/>
      <c r="J4247" s="131"/>
      <c r="K4247" s="60"/>
      <c r="L4247" s="33"/>
      <c r="P4247" s="3"/>
      <c r="Q4247" s="3"/>
      <c r="R4247" s="3"/>
      <c r="S4247" s="3"/>
      <c r="T4247" s="3"/>
      <c r="U4247" s="3"/>
      <c r="V4247" s="3"/>
      <c r="W4247" s="3"/>
      <c r="X4247" s="3"/>
      <c r="Y4247" s="4"/>
      <c r="Z4247"/>
      <c r="AA4247"/>
    </row>
    <row r="4248" spans="1:27" s="37" customFormat="1" x14ac:dyDescent="0.15">
      <c r="A4248" s="70"/>
      <c r="B4248" s="93"/>
      <c r="C4248" s="70"/>
      <c r="D4248" s="70"/>
      <c r="E4248" s="70"/>
      <c r="F4248" s="70"/>
      <c r="G4248" s="70"/>
      <c r="H4248" s="85"/>
      <c r="I4248" s="85"/>
      <c r="J4248" s="134"/>
      <c r="K4248" s="67"/>
      <c r="L4248" s="33"/>
      <c r="P4248" s="3"/>
      <c r="Q4248" s="3"/>
      <c r="R4248" s="3"/>
      <c r="S4248" s="3"/>
      <c r="T4248" s="3"/>
      <c r="U4248" s="3"/>
      <c r="V4248" s="3"/>
      <c r="W4248" s="3"/>
      <c r="X4248" s="3"/>
      <c r="Y4248" s="4"/>
      <c r="Z4248"/>
      <c r="AA4248"/>
    </row>
    <row r="4249" spans="1:27" s="37" customFormat="1" ht="16" x14ac:dyDescent="0.2">
      <c r="A4249" s="70"/>
      <c r="B4249" s="93"/>
      <c r="C4249" s="70"/>
      <c r="D4249" s="70"/>
      <c r="E4249" s="70"/>
      <c r="F4249" s="70"/>
      <c r="G4249" s="70"/>
      <c r="H4249" s="85"/>
      <c r="I4249" s="85"/>
      <c r="J4249" s="131"/>
      <c r="K4249" s="60"/>
      <c r="L4249" s="33"/>
      <c r="M4249" s="48"/>
      <c r="P4249" s="3"/>
      <c r="Q4249" s="3"/>
      <c r="R4249" s="3"/>
      <c r="S4249" s="3"/>
      <c r="T4249" s="3"/>
      <c r="U4249" s="3"/>
      <c r="V4249" s="3"/>
      <c r="W4249" s="3"/>
      <c r="X4249" s="3"/>
      <c r="Y4249" s="4"/>
      <c r="Z4249"/>
      <c r="AA4249"/>
    </row>
    <row r="4250" spans="1:27" s="37" customFormat="1" x14ac:dyDescent="0.15">
      <c r="A4250" s="70"/>
      <c r="B4250" s="93"/>
      <c r="C4250" s="70"/>
      <c r="D4250" s="70"/>
      <c r="E4250" s="70"/>
      <c r="F4250" s="70"/>
      <c r="G4250" s="70"/>
      <c r="H4250" s="85"/>
      <c r="I4250" s="85"/>
      <c r="J4250" s="131"/>
      <c r="K4250" s="60"/>
      <c r="L4250" s="33"/>
      <c r="P4250" s="3"/>
      <c r="Q4250" s="3"/>
      <c r="R4250" s="3"/>
      <c r="S4250" s="3"/>
      <c r="T4250" s="3"/>
      <c r="U4250" s="3"/>
      <c r="V4250" s="3"/>
      <c r="W4250" s="3"/>
      <c r="X4250" s="3"/>
      <c r="Y4250" s="4"/>
      <c r="Z4250"/>
      <c r="AA4250"/>
    </row>
    <row r="4251" spans="1:27" s="37" customFormat="1" x14ac:dyDescent="0.15">
      <c r="A4251" s="70"/>
      <c r="B4251" s="82"/>
      <c r="C4251" s="70"/>
      <c r="D4251" s="70"/>
      <c r="E4251" s="70"/>
      <c r="F4251" s="70"/>
      <c r="G4251" s="70"/>
      <c r="H4251" s="85"/>
      <c r="I4251" s="85"/>
      <c r="J4251" s="131"/>
      <c r="K4251" s="60"/>
      <c r="L4251" s="49"/>
      <c r="P4251" s="3"/>
      <c r="Q4251" s="3"/>
      <c r="R4251" s="3"/>
      <c r="S4251" s="3"/>
      <c r="T4251" s="3"/>
      <c r="U4251" s="3"/>
      <c r="V4251" s="3"/>
      <c r="W4251" s="3"/>
      <c r="X4251" s="3"/>
      <c r="Y4251" s="4"/>
      <c r="Z4251"/>
      <c r="AA4251"/>
    </row>
    <row r="4252" spans="1:27" s="37" customFormat="1" x14ac:dyDescent="0.15">
      <c r="A4252" s="70"/>
      <c r="B4252" s="82"/>
      <c r="C4252" s="70"/>
      <c r="D4252" s="70"/>
      <c r="E4252" s="70"/>
      <c r="F4252" s="70"/>
      <c r="G4252" s="70"/>
      <c r="H4252" s="85"/>
      <c r="I4252" s="85"/>
      <c r="J4252" s="131"/>
      <c r="K4252" s="60"/>
      <c r="L4252" s="33"/>
      <c r="P4252" s="3"/>
      <c r="Q4252" s="3"/>
      <c r="R4252" s="3"/>
      <c r="S4252" s="3"/>
      <c r="T4252" s="3"/>
      <c r="U4252" s="3"/>
      <c r="V4252" s="3"/>
      <c r="W4252" s="3"/>
      <c r="X4252" s="3"/>
      <c r="Y4252" s="4"/>
      <c r="Z4252"/>
      <c r="AA4252"/>
    </row>
    <row r="4253" spans="1:27" s="37" customFormat="1" x14ac:dyDescent="0.15">
      <c r="A4253" s="70"/>
      <c r="B4253" s="82"/>
      <c r="C4253" s="70"/>
      <c r="D4253" s="70"/>
      <c r="E4253" s="70"/>
      <c r="F4253" s="70"/>
      <c r="G4253" s="70"/>
      <c r="H4253" s="85"/>
      <c r="I4253" s="85"/>
      <c r="J4253" s="131"/>
      <c r="K4253" s="60"/>
      <c r="L4253" s="33"/>
      <c r="P4253" s="3"/>
      <c r="Q4253" s="3"/>
      <c r="R4253" s="3"/>
      <c r="S4253" s="3"/>
      <c r="T4253" s="3"/>
      <c r="U4253" s="3"/>
      <c r="V4253" s="3"/>
      <c r="W4253" s="3"/>
      <c r="X4253" s="3"/>
      <c r="Y4253" s="4"/>
      <c r="Z4253"/>
      <c r="AA4253"/>
    </row>
    <row r="4254" spans="1:27" s="37" customFormat="1" x14ac:dyDescent="0.15">
      <c r="A4254" s="70"/>
      <c r="B4254" s="93"/>
      <c r="C4254" s="70"/>
      <c r="D4254" s="70"/>
      <c r="E4254" s="70"/>
      <c r="F4254" s="70"/>
      <c r="G4254" s="70"/>
      <c r="H4254" s="85"/>
      <c r="I4254" s="85"/>
      <c r="J4254" s="131"/>
      <c r="K4254" s="60"/>
      <c r="L4254" s="33"/>
      <c r="P4254" s="3"/>
      <c r="Q4254" s="3"/>
      <c r="R4254" s="3"/>
      <c r="S4254" s="3"/>
      <c r="T4254" s="3"/>
      <c r="U4254" s="3"/>
      <c r="V4254" s="3"/>
      <c r="W4254" s="3"/>
      <c r="X4254" s="3"/>
      <c r="Y4254" s="4"/>
      <c r="Z4254"/>
      <c r="AA4254"/>
    </row>
    <row r="4255" spans="1:27" s="37" customFormat="1" x14ac:dyDescent="0.15">
      <c r="A4255" s="70"/>
      <c r="B4255" s="93"/>
      <c r="C4255" s="70"/>
      <c r="D4255" s="70"/>
      <c r="E4255" s="70"/>
      <c r="F4255" s="70"/>
      <c r="G4255" s="70"/>
      <c r="H4255" s="85"/>
      <c r="I4255" s="85"/>
      <c r="J4255" s="131"/>
      <c r="K4255" s="60"/>
      <c r="L4255" s="33"/>
      <c r="P4255" s="3"/>
      <c r="Q4255" s="3"/>
      <c r="R4255" s="3"/>
      <c r="S4255" s="3"/>
      <c r="T4255" s="3"/>
      <c r="U4255" s="3"/>
      <c r="V4255" s="3"/>
      <c r="W4255" s="3"/>
      <c r="X4255" s="3"/>
      <c r="Y4255" s="4"/>
      <c r="Z4255"/>
      <c r="AA4255"/>
    </row>
    <row r="4256" spans="1:27" s="37" customFormat="1" x14ac:dyDescent="0.15">
      <c r="A4256" s="70"/>
      <c r="B4256" s="82"/>
      <c r="C4256" s="70"/>
      <c r="D4256" s="70"/>
      <c r="E4256" s="70"/>
      <c r="F4256" s="70"/>
      <c r="G4256" s="70"/>
      <c r="H4256" s="85"/>
      <c r="I4256" s="85"/>
      <c r="J4256" s="131"/>
      <c r="K4256" s="60"/>
      <c r="L4256" s="33"/>
      <c r="P4256" s="3"/>
      <c r="Q4256" s="3"/>
      <c r="R4256" s="3"/>
      <c r="S4256" s="3"/>
      <c r="T4256" s="3"/>
      <c r="U4256" s="3"/>
      <c r="V4256" s="3"/>
      <c r="W4256" s="3"/>
      <c r="X4256" s="3"/>
      <c r="Y4256" s="4"/>
      <c r="Z4256"/>
      <c r="AA4256"/>
    </row>
    <row r="4257" spans="1:27" s="37" customFormat="1" x14ac:dyDescent="0.15">
      <c r="A4257" s="70"/>
      <c r="B4257" s="82"/>
      <c r="C4257" s="70"/>
      <c r="D4257" s="70"/>
      <c r="E4257" s="70"/>
      <c r="F4257" s="70"/>
      <c r="G4257" s="70"/>
      <c r="H4257" s="85"/>
      <c r="I4257" s="85"/>
      <c r="J4257" s="131"/>
      <c r="K4257" s="60"/>
      <c r="L4257" s="49"/>
      <c r="P4257" s="3"/>
      <c r="Q4257" s="3"/>
      <c r="R4257" s="3"/>
      <c r="S4257" s="3"/>
      <c r="T4257" s="3"/>
      <c r="U4257" s="3"/>
      <c r="V4257" s="3"/>
      <c r="W4257" s="3"/>
      <c r="X4257" s="3"/>
      <c r="Y4257" s="4"/>
      <c r="Z4257"/>
      <c r="AA4257"/>
    </row>
    <row r="4258" spans="1:27" s="37" customFormat="1" x14ac:dyDescent="0.15">
      <c r="A4258" s="70"/>
      <c r="B4258" s="82"/>
      <c r="C4258" s="70"/>
      <c r="D4258" s="70"/>
      <c r="E4258" s="70"/>
      <c r="F4258" s="70"/>
      <c r="G4258" s="70"/>
      <c r="H4258" s="85"/>
      <c r="I4258" s="85"/>
      <c r="J4258" s="131"/>
      <c r="K4258" s="60"/>
      <c r="L4258" s="49"/>
      <c r="P4258" s="3"/>
      <c r="Q4258" s="3"/>
      <c r="R4258" s="3"/>
      <c r="S4258" s="3"/>
      <c r="T4258" s="3"/>
      <c r="U4258" s="3"/>
      <c r="V4258" s="3"/>
      <c r="W4258" s="3"/>
      <c r="X4258" s="3"/>
      <c r="Y4258" s="4"/>
      <c r="Z4258"/>
      <c r="AA4258"/>
    </row>
    <row r="4259" spans="1:27" s="37" customFormat="1" ht="16" x14ac:dyDescent="0.2">
      <c r="A4259" s="70"/>
      <c r="B4259" s="93"/>
      <c r="C4259" s="70"/>
      <c r="D4259" s="70"/>
      <c r="E4259" s="70"/>
      <c r="F4259" s="70"/>
      <c r="G4259" s="70"/>
      <c r="H4259" s="85"/>
      <c r="I4259" s="85"/>
      <c r="J4259" s="131"/>
      <c r="K4259" s="60"/>
      <c r="L4259" s="47"/>
      <c r="P4259" s="3"/>
      <c r="Q4259" s="3"/>
      <c r="R4259" s="3"/>
      <c r="S4259" s="3"/>
      <c r="T4259" s="3"/>
      <c r="U4259" s="3"/>
      <c r="V4259" s="3"/>
      <c r="W4259" s="3"/>
      <c r="X4259" s="3"/>
      <c r="Y4259" s="4"/>
      <c r="Z4259"/>
      <c r="AA4259"/>
    </row>
    <row r="4260" spans="1:27" s="37" customFormat="1" x14ac:dyDescent="0.15">
      <c r="A4260" s="70"/>
      <c r="B4260" s="93"/>
      <c r="C4260" s="70"/>
      <c r="D4260" s="70"/>
      <c r="E4260" s="70"/>
      <c r="F4260" s="70"/>
      <c r="G4260" s="70"/>
      <c r="H4260" s="85"/>
      <c r="I4260" s="85"/>
      <c r="J4260" s="131"/>
      <c r="K4260" s="60"/>
      <c r="L4260" s="33"/>
      <c r="P4260" s="3"/>
      <c r="Q4260" s="3"/>
      <c r="R4260" s="3"/>
      <c r="S4260" s="3"/>
      <c r="T4260" s="3"/>
      <c r="U4260" s="3"/>
      <c r="V4260" s="3"/>
      <c r="W4260" s="3"/>
      <c r="X4260" s="3"/>
      <c r="Y4260" s="4"/>
      <c r="Z4260"/>
      <c r="AA4260"/>
    </row>
    <row r="4261" spans="1:27" s="37" customFormat="1" x14ac:dyDescent="0.15">
      <c r="A4261" s="70"/>
      <c r="B4261" s="93"/>
      <c r="C4261" s="70"/>
      <c r="D4261" s="70"/>
      <c r="E4261" s="70"/>
      <c r="F4261" s="70"/>
      <c r="G4261" s="70"/>
      <c r="H4261" s="85"/>
      <c r="I4261" s="85"/>
      <c r="J4261" s="131"/>
      <c r="K4261" s="60"/>
      <c r="L4261" s="33"/>
      <c r="P4261" s="3"/>
      <c r="Q4261" s="3"/>
      <c r="R4261" s="3"/>
      <c r="S4261" s="3"/>
      <c r="T4261" s="3"/>
      <c r="U4261" s="3"/>
      <c r="V4261" s="3"/>
      <c r="W4261" s="3"/>
      <c r="X4261" s="3"/>
      <c r="Y4261" s="4"/>
      <c r="Z4261"/>
      <c r="AA4261"/>
    </row>
    <row r="4262" spans="1:27" s="37" customFormat="1" x14ac:dyDescent="0.15">
      <c r="A4262" s="70"/>
      <c r="B4262" s="93"/>
      <c r="C4262" s="70"/>
      <c r="D4262" s="70"/>
      <c r="E4262" s="70"/>
      <c r="F4262" s="70"/>
      <c r="G4262" s="70"/>
      <c r="H4262" s="85"/>
      <c r="I4262" s="85"/>
      <c r="J4262" s="131"/>
      <c r="K4262" s="60"/>
      <c r="L4262" s="33"/>
      <c r="P4262" s="3"/>
      <c r="Q4262" s="3"/>
      <c r="R4262" s="3"/>
      <c r="S4262" s="3"/>
      <c r="T4262" s="3"/>
      <c r="U4262" s="3"/>
      <c r="V4262" s="3"/>
      <c r="W4262" s="3"/>
      <c r="X4262" s="3"/>
      <c r="Y4262" s="4"/>
      <c r="Z4262"/>
      <c r="AA4262"/>
    </row>
    <row r="4263" spans="1:27" s="37" customFormat="1" ht="16" x14ac:dyDescent="0.2">
      <c r="A4263" s="70"/>
      <c r="B4263" s="93"/>
      <c r="C4263" s="70"/>
      <c r="D4263" s="70"/>
      <c r="E4263" s="70"/>
      <c r="F4263" s="70"/>
      <c r="G4263" s="70"/>
      <c r="H4263" s="85"/>
      <c r="I4263" s="85"/>
      <c r="J4263" s="131"/>
      <c r="K4263" s="60"/>
      <c r="L4263" s="47"/>
      <c r="P4263" s="3"/>
      <c r="Q4263" s="3"/>
      <c r="R4263" s="3"/>
      <c r="S4263" s="3"/>
      <c r="T4263" s="3"/>
      <c r="U4263" s="3"/>
      <c r="V4263" s="3"/>
      <c r="W4263" s="3"/>
      <c r="X4263" s="3"/>
      <c r="Y4263" s="4"/>
      <c r="Z4263"/>
      <c r="AA4263"/>
    </row>
    <row r="4264" spans="1:27" s="37" customFormat="1" x14ac:dyDescent="0.15">
      <c r="A4264" s="70"/>
      <c r="B4264" s="93"/>
      <c r="C4264" s="70"/>
      <c r="D4264" s="70"/>
      <c r="E4264" s="70"/>
      <c r="F4264" s="70"/>
      <c r="G4264" s="70"/>
      <c r="H4264" s="85"/>
      <c r="I4264" s="85"/>
      <c r="J4264" s="131"/>
      <c r="K4264" s="60"/>
      <c r="L4264" s="33"/>
      <c r="P4264" s="3"/>
      <c r="Q4264" s="3"/>
      <c r="R4264" s="3"/>
      <c r="S4264" s="3"/>
      <c r="T4264" s="3"/>
      <c r="U4264" s="3"/>
      <c r="V4264" s="3"/>
      <c r="W4264" s="3"/>
      <c r="X4264" s="3"/>
      <c r="Y4264" s="4"/>
      <c r="Z4264"/>
      <c r="AA4264"/>
    </row>
    <row r="4265" spans="1:27" s="37" customFormat="1" x14ac:dyDescent="0.15">
      <c r="A4265" s="70"/>
      <c r="B4265" s="93"/>
      <c r="C4265" s="70"/>
      <c r="D4265" s="70"/>
      <c r="E4265" s="70"/>
      <c r="F4265" s="70"/>
      <c r="G4265" s="70"/>
      <c r="H4265" s="85"/>
      <c r="I4265" s="85"/>
      <c r="J4265" s="131"/>
      <c r="K4265" s="60"/>
      <c r="L4265" s="33"/>
      <c r="P4265" s="3"/>
      <c r="Q4265" s="3"/>
      <c r="R4265" s="3"/>
      <c r="S4265" s="3"/>
      <c r="T4265" s="3"/>
      <c r="U4265" s="3"/>
      <c r="V4265" s="3"/>
      <c r="W4265" s="3"/>
      <c r="X4265" s="3"/>
      <c r="Y4265" s="4"/>
      <c r="Z4265"/>
      <c r="AA4265"/>
    </row>
    <row r="4266" spans="1:27" s="37" customFormat="1" x14ac:dyDescent="0.15">
      <c r="A4266" s="70"/>
      <c r="B4266" s="93"/>
      <c r="C4266" s="70"/>
      <c r="D4266" s="70"/>
      <c r="E4266" s="70"/>
      <c r="F4266" s="70"/>
      <c r="G4266" s="70"/>
      <c r="H4266" s="85"/>
      <c r="I4266" s="85"/>
      <c r="J4266" s="131"/>
      <c r="K4266" s="60"/>
      <c r="L4266" s="33"/>
      <c r="P4266" s="3"/>
      <c r="Q4266" s="3"/>
      <c r="R4266" s="3"/>
      <c r="S4266" s="3"/>
      <c r="T4266" s="3"/>
      <c r="U4266" s="3"/>
      <c r="V4266" s="3"/>
      <c r="W4266" s="3"/>
      <c r="X4266" s="3"/>
      <c r="Y4266" s="4"/>
      <c r="Z4266"/>
      <c r="AA4266"/>
    </row>
    <row r="4267" spans="1:27" s="37" customFormat="1" x14ac:dyDescent="0.15">
      <c r="A4267" s="70"/>
      <c r="B4267" s="82"/>
      <c r="C4267" s="70"/>
      <c r="D4267" s="70"/>
      <c r="E4267" s="73"/>
      <c r="F4267" s="70"/>
      <c r="G4267" s="70"/>
      <c r="H4267" s="85"/>
      <c r="I4267" s="85"/>
      <c r="J4267" s="131"/>
      <c r="K4267" s="60"/>
      <c r="L4267" s="33"/>
      <c r="P4267" s="3"/>
      <c r="Q4267" s="3"/>
      <c r="R4267" s="3"/>
      <c r="S4267" s="3"/>
      <c r="T4267" s="3"/>
      <c r="U4267" s="3"/>
      <c r="V4267" s="3"/>
      <c r="W4267" s="3"/>
      <c r="X4267" s="3"/>
      <c r="Y4267" s="4"/>
      <c r="Z4267"/>
      <c r="AA4267"/>
    </row>
    <row r="4268" spans="1:27" s="37" customFormat="1" ht="16" x14ac:dyDescent="0.2">
      <c r="A4268" s="70"/>
      <c r="B4268" s="82"/>
      <c r="C4268" s="70"/>
      <c r="D4268" s="70"/>
      <c r="E4268" s="70"/>
      <c r="F4268" s="70"/>
      <c r="G4268" s="70"/>
      <c r="H4268" s="85"/>
      <c r="I4268" s="85"/>
      <c r="J4268" s="131"/>
      <c r="K4268" s="60"/>
      <c r="L4268" s="33"/>
      <c r="M4268" s="48"/>
      <c r="P4268" s="3"/>
      <c r="Q4268" s="3"/>
      <c r="R4268" s="3"/>
      <c r="S4268" s="3"/>
      <c r="T4268" s="3"/>
      <c r="U4268" s="3"/>
      <c r="V4268" s="3"/>
      <c r="W4268" s="3"/>
      <c r="X4268" s="3"/>
      <c r="Y4268" s="4"/>
      <c r="Z4268"/>
      <c r="AA4268"/>
    </row>
    <row r="4269" spans="1:27" s="37" customFormat="1" x14ac:dyDescent="0.15">
      <c r="A4269" s="70"/>
      <c r="B4269" s="82"/>
      <c r="C4269" s="70"/>
      <c r="D4269" s="70"/>
      <c r="E4269" s="70"/>
      <c r="F4269" s="70"/>
      <c r="G4269" s="70"/>
      <c r="H4269" s="85"/>
      <c r="I4269" s="85"/>
      <c r="J4269" s="134"/>
      <c r="K4269" s="60"/>
      <c r="L4269" s="49"/>
      <c r="P4269" s="3"/>
      <c r="Q4269" s="3"/>
      <c r="R4269" s="3"/>
      <c r="S4269" s="3"/>
      <c r="T4269" s="3"/>
      <c r="U4269" s="3"/>
      <c r="V4269" s="3"/>
      <c r="W4269" s="3"/>
      <c r="X4269" s="3"/>
      <c r="Y4269" s="4"/>
      <c r="Z4269"/>
      <c r="AA4269"/>
    </row>
    <row r="4270" spans="1:27" s="37" customFormat="1" x14ac:dyDescent="0.15">
      <c r="A4270" s="70"/>
      <c r="B4270" s="93"/>
      <c r="C4270" s="70"/>
      <c r="D4270" s="70"/>
      <c r="E4270" s="70"/>
      <c r="F4270" s="70"/>
      <c r="G4270" s="70"/>
      <c r="H4270" s="85"/>
      <c r="I4270" s="85"/>
      <c r="J4270" s="131"/>
      <c r="K4270" s="70"/>
      <c r="L4270" s="33"/>
      <c r="N4270" s="33"/>
      <c r="P4270" s="3"/>
      <c r="Q4270" s="3"/>
      <c r="R4270" s="3"/>
      <c r="S4270" s="3"/>
      <c r="T4270" s="3"/>
      <c r="U4270" s="3"/>
      <c r="V4270" s="3"/>
      <c r="W4270" s="3"/>
      <c r="X4270" s="3"/>
      <c r="Y4270" s="4"/>
      <c r="Z4270"/>
      <c r="AA4270"/>
    </row>
    <row r="4271" spans="1:27" s="37" customFormat="1" x14ac:dyDescent="0.15">
      <c r="A4271" s="70"/>
      <c r="B4271" s="82"/>
      <c r="C4271" s="70"/>
      <c r="D4271" s="70"/>
      <c r="E4271" s="70"/>
      <c r="F4271" s="70"/>
      <c r="G4271" s="70"/>
      <c r="H4271" s="85"/>
      <c r="I4271" s="85"/>
      <c r="J4271" s="131"/>
      <c r="K4271" s="60"/>
      <c r="L4271" s="33"/>
      <c r="P4271" s="3"/>
      <c r="Q4271" s="3"/>
      <c r="R4271" s="3"/>
      <c r="S4271" s="3"/>
      <c r="T4271" s="3"/>
      <c r="U4271" s="3"/>
      <c r="V4271" s="3"/>
      <c r="W4271" s="3"/>
      <c r="X4271" s="3"/>
      <c r="Y4271" s="4"/>
      <c r="Z4271"/>
      <c r="AA4271"/>
    </row>
    <row r="4272" spans="1:27" s="37" customFormat="1" x14ac:dyDescent="0.15">
      <c r="A4272" s="70"/>
      <c r="B4272" s="82"/>
      <c r="C4272" s="70"/>
      <c r="D4272" s="70"/>
      <c r="E4272" s="70"/>
      <c r="F4272" s="70"/>
      <c r="G4272" s="70"/>
      <c r="H4272" s="85"/>
      <c r="I4272" s="85"/>
      <c r="J4272" s="131"/>
      <c r="K4272" s="60"/>
      <c r="L4272" s="49"/>
      <c r="P4272" s="3"/>
      <c r="Q4272" s="3"/>
      <c r="R4272" s="3"/>
      <c r="S4272" s="3"/>
      <c r="T4272" s="3"/>
      <c r="U4272" s="3"/>
      <c r="V4272" s="3"/>
      <c r="W4272" s="3"/>
      <c r="X4272" s="3"/>
      <c r="Y4272" s="4"/>
      <c r="Z4272"/>
      <c r="AA4272"/>
    </row>
    <row r="4273" spans="1:27" s="37" customFormat="1" ht="16" x14ac:dyDescent="0.2">
      <c r="A4273" s="70"/>
      <c r="B4273" s="93"/>
      <c r="C4273" s="70"/>
      <c r="D4273" s="70"/>
      <c r="E4273" s="70"/>
      <c r="F4273" s="70"/>
      <c r="G4273" s="70"/>
      <c r="H4273" s="85"/>
      <c r="I4273" s="85"/>
      <c r="J4273" s="131"/>
      <c r="K4273" s="60"/>
      <c r="L4273" s="47"/>
      <c r="P4273" s="3"/>
      <c r="Q4273" s="3"/>
      <c r="R4273" s="3"/>
      <c r="S4273" s="3"/>
      <c r="T4273" s="3"/>
      <c r="U4273" s="3"/>
      <c r="V4273" s="3"/>
      <c r="W4273" s="3"/>
      <c r="X4273" s="3"/>
      <c r="Y4273" s="4"/>
      <c r="Z4273"/>
      <c r="AA4273"/>
    </row>
    <row r="4274" spans="1:27" s="37" customFormat="1" x14ac:dyDescent="0.15">
      <c r="A4274" s="70"/>
      <c r="B4274" s="93"/>
      <c r="C4274" s="70"/>
      <c r="D4274" s="70"/>
      <c r="E4274" s="70"/>
      <c r="F4274" s="70"/>
      <c r="G4274" s="70"/>
      <c r="H4274" s="85"/>
      <c r="I4274" s="85"/>
      <c r="J4274" s="131"/>
      <c r="K4274" s="60"/>
      <c r="L4274" s="33"/>
      <c r="P4274" s="3"/>
      <c r="Q4274" s="3"/>
      <c r="R4274" s="3"/>
      <c r="S4274" s="3"/>
      <c r="T4274" s="3"/>
      <c r="U4274" s="3"/>
      <c r="V4274" s="3"/>
      <c r="W4274" s="3"/>
      <c r="X4274" s="3"/>
      <c r="Y4274" s="4"/>
      <c r="Z4274"/>
      <c r="AA4274"/>
    </row>
    <row r="4275" spans="1:27" s="37" customFormat="1" ht="16" x14ac:dyDescent="0.2">
      <c r="A4275" s="70"/>
      <c r="B4275" s="93"/>
      <c r="C4275" s="70"/>
      <c r="D4275" s="70"/>
      <c r="E4275" s="70"/>
      <c r="F4275" s="70"/>
      <c r="G4275" s="70"/>
      <c r="H4275" s="85"/>
      <c r="I4275" s="85"/>
      <c r="J4275" s="131"/>
      <c r="K4275" s="60"/>
      <c r="L4275" s="47"/>
      <c r="P4275" s="3"/>
      <c r="Q4275" s="3"/>
      <c r="R4275" s="3"/>
      <c r="S4275" s="3"/>
      <c r="T4275" s="3"/>
      <c r="U4275" s="3"/>
      <c r="V4275" s="3"/>
      <c r="W4275" s="3"/>
      <c r="X4275" s="3"/>
      <c r="Y4275" s="4"/>
      <c r="Z4275"/>
      <c r="AA4275"/>
    </row>
    <row r="4276" spans="1:27" s="37" customFormat="1" x14ac:dyDescent="0.15">
      <c r="A4276" s="70"/>
      <c r="B4276" s="82"/>
      <c r="C4276" s="70"/>
      <c r="D4276" s="70"/>
      <c r="E4276" s="70"/>
      <c r="F4276" s="70"/>
      <c r="G4276" s="70"/>
      <c r="H4276" s="85"/>
      <c r="I4276" s="85"/>
      <c r="J4276" s="131"/>
      <c r="K4276" s="60"/>
      <c r="L4276" s="49"/>
      <c r="P4276" s="3"/>
      <c r="Q4276" s="3"/>
      <c r="R4276" s="3"/>
      <c r="S4276" s="3"/>
      <c r="T4276" s="3"/>
      <c r="U4276" s="3"/>
      <c r="V4276" s="3"/>
      <c r="W4276" s="3"/>
      <c r="X4276" s="3"/>
      <c r="Y4276" s="4"/>
      <c r="Z4276"/>
      <c r="AA4276"/>
    </row>
    <row r="4277" spans="1:27" s="37" customFormat="1" x14ac:dyDescent="0.15">
      <c r="A4277" s="70"/>
      <c r="B4277" s="93"/>
      <c r="C4277" s="70"/>
      <c r="D4277" s="70"/>
      <c r="E4277" s="70"/>
      <c r="F4277" s="70"/>
      <c r="G4277" s="70"/>
      <c r="H4277" s="85"/>
      <c r="I4277" s="85"/>
      <c r="J4277" s="131"/>
      <c r="K4277" s="60"/>
      <c r="L4277" s="49"/>
      <c r="P4277" s="3"/>
      <c r="Q4277" s="3"/>
      <c r="R4277" s="3"/>
      <c r="S4277" s="3"/>
      <c r="T4277" s="3"/>
      <c r="U4277" s="3"/>
      <c r="V4277" s="3"/>
      <c r="W4277" s="3"/>
      <c r="X4277" s="3"/>
      <c r="Y4277" s="4"/>
      <c r="Z4277"/>
      <c r="AA4277"/>
    </row>
    <row r="4278" spans="1:27" s="37" customFormat="1" x14ac:dyDescent="0.15">
      <c r="A4278" s="70"/>
      <c r="B4278" s="82"/>
      <c r="C4278" s="70"/>
      <c r="D4278" s="70"/>
      <c r="E4278" s="70"/>
      <c r="F4278" s="70"/>
      <c r="G4278" s="70"/>
      <c r="H4278" s="85"/>
      <c r="I4278" s="85"/>
      <c r="J4278" s="131"/>
      <c r="K4278" s="60"/>
      <c r="L4278" s="33"/>
      <c r="P4278" s="3"/>
      <c r="Q4278" s="3"/>
      <c r="R4278" s="3"/>
      <c r="S4278" s="3"/>
      <c r="T4278" s="3"/>
      <c r="U4278" s="3"/>
      <c r="V4278" s="3"/>
      <c r="W4278" s="3"/>
      <c r="X4278" s="3"/>
      <c r="Y4278" s="4"/>
      <c r="Z4278"/>
      <c r="AA4278"/>
    </row>
    <row r="4279" spans="1:27" s="37" customFormat="1" x14ac:dyDescent="0.15">
      <c r="A4279" s="70"/>
      <c r="B4279" s="82"/>
      <c r="C4279" s="70"/>
      <c r="D4279" s="70"/>
      <c r="E4279" s="70"/>
      <c r="F4279" s="70"/>
      <c r="G4279" s="70"/>
      <c r="H4279" s="85"/>
      <c r="I4279" s="85"/>
      <c r="J4279" s="131"/>
      <c r="K4279" s="60"/>
      <c r="L4279" s="33"/>
      <c r="P4279" s="3"/>
      <c r="Q4279" s="3"/>
      <c r="R4279" s="3"/>
      <c r="S4279" s="3"/>
      <c r="T4279" s="3"/>
      <c r="U4279" s="3"/>
      <c r="V4279" s="3"/>
      <c r="W4279" s="3"/>
      <c r="X4279" s="3"/>
      <c r="Y4279" s="4"/>
      <c r="Z4279"/>
      <c r="AA4279"/>
    </row>
    <row r="4280" spans="1:27" s="37" customFormat="1" x14ac:dyDescent="0.15">
      <c r="A4280" s="70"/>
      <c r="B4280" s="82"/>
      <c r="C4280" s="70"/>
      <c r="D4280" s="70"/>
      <c r="E4280" s="70"/>
      <c r="F4280" s="70"/>
      <c r="G4280" s="70"/>
      <c r="H4280" s="85"/>
      <c r="I4280" s="85"/>
      <c r="J4280" s="131"/>
      <c r="K4280" s="60"/>
      <c r="L4280" s="33"/>
      <c r="P4280" s="3"/>
      <c r="Q4280" s="3"/>
      <c r="R4280" s="3"/>
      <c r="S4280" s="3"/>
      <c r="T4280" s="3"/>
      <c r="U4280" s="3"/>
      <c r="V4280" s="3"/>
      <c r="W4280" s="3"/>
      <c r="X4280" s="3"/>
      <c r="Y4280" s="4"/>
      <c r="Z4280"/>
      <c r="AA4280"/>
    </row>
    <row r="4281" spans="1:27" s="37" customFormat="1" x14ac:dyDescent="0.15">
      <c r="A4281" s="70"/>
      <c r="B4281" s="82"/>
      <c r="C4281" s="70"/>
      <c r="D4281" s="70"/>
      <c r="E4281" s="70"/>
      <c r="F4281" s="70"/>
      <c r="G4281" s="70"/>
      <c r="H4281" s="85"/>
      <c r="I4281" s="85"/>
      <c r="J4281" s="131"/>
      <c r="K4281" s="60"/>
      <c r="L4281" s="33"/>
      <c r="P4281" s="3"/>
      <c r="Q4281" s="3"/>
      <c r="R4281" s="3"/>
      <c r="S4281" s="3"/>
      <c r="T4281" s="3"/>
      <c r="U4281" s="3"/>
      <c r="V4281" s="3"/>
      <c r="W4281" s="3"/>
      <c r="X4281" s="3"/>
      <c r="Y4281" s="4"/>
      <c r="Z4281"/>
      <c r="AA4281"/>
    </row>
    <row r="4282" spans="1:27" s="37" customFormat="1" x14ac:dyDescent="0.15">
      <c r="A4282" s="70"/>
      <c r="B4282" s="82"/>
      <c r="C4282" s="70"/>
      <c r="D4282" s="70"/>
      <c r="E4282" s="70"/>
      <c r="F4282" s="70"/>
      <c r="G4282" s="70"/>
      <c r="H4282" s="85"/>
      <c r="I4282" s="85"/>
      <c r="J4282" s="131"/>
      <c r="K4282" s="60"/>
      <c r="L4282" s="33"/>
      <c r="P4282" s="3"/>
      <c r="Q4282" s="3"/>
      <c r="R4282" s="3"/>
      <c r="S4282" s="3"/>
      <c r="T4282" s="3"/>
      <c r="U4282" s="3"/>
      <c r="V4282" s="3"/>
      <c r="W4282" s="3"/>
      <c r="X4282" s="3"/>
      <c r="Y4282" s="4"/>
      <c r="Z4282"/>
      <c r="AA4282"/>
    </row>
    <row r="4283" spans="1:27" s="37" customFormat="1" x14ac:dyDescent="0.15">
      <c r="A4283" s="70"/>
      <c r="B4283" s="82"/>
      <c r="C4283" s="70"/>
      <c r="D4283" s="70"/>
      <c r="E4283" s="70"/>
      <c r="F4283" s="70"/>
      <c r="G4283" s="70"/>
      <c r="H4283" s="85"/>
      <c r="I4283" s="85"/>
      <c r="J4283" s="131"/>
      <c r="K4283" s="60"/>
      <c r="L4283" s="49"/>
      <c r="P4283" s="3"/>
      <c r="Q4283" s="3"/>
      <c r="R4283" s="3"/>
      <c r="S4283" s="3"/>
      <c r="T4283" s="3"/>
      <c r="U4283" s="3"/>
      <c r="V4283" s="3"/>
      <c r="W4283" s="3"/>
      <c r="X4283" s="3"/>
      <c r="Y4283" s="4"/>
      <c r="Z4283"/>
      <c r="AA4283"/>
    </row>
    <row r="4284" spans="1:27" s="37" customFormat="1" x14ac:dyDescent="0.15">
      <c r="A4284" s="70"/>
      <c r="B4284" s="82"/>
      <c r="C4284" s="70"/>
      <c r="D4284" s="70"/>
      <c r="E4284" s="70"/>
      <c r="F4284" s="70"/>
      <c r="G4284" s="70"/>
      <c r="H4284" s="85"/>
      <c r="I4284" s="85"/>
      <c r="J4284" s="131"/>
      <c r="K4284" s="60"/>
      <c r="L4284" s="49"/>
      <c r="P4284" s="3"/>
      <c r="Q4284" s="3"/>
      <c r="R4284" s="3"/>
      <c r="S4284" s="3"/>
      <c r="T4284" s="3"/>
      <c r="U4284" s="3"/>
      <c r="V4284" s="3"/>
      <c r="W4284" s="3"/>
      <c r="X4284" s="3"/>
      <c r="Y4284" s="4"/>
      <c r="Z4284"/>
      <c r="AA4284"/>
    </row>
    <row r="4285" spans="1:27" s="37" customFormat="1" x14ac:dyDescent="0.15">
      <c r="A4285" s="70"/>
      <c r="B4285" s="82"/>
      <c r="C4285" s="70"/>
      <c r="D4285" s="70"/>
      <c r="E4285" s="70"/>
      <c r="F4285" s="70"/>
      <c r="G4285" s="70"/>
      <c r="H4285" s="85"/>
      <c r="I4285" s="85"/>
      <c r="J4285" s="131"/>
      <c r="K4285" s="60"/>
      <c r="L4285" s="33"/>
      <c r="P4285" s="3"/>
      <c r="Q4285" s="3"/>
      <c r="R4285" s="3"/>
      <c r="S4285" s="3"/>
      <c r="T4285" s="3"/>
      <c r="U4285" s="3"/>
      <c r="V4285" s="3"/>
      <c r="W4285" s="3"/>
      <c r="X4285" s="3"/>
      <c r="Y4285" s="4"/>
      <c r="Z4285"/>
      <c r="AA4285"/>
    </row>
    <row r="4286" spans="1:27" s="37" customFormat="1" x14ac:dyDescent="0.15">
      <c r="A4286" s="70"/>
      <c r="B4286" s="82"/>
      <c r="C4286" s="70"/>
      <c r="D4286" s="70"/>
      <c r="E4286" s="70"/>
      <c r="F4286" s="70"/>
      <c r="G4286" s="70"/>
      <c r="H4286" s="85"/>
      <c r="I4286" s="85"/>
      <c r="J4286" s="131"/>
      <c r="K4286" s="60"/>
      <c r="L4286" s="49"/>
      <c r="P4286" s="3"/>
      <c r="Q4286" s="3"/>
      <c r="R4286" s="3"/>
      <c r="S4286" s="3"/>
      <c r="T4286" s="3"/>
      <c r="U4286" s="3"/>
      <c r="V4286" s="3"/>
      <c r="W4286" s="3"/>
      <c r="X4286" s="3"/>
      <c r="Y4286" s="4"/>
      <c r="Z4286"/>
      <c r="AA4286"/>
    </row>
    <row r="4287" spans="1:27" s="37" customFormat="1" x14ac:dyDescent="0.15">
      <c r="A4287" s="70"/>
      <c r="B4287" s="82"/>
      <c r="C4287" s="70"/>
      <c r="D4287" s="70"/>
      <c r="E4287" s="70"/>
      <c r="F4287" s="70"/>
      <c r="G4287" s="70"/>
      <c r="H4287" s="85"/>
      <c r="I4287" s="85"/>
      <c r="J4287" s="131"/>
      <c r="K4287" s="60"/>
      <c r="L4287" s="33"/>
      <c r="P4287" s="3"/>
      <c r="Q4287" s="3"/>
      <c r="R4287" s="3"/>
      <c r="S4287" s="3"/>
      <c r="T4287" s="3"/>
      <c r="U4287" s="3"/>
      <c r="V4287" s="3"/>
      <c r="W4287" s="3"/>
      <c r="X4287" s="3"/>
      <c r="Y4287" s="4"/>
      <c r="Z4287"/>
      <c r="AA4287"/>
    </row>
    <row r="4288" spans="1:27" s="37" customFormat="1" x14ac:dyDescent="0.15">
      <c r="A4288" s="70"/>
      <c r="B4288" s="82"/>
      <c r="C4288" s="70"/>
      <c r="D4288" s="70"/>
      <c r="E4288" s="70"/>
      <c r="F4288" s="70"/>
      <c r="G4288" s="70"/>
      <c r="H4288" s="85"/>
      <c r="I4288" s="85"/>
      <c r="J4288" s="131"/>
      <c r="K4288" s="60"/>
      <c r="L4288" s="33"/>
      <c r="P4288" s="3"/>
      <c r="Q4288" s="3"/>
      <c r="R4288" s="3"/>
      <c r="S4288" s="3"/>
      <c r="T4288" s="3"/>
      <c r="U4288" s="3"/>
      <c r="V4288" s="3"/>
      <c r="W4288" s="3"/>
      <c r="X4288" s="3"/>
      <c r="Y4288" s="4"/>
      <c r="Z4288"/>
      <c r="AA4288"/>
    </row>
    <row r="4289" spans="1:27" s="37" customFormat="1" x14ac:dyDescent="0.15">
      <c r="A4289" s="70"/>
      <c r="B4289" s="82"/>
      <c r="C4289" s="70"/>
      <c r="D4289" s="70"/>
      <c r="E4289" s="70"/>
      <c r="F4289" s="70"/>
      <c r="G4289" s="70"/>
      <c r="H4289" s="85"/>
      <c r="I4289" s="85"/>
      <c r="J4289" s="131"/>
      <c r="K4289" s="60"/>
      <c r="L4289" s="33"/>
      <c r="P4289" s="3"/>
      <c r="Q4289" s="3"/>
      <c r="R4289" s="3"/>
      <c r="S4289" s="3"/>
      <c r="T4289" s="3"/>
      <c r="U4289" s="3"/>
      <c r="V4289" s="3"/>
      <c r="W4289" s="3"/>
      <c r="X4289" s="3"/>
      <c r="Y4289" s="4"/>
      <c r="Z4289"/>
      <c r="AA4289"/>
    </row>
    <row r="4290" spans="1:27" s="37" customFormat="1" x14ac:dyDescent="0.15">
      <c r="A4290" s="70"/>
      <c r="B4290" s="82"/>
      <c r="C4290" s="70"/>
      <c r="D4290" s="70"/>
      <c r="E4290" s="70"/>
      <c r="F4290" s="70"/>
      <c r="G4290" s="70"/>
      <c r="H4290" s="85"/>
      <c r="I4290" s="85"/>
      <c r="J4290" s="131"/>
      <c r="K4290" s="60"/>
      <c r="L4290" s="33"/>
      <c r="P4290" s="3"/>
      <c r="Q4290" s="3"/>
      <c r="R4290" s="3"/>
      <c r="S4290" s="3"/>
      <c r="T4290" s="3"/>
      <c r="U4290" s="3"/>
      <c r="V4290" s="3"/>
      <c r="W4290" s="3"/>
      <c r="X4290" s="3"/>
      <c r="Y4290" s="4"/>
      <c r="Z4290"/>
      <c r="AA4290"/>
    </row>
    <row r="4291" spans="1:27" s="37" customFormat="1" x14ac:dyDescent="0.15">
      <c r="A4291" s="70"/>
      <c r="B4291" s="93"/>
      <c r="C4291" s="70"/>
      <c r="D4291" s="70"/>
      <c r="E4291" s="70"/>
      <c r="F4291" s="70"/>
      <c r="G4291" s="70"/>
      <c r="H4291" s="85"/>
      <c r="I4291" s="85"/>
      <c r="J4291" s="131"/>
      <c r="K4291" s="60"/>
      <c r="L4291" s="33"/>
      <c r="P4291" s="3"/>
      <c r="Q4291" s="3"/>
      <c r="R4291" s="3"/>
      <c r="S4291" s="3"/>
      <c r="T4291" s="3"/>
      <c r="U4291" s="3"/>
      <c r="V4291" s="3"/>
      <c r="W4291" s="3"/>
      <c r="X4291" s="3"/>
      <c r="Y4291" s="4"/>
      <c r="Z4291"/>
      <c r="AA4291"/>
    </row>
    <row r="4292" spans="1:27" s="37" customFormat="1" x14ac:dyDescent="0.15">
      <c r="A4292" s="70"/>
      <c r="B4292" s="82"/>
      <c r="C4292" s="70"/>
      <c r="D4292" s="70"/>
      <c r="E4292" s="70"/>
      <c r="F4292" s="70"/>
      <c r="G4292" s="70"/>
      <c r="H4292" s="85"/>
      <c r="I4292" s="85"/>
      <c r="J4292" s="131"/>
      <c r="K4292" s="60"/>
      <c r="L4292" s="33"/>
      <c r="P4292" s="3"/>
      <c r="Q4292" s="3"/>
      <c r="R4292" s="3"/>
      <c r="S4292" s="3"/>
      <c r="T4292" s="3"/>
      <c r="U4292" s="3"/>
      <c r="V4292" s="3"/>
      <c r="W4292" s="3"/>
      <c r="X4292" s="3"/>
      <c r="Y4292" s="4"/>
      <c r="Z4292"/>
      <c r="AA4292"/>
    </row>
    <row r="4293" spans="1:27" s="37" customFormat="1" x14ac:dyDescent="0.15">
      <c r="A4293" s="70"/>
      <c r="B4293" s="82"/>
      <c r="C4293" s="70"/>
      <c r="D4293" s="70"/>
      <c r="E4293" s="70"/>
      <c r="F4293" s="70"/>
      <c r="G4293" s="70"/>
      <c r="H4293" s="85"/>
      <c r="I4293" s="85"/>
      <c r="J4293" s="131"/>
      <c r="K4293" s="60"/>
      <c r="L4293" s="33"/>
      <c r="P4293" s="3"/>
      <c r="Q4293" s="3"/>
      <c r="R4293" s="3"/>
      <c r="S4293" s="3"/>
      <c r="T4293" s="3"/>
      <c r="U4293" s="3"/>
      <c r="V4293" s="3"/>
      <c r="W4293" s="3"/>
      <c r="X4293" s="3"/>
      <c r="Y4293" s="4"/>
      <c r="Z4293"/>
      <c r="AA4293"/>
    </row>
    <row r="4294" spans="1:27" s="37" customFormat="1" x14ac:dyDescent="0.15">
      <c r="A4294" s="70"/>
      <c r="B4294" s="82"/>
      <c r="C4294" s="70"/>
      <c r="D4294" s="70"/>
      <c r="E4294" s="70"/>
      <c r="F4294" s="70"/>
      <c r="G4294" s="70"/>
      <c r="H4294" s="85"/>
      <c r="I4294" s="85"/>
      <c r="J4294" s="131"/>
      <c r="K4294" s="60"/>
      <c r="L4294" s="33"/>
      <c r="P4294" s="3"/>
      <c r="Q4294" s="3"/>
      <c r="R4294" s="3"/>
      <c r="S4294" s="3"/>
      <c r="T4294" s="3"/>
      <c r="U4294" s="3"/>
      <c r="V4294" s="3"/>
      <c r="W4294" s="3"/>
      <c r="X4294" s="3"/>
      <c r="Y4294" s="4"/>
      <c r="Z4294"/>
      <c r="AA4294"/>
    </row>
    <row r="4295" spans="1:27" s="37" customFormat="1" x14ac:dyDescent="0.15">
      <c r="A4295" s="70"/>
      <c r="B4295" s="93"/>
      <c r="C4295" s="70"/>
      <c r="D4295" s="70"/>
      <c r="E4295" s="70"/>
      <c r="F4295" s="70"/>
      <c r="G4295" s="70"/>
      <c r="H4295" s="85"/>
      <c r="I4295" s="85"/>
      <c r="J4295" s="131"/>
      <c r="K4295" s="60"/>
      <c r="L4295" s="33"/>
      <c r="P4295" s="3"/>
      <c r="Q4295" s="3"/>
      <c r="R4295" s="3"/>
      <c r="S4295" s="3"/>
      <c r="T4295" s="3"/>
      <c r="U4295" s="3"/>
      <c r="V4295" s="3"/>
      <c r="W4295" s="3"/>
      <c r="X4295" s="3"/>
      <c r="Y4295" s="4"/>
      <c r="Z4295"/>
      <c r="AA4295"/>
    </row>
    <row r="4296" spans="1:27" s="37" customFormat="1" x14ac:dyDescent="0.15">
      <c r="A4296" s="70"/>
      <c r="B4296" s="82"/>
      <c r="C4296" s="70"/>
      <c r="D4296" s="70"/>
      <c r="E4296" s="70"/>
      <c r="F4296" s="70"/>
      <c r="G4296" s="70"/>
      <c r="H4296" s="85"/>
      <c r="I4296" s="85"/>
      <c r="J4296" s="131"/>
      <c r="K4296" s="60"/>
      <c r="L4296" s="33"/>
      <c r="P4296" s="3"/>
      <c r="Q4296" s="3"/>
      <c r="R4296" s="3"/>
      <c r="S4296" s="3"/>
      <c r="T4296" s="3"/>
      <c r="U4296" s="3"/>
      <c r="V4296" s="3"/>
      <c r="W4296" s="3"/>
      <c r="X4296" s="3"/>
      <c r="Y4296" s="4"/>
      <c r="Z4296"/>
      <c r="AA4296"/>
    </row>
    <row r="4297" spans="1:27" s="37" customFormat="1" x14ac:dyDescent="0.15">
      <c r="A4297" s="70"/>
      <c r="B4297" s="93"/>
      <c r="C4297" s="70"/>
      <c r="D4297" s="70"/>
      <c r="E4297" s="70"/>
      <c r="F4297" s="70"/>
      <c r="G4297" s="70"/>
      <c r="H4297" s="85"/>
      <c r="I4297" s="85"/>
      <c r="J4297" s="131"/>
      <c r="K4297" s="60"/>
      <c r="L4297" s="33"/>
      <c r="P4297" s="3"/>
      <c r="Q4297" s="3"/>
      <c r="R4297" s="3"/>
      <c r="S4297" s="3"/>
      <c r="T4297" s="3"/>
      <c r="U4297" s="3"/>
      <c r="V4297" s="3"/>
      <c r="W4297" s="3"/>
      <c r="X4297" s="3"/>
      <c r="Y4297" s="4"/>
      <c r="Z4297"/>
      <c r="AA4297"/>
    </row>
    <row r="4298" spans="1:27" s="37" customFormat="1" ht="16" x14ac:dyDescent="0.2">
      <c r="A4298" s="70"/>
      <c r="B4298" s="93"/>
      <c r="C4298" s="70"/>
      <c r="D4298" s="70"/>
      <c r="E4298" s="70"/>
      <c r="F4298" s="70"/>
      <c r="G4298" s="70"/>
      <c r="H4298" s="85"/>
      <c r="I4298" s="85"/>
      <c r="J4298" s="131"/>
      <c r="K4298" s="60"/>
      <c r="L4298" s="47"/>
      <c r="P4298" s="3"/>
      <c r="Q4298" s="3"/>
      <c r="R4298" s="3"/>
      <c r="S4298" s="3"/>
      <c r="T4298" s="3"/>
      <c r="U4298" s="3"/>
      <c r="V4298" s="3"/>
      <c r="W4298" s="3"/>
      <c r="X4298" s="3"/>
      <c r="Y4298" s="4"/>
      <c r="Z4298"/>
      <c r="AA4298"/>
    </row>
    <row r="4299" spans="1:27" s="37" customFormat="1" x14ac:dyDescent="0.15">
      <c r="A4299" s="70"/>
      <c r="B4299" s="93"/>
      <c r="C4299" s="70"/>
      <c r="D4299" s="70"/>
      <c r="E4299" s="70"/>
      <c r="F4299" s="70"/>
      <c r="G4299" s="70"/>
      <c r="H4299" s="85"/>
      <c r="I4299" s="85"/>
      <c r="J4299" s="131"/>
      <c r="K4299" s="60"/>
      <c r="L4299" s="33"/>
      <c r="P4299" s="3"/>
      <c r="Q4299" s="3"/>
      <c r="R4299" s="3"/>
      <c r="S4299" s="3"/>
      <c r="T4299" s="3"/>
      <c r="U4299" s="3"/>
      <c r="V4299" s="3"/>
      <c r="W4299" s="3"/>
      <c r="X4299" s="3"/>
      <c r="Y4299" s="4"/>
      <c r="Z4299"/>
      <c r="AA4299"/>
    </row>
    <row r="4300" spans="1:27" s="37" customFormat="1" ht="16" x14ac:dyDescent="0.2">
      <c r="A4300" s="70"/>
      <c r="B4300" s="93"/>
      <c r="C4300" s="70"/>
      <c r="D4300" s="70"/>
      <c r="E4300" s="70"/>
      <c r="F4300" s="70"/>
      <c r="G4300" s="70"/>
      <c r="H4300" s="85"/>
      <c r="I4300" s="85"/>
      <c r="J4300" s="131"/>
      <c r="K4300" s="60"/>
      <c r="L4300" s="47"/>
      <c r="P4300" s="3"/>
      <c r="Q4300" s="3"/>
      <c r="R4300" s="3"/>
      <c r="S4300" s="3"/>
      <c r="T4300" s="3"/>
      <c r="U4300" s="3"/>
      <c r="V4300" s="3"/>
      <c r="W4300" s="3"/>
      <c r="X4300" s="3"/>
      <c r="Y4300" s="4"/>
      <c r="Z4300"/>
      <c r="AA4300"/>
    </row>
    <row r="4301" spans="1:27" s="37" customFormat="1" x14ac:dyDescent="0.15">
      <c r="A4301" s="70"/>
      <c r="B4301" s="82"/>
      <c r="C4301" s="70"/>
      <c r="D4301" s="70"/>
      <c r="E4301" s="70"/>
      <c r="F4301" s="70"/>
      <c r="G4301" s="70"/>
      <c r="H4301" s="85"/>
      <c r="I4301" s="85"/>
      <c r="J4301" s="131"/>
      <c r="K4301" s="60"/>
      <c r="L4301" s="49"/>
      <c r="P4301" s="3"/>
      <c r="Q4301" s="3"/>
      <c r="R4301" s="3"/>
      <c r="S4301" s="3"/>
      <c r="T4301" s="3"/>
      <c r="U4301" s="3"/>
      <c r="V4301" s="3"/>
      <c r="W4301" s="3"/>
      <c r="X4301" s="3"/>
      <c r="Y4301" s="4"/>
      <c r="Z4301"/>
      <c r="AA4301"/>
    </row>
    <row r="4302" spans="1:27" s="37" customFormat="1" x14ac:dyDescent="0.15">
      <c r="A4302" s="70"/>
      <c r="B4302" s="82"/>
      <c r="C4302" s="70"/>
      <c r="D4302" s="70"/>
      <c r="E4302" s="70"/>
      <c r="F4302" s="70"/>
      <c r="G4302" s="70"/>
      <c r="H4302" s="85"/>
      <c r="I4302" s="85"/>
      <c r="J4302" s="131"/>
      <c r="K4302" s="60"/>
      <c r="L4302" s="33"/>
      <c r="P4302" s="3"/>
      <c r="Q4302" s="3"/>
      <c r="R4302" s="3"/>
      <c r="S4302" s="3"/>
      <c r="T4302" s="3"/>
      <c r="U4302" s="3"/>
      <c r="V4302" s="3"/>
      <c r="W4302" s="3"/>
      <c r="X4302" s="3"/>
      <c r="Y4302" s="4"/>
      <c r="Z4302"/>
      <c r="AA4302"/>
    </row>
    <row r="4303" spans="1:27" ht="16" x14ac:dyDescent="0.2">
      <c r="A4303" s="70"/>
      <c r="B4303" s="93"/>
      <c r="C4303" s="70"/>
      <c r="D4303" s="70"/>
      <c r="E4303" s="70"/>
      <c r="F4303" s="70"/>
      <c r="G4303" s="70"/>
      <c r="H4303" s="85"/>
      <c r="I4303" s="85"/>
      <c r="J4303" s="131"/>
      <c r="K4303" s="60"/>
      <c r="L4303" s="47"/>
    </row>
    <row r="4304" spans="1:27" x14ac:dyDescent="0.15">
      <c r="A4304" s="70"/>
      <c r="B4304" s="93"/>
      <c r="C4304" s="70"/>
      <c r="D4304" s="70"/>
      <c r="E4304" s="70"/>
      <c r="F4304" s="70"/>
      <c r="G4304" s="70"/>
      <c r="H4304" s="85"/>
      <c r="I4304" s="85"/>
      <c r="J4304" s="131"/>
      <c r="K4304" s="60"/>
      <c r="L4304" s="33"/>
    </row>
    <row r="4305" spans="1:27" x14ac:dyDescent="0.15">
      <c r="A4305" s="70"/>
      <c r="B4305" s="82"/>
      <c r="C4305" s="70"/>
      <c r="D4305" s="70"/>
      <c r="E4305" s="70"/>
      <c r="F4305" s="70"/>
      <c r="G4305" s="70"/>
      <c r="H4305" s="85"/>
      <c r="I4305" s="85"/>
      <c r="J4305" s="131"/>
      <c r="K4305" s="60"/>
    </row>
    <row r="4306" spans="1:27" x14ac:dyDescent="0.15">
      <c r="A4306" s="70"/>
      <c r="B4306" s="82"/>
      <c r="C4306" s="70"/>
      <c r="D4306" s="70"/>
      <c r="E4306" s="70"/>
      <c r="F4306" s="70"/>
      <c r="G4306" s="70"/>
      <c r="H4306" s="85"/>
      <c r="I4306" s="85"/>
      <c r="J4306" s="131"/>
      <c r="K4306" s="60"/>
      <c r="L4306" s="33"/>
    </row>
    <row r="4307" spans="1:27" x14ac:dyDescent="0.15">
      <c r="A4307" s="70"/>
      <c r="B4307" s="82"/>
      <c r="C4307" s="70"/>
      <c r="D4307" s="70"/>
      <c r="E4307" s="70"/>
      <c r="F4307" s="70"/>
      <c r="G4307" s="70"/>
      <c r="H4307" s="85"/>
      <c r="I4307" s="85"/>
      <c r="J4307" s="131"/>
      <c r="K4307" s="60"/>
    </row>
    <row r="4308" spans="1:27" x14ac:dyDescent="0.15">
      <c r="A4308" s="83"/>
      <c r="B4308" s="93"/>
      <c r="C4308" s="70"/>
      <c r="D4308" s="70"/>
      <c r="E4308" s="70"/>
      <c r="F4308" s="70"/>
      <c r="G4308" s="70"/>
      <c r="H4308" s="85"/>
      <c r="I4308" s="85"/>
      <c r="J4308" s="131"/>
      <c r="K4308" s="60"/>
      <c r="L4308" s="33"/>
      <c r="N4308" s="33"/>
    </row>
    <row r="4309" spans="1:27" x14ac:dyDescent="0.15">
      <c r="A4309" s="70"/>
      <c r="B4309" s="93"/>
      <c r="C4309" s="70"/>
      <c r="D4309" s="70"/>
      <c r="E4309" s="70"/>
      <c r="F4309" s="70"/>
      <c r="G4309" s="70"/>
      <c r="H4309" s="85"/>
      <c r="I4309" s="85"/>
      <c r="J4309" s="131"/>
      <c r="K4309" s="60"/>
      <c r="L4309" s="33"/>
    </row>
    <row r="4310" spans="1:27" x14ac:dyDescent="0.15">
      <c r="A4310" s="70"/>
      <c r="B4310" s="82"/>
      <c r="C4310" s="70"/>
      <c r="D4310" s="70"/>
      <c r="E4310" s="70"/>
      <c r="F4310" s="70"/>
      <c r="G4310" s="70"/>
      <c r="H4310" s="85"/>
      <c r="I4310" s="85"/>
      <c r="J4310" s="131"/>
      <c r="K4310" s="60"/>
    </row>
    <row r="4311" spans="1:27" s="2" customFormat="1" x14ac:dyDescent="0.15">
      <c r="A4311" s="70"/>
      <c r="B4311" s="93"/>
      <c r="C4311" s="70"/>
      <c r="D4311" s="70"/>
      <c r="E4311" s="70"/>
      <c r="F4311" s="70"/>
      <c r="G4311" s="70"/>
      <c r="H4311" s="85"/>
      <c r="I4311" s="85"/>
      <c r="J4311" s="131"/>
      <c r="K4311" s="60"/>
      <c r="L4311" s="33"/>
      <c r="M4311" s="37"/>
      <c r="N4311" s="37"/>
      <c r="O4311" s="37"/>
      <c r="P4311" s="3"/>
      <c r="Q4311" s="3"/>
      <c r="R4311" s="3"/>
      <c r="S4311" s="3"/>
      <c r="T4311" s="3"/>
      <c r="U4311" s="3"/>
      <c r="V4311" s="3"/>
      <c r="W4311" s="3"/>
      <c r="X4311" s="3"/>
      <c r="Y4311" s="4"/>
      <c r="Z4311"/>
      <c r="AA4311"/>
    </row>
    <row r="4312" spans="1:27" s="2" customFormat="1" x14ac:dyDescent="0.15">
      <c r="A4312" s="70"/>
      <c r="B4312" s="93"/>
      <c r="C4312" s="70"/>
      <c r="D4312" s="70"/>
      <c r="E4312" s="70"/>
      <c r="F4312" s="70"/>
      <c r="G4312" s="70"/>
      <c r="H4312" s="85"/>
      <c r="I4312" s="85"/>
      <c r="J4312" s="131"/>
      <c r="K4312" s="60"/>
      <c r="L4312" s="33"/>
      <c r="M4312" s="37"/>
      <c r="N4312" s="37"/>
      <c r="O4312" s="37"/>
      <c r="P4312" s="3"/>
      <c r="Q4312" s="3"/>
      <c r="R4312" s="3"/>
      <c r="S4312" s="3"/>
      <c r="T4312" s="3"/>
      <c r="U4312" s="3"/>
      <c r="V4312" s="3"/>
      <c r="W4312" s="3"/>
      <c r="X4312" s="3"/>
      <c r="Y4312" s="4"/>
      <c r="Z4312"/>
      <c r="AA4312"/>
    </row>
    <row r="4313" spans="1:27" s="2" customFormat="1" x14ac:dyDescent="0.15">
      <c r="A4313" s="70"/>
      <c r="B4313" s="82"/>
      <c r="C4313" s="70"/>
      <c r="D4313" s="70"/>
      <c r="E4313" s="70"/>
      <c r="F4313" s="70"/>
      <c r="G4313" s="70"/>
      <c r="H4313" s="85"/>
      <c r="I4313" s="85"/>
      <c r="J4313" s="131"/>
      <c r="K4313" s="60"/>
      <c r="L4313" s="33"/>
      <c r="M4313" s="37"/>
      <c r="N4313" s="37"/>
      <c r="O4313" s="37"/>
      <c r="P4313" s="3"/>
      <c r="Q4313" s="3"/>
      <c r="R4313" s="3"/>
      <c r="S4313" s="3"/>
      <c r="T4313" s="3"/>
      <c r="U4313" s="3"/>
      <c r="V4313" s="3"/>
      <c r="W4313" s="3"/>
      <c r="X4313" s="3"/>
      <c r="Y4313" s="4"/>
      <c r="Z4313"/>
      <c r="AA4313"/>
    </row>
    <row r="4314" spans="1:27" s="2" customFormat="1" x14ac:dyDescent="0.15">
      <c r="A4314" s="70"/>
      <c r="B4314" s="93"/>
      <c r="C4314" s="70"/>
      <c r="D4314" s="70"/>
      <c r="E4314" s="70"/>
      <c r="F4314" s="70"/>
      <c r="G4314" s="70"/>
      <c r="H4314" s="85"/>
      <c r="I4314" s="85"/>
      <c r="J4314" s="131"/>
      <c r="K4314" s="60"/>
      <c r="L4314" s="33"/>
      <c r="M4314" s="37"/>
      <c r="N4314" s="37"/>
      <c r="O4314" s="37"/>
      <c r="P4314" s="3"/>
      <c r="Q4314" s="3"/>
      <c r="R4314" s="3"/>
      <c r="S4314" s="3"/>
      <c r="T4314" s="3"/>
      <c r="U4314" s="3"/>
      <c r="V4314" s="3"/>
      <c r="W4314" s="3"/>
      <c r="X4314" s="3"/>
      <c r="Y4314" s="4"/>
      <c r="Z4314"/>
      <c r="AA4314"/>
    </row>
    <row r="4315" spans="1:27" s="2" customFormat="1" x14ac:dyDescent="0.15">
      <c r="A4315" s="70"/>
      <c r="B4315" s="93"/>
      <c r="C4315" s="70"/>
      <c r="D4315" s="70"/>
      <c r="E4315" s="70"/>
      <c r="F4315" s="70"/>
      <c r="G4315" s="70"/>
      <c r="H4315" s="85"/>
      <c r="I4315" s="85"/>
      <c r="J4315" s="131"/>
      <c r="K4315" s="60"/>
      <c r="L4315" s="33"/>
      <c r="M4315" s="37"/>
      <c r="N4315" s="37"/>
      <c r="O4315" s="37"/>
      <c r="P4315" s="3"/>
      <c r="Q4315" s="3"/>
      <c r="R4315" s="3"/>
      <c r="S4315" s="3"/>
      <c r="T4315" s="3"/>
      <c r="U4315" s="3"/>
      <c r="V4315" s="3"/>
      <c r="W4315" s="3"/>
      <c r="X4315" s="3"/>
      <c r="Y4315" s="4"/>
      <c r="Z4315"/>
      <c r="AA4315"/>
    </row>
    <row r="4316" spans="1:27" s="2" customFormat="1" x14ac:dyDescent="0.15">
      <c r="A4316" s="70"/>
      <c r="B4316" s="82"/>
      <c r="C4316" s="70"/>
      <c r="D4316" s="70"/>
      <c r="E4316" s="70"/>
      <c r="F4316" s="70"/>
      <c r="G4316" s="70"/>
      <c r="H4316" s="85"/>
      <c r="I4316" s="85"/>
      <c r="J4316" s="131"/>
      <c r="K4316" s="60"/>
      <c r="L4316" s="33"/>
      <c r="M4316" s="37"/>
      <c r="N4316" s="37"/>
      <c r="O4316" s="37"/>
      <c r="P4316" s="3"/>
      <c r="Q4316" s="3"/>
      <c r="R4316" s="3"/>
      <c r="S4316" s="3"/>
      <c r="T4316" s="3"/>
      <c r="U4316" s="3"/>
      <c r="V4316" s="3"/>
      <c r="W4316" s="3"/>
      <c r="X4316" s="3"/>
      <c r="Y4316" s="4"/>
      <c r="Z4316"/>
      <c r="AA4316"/>
    </row>
    <row r="4317" spans="1:27" s="2" customFormat="1" x14ac:dyDescent="0.15">
      <c r="A4317" s="70"/>
      <c r="B4317" s="93"/>
      <c r="C4317" s="70"/>
      <c r="D4317" s="70"/>
      <c r="E4317" s="70"/>
      <c r="F4317" s="70"/>
      <c r="G4317" s="70"/>
      <c r="H4317" s="85"/>
      <c r="I4317" s="85"/>
      <c r="J4317" s="131"/>
      <c r="K4317" s="60"/>
      <c r="L4317" s="33"/>
      <c r="M4317" s="37"/>
      <c r="N4317" s="37"/>
      <c r="O4317" s="37"/>
      <c r="P4317" s="3"/>
      <c r="Q4317" s="3"/>
      <c r="R4317" s="3"/>
      <c r="S4317" s="3"/>
      <c r="T4317" s="3"/>
      <c r="U4317" s="3"/>
      <c r="V4317" s="3"/>
      <c r="W4317" s="3"/>
      <c r="X4317" s="3"/>
      <c r="Y4317" s="4"/>
      <c r="Z4317"/>
      <c r="AA4317"/>
    </row>
    <row r="4318" spans="1:27" s="2" customFormat="1" x14ac:dyDescent="0.15">
      <c r="A4318" s="70"/>
      <c r="B4318" s="93"/>
      <c r="C4318" s="70"/>
      <c r="D4318" s="70"/>
      <c r="E4318" s="70"/>
      <c r="F4318" s="70"/>
      <c r="G4318" s="70"/>
      <c r="H4318" s="85"/>
      <c r="I4318" s="85"/>
      <c r="J4318" s="131"/>
      <c r="K4318" s="60"/>
      <c r="L4318" s="33"/>
      <c r="M4318" s="37"/>
      <c r="N4318" s="37"/>
      <c r="O4318" s="37"/>
      <c r="P4318" s="3"/>
      <c r="Q4318" s="3"/>
      <c r="R4318" s="3"/>
      <c r="S4318" s="3"/>
      <c r="T4318" s="3"/>
      <c r="U4318" s="3"/>
      <c r="V4318" s="3"/>
      <c r="W4318" s="3"/>
      <c r="X4318" s="3"/>
      <c r="Y4318" s="4"/>
      <c r="Z4318"/>
      <c r="AA4318"/>
    </row>
    <row r="4319" spans="1:27" s="2" customFormat="1" x14ac:dyDescent="0.15">
      <c r="A4319" s="70"/>
      <c r="B4319" s="93"/>
      <c r="C4319" s="73"/>
      <c r="D4319" s="73"/>
      <c r="E4319" s="70"/>
      <c r="F4319" s="73"/>
      <c r="G4319" s="73"/>
      <c r="H4319" s="85"/>
      <c r="I4319" s="95"/>
      <c r="J4319" s="131"/>
      <c r="K4319" s="60"/>
      <c r="L4319" s="33"/>
      <c r="M4319" s="37"/>
      <c r="N4319" s="37"/>
      <c r="O4319" s="37"/>
      <c r="P4319" s="3"/>
      <c r="Q4319" s="3"/>
      <c r="R4319" s="3"/>
      <c r="S4319" s="3"/>
      <c r="T4319" s="3"/>
      <c r="U4319" s="3"/>
      <c r="V4319" s="3"/>
      <c r="W4319" s="3"/>
      <c r="X4319" s="3"/>
      <c r="Y4319" s="4"/>
      <c r="Z4319"/>
      <c r="AA4319"/>
    </row>
    <row r="4320" spans="1:27" s="2" customFormat="1" ht="16" x14ac:dyDescent="0.2">
      <c r="A4320" s="70"/>
      <c r="B4320" s="93"/>
      <c r="C4320" s="70"/>
      <c r="D4320" s="70"/>
      <c r="E4320" s="70"/>
      <c r="F4320" s="70"/>
      <c r="G4320" s="70"/>
      <c r="H4320" s="85"/>
      <c r="I4320" s="85"/>
      <c r="J4320" s="134"/>
      <c r="K4320" s="60"/>
      <c r="L4320" s="33"/>
      <c r="M4320" s="48"/>
      <c r="N4320" s="37"/>
      <c r="O4320" s="37"/>
      <c r="P4320" s="3"/>
      <c r="Q4320" s="3"/>
      <c r="R4320" s="3"/>
      <c r="S4320" s="3"/>
      <c r="T4320" s="3"/>
      <c r="U4320" s="3"/>
      <c r="V4320" s="3"/>
      <c r="W4320" s="3"/>
      <c r="X4320" s="3"/>
      <c r="Y4320" s="4"/>
      <c r="Z4320"/>
      <c r="AA4320"/>
    </row>
    <row r="4321" spans="1:27" s="2" customFormat="1" x14ac:dyDescent="0.15">
      <c r="A4321" s="70"/>
      <c r="B4321" s="93"/>
      <c r="C4321" s="70"/>
      <c r="D4321" s="70"/>
      <c r="E4321" s="70"/>
      <c r="F4321" s="70"/>
      <c r="G4321" s="70"/>
      <c r="H4321" s="85"/>
      <c r="I4321" s="85"/>
      <c r="J4321" s="134"/>
      <c r="K4321" s="60"/>
      <c r="L4321" s="33"/>
      <c r="M4321" s="37"/>
      <c r="N4321" s="37"/>
      <c r="O4321" s="37"/>
      <c r="P4321" s="3"/>
      <c r="Q4321" s="3"/>
      <c r="R4321" s="3"/>
      <c r="S4321" s="3"/>
      <c r="T4321" s="3"/>
      <c r="U4321" s="3"/>
      <c r="V4321" s="3"/>
      <c r="W4321" s="3"/>
      <c r="X4321" s="3"/>
      <c r="Y4321" s="4"/>
      <c r="Z4321"/>
      <c r="AA4321"/>
    </row>
    <row r="4322" spans="1:27" s="2" customFormat="1" x14ac:dyDescent="0.15">
      <c r="A4322" s="70"/>
      <c r="B4322" s="93"/>
      <c r="C4322" s="70"/>
      <c r="D4322" s="70"/>
      <c r="E4322" s="70"/>
      <c r="F4322" s="70"/>
      <c r="G4322" s="70"/>
      <c r="H4322" s="85"/>
      <c r="I4322" s="85"/>
      <c r="J4322" s="131"/>
      <c r="K4322" s="60"/>
      <c r="L4322" s="33"/>
      <c r="M4322" s="37"/>
      <c r="N4322" s="37"/>
      <c r="O4322" s="37"/>
      <c r="P4322" s="3"/>
      <c r="Q4322" s="3"/>
      <c r="R4322" s="3"/>
      <c r="S4322" s="3"/>
      <c r="T4322" s="3"/>
      <c r="U4322" s="3"/>
      <c r="V4322" s="3"/>
      <c r="W4322" s="3"/>
      <c r="X4322" s="3"/>
      <c r="Y4322" s="4"/>
      <c r="Z4322"/>
      <c r="AA4322"/>
    </row>
    <row r="4323" spans="1:27" s="2" customFormat="1" x14ac:dyDescent="0.15">
      <c r="A4323" s="70"/>
      <c r="B4323" s="93"/>
      <c r="C4323" s="70"/>
      <c r="D4323" s="70"/>
      <c r="E4323" s="70"/>
      <c r="F4323" s="70"/>
      <c r="G4323" s="70"/>
      <c r="H4323" s="85"/>
      <c r="I4323" s="85"/>
      <c r="J4323" s="131"/>
      <c r="K4323" s="60"/>
      <c r="L4323" s="33"/>
      <c r="M4323" s="37"/>
      <c r="N4323" s="37"/>
      <c r="O4323" s="37"/>
      <c r="P4323" s="3"/>
      <c r="Q4323" s="3"/>
      <c r="R4323" s="3"/>
      <c r="S4323" s="3"/>
      <c r="T4323" s="3"/>
      <c r="U4323" s="3"/>
      <c r="V4323" s="3"/>
      <c r="W4323" s="3"/>
      <c r="X4323" s="3"/>
      <c r="Y4323" s="4"/>
      <c r="Z4323"/>
      <c r="AA4323"/>
    </row>
    <row r="4324" spans="1:27" s="2" customFormat="1" x14ac:dyDescent="0.15">
      <c r="A4324" s="70"/>
      <c r="B4324" s="82"/>
      <c r="C4324" s="70"/>
      <c r="D4324" s="70"/>
      <c r="E4324" s="70"/>
      <c r="F4324" s="70"/>
      <c r="G4324" s="70"/>
      <c r="H4324" s="85"/>
      <c r="I4324" s="85"/>
      <c r="J4324" s="131"/>
      <c r="K4324" s="60"/>
      <c r="L4324" s="49"/>
      <c r="M4324" s="37"/>
      <c r="N4324" s="37"/>
      <c r="O4324" s="37"/>
      <c r="P4324" s="3"/>
      <c r="Q4324" s="3"/>
      <c r="R4324" s="3"/>
      <c r="S4324" s="3"/>
      <c r="T4324" s="3"/>
      <c r="U4324" s="3"/>
      <c r="V4324" s="3"/>
      <c r="W4324" s="3"/>
      <c r="X4324" s="3"/>
      <c r="Y4324" s="4"/>
      <c r="Z4324"/>
      <c r="AA4324"/>
    </row>
    <row r="4325" spans="1:27" s="2" customFormat="1" x14ac:dyDescent="0.15">
      <c r="A4325" s="70"/>
      <c r="B4325" s="93"/>
      <c r="C4325" s="70"/>
      <c r="D4325" s="70"/>
      <c r="E4325" s="70"/>
      <c r="F4325" s="70"/>
      <c r="G4325" s="70"/>
      <c r="H4325" s="85"/>
      <c r="I4325" s="85"/>
      <c r="J4325" s="131"/>
      <c r="K4325" s="60"/>
      <c r="L4325" s="33"/>
      <c r="M4325" s="37"/>
      <c r="N4325" s="37"/>
      <c r="O4325" s="37"/>
      <c r="P4325" s="3"/>
      <c r="Q4325" s="3"/>
      <c r="R4325" s="3"/>
      <c r="S4325" s="3"/>
      <c r="T4325" s="3"/>
      <c r="U4325" s="3"/>
      <c r="V4325" s="3"/>
      <c r="W4325" s="3"/>
      <c r="X4325" s="3"/>
      <c r="Y4325" s="4"/>
      <c r="Z4325"/>
      <c r="AA4325"/>
    </row>
    <row r="4326" spans="1:27" s="2" customFormat="1" ht="16" x14ac:dyDescent="0.2">
      <c r="A4326" s="70"/>
      <c r="B4326" s="93"/>
      <c r="C4326" s="70"/>
      <c r="D4326" s="70"/>
      <c r="E4326" s="70"/>
      <c r="F4326" s="70"/>
      <c r="G4326" s="70"/>
      <c r="H4326" s="85"/>
      <c r="I4326" s="85"/>
      <c r="J4326" s="134"/>
      <c r="K4326" s="60"/>
      <c r="L4326" s="47"/>
      <c r="M4326" s="37"/>
      <c r="N4326" s="37"/>
      <c r="O4326" s="37"/>
      <c r="P4326" s="3"/>
      <c r="Q4326" s="3"/>
      <c r="R4326" s="3"/>
      <c r="S4326" s="3"/>
      <c r="T4326" s="3"/>
      <c r="U4326" s="3"/>
      <c r="V4326" s="3"/>
      <c r="W4326" s="3"/>
      <c r="X4326" s="3"/>
      <c r="Y4326" s="4"/>
      <c r="Z4326"/>
      <c r="AA4326"/>
    </row>
    <row r="4327" spans="1:27" s="2" customFormat="1" ht="16" x14ac:dyDescent="0.2">
      <c r="A4327" s="70"/>
      <c r="B4327" s="93"/>
      <c r="C4327" s="70"/>
      <c r="D4327" s="70"/>
      <c r="E4327" s="70"/>
      <c r="F4327" s="70"/>
      <c r="G4327" s="70"/>
      <c r="H4327" s="85"/>
      <c r="I4327" s="85"/>
      <c r="J4327" s="131"/>
      <c r="K4327" s="60"/>
      <c r="L4327" s="47"/>
      <c r="M4327" s="37"/>
      <c r="N4327" s="37"/>
      <c r="O4327" s="37"/>
      <c r="P4327" s="3"/>
      <c r="Q4327" s="3"/>
      <c r="R4327" s="3"/>
      <c r="S4327" s="3"/>
      <c r="T4327" s="3"/>
      <c r="U4327" s="3"/>
      <c r="V4327" s="3"/>
      <c r="W4327" s="3"/>
      <c r="X4327" s="3"/>
      <c r="Y4327" s="4"/>
      <c r="Z4327"/>
      <c r="AA4327"/>
    </row>
    <row r="4328" spans="1:27" s="2" customFormat="1" x14ac:dyDescent="0.15">
      <c r="A4328" s="70"/>
      <c r="B4328" s="93"/>
      <c r="C4328" s="70"/>
      <c r="D4328" s="70"/>
      <c r="E4328" s="70"/>
      <c r="F4328" s="70"/>
      <c r="G4328" s="70"/>
      <c r="H4328" s="85"/>
      <c r="I4328" s="85"/>
      <c r="J4328" s="131"/>
      <c r="K4328" s="60"/>
      <c r="L4328" s="33"/>
      <c r="M4328" s="37"/>
      <c r="N4328" s="37"/>
      <c r="O4328" s="37"/>
      <c r="P4328" s="3"/>
      <c r="Q4328" s="3"/>
      <c r="R4328" s="3"/>
      <c r="S4328" s="3"/>
      <c r="T4328" s="3"/>
      <c r="U4328" s="3"/>
      <c r="V4328" s="3"/>
      <c r="W4328" s="3"/>
      <c r="X4328" s="3"/>
      <c r="Y4328" s="4"/>
      <c r="Z4328"/>
      <c r="AA4328"/>
    </row>
    <row r="4329" spans="1:27" s="2" customFormat="1" x14ac:dyDescent="0.15">
      <c r="A4329" s="70"/>
      <c r="B4329" s="93"/>
      <c r="C4329" s="70"/>
      <c r="D4329" s="70"/>
      <c r="E4329" s="70"/>
      <c r="F4329" s="70"/>
      <c r="G4329" s="70"/>
      <c r="H4329" s="85"/>
      <c r="I4329" s="85"/>
      <c r="J4329" s="131"/>
      <c r="K4329" s="60"/>
      <c r="L4329" s="33"/>
      <c r="M4329" s="37"/>
      <c r="N4329" s="37"/>
      <c r="O4329" s="37"/>
      <c r="P4329" s="3"/>
      <c r="Q4329" s="3"/>
      <c r="R4329" s="3"/>
      <c r="S4329" s="3"/>
      <c r="T4329" s="3"/>
      <c r="U4329" s="3"/>
      <c r="V4329" s="3"/>
      <c r="W4329" s="3"/>
      <c r="X4329" s="3"/>
      <c r="Y4329" s="4"/>
      <c r="Z4329"/>
      <c r="AA4329"/>
    </row>
    <row r="4330" spans="1:27" s="2" customFormat="1" x14ac:dyDescent="0.15">
      <c r="A4330" s="70"/>
      <c r="B4330" s="82"/>
      <c r="C4330" s="70"/>
      <c r="D4330" s="70"/>
      <c r="E4330" s="70"/>
      <c r="F4330" s="70"/>
      <c r="G4330" s="70"/>
      <c r="H4330" s="85"/>
      <c r="I4330" s="85"/>
      <c r="J4330" s="131"/>
      <c r="K4330" s="60"/>
      <c r="L4330" s="49"/>
      <c r="M4330" s="37"/>
      <c r="N4330" s="37"/>
      <c r="O4330" s="37"/>
      <c r="P4330" s="3"/>
      <c r="Q4330" s="3"/>
      <c r="R4330" s="3"/>
      <c r="S4330" s="3"/>
      <c r="T4330" s="3"/>
      <c r="U4330" s="3"/>
      <c r="V4330" s="3"/>
      <c r="W4330" s="3"/>
      <c r="X4330" s="3"/>
      <c r="Y4330" s="4"/>
      <c r="Z4330"/>
      <c r="AA4330"/>
    </row>
    <row r="4331" spans="1:27" s="2" customFormat="1" ht="16" x14ac:dyDescent="0.2">
      <c r="A4331" s="70"/>
      <c r="B4331" s="93"/>
      <c r="C4331" s="70"/>
      <c r="D4331" s="70"/>
      <c r="E4331" s="70"/>
      <c r="F4331" s="70"/>
      <c r="G4331" s="70"/>
      <c r="H4331" s="85"/>
      <c r="I4331" s="85"/>
      <c r="J4331" s="131"/>
      <c r="K4331" s="60"/>
      <c r="L4331" s="47"/>
      <c r="M4331" s="37"/>
      <c r="N4331" s="37"/>
      <c r="O4331" s="37"/>
      <c r="P4331" s="3"/>
      <c r="Q4331" s="3"/>
      <c r="R4331" s="3"/>
      <c r="S4331" s="3"/>
      <c r="T4331" s="3"/>
      <c r="U4331" s="3"/>
      <c r="V4331" s="3"/>
      <c r="W4331" s="3"/>
      <c r="X4331" s="3"/>
      <c r="Y4331" s="4"/>
      <c r="Z4331"/>
      <c r="AA4331"/>
    </row>
    <row r="4332" spans="1:27" s="2" customFormat="1" x14ac:dyDescent="0.15">
      <c r="A4332" s="70"/>
      <c r="B4332" s="82"/>
      <c r="C4332" s="70"/>
      <c r="D4332" s="70"/>
      <c r="E4332" s="70"/>
      <c r="F4332" s="70"/>
      <c r="G4332" s="70"/>
      <c r="H4332" s="85"/>
      <c r="I4332" s="85"/>
      <c r="J4332" s="131"/>
      <c r="K4332" s="60"/>
      <c r="L4332" s="33"/>
      <c r="M4332" s="32"/>
      <c r="N4332" s="37"/>
      <c r="O4332" s="37"/>
      <c r="P4332" s="3"/>
      <c r="Q4332" s="3"/>
      <c r="R4332" s="3"/>
      <c r="S4332" s="3"/>
      <c r="T4332" s="3"/>
      <c r="U4332" s="3"/>
      <c r="V4332" s="3"/>
      <c r="W4332" s="3"/>
      <c r="X4332" s="3"/>
      <c r="Y4332" s="4"/>
      <c r="Z4332"/>
      <c r="AA4332"/>
    </row>
    <row r="4333" spans="1:27" s="2" customFormat="1" x14ac:dyDescent="0.15">
      <c r="A4333" s="70"/>
      <c r="B4333" s="82"/>
      <c r="C4333" s="70"/>
      <c r="D4333" s="70"/>
      <c r="E4333" s="70"/>
      <c r="F4333" s="70"/>
      <c r="G4333" s="70"/>
      <c r="H4333" s="85"/>
      <c r="I4333" s="85"/>
      <c r="J4333" s="131"/>
      <c r="K4333" s="60"/>
      <c r="L4333" s="33"/>
      <c r="M4333" s="37"/>
      <c r="N4333" s="37"/>
      <c r="O4333" s="37"/>
      <c r="P4333" s="3"/>
      <c r="Q4333" s="3"/>
      <c r="R4333" s="3"/>
      <c r="S4333" s="3"/>
      <c r="T4333" s="3"/>
      <c r="U4333" s="3"/>
      <c r="V4333" s="3"/>
      <c r="W4333" s="3"/>
      <c r="X4333" s="3"/>
      <c r="Y4333" s="4"/>
      <c r="Z4333"/>
      <c r="AA4333"/>
    </row>
    <row r="4334" spans="1:27" s="2" customFormat="1" x14ac:dyDescent="0.15">
      <c r="A4334" s="70"/>
      <c r="B4334" s="82"/>
      <c r="C4334" s="73"/>
      <c r="D4334" s="73"/>
      <c r="E4334" s="70"/>
      <c r="F4334" s="73"/>
      <c r="G4334" s="73"/>
      <c r="H4334" s="85"/>
      <c r="I4334" s="95"/>
      <c r="J4334" s="131"/>
      <c r="K4334" s="60"/>
      <c r="L4334" s="49"/>
      <c r="M4334" s="37"/>
      <c r="N4334" s="37"/>
      <c r="O4334" s="37"/>
      <c r="P4334" s="3"/>
      <c r="Q4334" s="3"/>
      <c r="R4334" s="3"/>
      <c r="S4334" s="3"/>
      <c r="T4334" s="3"/>
      <c r="U4334" s="3"/>
      <c r="V4334" s="3"/>
      <c r="W4334" s="3"/>
      <c r="X4334" s="3"/>
      <c r="Y4334" s="4"/>
      <c r="Z4334"/>
      <c r="AA4334"/>
    </row>
    <row r="4335" spans="1:27" s="2" customFormat="1" x14ac:dyDescent="0.15">
      <c r="A4335" s="70"/>
      <c r="B4335" s="82"/>
      <c r="C4335" s="70"/>
      <c r="D4335" s="70"/>
      <c r="E4335" s="70"/>
      <c r="F4335" s="70"/>
      <c r="G4335" s="70"/>
      <c r="H4335" s="85"/>
      <c r="I4335" s="85"/>
      <c r="J4335" s="131"/>
      <c r="K4335" s="60"/>
      <c r="L4335" s="49"/>
      <c r="M4335" s="37"/>
      <c r="N4335" s="37"/>
      <c r="O4335" s="37"/>
      <c r="P4335" s="3"/>
      <c r="Q4335" s="3"/>
      <c r="R4335" s="3"/>
      <c r="S4335" s="3"/>
      <c r="T4335" s="3"/>
      <c r="U4335" s="3"/>
      <c r="V4335" s="3"/>
      <c r="W4335" s="3"/>
      <c r="X4335" s="3"/>
      <c r="Y4335" s="4"/>
      <c r="Z4335"/>
      <c r="AA4335"/>
    </row>
    <row r="4336" spans="1:27" s="2" customFormat="1" x14ac:dyDescent="0.15">
      <c r="A4336" s="70"/>
      <c r="B4336" s="82"/>
      <c r="C4336" s="70"/>
      <c r="D4336" s="70"/>
      <c r="E4336" s="70"/>
      <c r="F4336" s="70"/>
      <c r="G4336" s="70"/>
      <c r="H4336" s="85"/>
      <c r="I4336" s="85"/>
      <c r="J4336" s="131"/>
      <c r="K4336" s="60"/>
      <c r="L4336" s="49"/>
      <c r="M4336" s="37"/>
      <c r="N4336" s="37"/>
      <c r="O4336" s="37"/>
      <c r="P4336" s="3"/>
      <c r="Q4336" s="3"/>
      <c r="R4336" s="3"/>
      <c r="S4336" s="3"/>
      <c r="T4336" s="3"/>
      <c r="U4336" s="3"/>
      <c r="V4336" s="3"/>
      <c r="W4336" s="3"/>
      <c r="X4336" s="3"/>
      <c r="Y4336" s="4"/>
      <c r="Z4336"/>
      <c r="AA4336"/>
    </row>
    <row r="4337" spans="1:27" s="2" customFormat="1" x14ac:dyDescent="0.15">
      <c r="A4337" s="70"/>
      <c r="B4337" s="82"/>
      <c r="C4337" s="70"/>
      <c r="D4337" s="70"/>
      <c r="E4337" s="70"/>
      <c r="F4337" s="70"/>
      <c r="G4337" s="70"/>
      <c r="H4337" s="85"/>
      <c r="I4337" s="85"/>
      <c r="J4337" s="131"/>
      <c r="K4337" s="60"/>
      <c r="L4337" s="49"/>
      <c r="M4337" s="37"/>
      <c r="N4337" s="37"/>
      <c r="O4337" s="37"/>
      <c r="P4337" s="3"/>
      <c r="Q4337" s="3"/>
      <c r="R4337" s="3"/>
      <c r="S4337" s="3"/>
      <c r="T4337" s="3"/>
      <c r="U4337" s="3"/>
      <c r="V4337" s="3"/>
      <c r="W4337" s="3"/>
      <c r="X4337" s="3"/>
      <c r="Y4337" s="4"/>
      <c r="Z4337"/>
      <c r="AA4337"/>
    </row>
    <row r="4338" spans="1:27" s="2" customFormat="1" x14ac:dyDescent="0.15">
      <c r="A4338" s="70"/>
      <c r="B4338" s="82"/>
      <c r="C4338" s="70"/>
      <c r="D4338" s="70"/>
      <c r="E4338" s="70"/>
      <c r="F4338" s="70"/>
      <c r="G4338" s="70"/>
      <c r="H4338" s="85"/>
      <c r="I4338" s="85"/>
      <c r="J4338" s="131"/>
      <c r="K4338" s="60"/>
      <c r="L4338" s="49"/>
      <c r="M4338" s="37"/>
      <c r="N4338" s="37"/>
      <c r="O4338" s="37"/>
      <c r="P4338" s="3"/>
      <c r="Q4338" s="3"/>
      <c r="R4338" s="3"/>
      <c r="S4338" s="3"/>
      <c r="T4338" s="3"/>
      <c r="U4338" s="3"/>
      <c r="V4338" s="3"/>
      <c r="W4338" s="3"/>
      <c r="X4338" s="3"/>
      <c r="Y4338" s="4"/>
      <c r="Z4338"/>
      <c r="AA4338"/>
    </row>
    <row r="4339" spans="1:27" s="2" customFormat="1" ht="16" x14ac:dyDescent="0.2">
      <c r="A4339" s="70"/>
      <c r="B4339" s="93"/>
      <c r="C4339" s="70"/>
      <c r="D4339" s="70"/>
      <c r="E4339" s="70"/>
      <c r="F4339" s="70"/>
      <c r="G4339" s="70"/>
      <c r="H4339" s="85"/>
      <c r="I4339" s="85"/>
      <c r="J4339" s="131"/>
      <c r="K4339" s="60"/>
      <c r="L4339" s="47"/>
      <c r="M4339" s="37"/>
      <c r="N4339" s="37"/>
      <c r="O4339" s="37"/>
      <c r="P4339" s="3"/>
      <c r="Q4339" s="3"/>
      <c r="R4339" s="3"/>
      <c r="S4339" s="3"/>
      <c r="T4339" s="3"/>
      <c r="U4339" s="3"/>
      <c r="V4339" s="3"/>
      <c r="W4339" s="3"/>
      <c r="X4339" s="3"/>
      <c r="Y4339" s="4"/>
      <c r="Z4339"/>
      <c r="AA4339"/>
    </row>
    <row r="4340" spans="1:27" s="2" customFormat="1" x14ac:dyDescent="0.15">
      <c r="A4340" s="70"/>
      <c r="B4340" s="93"/>
      <c r="C4340" s="70"/>
      <c r="D4340" s="70"/>
      <c r="E4340" s="70"/>
      <c r="F4340" s="70"/>
      <c r="G4340" s="70"/>
      <c r="H4340" s="85"/>
      <c r="I4340" s="85"/>
      <c r="J4340" s="131"/>
      <c r="K4340" s="60"/>
      <c r="L4340" s="33"/>
      <c r="M4340" s="37"/>
      <c r="N4340" s="37"/>
      <c r="O4340" s="37"/>
      <c r="P4340" s="3"/>
      <c r="Q4340" s="3"/>
      <c r="R4340" s="3"/>
      <c r="S4340" s="3"/>
      <c r="T4340" s="3"/>
      <c r="U4340" s="3"/>
      <c r="V4340" s="3"/>
      <c r="W4340" s="3"/>
      <c r="X4340" s="3"/>
      <c r="Y4340" s="4"/>
      <c r="Z4340"/>
      <c r="AA4340"/>
    </row>
    <row r="4341" spans="1:27" s="2" customFormat="1" x14ac:dyDescent="0.15">
      <c r="A4341" s="70"/>
      <c r="B4341" s="93"/>
      <c r="C4341" s="70"/>
      <c r="D4341" s="70"/>
      <c r="E4341" s="70"/>
      <c r="F4341" s="70"/>
      <c r="G4341" s="70"/>
      <c r="H4341" s="85"/>
      <c r="I4341" s="85"/>
      <c r="J4341" s="131"/>
      <c r="K4341" s="60"/>
      <c r="L4341" s="33"/>
      <c r="M4341" s="37"/>
      <c r="N4341" s="37"/>
      <c r="O4341" s="37"/>
      <c r="P4341" s="3"/>
      <c r="Q4341" s="3"/>
      <c r="R4341" s="3"/>
      <c r="S4341" s="3"/>
      <c r="T4341" s="3"/>
      <c r="U4341" s="3"/>
      <c r="V4341" s="3"/>
      <c r="W4341" s="3"/>
      <c r="X4341" s="3"/>
      <c r="Y4341" s="4"/>
      <c r="Z4341"/>
      <c r="AA4341"/>
    </row>
    <row r="4342" spans="1:27" s="2" customFormat="1" x14ac:dyDescent="0.15">
      <c r="A4342" s="70"/>
      <c r="B4342" s="82"/>
      <c r="C4342" s="70"/>
      <c r="D4342" s="70"/>
      <c r="E4342" s="70"/>
      <c r="F4342" s="70"/>
      <c r="G4342" s="70"/>
      <c r="H4342" s="85"/>
      <c r="I4342" s="85"/>
      <c r="J4342" s="131"/>
      <c r="K4342" s="60"/>
      <c r="L4342" s="49"/>
      <c r="M4342" s="37"/>
      <c r="N4342" s="37"/>
      <c r="O4342" s="37"/>
      <c r="P4342" s="3"/>
      <c r="Q4342" s="3"/>
      <c r="R4342" s="3"/>
      <c r="S4342" s="3"/>
      <c r="T4342" s="3"/>
      <c r="U4342" s="3"/>
      <c r="V4342" s="3"/>
      <c r="W4342" s="3"/>
      <c r="X4342" s="3"/>
      <c r="Y4342" s="4"/>
      <c r="Z4342"/>
      <c r="AA4342"/>
    </row>
    <row r="4343" spans="1:27" s="2" customFormat="1" x14ac:dyDescent="0.15">
      <c r="A4343" s="70"/>
      <c r="B4343" s="93"/>
      <c r="C4343" s="70"/>
      <c r="D4343" s="70"/>
      <c r="E4343" s="70"/>
      <c r="F4343" s="70"/>
      <c r="G4343" s="70"/>
      <c r="H4343" s="85"/>
      <c r="I4343" s="85"/>
      <c r="J4343" s="131"/>
      <c r="K4343" s="60"/>
      <c r="L4343" s="33"/>
      <c r="M4343" s="37"/>
      <c r="N4343" s="37"/>
      <c r="O4343" s="37"/>
      <c r="P4343" s="3"/>
      <c r="Q4343" s="3"/>
      <c r="R4343" s="3"/>
      <c r="S4343" s="3"/>
      <c r="T4343" s="3"/>
      <c r="U4343" s="3"/>
      <c r="V4343" s="3"/>
      <c r="W4343" s="3"/>
      <c r="X4343" s="3"/>
      <c r="Y4343" s="4"/>
      <c r="Z4343"/>
      <c r="AA4343"/>
    </row>
    <row r="4344" spans="1:27" s="2" customFormat="1" x14ac:dyDescent="0.15">
      <c r="A4344" s="70"/>
      <c r="B4344" s="93"/>
      <c r="C4344" s="70"/>
      <c r="D4344" s="70"/>
      <c r="E4344" s="70"/>
      <c r="F4344" s="70"/>
      <c r="G4344" s="70"/>
      <c r="H4344" s="85"/>
      <c r="I4344" s="85"/>
      <c r="J4344" s="131"/>
      <c r="K4344" s="60"/>
      <c r="L4344" s="33"/>
      <c r="M4344" s="37"/>
      <c r="N4344" s="37"/>
      <c r="O4344" s="37"/>
      <c r="P4344" s="3"/>
      <c r="Q4344" s="3"/>
      <c r="R4344" s="3"/>
      <c r="S4344" s="3"/>
      <c r="T4344" s="3"/>
      <c r="U4344" s="3"/>
      <c r="V4344" s="3"/>
      <c r="W4344" s="3"/>
      <c r="X4344" s="3"/>
      <c r="Y4344" s="4"/>
      <c r="Z4344"/>
      <c r="AA4344"/>
    </row>
    <row r="4345" spans="1:27" s="2" customFormat="1" ht="16" x14ac:dyDescent="0.2">
      <c r="A4345" s="70"/>
      <c r="B4345" s="93"/>
      <c r="C4345" s="73"/>
      <c r="D4345" s="73"/>
      <c r="E4345" s="70"/>
      <c r="F4345" s="73"/>
      <c r="G4345" s="73"/>
      <c r="H4345" s="85"/>
      <c r="I4345" s="95"/>
      <c r="J4345" s="131"/>
      <c r="K4345" s="60"/>
      <c r="L4345" s="47"/>
      <c r="M4345" s="37"/>
      <c r="N4345" s="37"/>
      <c r="O4345" s="37"/>
      <c r="P4345" s="3"/>
      <c r="Q4345" s="3"/>
      <c r="R4345" s="3"/>
      <c r="S4345" s="3"/>
      <c r="T4345" s="3"/>
      <c r="U4345" s="3"/>
      <c r="V4345" s="3"/>
      <c r="W4345" s="3"/>
      <c r="X4345" s="3"/>
      <c r="Y4345" s="4"/>
      <c r="Z4345"/>
      <c r="AA4345"/>
    </row>
    <row r="4346" spans="1:27" s="2" customFormat="1" x14ac:dyDescent="0.15">
      <c r="A4346" s="70"/>
      <c r="B4346" s="93"/>
      <c r="C4346" s="70"/>
      <c r="D4346" s="70"/>
      <c r="E4346" s="70"/>
      <c r="F4346" s="70"/>
      <c r="G4346" s="70"/>
      <c r="H4346" s="85"/>
      <c r="I4346" s="85"/>
      <c r="J4346" s="131"/>
      <c r="K4346" s="60"/>
      <c r="L4346" s="33"/>
      <c r="M4346" s="37"/>
      <c r="N4346" s="37"/>
      <c r="O4346" s="37"/>
      <c r="P4346" s="3"/>
      <c r="Q4346" s="3"/>
      <c r="R4346" s="3"/>
      <c r="S4346" s="3"/>
      <c r="T4346" s="3"/>
      <c r="U4346" s="3"/>
      <c r="V4346" s="3"/>
      <c r="W4346" s="3"/>
      <c r="X4346" s="3"/>
      <c r="Y4346" s="4"/>
      <c r="Z4346"/>
      <c r="AA4346"/>
    </row>
    <row r="4347" spans="1:27" s="2" customFormat="1" x14ac:dyDescent="0.15">
      <c r="A4347" s="70"/>
      <c r="B4347" s="93"/>
      <c r="C4347" s="70"/>
      <c r="D4347" s="70"/>
      <c r="E4347" s="70"/>
      <c r="F4347" s="70"/>
      <c r="G4347" s="70"/>
      <c r="H4347" s="85"/>
      <c r="I4347" s="85"/>
      <c r="J4347" s="131"/>
      <c r="K4347" s="60"/>
      <c r="L4347" s="33"/>
      <c r="M4347" s="37"/>
      <c r="N4347" s="37"/>
      <c r="O4347" s="37"/>
      <c r="P4347" s="3"/>
      <c r="Q4347" s="3"/>
      <c r="R4347" s="3"/>
      <c r="S4347" s="3"/>
      <c r="T4347" s="3"/>
      <c r="U4347" s="3"/>
      <c r="V4347" s="3"/>
      <c r="W4347" s="3"/>
      <c r="X4347" s="3"/>
      <c r="Y4347" s="4"/>
      <c r="Z4347"/>
      <c r="AA4347"/>
    </row>
    <row r="4348" spans="1:27" s="2" customFormat="1" x14ac:dyDescent="0.15">
      <c r="A4348" s="70"/>
      <c r="B4348" s="118"/>
      <c r="C4348" s="70"/>
      <c r="D4348" s="70"/>
      <c r="E4348" s="70"/>
      <c r="F4348" s="70"/>
      <c r="G4348" s="70"/>
      <c r="H4348" s="85"/>
      <c r="I4348" s="85"/>
      <c r="J4348" s="131"/>
      <c r="K4348" s="60"/>
      <c r="L4348" s="49"/>
      <c r="M4348" s="37"/>
      <c r="N4348" s="37"/>
      <c r="O4348" s="37"/>
      <c r="P4348" s="3"/>
      <c r="Q4348" s="3"/>
      <c r="R4348" s="3"/>
      <c r="S4348" s="3"/>
      <c r="T4348" s="3"/>
      <c r="U4348" s="3"/>
      <c r="V4348" s="3"/>
      <c r="W4348" s="3"/>
      <c r="X4348" s="3"/>
      <c r="Y4348" s="4"/>
      <c r="Z4348"/>
      <c r="AA4348"/>
    </row>
    <row r="4349" spans="1:27" s="2" customFormat="1" x14ac:dyDescent="0.15">
      <c r="A4349" s="70"/>
      <c r="B4349" s="117"/>
      <c r="C4349" s="70"/>
      <c r="D4349" s="70"/>
      <c r="E4349" s="70"/>
      <c r="F4349" s="70"/>
      <c r="G4349" s="70"/>
      <c r="H4349" s="85"/>
      <c r="I4349" s="85"/>
      <c r="J4349" s="131"/>
      <c r="K4349" s="60"/>
      <c r="L4349" s="33"/>
      <c r="M4349" s="37"/>
      <c r="N4349" s="37"/>
      <c r="O4349" s="37"/>
      <c r="P4349" s="3"/>
      <c r="Q4349" s="3"/>
      <c r="R4349" s="3"/>
      <c r="S4349" s="3"/>
      <c r="T4349" s="3"/>
      <c r="U4349" s="3"/>
      <c r="V4349" s="3"/>
      <c r="W4349" s="3"/>
      <c r="X4349" s="3"/>
      <c r="Y4349" s="4"/>
      <c r="Z4349"/>
      <c r="AA4349"/>
    </row>
    <row r="4350" spans="1:27" s="2" customFormat="1" x14ac:dyDescent="0.15">
      <c r="A4350" s="70"/>
      <c r="B4350" s="118"/>
      <c r="C4350" s="70"/>
      <c r="D4350" s="70"/>
      <c r="E4350" s="70"/>
      <c r="F4350" s="70"/>
      <c r="G4350" s="70"/>
      <c r="H4350" s="85"/>
      <c r="I4350" s="85"/>
      <c r="J4350" s="131"/>
      <c r="K4350" s="60"/>
      <c r="L4350" s="49"/>
      <c r="M4350" s="33"/>
      <c r="N4350" s="37"/>
      <c r="O4350" s="37"/>
      <c r="P4350" s="3"/>
      <c r="Q4350" s="3"/>
      <c r="R4350" s="3"/>
      <c r="S4350" s="3"/>
      <c r="T4350" s="3"/>
      <c r="U4350" s="3"/>
      <c r="V4350" s="3"/>
      <c r="W4350" s="3"/>
      <c r="X4350" s="3"/>
      <c r="Y4350" s="4"/>
      <c r="Z4350"/>
      <c r="AA4350"/>
    </row>
    <row r="4351" spans="1:27" s="2" customFormat="1" x14ac:dyDescent="0.15">
      <c r="A4351" s="70"/>
      <c r="B4351" s="117"/>
      <c r="C4351" s="70"/>
      <c r="D4351" s="70"/>
      <c r="E4351" s="70"/>
      <c r="F4351" s="70"/>
      <c r="G4351" s="70"/>
      <c r="H4351" s="85"/>
      <c r="I4351" s="85"/>
      <c r="J4351" s="131"/>
      <c r="K4351" s="60"/>
      <c r="L4351" s="33"/>
      <c r="M4351" s="37"/>
      <c r="N4351" s="37"/>
      <c r="O4351" s="37"/>
      <c r="P4351" s="3"/>
      <c r="Q4351" s="3"/>
      <c r="R4351" s="3"/>
      <c r="S4351" s="3"/>
      <c r="T4351" s="3"/>
      <c r="U4351" s="3"/>
      <c r="V4351" s="3"/>
      <c r="W4351" s="3"/>
      <c r="X4351" s="3"/>
      <c r="Y4351" s="4"/>
      <c r="Z4351"/>
      <c r="AA4351"/>
    </row>
    <row r="4352" spans="1:27" s="2" customFormat="1" x14ac:dyDescent="0.15">
      <c r="A4352" s="70"/>
      <c r="B4352" s="117"/>
      <c r="C4352" s="70"/>
      <c r="D4352" s="70"/>
      <c r="E4352" s="70"/>
      <c r="F4352" s="70"/>
      <c r="G4352" s="70"/>
      <c r="H4352" s="85"/>
      <c r="I4352" s="85"/>
      <c r="J4352" s="131"/>
      <c r="K4352" s="60"/>
      <c r="L4352" s="33"/>
      <c r="M4352" s="32"/>
      <c r="N4352" s="37"/>
      <c r="O4352" s="37"/>
      <c r="P4352" s="3"/>
      <c r="Q4352" s="3"/>
      <c r="R4352" s="3"/>
      <c r="S4352" s="3"/>
      <c r="T4352" s="3"/>
      <c r="U4352" s="3"/>
      <c r="V4352" s="3"/>
      <c r="W4352" s="3"/>
      <c r="X4352" s="3"/>
      <c r="Y4352" s="4"/>
      <c r="Z4352"/>
      <c r="AA4352"/>
    </row>
    <row r="4353" spans="1:27" x14ac:dyDescent="0.15">
      <c r="A4353" s="70"/>
      <c r="B4353" s="118"/>
      <c r="C4353" s="70"/>
      <c r="D4353" s="70"/>
      <c r="E4353" s="70"/>
      <c r="F4353" s="70"/>
      <c r="G4353" s="70"/>
      <c r="H4353" s="85"/>
      <c r="I4353" s="85"/>
      <c r="J4353" s="131"/>
      <c r="K4353" s="60"/>
    </row>
    <row r="4354" spans="1:27" x14ac:dyDescent="0.15">
      <c r="A4354" s="70"/>
      <c r="B4354" s="117"/>
      <c r="C4354" s="70"/>
      <c r="D4354" s="70"/>
      <c r="E4354" s="70"/>
      <c r="F4354" s="70"/>
      <c r="G4354" s="70"/>
      <c r="H4354" s="85"/>
      <c r="I4354" s="85"/>
      <c r="J4354" s="131"/>
      <c r="K4354" s="60"/>
    </row>
    <row r="4355" spans="1:27" x14ac:dyDescent="0.15">
      <c r="A4355" s="62"/>
      <c r="B4355" s="119"/>
      <c r="C4355" s="62"/>
      <c r="D4355" s="62"/>
      <c r="E4355" s="62"/>
      <c r="F4355" s="62"/>
      <c r="G4355" s="62"/>
      <c r="H4355" s="103"/>
      <c r="I4355" s="98"/>
      <c r="J4355" s="135"/>
      <c r="K4355" s="67"/>
      <c r="L4355" s="35"/>
      <c r="M4355" s="35"/>
      <c r="N4355" s="35"/>
      <c r="O4355" s="35"/>
    </row>
    <row r="4356" spans="1:27" x14ac:dyDescent="0.15">
      <c r="A4356" s="70"/>
      <c r="B4356" s="118"/>
      <c r="C4356" s="73"/>
      <c r="D4356" s="73"/>
      <c r="E4356" s="70"/>
      <c r="F4356" s="73"/>
      <c r="G4356" s="73"/>
      <c r="H4356" s="85"/>
      <c r="I4356" s="95"/>
      <c r="J4356" s="131"/>
      <c r="K4356" s="60"/>
    </row>
    <row r="4357" spans="1:27" x14ac:dyDescent="0.15">
      <c r="A4357" s="70"/>
      <c r="B4357" s="118"/>
      <c r="C4357" s="70"/>
      <c r="D4357" s="70"/>
      <c r="E4357" s="70"/>
      <c r="F4357" s="70"/>
      <c r="G4357" s="70"/>
      <c r="H4357" s="85"/>
      <c r="I4357" s="85"/>
      <c r="J4357" s="131"/>
      <c r="K4357" s="60"/>
    </row>
    <row r="4358" spans="1:27" x14ac:dyDescent="0.15">
      <c r="A4358" s="70"/>
      <c r="B4358" s="117"/>
      <c r="C4358" s="73"/>
      <c r="D4358" s="73"/>
      <c r="E4358" s="70"/>
      <c r="F4358" s="73"/>
      <c r="G4358" s="73"/>
      <c r="H4358" s="85"/>
      <c r="I4358" s="95"/>
      <c r="J4358" s="131"/>
      <c r="K4358" s="60"/>
      <c r="L4358" s="33"/>
    </row>
    <row r="4359" spans="1:27" x14ac:dyDescent="0.15">
      <c r="A4359" s="70"/>
      <c r="B4359" s="118"/>
      <c r="C4359" s="70"/>
      <c r="D4359" s="70"/>
      <c r="E4359" s="70"/>
      <c r="F4359" s="70"/>
      <c r="G4359" s="70"/>
      <c r="H4359" s="85"/>
      <c r="I4359" s="85"/>
      <c r="J4359" s="131"/>
      <c r="K4359" s="60"/>
    </row>
    <row r="4360" spans="1:27" x14ac:dyDescent="0.15">
      <c r="A4360" s="70"/>
      <c r="B4360" s="118"/>
      <c r="C4360" s="70"/>
      <c r="D4360" s="70"/>
      <c r="E4360" s="70"/>
      <c r="F4360" s="70"/>
      <c r="G4360" s="70"/>
      <c r="H4360" s="85"/>
      <c r="I4360" s="85"/>
      <c r="J4360" s="131"/>
      <c r="K4360" s="60"/>
    </row>
    <row r="4361" spans="1:27" x14ac:dyDescent="0.15">
      <c r="A4361" s="70"/>
      <c r="B4361" s="117"/>
      <c r="C4361" s="70"/>
      <c r="D4361" s="70"/>
      <c r="E4361" s="70"/>
      <c r="F4361" s="70"/>
      <c r="G4361" s="70"/>
      <c r="H4361" s="85"/>
      <c r="I4361" s="85"/>
      <c r="J4361" s="131"/>
      <c r="K4361" s="60"/>
      <c r="L4361" s="33"/>
    </row>
    <row r="4362" spans="1:27" x14ac:dyDescent="0.15">
      <c r="A4362" s="70"/>
      <c r="B4362" s="117"/>
      <c r="C4362" s="70"/>
      <c r="D4362" s="70"/>
      <c r="E4362" s="73"/>
      <c r="F4362" s="70"/>
      <c r="G4362" s="70"/>
      <c r="H4362" s="85"/>
      <c r="I4362" s="85"/>
      <c r="J4362" s="131"/>
      <c r="K4362" s="60"/>
      <c r="L4362" s="33"/>
    </row>
    <row r="4363" spans="1:27" x14ac:dyDescent="0.15">
      <c r="A4363" s="70"/>
      <c r="B4363" s="117"/>
      <c r="C4363" s="70"/>
      <c r="D4363" s="70"/>
      <c r="E4363" s="70"/>
      <c r="F4363" s="70"/>
      <c r="G4363" s="70"/>
      <c r="H4363" s="85"/>
      <c r="I4363" s="85"/>
      <c r="J4363" s="131"/>
      <c r="K4363" s="60"/>
      <c r="L4363" s="33"/>
    </row>
    <row r="4364" spans="1:27" ht="16" x14ac:dyDescent="0.2">
      <c r="A4364" s="70"/>
      <c r="B4364" s="117"/>
      <c r="C4364" s="70"/>
      <c r="D4364" s="70"/>
      <c r="E4364" s="70"/>
      <c r="F4364" s="70"/>
      <c r="G4364" s="70"/>
      <c r="H4364" s="85"/>
      <c r="I4364" s="85"/>
      <c r="J4364" s="131"/>
      <c r="K4364" s="60"/>
      <c r="L4364" s="47"/>
      <c r="N4364" s="33"/>
    </row>
    <row r="4365" spans="1:27" x14ac:dyDescent="0.15">
      <c r="A4365" s="70"/>
      <c r="B4365" s="117"/>
      <c r="C4365" s="70"/>
      <c r="D4365" s="70"/>
      <c r="E4365" s="70"/>
      <c r="F4365" s="70"/>
      <c r="G4365" s="70"/>
      <c r="H4365" s="85"/>
      <c r="I4365" s="85"/>
      <c r="J4365" s="131"/>
      <c r="K4365" s="60"/>
      <c r="L4365" s="33"/>
      <c r="M4365" s="35"/>
    </row>
    <row r="4366" spans="1:27" x14ac:dyDescent="0.15">
      <c r="A4366" s="70"/>
      <c r="B4366" s="117"/>
      <c r="C4366" s="70"/>
      <c r="D4366" s="70"/>
      <c r="E4366" s="70"/>
      <c r="F4366" s="70"/>
      <c r="G4366" s="70"/>
      <c r="H4366" s="85"/>
      <c r="I4366" s="85"/>
      <c r="J4366" s="131"/>
      <c r="K4366" s="60"/>
    </row>
    <row r="4367" spans="1:27" s="37" customFormat="1" x14ac:dyDescent="0.15">
      <c r="A4367" s="70"/>
      <c r="B4367" s="117"/>
      <c r="C4367" s="70"/>
      <c r="D4367" s="70"/>
      <c r="E4367" s="70"/>
      <c r="F4367" s="70"/>
      <c r="G4367" s="70"/>
      <c r="H4367" s="85"/>
      <c r="I4367" s="85"/>
      <c r="J4367" s="131"/>
      <c r="K4367" s="60"/>
      <c r="L4367" s="33"/>
      <c r="P4367" s="3"/>
      <c r="Q4367" s="3"/>
      <c r="R4367" s="3"/>
      <c r="S4367" s="3"/>
      <c r="T4367" s="3"/>
      <c r="U4367" s="3"/>
      <c r="V4367" s="3"/>
      <c r="W4367" s="3"/>
      <c r="X4367" s="3"/>
      <c r="Y4367" s="4"/>
      <c r="Z4367"/>
      <c r="AA4367"/>
    </row>
    <row r="4368" spans="1:27" s="37" customFormat="1" x14ac:dyDescent="0.15">
      <c r="A4368" s="70"/>
      <c r="B4368" s="117"/>
      <c r="C4368" s="70"/>
      <c r="D4368" s="70"/>
      <c r="E4368" s="70"/>
      <c r="F4368" s="70"/>
      <c r="G4368" s="70"/>
      <c r="H4368" s="85"/>
      <c r="I4368" s="85"/>
      <c r="J4368" s="131"/>
      <c r="K4368" s="60"/>
      <c r="L4368" s="49"/>
      <c r="P4368" s="3"/>
      <c r="Q4368" s="3"/>
      <c r="R4368" s="3"/>
      <c r="S4368" s="3"/>
      <c r="T4368" s="3"/>
      <c r="U4368" s="3"/>
      <c r="V4368" s="3"/>
      <c r="W4368" s="3"/>
      <c r="X4368" s="3"/>
      <c r="Y4368" s="4"/>
      <c r="Z4368"/>
      <c r="AA4368"/>
    </row>
    <row r="4369" spans="1:27" s="37" customFormat="1" x14ac:dyDescent="0.15">
      <c r="A4369" s="70"/>
      <c r="B4369" s="117"/>
      <c r="C4369" s="70"/>
      <c r="D4369" s="70"/>
      <c r="E4369" s="70"/>
      <c r="F4369" s="70"/>
      <c r="G4369" s="70"/>
      <c r="H4369" s="85"/>
      <c r="I4369" s="85"/>
      <c r="J4369" s="131"/>
      <c r="K4369" s="60"/>
      <c r="L4369" s="33"/>
      <c r="P4369" s="3"/>
      <c r="Q4369" s="3"/>
      <c r="R4369" s="3"/>
      <c r="S4369" s="3"/>
      <c r="T4369" s="3"/>
      <c r="U4369" s="3"/>
      <c r="V4369" s="3"/>
      <c r="W4369" s="3"/>
      <c r="X4369" s="3"/>
      <c r="Y4369" s="4"/>
      <c r="Z4369"/>
      <c r="AA4369"/>
    </row>
    <row r="4370" spans="1:27" s="37" customFormat="1" x14ac:dyDescent="0.15">
      <c r="A4370" s="70"/>
      <c r="B4370" s="117"/>
      <c r="C4370" s="70"/>
      <c r="D4370" s="70"/>
      <c r="E4370" s="70"/>
      <c r="F4370" s="70"/>
      <c r="G4370" s="70"/>
      <c r="H4370" s="85"/>
      <c r="I4370" s="85"/>
      <c r="J4370" s="131"/>
      <c r="K4370" s="60"/>
      <c r="L4370" s="33"/>
      <c r="P4370" s="3"/>
      <c r="Q4370" s="3"/>
      <c r="R4370" s="3"/>
      <c r="S4370" s="3"/>
      <c r="T4370" s="3"/>
      <c r="U4370" s="3"/>
      <c r="V4370" s="3"/>
      <c r="W4370" s="3"/>
      <c r="X4370" s="3"/>
      <c r="Y4370" s="4"/>
      <c r="Z4370"/>
      <c r="AA4370"/>
    </row>
    <row r="4371" spans="1:27" s="37" customFormat="1" x14ac:dyDescent="0.15">
      <c r="A4371" s="70"/>
      <c r="B4371" s="117"/>
      <c r="C4371" s="70"/>
      <c r="D4371" s="70"/>
      <c r="E4371" s="70"/>
      <c r="F4371" s="70"/>
      <c r="G4371" s="70"/>
      <c r="H4371" s="85"/>
      <c r="I4371" s="85"/>
      <c r="J4371" s="131"/>
      <c r="K4371" s="60"/>
      <c r="L4371" s="33"/>
      <c r="P4371" s="3"/>
      <c r="Q4371" s="3"/>
      <c r="R4371" s="3"/>
      <c r="S4371" s="3"/>
      <c r="T4371" s="3"/>
      <c r="U4371" s="3"/>
      <c r="V4371" s="3"/>
      <c r="W4371" s="3"/>
      <c r="X4371" s="3"/>
      <c r="Y4371" s="4"/>
      <c r="Z4371"/>
      <c r="AA4371"/>
    </row>
    <row r="4372" spans="1:27" s="37" customFormat="1" x14ac:dyDescent="0.15">
      <c r="A4372" s="70"/>
      <c r="B4372" s="118"/>
      <c r="C4372" s="70"/>
      <c r="D4372" s="70"/>
      <c r="E4372" s="70"/>
      <c r="F4372" s="70"/>
      <c r="G4372" s="70"/>
      <c r="H4372" s="85"/>
      <c r="I4372" s="85"/>
      <c r="J4372" s="131"/>
      <c r="K4372" s="60"/>
      <c r="L4372" s="33"/>
      <c r="P4372" s="3"/>
      <c r="Q4372" s="3"/>
      <c r="R4372" s="3"/>
      <c r="S4372" s="3"/>
      <c r="T4372" s="3"/>
      <c r="U4372" s="3"/>
      <c r="V4372" s="3"/>
      <c r="W4372" s="3"/>
      <c r="X4372" s="3"/>
      <c r="Y4372" s="4"/>
      <c r="Z4372"/>
      <c r="AA4372"/>
    </row>
    <row r="4373" spans="1:27" s="37" customFormat="1" x14ac:dyDescent="0.15">
      <c r="A4373" s="70"/>
      <c r="B4373" s="117"/>
      <c r="C4373" s="73"/>
      <c r="D4373" s="73"/>
      <c r="E4373" s="73"/>
      <c r="F4373" s="73"/>
      <c r="G4373" s="73"/>
      <c r="H4373" s="85"/>
      <c r="I4373" s="95"/>
      <c r="J4373" s="134"/>
      <c r="K4373" s="63"/>
      <c r="L4373" s="33"/>
      <c r="P4373" s="3"/>
      <c r="Q4373" s="3"/>
      <c r="R4373" s="3"/>
      <c r="S4373" s="3"/>
      <c r="T4373" s="3"/>
      <c r="U4373" s="3"/>
      <c r="V4373" s="3"/>
      <c r="W4373" s="3"/>
      <c r="X4373" s="3"/>
      <c r="Y4373" s="4"/>
      <c r="Z4373"/>
      <c r="AA4373"/>
    </row>
    <row r="4374" spans="1:27" s="37" customFormat="1" x14ac:dyDescent="0.15">
      <c r="A4374" s="70"/>
      <c r="B4374" s="117"/>
      <c r="C4374" s="70"/>
      <c r="D4374" s="70"/>
      <c r="E4374" s="70"/>
      <c r="F4374" s="70"/>
      <c r="G4374" s="70"/>
      <c r="H4374" s="85"/>
      <c r="I4374" s="85"/>
      <c r="J4374" s="131"/>
      <c r="K4374" s="60"/>
      <c r="L4374" s="33"/>
      <c r="P4374" s="3"/>
      <c r="Q4374" s="3"/>
      <c r="R4374" s="3"/>
      <c r="S4374" s="3"/>
      <c r="T4374" s="3"/>
      <c r="U4374" s="3"/>
      <c r="V4374" s="3"/>
      <c r="W4374" s="3"/>
      <c r="X4374" s="3"/>
      <c r="Y4374" s="4"/>
      <c r="Z4374"/>
      <c r="AA4374"/>
    </row>
    <row r="4375" spans="1:27" s="37" customFormat="1" x14ac:dyDescent="0.15">
      <c r="A4375" s="70"/>
      <c r="B4375" s="117"/>
      <c r="C4375" s="70"/>
      <c r="D4375" s="70"/>
      <c r="E4375" s="70"/>
      <c r="F4375" s="70"/>
      <c r="G4375" s="70"/>
      <c r="H4375" s="85"/>
      <c r="I4375" s="85"/>
      <c r="J4375" s="131"/>
      <c r="K4375" s="60"/>
      <c r="L4375" s="33"/>
      <c r="P4375" s="3"/>
      <c r="Q4375" s="3"/>
      <c r="R4375" s="3"/>
      <c r="S4375" s="3"/>
      <c r="T4375" s="3"/>
      <c r="U4375" s="3"/>
      <c r="V4375" s="3"/>
      <c r="W4375" s="3"/>
      <c r="X4375" s="3"/>
      <c r="Y4375" s="4"/>
      <c r="Z4375"/>
      <c r="AA4375"/>
    </row>
    <row r="4376" spans="1:27" s="37" customFormat="1" x14ac:dyDescent="0.15">
      <c r="A4376" s="70"/>
      <c r="B4376" s="117"/>
      <c r="C4376" s="70"/>
      <c r="D4376" s="70"/>
      <c r="E4376" s="70"/>
      <c r="F4376" s="70"/>
      <c r="G4376" s="70"/>
      <c r="H4376" s="85"/>
      <c r="I4376" s="85"/>
      <c r="J4376" s="131"/>
      <c r="K4376" s="60"/>
      <c r="L4376" s="33"/>
      <c r="P4376" s="3"/>
      <c r="Q4376" s="3"/>
      <c r="R4376" s="3"/>
      <c r="S4376" s="3"/>
      <c r="T4376" s="3"/>
      <c r="U4376" s="3"/>
      <c r="V4376" s="3"/>
      <c r="W4376" s="3"/>
      <c r="X4376" s="3"/>
      <c r="Y4376" s="4"/>
      <c r="Z4376"/>
      <c r="AA4376"/>
    </row>
    <row r="4377" spans="1:27" s="37" customFormat="1" x14ac:dyDescent="0.15">
      <c r="A4377" s="70"/>
      <c r="B4377" s="117"/>
      <c r="C4377" s="73"/>
      <c r="D4377" s="73"/>
      <c r="E4377" s="73"/>
      <c r="F4377" s="73"/>
      <c r="G4377" s="73"/>
      <c r="H4377" s="85"/>
      <c r="I4377" s="95"/>
      <c r="J4377" s="131"/>
      <c r="K4377" s="60"/>
      <c r="L4377" s="33"/>
      <c r="P4377" s="3"/>
      <c r="Q4377" s="3"/>
      <c r="R4377" s="3"/>
      <c r="S4377" s="3"/>
      <c r="T4377" s="3"/>
      <c r="U4377" s="3"/>
      <c r="V4377" s="3"/>
      <c r="W4377" s="3"/>
      <c r="X4377" s="3"/>
      <c r="Y4377" s="4"/>
      <c r="Z4377"/>
      <c r="AA4377"/>
    </row>
    <row r="4378" spans="1:27" s="37" customFormat="1" x14ac:dyDescent="0.15">
      <c r="A4378" s="70"/>
      <c r="B4378" s="117"/>
      <c r="C4378" s="70"/>
      <c r="D4378" s="70"/>
      <c r="E4378" s="73"/>
      <c r="F4378" s="70"/>
      <c r="G4378" s="70"/>
      <c r="H4378" s="85"/>
      <c r="I4378" s="85"/>
      <c r="J4378" s="131"/>
      <c r="K4378" s="60"/>
      <c r="L4378" s="33"/>
      <c r="P4378" s="3"/>
      <c r="Q4378" s="3"/>
      <c r="R4378" s="3"/>
      <c r="S4378" s="3"/>
      <c r="T4378" s="3"/>
      <c r="U4378" s="3"/>
      <c r="V4378" s="3"/>
      <c r="W4378" s="3"/>
      <c r="X4378" s="3"/>
      <c r="Y4378" s="4"/>
      <c r="Z4378"/>
      <c r="AA4378"/>
    </row>
    <row r="4379" spans="1:27" s="37" customFormat="1" x14ac:dyDescent="0.15">
      <c r="A4379" s="70"/>
      <c r="B4379" s="117"/>
      <c r="C4379" s="70"/>
      <c r="D4379" s="70"/>
      <c r="E4379" s="70"/>
      <c r="F4379" s="70"/>
      <c r="G4379" s="70"/>
      <c r="H4379" s="85"/>
      <c r="I4379" s="85"/>
      <c r="J4379" s="131"/>
      <c r="K4379" s="60"/>
      <c r="L4379" s="33"/>
      <c r="P4379" s="3"/>
      <c r="Q4379" s="3"/>
      <c r="R4379" s="3"/>
      <c r="S4379" s="3"/>
      <c r="T4379" s="3"/>
      <c r="U4379" s="3"/>
      <c r="V4379" s="3"/>
      <c r="W4379" s="3"/>
      <c r="X4379" s="3"/>
      <c r="Y4379" s="4"/>
      <c r="Z4379"/>
      <c r="AA4379"/>
    </row>
    <row r="4380" spans="1:27" s="37" customFormat="1" x14ac:dyDescent="0.15">
      <c r="A4380" s="70"/>
      <c r="B4380" s="117"/>
      <c r="C4380" s="70"/>
      <c r="D4380" s="70"/>
      <c r="E4380" s="70"/>
      <c r="F4380" s="70"/>
      <c r="G4380" s="70"/>
      <c r="H4380" s="85"/>
      <c r="I4380" s="85"/>
      <c r="J4380" s="131"/>
      <c r="K4380" s="60"/>
      <c r="L4380" s="33"/>
      <c r="P4380" s="3"/>
      <c r="Q4380" s="3"/>
      <c r="R4380" s="3"/>
      <c r="S4380" s="3"/>
      <c r="T4380" s="3"/>
      <c r="U4380" s="3"/>
      <c r="V4380" s="3"/>
      <c r="W4380" s="3"/>
      <c r="X4380" s="3"/>
      <c r="Y4380" s="4"/>
      <c r="Z4380"/>
      <c r="AA4380"/>
    </row>
    <row r="4381" spans="1:27" s="37" customFormat="1" x14ac:dyDescent="0.15">
      <c r="A4381" s="70"/>
      <c r="B4381" s="117"/>
      <c r="C4381" s="70"/>
      <c r="D4381" s="70"/>
      <c r="E4381" s="70"/>
      <c r="F4381" s="70"/>
      <c r="G4381" s="70"/>
      <c r="H4381" s="85"/>
      <c r="I4381" s="85"/>
      <c r="J4381" s="131"/>
      <c r="K4381" s="60"/>
      <c r="L4381" s="49"/>
      <c r="P4381" s="3"/>
      <c r="Q4381" s="3"/>
      <c r="R4381" s="3"/>
      <c r="S4381" s="3"/>
      <c r="T4381" s="3"/>
      <c r="U4381" s="3"/>
      <c r="V4381" s="3"/>
      <c r="W4381" s="3"/>
      <c r="X4381" s="3"/>
      <c r="Y4381" s="4"/>
      <c r="Z4381"/>
      <c r="AA4381"/>
    </row>
    <row r="4382" spans="1:27" s="37" customFormat="1" x14ac:dyDescent="0.15">
      <c r="A4382" s="70"/>
      <c r="B4382" s="117"/>
      <c r="C4382" s="70"/>
      <c r="D4382" s="70"/>
      <c r="E4382" s="70"/>
      <c r="F4382" s="70"/>
      <c r="G4382" s="70"/>
      <c r="H4382" s="85"/>
      <c r="I4382" s="85"/>
      <c r="J4382" s="131"/>
      <c r="K4382" s="60"/>
      <c r="P4382" s="3"/>
      <c r="Q4382" s="3"/>
      <c r="R4382" s="3"/>
      <c r="S4382" s="3"/>
      <c r="T4382" s="3"/>
      <c r="U4382" s="3"/>
      <c r="V4382" s="3"/>
      <c r="W4382" s="3"/>
      <c r="X4382" s="3"/>
      <c r="Y4382" s="4"/>
      <c r="Z4382"/>
      <c r="AA4382"/>
    </row>
    <row r="4383" spans="1:27" s="37" customFormat="1" x14ac:dyDescent="0.15">
      <c r="A4383" s="70"/>
      <c r="B4383" s="118"/>
      <c r="C4383" s="70"/>
      <c r="D4383" s="70"/>
      <c r="E4383" s="70"/>
      <c r="F4383" s="70"/>
      <c r="G4383" s="70"/>
      <c r="H4383" s="85"/>
      <c r="I4383" s="85"/>
      <c r="J4383" s="131"/>
      <c r="K4383" s="60"/>
      <c r="L4383" s="33"/>
      <c r="P4383" s="3"/>
      <c r="Q4383" s="3"/>
      <c r="R4383" s="3"/>
      <c r="S4383" s="3"/>
      <c r="T4383" s="3"/>
      <c r="U4383" s="3"/>
      <c r="V4383" s="3"/>
      <c r="W4383" s="3"/>
      <c r="X4383" s="3"/>
      <c r="Y4383" s="4"/>
      <c r="Z4383"/>
      <c r="AA4383"/>
    </row>
    <row r="4384" spans="1:27" s="37" customFormat="1" x14ac:dyDescent="0.15">
      <c r="A4384" s="70"/>
      <c r="B4384" s="117"/>
      <c r="C4384" s="70"/>
      <c r="D4384" s="70"/>
      <c r="E4384" s="70"/>
      <c r="F4384" s="70"/>
      <c r="G4384" s="70"/>
      <c r="H4384" s="85"/>
      <c r="I4384" s="85"/>
      <c r="J4384" s="131"/>
      <c r="K4384" s="60"/>
      <c r="L4384" s="33"/>
      <c r="P4384" s="3"/>
      <c r="Q4384" s="3"/>
      <c r="R4384" s="3"/>
      <c r="S4384" s="3"/>
      <c r="T4384" s="3"/>
      <c r="U4384" s="3"/>
      <c r="V4384" s="3"/>
      <c r="W4384" s="3"/>
      <c r="X4384" s="3"/>
      <c r="Y4384" s="4"/>
      <c r="Z4384"/>
      <c r="AA4384"/>
    </row>
    <row r="4385" spans="1:27" s="37" customFormat="1" ht="16" x14ac:dyDescent="0.2">
      <c r="A4385" s="70"/>
      <c r="B4385" s="117"/>
      <c r="C4385" s="70"/>
      <c r="D4385" s="70"/>
      <c r="E4385" s="70"/>
      <c r="F4385" s="70"/>
      <c r="G4385" s="70"/>
      <c r="H4385" s="85"/>
      <c r="I4385" s="85"/>
      <c r="J4385" s="131"/>
      <c r="K4385" s="60"/>
      <c r="L4385" s="47"/>
      <c r="P4385" s="3"/>
      <c r="Q4385" s="3"/>
      <c r="R4385" s="3"/>
      <c r="S4385" s="3"/>
      <c r="T4385" s="3"/>
      <c r="U4385" s="3"/>
      <c r="V4385" s="3"/>
      <c r="W4385" s="3"/>
      <c r="X4385" s="3"/>
      <c r="Y4385" s="4"/>
      <c r="Z4385"/>
      <c r="AA4385"/>
    </row>
    <row r="4386" spans="1:27" s="37" customFormat="1" x14ac:dyDescent="0.15">
      <c r="A4386" s="70"/>
      <c r="B4386" s="118"/>
      <c r="C4386" s="70"/>
      <c r="D4386" s="70"/>
      <c r="E4386" s="70"/>
      <c r="F4386" s="70"/>
      <c r="G4386" s="70"/>
      <c r="H4386" s="85"/>
      <c r="I4386" s="85"/>
      <c r="J4386" s="131"/>
      <c r="K4386" s="60"/>
      <c r="L4386" s="33"/>
      <c r="P4386" s="3"/>
      <c r="Q4386" s="3"/>
      <c r="R4386" s="3"/>
      <c r="S4386" s="3"/>
      <c r="T4386" s="3"/>
      <c r="U4386" s="3"/>
      <c r="V4386" s="3"/>
      <c r="W4386" s="3"/>
      <c r="X4386" s="3"/>
      <c r="Y4386" s="4"/>
      <c r="Z4386"/>
      <c r="AA4386"/>
    </row>
    <row r="4387" spans="1:27" s="37" customFormat="1" x14ac:dyDescent="0.15">
      <c r="A4387" s="70"/>
      <c r="B4387" s="118"/>
      <c r="C4387" s="70"/>
      <c r="D4387" s="70"/>
      <c r="E4387" s="70"/>
      <c r="F4387" s="70"/>
      <c r="G4387" s="70"/>
      <c r="H4387" s="85"/>
      <c r="I4387" s="85"/>
      <c r="J4387" s="131"/>
      <c r="K4387" s="60"/>
      <c r="L4387" s="33"/>
      <c r="P4387" s="3"/>
      <c r="Q4387" s="3"/>
      <c r="R4387" s="3"/>
      <c r="S4387" s="3"/>
      <c r="T4387" s="3"/>
      <c r="U4387" s="3"/>
      <c r="V4387" s="3"/>
      <c r="W4387" s="3"/>
      <c r="X4387" s="3"/>
      <c r="Y4387" s="4"/>
      <c r="Z4387"/>
      <c r="AA4387"/>
    </row>
    <row r="4388" spans="1:27" s="37" customFormat="1" x14ac:dyDescent="0.15">
      <c r="A4388" s="70"/>
      <c r="B4388" s="117"/>
      <c r="C4388" s="70"/>
      <c r="D4388" s="70"/>
      <c r="E4388" s="73"/>
      <c r="F4388" s="70"/>
      <c r="G4388" s="70"/>
      <c r="H4388" s="85"/>
      <c r="I4388" s="85"/>
      <c r="J4388" s="131"/>
      <c r="K4388" s="60"/>
      <c r="L4388" s="33"/>
      <c r="P4388" s="3"/>
      <c r="Q4388" s="3"/>
      <c r="R4388" s="3"/>
      <c r="S4388" s="3"/>
      <c r="T4388" s="3"/>
      <c r="U4388" s="3"/>
      <c r="V4388" s="3"/>
      <c r="W4388" s="3"/>
      <c r="X4388" s="3"/>
      <c r="Y4388" s="4"/>
      <c r="Z4388"/>
      <c r="AA4388"/>
    </row>
    <row r="4389" spans="1:27" s="37" customFormat="1" x14ac:dyDescent="0.15">
      <c r="A4389" s="70"/>
      <c r="B4389" s="117"/>
      <c r="C4389" s="73"/>
      <c r="D4389" s="73"/>
      <c r="E4389" s="73"/>
      <c r="F4389" s="73"/>
      <c r="G4389" s="73"/>
      <c r="H4389" s="85"/>
      <c r="I4389" s="95"/>
      <c r="J4389" s="131"/>
      <c r="K4389" s="60"/>
      <c r="L4389" s="33"/>
      <c r="P4389" s="3"/>
      <c r="Q4389" s="3"/>
      <c r="R4389" s="3"/>
      <c r="S4389" s="3"/>
      <c r="T4389" s="3"/>
      <c r="U4389" s="3"/>
      <c r="V4389" s="3"/>
      <c r="W4389" s="3"/>
      <c r="X4389" s="3"/>
      <c r="Y4389" s="4"/>
      <c r="Z4389"/>
      <c r="AA4389"/>
    </row>
    <row r="4390" spans="1:27" s="37" customFormat="1" x14ac:dyDescent="0.15">
      <c r="A4390" s="70"/>
      <c r="B4390" s="117"/>
      <c r="C4390" s="70"/>
      <c r="D4390" s="70"/>
      <c r="E4390" s="73"/>
      <c r="F4390" s="70"/>
      <c r="G4390" s="70"/>
      <c r="H4390" s="85"/>
      <c r="I4390" s="85"/>
      <c r="J4390" s="131"/>
      <c r="K4390" s="60"/>
      <c r="L4390" s="33"/>
      <c r="P4390" s="3"/>
      <c r="Q4390" s="3"/>
      <c r="R4390" s="3"/>
      <c r="S4390" s="3"/>
      <c r="T4390" s="3"/>
      <c r="U4390" s="3"/>
      <c r="V4390" s="3"/>
      <c r="W4390" s="3"/>
      <c r="X4390" s="3"/>
      <c r="Y4390" s="4"/>
      <c r="Z4390"/>
      <c r="AA4390"/>
    </row>
    <row r="4391" spans="1:27" s="37" customFormat="1" x14ac:dyDescent="0.15">
      <c r="A4391" s="70"/>
      <c r="B4391" s="117"/>
      <c r="C4391" s="70"/>
      <c r="D4391" s="70"/>
      <c r="E4391" s="70"/>
      <c r="F4391" s="70"/>
      <c r="G4391" s="70"/>
      <c r="H4391" s="85"/>
      <c r="I4391" s="85"/>
      <c r="J4391" s="131"/>
      <c r="K4391" s="60"/>
      <c r="L4391" s="33"/>
      <c r="P4391" s="3"/>
      <c r="Q4391" s="3"/>
      <c r="R4391" s="3"/>
      <c r="S4391" s="3"/>
      <c r="T4391" s="3"/>
      <c r="U4391" s="3"/>
      <c r="V4391" s="3"/>
      <c r="W4391" s="3"/>
      <c r="X4391" s="3"/>
      <c r="Y4391" s="4"/>
      <c r="Z4391"/>
      <c r="AA4391"/>
    </row>
    <row r="4392" spans="1:27" s="37" customFormat="1" x14ac:dyDescent="0.15">
      <c r="A4392" s="70"/>
      <c r="B4392" s="117"/>
      <c r="C4392" s="70"/>
      <c r="D4392" s="70"/>
      <c r="E4392" s="70"/>
      <c r="F4392" s="70"/>
      <c r="G4392" s="70"/>
      <c r="H4392" s="85"/>
      <c r="I4392" s="85"/>
      <c r="J4392" s="131"/>
      <c r="K4392" s="60"/>
      <c r="L4392" s="33"/>
      <c r="P4392" s="3"/>
      <c r="Q4392" s="3"/>
      <c r="R4392" s="3"/>
      <c r="S4392" s="3"/>
      <c r="T4392" s="3"/>
      <c r="U4392" s="3"/>
      <c r="V4392" s="3"/>
      <c r="W4392" s="3"/>
      <c r="X4392" s="3"/>
      <c r="Y4392" s="4"/>
      <c r="Z4392"/>
      <c r="AA4392"/>
    </row>
    <row r="4393" spans="1:27" s="37" customFormat="1" x14ac:dyDescent="0.15">
      <c r="A4393" s="70"/>
      <c r="B4393" s="118"/>
      <c r="C4393" s="70"/>
      <c r="D4393" s="70"/>
      <c r="E4393" s="70"/>
      <c r="F4393" s="70"/>
      <c r="G4393" s="70"/>
      <c r="H4393" s="85"/>
      <c r="I4393" s="85"/>
      <c r="J4393" s="131"/>
      <c r="K4393" s="60"/>
      <c r="L4393" s="33"/>
      <c r="P4393" s="3"/>
      <c r="Q4393" s="3"/>
      <c r="R4393" s="3"/>
      <c r="S4393" s="3"/>
      <c r="T4393" s="3"/>
      <c r="U4393" s="3"/>
      <c r="V4393" s="3"/>
      <c r="W4393" s="3"/>
      <c r="X4393" s="3"/>
      <c r="Y4393" s="4"/>
      <c r="Z4393"/>
      <c r="AA4393"/>
    </row>
    <row r="4394" spans="1:27" s="37" customFormat="1" x14ac:dyDescent="0.15">
      <c r="A4394" s="70"/>
      <c r="B4394" s="117"/>
      <c r="C4394" s="70"/>
      <c r="D4394" s="70"/>
      <c r="E4394" s="70"/>
      <c r="F4394" s="70"/>
      <c r="G4394" s="70"/>
      <c r="H4394" s="85"/>
      <c r="I4394" s="85"/>
      <c r="J4394" s="131"/>
      <c r="K4394" s="60"/>
      <c r="L4394" s="33"/>
      <c r="P4394" s="3"/>
      <c r="Q4394" s="3"/>
      <c r="R4394" s="3"/>
      <c r="S4394" s="3"/>
      <c r="T4394" s="3"/>
      <c r="U4394" s="3"/>
      <c r="V4394" s="3"/>
      <c r="W4394" s="3"/>
      <c r="X4394" s="3"/>
      <c r="Y4394" s="4"/>
      <c r="Z4394"/>
      <c r="AA4394"/>
    </row>
    <row r="4395" spans="1:27" s="37" customFormat="1" x14ac:dyDescent="0.15">
      <c r="A4395" s="70"/>
      <c r="B4395" s="117"/>
      <c r="C4395" s="70"/>
      <c r="D4395" s="70"/>
      <c r="E4395" s="70"/>
      <c r="F4395" s="70"/>
      <c r="G4395" s="70"/>
      <c r="H4395" s="85"/>
      <c r="I4395" s="85"/>
      <c r="J4395" s="131"/>
      <c r="K4395" s="60"/>
      <c r="L4395" s="33"/>
      <c r="P4395" s="3"/>
      <c r="Q4395" s="3"/>
      <c r="R4395" s="3"/>
      <c r="S4395" s="3"/>
      <c r="T4395" s="3"/>
      <c r="U4395" s="3"/>
      <c r="V4395" s="3"/>
      <c r="W4395" s="3"/>
      <c r="X4395" s="3"/>
      <c r="Y4395" s="4"/>
      <c r="Z4395"/>
      <c r="AA4395"/>
    </row>
    <row r="4396" spans="1:27" s="37" customFormat="1" ht="16" x14ac:dyDescent="0.2">
      <c r="A4396" s="70"/>
      <c r="B4396" s="117"/>
      <c r="C4396" s="73"/>
      <c r="D4396" s="73"/>
      <c r="E4396" s="73"/>
      <c r="F4396" s="73"/>
      <c r="G4396" s="73"/>
      <c r="H4396" s="85"/>
      <c r="I4396" s="95"/>
      <c r="J4396" s="131"/>
      <c r="K4396" s="74"/>
      <c r="L4396" s="47"/>
      <c r="P4396" s="3"/>
      <c r="Q4396" s="3"/>
      <c r="R4396" s="3"/>
      <c r="S4396" s="3"/>
      <c r="T4396" s="3"/>
      <c r="U4396" s="3"/>
      <c r="V4396" s="3"/>
      <c r="W4396" s="3"/>
      <c r="X4396" s="3"/>
      <c r="Y4396" s="4"/>
      <c r="Z4396"/>
      <c r="AA4396"/>
    </row>
    <row r="4397" spans="1:27" s="37" customFormat="1" x14ac:dyDescent="0.15">
      <c r="A4397" s="70"/>
      <c r="B4397" s="117"/>
      <c r="C4397" s="70"/>
      <c r="D4397" s="70"/>
      <c r="E4397" s="70"/>
      <c r="F4397" s="70"/>
      <c r="G4397" s="70"/>
      <c r="H4397" s="85"/>
      <c r="I4397" s="85"/>
      <c r="J4397" s="131"/>
      <c r="K4397" s="60"/>
      <c r="L4397" s="49"/>
      <c r="P4397" s="3"/>
      <c r="Q4397" s="3"/>
      <c r="R4397" s="3"/>
      <c r="S4397" s="3"/>
      <c r="T4397" s="3"/>
      <c r="U4397" s="3"/>
      <c r="V4397" s="3"/>
      <c r="W4397" s="3"/>
      <c r="X4397" s="3"/>
      <c r="Y4397" s="4"/>
      <c r="Z4397"/>
      <c r="AA4397"/>
    </row>
    <row r="4398" spans="1:27" s="37" customFormat="1" x14ac:dyDescent="0.15">
      <c r="A4398" s="70"/>
      <c r="B4398" s="117"/>
      <c r="C4398" s="70"/>
      <c r="D4398" s="70"/>
      <c r="E4398" s="70"/>
      <c r="F4398" s="70"/>
      <c r="G4398" s="70"/>
      <c r="H4398" s="85"/>
      <c r="I4398" s="85"/>
      <c r="J4398" s="131"/>
      <c r="K4398" s="60"/>
      <c r="L4398" s="49"/>
      <c r="P4398" s="3"/>
      <c r="Q4398" s="3"/>
      <c r="R4398" s="3"/>
      <c r="S4398" s="3"/>
      <c r="T4398" s="3"/>
      <c r="U4398" s="3"/>
      <c r="V4398" s="3"/>
      <c r="W4398" s="3"/>
      <c r="X4398" s="3"/>
      <c r="Y4398" s="4"/>
      <c r="Z4398"/>
      <c r="AA4398"/>
    </row>
    <row r="4399" spans="1:27" s="37" customFormat="1" x14ac:dyDescent="0.15">
      <c r="A4399" s="70"/>
      <c r="B4399" s="117"/>
      <c r="C4399" s="70"/>
      <c r="D4399" s="70"/>
      <c r="E4399" s="70"/>
      <c r="F4399" s="70"/>
      <c r="G4399" s="70"/>
      <c r="H4399" s="85"/>
      <c r="I4399" s="85"/>
      <c r="J4399" s="131"/>
      <c r="K4399" s="60"/>
      <c r="L4399" s="49"/>
      <c r="P4399" s="3"/>
      <c r="Q4399" s="3"/>
      <c r="R4399" s="3"/>
      <c r="S4399" s="3"/>
      <c r="T4399" s="3"/>
      <c r="U4399" s="3"/>
      <c r="V4399" s="3"/>
      <c r="W4399" s="3"/>
      <c r="X4399" s="3"/>
      <c r="Y4399" s="4"/>
      <c r="Z4399"/>
      <c r="AA4399"/>
    </row>
    <row r="4400" spans="1:27" s="37" customFormat="1" x14ac:dyDescent="0.15">
      <c r="A4400" s="70"/>
      <c r="B4400" s="117"/>
      <c r="C4400" s="70"/>
      <c r="D4400" s="70"/>
      <c r="E4400" s="70"/>
      <c r="F4400" s="70"/>
      <c r="G4400" s="70"/>
      <c r="H4400" s="85"/>
      <c r="I4400" s="85"/>
      <c r="J4400" s="131"/>
      <c r="K4400" s="60"/>
      <c r="L4400" s="33"/>
      <c r="P4400" s="3"/>
      <c r="Q4400" s="3"/>
      <c r="R4400" s="3"/>
      <c r="S4400" s="3"/>
      <c r="T4400" s="3"/>
      <c r="U4400" s="3"/>
      <c r="V4400" s="3"/>
      <c r="W4400" s="3"/>
      <c r="X4400" s="3"/>
      <c r="Y4400" s="4"/>
      <c r="Z4400"/>
      <c r="AA4400"/>
    </row>
    <row r="4401" spans="1:27" s="37" customFormat="1" x14ac:dyDescent="0.15">
      <c r="A4401" s="70"/>
      <c r="B4401" s="117"/>
      <c r="C4401" s="70"/>
      <c r="D4401" s="70"/>
      <c r="E4401" s="70"/>
      <c r="F4401" s="70"/>
      <c r="G4401" s="70"/>
      <c r="H4401" s="85"/>
      <c r="I4401" s="85"/>
      <c r="J4401" s="131"/>
      <c r="K4401" s="60"/>
      <c r="L4401" s="33"/>
      <c r="P4401" s="3"/>
      <c r="Q4401" s="3"/>
      <c r="R4401" s="3"/>
      <c r="S4401" s="3"/>
      <c r="T4401" s="3"/>
      <c r="U4401" s="3"/>
      <c r="V4401" s="3"/>
      <c r="W4401" s="3"/>
      <c r="X4401" s="3"/>
      <c r="Y4401" s="4"/>
      <c r="Z4401"/>
      <c r="AA4401"/>
    </row>
    <row r="4402" spans="1:27" s="37" customFormat="1" x14ac:dyDescent="0.15">
      <c r="A4402" s="70"/>
      <c r="B4402" s="118"/>
      <c r="C4402" s="70"/>
      <c r="D4402" s="70"/>
      <c r="E4402" s="70"/>
      <c r="F4402" s="70"/>
      <c r="G4402" s="70"/>
      <c r="H4402" s="85"/>
      <c r="I4402" s="85"/>
      <c r="J4402" s="131"/>
      <c r="K4402" s="60"/>
      <c r="L4402" s="33"/>
      <c r="P4402" s="3"/>
      <c r="Q4402" s="3"/>
      <c r="R4402" s="3"/>
      <c r="S4402" s="3"/>
      <c r="T4402" s="3"/>
      <c r="U4402" s="3"/>
      <c r="V4402" s="3"/>
      <c r="W4402" s="3"/>
      <c r="X4402" s="3"/>
      <c r="Y4402" s="4"/>
      <c r="Z4402"/>
      <c r="AA4402"/>
    </row>
    <row r="4403" spans="1:27" s="37" customFormat="1" x14ac:dyDescent="0.15">
      <c r="A4403" s="70"/>
      <c r="B4403" s="118"/>
      <c r="C4403" s="70"/>
      <c r="D4403" s="70"/>
      <c r="E4403" s="70"/>
      <c r="F4403" s="70"/>
      <c r="G4403" s="70"/>
      <c r="H4403" s="85"/>
      <c r="I4403" s="85"/>
      <c r="J4403" s="131"/>
      <c r="K4403" s="60"/>
      <c r="L4403" s="33"/>
      <c r="P4403" s="3"/>
      <c r="Q4403" s="3"/>
      <c r="R4403" s="3"/>
      <c r="S4403" s="3"/>
      <c r="T4403" s="3"/>
      <c r="U4403" s="3"/>
      <c r="V4403" s="3"/>
      <c r="W4403" s="3"/>
      <c r="X4403" s="3"/>
      <c r="Y4403" s="4"/>
      <c r="Z4403"/>
      <c r="AA4403"/>
    </row>
    <row r="4404" spans="1:27" s="37" customFormat="1" ht="16" x14ac:dyDescent="0.2">
      <c r="A4404" s="70"/>
      <c r="B4404" s="117"/>
      <c r="C4404" s="70"/>
      <c r="D4404" s="70"/>
      <c r="E4404" s="70"/>
      <c r="F4404" s="70"/>
      <c r="G4404" s="70"/>
      <c r="H4404" s="85"/>
      <c r="I4404" s="85"/>
      <c r="J4404" s="131"/>
      <c r="K4404" s="60"/>
      <c r="L4404" s="47"/>
      <c r="P4404" s="3"/>
      <c r="Q4404" s="3"/>
      <c r="R4404" s="3"/>
      <c r="S4404" s="3"/>
      <c r="T4404" s="3"/>
      <c r="U4404" s="3"/>
      <c r="V4404" s="3"/>
      <c r="W4404" s="3"/>
      <c r="X4404" s="3"/>
      <c r="Y4404" s="4"/>
      <c r="Z4404"/>
      <c r="AA4404"/>
    </row>
    <row r="4405" spans="1:27" s="37" customFormat="1" x14ac:dyDescent="0.15">
      <c r="A4405" s="70"/>
      <c r="B4405" s="117"/>
      <c r="C4405" s="70"/>
      <c r="D4405" s="70"/>
      <c r="E4405" s="70"/>
      <c r="F4405" s="70"/>
      <c r="G4405" s="70"/>
      <c r="H4405" s="85"/>
      <c r="I4405" s="85"/>
      <c r="J4405" s="131"/>
      <c r="K4405" s="60"/>
      <c r="L4405" s="33"/>
      <c r="P4405" s="3"/>
      <c r="Q4405" s="3"/>
      <c r="R4405" s="3"/>
      <c r="S4405" s="3"/>
      <c r="T4405" s="3"/>
      <c r="U4405" s="3"/>
      <c r="V4405" s="3"/>
      <c r="W4405" s="3"/>
      <c r="X4405" s="3"/>
      <c r="Y4405" s="4"/>
      <c r="Z4405"/>
      <c r="AA4405"/>
    </row>
    <row r="4406" spans="1:27" s="37" customFormat="1" x14ac:dyDescent="0.15">
      <c r="A4406" s="70"/>
      <c r="B4406" s="118"/>
      <c r="C4406" s="70"/>
      <c r="D4406" s="70"/>
      <c r="E4406" s="70"/>
      <c r="F4406" s="70"/>
      <c r="G4406" s="70"/>
      <c r="H4406" s="85"/>
      <c r="I4406" s="85"/>
      <c r="J4406" s="131"/>
      <c r="K4406" s="60"/>
      <c r="L4406" s="33"/>
      <c r="P4406" s="3"/>
      <c r="Q4406" s="3"/>
      <c r="R4406" s="3"/>
      <c r="S4406" s="3"/>
      <c r="T4406" s="3"/>
      <c r="U4406" s="3"/>
      <c r="V4406" s="3"/>
      <c r="W4406" s="3"/>
      <c r="X4406" s="3"/>
      <c r="Y4406" s="4"/>
      <c r="Z4406"/>
      <c r="AA4406"/>
    </row>
    <row r="4407" spans="1:27" s="37" customFormat="1" x14ac:dyDescent="0.15">
      <c r="A4407" s="70"/>
      <c r="B4407" s="118"/>
      <c r="C4407" s="70"/>
      <c r="D4407" s="70"/>
      <c r="E4407" s="70"/>
      <c r="F4407" s="70"/>
      <c r="G4407" s="70"/>
      <c r="H4407" s="85"/>
      <c r="I4407" s="85"/>
      <c r="J4407" s="131"/>
      <c r="K4407" s="60"/>
      <c r="L4407" s="33"/>
      <c r="P4407" s="3"/>
      <c r="Q4407" s="3"/>
      <c r="R4407" s="3"/>
      <c r="S4407" s="3"/>
      <c r="T4407" s="3"/>
      <c r="U4407" s="3"/>
      <c r="V4407" s="3"/>
      <c r="W4407" s="3"/>
      <c r="X4407" s="3"/>
      <c r="Y4407" s="4"/>
      <c r="Z4407"/>
      <c r="AA4407"/>
    </row>
    <row r="4408" spans="1:27" s="37" customFormat="1" x14ac:dyDescent="0.15">
      <c r="A4408" s="70"/>
      <c r="B4408" s="118"/>
      <c r="C4408" s="70"/>
      <c r="D4408" s="70"/>
      <c r="E4408" s="70"/>
      <c r="F4408" s="70"/>
      <c r="G4408" s="70"/>
      <c r="H4408" s="85"/>
      <c r="I4408" s="85"/>
      <c r="J4408" s="131"/>
      <c r="K4408" s="60"/>
      <c r="L4408" s="33"/>
      <c r="M4408" s="46"/>
      <c r="P4408" s="3"/>
      <c r="Q4408" s="3"/>
      <c r="R4408" s="3"/>
      <c r="S4408" s="3"/>
      <c r="T4408" s="3"/>
      <c r="U4408" s="3"/>
      <c r="V4408" s="3"/>
      <c r="W4408" s="3"/>
      <c r="X4408" s="3"/>
      <c r="Y4408" s="4"/>
      <c r="Z4408"/>
      <c r="AA4408"/>
    </row>
    <row r="4409" spans="1:27" s="37" customFormat="1" x14ac:dyDescent="0.15">
      <c r="A4409" s="70"/>
      <c r="B4409" s="118"/>
      <c r="C4409" s="70"/>
      <c r="D4409" s="70"/>
      <c r="E4409" s="70"/>
      <c r="F4409" s="70"/>
      <c r="G4409" s="70"/>
      <c r="H4409" s="85"/>
      <c r="I4409" s="85"/>
      <c r="J4409" s="131"/>
      <c r="K4409" s="60"/>
      <c r="L4409" s="33"/>
      <c r="P4409" s="3"/>
      <c r="Q4409" s="3"/>
      <c r="R4409" s="3"/>
      <c r="S4409" s="3"/>
      <c r="T4409" s="3"/>
      <c r="U4409" s="3"/>
      <c r="V4409" s="3"/>
      <c r="W4409" s="3"/>
      <c r="X4409" s="3"/>
      <c r="Y4409" s="4"/>
      <c r="Z4409"/>
      <c r="AA4409"/>
    </row>
    <row r="4410" spans="1:27" s="37" customFormat="1" x14ac:dyDescent="0.15">
      <c r="A4410" s="70"/>
      <c r="B4410" s="117"/>
      <c r="C4410" s="70"/>
      <c r="D4410" s="70"/>
      <c r="E4410" s="70"/>
      <c r="F4410" s="70"/>
      <c r="G4410" s="70"/>
      <c r="H4410" s="85"/>
      <c r="I4410" s="85"/>
      <c r="J4410" s="131"/>
      <c r="K4410" s="60"/>
      <c r="L4410" s="33"/>
      <c r="P4410" s="3"/>
      <c r="Q4410" s="3"/>
      <c r="R4410" s="3"/>
      <c r="S4410" s="3"/>
      <c r="T4410" s="3"/>
      <c r="U4410" s="3"/>
      <c r="V4410" s="3"/>
      <c r="W4410" s="3"/>
      <c r="X4410" s="3"/>
      <c r="Y4410" s="4"/>
      <c r="Z4410"/>
      <c r="AA4410"/>
    </row>
    <row r="4411" spans="1:27" s="37" customFormat="1" x14ac:dyDescent="0.15">
      <c r="A4411" s="70"/>
      <c r="B4411" s="117"/>
      <c r="C4411" s="70"/>
      <c r="D4411" s="70"/>
      <c r="E4411" s="70"/>
      <c r="F4411" s="70"/>
      <c r="G4411" s="70"/>
      <c r="H4411" s="85"/>
      <c r="I4411" s="85"/>
      <c r="J4411" s="131"/>
      <c r="K4411" s="60"/>
      <c r="P4411" s="3"/>
      <c r="Q4411" s="3"/>
      <c r="R4411" s="3"/>
      <c r="S4411" s="3"/>
      <c r="T4411" s="3"/>
      <c r="U4411" s="3"/>
      <c r="V4411" s="3"/>
      <c r="W4411" s="3"/>
      <c r="X4411" s="3"/>
      <c r="Y4411" s="4"/>
      <c r="Z4411"/>
      <c r="AA4411"/>
    </row>
    <row r="4412" spans="1:27" s="37" customFormat="1" ht="16" x14ac:dyDescent="0.2">
      <c r="A4412" s="70"/>
      <c r="B4412" s="117"/>
      <c r="C4412" s="70"/>
      <c r="D4412" s="70"/>
      <c r="E4412" s="70"/>
      <c r="F4412" s="70"/>
      <c r="G4412" s="70"/>
      <c r="H4412" s="85"/>
      <c r="I4412" s="85"/>
      <c r="J4412" s="131"/>
      <c r="K4412" s="60"/>
      <c r="L4412" s="47"/>
      <c r="P4412" s="3"/>
      <c r="Q4412" s="3"/>
      <c r="R4412" s="3"/>
      <c r="S4412" s="3"/>
      <c r="T4412" s="3"/>
      <c r="U4412" s="3"/>
      <c r="V4412" s="3"/>
      <c r="W4412" s="3"/>
      <c r="X4412" s="3"/>
      <c r="Y4412" s="4"/>
      <c r="Z4412"/>
      <c r="AA4412"/>
    </row>
    <row r="4413" spans="1:27" s="37" customFormat="1" x14ac:dyDescent="0.15">
      <c r="A4413" s="70"/>
      <c r="B4413" s="117"/>
      <c r="C4413" s="70"/>
      <c r="D4413" s="70"/>
      <c r="E4413" s="73"/>
      <c r="F4413" s="70"/>
      <c r="G4413" s="70"/>
      <c r="H4413" s="85"/>
      <c r="I4413" s="85"/>
      <c r="J4413" s="131"/>
      <c r="K4413" s="60"/>
      <c r="L4413" s="33"/>
      <c r="P4413" s="3"/>
      <c r="Q4413" s="3"/>
      <c r="R4413" s="3"/>
      <c r="S4413" s="3"/>
      <c r="T4413" s="3"/>
      <c r="U4413" s="3"/>
      <c r="V4413" s="3"/>
      <c r="W4413" s="3"/>
      <c r="X4413" s="3"/>
      <c r="Y4413" s="4"/>
      <c r="Z4413"/>
      <c r="AA4413"/>
    </row>
    <row r="4414" spans="1:27" s="37" customFormat="1" ht="16" x14ac:dyDescent="0.2">
      <c r="A4414" s="70"/>
      <c r="B4414" s="118"/>
      <c r="C4414" s="70"/>
      <c r="D4414" s="70"/>
      <c r="E4414" s="70"/>
      <c r="F4414" s="70"/>
      <c r="G4414" s="70"/>
      <c r="H4414" s="85"/>
      <c r="I4414" s="85"/>
      <c r="J4414" s="131"/>
      <c r="K4414" s="60"/>
      <c r="L4414" s="33"/>
      <c r="M4414" s="48"/>
      <c r="P4414" s="3"/>
      <c r="Q4414" s="3"/>
      <c r="R4414" s="3"/>
      <c r="S4414" s="3"/>
      <c r="T4414" s="3"/>
      <c r="U4414" s="3"/>
      <c r="V4414" s="3"/>
      <c r="W4414" s="3"/>
      <c r="X4414" s="3"/>
      <c r="Y4414" s="4"/>
      <c r="Z4414"/>
      <c r="AA4414"/>
    </row>
    <row r="4415" spans="1:27" x14ac:dyDescent="0.15">
      <c r="A4415" s="70"/>
      <c r="B4415" s="118"/>
      <c r="C4415" s="70"/>
      <c r="D4415" s="70"/>
      <c r="E4415" s="70"/>
      <c r="F4415" s="70"/>
      <c r="G4415" s="70"/>
      <c r="H4415" s="85"/>
      <c r="I4415" s="85"/>
      <c r="J4415" s="131"/>
      <c r="K4415" s="60"/>
      <c r="L4415" s="33"/>
    </row>
    <row r="4416" spans="1:27" s="2" customFormat="1" x14ac:dyDescent="0.15">
      <c r="A4416" s="70"/>
      <c r="B4416" s="117"/>
      <c r="C4416" s="70"/>
      <c r="D4416" s="70"/>
      <c r="E4416" s="70"/>
      <c r="F4416" s="70"/>
      <c r="G4416" s="70"/>
      <c r="H4416" s="85"/>
      <c r="I4416" s="85"/>
      <c r="J4416" s="131"/>
      <c r="K4416" s="60"/>
      <c r="L4416" s="33"/>
      <c r="M4416" s="37"/>
      <c r="N4416" s="37"/>
      <c r="O4416" s="37"/>
      <c r="P4416" s="3"/>
      <c r="Q4416" s="3"/>
      <c r="R4416" s="3"/>
      <c r="S4416" s="3"/>
      <c r="T4416" s="3"/>
      <c r="U4416" s="3"/>
      <c r="V4416" s="3"/>
      <c r="W4416" s="3"/>
      <c r="X4416" s="3"/>
      <c r="Y4416" s="4"/>
      <c r="Z4416"/>
      <c r="AA4416"/>
    </row>
    <row r="4417" spans="1:27" s="2" customFormat="1" x14ac:dyDescent="0.15">
      <c r="A4417" s="70"/>
      <c r="B4417" s="117"/>
      <c r="C4417" s="70"/>
      <c r="D4417" s="70"/>
      <c r="E4417" s="70"/>
      <c r="F4417" s="70"/>
      <c r="G4417" s="70"/>
      <c r="H4417" s="85"/>
      <c r="I4417" s="85"/>
      <c r="J4417" s="131"/>
      <c r="K4417" s="60"/>
      <c r="L4417" s="33"/>
      <c r="M4417" s="37"/>
      <c r="N4417" s="37"/>
      <c r="O4417" s="37"/>
      <c r="P4417" s="3"/>
      <c r="Q4417" s="3"/>
      <c r="R4417" s="3"/>
      <c r="S4417" s="3"/>
      <c r="T4417" s="3"/>
      <c r="U4417" s="3"/>
      <c r="V4417" s="3"/>
      <c r="W4417" s="3"/>
      <c r="X4417" s="3"/>
      <c r="Y4417" s="4"/>
      <c r="Z4417"/>
      <c r="AA4417"/>
    </row>
    <row r="4418" spans="1:27" s="2" customFormat="1" ht="16" x14ac:dyDescent="0.2">
      <c r="A4418" s="70"/>
      <c r="B4418" s="117"/>
      <c r="C4418" s="70"/>
      <c r="D4418" s="70"/>
      <c r="E4418" s="70"/>
      <c r="F4418" s="70"/>
      <c r="G4418" s="70"/>
      <c r="H4418" s="85"/>
      <c r="I4418" s="85"/>
      <c r="J4418" s="131"/>
      <c r="K4418" s="60"/>
      <c r="L4418" s="47"/>
      <c r="M4418" s="37"/>
      <c r="N4418" s="37"/>
      <c r="O4418" s="37"/>
      <c r="P4418" s="3"/>
      <c r="Q4418" s="3"/>
      <c r="R4418" s="3"/>
      <c r="S4418" s="3"/>
      <c r="T4418" s="3"/>
      <c r="U4418" s="3"/>
      <c r="V4418" s="3"/>
      <c r="W4418" s="3"/>
      <c r="X4418" s="3"/>
      <c r="Y4418" s="4"/>
      <c r="Z4418"/>
      <c r="AA4418"/>
    </row>
    <row r="4419" spans="1:27" s="2" customFormat="1" x14ac:dyDescent="0.15">
      <c r="A4419" s="70"/>
      <c r="B4419" s="117"/>
      <c r="C4419" s="70"/>
      <c r="D4419" s="70"/>
      <c r="E4419" s="70"/>
      <c r="F4419" s="70"/>
      <c r="G4419" s="70"/>
      <c r="H4419" s="85"/>
      <c r="I4419" s="85"/>
      <c r="J4419" s="131"/>
      <c r="K4419" s="60"/>
      <c r="L4419" s="33"/>
      <c r="M4419" s="37"/>
      <c r="N4419" s="37"/>
      <c r="O4419" s="37"/>
      <c r="P4419" s="3"/>
      <c r="Q4419" s="3"/>
      <c r="R4419" s="3"/>
      <c r="S4419" s="3"/>
      <c r="T4419" s="3"/>
      <c r="U4419" s="3"/>
      <c r="V4419" s="3"/>
      <c r="W4419" s="3"/>
      <c r="X4419" s="3"/>
      <c r="Y4419" s="4"/>
      <c r="Z4419"/>
      <c r="AA4419"/>
    </row>
    <row r="4420" spans="1:27" s="2" customFormat="1" ht="16" x14ac:dyDescent="0.2">
      <c r="A4420" s="70"/>
      <c r="B4420" s="117"/>
      <c r="C4420" s="70"/>
      <c r="D4420" s="70"/>
      <c r="E4420" s="70"/>
      <c r="F4420" s="70"/>
      <c r="G4420" s="70"/>
      <c r="H4420" s="85"/>
      <c r="I4420" s="85"/>
      <c r="J4420" s="131"/>
      <c r="K4420" s="60"/>
      <c r="L4420" s="47"/>
      <c r="M4420" s="37"/>
      <c r="N4420" s="37"/>
      <c r="O4420" s="37"/>
      <c r="P4420" s="3"/>
      <c r="Q4420" s="3"/>
      <c r="R4420" s="3"/>
      <c r="S4420" s="3"/>
      <c r="T4420" s="3"/>
      <c r="U4420" s="3"/>
      <c r="V4420" s="3"/>
      <c r="W4420" s="3"/>
      <c r="X4420" s="3"/>
      <c r="Y4420" s="4"/>
      <c r="Z4420"/>
      <c r="AA4420"/>
    </row>
    <row r="4421" spans="1:27" s="2" customFormat="1" ht="16" x14ac:dyDescent="0.2">
      <c r="A4421" s="70"/>
      <c r="B4421" s="117"/>
      <c r="C4421" s="70"/>
      <c r="D4421" s="70"/>
      <c r="E4421" s="70"/>
      <c r="F4421" s="70"/>
      <c r="G4421" s="70"/>
      <c r="H4421" s="85"/>
      <c r="I4421" s="85"/>
      <c r="J4421" s="131"/>
      <c r="K4421" s="60"/>
      <c r="L4421" s="47"/>
      <c r="M4421" s="37"/>
      <c r="N4421" s="37"/>
      <c r="O4421" s="37"/>
      <c r="P4421" s="3"/>
      <c r="Q4421" s="3"/>
      <c r="R4421" s="3"/>
      <c r="S4421" s="3"/>
      <c r="T4421" s="3"/>
      <c r="U4421" s="3"/>
      <c r="V4421" s="3"/>
      <c r="W4421" s="3"/>
      <c r="X4421" s="3"/>
      <c r="Y4421" s="4"/>
      <c r="Z4421"/>
      <c r="AA4421"/>
    </row>
    <row r="4422" spans="1:27" s="2" customFormat="1" x14ac:dyDescent="0.15">
      <c r="A4422" s="70"/>
      <c r="B4422" s="117"/>
      <c r="C4422" s="70"/>
      <c r="D4422" s="70"/>
      <c r="E4422" s="70"/>
      <c r="F4422" s="70"/>
      <c r="G4422" s="70"/>
      <c r="H4422" s="85"/>
      <c r="I4422" s="85"/>
      <c r="J4422" s="131"/>
      <c r="K4422" s="60"/>
      <c r="L4422" s="33"/>
      <c r="M4422" s="37"/>
      <c r="N4422" s="37"/>
      <c r="O4422" s="37"/>
      <c r="P4422" s="3"/>
      <c r="Q4422" s="3"/>
      <c r="R4422" s="3"/>
      <c r="S4422" s="3"/>
      <c r="T4422" s="3"/>
      <c r="U4422" s="3"/>
      <c r="V4422" s="3"/>
      <c r="W4422" s="3"/>
      <c r="X4422" s="3"/>
      <c r="Y4422" s="4"/>
      <c r="Z4422"/>
      <c r="AA4422"/>
    </row>
    <row r="4423" spans="1:27" s="2" customFormat="1" ht="16" x14ac:dyDescent="0.2">
      <c r="A4423" s="70"/>
      <c r="B4423" s="117"/>
      <c r="C4423" s="73"/>
      <c r="D4423" s="73"/>
      <c r="E4423" s="70"/>
      <c r="F4423" s="73"/>
      <c r="G4423" s="73"/>
      <c r="H4423" s="85"/>
      <c r="I4423" s="85"/>
      <c r="J4423" s="131"/>
      <c r="K4423" s="60"/>
      <c r="L4423" s="47"/>
      <c r="M4423" s="37"/>
      <c r="N4423" s="37"/>
      <c r="O4423" s="37"/>
      <c r="P4423" s="3"/>
      <c r="Q4423" s="3"/>
      <c r="R4423" s="3"/>
      <c r="S4423" s="3"/>
      <c r="T4423" s="3"/>
      <c r="U4423" s="3"/>
      <c r="V4423" s="3"/>
      <c r="W4423" s="3"/>
      <c r="X4423" s="3"/>
      <c r="Y4423" s="4"/>
      <c r="Z4423"/>
      <c r="AA4423"/>
    </row>
    <row r="4424" spans="1:27" s="2" customFormat="1" x14ac:dyDescent="0.15">
      <c r="A4424" s="62"/>
      <c r="B4424" s="119"/>
      <c r="C4424" s="70"/>
      <c r="D4424" s="70"/>
      <c r="E4424" s="70"/>
      <c r="F4424" s="70"/>
      <c r="G4424" s="70"/>
      <c r="H4424" s="85"/>
      <c r="I4424" s="85"/>
      <c r="J4424" s="131"/>
      <c r="K4424" s="60"/>
      <c r="L4424" s="33"/>
      <c r="M4424" s="37"/>
      <c r="N4424" s="37"/>
      <c r="O4424" s="37"/>
      <c r="P4424" s="3"/>
      <c r="Q4424" s="3"/>
      <c r="R4424" s="3"/>
      <c r="S4424" s="3"/>
      <c r="T4424" s="3"/>
      <c r="U4424" s="3"/>
      <c r="V4424" s="3"/>
      <c r="W4424" s="3"/>
      <c r="X4424" s="3"/>
      <c r="Y4424" s="4"/>
      <c r="Z4424"/>
      <c r="AA4424"/>
    </row>
    <row r="4425" spans="1:27" s="2" customFormat="1" x14ac:dyDescent="0.15">
      <c r="A4425" s="70"/>
      <c r="B4425" s="118"/>
      <c r="C4425" s="70"/>
      <c r="D4425" s="70"/>
      <c r="E4425" s="70"/>
      <c r="F4425" s="70"/>
      <c r="G4425" s="70"/>
      <c r="H4425" s="85"/>
      <c r="I4425" s="85"/>
      <c r="J4425" s="131"/>
      <c r="K4425" s="60"/>
      <c r="L4425" s="33"/>
      <c r="M4425" s="37"/>
      <c r="N4425" s="37"/>
      <c r="O4425" s="37"/>
      <c r="P4425" s="3"/>
      <c r="Q4425" s="3"/>
      <c r="R4425" s="3"/>
      <c r="S4425" s="3"/>
      <c r="T4425" s="3"/>
      <c r="U4425" s="3"/>
      <c r="V4425" s="3"/>
      <c r="W4425" s="3"/>
      <c r="X4425" s="3"/>
      <c r="Y4425" s="4"/>
      <c r="Z4425"/>
      <c r="AA4425"/>
    </row>
    <row r="4426" spans="1:27" s="2" customFormat="1" x14ac:dyDescent="0.15">
      <c r="A4426" s="70"/>
      <c r="B4426" s="118"/>
      <c r="C4426" s="70"/>
      <c r="D4426" s="70"/>
      <c r="E4426" s="70"/>
      <c r="F4426" s="70"/>
      <c r="G4426" s="70"/>
      <c r="H4426" s="85"/>
      <c r="I4426" s="85"/>
      <c r="J4426" s="131"/>
      <c r="K4426" s="60"/>
      <c r="L4426" s="33"/>
      <c r="M4426" s="37"/>
      <c r="N4426" s="37"/>
      <c r="O4426" s="37"/>
      <c r="P4426" s="3"/>
      <c r="Q4426" s="3"/>
      <c r="R4426" s="3"/>
      <c r="S4426" s="3"/>
      <c r="T4426" s="3"/>
      <c r="U4426" s="3"/>
      <c r="V4426" s="3"/>
      <c r="W4426" s="3"/>
      <c r="X4426" s="3"/>
      <c r="Y4426" s="4"/>
      <c r="Z4426"/>
      <c r="AA4426"/>
    </row>
    <row r="4427" spans="1:27" s="2" customFormat="1" x14ac:dyDescent="0.15">
      <c r="A4427" s="62"/>
      <c r="B4427" s="119"/>
      <c r="C4427" s="70"/>
      <c r="D4427" s="70"/>
      <c r="E4427" s="70"/>
      <c r="F4427" s="70"/>
      <c r="G4427" s="70"/>
      <c r="H4427" s="85"/>
      <c r="I4427" s="85"/>
      <c r="J4427" s="131"/>
      <c r="K4427" s="60"/>
      <c r="L4427" s="33"/>
      <c r="M4427" s="37"/>
      <c r="N4427" s="37"/>
      <c r="O4427" s="37"/>
      <c r="P4427" s="3"/>
      <c r="Q4427" s="3"/>
      <c r="R4427" s="3"/>
      <c r="S4427" s="3"/>
      <c r="T4427" s="3"/>
      <c r="U4427" s="3"/>
      <c r="V4427" s="3"/>
      <c r="W4427" s="3"/>
      <c r="X4427" s="3"/>
      <c r="Y4427" s="4"/>
      <c r="Z4427"/>
      <c r="AA4427"/>
    </row>
    <row r="4428" spans="1:27" s="2" customFormat="1" x14ac:dyDescent="0.15">
      <c r="A4428" s="62"/>
      <c r="B4428" s="119"/>
      <c r="C4428" s="70"/>
      <c r="D4428" s="70"/>
      <c r="E4428" s="70"/>
      <c r="F4428" s="70"/>
      <c r="G4428" s="70"/>
      <c r="H4428" s="85"/>
      <c r="I4428" s="85"/>
      <c r="J4428" s="131"/>
      <c r="K4428" s="60"/>
      <c r="L4428" s="33"/>
      <c r="M4428" s="37"/>
      <c r="N4428" s="37"/>
      <c r="O4428" s="37"/>
      <c r="P4428" s="3"/>
      <c r="Q4428" s="3"/>
      <c r="R4428" s="3"/>
      <c r="S4428" s="3"/>
      <c r="T4428" s="3"/>
      <c r="U4428" s="3"/>
      <c r="V4428" s="3"/>
      <c r="W4428" s="3"/>
      <c r="X4428" s="3"/>
      <c r="Y4428" s="4"/>
      <c r="Z4428"/>
      <c r="AA4428"/>
    </row>
    <row r="4429" spans="1:27" s="2" customFormat="1" x14ac:dyDescent="0.15">
      <c r="A4429" s="70"/>
      <c r="B4429" s="118"/>
      <c r="C4429" s="70"/>
      <c r="D4429" s="70"/>
      <c r="E4429" s="70"/>
      <c r="F4429" s="70"/>
      <c r="G4429" s="70"/>
      <c r="H4429" s="85"/>
      <c r="I4429" s="85"/>
      <c r="J4429" s="131"/>
      <c r="K4429" s="60"/>
      <c r="L4429" s="33"/>
      <c r="M4429" s="37"/>
      <c r="N4429" s="37"/>
      <c r="O4429" s="37"/>
      <c r="P4429" s="3"/>
      <c r="Q4429" s="3"/>
      <c r="R4429" s="3"/>
      <c r="S4429" s="3"/>
      <c r="T4429" s="3"/>
      <c r="U4429" s="3"/>
      <c r="V4429" s="3"/>
      <c r="W4429" s="3"/>
      <c r="X4429" s="3"/>
      <c r="Y4429" s="4"/>
      <c r="Z4429"/>
      <c r="AA4429"/>
    </row>
    <row r="4430" spans="1:27" s="2" customFormat="1" x14ac:dyDescent="0.15">
      <c r="A4430" s="70"/>
      <c r="B4430" s="118"/>
      <c r="C4430" s="70"/>
      <c r="D4430" s="70"/>
      <c r="E4430" s="70"/>
      <c r="F4430" s="70"/>
      <c r="G4430" s="70"/>
      <c r="H4430" s="85"/>
      <c r="I4430" s="85"/>
      <c r="J4430" s="131"/>
      <c r="K4430" s="60"/>
      <c r="L4430" s="37"/>
      <c r="M4430" s="37"/>
      <c r="N4430" s="37"/>
      <c r="O4430" s="37"/>
      <c r="P4430" s="3"/>
      <c r="Q4430" s="3"/>
      <c r="R4430" s="3"/>
      <c r="S4430" s="3"/>
      <c r="T4430" s="3"/>
      <c r="U4430" s="3"/>
      <c r="V4430" s="3"/>
      <c r="W4430" s="3"/>
      <c r="X4430" s="3"/>
      <c r="Y4430" s="4"/>
      <c r="Z4430"/>
      <c r="AA4430"/>
    </row>
    <row r="4431" spans="1:27" s="2" customFormat="1" x14ac:dyDescent="0.15">
      <c r="A4431" s="70"/>
      <c r="B4431" s="118"/>
      <c r="C4431" s="70"/>
      <c r="D4431" s="70"/>
      <c r="E4431" s="70"/>
      <c r="F4431" s="70"/>
      <c r="G4431" s="70"/>
      <c r="H4431" s="85"/>
      <c r="I4431" s="85"/>
      <c r="J4431" s="131"/>
      <c r="K4431" s="60"/>
      <c r="L4431" s="37"/>
      <c r="M4431" s="37"/>
      <c r="N4431" s="37"/>
      <c r="O4431" s="37"/>
      <c r="P4431" s="3"/>
      <c r="Q4431" s="3"/>
      <c r="R4431" s="3"/>
      <c r="S4431" s="3"/>
      <c r="T4431" s="3"/>
      <c r="U4431" s="3"/>
      <c r="V4431" s="3"/>
      <c r="W4431" s="3"/>
      <c r="X4431" s="3"/>
      <c r="Y4431" s="4"/>
      <c r="Z4431"/>
      <c r="AA4431"/>
    </row>
    <row r="4432" spans="1:27" s="2" customFormat="1" x14ac:dyDescent="0.15">
      <c r="A4432" s="70"/>
      <c r="B4432" s="118"/>
      <c r="C4432" s="70"/>
      <c r="D4432" s="70"/>
      <c r="E4432" s="70"/>
      <c r="F4432" s="70"/>
      <c r="G4432" s="70"/>
      <c r="H4432" s="85"/>
      <c r="I4432" s="85"/>
      <c r="J4432" s="142"/>
      <c r="K4432" s="60"/>
      <c r="L4432" s="37"/>
      <c r="M4432" s="37"/>
      <c r="N4432" s="37"/>
      <c r="O4432" s="37"/>
      <c r="P4432" s="3"/>
      <c r="Q4432" s="3"/>
      <c r="R4432" s="3"/>
      <c r="S4432" s="3"/>
      <c r="T4432" s="3"/>
      <c r="U4432" s="3"/>
      <c r="V4432" s="3"/>
      <c r="W4432" s="3"/>
      <c r="X4432" s="3"/>
      <c r="Y4432" s="4"/>
      <c r="Z4432"/>
      <c r="AA4432"/>
    </row>
    <row r="4433" spans="1:27" s="2" customFormat="1" x14ac:dyDescent="0.15">
      <c r="A4433" s="70"/>
      <c r="B4433" s="118"/>
      <c r="C4433" s="70"/>
      <c r="D4433" s="70"/>
      <c r="E4433" s="70"/>
      <c r="F4433" s="70"/>
      <c r="G4433" s="70"/>
      <c r="H4433" s="85"/>
      <c r="I4433" s="85"/>
      <c r="J4433" s="142"/>
      <c r="K4433" s="60"/>
      <c r="L4433" s="37"/>
      <c r="M4433" s="37"/>
      <c r="N4433" s="37"/>
      <c r="O4433" s="37"/>
      <c r="P4433" s="3"/>
      <c r="Q4433" s="3"/>
      <c r="R4433" s="3"/>
      <c r="S4433" s="3"/>
      <c r="T4433" s="3"/>
      <c r="U4433" s="3"/>
      <c r="V4433" s="3"/>
      <c r="W4433" s="3"/>
      <c r="X4433" s="3"/>
      <c r="Y4433" s="4"/>
      <c r="Z4433"/>
      <c r="AA4433"/>
    </row>
    <row r="4434" spans="1:27" s="2" customFormat="1" x14ac:dyDescent="0.15">
      <c r="A4434" s="70"/>
      <c r="B4434" s="117"/>
      <c r="C4434" s="70"/>
      <c r="D4434" s="70"/>
      <c r="E4434" s="70"/>
      <c r="F4434" s="70"/>
      <c r="G4434" s="70"/>
      <c r="H4434" s="85"/>
      <c r="I4434" s="85"/>
      <c r="J4434" s="131"/>
      <c r="K4434" s="60"/>
      <c r="L4434" s="33"/>
      <c r="M4434" s="37"/>
      <c r="N4434" s="37"/>
      <c r="O4434" s="37"/>
      <c r="P4434" s="3"/>
      <c r="Q4434" s="3"/>
      <c r="R4434" s="3"/>
      <c r="S4434" s="3"/>
      <c r="T4434" s="3"/>
      <c r="U4434" s="3"/>
      <c r="V4434" s="3"/>
      <c r="W4434" s="3"/>
      <c r="X4434" s="3"/>
      <c r="Y4434" s="4"/>
      <c r="Z4434"/>
      <c r="AA4434"/>
    </row>
    <row r="4435" spans="1:27" s="2" customFormat="1" x14ac:dyDescent="0.15">
      <c r="A4435" s="70"/>
      <c r="B4435" s="117"/>
      <c r="C4435" s="70"/>
      <c r="D4435" s="70"/>
      <c r="E4435" s="70"/>
      <c r="F4435" s="70"/>
      <c r="G4435" s="70"/>
      <c r="H4435" s="85"/>
      <c r="I4435" s="85"/>
      <c r="J4435" s="131"/>
      <c r="K4435" s="60"/>
      <c r="L4435" s="33"/>
      <c r="M4435" s="37"/>
      <c r="N4435" s="37"/>
      <c r="O4435" s="37"/>
      <c r="P4435" s="3"/>
      <c r="Q4435" s="3"/>
      <c r="R4435" s="3"/>
      <c r="S4435" s="3"/>
      <c r="T4435" s="3"/>
      <c r="U4435" s="3"/>
      <c r="V4435" s="3"/>
      <c r="W4435" s="3"/>
      <c r="X4435" s="3"/>
      <c r="Y4435" s="4"/>
      <c r="Z4435"/>
      <c r="AA4435"/>
    </row>
    <row r="4436" spans="1:27" s="2" customFormat="1" ht="16" x14ac:dyDescent="0.2">
      <c r="A4436" s="70"/>
      <c r="B4436" s="117"/>
      <c r="C4436" s="70"/>
      <c r="D4436" s="70"/>
      <c r="E4436" s="70"/>
      <c r="F4436" s="70"/>
      <c r="G4436" s="70"/>
      <c r="H4436" s="85"/>
      <c r="I4436" s="85"/>
      <c r="J4436" s="131"/>
      <c r="K4436" s="67"/>
      <c r="L4436" s="47"/>
      <c r="M4436" s="37"/>
      <c r="N4436" s="37"/>
      <c r="O4436" s="37"/>
      <c r="P4436" s="3"/>
      <c r="Q4436" s="3"/>
      <c r="R4436" s="3"/>
      <c r="S4436" s="3"/>
      <c r="T4436" s="3"/>
      <c r="U4436" s="3"/>
      <c r="V4436" s="3"/>
      <c r="W4436" s="3"/>
      <c r="X4436" s="3"/>
      <c r="Y4436" s="4"/>
      <c r="Z4436"/>
      <c r="AA4436"/>
    </row>
    <row r="4437" spans="1:27" s="2" customFormat="1" x14ac:dyDescent="0.15">
      <c r="A4437" s="70"/>
      <c r="B4437" s="117"/>
      <c r="C4437" s="70"/>
      <c r="D4437" s="70"/>
      <c r="E4437" s="73"/>
      <c r="F4437" s="70"/>
      <c r="G4437" s="70"/>
      <c r="H4437" s="85"/>
      <c r="I4437" s="85"/>
      <c r="J4437" s="131"/>
      <c r="K4437" s="67"/>
      <c r="L4437" s="33"/>
      <c r="M4437" s="37"/>
      <c r="N4437" s="37"/>
      <c r="O4437" s="37"/>
      <c r="P4437" s="3"/>
      <c r="Q4437" s="3"/>
      <c r="R4437" s="3"/>
      <c r="S4437" s="3"/>
      <c r="T4437" s="3"/>
      <c r="U4437" s="3"/>
      <c r="V4437" s="3"/>
      <c r="W4437" s="3"/>
      <c r="X4437" s="3"/>
      <c r="Y4437" s="4"/>
      <c r="Z4437"/>
      <c r="AA4437"/>
    </row>
    <row r="4438" spans="1:27" s="2" customFormat="1" x14ac:dyDescent="0.15">
      <c r="A4438" s="70"/>
      <c r="B4438" s="117"/>
      <c r="C4438" s="70"/>
      <c r="D4438" s="70"/>
      <c r="E4438" s="70"/>
      <c r="F4438" s="70"/>
      <c r="G4438" s="70"/>
      <c r="H4438" s="85"/>
      <c r="I4438" s="85"/>
      <c r="J4438" s="131"/>
      <c r="K4438" s="67"/>
      <c r="L4438" s="33"/>
      <c r="M4438" s="37"/>
      <c r="N4438" s="37"/>
      <c r="O4438" s="37"/>
      <c r="P4438" s="3"/>
      <c r="Q4438" s="3"/>
      <c r="R4438" s="3"/>
      <c r="S4438" s="3"/>
      <c r="T4438" s="3"/>
      <c r="U4438" s="3"/>
      <c r="V4438" s="3"/>
      <c r="W4438" s="3"/>
      <c r="X4438" s="3"/>
      <c r="Y4438" s="4"/>
      <c r="Z4438"/>
      <c r="AA4438"/>
    </row>
    <row r="4439" spans="1:27" ht="16" x14ac:dyDescent="0.2">
      <c r="A4439" s="70"/>
      <c r="B4439" s="117"/>
      <c r="C4439" s="70"/>
      <c r="D4439" s="70"/>
      <c r="E4439" s="70"/>
      <c r="F4439" s="70"/>
      <c r="G4439" s="70"/>
      <c r="H4439" s="85"/>
      <c r="I4439" s="85"/>
      <c r="J4439" s="131"/>
      <c r="K4439" s="60"/>
      <c r="L4439" s="47"/>
    </row>
    <row r="4440" spans="1:27" x14ac:dyDescent="0.15">
      <c r="A4440" s="70"/>
      <c r="B4440" s="117"/>
      <c r="C4440" s="70"/>
      <c r="D4440" s="70"/>
      <c r="E4440" s="70"/>
      <c r="F4440" s="70"/>
      <c r="G4440" s="70"/>
      <c r="H4440" s="85"/>
      <c r="I4440" s="85"/>
      <c r="J4440" s="131"/>
      <c r="K4440" s="67"/>
      <c r="L4440" s="33"/>
    </row>
    <row r="4441" spans="1:27" x14ac:dyDescent="0.15">
      <c r="A4441" s="70"/>
      <c r="B4441" s="117"/>
      <c r="C4441" s="70"/>
      <c r="D4441" s="70"/>
      <c r="E4441" s="70"/>
      <c r="F4441" s="70"/>
      <c r="G4441" s="70"/>
      <c r="H4441" s="85"/>
      <c r="I4441" s="85"/>
      <c r="J4441" s="131"/>
      <c r="K4441" s="67"/>
      <c r="L4441" s="33"/>
    </row>
    <row r="4442" spans="1:27" ht="16" x14ac:dyDescent="0.2">
      <c r="A4442" s="70"/>
      <c r="B4442" s="117"/>
      <c r="C4442" s="70"/>
      <c r="D4442" s="70"/>
      <c r="E4442" s="70"/>
      <c r="F4442" s="70"/>
      <c r="G4442" s="70"/>
      <c r="H4442" s="85"/>
      <c r="I4442" s="85"/>
      <c r="J4442" s="131"/>
      <c r="K4442" s="67"/>
      <c r="L4442" s="47"/>
    </row>
    <row r="4443" spans="1:27" x14ac:dyDescent="0.15">
      <c r="A4443" s="70"/>
      <c r="B4443" s="118"/>
      <c r="C4443" s="73"/>
      <c r="D4443" s="73"/>
      <c r="E4443" s="73"/>
      <c r="F4443" s="73"/>
      <c r="G4443" s="73"/>
      <c r="H4443" s="85"/>
      <c r="I4443" s="95"/>
      <c r="J4443" s="131"/>
      <c r="K4443" s="60"/>
      <c r="L4443" s="33"/>
    </row>
    <row r="4444" spans="1:27" x14ac:dyDescent="0.15">
      <c r="A4444" s="70"/>
      <c r="B4444" s="118"/>
      <c r="C4444" s="70"/>
      <c r="D4444" s="70"/>
      <c r="E4444" s="70"/>
      <c r="F4444" s="70"/>
      <c r="G4444" s="70"/>
      <c r="H4444" s="85"/>
      <c r="I4444" s="85"/>
      <c r="J4444" s="131"/>
      <c r="K4444" s="60"/>
      <c r="L4444" s="33"/>
    </row>
    <row r="4445" spans="1:27" x14ac:dyDescent="0.15">
      <c r="A4445" s="70"/>
      <c r="B4445" s="118"/>
      <c r="C4445" s="73"/>
      <c r="D4445" s="73"/>
      <c r="E4445" s="73"/>
      <c r="F4445" s="73"/>
      <c r="G4445" s="73"/>
      <c r="H4445" s="85"/>
      <c r="I4445" s="95"/>
      <c r="J4445" s="131"/>
      <c r="K4445" s="60"/>
      <c r="L4445" s="33"/>
    </row>
    <row r="4446" spans="1:27" x14ac:dyDescent="0.15">
      <c r="A4446" s="70"/>
      <c r="B4446" s="118"/>
      <c r="C4446" s="73"/>
      <c r="D4446" s="73"/>
      <c r="E4446" s="73"/>
      <c r="F4446" s="73"/>
      <c r="G4446" s="73"/>
      <c r="H4446" s="85"/>
      <c r="I4446" s="95"/>
      <c r="J4446" s="131"/>
      <c r="K4446" s="60"/>
      <c r="L4446" s="33"/>
    </row>
    <row r="4447" spans="1:27" s="37" customFormat="1" x14ac:dyDescent="0.15">
      <c r="A4447" s="70"/>
      <c r="B4447" s="117"/>
      <c r="C4447" s="70"/>
      <c r="D4447" s="70"/>
      <c r="E4447" s="70"/>
      <c r="F4447" s="70"/>
      <c r="G4447" s="70"/>
      <c r="H4447" s="85"/>
      <c r="I4447" s="85"/>
      <c r="J4447" s="131"/>
      <c r="K4447" s="60"/>
      <c r="L4447" s="33"/>
      <c r="P4447" s="3"/>
      <c r="Q4447" s="3"/>
      <c r="R4447" s="3"/>
      <c r="S4447" s="3"/>
      <c r="T4447" s="3"/>
      <c r="U4447" s="3"/>
      <c r="V4447" s="3"/>
      <c r="W4447" s="3"/>
      <c r="X4447" s="3"/>
      <c r="Y4447" s="4"/>
      <c r="Z4447"/>
      <c r="AA4447"/>
    </row>
    <row r="4448" spans="1:27" s="37" customFormat="1" x14ac:dyDescent="0.15">
      <c r="A4448" s="70"/>
      <c r="B4448" s="117"/>
      <c r="C4448" s="70"/>
      <c r="D4448" s="70"/>
      <c r="E4448" s="70"/>
      <c r="F4448" s="70"/>
      <c r="G4448" s="70"/>
      <c r="H4448" s="85"/>
      <c r="I4448" s="85"/>
      <c r="J4448" s="131"/>
      <c r="K4448" s="60"/>
      <c r="L4448" s="33"/>
      <c r="P4448" s="3"/>
      <c r="Q4448" s="3"/>
      <c r="R4448" s="3"/>
      <c r="S4448" s="3"/>
      <c r="T4448" s="3"/>
      <c r="U4448" s="3"/>
      <c r="V4448" s="3"/>
      <c r="W4448" s="3"/>
      <c r="X4448" s="3"/>
      <c r="Y4448" s="4"/>
      <c r="Z4448"/>
      <c r="AA4448"/>
    </row>
    <row r="4449" spans="1:27" s="37" customFormat="1" x14ac:dyDescent="0.15">
      <c r="A4449" s="70"/>
      <c r="B4449" s="118"/>
      <c r="C4449" s="70"/>
      <c r="D4449" s="70"/>
      <c r="E4449" s="70"/>
      <c r="F4449" s="70"/>
      <c r="G4449" s="70"/>
      <c r="H4449" s="85"/>
      <c r="I4449" s="85"/>
      <c r="J4449" s="131"/>
      <c r="K4449" s="60"/>
      <c r="L4449" s="33"/>
      <c r="P4449" s="3"/>
      <c r="Q4449" s="3"/>
      <c r="R4449" s="3"/>
      <c r="S4449" s="3"/>
      <c r="T4449" s="3"/>
      <c r="U4449" s="3"/>
      <c r="V4449" s="3"/>
      <c r="W4449" s="3"/>
      <c r="X4449" s="3"/>
      <c r="Y4449" s="4"/>
      <c r="Z4449"/>
      <c r="AA4449"/>
    </row>
    <row r="4450" spans="1:27" s="37" customFormat="1" x14ac:dyDescent="0.15">
      <c r="A4450" s="70"/>
      <c r="B4450" s="117"/>
      <c r="C4450" s="70"/>
      <c r="D4450" s="70"/>
      <c r="E4450" s="70"/>
      <c r="F4450" s="70"/>
      <c r="G4450" s="70"/>
      <c r="H4450" s="85"/>
      <c r="I4450" s="85"/>
      <c r="J4450" s="131"/>
      <c r="K4450" s="60"/>
      <c r="L4450" s="33"/>
      <c r="P4450" s="3"/>
      <c r="Q4450" s="3"/>
      <c r="R4450" s="3"/>
      <c r="S4450" s="3"/>
      <c r="T4450" s="3"/>
      <c r="U4450" s="3"/>
      <c r="V4450" s="3"/>
      <c r="W4450" s="3"/>
      <c r="X4450" s="3"/>
      <c r="Y4450" s="4"/>
      <c r="Z4450"/>
      <c r="AA4450"/>
    </row>
    <row r="4451" spans="1:27" s="37" customFormat="1" x14ac:dyDescent="0.15">
      <c r="A4451" s="70"/>
      <c r="B4451" s="117"/>
      <c r="C4451" s="73"/>
      <c r="D4451" s="73"/>
      <c r="E4451" s="73"/>
      <c r="F4451" s="73"/>
      <c r="G4451" s="73"/>
      <c r="H4451" s="85"/>
      <c r="I4451" s="85"/>
      <c r="J4451" s="131"/>
      <c r="K4451" s="60"/>
      <c r="L4451" s="33"/>
      <c r="P4451" s="3"/>
      <c r="Q4451" s="3"/>
      <c r="R4451" s="3"/>
      <c r="S4451" s="3"/>
      <c r="T4451" s="3"/>
      <c r="U4451" s="3"/>
      <c r="V4451" s="3"/>
      <c r="W4451" s="3"/>
      <c r="X4451" s="3"/>
      <c r="Y4451" s="4"/>
      <c r="Z4451"/>
      <c r="AA4451"/>
    </row>
    <row r="4452" spans="1:27" s="37" customFormat="1" x14ac:dyDescent="0.15">
      <c r="A4452" s="70"/>
      <c r="B4452" s="117"/>
      <c r="C4452" s="73"/>
      <c r="D4452" s="73"/>
      <c r="E4452" s="73"/>
      <c r="F4452" s="73"/>
      <c r="G4452" s="73"/>
      <c r="H4452" s="85"/>
      <c r="I4452" s="85"/>
      <c r="J4452" s="131"/>
      <c r="K4452" s="60"/>
      <c r="L4452" s="33"/>
      <c r="P4452" s="3"/>
      <c r="Q4452" s="3"/>
      <c r="R4452" s="3"/>
      <c r="S4452" s="3"/>
      <c r="T4452" s="3"/>
      <c r="U4452" s="3"/>
      <c r="V4452" s="3"/>
      <c r="W4452" s="3"/>
      <c r="X4452" s="3"/>
      <c r="Y4452" s="4"/>
      <c r="Z4452"/>
      <c r="AA4452"/>
    </row>
    <row r="4453" spans="1:27" s="37" customFormat="1" x14ac:dyDescent="0.15">
      <c r="A4453" s="70"/>
      <c r="B4453" s="117"/>
      <c r="C4453" s="70"/>
      <c r="D4453" s="70"/>
      <c r="E4453" s="70"/>
      <c r="F4453" s="70"/>
      <c r="G4453" s="70"/>
      <c r="H4453" s="85"/>
      <c r="I4453" s="85"/>
      <c r="J4453" s="131"/>
      <c r="K4453" s="60"/>
      <c r="P4453" s="3"/>
      <c r="Q4453" s="3"/>
      <c r="R4453" s="3"/>
      <c r="S4453" s="3"/>
      <c r="T4453" s="3"/>
      <c r="U4453" s="3"/>
      <c r="V4453" s="3"/>
      <c r="W4453" s="3"/>
      <c r="X4453" s="3"/>
      <c r="Y4453" s="4"/>
      <c r="Z4453"/>
      <c r="AA4453"/>
    </row>
    <row r="4454" spans="1:27" s="37" customFormat="1" x14ac:dyDescent="0.15">
      <c r="A4454" s="70"/>
      <c r="B4454" s="117"/>
      <c r="C4454" s="70"/>
      <c r="D4454" s="70"/>
      <c r="E4454" s="70"/>
      <c r="F4454" s="70"/>
      <c r="G4454" s="70"/>
      <c r="H4454" s="85"/>
      <c r="I4454" s="85"/>
      <c r="J4454" s="131"/>
      <c r="K4454" s="60"/>
      <c r="P4454" s="3"/>
      <c r="Q4454" s="3"/>
      <c r="R4454" s="3"/>
      <c r="S4454" s="3"/>
      <c r="T4454" s="3"/>
      <c r="U4454" s="3"/>
      <c r="V4454" s="3"/>
      <c r="W4454" s="3"/>
      <c r="X4454" s="3"/>
      <c r="Y4454" s="4"/>
      <c r="Z4454"/>
      <c r="AA4454"/>
    </row>
    <row r="4455" spans="1:27" s="37" customFormat="1" x14ac:dyDescent="0.15">
      <c r="A4455" s="70"/>
      <c r="B4455" s="117"/>
      <c r="C4455" s="70"/>
      <c r="D4455" s="70"/>
      <c r="E4455" s="70"/>
      <c r="F4455" s="70"/>
      <c r="G4455" s="70"/>
      <c r="H4455" s="85"/>
      <c r="I4455" s="85"/>
      <c r="J4455" s="131"/>
      <c r="K4455" s="60"/>
      <c r="L4455" s="33"/>
      <c r="P4455" s="3"/>
      <c r="Q4455" s="3"/>
      <c r="R4455" s="3"/>
      <c r="S4455" s="3"/>
      <c r="T4455" s="3"/>
      <c r="U4455" s="3"/>
      <c r="V4455" s="3"/>
      <c r="W4455" s="3"/>
      <c r="X4455" s="3"/>
      <c r="Y4455" s="4"/>
      <c r="Z4455"/>
      <c r="AA4455"/>
    </row>
    <row r="4456" spans="1:27" s="37" customFormat="1" x14ac:dyDescent="0.15">
      <c r="A4456" s="70"/>
      <c r="B4456" s="117"/>
      <c r="C4456" s="70"/>
      <c r="D4456" s="70"/>
      <c r="E4456" s="70"/>
      <c r="F4456" s="70"/>
      <c r="G4456" s="70"/>
      <c r="H4456" s="85"/>
      <c r="I4456" s="85"/>
      <c r="J4456" s="131"/>
      <c r="K4456" s="60"/>
      <c r="L4456" s="32"/>
      <c r="P4456" s="3"/>
      <c r="Q4456" s="3"/>
      <c r="R4456" s="3"/>
      <c r="S4456" s="3"/>
      <c r="T4456" s="3"/>
      <c r="U4456" s="3"/>
      <c r="V4456" s="3"/>
      <c r="W4456" s="3"/>
      <c r="X4456" s="3"/>
      <c r="Y4456" s="4"/>
      <c r="Z4456"/>
      <c r="AA4456"/>
    </row>
    <row r="4457" spans="1:27" s="37" customFormat="1" x14ac:dyDescent="0.15">
      <c r="A4457" s="70"/>
      <c r="B4457" s="117"/>
      <c r="C4457" s="70"/>
      <c r="D4457" s="70"/>
      <c r="E4457" s="70"/>
      <c r="F4457" s="70"/>
      <c r="G4457" s="70"/>
      <c r="H4457" s="85"/>
      <c r="I4457" s="85"/>
      <c r="J4457" s="131"/>
      <c r="K4457" s="60"/>
      <c r="L4457" s="33"/>
      <c r="P4457" s="3"/>
      <c r="Q4457" s="3"/>
      <c r="R4457" s="3"/>
      <c r="S4457" s="3"/>
      <c r="T4457" s="3"/>
      <c r="U4457" s="3"/>
      <c r="V4457" s="3"/>
      <c r="W4457" s="3"/>
      <c r="X4457" s="3"/>
      <c r="Y4457" s="4"/>
      <c r="Z4457"/>
      <c r="AA4457"/>
    </row>
    <row r="4458" spans="1:27" s="37" customFormat="1" x14ac:dyDescent="0.15">
      <c r="A4458" s="70"/>
      <c r="B4458" s="117"/>
      <c r="C4458" s="70"/>
      <c r="D4458" s="70"/>
      <c r="E4458" s="70"/>
      <c r="F4458" s="70"/>
      <c r="G4458" s="70"/>
      <c r="H4458" s="85"/>
      <c r="I4458" s="85"/>
      <c r="J4458" s="131"/>
      <c r="K4458" s="60"/>
      <c r="L4458" s="53"/>
      <c r="P4458" s="3"/>
      <c r="Q4458" s="3"/>
      <c r="R4458" s="3"/>
      <c r="S4458" s="3"/>
      <c r="T4458" s="3"/>
      <c r="U4458" s="3"/>
      <c r="V4458" s="3"/>
      <c r="W4458" s="3"/>
      <c r="X4458" s="3"/>
      <c r="Y4458" s="4"/>
      <c r="Z4458"/>
      <c r="AA4458"/>
    </row>
    <row r="4459" spans="1:27" s="37" customFormat="1" x14ac:dyDescent="0.15">
      <c r="A4459" s="70"/>
      <c r="B4459" s="117"/>
      <c r="C4459" s="70"/>
      <c r="D4459" s="70"/>
      <c r="E4459" s="70"/>
      <c r="F4459" s="70"/>
      <c r="G4459" s="70"/>
      <c r="H4459" s="85"/>
      <c r="I4459" s="85"/>
      <c r="J4459" s="131"/>
      <c r="K4459" s="60"/>
      <c r="L4459" s="33"/>
      <c r="P4459" s="3"/>
      <c r="Q4459" s="3"/>
      <c r="R4459" s="3"/>
      <c r="S4459" s="3"/>
      <c r="T4459" s="3"/>
      <c r="U4459" s="3"/>
      <c r="V4459" s="3"/>
      <c r="W4459" s="3"/>
      <c r="X4459" s="3"/>
      <c r="Y4459" s="4"/>
      <c r="Z4459"/>
      <c r="AA4459"/>
    </row>
    <row r="4460" spans="1:27" s="37" customFormat="1" x14ac:dyDescent="0.15">
      <c r="A4460" s="70"/>
      <c r="B4460" s="117"/>
      <c r="C4460" s="70"/>
      <c r="D4460" s="70"/>
      <c r="E4460" s="70"/>
      <c r="F4460" s="70"/>
      <c r="G4460" s="70"/>
      <c r="H4460" s="85"/>
      <c r="I4460" s="85"/>
      <c r="J4460" s="131"/>
      <c r="K4460" s="60"/>
      <c r="L4460" s="33"/>
      <c r="P4460" s="3"/>
      <c r="Q4460" s="3"/>
      <c r="R4460" s="3"/>
      <c r="S4460" s="3"/>
      <c r="T4460" s="3"/>
      <c r="U4460" s="3"/>
      <c r="V4460" s="3"/>
      <c r="W4460" s="3"/>
      <c r="X4460" s="3"/>
      <c r="Y4460" s="4"/>
      <c r="Z4460"/>
      <c r="AA4460"/>
    </row>
    <row r="4461" spans="1:27" s="37" customFormat="1" x14ac:dyDescent="0.15">
      <c r="A4461" s="70"/>
      <c r="B4461" s="117"/>
      <c r="C4461" s="70"/>
      <c r="D4461" s="70"/>
      <c r="E4461" s="70"/>
      <c r="F4461" s="70"/>
      <c r="G4461" s="70"/>
      <c r="H4461" s="85"/>
      <c r="I4461" s="85"/>
      <c r="J4461" s="131"/>
      <c r="K4461" s="60"/>
      <c r="M4461" s="32"/>
      <c r="P4461" s="3"/>
      <c r="Q4461" s="3"/>
      <c r="R4461" s="3"/>
      <c r="S4461" s="3"/>
      <c r="T4461" s="3"/>
      <c r="U4461" s="3"/>
      <c r="V4461" s="3"/>
      <c r="W4461" s="3"/>
      <c r="X4461" s="3"/>
      <c r="Y4461" s="4"/>
      <c r="Z4461"/>
      <c r="AA4461"/>
    </row>
    <row r="4462" spans="1:27" s="37" customFormat="1" x14ac:dyDescent="0.15">
      <c r="A4462" s="70"/>
      <c r="B4462" s="117"/>
      <c r="C4462" s="70"/>
      <c r="D4462" s="70"/>
      <c r="E4462" s="70"/>
      <c r="F4462" s="70"/>
      <c r="G4462" s="70"/>
      <c r="H4462" s="85"/>
      <c r="I4462" s="85"/>
      <c r="J4462" s="131"/>
      <c r="K4462" s="60"/>
      <c r="P4462" s="3"/>
      <c r="Q4462" s="3"/>
      <c r="R4462" s="3"/>
      <c r="S4462" s="3"/>
      <c r="T4462" s="3"/>
      <c r="U4462" s="3"/>
      <c r="V4462" s="3"/>
      <c r="W4462" s="3"/>
      <c r="X4462" s="3"/>
      <c r="Y4462" s="4"/>
      <c r="Z4462"/>
      <c r="AA4462"/>
    </row>
    <row r="4463" spans="1:27" s="37" customFormat="1" x14ac:dyDescent="0.15">
      <c r="A4463" s="62"/>
      <c r="B4463" s="117"/>
      <c r="C4463" s="62"/>
      <c r="D4463" s="62"/>
      <c r="E4463" s="62"/>
      <c r="F4463" s="62"/>
      <c r="G4463" s="62"/>
      <c r="H4463" s="85"/>
      <c r="I4463" s="98"/>
      <c r="J4463" s="141"/>
      <c r="K4463" s="67"/>
      <c r="L4463" s="35"/>
      <c r="P4463" s="3"/>
      <c r="Q4463" s="3"/>
      <c r="R4463" s="3"/>
      <c r="S4463" s="3"/>
      <c r="T4463" s="3"/>
      <c r="U4463" s="3"/>
      <c r="V4463" s="3"/>
      <c r="W4463" s="3"/>
      <c r="X4463" s="3"/>
      <c r="Y4463" s="4"/>
      <c r="Z4463"/>
      <c r="AA4463"/>
    </row>
    <row r="4464" spans="1:27" s="37" customFormat="1" x14ac:dyDescent="0.15">
      <c r="A4464" s="70"/>
      <c r="B4464" s="117"/>
      <c r="C4464" s="70"/>
      <c r="D4464" s="70"/>
      <c r="E4464" s="73"/>
      <c r="F4464" s="70"/>
      <c r="G4464" s="70"/>
      <c r="H4464" s="85"/>
      <c r="I4464" s="85"/>
      <c r="J4464" s="131"/>
      <c r="K4464" s="60"/>
      <c r="L4464" s="33"/>
      <c r="P4464" s="3"/>
      <c r="Q4464" s="3"/>
      <c r="R4464" s="3"/>
      <c r="S4464" s="3"/>
      <c r="T4464" s="3"/>
      <c r="U4464" s="3"/>
      <c r="V4464" s="3"/>
      <c r="W4464" s="3"/>
      <c r="X4464" s="3"/>
      <c r="Y4464" s="4"/>
      <c r="Z4464"/>
      <c r="AA4464"/>
    </row>
    <row r="4465" spans="1:27" s="37" customFormat="1" x14ac:dyDescent="0.15">
      <c r="A4465" s="70"/>
      <c r="B4465" s="117"/>
      <c r="C4465" s="70"/>
      <c r="D4465" s="70"/>
      <c r="E4465" s="70"/>
      <c r="F4465" s="70"/>
      <c r="G4465" s="70"/>
      <c r="H4465" s="85"/>
      <c r="I4465" s="85"/>
      <c r="J4465" s="131"/>
      <c r="K4465" s="60"/>
      <c r="L4465" s="33"/>
      <c r="P4465" s="3"/>
      <c r="Q4465" s="3"/>
      <c r="R4465" s="3"/>
      <c r="S4465" s="3"/>
      <c r="T4465" s="3"/>
      <c r="U4465" s="3"/>
      <c r="V4465" s="3"/>
      <c r="W4465" s="3"/>
      <c r="X4465" s="3"/>
      <c r="Y4465" s="4"/>
      <c r="Z4465"/>
      <c r="AA4465"/>
    </row>
    <row r="4466" spans="1:27" s="37" customFormat="1" x14ac:dyDescent="0.15">
      <c r="A4466" s="70"/>
      <c r="B4466" s="117"/>
      <c r="C4466" s="70"/>
      <c r="D4466" s="70"/>
      <c r="E4466" s="70"/>
      <c r="F4466" s="70"/>
      <c r="G4466" s="70"/>
      <c r="H4466" s="85"/>
      <c r="I4466" s="85"/>
      <c r="J4466" s="131"/>
      <c r="K4466" s="67"/>
      <c r="L4466" s="33"/>
      <c r="P4466" s="3"/>
      <c r="Q4466" s="3"/>
      <c r="R4466" s="3"/>
      <c r="S4466" s="3"/>
      <c r="T4466" s="3"/>
      <c r="U4466" s="3"/>
      <c r="V4466" s="3"/>
      <c r="W4466" s="3"/>
      <c r="X4466" s="3"/>
      <c r="Y4466" s="4"/>
      <c r="Z4466"/>
      <c r="AA4466"/>
    </row>
    <row r="4467" spans="1:27" s="37" customFormat="1" x14ac:dyDescent="0.15">
      <c r="A4467" s="70"/>
      <c r="B4467" s="117"/>
      <c r="C4467" s="70"/>
      <c r="D4467" s="70"/>
      <c r="E4467" s="70"/>
      <c r="F4467" s="70"/>
      <c r="G4467" s="70"/>
      <c r="H4467" s="85"/>
      <c r="I4467" s="85"/>
      <c r="J4467" s="131"/>
      <c r="K4467" s="60"/>
      <c r="P4467" s="3"/>
      <c r="Q4467" s="3"/>
      <c r="R4467" s="3"/>
      <c r="S4467" s="3"/>
      <c r="T4467" s="3"/>
      <c r="U4467" s="3"/>
      <c r="V4467" s="3"/>
      <c r="W4467" s="3"/>
      <c r="X4467" s="3"/>
      <c r="Y4467" s="4"/>
      <c r="Z4467"/>
      <c r="AA4467"/>
    </row>
    <row r="4468" spans="1:27" s="37" customFormat="1" x14ac:dyDescent="0.15">
      <c r="A4468" s="70"/>
      <c r="B4468" s="117"/>
      <c r="C4468" s="70"/>
      <c r="D4468" s="70"/>
      <c r="E4468" s="70"/>
      <c r="F4468" s="70"/>
      <c r="G4468" s="70"/>
      <c r="H4468" s="85"/>
      <c r="I4468" s="85"/>
      <c r="J4468" s="131"/>
      <c r="K4468" s="60"/>
      <c r="L4468" s="33"/>
      <c r="P4468" s="3"/>
      <c r="Q4468" s="3"/>
      <c r="R4468" s="3"/>
      <c r="S4468" s="3"/>
      <c r="T4468" s="3"/>
      <c r="U4468" s="3"/>
      <c r="V4468" s="3"/>
      <c r="W4468" s="3"/>
      <c r="X4468" s="3"/>
      <c r="Y4468" s="4"/>
      <c r="Z4468"/>
      <c r="AA4468"/>
    </row>
    <row r="4469" spans="1:27" s="37" customFormat="1" ht="16" x14ac:dyDescent="0.2">
      <c r="A4469" s="70"/>
      <c r="B4469" s="117"/>
      <c r="C4469" s="70"/>
      <c r="D4469" s="70"/>
      <c r="E4469" s="70"/>
      <c r="F4469" s="70"/>
      <c r="G4469" s="70"/>
      <c r="H4469" s="85"/>
      <c r="I4469" s="85"/>
      <c r="J4469" s="131"/>
      <c r="K4469" s="60"/>
      <c r="L4469" s="47"/>
      <c r="P4469" s="3"/>
      <c r="Q4469" s="3"/>
      <c r="R4469" s="3"/>
      <c r="S4469" s="3"/>
      <c r="T4469" s="3"/>
      <c r="U4469" s="3"/>
      <c r="V4469" s="3"/>
      <c r="W4469" s="3"/>
      <c r="X4469" s="3"/>
      <c r="Y4469" s="4"/>
      <c r="Z4469"/>
      <c r="AA4469"/>
    </row>
    <row r="4470" spans="1:27" s="37" customFormat="1" x14ac:dyDescent="0.15">
      <c r="A4470" s="70"/>
      <c r="B4470" s="117"/>
      <c r="C4470" s="73"/>
      <c r="D4470" s="73"/>
      <c r="E4470" s="73"/>
      <c r="F4470" s="73"/>
      <c r="G4470" s="73"/>
      <c r="H4470" s="85"/>
      <c r="I4470" s="85"/>
      <c r="J4470" s="131"/>
      <c r="K4470" s="60"/>
      <c r="L4470" s="33"/>
      <c r="P4470" s="3"/>
      <c r="Q4470" s="3"/>
      <c r="R4470" s="3"/>
      <c r="S4470" s="3"/>
      <c r="T4470" s="3"/>
      <c r="U4470" s="3"/>
      <c r="V4470" s="3"/>
      <c r="W4470" s="3"/>
      <c r="X4470" s="3"/>
      <c r="Y4470" s="4"/>
      <c r="Z4470"/>
      <c r="AA4470"/>
    </row>
    <row r="4471" spans="1:27" s="37" customFormat="1" x14ac:dyDescent="0.15">
      <c r="A4471" s="70"/>
      <c r="B4471" s="117"/>
      <c r="C4471" s="70"/>
      <c r="D4471" s="70"/>
      <c r="E4471" s="70"/>
      <c r="F4471" s="70"/>
      <c r="G4471" s="70"/>
      <c r="H4471" s="85"/>
      <c r="I4471" s="85"/>
      <c r="J4471" s="131"/>
      <c r="K4471" s="60"/>
      <c r="L4471" s="33"/>
      <c r="P4471" s="3"/>
      <c r="Q4471" s="3"/>
      <c r="R4471" s="3"/>
      <c r="S4471" s="3"/>
      <c r="T4471" s="3"/>
      <c r="U4471" s="3"/>
      <c r="V4471" s="3"/>
      <c r="W4471" s="3"/>
      <c r="X4471" s="3"/>
      <c r="Y4471" s="4"/>
      <c r="Z4471"/>
      <c r="AA4471"/>
    </row>
    <row r="4472" spans="1:27" s="37" customFormat="1" ht="16" x14ac:dyDescent="0.2">
      <c r="A4472" s="70"/>
      <c r="B4472" s="117"/>
      <c r="C4472" s="70"/>
      <c r="D4472" s="70"/>
      <c r="E4472" s="70"/>
      <c r="F4472" s="70"/>
      <c r="G4472" s="70"/>
      <c r="H4472" s="85"/>
      <c r="I4472" s="85"/>
      <c r="J4472" s="131"/>
      <c r="K4472" s="60"/>
      <c r="L4472" s="47"/>
      <c r="P4472" s="3"/>
      <c r="Q4472" s="3"/>
      <c r="R4472" s="3"/>
      <c r="S4472" s="3"/>
      <c r="T4472" s="3"/>
      <c r="U4472" s="3"/>
      <c r="V4472" s="3"/>
      <c r="W4472" s="3"/>
      <c r="X4472" s="3"/>
      <c r="Y4472" s="4"/>
      <c r="Z4472"/>
      <c r="AA4472"/>
    </row>
    <row r="4473" spans="1:27" s="37" customFormat="1" ht="16" x14ac:dyDescent="0.2">
      <c r="A4473" s="70"/>
      <c r="B4473" s="117"/>
      <c r="C4473" s="73"/>
      <c r="D4473" s="73"/>
      <c r="E4473" s="73"/>
      <c r="F4473" s="73"/>
      <c r="G4473" s="73"/>
      <c r="H4473" s="85"/>
      <c r="I4473" s="95"/>
      <c r="J4473" s="131"/>
      <c r="K4473" s="60"/>
      <c r="L4473" s="47"/>
      <c r="M4473" s="48"/>
      <c r="P4473" s="3"/>
      <c r="Q4473" s="3"/>
      <c r="R4473" s="3"/>
      <c r="S4473" s="3"/>
      <c r="T4473" s="3"/>
      <c r="U4473" s="3"/>
      <c r="V4473" s="3"/>
      <c r="W4473" s="3"/>
      <c r="X4473" s="3"/>
      <c r="Y4473" s="4"/>
      <c r="Z4473"/>
      <c r="AA4473"/>
    </row>
    <row r="4474" spans="1:27" s="37" customFormat="1" ht="16" x14ac:dyDescent="0.2">
      <c r="A4474" s="70"/>
      <c r="B4474" s="117"/>
      <c r="C4474" s="70"/>
      <c r="D4474" s="70"/>
      <c r="E4474" s="70"/>
      <c r="F4474" s="70"/>
      <c r="G4474" s="70"/>
      <c r="H4474" s="85"/>
      <c r="I4474" s="85"/>
      <c r="J4474" s="131"/>
      <c r="K4474" s="60"/>
      <c r="L4474" s="47"/>
      <c r="P4474" s="3"/>
      <c r="Q4474" s="3"/>
      <c r="R4474" s="3"/>
      <c r="S4474" s="3"/>
      <c r="T4474" s="3"/>
      <c r="U4474" s="3"/>
      <c r="V4474" s="3"/>
      <c r="W4474" s="3"/>
      <c r="X4474" s="3"/>
      <c r="Y4474" s="4"/>
      <c r="Z4474"/>
      <c r="AA4474"/>
    </row>
    <row r="4475" spans="1:27" s="37" customFormat="1" ht="16" x14ac:dyDescent="0.2">
      <c r="A4475" s="70"/>
      <c r="B4475" s="117"/>
      <c r="C4475" s="70"/>
      <c r="D4475" s="70"/>
      <c r="E4475" s="73"/>
      <c r="F4475" s="70"/>
      <c r="G4475" s="70"/>
      <c r="H4475" s="85"/>
      <c r="I4475" s="85"/>
      <c r="J4475" s="131"/>
      <c r="K4475" s="60"/>
      <c r="L4475" s="47"/>
      <c r="P4475" s="3"/>
      <c r="Q4475" s="3"/>
      <c r="R4475" s="3"/>
      <c r="S4475" s="3"/>
      <c r="T4475" s="3"/>
      <c r="U4475" s="3"/>
      <c r="V4475" s="3"/>
      <c r="W4475" s="3"/>
      <c r="X4475" s="3"/>
      <c r="Y4475" s="4"/>
      <c r="Z4475"/>
      <c r="AA4475"/>
    </row>
    <row r="4476" spans="1:27" s="37" customFormat="1" ht="16" x14ac:dyDescent="0.2">
      <c r="A4476" s="70"/>
      <c r="B4476" s="117"/>
      <c r="C4476" s="70"/>
      <c r="D4476" s="70"/>
      <c r="E4476" s="73"/>
      <c r="F4476" s="70"/>
      <c r="G4476" s="70"/>
      <c r="H4476" s="85"/>
      <c r="I4476" s="85"/>
      <c r="J4476" s="131"/>
      <c r="K4476" s="60"/>
      <c r="L4476" s="47"/>
      <c r="P4476" s="3"/>
      <c r="Q4476" s="3"/>
      <c r="R4476" s="3"/>
      <c r="S4476" s="3"/>
      <c r="T4476" s="3"/>
      <c r="U4476" s="3"/>
      <c r="V4476" s="3"/>
      <c r="W4476" s="3"/>
      <c r="X4476" s="3"/>
      <c r="Y4476" s="4"/>
      <c r="Z4476"/>
      <c r="AA4476"/>
    </row>
    <row r="4477" spans="1:27" s="37" customFormat="1" x14ac:dyDescent="0.15">
      <c r="A4477" s="70"/>
      <c r="B4477" s="117"/>
      <c r="C4477" s="70"/>
      <c r="D4477" s="70"/>
      <c r="E4477" s="70"/>
      <c r="F4477" s="70"/>
      <c r="G4477" s="70"/>
      <c r="H4477" s="85"/>
      <c r="I4477" s="85"/>
      <c r="J4477" s="131"/>
      <c r="K4477" s="60"/>
      <c r="L4477" s="33"/>
      <c r="P4477" s="3"/>
      <c r="Q4477" s="3"/>
      <c r="R4477" s="3"/>
      <c r="S4477" s="3"/>
      <c r="T4477" s="3"/>
      <c r="U4477" s="3"/>
      <c r="V4477" s="3"/>
      <c r="W4477" s="3"/>
      <c r="X4477" s="3"/>
      <c r="Y4477" s="4"/>
      <c r="Z4477"/>
      <c r="AA4477"/>
    </row>
    <row r="4478" spans="1:27" s="37" customFormat="1" x14ac:dyDescent="0.15">
      <c r="A4478" s="70"/>
      <c r="B4478" s="117"/>
      <c r="C4478" s="70"/>
      <c r="D4478" s="70"/>
      <c r="E4478" s="70"/>
      <c r="F4478" s="70"/>
      <c r="G4478" s="70"/>
      <c r="H4478" s="85"/>
      <c r="I4478" s="85"/>
      <c r="J4478" s="131"/>
      <c r="K4478" s="60"/>
      <c r="P4478" s="3"/>
      <c r="Q4478" s="3"/>
      <c r="R4478" s="3"/>
      <c r="S4478" s="3"/>
      <c r="T4478" s="3"/>
      <c r="U4478" s="3"/>
      <c r="V4478" s="3"/>
      <c r="W4478" s="3"/>
      <c r="X4478" s="3"/>
      <c r="Y4478" s="4"/>
      <c r="Z4478"/>
      <c r="AA4478"/>
    </row>
    <row r="4479" spans="1:27" s="37" customFormat="1" x14ac:dyDescent="0.15">
      <c r="A4479" s="70"/>
      <c r="B4479" s="117"/>
      <c r="C4479" s="70"/>
      <c r="D4479" s="70"/>
      <c r="E4479" s="70"/>
      <c r="F4479" s="70"/>
      <c r="G4479" s="70"/>
      <c r="H4479" s="85"/>
      <c r="I4479" s="85"/>
      <c r="J4479" s="131"/>
      <c r="K4479" s="60"/>
      <c r="P4479" s="3"/>
      <c r="Q4479" s="3"/>
      <c r="R4479" s="3"/>
      <c r="S4479" s="3"/>
      <c r="T4479" s="3"/>
      <c r="U4479" s="3"/>
      <c r="V4479" s="3"/>
      <c r="W4479" s="3"/>
      <c r="X4479" s="3"/>
      <c r="Y4479" s="4"/>
      <c r="Z4479"/>
      <c r="AA4479"/>
    </row>
    <row r="4480" spans="1:27" s="37" customFormat="1" x14ac:dyDescent="0.15">
      <c r="A4480" s="70"/>
      <c r="B4480" s="117"/>
      <c r="C4480" s="70"/>
      <c r="D4480" s="70"/>
      <c r="E4480" s="70"/>
      <c r="F4480" s="70"/>
      <c r="G4480" s="70"/>
      <c r="H4480" s="85"/>
      <c r="I4480" s="85"/>
      <c r="J4480" s="131"/>
      <c r="K4480" s="60"/>
      <c r="P4480" s="3"/>
      <c r="Q4480" s="3"/>
      <c r="R4480" s="3"/>
      <c r="S4480" s="3"/>
      <c r="T4480" s="3"/>
      <c r="U4480" s="3"/>
      <c r="V4480" s="3"/>
      <c r="W4480" s="3"/>
      <c r="X4480" s="3"/>
      <c r="Y4480" s="4"/>
      <c r="Z4480"/>
      <c r="AA4480"/>
    </row>
    <row r="4481" spans="1:27" s="37" customFormat="1" x14ac:dyDescent="0.15">
      <c r="A4481" s="70"/>
      <c r="B4481" s="117"/>
      <c r="C4481" s="70"/>
      <c r="D4481" s="70"/>
      <c r="E4481" s="70"/>
      <c r="F4481" s="70"/>
      <c r="G4481" s="70"/>
      <c r="H4481" s="85"/>
      <c r="I4481" s="85"/>
      <c r="J4481" s="142"/>
      <c r="K4481" s="60"/>
      <c r="P4481" s="3"/>
      <c r="Q4481" s="3"/>
      <c r="R4481" s="3"/>
      <c r="S4481" s="3"/>
      <c r="T4481" s="3"/>
      <c r="U4481" s="3"/>
      <c r="V4481" s="3"/>
      <c r="W4481" s="3"/>
      <c r="X4481" s="3"/>
      <c r="Y4481" s="4"/>
      <c r="Z4481"/>
      <c r="AA4481"/>
    </row>
    <row r="4482" spans="1:27" s="37" customFormat="1" x14ac:dyDescent="0.15">
      <c r="A4482" s="70"/>
      <c r="B4482" s="117"/>
      <c r="C4482" s="70"/>
      <c r="D4482" s="70"/>
      <c r="E4482" s="70"/>
      <c r="F4482" s="70"/>
      <c r="G4482" s="70"/>
      <c r="H4482" s="85"/>
      <c r="I4482" s="85"/>
      <c r="J4482" s="131"/>
      <c r="K4482" s="60"/>
      <c r="P4482" s="3"/>
      <c r="Q4482" s="3"/>
      <c r="R4482" s="3"/>
      <c r="S4482" s="3"/>
      <c r="T4482" s="3"/>
      <c r="U4482" s="3"/>
      <c r="V4482" s="3"/>
      <c r="W4482" s="3"/>
      <c r="X4482" s="3"/>
      <c r="Y4482" s="4"/>
      <c r="Z4482"/>
      <c r="AA4482"/>
    </row>
    <row r="4483" spans="1:27" s="37" customFormat="1" x14ac:dyDescent="0.15">
      <c r="A4483" s="70"/>
      <c r="B4483" s="117"/>
      <c r="C4483" s="70"/>
      <c r="D4483" s="70"/>
      <c r="E4483" s="70"/>
      <c r="F4483" s="70"/>
      <c r="G4483" s="70"/>
      <c r="H4483" s="85"/>
      <c r="I4483" s="85"/>
      <c r="J4483" s="131"/>
      <c r="K4483" s="60"/>
      <c r="P4483" s="3"/>
      <c r="Q4483" s="3"/>
      <c r="R4483" s="3"/>
      <c r="S4483" s="3"/>
      <c r="T4483" s="3"/>
      <c r="U4483" s="3"/>
      <c r="V4483" s="3"/>
      <c r="W4483" s="3"/>
      <c r="X4483" s="3"/>
      <c r="Y4483" s="4"/>
      <c r="Z4483"/>
      <c r="AA4483"/>
    </row>
    <row r="4484" spans="1:27" s="37" customFormat="1" x14ac:dyDescent="0.15">
      <c r="A4484" s="70"/>
      <c r="B4484" s="117"/>
      <c r="C4484" s="70"/>
      <c r="D4484" s="70"/>
      <c r="E4484" s="70"/>
      <c r="F4484" s="70"/>
      <c r="G4484" s="70"/>
      <c r="H4484" s="85"/>
      <c r="I4484" s="85"/>
      <c r="J4484" s="142"/>
      <c r="K4484" s="60"/>
      <c r="P4484" s="3"/>
      <c r="Q4484" s="3"/>
      <c r="R4484" s="3"/>
      <c r="S4484" s="3"/>
      <c r="T4484" s="3"/>
      <c r="U4484" s="3"/>
      <c r="V4484" s="3"/>
      <c r="W4484" s="3"/>
      <c r="X4484" s="3"/>
      <c r="Y4484" s="4"/>
      <c r="Z4484"/>
      <c r="AA4484"/>
    </row>
    <row r="4485" spans="1:27" s="37" customFormat="1" x14ac:dyDescent="0.15">
      <c r="A4485" s="70"/>
      <c r="B4485" s="117"/>
      <c r="C4485" s="70"/>
      <c r="D4485" s="70"/>
      <c r="E4485" s="70"/>
      <c r="F4485" s="70"/>
      <c r="G4485" s="70"/>
      <c r="H4485" s="85"/>
      <c r="I4485" s="85"/>
      <c r="J4485" s="142"/>
      <c r="K4485" s="60"/>
      <c r="P4485" s="3"/>
      <c r="Q4485" s="3"/>
      <c r="R4485" s="3"/>
      <c r="S4485" s="3"/>
      <c r="T4485" s="3"/>
      <c r="U4485" s="3"/>
      <c r="V4485" s="3"/>
      <c r="W4485" s="3"/>
      <c r="X4485" s="3"/>
      <c r="Y4485" s="4"/>
      <c r="Z4485"/>
      <c r="AA4485"/>
    </row>
    <row r="4486" spans="1:27" s="37" customFormat="1" x14ac:dyDescent="0.15">
      <c r="A4486" s="83"/>
      <c r="B4486" s="117"/>
      <c r="C4486" s="70"/>
      <c r="D4486" s="70"/>
      <c r="E4486" s="70"/>
      <c r="F4486" s="70"/>
      <c r="G4486" s="70"/>
      <c r="H4486" s="85"/>
      <c r="I4486" s="85"/>
      <c r="J4486" s="131"/>
      <c r="K4486" s="70"/>
      <c r="L4486" s="33"/>
      <c r="P4486" s="3"/>
      <c r="Q4486" s="3"/>
      <c r="R4486" s="3"/>
      <c r="S4486" s="3"/>
      <c r="T4486" s="3"/>
      <c r="U4486" s="3"/>
      <c r="V4486" s="3"/>
      <c r="W4486" s="3"/>
      <c r="X4486" s="3"/>
      <c r="Y4486" s="4"/>
      <c r="Z4486"/>
      <c r="AA4486"/>
    </row>
    <row r="4487" spans="1:27" s="37" customFormat="1" x14ac:dyDescent="0.15">
      <c r="A4487" s="70"/>
      <c r="B4487" s="117"/>
      <c r="C4487" s="70"/>
      <c r="D4487" s="70"/>
      <c r="E4487" s="70"/>
      <c r="F4487" s="70"/>
      <c r="G4487" s="70"/>
      <c r="H4487" s="85"/>
      <c r="I4487" s="85"/>
      <c r="J4487" s="131"/>
      <c r="K4487" s="60"/>
      <c r="L4487" s="33"/>
      <c r="P4487" s="3"/>
      <c r="Q4487" s="3"/>
      <c r="R4487" s="3"/>
      <c r="S4487" s="3"/>
      <c r="T4487" s="3"/>
      <c r="U4487" s="3"/>
      <c r="V4487" s="3"/>
      <c r="W4487" s="3"/>
      <c r="X4487" s="3"/>
      <c r="Y4487" s="4"/>
      <c r="Z4487"/>
      <c r="AA4487"/>
    </row>
    <row r="4488" spans="1:27" s="37" customFormat="1" x14ac:dyDescent="0.15">
      <c r="A4488" s="70"/>
      <c r="B4488" s="118"/>
      <c r="C4488" s="70"/>
      <c r="D4488" s="70"/>
      <c r="E4488" s="70"/>
      <c r="F4488" s="70"/>
      <c r="G4488" s="70"/>
      <c r="H4488" s="85"/>
      <c r="I4488" s="85"/>
      <c r="J4488" s="131"/>
      <c r="K4488" s="60"/>
      <c r="L4488" s="33"/>
      <c r="P4488" s="3"/>
      <c r="Q4488" s="3"/>
      <c r="R4488" s="3"/>
      <c r="S4488" s="3"/>
      <c r="T4488" s="3"/>
      <c r="U4488" s="3"/>
      <c r="V4488" s="3"/>
      <c r="W4488" s="3"/>
      <c r="X4488" s="3"/>
      <c r="Y4488" s="4"/>
      <c r="Z4488"/>
      <c r="AA4488"/>
    </row>
    <row r="4489" spans="1:27" s="37" customFormat="1" x14ac:dyDescent="0.15">
      <c r="A4489" s="70"/>
      <c r="B4489" s="117"/>
      <c r="C4489" s="70"/>
      <c r="D4489" s="70"/>
      <c r="E4489" s="70"/>
      <c r="F4489" s="70"/>
      <c r="G4489" s="70"/>
      <c r="H4489" s="85"/>
      <c r="I4489" s="85"/>
      <c r="J4489" s="142"/>
      <c r="K4489" s="60"/>
      <c r="P4489" s="3"/>
      <c r="Q4489" s="3"/>
      <c r="R4489" s="3"/>
      <c r="S4489" s="3"/>
      <c r="T4489" s="3"/>
      <c r="U4489" s="3"/>
      <c r="V4489" s="3"/>
      <c r="W4489" s="3"/>
      <c r="X4489" s="3"/>
      <c r="Y4489" s="4"/>
      <c r="Z4489"/>
      <c r="AA4489"/>
    </row>
    <row r="4490" spans="1:27" s="37" customFormat="1" x14ac:dyDescent="0.15">
      <c r="A4490" s="70"/>
      <c r="B4490" s="118"/>
      <c r="C4490" s="70"/>
      <c r="D4490" s="70"/>
      <c r="E4490" s="70"/>
      <c r="F4490" s="70"/>
      <c r="G4490" s="70"/>
      <c r="H4490" s="85"/>
      <c r="I4490" s="85"/>
      <c r="J4490" s="131"/>
      <c r="K4490" s="67"/>
      <c r="L4490" s="33"/>
      <c r="P4490" s="3"/>
      <c r="Q4490" s="3"/>
      <c r="R4490" s="3"/>
      <c r="S4490" s="3"/>
      <c r="T4490" s="3"/>
      <c r="U4490" s="3"/>
      <c r="V4490" s="3"/>
      <c r="W4490" s="3"/>
      <c r="X4490" s="3"/>
      <c r="Y4490" s="4"/>
      <c r="Z4490"/>
      <c r="AA4490"/>
    </row>
    <row r="4491" spans="1:27" s="37" customFormat="1" x14ac:dyDescent="0.15">
      <c r="A4491" s="70"/>
      <c r="B4491" s="118"/>
      <c r="C4491" s="70"/>
      <c r="D4491" s="70"/>
      <c r="E4491" s="73"/>
      <c r="F4491" s="70"/>
      <c r="G4491" s="70"/>
      <c r="H4491" s="85"/>
      <c r="I4491" s="85"/>
      <c r="J4491" s="131"/>
      <c r="K4491" s="60"/>
      <c r="L4491" s="33"/>
      <c r="P4491" s="3"/>
      <c r="Q4491" s="3"/>
      <c r="R4491" s="3"/>
      <c r="S4491" s="3"/>
      <c r="T4491" s="3"/>
      <c r="U4491" s="3"/>
      <c r="V4491" s="3"/>
      <c r="W4491" s="3"/>
      <c r="X4491" s="3"/>
      <c r="Y4491" s="4"/>
      <c r="Z4491"/>
      <c r="AA4491"/>
    </row>
    <row r="4492" spans="1:27" s="37" customFormat="1" x14ac:dyDescent="0.15">
      <c r="A4492" s="70"/>
      <c r="B4492" s="118"/>
      <c r="C4492" s="73"/>
      <c r="D4492" s="73"/>
      <c r="E4492" s="73"/>
      <c r="F4492" s="73"/>
      <c r="G4492" s="73"/>
      <c r="H4492" s="85"/>
      <c r="I4492" s="85"/>
      <c r="J4492" s="131"/>
      <c r="K4492" s="60"/>
      <c r="L4492" s="33"/>
      <c r="P4492" s="3"/>
      <c r="Q4492" s="3"/>
      <c r="R4492" s="3"/>
      <c r="S4492" s="3"/>
      <c r="T4492" s="3"/>
      <c r="U4492" s="3"/>
      <c r="V4492" s="3"/>
      <c r="W4492" s="3"/>
      <c r="X4492" s="3"/>
      <c r="Y4492" s="4"/>
      <c r="Z4492"/>
      <c r="AA4492"/>
    </row>
    <row r="4493" spans="1:27" s="37" customFormat="1" x14ac:dyDescent="0.15">
      <c r="A4493" s="70"/>
      <c r="B4493" s="117"/>
      <c r="C4493" s="70"/>
      <c r="D4493" s="70"/>
      <c r="E4493" s="70"/>
      <c r="F4493" s="70"/>
      <c r="G4493" s="70"/>
      <c r="H4493" s="85"/>
      <c r="I4493" s="85"/>
      <c r="J4493" s="131"/>
      <c r="K4493" s="60"/>
      <c r="L4493" s="33"/>
      <c r="P4493" s="3"/>
      <c r="Q4493" s="3"/>
      <c r="R4493" s="3"/>
      <c r="S4493" s="3"/>
      <c r="T4493" s="3"/>
      <c r="U4493" s="3"/>
      <c r="V4493" s="3"/>
      <c r="W4493" s="3"/>
      <c r="X4493" s="3"/>
      <c r="Y4493" s="4"/>
      <c r="Z4493"/>
      <c r="AA4493"/>
    </row>
    <row r="4494" spans="1:27" s="37" customFormat="1" x14ac:dyDescent="0.15">
      <c r="A4494" s="70"/>
      <c r="B4494" s="117"/>
      <c r="C4494" s="70"/>
      <c r="D4494" s="70"/>
      <c r="E4494" s="70"/>
      <c r="F4494" s="70"/>
      <c r="G4494" s="70"/>
      <c r="H4494" s="103"/>
      <c r="I4494" s="85"/>
      <c r="J4494" s="131"/>
      <c r="K4494" s="60"/>
      <c r="M4494" s="32"/>
      <c r="P4494" s="3"/>
      <c r="Q4494" s="3"/>
      <c r="R4494" s="3"/>
      <c r="S4494" s="3"/>
      <c r="T4494" s="3"/>
      <c r="U4494" s="3"/>
      <c r="V4494" s="3"/>
      <c r="W4494" s="3"/>
      <c r="X4494" s="3"/>
      <c r="Y4494" s="4"/>
      <c r="Z4494"/>
      <c r="AA4494"/>
    </row>
    <row r="4495" spans="1:27" s="3" customFormat="1" x14ac:dyDescent="0.15">
      <c r="A4495" s="70"/>
      <c r="B4495" s="117"/>
      <c r="C4495" s="70"/>
      <c r="D4495" s="70"/>
      <c r="E4495" s="70"/>
      <c r="F4495" s="70"/>
      <c r="G4495" s="70"/>
      <c r="H4495" s="103"/>
      <c r="I4495" s="85"/>
      <c r="J4495" s="131"/>
      <c r="K4495" s="60"/>
      <c r="L4495" s="49"/>
      <c r="M4495" s="32"/>
      <c r="N4495" s="37"/>
      <c r="O4495" s="37"/>
      <c r="Y4495" s="4"/>
      <c r="Z4495"/>
      <c r="AA4495"/>
    </row>
    <row r="4496" spans="1:27" s="3" customFormat="1" x14ac:dyDescent="0.15">
      <c r="A4496" s="70"/>
      <c r="B4496" s="117"/>
      <c r="C4496" s="70"/>
      <c r="D4496" s="70"/>
      <c r="E4496" s="73"/>
      <c r="F4496" s="70"/>
      <c r="G4496" s="70"/>
      <c r="H4496" s="85"/>
      <c r="I4496" s="85"/>
      <c r="J4496" s="131"/>
      <c r="K4496" s="60"/>
      <c r="L4496" s="33"/>
      <c r="M4496" s="37"/>
      <c r="N4496" s="37"/>
      <c r="O4496" s="37"/>
      <c r="Y4496" s="4"/>
      <c r="Z4496"/>
      <c r="AA4496"/>
    </row>
    <row r="4497" spans="1:27" s="3" customFormat="1" x14ac:dyDescent="0.15">
      <c r="A4497" s="70"/>
      <c r="B4497" s="117"/>
      <c r="C4497" s="70"/>
      <c r="D4497" s="70"/>
      <c r="E4497" s="73"/>
      <c r="F4497" s="70"/>
      <c r="G4497" s="70"/>
      <c r="H4497" s="103"/>
      <c r="I4497" s="85"/>
      <c r="J4497" s="131"/>
      <c r="K4497" s="60"/>
      <c r="L4497" s="49"/>
      <c r="M4497" s="32"/>
      <c r="N4497" s="37"/>
      <c r="O4497" s="37"/>
      <c r="Y4497" s="4"/>
      <c r="Z4497"/>
      <c r="AA4497"/>
    </row>
    <row r="4498" spans="1:27" s="3" customFormat="1" x14ac:dyDescent="0.15">
      <c r="A4498" s="70"/>
      <c r="B4498" s="117"/>
      <c r="C4498" s="70"/>
      <c r="D4498" s="70"/>
      <c r="E4498" s="70"/>
      <c r="F4498" s="70"/>
      <c r="G4498" s="70"/>
      <c r="H4498" s="85"/>
      <c r="I4498" s="85"/>
      <c r="J4498" s="131"/>
      <c r="K4498" s="60"/>
      <c r="L4498" s="37"/>
      <c r="M4498" s="37"/>
      <c r="N4498" s="37"/>
      <c r="O4498" s="37"/>
      <c r="Y4498" s="4"/>
      <c r="Z4498"/>
      <c r="AA4498"/>
    </row>
    <row r="4499" spans="1:27" s="3" customFormat="1" x14ac:dyDescent="0.15">
      <c r="A4499" s="70"/>
      <c r="B4499" s="117"/>
      <c r="C4499" s="70"/>
      <c r="D4499" s="70"/>
      <c r="E4499" s="70"/>
      <c r="F4499" s="70"/>
      <c r="G4499" s="70"/>
      <c r="H4499" s="85"/>
      <c r="I4499" s="85"/>
      <c r="J4499" s="131"/>
      <c r="K4499" s="60"/>
      <c r="L4499" s="37"/>
      <c r="M4499" s="37"/>
      <c r="N4499" s="37"/>
      <c r="O4499" s="37"/>
      <c r="Y4499" s="4"/>
      <c r="Z4499"/>
      <c r="AA4499"/>
    </row>
    <row r="4500" spans="1:27" s="3" customFormat="1" x14ac:dyDescent="0.15">
      <c r="A4500" s="70"/>
      <c r="B4500" s="117"/>
      <c r="C4500" s="70"/>
      <c r="D4500" s="70"/>
      <c r="E4500" s="70"/>
      <c r="F4500" s="70"/>
      <c r="G4500" s="70"/>
      <c r="H4500" s="85"/>
      <c r="I4500" s="85"/>
      <c r="J4500" s="131"/>
      <c r="K4500" s="60"/>
      <c r="L4500" s="37"/>
      <c r="M4500" s="37"/>
      <c r="N4500" s="37"/>
      <c r="O4500" s="37"/>
      <c r="Y4500" s="4"/>
      <c r="Z4500"/>
      <c r="AA4500"/>
    </row>
    <row r="4501" spans="1:27" s="3" customFormat="1" x14ac:dyDescent="0.15">
      <c r="A4501" s="70"/>
      <c r="B4501" s="117"/>
      <c r="C4501" s="70"/>
      <c r="D4501" s="70"/>
      <c r="E4501" s="70"/>
      <c r="F4501" s="70"/>
      <c r="G4501" s="70"/>
      <c r="H4501" s="85"/>
      <c r="I4501" s="85"/>
      <c r="J4501" s="131"/>
      <c r="K4501" s="60"/>
      <c r="L4501" s="49"/>
      <c r="M4501" s="37"/>
      <c r="N4501" s="37"/>
      <c r="O4501" s="37"/>
      <c r="Y4501" s="4"/>
      <c r="Z4501"/>
      <c r="AA4501"/>
    </row>
    <row r="4502" spans="1:27" s="3" customFormat="1" x14ac:dyDescent="0.15">
      <c r="A4502" s="70"/>
      <c r="B4502" s="117"/>
      <c r="C4502" s="70"/>
      <c r="D4502" s="70"/>
      <c r="E4502" s="70"/>
      <c r="F4502" s="70"/>
      <c r="G4502" s="70"/>
      <c r="H4502" s="85"/>
      <c r="I4502" s="85"/>
      <c r="J4502" s="135"/>
      <c r="K4502" s="60"/>
      <c r="L4502" s="37"/>
      <c r="M4502" s="37"/>
      <c r="N4502" s="37"/>
      <c r="O4502" s="37"/>
      <c r="Y4502" s="4"/>
      <c r="Z4502"/>
      <c r="AA4502"/>
    </row>
    <row r="4503" spans="1:27" s="3" customFormat="1" x14ac:dyDescent="0.15">
      <c r="A4503" s="70"/>
      <c r="B4503" s="117"/>
      <c r="C4503" s="70"/>
      <c r="D4503" s="70"/>
      <c r="E4503" s="70"/>
      <c r="F4503" s="70"/>
      <c r="G4503" s="70"/>
      <c r="H4503" s="85"/>
      <c r="I4503" s="85"/>
      <c r="J4503" s="131"/>
      <c r="K4503" s="60"/>
      <c r="L4503" s="33"/>
      <c r="M4503" s="37"/>
      <c r="N4503" s="37"/>
      <c r="O4503" s="37"/>
      <c r="P4503" s="6"/>
      <c r="Q4503" s="6"/>
      <c r="Y4503" s="4"/>
      <c r="Z4503"/>
      <c r="AA4503"/>
    </row>
    <row r="4504" spans="1:27" s="3" customFormat="1" x14ac:dyDescent="0.15">
      <c r="A4504" s="70"/>
      <c r="B4504" s="118"/>
      <c r="C4504" s="70"/>
      <c r="D4504" s="70"/>
      <c r="E4504" s="70"/>
      <c r="F4504" s="70"/>
      <c r="G4504" s="70"/>
      <c r="H4504" s="85"/>
      <c r="I4504" s="85"/>
      <c r="J4504" s="131"/>
      <c r="K4504" s="60"/>
      <c r="L4504" s="33"/>
      <c r="M4504" s="37"/>
      <c r="N4504" s="37"/>
      <c r="O4504" s="37"/>
      <c r="P4504" s="6"/>
      <c r="Q4504" s="6"/>
      <c r="Y4504" s="4"/>
      <c r="Z4504"/>
      <c r="AA4504"/>
    </row>
    <row r="4505" spans="1:27" s="3" customFormat="1" x14ac:dyDescent="0.15">
      <c r="A4505" s="70"/>
      <c r="B4505" s="117"/>
      <c r="C4505" s="70"/>
      <c r="D4505" s="70"/>
      <c r="E4505" s="70"/>
      <c r="F4505" s="70"/>
      <c r="G4505" s="70"/>
      <c r="H4505" s="85"/>
      <c r="I4505" s="85"/>
      <c r="J4505" s="131"/>
      <c r="K4505" s="60"/>
      <c r="L4505" s="33"/>
      <c r="M4505" s="37"/>
      <c r="N4505" s="37"/>
      <c r="O4505" s="37"/>
      <c r="P4505" s="6"/>
      <c r="Q4505" s="6"/>
      <c r="Y4505" s="4"/>
      <c r="Z4505"/>
      <c r="AA4505"/>
    </row>
    <row r="4506" spans="1:27" s="3" customFormat="1" ht="16" x14ac:dyDescent="0.2">
      <c r="A4506" s="70"/>
      <c r="B4506" s="117"/>
      <c r="C4506" s="70"/>
      <c r="D4506" s="70"/>
      <c r="E4506" s="70"/>
      <c r="F4506" s="70"/>
      <c r="G4506" s="70"/>
      <c r="H4506" s="85"/>
      <c r="I4506" s="85"/>
      <c r="J4506" s="131"/>
      <c r="K4506" s="60"/>
      <c r="L4506" s="33"/>
      <c r="M4506" s="48"/>
      <c r="N4506" s="37"/>
      <c r="O4506" s="37"/>
      <c r="P4506" s="6"/>
      <c r="Q4506" s="6"/>
      <c r="Y4506" s="4"/>
      <c r="Z4506"/>
      <c r="AA4506"/>
    </row>
    <row r="4507" spans="1:27" s="3" customFormat="1" x14ac:dyDescent="0.15">
      <c r="A4507" s="70"/>
      <c r="B4507" s="117"/>
      <c r="C4507" s="70"/>
      <c r="D4507" s="70"/>
      <c r="E4507" s="70"/>
      <c r="F4507" s="70"/>
      <c r="G4507" s="70"/>
      <c r="H4507" s="85"/>
      <c r="I4507" s="85"/>
      <c r="J4507" s="131"/>
      <c r="K4507" s="60"/>
      <c r="L4507" s="33"/>
      <c r="M4507" s="37"/>
      <c r="N4507" s="37"/>
      <c r="O4507" s="37"/>
      <c r="P4507"/>
      <c r="Q4507"/>
      <c r="Y4507" s="4"/>
      <c r="Z4507"/>
      <c r="AA4507"/>
    </row>
    <row r="4508" spans="1:27" s="3" customFormat="1" x14ac:dyDescent="0.15">
      <c r="A4508" s="70"/>
      <c r="B4508" s="117"/>
      <c r="C4508" s="70"/>
      <c r="D4508" s="70"/>
      <c r="E4508" s="70"/>
      <c r="F4508" s="70"/>
      <c r="G4508" s="70"/>
      <c r="H4508" s="85"/>
      <c r="I4508" s="85"/>
      <c r="J4508" s="131"/>
      <c r="K4508" s="70"/>
      <c r="L4508" s="33"/>
      <c r="M4508" s="37"/>
      <c r="N4508" s="37"/>
      <c r="O4508" s="37"/>
      <c r="P4508"/>
      <c r="Q4508"/>
      <c r="Y4508" s="4"/>
      <c r="Z4508"/>
      <c r="AA4508"/>
    </row>
    <row r="4509" spans="1:27" s="3" customFormat="1" x14ac:dyDescent="0.15">
      <c r="A4509" s="70"/>
      <c r="B4509" s="117"/>
      <c r="C4509" s="70"/>
      <c r="D4509" s="70"/>
      <c r="E4509" s="70"/>
      <c r="F4509" s="70"/>
      <c r="G4509" s="70"/>
      <c r="H4509" s="85"/>
      <c r="I4509" s="85"/>
      <c r="J4509" s="131"/>
      <c r="K4509" s="60"/>
      <c r="L4509" s="33"/>
      <c r="M4509" s="37"/>
      <c r="N4509" s="37"/>
      <c r="O4509" s="37"/>
      <c r="P4509"/>
      <c r="Q4509"/>
      <c r="Y4509" s="4"/>
      <c r="Z4509"/>
      <c r="AA4509"/>
    </row>
    <row r="4510" spans="1:27" s="3" customFormat="1" x14ac:dyDescent="0.15">
      <c r="A4510" s="70"/>
      <c r="B4510" s="117"/>
      <c r="C4510" s="73"/>
      <c r="D4510" s="73"/>
      <c r="E4510" s="73"/>
      <c r="F4510" s="73"/>
      <c r="G4510" s="73"/>
      <c r="H4510" s="103"/>
      <c r="I4510" s="95"/>
      <c r="J4510" s="131"/>
      <c r="K4510" s="60"/>
      <c r="L4510" s="37"/>
      <c r="M4510" s="37"/>
      <c r="N4510" s="37"/>
      <c r="O4510" s="37"/>
      <c r="P4510"/>
      <c r="Q4510"/>
      <c r="Y4510" s="4"/>
      <c r="Z4510"/>
      <c r="AA4510"/>
    </row>
    <row r="4511" spans="1:27" s="3" customFormat="1" x14ac:dyDescent="0.15">
      <c r="A4511" s="70"/>
      <c r="B4511" s="117"/>
      <c r="C4511" s="70"/>
      <c r="D4511" s="70"/>
      <c r="E4511" s="70"/>
      <c r="F4511" s="70"/>
      <c r="G4511" s="70"/>
      <c r="H4511" s="85"/>
      <c r="I4511" s="85"/>
      <c r="J4511" s="131"/>
      <c r="K4511" s="60"/>
      <c r="L4511" s="37"/>
      <c r="M4511" s="37"/>
      <c r="N4511" s="37"/>
      <c r="O4511" s="37"/>
      <c r="P4511"/>
      <c r="Q4511"/>
      <c r="Y4511" s="4"/>
      <c r="Z4511"/>
      <c r="AA4511"/>
    </row>
    <row r="4512" spans="1:27" s="3" customFormat="1" x14ac:dyDescent="0.15">
      <c r="A4512" s="70"/>
      <c r="B4512" s="117"/>
      <c r="C4512" s="70"/>
      <c r="D4512" s="70"/>
      <c r="E4512" s="70"/>
      <c r="F4512" s="70"/>
      <c r="G4512" s="70"/>
      <c r="H4512" s="85"/>
      <c r="I4512" s="85"/>
      <c r="J4512" s="131"/>
      <c r="K4512" s="60"/>
      <c r="L4512" s="37"/>
      <c r="M4512" s="32"/>
      <c r="N4512" s="37"/>
      <c r="O4512" s="37"/>
      <c r="P4512"/>
      <c r="Q4512"/>
      <c r="Y4512" s="4"/>
      <c r="Z4512"/>
      <c r="AA4512"/>
    </row>
    <row r="4513" spans="1:27" s="3" customFormat="1" x14ac:dyDescent="0.15">
      <c r="A4513" s="70"/>
      <c r="B4513" s="117"/>
      <c r="C4513" s="70"/>
      <c r="D4513" s="70"/>
      <c r="E4513" s="70"/>
      <c r="F4513" s="70"/>
      <c r="G4513" s="70"/>
      <c r="H4513" s="85"/>
      <c r="I4513" s="85"/>
      <c r="J4513" s="131"/>
      <c r="K4513" s="60"/>
      <c r="L4513" s="33"/>
      <c r="M4513" s="37"/>
      <c r="N4513" s="37"/>
      <c r="O4513" s="37"/>
      <c r="P4513"/>
      <c r="Q4513"/>
      <c r="Y4513" s="4"/>
      <c r="Z4513"/>
      <c r="AA4513"/>
    </row>
    <row r="4514" spans="1:27" s="3" customFormat="1" x14ac:dyDescent="0.15">
      <c r="A4514" s="70"/>
      <c r="B4514" s="117"/>
      <c r="C4514" s="70"/>
      <c r="D4514" s="70"/>
      <c r="E4514" s="70"/>
      <c r="F4514" s="70"/>
      <c r="G4514" s="70"/>
      <c r="H4514" s="85"/>
      <c r="I4514" s="85"/>
      <c r="J4514" s="131"/>
      <c r="K4514" s="60"/>
      <c r="L4514" s="37"/>
      <c r="M4514" s="37"/>
      <c r="N4514" s="37"/>
      <c r="O4514" s="37"/>
      <c r="P4514"/>
      <c r="Q4514"/>
      <c r="Y4514" s="4"/>
      <c r="Z4514"/>
      <c r="AA4514"/>
    </row>
    <row r="4515" spans="1:27" s="3" customFormat="1" x14ac:dyDescent="0.15">
      <c r="A4515" s="70"/>
      <c r="B4515" s="117"/>
      <c r="C4515" s="70"/>
      <c r="D4515" s="70"/>
      <c r="E4515" s="70"/>
      <c r="F4515" s="70"/>
      <c r="G4515" s="70"/>
      <c r="H4515" s="85"/>
      <c r="I4515" s="85"/>
      <c r="J4515" s="131"/>
      <c r="K4515" s="70"/>
      <c r="L4515" s="37"/>
      <c r="M4515" s="37"/>
      <c r="N4515" s="37"/>
      <c r="O4515" s="37"/>
      <c r="Y4515" s="4"/>
      <c r="Z4515"/>
      <c r="AA4515"/>
    </row>
    <row r="4516" spans="1:27" s="3" customFormat="1" x14ac:dyDescent="0.15">
      <c r="A4516" s="70"/>
      <c r="B4516" s="117"/>
      <c r="C4516" s="70"/>
      <c r="D4516" s="70"/>
      <c r="E4516" s="70"/>
      <c r="F4516" s="70"/>
      <c r="G4516" s="70"/>
      <c r="H4516" s="85"/>
      <c r="I4516" s="85"/>
      <c r="J4516" s="142"/>
      <c r="K4516" s="70"/>
      <c r="L4516" s="37"/>
      <c r="M4516" s="37"/>
      <c r="N4516" s="37"/>
      <c r="O4516" s="37"/>
      <c r="Y4516" s="4"/>
      <c r="Z4516"/>
      <c r="AA4516"/>
    </row>
    <row r="4517" spans="1:27" s="3" customFormat="1" x14ac:dyDescent="0.15">
      <c r="A4517" s="70"/>
      <c r="B4517" s="117"/>
      <c r="C4517" s="73"/>
      <c r="D4517" s="73"/>
      <c r="E4517" s="73"/>
      <c r="F4517" s="73"/>
      <c r="G4517" s="73"/>
      <c r="H4517" s="103"/>
      <c r="I4517" s="95"/>
      <c r="J4517" s="131"/>
      <c r="K4517" s="60"/>
      <c r="L4517" s="37"/>
      <c r="M4517" s="37"/>
      <c r="N4517" s="37"/>
      <c r="O4517" s="37"/>
      <c r="Y4517" s="4"/>
      <c r="Z4517"/>
      <c r="AA4517"/>
    </row>
    <row r="4518" spans="1:27" s="3" customFormat="1" x14ac:dyDescent="0.15">
      <c r="A4518" s="70"/>
      <c r="B4518" s="117"/>
      <c r="C4518" s="70"/>
      <c r="D4518" s="70"/>
      <c r="E4518" s="70"/>
      <c r="F4518" s="70"/>
      <c r="G4518" s="70"/>
      <c r="H4518" s="85"/>
      <c r="I4518" s="85"/>
      <c r="J4518" s="131"/>
      <c r="K4518" s="60"/>
      <c r="L4518" s="37"/>
      <c r="M4518" s="37"/>
      <c r="N4518" s="37"/>
      <c r="O4518" s="37"/>
      <c r="Y4518" s="4"/>
      <c r="Z4518"/>
      <c r="AA4518"/>
    </row>
    <row r="4519" spans="1:27" s="3" customFormat="1" x14ac:dyDescent="0.15">
      <c r="A4519" s="70"/>
      <c r="B4519" s="117"/>
      <c r="C4519" s="70"/>
      <c r="D4519" s="70"/>
      <c r="E4519" s="70"/>
      <c r="F4519" s="70"/>
      <c r="G4519" s="70"/>
      <c r="H4519" s="85"/>
      <c r="I4519" s="85"/>
      <c r="J4519" s="131"/>
      <c r="K4519" s="60"/>
      <c r="L4519" s="37"/>
      <c r="M4519" s="37"/>
      <c r="N4519" s="37"/>
      <c r="O4519" s="37"/>
      <c r="Y4519" s="4"/>
      <c r="Z4519"/>
      <c r="AA4519"/>
    </row>
    <row r="4520" spans="1:27" s="3" customFormat="1" x14ac:dyDescent="0.15">
      <c r="A4520" s="70"/>
      <c r="B4520" s="117"/>
      <c r="C4520" s="70"/>
      <c r="D4520" s="70"/>
      <c r="E4520" s="70"/>
      <c r="F4520" s="70"/>
      <c r="G4520" s="70"/>
      <c r="H4520" s="85"/>
      <c r="I4520" s="85"/>
      <c r="J4520" s="131"/>
      <c r="K4520" s="60"/>
      <c r="L4520" s="37"/>
      <c r="M4520" s="37"/>
      <c r="N4520" s="37"/>
      <c r="O4520" s="37"/>
      <c r="Y4520" s="4"/>
      <c r="Z4520"/>
      <c r="AA4520"/>
    </row>
    <row r="4521" spans="1:27" s="3" customFormat="1" x14ac:dyDescent="0.15">
      <c r="A4521" s="70"/>
      <c r="B4521" s="117"/>
      <c r="C4521" s="70"/>
      <c r="D4521" s="70"/>
      <c r="E4521" s="70"/>
      <c r="F4521" s="70"/>
      <c r="G4521" s="70"/>
      <c r="H4521" s="85"/>
      <c r="I4521" s="85"/>
      <c r="J4521" s="131"/>
      <c r="K4521" s="60"/>
      <c r="L4521" s="37"/>
      <c r="M4521" s="37"/>
      <c r="N4521" s="37"/>
      <c r="O4521" s="37"/>
      <c r="Y4521" s="4"/>
      <c r="Z4521"/>
      <c r="AA4521"/>
    </row>
    <row r="4522" spans="1:27" s="3" customFormat="1" x14ac:dyDescent="0.15">
      <c r="A4522" s="70"/>
      <c r="B4522" s="117"/>
      <c r="C4522" s="70"/>
      <c r="D4522" s="70"/>
      <c r="E4522" s="70"/>
      <c r="F4522" s="70"/>
      <c r="G4522" s="70"/>
      <c r="H4522" s="85"/>
      <c r="I4522" s="85"/>
      <c r="J4522" s="131"/>
      <c r="K4522" s="60"/>
      <c r="L4522" s="37"/>
      <c r="M4522" s="37"/>
      <c r="N4522" s="37"/>
      <c r="O4522" s="37"/>
      <c r="Y4522" s="4"/>
      <c r="Z4522"/>
      <c r="AA4522"/>
    </row>
    <row r="4523" spans="1:27" s="3" customFormat="1" x14ac:dyDescent="0.15">
      <c r="A4523" s="70"/>
      <c r="B4523" s="117"/>
      <c r="C4523" s="70"/>
      <c r="D4523" s="70"/>
      <c r="E4523" s="70"/>
      <c r="F4523" s="70"/>
      <c r="G4523" s="70"/>
      <c r="H4523" s="85"/>
      <c r="I4523" s="85"/>
      <c r="J4523" s="131"/>
      <c r="K4523" s="60"/>
      <c r="L4523" s="33"/>
      <c r="M4523" s="37"/>
      <c r="N4523" s="37"/>
      <c r="O4523" s="37"/>
      <c r="Y4523" s="4"/>
      <c r="Z4523"/>
      <c r="AA4523"/>
    </row>
    <row r="4524" spans="1:27" s="3" customFormat="1" x14ac:dyDescent="0.15">
      <c r="A4524" s="70"/>
      <c r="B4524" s="117"/>
      <c r="C4524" s="70"/>
      <c r="D4524" s="70"/>
      <c r="E4524" s="70"/>
      <c r="F4524" s="70"/>
      <c r="G4524" s="70"/>
      <c r="H4524" s="85"/>
      <c r="I4524" s="85"/>
      <c r="J4524" s="131"/>
      <c r="K4524" s="60"/>
      <c r="L4524" s="33"/>
      <c r="M4524" s="37"/>
      <c r="N4524" s="37"/>
      <c r="O4524" s="37"/>
      <c r="Y4524" s="4"/>
      <c r="Z4524"/>
      <c r="AA4524"/>
    </row>
    <row r="4525" spans="1:27" s="3" customFormat="1" x14ac:dyDescent="0.15">
      <c r="A4525" s="70"/>
      <c r="B4525" s="117"/>
      <c r="C4525" s="70"/>
      <c r="D4525" s="70"/>
      <c r="E4525" s="70"/>
      <c r="F4525" s="70"/>
      <c r="G4525" s="70"/>
      <c r="H4525" s="85"/>
      <c r="I4525" s="85"/>
      <c r="J4525" s="131"/>
      <c r="K4525" s="60"/>
      <c r="L4525" s="33"/>
      <c r="M4525" s="37"/>
      <c r="N4525" s="37"/>
      <c r="O4525" s="37"/>
      <c r="Y4525" s="4"/>
      <c r="Z4525"/>
      <c r="AA4525"/>
    </row>
    <row r="4526" spans="1:27" s="3" customFormat="1" x14ac:dyDescent="0.15">
      <c r="A4526" s="70"/>
      <c r="B4526" s="117"/>
      <c r="C4526" s="70"/>
      <c r="D4526" s="70"/>
      <c r="E4526" s="73"/>
      <c r="F4526" s="70"/>
      <c r="G4526" s="70"/>
      <c r="H4526" s="85"/>
      <c r="I4526" s="85"/>
      <c r="J4526" s="131"/>
      <c r="K4526" s="60"/>
      <c r="L4526" s="33"/>
      <c r="M4526" s="37"/>
      <c r="N4526" s="37"/>
      <c r="O4526" s="37"/>
      <c r="Y4526" s="4"/>
      <c r="Z4526"/>
      <c r="AA4526"/>
    </row>
    <row r="4527" spans="1:27" s="3" customFormat="1" x14ac:dyDescent="0.15">
      <c r="A4527" s="70"/>
      <c r="B4527" s="118"/>
      <c r="C4527" s="70"/>
      <c r="D4527" s="70"/>
      <c r="E4527" s="70"/>
      <c r="F4527" s="70"/>
      <c r="G4527" s="70"/>
      <c r="H4527" s="85"/>
      <c r="I4527" s="85"/>
      <c r="J4527" s="131"/>
      <c r="K4527" s="60"/>
      <c r="L4527" s="33"/>
      <c r="M4527" s="37"/>
      <c r="N4527" s="37"/>
      <c r="O4527" s="37"/>
      <c r="Y4527" s="4"/>
      <c r="Z4527"/>
      <c r="AA4527"/>
    </row>
    <row r="4528" spans="1:27" s="3" customFormat="1" x14ac:dyDescent="0.15">
      <c r="A4528" s="70"/>
      <c r="B4528" s="117"/>
      <c r="C4528" s="70"/>
      <c r="D4528" s="70"/>
      <c r="E4528" s="70"/>
      <c r="F4528" s="70"/>
      <c r="G4528" s="70"/>
      <c r="H4528" s="85"/>
      <c r="I4528" s="85"/>
      <c r="J4528" s="131"/>
      <c r="K4528" s="60"/>
      <c r="L4528" s="33"/>
      <c r="M4528" s="37"/>
      <c r="N4528" s="37"/>
      <c r="O4528" s="37"/>
      <c r="Y4528" s="4"/>
      <c r="Z4528"/>
      <c r="AA4528"/>
    </row>
    <row r="4529" spans="1:27" s="3" customFormat="1" x14ac:dyDescent="0.15">
      <c r="A4529" s="70"/>
      <c r="B4529" s="117"/>
      <c r="C4529" s="73"/>
      <c r="D4529" s="73"/>
      <c r="E4529" s="73"/>
      <c r="F4529" s="73"/>
      <c r="G4529" s="73"/>
      <c r="H4529" s="85"/>
      <c r="I4529" s="85"/>
      <c r="J4529" s="134"/>
      <c r="K4529" s="60"/>
      <c r="L4529" s="33"/>
      <c r="M4529" s="37"/>
      <c r="N4529" s="37"/>
      <c r="O4529" s="37"/>
      <c r="Y4529" s="4"/>
      <c r="Z4529"/>
      <c r="AA4529"/>
    </row>
    <row r="4530" spans="1:27" s="3" customFormat="1" x14ac:dyDescent="0.15">
      <c r="A4530" s="70"/>
      <c r="B4530" s="117"/>
      <c r="C4530" s="70"/>
      <c r="D4530" s="70"/>
      <c r="E4530" s="70"/>
      <c r="F4530" s="70"/>
      <c r="G4530" s="70"/>
      <c r="H4530" s="85"/>
      <c r="I4530" s="85"/>
      <c r="J4530" s="131"/>
      <c r="K4530" s="60"/>
      <c r="L4530" s="33"/>
      <c r="M4530" s="37"/>
      <c r="N4530" s="37"/>
      <c r="O4530" s="37"/>
      <c r="Y4530" s="4"/>
      <c r="Z4530"/>
      <c r="AA4530"/>
    </row>
    <row r="4531" spans="1:27" s="3" customFormat="1" x14ac:dyDescent="0.15">
      <c r="A4531" s="70"/>
      <c r="B4531" s="117"/>
      <c r="C4531" s="70"/>
      <c r="D4531" s="70"/>
      <c r="E4531" s="70"/>
      <c r="F4531" s="70"/>
      <c r="G4531" s="70"/>
      <c r="H4531" s="85"/>
      <c r="I4531" s="85"/>
      <c r="J4531" s="131"/>
      <c r="K4531" s="60"/>
      <c r="L4531" s="33"/>
      <c r="M4531" s="37"/>
      <c r="N4531" s="37"/>
      <c r="O4531" s="37"/>
      <c r="Y4531" s="4"/>
      <c r="Z4531"/>
      <c r="AA4531"/>
    </row>
    <row r="4532" spans="1:27" s="3" customFormat="1" x14ac:dyDescent="0.15">
      <c r="A4532" s="70"/>
      <c r="B4532" s="117"/>
      <c r="C4532" s="70"/>
      <c r="D4532" s="70"/>
      <c r="E4532" s="70"/>
      <c r="F4532" s="70"/>
      <c r="G4532" s="70"/>
      <c r="H4532" s="85"/>
      <c r="I4532" s="85"/>
      <c r="J4532" s="131"/>
      <c r="K4532" s="60"/>
      <c r="L4532" s="33"/>
      <c r="M4532" s="37"/>
      <c r="N4532" s="37"/>
      <c r="O4532" s="37"/>
      <c r="Y4532" s="4"/>
      <c r="Z4532"/>
      <c r="AA4532"/>
    </row>
    <row r="4533" spans="1:27" s="3" customFormat="1" x14ac:dyDescent="0.15">
      <c r="A4533" s="70"/>
      <c r="B4533" s="117"/>
      <c r="C4533" s="70"/>
      <c r="D4533" s="70"/>
      <c r="E4533" s="70"/>
      <c r="F4533" s="70"/>
      <c r="G4533" s="70"/>
      <c r="H4533" s="85"/>
      <c r="I4533" s="85"/>
      <c r="J4533" s="131"/>
      <c r="K4533" s="60"/>
      <c r="L4533" s="33"/>
      <c r="M4533" s="37"/>
      <c r="N4533" s="37"/>
      <c r="O4533" s="37"/>
      <c r="Y4533" s="4"/>
      <c r="Z4533"/>
      <c r="AA4533"/>
    </row>
    <row r="4534" spans="1:27" s="3" customFormat="1" x14ac:dyDescent="0.15">
      <c r="A4534" s="70"/>
      <c r="B4534" s="117"/>
      <c r="C4534" s="70"/>
      <c r="D4534" s="70"/>
      <c r="E4534" s="73"/>
      <c r="F4534" s="70"/>
      <c r="G4534" s="70"/>
      <c r="H4534" s="85"/>
      <c r="I4534" s="85"/>
      <c r="J4534" s="131"/>
      <c r="K4534" s="60"/>
      <c r="L4534" s="33"/>
      <c r="M4534" s="37"/>
      <c r="N4534" s="37"/>
      <c r="O4534" s="37"/>
      <c r="Y4534" s="4"/>
      <c r="Z4534"/>
      <c r="AA4534"/>
    </row>
    <row r="4535" spans="1:27" s="3" customFormat="1" x14ac:dyDescent="0.15">
      <c r="A4535" s="70"/>
      <c r="B4535" s="117"/>
      <c r="C4535" s="70"/>
      <c r="D4535" s="70"/>
      <c r="E4535" s="70"/>
      <c r="F4535" s="70"/>
      <c r="G4535" s="70"/>
      <c r="H4535" s="85"/>
      <c r="I4535" s="85"/>
      <c r="J4535" s="131"/>
      <c r="K4535" s="70"/>
      <c r="L4535" s="33"/>
      <c r="M4535" s="37"/>
      <c r="N4535" s="37"/>
      <c r="O4535" s="37"/>
      <c r="Y4535" s="4"/>
      <c r="Z4535"/>
      <c r="AA4535"/>
    </row>
    <row r="4536" spans="1:27" s="3" customFormat="1" x14ac:dyDescent="0.15">
      <c r="A4536" s="70"/>
      <c r="B4536" s="117"/>
      <c r="C4536" s="70"/>
      <c r="D4536" s="70"/>
      <c r="E4536" s="73"/>
      <c r="F4536" s="70"/>
      <c r="G4536" s="70"/>
      <c r="H4536" s="85"/>
      <c r="I4536" s="85"/>
      <c r="J4536" s="131"/>
      <c r="K4536" s="60"/>
      <c r="L4536" s="33"/>
      <c r="M4536" s="37"/>
      <c r="N4536" s="37"/>
      <c r="O4536" s="37"/>
      <c r="Y4536" s="4"/>
      <c r="Z4536"/>
      <c r="AA4536"/>
    </row>
    <row r="4537" spans="1:27" s="3" customFormat="1" x14ac:dyDescent="0.15">
      <c r="A4537" s="70"/>
      <c r="B4537" s="117"/>
      <c r="C4537" s="70"/>
      <c r="D4537" s="70"/>
      <c r="E4537" s="73"/>
      <c r="F4537" s="70"/>
      <c r="G4537" s="70"/>
      <c r="H4537" s="85"/>
      <c r="I4537" s="85"/>
      <c r="J4537" s="131"/>
      <c r="K4537" s="60"/>
      <c r="L4537" s="33"/>
      <c r="M4537" s="37"/>
      <c r="N4537" s="37"/>
      <c r="O4537" s="37"/>
      <c r="P4537" s="6"/>
      <c r="Q4537" s="6"/>
      <c r="Y4537" s="4"/>
      <c r="Z4537"/>
      <c r="AA4537"/>
    </row>
    <row r="4538" spans="1:27" s="3" customFormat="1" x14ac:dyDescent="0.15">
      <c r="A4538" s="70"/>
      <c r="B4538" s="117"/>
      <c r="C4538" s="70"/>
      <c r="D4538" s="70"/>
      <c r="E4538" s="70"/>
      <c r="F4538" s="70"/>
      <c r="G4538" s="70"/>
      <c r="H4538" s="85"/>
      <c r="I4538" s="85"/>
      <c r="J4538" s="131"/>
      <c r="K4538" s="60"/>
      <c r="L4538" s="33"/>
      <c r="M4538" s="37"/>
      <c r="N4538" s="37"/>
      <c r="O4538" s="37"/>
      <c r="P4538" s="6"/>
      <c r="Q4538" s="6"/>
      <c r="Y4538" s="4"/>
      <c r="Z4538"/>
      <c r="AA4538"/>
    </row>
    <row r="4539" spans="1:27" s="3" customFormat="1" x14ac:dyDescent="0.15">
      <c r="A4539" s="83"/>
      <c r="B4539" s="117"/>
      <c r="C4539" s="70"/>
      <c r="D4539" s="70"/>
      <c r="E4539" s="70"/>
      <c r="F4539" s="70"/>
      <c r="G4539" s="70"/>
      <c r="H4539" s="85"/>
      <c r="I4539" s="85"/>
      <c r="J4539" s="131"/>
      <c r="K4539" s="60"/>
      <c r="L4539" s="33"/>
      <c r="M4539" s="37"/>
      <c r="N4539" s="37"/>
      <c r="O4539" s="37"/>
      <c r="P4539" s="6"/>
      <c r="Q4539" s="6"/>
      <c r="Y4539" s="4"/>
      <c r="Z4539"/>
      <c r="AA4539"/>
    </row>
    <row r="4540" spans="1:27" s="3" customFormat="1" x14ac:dyDescent="0.15">
      <c r="A4540" s="70"/>
      <c r="B4540" s="117"/>
      <c r="C4540" s="70"/>
      <c r="D4540" s="70"/>
      <c r="E4540" s="70"/>
      <c r="F4540" s="70"/>
      <c r="G4540" s="70"/>
      <c r="H4540" s="85"/>
      <c r="I4540" s="85"/>
      <c r="J4540" s="131"/>
      <c r="K4540" s="60"/>
      <c r="L4540" s="33"/>
      <c r="M4540" s="37"/>
      <c r="N4540" s="37"/>
      <c r="O4540" s="37"/>
      <c r="P4540" s="6"/>
      <c r="Q4540" s="6"/>
      <c r="Y4540" s="4"/>
      <c r="Z4540"/>
      <c r="AA4540"/>
    </row>
    <row r="4541" spans="1:27" s="3" customFormat="1" x14ac:dyDescent="0.15">
      <c r="A4541" s="70"/>
      <c r="B4541" s="117"/>
      <c r="C4541" s="70"/>
      <c r="D4541" s="70"/>
      <c r="E4541" s="70"/>
      <c r="F4541" s="70"/>
      <c r="G4541" s="70"/>
      <c r="H4541" s="85"/>
      <c r="I4541" s="85"/>
      <c r="J4541" s="131"/>
      <c r="K4541" s="60"/>
      <c r="L4541" s="37"/>
      <c r="M4541" s="37"/>
      <c r="N4541" s="37"/>
      <c r="O4541" s="37"/>
      <c r="P4541" s="6"/>
      <c r="Q4541" s="6"/>
      <c r="Y4541" s="4"/>
      <c r="Z4541"/>
      <c r="AA4541"/>
    </row>
    <row r="4542" spans="1:27" s="3" customFormat="1" x14ac:dyDescent="0.15">
      <c r="A4542" s="70"/>
      <c r="B4542" s="117"/>
      <c r="C4542" s="70"/>
      <c r="D4542" s="70"/>
      <c r="E4542" s="70"/>
      <c r="F4542" s="70"/>
      <c r="G4542" s="70"/>
      <c r="H4542" s="85"/>
      <c r="I4542" s="85"/>
      <c r="J4542" s="131"/>
      <c r="K4542" s="60"/>
      <c r="L4542" s="33"/>
      <c r="M4542" s="37"/>
      <c r="N4542" s="37"/>
      <c r="O4542" s="37"/>
      <c r="P4542" s="6"/>
      <c r="Q4542" s="6"/>
      <c r="Y4542" s="4"/>
      <c r="Z4542"/>
      <c r="AA4542"/>
    </row>
    <row r="4543" spans="1:27" s="3" customFormat="1" x14ac:dyDescent="0.15">
      <c r="A4543" s="70"/>
      <c r="B4543" s="117"/>
      <c r="C4543" s="70"/>
      <c r="D4543" s="70"/>
      <c r="E4543" s="70"/>
      <c r="F4543" s="70"/>
      <c r="G4543" s="70"/>
      <c r="H4543" s="103"/>
      <c r="I4543" s="85"/>
      <c r="J4543" s="131"/>
      <c r="K4543" s="60"/>
      <c r="L4543" s="37"/>
      <c r="M4543" s="37"/>
      <c r="N4543" s="37"/>
      <c r="O4543" s="37"/>
      <c r="P4543" s="6"/>
      <c r="Q4543" s="6"/>
      <c r="Y4543" s="4"/>
      <c r="Z4543"/>
      <c r="AA4543"/>
    </row>
    <row r="4544" spans="1:27" s="3" customFormat="1" x14ac:dyDescent="0.15">
      <c r="A4544" s="70"/>
      <c r="B4544" s="118"/>
      <c r="C4544" s="70"/>
      <c r="D4544" s="70"/>
      <c r="E4544" s="70"/>
      <c r="F4544" s="70"/>
      <c r="G4544" s="70"/>
      <c r="H4544" s="85"/>
      <c r="I4544" s="85"/>
      <c r="J4544" s="131"/>
      <c r="K4544" s="60"/>
      <c r="L4544" s="33"/>
      <c r="M4544" s="37"/>
      <c r="N4544" s="37"/>
      <c r="O4544" s="37"/>
      <c r="P4544" s="6"/>
      <c r="Q4544" s="6"/>
      <c r="Y4544" s="4"/>
      <c r="Z4544"/>
      <c r="AA4544"/>
    </row>
    <row r="4545" spans="1:27" s="3" customFormat="1" x14ac:dyDescent="0.15">
      <c r="A4545" s="62"/>
      <c r="B4545" s="117"/>
      <c r="C4545" s="70"/>
      <c r="D4545" s="70"/>
      <c r="E4545" s="70"/>
      <c r="F4545" s="70"/>
      <c r="G4545" s="70"/>
      <c r="H4545" s="85"/>
      <c r="I4545" s="85"/>
      <c r="J4545" s="131"/>
      <c r="K4545" s="60"/>
      <c r="L4545" s="37"/>
      <c r="M4545" s="37"/>
      <c r="N4545" s="37"/>
      <c r="O4545" s="37"/>
      <c r="P4545" s="6"/>
      <c r="Q4545" s="6"/>
      <c r="Y4545" s="4"/>
      <c r="Z4545"/>
      <c r="AA4545"/>
    </row>
    <row r="4546" spans="1:27" s="3" customFormat="1" ht="16" x14ac:dyDescent="0.2">
      <c r="A4546" s="70"/>
      <c r="B4546" s="118"/>
      <c r="C4546" s="73"/>
      <c r="D4546" s="73"/>
      <c r="E4546" s="73"/>
      <c r="F4546" s="73"/>
      <c r="G4546" s="73"/>
      <c r="H4546" s="85"/>
      <c r="I4546" s="85"/>
      <c r="J4546" s="134"/>
      <c r="K4546" s="67"/>
      <c r="L4546" s="47"/>
      <c r="M4546" s="37"/>
      <c r="N4546" s="37"/>
      <c r="O4546" s="37"/>
      <c r="P4546" s="6"/>
      <c r="Q4546" s="6"/>
      <c r="Y4546" s="4"/>
      <c r="Z4546"/>
      <c r="AA4546"/>
    </row>
    <row r="4547" spans="1:27" s="3" customFormat="1" ht="16" x14ac:dyDescent="0.2">
      <c r="A4547" s="62"/>
      <c r="B4547" s="117"/>
      <c r="C4547" s="70"/>
      <c r="D4547" s="70"/>
      <c r="E4547" s="70"/>
      <c r="F4547" s="70"/>
      <c r="G4547" s="70"/>
      <c r="H4547" s="85"/>
      <c r="I4547" s="85"/>
      <c r="J4547" s="131"/>
      <c r="K4547" s="60"/>
      <c r="L4547" s="48"/>
      <c r="M4547" s="37"/>
      <c r="N4547" s="37"/>
      <c r="O4547" s="37"/>
      <c r="P4547" s="6"/>
      <c r="Q4547" s="6"/>
      <c r="Y4547" s="4"/>
      <c r="Z4547"/>
      <c r="AA4547"/>
    </row>
    <row r="4548" spans="1:27" s="3" customFormat="1" x14ac:dyDescent="0.15">
      <c r="A4548" s="62"/>
      <c r="B4548" s="117"/>
      <c r="C4548" s="61"/>
      <c r="D4548" s="61"/>
      <c r="E4548" s="61"/>
      <c r="F4548" s="61"/>
      <c r="G4548" s="61"/>
      <c r="H4548" s="85"/>
      <c r="I4548" s="103"/>
      <c r="J4548" s="131"/>
      <c r="K4548" s="67"/>
      <c r="L4548" s="35"/>
      <c r="M4548" s="37"/>
      <c r="N4548" s="37"/>
      <c r="O4548" s="37"/>
      <c r="P4548" s="6"/>
      <c r="Q4548" s="6"/>
      <c r="Y4548" s="4"/>
      <c r="Z4548"/>
      <c r="AA4548"/>
    </row>
    <row r="4549" spans="1:27" s="3" customFormat="1" x14ac:dyDescent="0.15">
      <c r="A4549" s="70"/>
      <c r="B4549" s="117"/>
      <c r="C4549" s="70"/>
      <c r="D4549" s="70"/>
      <c r="E4549" s="70"/>
      <c r="F4549" s="70"/>
      <c r="G4549" s="70"/>
      <c r="H4549" s="85"/>
      <c r="I4549" s="85"/>
      <c r="J4549" s="131"/>
      <c r="K4549" s="60"/>
      <c r="L4549" s="33"/>
      <c r="M4549" s="33"/>
      <c r="N4549" s="37"/>
      <c r="O4549" s="37"/>
      <c r="Y4549" s="4"/>
      <c r="Z4549"/>
      <c r="AA4549"/>
    </row>
    <row r="4550" spans="1:27" s="3" customFormat="1" ht="16" x14ac:dyDescent="0.2">
      <c r="A4550" s="62"/>
      <c r="B4550" s="117"/>
      <c r="C4550" s="70"/>
      <c r="D4550" s="70"/>
      <c r="E4550" s="70"/>
      <c r="F4550" s="70"/>
      <c r="G4550" s="70"/>
      <c r="H4550" s="85"/>
      <c r="I4550" s="85"/>
      <c r="J4550" s="131"/>
      <c r="K4550" s="60"/>
      <c r="L4550" s="48"/>
      <c r="M4550" s="48"/>
      <c r="N4550" s="37"/>
      <c r="O4550" s="37"/>
      <c r="Y4550" s="4"/>
      <c r="Z4550"/>
      <c r="AA4550"/>
    </row>
    <row r="4551" spans="1:27" s="3" customFormat="1" x14ac:dyDescent="0.15">
      <c r="A4551" s="70"/>
      <c r="B4551" s="117"/>
      <c r="C4551" s="70"/>
      <c r="D4551" s="70"/>
      <c r="E4551" s="70"/>
      <c r="F4551" s="70"/>
      <c r="G4551" s="70"/>
      <c r="H4551" s="85"/>
      <c r="I4551" s="85"/>
      <c r="J4551" s="131"/>
      <c r="K4551" s="60"/>
      <c r="L4551" s="37"/>
      <c r="M4551" s="37"/>
      <c r="N4551" s="37"/>
      <c r="O4551" s="37"/>
      <c r="Y4551" s="4"/>
      <c r="Z4551"/>
      <c r="AA4551"/>
    </row>
    <row r="4552" spans="1:27" s="3" customFormat="1" x14ac:dyDescent="0.15">
      <c r="A4552" s="62"/>
      <c r="B4552" s="119"/>
      <c r="C4552" s="70"/>
      <c r="D4552" s="70"/>
      <c r="E4552" s="70"/>
      <c r="F4552" s="70"/>
      <c r="G4552" s="70"/>
      <c r="H4552" s="85"/>
      <c r="I4552" s="85"/>
      <c r="J4552" s="131"/>
      <c r="K4552" s="60"/>
      <c r="L4552" s="33"/>
      <c r="M4552" s="37"/>
      <c r="N4552" s="37"/>
      <c r="O4552" s="37"/>
      <c r="Y4552" s="4"/>
      <c r="Z4552"/>
      <c r="AA4552"/>
    </row>
    <row r="4553" spans="1:27" s="3" customFormat="1" x14ac:dyDescent="0.15">
      <c r="A4553" s="70"/>
      <c r="B4553" s="118"/>
      <c r="C4553" s="70"/>
      <c r="D4553" s="70"/>
      <c r="E4553" s="70"/>
      <c r="F4553" s="70"/>
      <c r="G4553" s="70"/>
      <c r="H4553" s="85"/>
      <c r="I4553" s="85"/>
      <c r="J4553" s="131"/>
      <c r="K4553" s="60"/>
      <c r="L4553" s="33"/>
      <c r="M4553" s="37"/>
      <c r="N4553" s="37"/>
      <c r="O4553" s="37"/>
      <c r="Y4553" s="4"/>
      <c r="Z4553"/>
      <c r="AA4553"/>
    </row>
    <row r="4554" spans="1:27" s="3" customFormat="1" x14ac:dyDescent="0.15">
      <c r="A4554" s="70"/>
      <c r="B4554" s="117"/>
      <c r="C4554" s="70"/>
      <c r="D4554" s="70"/>
      <c r="E4554" s="70"/>
      <c r="F4554" s="70"/>
      <c r="G4554" s="70"/>
      <c r="H4554" s="85"/>
      <c r="I4554" s="103"/>
      <c r="J4554" s="131"/>
      <c r="K4554" s="60"/>
      <c r="L4554" s="37"/>
      <c r="M4554" s="37"/>
      <c r="N4554" s="37"/>
      <c r="O4554" s="37"/>
      <c r="Y4554" s="4"/>
      <c r="Z4554"/>
      <c r="AA4554"/>
    </row>
    <row r="4555" spans="1:27" s="3" customFormat="1" x14ac:dyDescent="0.15">
      <c r="A4555" s="70"/>
      <c r="B4555" s="117"/>
      <c r="C4555" s="70"/>
      <c r="D4555" s="70"/>
      <c r="E4555" s="70"/>
      <c r="F4555" s="70"/>
      <c r="G4555" s="70"/>
      <c r="H4555" s="85"/>
      <c r="I4555" s="85"/>
      <c r="J4555" s="131"/>
      <c r="K4555" s="60"/>
      <c r="L4555" s="37"/>
      <c r="M4555" s="37"/>
      <c r="N4555" s="37"/>
      <c r="O4555" s="37"/>
      <c r="Y4555" s="4"/>
      <c r="Z4555"/>
      <c r="AA4555"/>
    </row>
    <row r="4556" spans="1:27" s="3" customFormat="1" x14ac:dyDescent="0.15">
      <c r="A4556" s="70"/>
      <c r="B4556" s="117"/>
      <c r="C4556" s="70"/>
      <c r="D4556" s="70"/>
      <c r="E4556" s="70"/>
      <c r="F4556" s="70"/>
      <c r="G4556" s="70"/>
      <c r="H4556" s="85"/>
      <c r="I4556" s="85"/>
      <c r="J4556" s="131"/>
      <c r="K4556" s="60"/>
      <c r="L4556" s="33"/>
      <c r="M4556" s="37"/>
      <c r="N4556" s="37"/>
      <c r="O4556" s="37"/>
      <c r="Y4556" s="4"/>
      <c r="Z4556"/>
      <c r="AA4556"/>
    </row>
    <row r="4557" spans="1:27" s="3" customFormat="1" x14ac:dyDescent="0.15">
      <c r="A4557" s="70"/>
      <c r="B4557" s="117"/>
      <c r="C4557" s="70"/>
      <c r="D4557" s="70"/>
      <c r="E4557" s="70"/>
      <c r="F4557" s="70"/>
      <c r="G4557" s="70"/>
      <c r="H4557" s="85"/>
      <c r="I4557" s="85"/>
      <c r="J4557" s="131"/>
      <c r="K4557" s="60"/>
      <c r="L4557" s="37"/>
      <c r="M4557" s="37"/>
      <c r="N4557" s="37"/>
      <c r="O4557" s="37"/>
      <c r="Y4557" s="4"/>
      <c r="Z4557"/>
      <c r="AA4557"/>
    </row>
    <row r="4558" spans="1:27" s="3" customFormat="1" ht="16" x14ac:dyDescent="0.2">
      <c r="A4558" s="70"/>
      <c r="B4558" s="118"/>
      <c r="C4558" s="70"/>
      <c r="D4558" s="70"/>
      <c r="E4558" s="73"/>
      <c r="F4558" s="70"/>
      <c r="G4558" s="70"/>
      <c r="H4558" s="85"/>
      <c r="I4558" s="85"/>
      <c r="J4558" s="131"/>
      <c r="K4558" s="67"/>
      <c r="L4558" s="47"/>
      <c r="M4558" s="37"/>
      <c r="N4558" s="37"/>
      <c r="O4558" s="37"/>
      <c r="Y4558" s="4"/>
      <c r="Z4558"/>
      <c r="AA4558"/>
    </row>
    <row r="4559" spans="1:27" s="37" customFormat="1" x14ac:dyDescent="0.15">
      <c r="A4559" s="70"/>
      <c r="B4559" s="118"/>
      <c r="C4559" s="70"/>
      <c r="D4559" s="70"/>
      <c r="E4559" s="70"/>
      <c r="F4559" s="70"/>
      <c r="G4559" s="70"/>
      <c r="H4559" s="85"/>
      <c r="I4559" s="85"/>
      <c r="J4559" s="131"/>
      <c r="K4559" s="60"/>
      <c r="L4559" s="33"/>
      <c r="P4559" s="3"/>
      <c r="Q4559" s="3"/>
      <c r="R4559" s="3"/>
      <c r="S4559" s="3"/>
      <c r="T4559" s="3"/>
      <c r="U4559" s="3"/>
      <c r="V4559" s="3"/>
      <c r="W4559" s="3"/>
      <c r="X4559" s="3"/>
      <c r="Y4559" s="4"/>
      <c r="Z4559"/>
      <c r="AA4559"/>
    </row>
    <row r="4560" spans="1:27" s="37" customFormat="1" x14ac:dyDescent="0.15">
      <c r="A4560" s="70"/>
      <c r="B4560" s="117"/>
      <c r="C4560" s="70"/>
      <c r="D4560" s="70"/>
      <c r="E4560" s="70"/>
      <c r="F4560" s="70"/>
      <c r="G4560" s="70"/>
      <c r="H4560" s="85"/>
      <c r="I4560" s="85"/>
      <c r="J4560" s="131"/>
      <c r="K4560" s="60"/>
      <c r="P4560" s="3"/>
      <c r="Q4560" s="3"/>
      <c r="R4560" s="3"/>
      <c r="S4560" s="3"/>
      <c r="T4560" s="3"/>
      <c r="U4560" s="3"/>
      <c r="V4560" s="3"/>
      <c r="W4560" s="3"/>
      <c r="X4560" s="3"/>
      <c r="Y4560" s="4"/>
      <c r="Z4560"/>
      <c r="AA4560"/>
    </row>
    <row r="4561" spans="1:27" s="37" customFormat="1" x14ac:dyDescent="0.15">
      <c r="A4561" s="70"/>
      <c r="B4561" s="117"/>
      <c r="C4561" s="70"/>
      <c r="D4561" s="70"/>
      <c r="E4561" s="70"/>
      <c r="F4561" s="70"/>
      <c r="G4561" s="70"/>
      <c r="H4561" s="85"/>
      <c r="I4561" s="85"/>
      <c r="J4561" s="131"/>
      <c r="K4561" s="60"/>
      <c r="P4561" s="3"/>
      <c r="Q4561" s="3"/>
      <c r="R4561" s="3"/>
      <c r="S4561" s="3"/>
      <c r="T4561" s="3"/>
      <c r="U4561" s="3"/>
      <c r="V4561" s="3"/>
      <c r="W4561" s="3"/>
      <c r="X4561" s="3"/>
      <c r="Y4561" s="4"/>
      <c r="Z4561"/>
      <c r="AA4561"/>
    </row>
    <row r="4562" spans="1:27" s="37" customFormat="1" x14ac:dyDescent="0.15">
      <c r="A4562" s="62"/>
      <c r="B4562" s="119"/>
      <c r="C4562" s="70"/>
      <c r="D4562" s="70"/>
      <c r="E4562" s="70"/>
      <c r="F4562" s="70"/>
      <c r="G4562" s="70"/>
      <c r="H4562" s="85"/>
      <c r="I4562" s="85"/>
      <c r="J4562" s="131"/>
      <c r="K4562" s="60"/>
      <c r="L4562" s="33"/>
      <c r="P4562" s="3"/>
      <c r="Q4562" s="3"/>
      <c r="R4562" s="3"/>
      <c r="S4562" s="3"/>
      <c r="T4562" s="3"/>
      <c r="U4562" s="3"/>
      <c r="V4562" s="3"/>
      <c r="W4562" s="3"/>
      <c r="X4562" s="3"/>
      <c r="Y4562" s="4"/>
      <c r="Z4562"/>
      <c r="AA4562"/>
    </row>
    <row r="4563" spans="1:27" s="37" customFormat="1" x14ac:dyDescent="0.15">
      <c r="A4563" s="62"/>
      <c r="B4563" s="119"/>
      <c r="C4563" s="70"/>
      <c r="D4563" s="70"/>
      <c r="E4563" s="70"/>
      <c r="F4563" s="70"/>
      <c r="G4563" s="70"/>
      <c r="H4563" s="85"/>
      <c r="I4563" s="85"/>
      <c r="J4563" s="131"/>
      <c r="K4563" s="70"/>
      <c r="L4563" s="33"/>
      <c r="P4563" s="3"/>
      <c r="Q4563" s="3"/>
      <c r="R4563" s="3"/>
      <c r="S4563" s="3"/>
      <c r="T4563" s="3"/>
      <c r="U4563" s="3"/>
      <c r="V4563" s="3"/>
      <c r="W4563" s="3"/>
      <c r="X4563" s="3"/>
      <c r="Y4563" s="4"/>
      <c r="Z4563"/>
      <c r="AA4563"/>
    </row>
    <row r="4564" spans="1:27" s="37" customFormat="1" x14ac:dyDescent="0.15">
      <c r="A4564" s="70"/>
      <c r="B4564" s="117"/>
      <c r="C4564" s="73"/>
      <c r="D4564" s="73"/>
      <c r="E4564" s="70"/>
      <c r="F4564" s="73"/>
      <c r="G4564" s="73"/>
      <c r="H4564" s="85"/>
      <c r="I4564" s="85"/>
      <c r="J4564" s="131"/>
      <c r="K4564" s="60"/>
      <c r="L4564" s="33"/>
      <c r="P4564" s="3"/>
      <c r="Q4564" s="3"/>
      <c r="R4564" s="3"/>
      <c r="S4564" s="3"/>
      <c r="T4564" s="3"/>
      <c r="U4564" s="3"/>
      <c r="V4564" s="3"/>
      <c r="W4564" s="3"/>
      <c r="X4564" s="3"/>
      <c r="Y4564" s="4"/>
      <c r="Z4564"/>
      <c r="AA4564"/>
    </row>
    <row r="4565" spans="1:27" s="37" customFormat="1" x14ac:dyDescent="0.15">
      <c r="A4565" s="70"/>
      <c r="B4565" s="117"/>
      <c r="C4565" s="70"/>
      <c r="D4565" s="70"/>
      <c r="E4565" s="70"/>
      <c r="F4565" s="70"/>
      <c r="G4565" s="70"/>
      <c r="H4565" s="85"/>
      <c r="I4565" s="85"/>
      <c r="J4565" s="131"/>
      <c r="K4565" s="60"/>
      <c r="P4565" s="3"/>
      <c r="Q4565" s="3"/>
      <c r="R4565" s="3"/>
      <c r="S4565" s="3"/>
      <c r="T4565" s="3"/>
      <c r="U4565" s="3"/>
      <c r="V4565" s="3"/>
      <c r="W4565" s="3"/>
      <c r="X4565" s="3"/>
      <c r="Y4565" s="4"/>
      <c r="Z4565"/>
      <c r="AA4565"/>
    </row>
    <row r="4566" spans="1:27" s="37" customFormat="1" ht="16" x14ac:dyDescent="0.2">
      <c r="A4566" s="62"/>
      <c r="B4566" s="117"/>
      <c r="C4566" s="70"/>
      <c r="D4566" s="70"/>
      <c r="E4566" s="70"/>
      <c r="F4566" s="70"/>
      <c r="G4566" s="70"/>
      <c r="H4566" s="85"/>
      <c r="I4566" s="85"/>
      <c r="J4566" s="131"/>
      <c r="K4566" s="60"/>
      <c r="L4566" s="48"/>
      <c r="P4566" s="3"/>
      <c r="Q4566" s="3"/>
      <c r="R4566" s="3"/>
      <c r="S4566" s="3"/>
      <c r="T4566" s="3"/>
      <c r="U4566" s="3"/>
      <c r="V4566" s="3"/>
      <c r="W4566" s="3"/>
      <c r="X4566" s="3"/>
      <c r="Y4566" s="4"/>
      <c r="Z4566"/>
      <c r="AA4566"/>
    </row>
    <row r="4567" spans="1:27" s="37" customFormat="1" ht="16" x14ac:dyDescent="0.2">
      <c r="A4567" s="70"/>
      <c r="B4567" s="117"/>
      <c r="C4567" s="73"/>
      <c r="D4567" s="73"/>
      <c r="E4567" s="73"/>
      <c r="F4567" s="73"/>
      <c r="G4567" s="73"/>
      <c r="H4567" s="103"/>
      <c r="I4567" s="95"/>
      <c r="J4567" s="149"/>
      <c r="K4567" s="60"/>
      <c r="L4567" s="48"/>
      <c r="M4567" s="48"/>
      <c r="P4567" s="3"/>
      <c r="Q4567" s="3"/>
      <c r="R4567" s="3"/>
      <c r="S4567" s="3"/>
      <c r="T4567" s="3"/>
      <c r="U4567" s="3"/>
      <c r="V4567" s="3"/>
      <c r="W4567" s="3"/>
      <c r="X4567" s="3"/>
      <c r="Y4567" s="4"/>
      <c r="Z4567"/>
      <c r="AA4567"/>
    </row>
    <row r="4568" spans="1:27" s="37" customFormat="1" ht="16" x14ac:dyDescent="0.2">
      <c r="A4568" s="70"/>
      <c r="B4568" s="117"/>
      <c r="C4568" s="70"/>
      <c r="D4568" s="70"/>
      <c r="E4568" s="70"/>
      <c r="F4568" s="70"/>
      <c r="G4568" s="70"/>
      <c r="H4568" s="85"/>
      <c r="I4568" s="85"/>
      <c r="J4568" s="131"/>
      <c r="K4568" s="60"/>
      <c r="L4568" s="48"/>
      <c r="P4568" s="3"/>
      <c r="Q4568" s="3"/>
      <c r="R4568" s="3"/>
      <c r="S4568" s="3"/>
      <c r="T4568" s="3"/>
      <c r="U4568" s="3"/>
      <c r="V4568" s="3"/>
      <c r="W4568" s="3"/>
      <c r="X4568" s="3"/>
      <c r="Y4568" s="4"/>
      <c r="Z4568"/>
      <c r="AA4568"/>
    </row>
    <row r="4569" spans="1:27" s="37" customFormat="1" ht="16" x14ac:dyDescent="0.2">
      <c r="A4569" s="70"/>
      <c r="B4569" s="117"/>
      <c r="C4569" s="73"/>
      <c r="D4569" s="73"/>
      <c r="E4569" s="70"/>
      <c r="F4569" s="73"/>
      <c r="G4569" s="73"/>
      <c r="H4569" s="85"/>
      <c r="I4569" s="95"/>
      <c r="J4569" s="131"/>
      <c r="K4569" s="60"/>
      <c r="L4569" s="47"/>
      <c r="P4569" s="3"/>
      <c r="Q4569" s="3"/>
      <c r="R4569" s="3"/>
      <c r="S4569" s="3"/>
      <c r="T4569" s="3"/>
      <c r="U4569" s="3"/>
      <c r="V4569" s="3"/>
      <c r="W4569" s="3"/>
      <c r="X4569" s="3"/>
      <c r="Y4569" s="4"/>
      <c r="Z4569"/>
      <c r="AA4569"/>
    </row>
    <row r="4570" spans="1:27" s="37" customFormat="1" x14ac:dyDescent="0.15">
      <c r="A4570" s="70"/>
      <c r="B4570" s="117"/>
      <c r="C4570" s="70"/>
      <c r="D4570" s="70"/>
      <c r="E4570" s="70"/>
      <c r="F4570" s="70"/>
      <c r="G4570" s="70"/>
      <c r="H4570" s="85"/>
      <c r="I4570" s="85"/>
      <c r="J4570" s="131"/>
      <c r="K4570" s="60"/>
      <c r="L4570" s="33"/>
      <c r="M4570" s="46"/>
      <c r="P4570" s="3"/>
      <c r="Q4570" s="3"/>
      <c r="R4570" s="3"/>
      <c r="S4570" s="3"/>
      <c r="T4570" s="3"/>
      <c r="U4570" s="3"/>
      <c r="V4570" s="3"/>
      <c r="W4570" s="3"/>
      <c r="X4570" s="3"/>
      <c r="Y4570" s="4"/>
      <c r="Z4570"/>
      <c r="AA4570"/>
    </row>
    <row r="4571" spans="1:27" s="37" customFormat="1" x14ac:dyDescent="0.15">
      <c r="A4571" s="70"/>
      <c r="B4571" s="117"/>
      <c r="C4571" s="70"/>
      <c r="D4571" s="70"/>
      <c r="E4571" s="70"/>
      <c r="F4571" s="70"/>
      <c r="G4571" s="70"/>
      <c r="H4571" s="85"/>
      <c r="I4571" s="85"/>
      <c r="J4571" s="131"/>
      <c r="K4571" s="60"/>
      <c r="L4571" s="33"/>
      <c r="P4571" s="3"/>
      <c r="Q4571" s="3"/>
      <c r="R4571" s="3"/>
      <c r="S4571" s="3"/>
      <c r="T4571" s="3"/>
      <c r="U4571" s="3"/>
      <c r="V4571" s="3"/>
      <c r="W4571" s="3"/>
      <c r="X4571" s="3"/>
      <c r="Y4571" s="4"/>
      <c r="Z4571"/>
      <c r="AA4571"/>
    </row>
    <row r="4572" spans="1:27" s="37" customFormat="1" ht="16" x14ac:dyDescent="0.2">
      <c r="A4572" s="70"/>
      <c r="B4572" s="117"/>
      <c r="C4572" s="70"/>
      <c r="D4572" s="70"/>
      <c r="E4572" s="70"/>
      <c r="F4572" s="70"/>
      <c r="G4572" s="70"/>
      <c r="H4572" s="85"/>
      <c r="I4572" s="85"/>
      <c r="J4572" s="131"/>
      <c r="K4572" s="60"/>
      <c r="L4572" s="47"/>
      <c r="P4572" s="3"/>
      <c r="Q4572" s="3"/>
      <c r="R4572" s="3"/>
      <c r="S4572" s="3"/>
      <c r="T4572" s="3"/>
      <c r="U4572" s="3"/>
      <c r="V4572" s="3"/>
      <c r="W4572" s="3"/>
      <c r="X4572" s="3"/>
      <c r="Y4572" s="4"/>
      <c r="Z4572"/>
      <c r="AA4572"/>
    </row>
    <row r="4573" spans="1:27" s="37" customFormat="1" x14ac:dyDescent="0.15">
      <c r="A4573" s="70"/>
      <c r="B4573" s="117"/>
      <c r="C4573" s="73"/>
      <c r="D4573" s="73"/>
      <c r="E4573" s="73"/>
      <c r="F4573" s="73"/>
      <c r="G4573" s="73"/>
      <c r="H4573" s="85"/>
      <c r="I4573" s="95"/>
      <c r="J4573" s="131"/>
      <c r="K4573" s="60"/>
      <c r="L4573" s="33"/>
      <c r="P4573" s="3"/>
      <c r="Q4573" s="3"/>
      <c r="R4573" s="3"/>
      <c r="S4573" s="3"/>
      <c r="T4573" s="3"/>
      <c r="U4573" s="3"/>
      <c r="V4573" s="3"/>
      <c r="W4573" s="3"/>
      <c r="X4573" s="3"/>
      <c r="Y4573" s="4"/>
      <c r="Z4573"/>
      <c r="AA4573"/>
    </row>
    <row r="4574" spans="1:27" s="37" customFormat="1" x14ac:dyDescent="0.15">
      <c r="A4574" s="70"/>
      <c r="B4574" s="117"/>
      <c r="C4574" s="70"/>
      <c r="D4574" s="70"/>
      <c r="E4574" s="70"/>
      <c r="F4574" s="70"/>
      <c r="G4574" s="70"/>
      <c r="H4574" s="85"/>
      <c r="I4574" s="85"/>
      <c r="J4574" s="131"/>
      <c r="K4574" s="70"/>
      <c r="P4574" s="3"/>
      <c r="Q4574" s="3"/>
      <c r="R4574" s="3"/>
      <c r="S4574" s="3"/>
      <c r="T4574" s="3"/>
      <c r="U4574" s="3"/>
      <c r="V4574" s="3"/>
      <c r="W4574" s="3"/>
      <c r="X4574" s="3"/>
      <c r="Y4574" s="4"/>
      <c r="Z4574"/>
      <c r="AA4574"/>
    </row>
    <row r="4575" spans="1:27" s="3" customFormat="1" x14ac:dyDescent="0.15">
      <c r="A4575" s="70"/>
      <c r="B4575" s="117"/>
      <c r="C4575" s="73"/>
      <c r="D4575" s="73"/>
      <c r="E4575" s="73"/>
      <c r="F4575" s="73"/>
      <c r="G4575" s="73"/>
      <c r="H4575" s="85"/>
      <c r="I4575" s="85"/>
      <c r="J4575" s="131"/>
      <c r="K4575" s="60"/>
      <c r="L4575" s="33"/>
      <c r="M4575" s="37"/>
      <c r="N4575" s="37"/>
      <c r="O4575" s="37"/>
      <c r="Y4575" s="4"/>
      <c r="Z4575"/>
      <c r="AA4575"/>
    </row>
    <row r="4576" spans="1:27" s="3" customFormat="1" x14ac:dyDescent="0.15">
      <c r="A4576" s="70"/>
      <c r="B4576" s="117"/>
      <c r="C4576" s="73"/>
      <c r="D4576" s="73"/>
      <c r="E4576" s="73"/>
      <c r="F4576" s="73"/>
      <c r="G4576" s="73"/>
      <c r="H4576" s="85"/>
      <c r="I4576" s="85"/>
      <c r="J4576" s="131"/>
      <c r="K4576" s="60"/>
      <c r="L4576" s="33"/>
      <c r="M4576" s="37"/>
      <c r="N4576" s="37"/>
      <c r="O4576" s="37"/>
      <c r="Y4576" s="4"/>
      <c r="Z4576"/>
      <c r="AA4576"/>
    </row>
    <row r="4577" spans="1:27" s="3" customFormat="1" x14ac:dyDescent="0.15">
      <c r="A4577" s="70"/>
      <c r="B4577" s="117"/>
      <c r="C4577" s="70"/>
      <c r="D4577" s="70"/>
      <c r="E4577" s="70"/>
      <c r="F4577" s="70"/>
      <c r="G4577" s="70"/>
      <c r="H4577" s="85"/>
      <c r="I4577" s="85"/>
      <c r="J4577" s="131"/>
      <c r="K4577" s="60"/>
      <c r="L4577" s="33"/>
      <c r="M4577" s="37"/>
      <c r="N4577" s="37"/>
      <c r="O4577" s="37"/>
      <c r="Y4577" s="4"/>
      <c r="Z4577"/>
      <c r="AA4577"/>
    </row>
    <row r="4578" spans="1:27" s="3" customFormat="1" x14ac:dyDescent="0.15">
      <c r="A4578" s="70"/>
      <c r="B4578" s="117"/>
      <c r="C4578" s="70"/>
      <c r="D4578" s="70"/>
      <c r="E4578" s="70"/>
      <c r="F4578" s="70"/>
      <c r="G4578" s="70"/>
      <c r="H4578" s="85"/>
      <c r="I4578" s="85"/>
      <c r="J4578" s="131"/>
      <c r="K4578" s="60"/>
      <c r="L4578" s="33"/>
      <c r="M4578" s="37"/>
      <c r="N4578" s="37"/>
      <c r="O4578" s="37"/>
      <c r="Y4578" s="4"/>
      <c r="Z4578"/>
      <c r="AA4578"/>
    </row>
    <row r="4579" spans="1:27" s="3" customFormat="1" x14ac:dyDescent="0.15">
      <c r="A4579" s="70"/>
      <c r="B4579" s="117"/>
      <c r="C4579" s="73"/>
      <c r="D4579" s="73"/>
      <c r="E4579" s="73"/>
      <c r="F4579" s="73"/>
      <c r="G4579" s="73"/>
      <c r="H4579" s="85"/>
      <c r="I4579" s="85"/>
      <c r="J4579" s="131"/>
      <c r="K4579" s="60"/>
      <c r="L4579" s="33"/>
      <c r="M4579" s="37"/>
      <c r="N4579" s="37"/>
      <c r="O4579" s="37"/>
      <c r="Y4579" s="4"/>
      <c r="Z4579"/>
      <c r="AA4579"/>
    </row>
    <row r="4580" spans="1:27" s="3" customFormat="1" x14ac:dyDescent="0.15">
      <c r="A4580" s="70"/>
      <c r="B4580" s="117"/>
      <c r="C4580" s="70"/>
      <c r="D4580" s="70"/>
      <c r="E4580" s="70"/>
      <c r="F4580" s="70"/>
      <c r="G4580" s="70"/>
      <c r="H4580" s="85"/>
      <c r="I4580" s="85"/>
      <c r="J4580" s="131"/>
      <c r="K4580" s="60"/>
      <c r="L4580" s="33"/>
      <c r="M4580" s="37"/>
      <c r="N4580" s="37"/>
      <c r="O4580" s="37"/>
      <c r="Y4580" s="4"/>
      <c r="Z4580"/>
      <c r="AA4580"/>
    </row>
    <row r="4581" spans="1:27" s="3" customFormat="1" x14ac:dyDescent="0.15">
      <c r="A4581" s="70"/>
      <c r="B4581" s="117"/>
      <c r="C4581" s="73"/>
      <c r="D4581" s="73"/>
      <c r="E4581" s="73"/>
      <c r="F4581" s="73"/>
      <c r="G4581" s="73"/>
      <c r="H4581" s="85"/>
      <c r="I4581" s="85"/>
      <c r="J4581" s="131"/>
      <c r="K4581" s="67"/>
      <c r="L4581" s="33"/>
      <c r="M4581" s="37"/>
      <c r="N4581" s="37"/>
      <c r="O4581" s="37"/>
      <c r="Y4581" s="4"/>
      <c r="Z4581"/>
      <c r="AA4581"/>
    </row>
    <row r="4582" spans="1:27" s="3" customFormat="1" x14ac:dyDescent="0.15">
      <c r="A4582" s="70"/>
      <c r="B4582" s="117"/>
      <c r="C4582" s="70"/>
      <c r="D4582" s="70"/>
      <c r="E4582" s="70"/>
      <c r="F4582" s="70"/>
      <c r="G4582" s="70"/>
      <c r="H4582" s="85"/>
      <c r="I4582" s="85"/>
      <c r="J4582" s="131"/>
      <c r="K4582" s="60"/>
      <c r="L4582" s="33"/>
      <c r="M4582" s="37"/>
      <c r="N4582" s="37"/>
      <c r="O4582" s="37"/>
      <c r="Y4582" s="4"/>
      <c r="Z4582"/>
      <c r="AA4582"/>
    </row>
    <row r="4583" spans="1:27" s="3" customFormat="1" x14ac:dyDescent="0.15">
      <c r="A4583" s="70"/>
      <c r="B4583" s="117"/>
      <c r="C4583" s="70"/>
      <c r="D4583" s="70"/>
      <c r="E4583" s="70"/>
      <c r="F4583" s="70"/>
      <c r="G4583" s="70"/>
      <c r="H4583" s="85"/>
      <c r="I4583" s="85"/>
      <c r="J4583" s="131"/>
      <c r="K4583" s="60"/>
      <c r="L4583" s="37"/>
      <c r="M4583" s="37"/>
      <c r="N4583" s="37"/>
      <c r="O4583" s="37"/>
      <c r="P4583"/>
      <c r="Q4583"/>
      <c r="Y4583" s="4"/>
      <c r="Z4583"/>
      <c r="AA4583"/>
    </row>
    <row r="4584" spans="1:27" s="3" customFormat="1" x14ac:dyDescent="0.15">
      <c r="A4584" s="70"/>
      <c r="B4584" s="117"/>
      <c r="C4584" s="70"/>
      <c r="D4584" s="70"/>
      <c r="E4584" s="70"/>
      <c r="F4584" s="70"/>
      <c r="G4584" s="70"/>
      <c r="H4584" s="85"/>
      <c r="I4584" s="85"/>
      <c r="J4584" s="131"/>
      <c r="K4584" s="60"/>
      <c r="L4584" s="33"/>
      <c r="M4584" s="37"/>
      <c r="N4584" s="37"/>
      <c r="O4584" s="37"/>
      <c r="Y4584" s="4"/>
      <c r="Z4584"/>
      <c r="AA4584"/>
    </row>
    <row r="4585" spans="1:27" s="3" customFormat="1" x14ac:dyDescent="0.15">
      <c r="A4585" s="70"/>
      <c r="B4585" s="118"/>
      <c r="C4585" s="70"/>
      <c r="D4585" s="70"/>
      <c r="E4585" s="70"/>
      <c r="F4585" s="70"/>
      <c r="G4585" s="70"/>
      <c r="H4585" s="85"/>
      <c r="I4585" s="85"/>
      <c r="J4585" s="131"/>
      <c r="K4585" s="60"/>
      <c r="L4585" s="49"/>
      <c r="M4585" s="37"/>
      <c r="N4585" s="37"/>
      <c r="O4585" s="37"/>
      <c r="Y4585" s="4"/>
      <c r="Z4585"/>
      <c r="AA4585"/>
    </row>
    <row r="4586" spans="1:27" s="3" customFormat="1" x14ac:dyDescent="0.15">
      <c r="A4586" s="70"/>
      <c r="B4586" s="118"/>
      <c r="C4586" s="70"/>
      <c r="D4586" s="70"/>
      <c r="E4586" s="70"/>
      <c r="F4586" s="70"/>
      <c r="G4586" s="70"/>
      <c r="H4586" s="85"/>
      <c r="I4586" s="85"/>
      <c r="J4586" s="131"/>
      <c r="K4586" s="60"/>
      <c r="L4586" s="49"/>
      <c r="M4586" s="37"/>
      <c r="N4586" s="37"/>
      <c r="O4586" s="37"/>
      <c r="Y4586" s="4"/>
      <c r="Z4586"/>
      <c r="AA4586"/>
    </row>
    <row r="4587" spans="1:27" s="3" customFormat="1" x14ac:dyDescent="0.15">
      <c r="A4587" s="70"/>
      <c r="B4587" s="117"/>
      <c r="C4587" s="70"/>
      <c r="D4587" s="70"/>
      <c r="E4587" s="73"/>
      <c r="F4587" s="70"/>
      <c r="G4587" s="70"/>
      <c r="H4587" s="85"/>
      <c r="I4587" s="85"/>
      <c r="J4587" s="131"/>
      <c r="K4587" s="60"/>
      <c r="L4587" s="33"/>
      <c r="M4587" s="37"/>
      <c r="N4587" s="37"/>
      <c r="O4587" s="37"/>
      <c r="Y4587" s="4"/>
      <c r="Z4587"/>
      <c r="AA4587"/>
    </row>
    <row r="4588" spans="1:27" s="3" customFormat="1" x14ac:dyDescent="0.15">
      <c r="A4588" s="70"/>
      <c r="B4588" s="117"/>
      <c r="C4588" s="70"/>
      <c r="D4588" s="70"/>
      <c r="E4588" s="70"/>
      <c r="F4588" s="70"/>
      <c r="G4588" s="70"/>
      <c r="H4588" s="85"/>
      <c r="I4588" s="85"/>
      <c r="J4588" s="131"/>
      <c r="K4588" s="70"/>
      <c r="L4588" s="37"/>
      <c r="M4588" s="37"/>
      <c r="N4588" s="37"/>
      <c r="O4588" s="37"/>
      <c r="Y4588" s="4"/>
      <c r="Z4588"/>
      <c r="AA4588"/>
    </row>
    <row r="4589" spans="1:27" s="3" customFormat="1" x14ac:dyDescent="0.15">
      <c r="A4589" s="70"/>
      <c r="B4589" s="117"/>
      <c r="C4589" s="70"/>
      <c r="D4589" s="70"/>
      <c r="E4589" s="70"/>
      <c r="F4589" s="70"/>
      <c r="G4589" s="70"/>
      <c r="H4589" s="85"/>
      <c r="I4589" s="85"/>
      <c r="J4589" s="131"/>
      <c r="K4589" s="70"/>
      <c r="L4589" s="37"/>
      <c r="M4589" s="37"/>
      <c r="N4589" s="37"/>
      <c r="O4589" s="37"/>
      <c r="Y4589" s="4"/>
      <c r="Z4589"/>
      <c r="AA4589"/>
    </row>
    <row r="4590" spans="1:27" s="3" customFormat="1" x14ac:dyDescent="0.15">
      <c r="A4590" s="70"/>
      <c r="B4590" s="117"/>
      <c r="C4590" s="70"/>
      <c r="D4590" s="70"/>
      <c r="E4590" s="70"/>
      <c r="F4590" s="70"/>
      <c r="G4590" s="70"/>
      <c r="H4590" s="85"/>
      <c r="I4590" s="85"/>
      <c r="J4590" s="131"/>
      <c r="K4590" s="70"/>
      <c r="L4590" s="37"/>
      <c r="M4590" s="37"/>
      <c r="N4590" s="37"/>
      <c r="O4590" s="37"/>
      <c r="Y4590" s="4"/>
      <c r="Z4590"/>
      <c r="AA4590"/>
    </row>
    <row r="4591" spans="1:27" s="37" customFormat="1" x14ac:dyDescent="0.15">
      <c r="A4591" s="70"/>
      <c r="B4591" s="117"/>
      <c r="C4591" s="70"/>
      <c r="D4591" s="70"/>
      <c r="E4591" s="70"/>
      <c r="F4591" s="70"/>
      <c r="G4591" s="70"/>
      <c r="H4591" s="85"/>
      <c r="I4591" s="85"/>
      <c r="J4591" s="131"/>
      <c r="K4591" s="60"/>
      <c r="L4591" s="33"/>
      <c r="P4591" s="3"/>
      <c r="Q4591" s="3"/>
      <c r="R4591" s="3"/>
      <c r="S4591" s="3"/>
      <c r="T4591" s="3"/>
      <c r="U4591" s="3"/>
      <c r="V4591" s="3"/>
      <c r="W4591" s="3"/>
      <c r="X4591" s="3"/>
      <c r="Y4591" s="4"/>
      <c r="Z4591"/>
      <c r="AA4591"/>
    </row>
    <row r="4592" spans="1:27" s="37" customFormat="1" x14ac:dyDescent="0.15">
      <c r="A4592" s="70"/>
      <c r="B4592" s="117"/>
      <c r="C4592" s="70"/>
      <c r="D4592" s="70"/>
      <c r="E4592" s="70"/>
      <c r="F4592" s="70"/>
      <c r="G4592" s="70"/>
      <c r="H4592" s="85"/>
      <c r="I4592" s="85"/>
      <c r="J4592" s="131"/>
      <c r="K4592" s="60"/>
      <c r="L4592" s="33"/>
      <c r="P4592" s="3"/>
      <c r="Q4592" s="3"/>
      <c r="R4592" s="3"/>
      <c r="S4592" s="3"/>
      <c r="T4592" s="3"/>
      <c r="U4592" s="3"/>
      <c r="V4592" s="3"/>
      <c r="W4592" s="3"/>
      <c r="X4592" s="3"/>
      <c r="Y4592" s="4"/>
      <c r="Z4592"/>
      <c r="AA4592"/>
    </row>
    <row r="4593" spans="1:27" s="37" customFormat="1" x14ac:dyDescent="0.15">
      <c r="A4593" s="70"/>
      <c r="B4593" s="117"/>
      <c r="C4593" s="70"/>
      <c r="D4593" s="70"/>
      <c r="E4593" s="70"/>
      <c r="F4593" s="70"/>
      <c r="G4593" s="70"/>
      <c r="H4593" s="85"/>
      <c r="I4593" s="85"/>
      <c r="J4593" s="131"/>
      <c r="K4593" s="60"/>
      <c r="L4593" s="33"/>
      <c r="P4593" s="3"/>
      <c r="Q4593" s="3"/>
      <c r="R4593" s="3"/>
      <c r="S4593" s="3"/>
      <c r="T4593" s="3"/>
      <c r="U4593" s="3"/>
      <c r="V4593" s="3"/>
      <c r="W4593" s="3"/>
      <c r="X4593" s="3"/>
      <c r="Y4593" s="4"/>
      <c r="Z4593"/>
      <c r="AA4593"/>
    </row>
    <row r="4594" spans="1:27" s="37" customFormat="1" x14ac:dyDescent="0.15">
      <c r="A4594" s="70"/>
      <c r="B4594" s="118"/>
      <c r="C4594" s="70"/>
      <c r="D4594" s="70"/>
      <c r="E4594" s="70"/>
      <c r="F4594" s="70"/>
      <c r="G4594" s="70"/>
      <c r="H4594" s="85"/>
      <c r="I4594" s="85"/>
      <c r="J4594" s="131"/>
      <c r="K4594" s="60"/>
      <c r="L4594" s="33"/>
      <c r="P4594" s="3"/>
      <c r="Q4594" s="3"/>
      <c r="R4594" s="3"/>
      <c r="S4594" s="3"/>
      <c r="T4594" s="3"/>
      <c r="U4594" s="3"/>
      <c r="V4594" s="3"/>
      <c r="W4594" s="3"/>
      <c r="X4594" s="3"/>
      <c r="Y4594" s="4"/>
      <c r="Z4594"/>
      <c r="AA4594"/>
    </row>
    <row r="4595" spans="1:27" s="37" customFormat="1" x14ac:dyDescent="0.15">
      <c r="A4595" s="70"/>
      <c r="B4595" s="117"/>
      <c r="C4595" s="70"/>
      <c r="D4595" s="70"/>
      <c r="E4595" s="70"/>
      <c r="F4595" s="70"/>
      <c r="G4595" s="70"/>
      <c r="H4595" s="85"/>
      <c r="I4595" s="85"/>
      <c r="J4595" s="131"/>
      <c r="K4595" s="60"/>
      <c r="L4595" s="33"/>
      <c r="P4595" s="3"/>
      <c r="Q4595" s="3"/>
      <c r="R4595" s="3"/>
      <c r="S4595" s="3"/>
      <c r="T4595" s="3"/>
      <c r="U4595" s="3"/>
      <c r="V4595" s="3"/>
      <c r="W4595" s="3"/>
      <c r="X4595" s="3"/>
      <c r="Y4595" s="4"/>
      <c r="Z4595"/>
      <c r="AA4595"/>
    </row>
    <row r="4596" spans="1:27" s="37" customFormat="1" x14ac:dyDescent="0.15">
      <c r="A4596" s="70"/>
      <c r="B4596" s="117"/>
      <c r="C4596" s="70"/>
      <c r="D4596" s="70"/>
      <c r="E4596" s="70"/>
      <c r="F4596" s="70"/>
      <c r="G4596" s="70"/>
      <c r="H4596" s="85"/>
      <c r="I4596" s="85"/>
      <c r="J4596" s="131"/>
      <c r="K4596" s="60"/>
      <c r="L4596" s="33"/>
      <c r="P4596" s="3"/>
      <c r="Q4596" s="3"/>
      <c r="R4596" s="3"/>
      <c r="S4596" s="3"/>
      <c r="T4596" s="3"/>
      <c r="U4596" s="3"/>
      <c r="V4596" s="3"/>
      <c r="W4596" s="3"/>
      <c r="X4596" s="3"/>
      <c r="Y4596" s="4"/>
      <c r="Z4596"/>
      <c r="AA4596"/>
    </row>
    <row r="4597" spans="1:27" s="37" customFormat="1" ht="16" x14ac:dyDescent="0.2">
      <c r="A4597" s="70"/>
      <c r="B4597" s="117"/>
      <c r="C4597" s="70"/>
      <c r="D4597" s="70"/>
      <c r="E4597" s="70"/>
      <c r="F4597" s="70"/>
      <c r="G4597" s="70"/>
      <c r="H4597" s="85"/>
      <c r="I4597" s="85"/>
      <c r="J4597" s="131"/>
      <c r="K4597" s="60"/>
      <c r="L4597" s="33"/>
      <c r="M4597" s="48"/>
      <c r="P4597" s="3"/>
      <c r="Q4597" s="3"/>
      <c r="R4597" s="3"/>
      <c r="S4597" s="3"/>
      <c r="T4597" s="3"/>
      <c r="U4597" s="3"/>
      <c r="V4597" s="3"/>
      <c r="W4597" s="3"/>
      <c r="X4597" s="3"/>
      <c r="Y4597" s="4"/>
      <c r="Z4597"/>
      <c r="AA4597"/>
    </row>
    <row r="4598" spans="1:27" s="37" customFormat="1" x14ac:dyDescent="0.15">
      <c r="A4598" s="70"/>
      <c r="B4598" s="117"/>
      <c r="C4598" s="70"/>
      <c r="D4598" s="70"/>
      <c r="E4598" s="70"/>
      <c r="F4598" s="70"/>
      <c r="G4598" s="70"/>
      <c r="H4598" s="85"/>
      <c r="I4598" s="85"/>
      <c r="J4598" s="131"/>
      <c r="K4598" s="60"/>
      <c r="L4598" s="33"/>
      <c r="P4598" s="3"/>
      <c r="Q4598" s="3"/>
      <c r="R4598" s="3"/>
      <c r="S4598" s="3"/>
      <c r="T4598" s="3"/>
      <c r="U4598" s="3"/>
      <c r="V4598" s="3"/>
      <c r="W4598" s="3"/>
      <c r="X4598" s="3"/>
      <c r="Y4598" s="4"/>
      <c r="Z4598"/>
      <c r="AA4598"/>
    </row>
    <row r="4599" spans="1:27" s="37" customFormat="1" x14ac:dyDescent="0.15">
      <c r="A4599" s="70"/>
      <c r="B4599" s="117"/>
      <c r="C4599" s="70"/>
      <c r="D4599" s="70"/>
      <c r="E4599" s="73"/>
      <c r="F4599" s="70"/>
      <c r="G4599" s="70"/>
      <c r="H4599" s="85"/>
      <c r="I4599" s="85"/>
      <c r="J4599" s="131"/>
      <c r="K4599" s="60"/>
      <c r="L4599" s="33"/>
      <c r="P4599" s="3"/>
      <c r="Q4599" s="3"/>
      <c r="R4599" s="3"/>
      <c r="S4599" s="3"/>
      <c r="T4599" s="3"/>
      <c r="U4599" s="3"/>
      <c r="V4599" s="3"/>
      <c r="W4599" s="3"/>
      <c r="X4599" s="3"/>
      <c r="Y4599" s="4"/>
      <c r="Z4599"/>
      <c r="AA4599"/>
    </row>
    <row r="4600" spans="1:27" s="37" customFormat="1" x14ac:dyDescent="0.15">
      <c r="A4600" s="70"/>
      <c r="B4600" s="117"/>
      <c r="C4600" s="70"/>
      <c r="D4600" s="70"/>
      <c r="E4600" s="73"/>
      <c r="F4600" s="70"/>
      <c r="G4600" s="70"/>
      <c r="H4600" s="85"/>
      <c r="I4600" s="85"/>
      <c r="J4600" s="131"/>
      <c r="K4600" s="60"/>
      <c r="L4600" s="33"/>
      <c r="P4600" s="3"/>
      <c r="Q4600" s="3"/>
      <c r="R4600" s="3"/>
      <c r="S4600" s="3"/>
      <c r="T4600" s="3"/>
      <c r="U4600" s="3"/>
      <c r="V4600" s="3"/>
      <c r="W4600" s="3"/>
      <c r="X4600" s="3"/>
      <c r="Y4600" s="4"/>
      <c r="Z4600"/>
      <c r="AA4600"/>
    </row>
    <row r="4601" spans="1:27" s="37" customFormat="1" x14ac:dyDescent="0.15">
      <c r="A4601" s="70"/>
      <c r="B4601" s="117"/>
      <c r="C4601" s="70"/>
      <c r="D4601" s="70"/>
      <c r="E4601" s="70"/>
      <c r="F4601" s="70"/>
      <c r="G4601" s="70"/>
      <c r="H4601" s="85"/>
      <c r="I4601" s="85"/>
      <c r="J4601" s="131"/>
      <c r="K4601" s="60"/>
      <c r="L4601" s="33"/>
      <c r="P4601" s="3"/>
      <c r="Q4601" s="3"/>
      <c r="R4601" s="3"/>
      <c r="S4601" s="3"/>
      <c r="T4601" s="3"/>
      <c r="U4601" s="3"/>
      <c r="V4601" s="3"/>
      <c r="W4601" s="3"/>
      <c r="X4601" s="3"/>
      <c r="Y4601" s="4"/>
      <c r="Z4601"/>
      <c r="AA4601"/>
    </row>
    <row r="4602" spans="1:27" s="37" customFormat="1" x14ac:dyDescent="0.15">
      <c r="A4602" s="70"/>
      <c r="B4602" s="117"/>
      <c r="C4602" s="70"/>
      <c r="D4602" s="70"/>
      <c r="E4602" s="70"/>
      <c r="F4602" s="70"/>
      <c r="G4602" s="70"/>
      <c r="H4602" s="85"/>
      <c r="I4602" s="85"/>
      <c r="J4602" s="131"/>
      <c r="K4602" s="60"/>
      <c r="L4602" s="33"/>
      <c r="P4602" s="3"/>
      <c r="Q4602" s="3"/>
      <c r="R4602" s="3"/>
      <c r="S4602" s="3"/>
      <c r="T4602" s="3"/>
      <c r="U4602" s="3"/>
      <c r="V4602" s="3"/>
      <c r="W4602" s="3"/>
      <c r="X4602" s="3"/>
      <c r="Y4602" s="4"/>
      <c r="Z4602"/>
      <c r="AA4602"/>
    </row>
    <row r="4603" spans="1:27" s="37" customFormat="1" x14ac:dyDescent="0.15">
      <c r="A4603" s="70"/>
      <c r="B4603" s="117"/>
      <c r="C4603" s="73"/>
      <c r="D4603" s="73"/>
      <c r="E4603" s="73"/>
      <c r="F4603" s="73"/>
      <c r="G4603" s="73"/>
      <c r="H4603" s="85"/>
      <c r="I4603" s="95"/>
      <c r="J4603" s="134"/>
      <c r="K4603" s="63"/>
      <c r="L4603" s="33"/>
      <c r="P4603" s="3"/>
      <c r="Q4603" s="3"/>
      <c r="R4603" s="3"/>
      <c r="S4603" s="3"/>
      <c r="T4603" s="3"/>
      <c r="U4603" s="3"/>
      <c r="V4603" s="3"/>
      <c r="W4603" s="3"/>
      <c r="X4603" s="3"/>
      <c r="Y4603" s="4"/>
      <c r="Z4603"/>
      <c r="AA4603"/>
    </row>
    <row r="4604" spans="1:27" s="37" customFormat="1" ht="16" x14ac:dyDescent="0.2">
      <c r="A4604" s="70"/>
      <c r="B4604" s="117"/>
      <c r="C4604" s="73"/>
      <c r="D4604" s="73"/>
      <c r="E4604" s="70"/>
      <c r="F4604" s="73"/>
      <c r="G4604" s="73"/>
      <c r="H4604" s="85"/>
      <c r="I4604" s="95"/>
      <c r="J4604" s="131"/>
      <c r="K4604" s="60"/>
      <c r="L4604" s="48"/>
      <c r="P4604" s="3"/>
      <c r="Q4604" s="3"/>
      <c r="R4604" s="3"/>
      <c r="S4604" s="3"/>
      <c r="T4604" s="3"/>
      <c r="U4604" s="3"/>
      <c r="V4604" s="3"/>
      <c r="W4604" s="3"/>
      <c r="X4604" s="3"/>
      <c r="Y4604" s="4"/>
      <c r="Z4604"/>
      <c r="AA4604"/>
    </row>
    <row r="4605" spans="1:27" s="37" customFormat="1" ht="16" x14ac:dyDescent="0.2">
      <c r="A4605" s="70"/>
      <c r="B4605" s="117"/>
      <c r="C4605" s="70"/>
      <c r="D4605" s="70"/>
      <c r="E4605" s="70"/>
      <c r="F4605" s="70"/>
      <c r="G4605" s="70"/>
      <c r="H4605" s="85"/>
      <c r="I4605" s="85"/>
      <c r="J4605" s="138"/>
      <c r="K4605" s="60"/>
      <c r="L4605" s="48"/>
      <c r="M4605" s="32"/>
      <c r="P4605" s="3"/>
      <c r="Q4605" s="3"/>
      <c r="R4605" s="3"/>
      <c r="S4605" s="3"/>
      <c r="T4605" s="3"/>
      <c r="U4605" s="3"/>
      <c r="V4605" s="3"/>
      <c r="W4605" s="3"/>
      <c r="X4605" s="3"/>
      <c r="Y4605" s="4"/>
      <c r="Z4605"/>
      <c r="AA4605"/>
    </row>
    <row r="4606" spans="1:27" s="37" customFormat="1" ht="16" x14ac:dyDescent="0.2">
      <c r="A4606" s="70"/>
      <c r="B4606" s="117"/>
      <c r="C4606" s="70"/>
      <c r="D4606" s="70"/>
      <c r="E4606" s="70"/>
      <c r="F4606" s="70"/>
      <c r="G4606" s="70"/>
      <c r="H4606" s="85"/>
      <c r="I4606" s="85"/>
      <c r="J4606" s="131"/>
      <c r="K4606" s="60"/>
      <c r="L4606" s="48"/>
      <c r="P4606" s="3"/>
      <c r="Q4606" s="3"/>
      <c r="R4606" s="3"/>
      <c r="S4606" s="3"/>
      <c r="T4606" s="3"/>
      <c r="U4606" s="3"/>
      <c r="V4606" s="3"/>
      <c r="W4606" s="3"/>
      <c r="X4606" s="3"/>
      <c r="Y4606" s="4"/>
      <c r="Z4606"/>
      <c r="AA4606"/>
    </row>
    <row r="4607" spans="1:27" s="37" customFormat="1" x14ac:dyDescent="0.15">
      <c r="A4607" s="70"/>
      <c r="B4607" s="117"/>
      <c r="C4607" s="70"/>
      <c r="D4607" s="70"/>
      <c r="E4607" s="70"/>
      <c r="F4607" s="70"/>
      <c r="G4607" s="70"/>
      <c r="H4607" s="85"/>
      <c r="I4607" s="85"/>
      <c r="J4607" s="131"/>
      <c r="K4607" s="60"/>
      <c r="L4607" s="33"/>
      <c r="P4607" s="3"/>
      <c r="Q4607" s="3"/>
      <c r="R4607" s="3"/>
      <c r="S4607" s="3"/>
      <c r="T4607" s="3"/>
      <c r="U4607" s="3"/>
      <c r="V4607" s="3"/>
      <c r="W4607" s="3"/>
      <c r="X4607" s="3"/>
      <c r="Y4607" s="4"/>
      <c r="Z4607"/>
      <c r="AA4607"/>
    </row>
    <row r="4608" spans="1:27" s="37" customFormat="1" x14ac:dyDescent="0.15">
      <c r="A4608" s="70"/>
      <c r="B4608" s="117"/>
      <c r="C4608" s="70"/>
      <c r="D4608" s="70"/>
      <c r="E4608" s="70"/>
      <c r="F4608" s="70"/>
      <c r="G4608" s="70"/>
      <c r="H4608" s="85"/>
      <c r="I4608" s="85"/>
      <c r="J4608" s="131"/>
      <c r="K4608" s="60"/>
      <c r="L4608" s="33"/>
      <c r="P4608" s="3"/>
      <c r="Q4608" s="3"/>
      <c r="R4608" s="3"/>
      <c r="S4608" s="3"/>
      <c r="T4608" s="3"/>
      <c r="U4608" s="3"/>
      <c r="V4608" s="3"/>
      <c r="W4608" s="3"/>
      <c r="X4608" s="3"/>
      <c r="Y4608" s="4"/>
      <c r="Z4608"/>
      <c r="AA4608"/>
    </row>
    <row r="4609" spans="1:27" s="37" customFormat="1" x14ac:dyDescent="0.15">
      <c r="A4609" s="70"/>
      <c r="B4609" s="117"/>
      <c r="C4609" s="70"/>
      <c r="D4609" s="70"/>
      <c r="E4609" s="70"/>
      <c r="F4609" s="70"/>
      <c r="G4609" s="70"/>
      <c r="H4609" s="85"/>
      <c r="I4609" s="85"/>
      <c r="J4609" s="131"/>
      <c r="K4609" s="60"/>
      <c r="L4609" s="33"/>
      <c r="P4609" s="3"/>
      <c r="Q4609" s="3"/>
      <c r="R4609" s="3"/>
      <c r="S4609" s="3"/>
      <c r="T4609" s="3"/>
      <c r="U4609" s="3"/>
      <c r="V4609" s="3"/>
      <c r="W4609" s="3"/>
      <c r="X4609" s="3"/>
      <c r="Y4609" s="4"/>
      <c r="Z4609"/>
      <c r="AA4609"/>
    </row>
    <row r="4610" spans="1:27" s="37" customFormat="1" x14ac:dyDescent="0.15">
      <c r="A4610" s="70"/>
      <c r="B4610" s="117"/>
      <c r="C4610" s="70"/>
      <c r="D4610" s="70"/>
      <c r="E4610" s="70"/>
      <c r="F4610" s="70"/>
      <c r="G4610" s="70"/>
      <c r="H4610" s="85"/>
      <c r="I4610" s="85"/>
      <c r="J4610" s="131"/>
      <c r="K4610" s="60"/>
      <c r="L4610" s="33"/>
      <c r="P4610" s="3"/>
      <c r="Q4610" s="3"/>
      <c r="R4610" s="3"/>
      <c r="S4610" s="3"/>
      <c r="T4610" s="3"/>
      <c r="U4610" s="3"/>
      <c r="V4610" s="3"/>
      <c r="W4610" s="3"/>
      <c r="X4610" s="3"/>
      <c r="Y4610" s="4"/>
      <c r="Z4610"/>
      <c r="AA4610"/>
    </row>
    <row r="4611" spans="1:27" s="37" customFormat="1" x14ac:dyDescent="0.15">
      <c r="A4611" s="70"/>
      <c r="B4611" s="117"/>
      <c r="C4611" s="70"/>
      <c r="D4611" s="70"/>
      <c r="E4611" s="70"/>
      <c r="F4611" s="70"/>
      <c r="G4611" s="70"/>
      <c r="H4611" s="85"/>
      <c r="I4611" s="85"/>
      <c r="J4611" s="131"/>
      <c r="K4611" s="60"/>
      <c r="L4611" s="33"/>
      <c r="P4611" s="3"/>
      <c r="Q4611" s="3"/>
      <c r="R4611" s="3"/>
      <c r="S4611" s="3"/>
      <c r="T4611" s="3"/>
      <c r="U4611" s="3"/>
      <c r="V4611" s="3"/>
      <c r="W4611" s="3"/>
      <c r="X4611" s="3"/>
      <c r="Y4611" s="4"/>
      <c r="Z4611"/>
      <c r="AA4611"/>
    </row>
    <row r="4612" spans="1:27" s="37" customFormat="1" x14ac:dyDescent="0.15">
      <c r="A4612" s="70"/>
      <c r="B4612" s="117"/>
      <c r="C4612" s="70"/>
      <c r="D4612" s="70"/>
      <c r="E4612" s="70"/>
      <c r="F4612" s="70"/>
      <c r="G4612" s="70"/>
      <c r="H4612" s="85"/>
      <c r="I4612" s="85"/>
      <c r="J4612" s="131"/>
      <c r="K4612" s="60"/>
      <c r="L4612" s="33"/>
      <c r="P4612" s="3"/>
      <c r="Q4612" s="3"/>
      <c r="R4612" s="3"/>
      <c r="S4612" s="3"/>
      <c r="T4612" s="3"/>
      <c r="U4612" s="3"/>
      <c r="V4612" s="3"/>
      <c r="W4612" s="3"/>
      <c r="X4612" s="3"/>
      <c r="Y4612" s="4"/>
      <c r="Z4612"/>
      <c r="AA4612"/>
    </row>
    <row r="4613" spans="1:27" s="37" customFormat="1" x14ac:dyDescent="0.15">
      <c r="A4613" s="70"/>
      <c r="B4613" s="117"/>
      <c r="C4613" s="73"/>
      <c r="D4613" s="73"/>
      <c r="E4613" s="73"/>
      <c r="F4613" s="73"/>
      <c r="G4613" s="73"/>
      <c r="H4613" s="85"/>
      <c r="I4613" s="95"/>
      <c r="J4613" s="134"/>
      <c r="K4613" s="63"/>
      <c r="L4613" s="33"/>
      <c r="P4613" s="3"/>
      <c r="Q4613" s="3"/>
      <c r="R4613" s="3"/>
      <c r="S4613" s="3"/>
      <c r="T4613" s="3"/>
      <c r="U4613" s="3"/>
      <c r="V4613" s="3"/>
      <c r="W4613" s="3"/>
      <c r="X4613" s="3"/>
      <c r="Y4613" s="4"/>
      <c r="Z4613"/>
      <c r="AA4613"/>
    </row>
    <row r="4614" spans="1:27" s="37" customFormat="1" ht="16" x14ac:dyDescent="0.2">
      <c r="A4614" s="70"/>
      <c r="B4614" s="117"/>
      <c r="C4614" s="70"/>
      <c r="D4614" s="70"/>
      <c r="E4614" s="70"/>
      <c r="F4614" s="70"/>
      <c r="G4614" s="70"/>
      <c r="H4614" s="85"/>
      <c r="I4614" s="85"/>
      <c r="J4614" s="131"/>
      <c r="K4614" s="60"/>
      <c r="L4614" s="47"/>
      <c r="P4614" s="3"/>
      <c r="Q4614" s="3"/>
      <c r="R4614" s="3"/>
      <c r="S4614" s="3"/>
      <c r="T4614" s="3"/>
      <c r="U4614" s="3"/>
      <c r="V4614" s="3"/>
      <c r="W4614" s="3"/>
      <c r="X4614" s="3"/>
      <c r="Y4614" s="4"/>
      <c r="Z4614"/>
      <c r="AA4614"/>
    </row>
    <row r="4615" spans="1:27" s="37" customFormat="1" x14ac:dyDescent="0.15">
      <c r="A4615" s="70"/>
      <c r="B4615" s="117"/>
      <c r="C4615" s="70"/>
      <c r="D4615" s="70"/>
      <c r="E4615" s="70"/>
      <c r="F4615" s="70"/>
      <c r="G4615" s="70"/>
      <c r="H4615" s="85"/>
      <c r="I4615" s="85"/>
      <c r="J4615" s="131"/>
      <c r="K4615" s="60"/>
      <c r="L4615" s="33"/>
      <c r="P4615" s="3"/>
      <c r="Q4615" s="3"/>
      <c r="R4615" s="3"/>
      <c r="S4615" s="3"/>
      <c r="T4615" s="3"/>
      <c r="U4615" s="3"/>
      <c r="V4615" s="3"/>
      <c r="W4615" s="3"/>
      <c r="X4615" s="3"/>
      <c r="Y4615" s="4"/>
      <c r="Z4615"/>
      <c r="AA4615"/>
    </row>
    <row r="4616" spans="1:27" s="37" customFormat="1" x14ac:dyDescent="0.15">
      <c r="A4616" s="70"/>
      <c r="B4616" s="117"/>
      <c r="C4616" s="70"/>
      <c r="D4616" s="70"/>
      <c r="E4616" s="70"/>
      <c r="F4616" s="70"/>
      <c r="G4616" s="70"/>
      <c r="H4616" s="85"/>
      <c r="I4616" s="85"/>
      <c r="J4616" s="131"/>
      <c r="K4616" s="60"/>
      <c r="L4616" s="33"/>
      <c r="P4616" s="3"/>
      <c r="Q4616" s="3"/>
      <c r="R4616" s="3"/>
      <c r="S4616" s="3"/>
      <c r="T4616" s="3"/>
      <c r="U4616" s="3"/>
      <c r="V4616" s="3"/>
      <c r="W4616" s="3"/>
      <c r="X4616" s="3"/>
      <c r="Y4616" s="4"/>
      <c r="Z4616"/>
      <c r="AA4616"/>
    </row>
    <row r="4617" spans="1:27" s="37" customFormat="1" ht="16" x14ac:dyDescent="0.2">
      <c r="A4617" s="70"/>
      <c r="B4617" s="117"/>
      <c r="C4617" s="70"/>
      <c r="D4617" s="70"/>
      <c r="E4617" s="70"/>
      <c r="F4617" s="70"/>
      <c r="G4617" s="70"/>
      <c r="H4617" s="85"/>
      <c r="I4617" s="85"/>
      <c r="J4617" s="131"/>
      <c r="K4617" s="60"/>
      <c r="L4617" s="47"/>
      <c r="P4617" s="3"/>
      <c r="Q4617" s="3"/>
      <c r="R4617" s="3"/>
      <c r="S4617" s="3"/>
      <c r="T4617" s="3"/>
      <c r="U4617" s="3"/>
      <c r="V4617" s="3"/>
      <c r="W4617" s="3"/>
      <c r="X4617" s="3"/>
      <c r="Y4617" s="4"/>
      <c r="Z4617"/>
      <c r="AA4617"/>
    </row>
    <row r="4618" spans="1:27" s="37" customFormat="1" x14ac:dyDescent="0.15">
      <c r="A4618" s="70"/>
      <c r="B4618" s="117"/>
      <c r="C4618" s="70"/>
      <c r="D4618" s="70"/>
      <c r="E4618" s="73"/>
      <c r="F4618" s="70"/>
      <c r="G4618" s="70"/>
      <c r="H4618" s="85"/>
      <c r="I4618" s="85"/>
      <c r="J4618" s="134"/>
      <c r="K4618" s="63"/>
      <c r="L4618" s="33"/>
      <c r="P4618" s="3"/>
      <c r="Q4618" s="3"/>
      <c r="R4618" s="3"/>
      <c r="S4618" s="3"/>
      <c r="T4618" s="3"/>
      <c r="U4618" s="3"/>
      <c r="V4618" s="3"/>
      <c r="W4618" s="3"/>
      <c r="X4618" s="3"/>
      <c r="Y4618" s="4"/>
      <c r="Z4618"/>
      <c r="AA4618"/>
    </row>
    <row r="4619" spans="1:27" s="37" customFormat="1" x14ac:dyDescent="0.15">
      <c r="A4619" s="70"/>
      <c r="B4619" s="118"/>
      <c r="C4619" s="70"/>
      <c r="D4619" s="70"/>
      <c r="E4619" s="70"/>
      <c r="F4619" s="70"/>
      <c r="G4619" s="70"/>
      <c r="H4619" s="85"/>
      <c r="I4619" s="85"/>
      <c r="J4619" s="131"/>
      <c r="K4619" s="60"/>
      <c r="L4619" s="49"/>
      <c r="P4619" s="3"/>
      <c r="Q4619" s="3"/>
      <c r="R4619" s="3"/>
      <c r="S4619" s="3"/>
      <c r="T4619" s="3"/>
      <c r="U4619" s="3"/>
      <c r="V4619" s="3"/>
      <c r="W4619" s="3"/>
      <c r="X4619" s="3"/>
      <c r="Y4619" s="4"/>
      <c r="Z4619"/>
      <c r="AA4619"/>
    </row>
    <row r="4620" spans="1:27" s="37" customFormat="1" x14ac:dyDescent="0.15">
      <c r="A4620" s="70"/>
      <c r="B4620" s="117"/>
      <c r="C4620" s="73"/>
      <c r="D4620" s="73"/>
      <c r="E4620" s="70"/>
      <c r="F4620" s="73"/>
      <c r="G4620" s="73"/>
      <c r="H4620" s="85"/>
      <c r="I4620" s="95"/>
      <c r="J4620" s="131"/>
      <c r="K4620" s="60"/>
      <c r="L4620" s="53"/>
      <c r="P4620" s="3"/>
      <c r="Q4620" s="3"/>
      <c r="R4620" s="3"/>
      <c r="S4620" s="3"/>
      <c r="T4620" s="3"/>
      <c r="U4620" s="3"/>
      <c r="V4620" s="3"/>
      <c r="W4620" s="3"/>
      <c r="X4620" s="3"/>
      <c r="Y4620" s="4"/>
      <c r="Z4620"/>
      <c r="AA4620"/>
    </row>
    <row r="4621" spans="1:27" s="37" customFormat="1" x14ac:dyDescent="0.15">
      <c r="A4621" s="70"/>
      <c r="B4621" s="118"/>
      <c r="C4621" s="70"/>
      <c r="D4621" s="70"/>
      <c r="E4621" s="70"/>
      <c r="F4621" s="70"/>
      <c r="G4621" s="70"/>
      <c r="H4621" s="85"/>
      <c r="I4621" s="85"/>
      <c r="J4621" s="131"/>
      <c r="K4621" s="60"/>
      <c r="L4621" s="49"/>
      <c r="P4621" s="3"/>
      <c r="Q4621" s="3"/>
      <c r="R4621" s="3"/>
      <c r="S4621" s="3"/>
      <c r="T4621" s="3"/>
      <c r="U4621" s="3"/>
      <c r="V4621" s="3"/>
      <c r="W4621" s="3"/>
      <c r="X4621" s="3"/>
      <c r="Y4621" s="4"/>
      <c r="Z4621"/>
      <c r="AA4621"/>
    </row>
    <row r="4622" spans="1:27" s="37" customFormat="1" ht="16" x14ac:dyDescent="0.2">
      <c r="A4622" s="70"/>
      <c r="B4622" s="117"/>
      <c r="C4622" s="70"/>
      <c r="D4622" s="70"/>
      <c r="E4622" s="70"/>
      <c r="F4622" s="70"/>
      <c r="G4622" s="70"/>
      <c r="H4622" s="85"/>
      <c r="I4622" s="85"/>
      <c r="J4622" s="131"/>
      <c r="K4622" s="60"/>
      <c r="L4622" s="47"/>
      <c r="P4622" s="3"/>
      <c r="Q4622" s="3"/>
      <c r="R4622" s="3"/>
      <c r="S4622" s="3"/>
      <c r="T4622" s="3"/>
      <c r="U4622" s="3"/>
      <c r="V4622" s="3"/>
      <c r="W4622" s="3"/>
      <c r="X4622" s="3"/>
      <c r="Y4622" s="4"/>
      <c r="Z4622"/>
      <c r="AA4622"/>
    </row>
    <row r="4623" spans="1:27" s="37" customFormat="1" ht="16" x14ac:dyDescent="0.2">
      <c r="A4623" s="70"/>
      <c r="B4623" s="117"/>
      <c r="C4623" s="70"/>
      <c r="D4623" s="70"/>
      <c r="E4623" s="70"/>
      <c r="F4623" s="70"/>
      <c r="G4623" s="70"/>
      <c r="H4623" s="85"/>
      <c r="I4623" s="85"/>
      <c r="J4623" s="131"/>
      <c r="K4623" s="60"/>
      <c r="L4623" s="47"/>
      <c r="P4623" s="3"/>
      <c r="Q4623" s="3"/>
      <c r="R4623" s="3"/>
      <c r="S4623" s="3"/>
      <c r="T4623" s="3"/>
      <c r="U4623" s="3"/>
      <c r="V4623" s="3"/>
      <c r="W4623" s="3"/>
      <c r="X4623" s="3"/>
      <c r="Y4623" s="4"/>
      <c r="Z4623"/>
      <c r="AA4623"/>
    </row>
    <row r="4624" spans="1:27" s="37" customFormat="1" x14ac:dyDescent="0.15">
      <c r="A4624" s="70"/>
      <c r="B4624" s="118"/>
      <c r="C4624" s="70"/>
      <c r="D4624" s="70"/>
      <c r="E4624" s="70"/>
      <c r="F4624" s="70"/>
      <c r="G4624" s="70"/>
      <c r="H4624" s="85"/>
      <c r="I4624" s="85"/>
      <c r="J4624" s="131"/>
      <c r="K4624" s="60"/>
      <c r="L4624" s="33"/>
      <c r="P4624" s="3"/>
      <c r="Q4624" s="3"/>
      <c r="R4624" s="3"/>
      <c r="S4624" s="3"/>
      <c r="T4624" s="3"/>
      <c r="U4624" s="3"/>
      <c r="V4624" s="3"/>
      <c r="W4624" s="3"/>
      <c r="X4624" s="3"/>
      <c r="Y4624" s="4"/>
      <c r="Z4624"/>
      <c r="AA4624"/>
    </row>
    <row r="4625" spans="1:27" s="37" customFormat="1" ht="16" x14ac:dyDescent="0.2">
      <c r="A4625" s="70"/>
      <c r="B4625" s="117"/>
      <c r="C4625" s="70"/>
      <c r="D4625" s="70"/>
      <c r="E4625" s="70"/>
      <c r="F4625" s="70"/>
      <c r="G4625" s="70"/>
      <c r="H4625" s="103"/>
      <c r="I4625" s="85"/>
      <c r="J4625" s="138"/>
      <c r="K4625" s="60"/>
      <c r="L4625" s="48"/>
      <c r="M4625" s="32"/>
      <c r="P4625" s="3"/>
      <c r="Q4625" s="3"/>
      <c r="R4625" s="3"/>
      <c r="S4625" s="3"/>
      <c r="T4625" s="3"/>
      <c r="U4625" s="3"/>
      <c r="V4625" s="3"/>
      <c r="W4625" s="3"/>
      <c r="X4625" s="3"/>
      <c r="Y4625" s="4"/>
      <c r="Z4625"/>
      <c r="AA4625"/>
    </row>
    <row r="4626" spans="1:27" s="37" customFormat="1" ht="16" x14ac:dyDescent="0.2">
      <c r="A4626" s="70"/>
      <c r="B4626" s="117"/>
      <c r="C4626" s="70"/>
      <c r="D4626" s="70"/>
      <c r="E4626" s="70"/>
      <c r="F4626" s="70"/>
      <c r="G4626" s="70"/>
      <c r="H4626" s="85"/>
      <c r="I4626" s="85"/>
      <c r="J4626" s="131"/>
      <c r="K4626" s="60"/>
      <c r="L4626" s="48"/>
      <c r="P4626" s="3"/>
      <c r="Q4626" s="3"/>
      <c r="R4626" s="3"/>
      <c r="S4626" s="3"/>
      <c r="T4626" s="3"/>
      <c r="U4626" s="3"/>
      <c r="V4626" s="3"/>
      <c r="W4626" s="3"/>
      <c r="X4626" s="3"/>
      <c r="Y4626" s="4"/>
      <c r="Z4626"/>
      <c r="AA4626"/>
    </row>
    <row r="4627" spans="1:27" s="37" customFormat="1" ht="16" x14ac:dyDescent="0.2">
      <c r="A4627" s="70"/>
      <c r="B4627" s="117"/>
      <c r="C4627" s="73"/>
      <c r="D4627" s="73"/>
      <c r="E4627" s="70"/>
      <c r="F4627" s="73"/>
      <c r="G4627" s="73"/>
      <c r="H4627" s="85"/>
      <c r="I4627" s="95"/>
      <c r="J4627" s="131"/>
      <c r="K4627" s="60"/>
      <c r="L4627" s="48"/>
      <c r="P4627" s="3"/>
      <c r="Q4627" s="3"/>
      <c r="R4627" s="3"/>
      <c r="S4627" s="3"/>
      <c r="T4627" s="3"/>
      <c r="U4627" s="3"/>
      <c r="V4627" s="3"/>
      <c r="W4627" s="3"/>
      <c r="X4627" s="3"/>
      <c r="Y4627" s="4"/>
      <c r="Z4627"/>
      <c r="AA4627"/>
    </row>
    <row r="4628" spans="1:27" s="37" customFormat="1" x14ac:dyDescent="0.15">
      <c r="A4628" s="70"/>
      <c r="B4628" s="117"/>
      <c r="C4628" s="70"/>
      <c r="D4628" s="70"/>
      <c r="E4628" s="70"/>
      <c r="F4628" s="70"/>
      <c r="G4628" s="70"/>
      <c r="H4628" s="85"/>
      <c r="I4628" s="85"/>
      <c r="J4628" s="131"/>
      <c r="K4628" s="60"/>
      <c r="P4628" s="3"/>
      <c r="Q4628" s="3"/>
      <c r="R4628" s="3"/>
      <c r="S4628" s="3"/>
      <c r="T4628" s="3"/>
      <c r="U4628" s="3"/>
      <c r="V4628" s="3"/>
      <c r="W4628" s="3"/>
      <c r="X4628" s="3"/>
      <c r="Y4628" s="4"/>
      <c r="Z4628"/>
      <c r="AA4628"/>
    </row>
    <row r="4629" spans="1:27" s="37" customFormat="1" x14ac:dyDescent="0.15">
      <c r="A4629" s="70"/>
      <c r="B4629" s="117"/>
      <c r="C4629" s="70"/>
      <c r="D4629" s="70"/>
      <c r="E4629" s="70"/>
      <c r="F4629" s="70"/>
      <c r="G4629" s="70"/>
      <c r="H4629" s="85"/>
      <c r="I4629" s="85"/>
      <c r="J4629" s="131"/>
      <c r="K4629" s="60"/>
      <c r="P4629" s="3"/>
      <c r="Q4629" s="3"/>
      <c r="R4629" s="3"/>
      <c r="S4629" s="3"/>
      <c r="T4629" s="3"/>
      <c r="U4629" s="3"/>
      <c r="V4629" s="3"/>
      <c r="W4629" s="3"/>
      <c r="X4629" s="3"/>
      <c r="Y4629" s="4"/>
      <c r="Z4629"/>
      <c r="AA4629"/>
    </row>
    <row r="4630" spans="1:27" s="37" customFormat="1" x14ac:dyDescent="0.15">
      <c r="A4630" s="70"/>
      <c r="B4630" s="117"/>
      <c r="C4630" s="70"/>
      <c r="D4630" s="70"/>
      <c r="E4630" s="70"/>
      <c r="F4630" s="70"/>
      <c r="G4630" s="70"/>
      <c r="H4630" s="85"/>
      <c r="I4630" s="85"/>
      <c r="J4630" s="131"/>
      <c r="K4630" s="60"/>
      <c r="P4630" s="3"/>
      <c r="Q4630" s="3"/>
      <c r="R4630" s="3"/>
      <c r="S4630" s="3"/>
      <c r="T4630" s="3"/>
      <c r="U4630" s="3"/>
      <c r="V4630" s="3"/>
      <c r="W4630" s="3"/>
      <c r="X4630" s="3"/>
      <c r="Y4630" s="4"/>
      <c r="Z4630"/>
      <c r="AA4630"/>
    </row>
    <row r="4631" spans="1:27" s="37" customFormat="1" x14ac:dyDescent="0.15">
      <c r="A4631" s="70"/>
      <c r="B4631" s="117"/>
      <c r="C4631" s="70"/>
      <c r="D4631" s="70"/>
      <c r="E4631" s="70"/>
      <c r="F4631" s="70"/>
      <c r="G4631" s="70"/>
      <c r="H4631" s="85"/>
      <c r="I4631" s="85"/>
      <c r="J4631" s="131"/>
      <c r="K4631" s="60"/>
      <c r="P4631" s="3"/>
      <c r="Q4631" s="3"/>
      <c r="R4631" s="3"/>
      <c r="S4631" s="3"/>
      <c r="T4631" s="3"/>
      <c r="U4631" s="3"/>
      <c r="V4631" s="3"/>
      <c r="W4631" s="3"/>
      <c r="X4631" s="3"/>
      <c r="Y4631" s="4"/>
      <c r="Z4631"/>
      <c r="AA4631"/>
    </row>
    <row r="4632" spans="1:27" s="37" customFormat="1" x14ac:dyDescent="0.15">
      <c r="A4632" s="70"/>
      <c r="B4632" s="117"/>
      <c r="C4632" s="70"/>
      <c r="D4632" s="70"/>
      <c r="E4632" s="70"/>
      <c r="F4632" s="70"/>
      <c r="G4632" s="70"/>
      <c r="H4632" s="85"/>
      <c r="I4632" s="85"/>
      <c r="J4632" s="131"/>
      <c r="K4632" s="60"/>
      <c r="L4632" s="49"/>
      <c r="P4632" s="3"/>
      <c r="Q4632" s="3"/>
      <c r="R4632" s="3"/>
      <c r="S4632" s="3"/>
      <c r="T4632" s="3"/>
      <c r="U4632" s="3"/>
      <c r="V4632" s="3"/>
      <c r="W4632" s="3"/>
      <c r="X4632" s="3"/>
      <c r="Y4632" s="4"/>
      <c r="Z4632"/>
      <c r="AA4632"/>
    </row>
    <row r="4633" spans="1:27" s="37" customFormat="1" x14ac:dyDescent="0.15">
      <c r="A4633" s="70"/>
      <c r="B4633" s="117"/>
      <c r="C4633" s="70"/>
      <c r="D4633" s="70"/>
      <c r="E4633" s="70"/>
      <c r="F4633" s="70"/>
      <c r="G4633" s="70"/>
      <c r="H4633" s="85"/>
      <c r="I4633" s="85"/>
      <c r="J4633" s="131"/>
      <c r="K4633" s="60"/>
      <c r="P4633" s="3"/>
      <c r="Q4633" s="3"/>
      <c r="R4633" s="3"/>
      <c r="S4633" s="3"/>
      <c r="T4633" s="3"/>
      <c r="U4633" s="3"/>
      <c r="V4633" s="3"/>
      <c r="W4633" s="3"/>
      <c r="X4633" s="3"/>
      <c r="Y4633" s="4"/>
      <c r="Z4633"/>
      <c r="AA4633"/>
    </row>
    <row r="4634" spans="1:27" s="37" customFormat="1" x14ac:dyDescent="0.15">
      <c r="A4634" s="70"/>
      <c r="B4634" s="117"/>
      <c r="C4634" s="70"/>
      <c r="D4634" s="70"/>
      <c r="E4634" s="70"/>
      <c r="F4634" s="70"/>
      <c r="G4634" s="70"/>
      <c r="H4634" s="85"/>
      <c r="I4634" s="85"/>
      <c r="J4634" s="131"/>
      <c r="K4634" s="60"/>
      <c r="P4634" s="3"/>
      <c r="Q4634" s="3"/>
      <c r="R4634" s="3"/>
      <c r="S4634" s="3"/>
      <c r="T4634" s="3"/>
      <c r="U4634" s="3"/>
      <c r="V4634" s="3"/>
      <c r="W4634" s="3"/>
      <c r="X4634" s="3"/>
      <c r="Y4634" s="4"/>
      <c r="Z4634"/>
      <c r="AA4634"/>
    </row>
    <row r="4635" spans="1:27" s="37" customFormat="1" x14ac:dyDescent="0.15">
      <c r="A4635" s="70"/>
      <c r="B4635" s="117"/>
      <c r="C4635" s="70"/>
      <c r="D4635" s="70"/>
      <c r="E4635" s="70"/>
      <c r="F4635" s="70"/>
      <c r="G4635" s="70"/>
      <c r="H4635" s="85"/>
      <c r="I4635" s="85"/>
      <c r="J4635" s="138"/>
      <c r="K4635" s="60"/>
      <c r="M4635" s="32"/>
      <c r="P4635" s="3"/>
      <c r="Q4635" s="3"/>
      <c r="R4635" s="3"/>
      <c r="S4635" s="3"/>
      <c r="T4635" s="3"/>
      <c r="U4635" s="3"/>
      <c r="V4635" s="3"/>
      <c r="W4635" s="3"/>
      <c r="X4635" s="3"/>
      <c r="Y4635" s="4"/>
      <c r="Z4635"/>
      <c r="AA4635"/>
    </row>
    <row r="4636" spans="1:27" s="37" customFormat="1" x14ac:dyDescent="0.15">
      <c r="A4636" s="70"/>
      <c r="B4636" s="117"/>
      <c r="C4636" s="70"/>
      <c r="D4636" s="70"/>
      <c r="E4636" s="70"/>
      <c r="F4636" s="70"/>
      <c r="G4636" s="70"/>
      <c r="H4636" s="85"/>
      <c r="I4636" s="85"/>
      <c r="J4636" s="131"/>
      <c r="K4636" s="60"/>
      <c r="P4636" s="3"/>
      <c r="Q4636" s="3"/>
      <c r="R4636" s="3"/>
      <c r="S4636" s="3"/>
      <c r="T4636" s="3"/>
      <c r="U4636" s="3"/>
      <c r="V4636" s="3"/>
      <c r="W4636" s="3"/>
      <c r="X4636" s="3"/>
      <c r="Y4636" s="4"/>
      <c r="Z4636"/>
      <c r="AA4636"/>
    </row>
    <row r="4637" spans="1:27" s="37" customFormat="1" x14ac:dyDescent="0.15">
      <c r="A4637" s="70"/>
      <c r="B4637" s="117"/>
      <c r="C4637" s="70"/>
      <c r="D4637" s="70"/>
      <c r="E4637" s="70"/>
      <c r="F4637" s="70"/>
      <c r="G4637" s="70"/>
      <c r="H4637" s="85"/>
      <c r="I4637" s="85"/>
      <c r="J4637" s="131"/>
      <c r="K4637" s="60"/>
      <c r="L4637" s="33"/>
      <c r="P4637" s="3"/>
      <c r="Q4637" s="3"/>
      <c r="R4637" s="3"/>
      <c r="S4637" s="3"/>
      <c r="T4637" s="3"/>
      <c r="U4637" s="3"/>
      <c r="V4637" s="3"/>
      <c r="W4637" s="3"/>
      <c r="X4637" s="3"/>
      <c r="Y4637" s="4"/>
      <c r="Z4637"/>
      <c r="AA4637"/>
    </row>
    <row r="4638" spans="1:27" s="37" customFormat="1" x14ac:dyDescent="0.15">
      <c r="A4638" s="70"/>
      <c r="B4638" s="117"/>
      <c r="C4638" s="73"/>
      <c r="D4638" s="73"/>
      <c r="E4638" s="70"/>
      <c r="F4638" s="73"/>
      <c r="G4638" s="73"/>
      <c r="H4638" s="85"/>
      <c r="I4638" s="95"/>
      <c r="J4638" s="131"/>
      <c r="K4638" s="60"/>
      <c r="L4638" s="33"/>
      <c r="P4638" s="3"/>
      <c r="Q4638" s="3"/>
      <c r="R4638" s="3"/>
      <c r="S4638" s="3"/>
      <c r="T4638" s="3"/>
      <c r="U4638" s="3"/>
      <c r="V4638" s="3"/>
      <c r="W4638" s="3"/>
      <c r="X4638" s="3"/>
      <c r="Y4638" s="4"/>
      <c r="Z4638"/>
      <c r="AA4638"/>
    </row>
    <row r="4639" spans="1:27" s="37" customFormat="1" x14ac:dyDescent="0.15">
      <c r="A4639" s="70"/>
      <c r="B4639" s="117"/>
      <c r="C4639" s="70"/>
      <c r="D4639" s="70"/>
      <c r="E4639" s="70"/>
      <c r="F4639" s="70"/>
      <c r="G4639" s="70"/>
      <c r="H4639" s="85"/>
      <c r="I4639" s="85"/>
      <c r="J4639" s="131"/>
      <c r="K4639" s="60"/>
      <c r="L4639" s="33"/>
      <c r="P4639" s="3"/>
      <c r="Q4639" s="3"/>
      <c r="R4639" s="3"/>
      <c r="S4639" s="3"/>
      <c r="T4639" s="3"/>
      <c r="U4639" s="3"/>
      <c r="V4639" s="3"/>
      <c r="W4639" s="3"/>
      <c r="X4639" s="3"/>
      <c r="Y4639" s="4"/>
      <c r="Z4639"/>
      <c r="AA4639"/>
    </row>
    <row r="4640" spans="1:27" s="37" customFormat="1" x14ac:dyDescent="0.15">
      <c r="A4640" s="70"/>
      <c r="B4640" s="117"/>
      <c r="C4640" s="70"/>
      <c r="D4640" s="70"/>
      <c r="E4640" s="70"/>
      <c r="F4640" s="70"/>
      <c r="G4640" s="70"/>
      <c r="H4640" s="103"/>
      <c r="I4640" s="85"/>
      <c r="J4640" s="131"/>
      <c r="K4640" s="63"/>
      <c r="P4640" s="3"/>
      <c r="Q4640" s="3"/>
      <c r="R4640" s="3"/>
      <c r="S4640" s="3"/>
      <c r="T4640" s="3"/>
      <c r="U4640" s="3"/>
      <c r="V4640" s="3"/>
      <c r="W4640" s="3"/>
      <c r="X4640" s="3"/>
      <c r="Y4640" s="4"/>
      <c r="Z4640"/>
      <c r="AA4640"/>
    </row>
    <row r="4641" spans="1:27" s="37" customFormat="1" x14ac:dyDescent="0.15">
      <c r="A4641" s="70"/>
      <c r="B4641" s="117"/>
      <c r="C4641" s="70"/>
      <c r="D4641" s="70"/>
      <c r="E4641" s="70"/>
      <c r="F4641" s="70"/>
      <c r="G4641" s="70"/>
      <c r="H4641" s="85"/>
      <c r="I4641" s="85"/>
      <c r="J4641" s="131"/>
      <c r="K4641" s="60"/>
      <c r="L4641" s="33"/>
      <c r="P4641" s="3"/>
      <c r="Q4641" s="3"/>
      <c r="R4641" s="3"/>
      <c r="S4641" s="3"/>
      <c r="T4641" s="3"/>
      <c r="U4641" s="3"/>
      <c r="V4641" s="3"/>
      <c r="W4641" s="3"/>
      <c r="X4641" s="3"/>
      <c r="Y4641" s="4"/>
      <c r="Z4641"/>
      <c r="AA4641"/>
    </row>
    <row r="4642" spans="1:27" s="37" customFormat="1" x14ac:dyDescent="0.15">
      <c r="A4642" s="70"/>
      <c r="B4642" s="117"/>
      <c r="C4642" s="70"/>
      <c r="D4642" s="70"/>
      <c r="E4642" s="70"/>
      <c r="F4642" s="70"/>
      <c r="G4642" s="70"/>
      <c r="H4642" s="85"/>
      <c r="I4642" s="85"/>
      <c r="J4642" s="131"/>
      <c r="K4642" s="60"/>
      <c r="L4642" s="33"/>
      <c r="P4642" s="3"/>
      <c r="Q4642" s="3"/>
      <c r="R4642" s="3"/>
      <c r="S4642" s="3"/>
      <c r="T4642" s="3"/>
      <c r="U4642" s="3"/>
      <c r="V4642" s="3"/>
      <c r="W4642" s="3"/>
      <c r="X4642" s="3"/>
      <c r="Y4642" s="4"/>
      <c r="Z4642"/>
      <c r="AA4642"/>
    </row>
    <row r="4643" spans="1:27" s="37" customFormat="1" x14ac:dyDescent="0.15">
      <c r="A4643" s="70"/>
      <c r="B4643" s="117"/>
      <c r="C4643" s="70"/>
      <c r="D4643" s="70"/>
      <c r="E4643" s="70"/>
      <c r="F4643" s="70"/>
      <c r="G4643" s="70"/>
      <c r="H4643" s="85"/>
      <c r="I4643" s="85"/>
      <c r="J4643" s="131"/>
      <c r="K4643" s="60"/>
      <c r="L4643" s="33"/>
      <c r="P4643" s="3"/>
      <c r="Q4643" s="3"/>
      <c r="R4643" s="3"/>
      <c r="S4643" s="3"/>
      <c r="T4643" s="3"/>
      <c r="U4643" s="3"/>
      <c r="V4643" s="3"/>
      <c r="W4643" s="3"/>
      <c r="X4643" s="3"/>
      <c r="Y4643" s="4"/>
      <c r="Z4643"/>
      <c r="AA4643"/>
    </row>
    <row r="4644" spans="1:27" s="37" customFormat="1" x14ac:dyDescent="0.15">
      <c r="A4644" s="70"/>
      <c r="B4644" s="117"/>
      <c r="C4644" s="70"/>
      <c r="D4644" s="70"/>
      <c r="E4644" s="70"/>
      <c r="F4644" s="70"/>
      <c r="G4644" s="70"/>
      <c r="H4644" s="85"/>
      <c r="I4644" s="85"/>
      <c r="J4644" s="131"/>
      <c r="K4644" s="60"/>
      <c r="L4644" s="33"/>
      <c r="P4644" s="3"/>
      <c r="Q4644" s="3"/>
      <c r="R4644" s="3"/>
      <c r="S4644" s="3"/>
      <c r="T4644" s="3"/>
      <c r="U4644" s="3"/>
      <c r="V4644" s="3"/>
      <c r="W4644" s="3"/>
      <c r="X4644" s="3"/>
      <c r="Y4644" s="4"/>
      <c r="Z4644"/>
      <c r="AA4644"/>
    </row>
    <row r="4645" spans="1:27" s="37" customFormat="1" x14ac:dyDescent="0.15">
      <c r="A4645" s="70"/>
      <c r="B4645" s="117"/>
      <c r="C4645" s="70"/>
      <c r="D4645" s="70"/>
      <c r="E4645" s="70"/>
      <c r="F4645" s="70"/>
      <c r="G4645" s="70"/>
      <c r="H4645" s="85"/>
      <c r="I4645" s="85"/>
      <c r="J4645" s="131"/>
      <c r="K4645" s="60"/>
      <c r="L4645" s="33"/>
      <c r="P4645" s="3"/>
      <c r="Q4645" s="3"/>
      <c r="R4645" s="3"/>
      <c r="S4645" s="3"/>
      <c r="T4645" s="3"/>
      <c r="U4645" s="3"/>
      <c r="V4645" s="3"/>
      <c r="W4645" s="3"/>
      <c r="X4645" s="3"/>
      <c r="Y4645" s="4"/>
      <c r="Z4645"/>
      <c r="AA4645"/>
    </row>
    <row r="4646" spans="1:27" s="37" customFormat="1" x14ac:dyDescent="0.15">
      <c r="A4646" s="70"/>
      <c r="B4646" s="117"/>
      <c r="C4646" s="70"/>
      <c r="D4646" s="70"/>
      <c r="E4646" s="73"/>
      <c r="F4646" s="70"/>
      <c r="G4646" s="70"/>
      <c r="H4646" s="85"/>
      <c r="I4646" s="85"/>
      <c r="J4646" s="131"/>
      <c r="K4646" s="60"/>
      <c r="L4646" s="33"/>
      <c r="P4646" s="3"/>
      <c r="Q4646" s="3"/>
      <c r="R4646" s="3"/>
      <c r="S4646" s="3"/>
      <c r="T4646" s="3"/>
      <c r="U4646" s="3"/>
      <c r="V4646" s="3"/>
      <c r="W4646" s="3"/>
      <c r="X4646" s="3"/>
      <c r="Y4646" s="4"/>
      <c r="Z4646"/>
      <c r="AA4646"/>
    </row>
    <row r="4647" spans="1:27" s="37" customFormat="1" x14ac:dyDescent="0.15">
      <c r="A4647" s="70"/>
      <c r="B4647" s="117"/>
      <c r="C4647" s="70"/>
      <c r="D4647" s="70"/>
      <c r="E4647" s="70"/>
      <c r="F4647" s="70"/>
      <c r="G4647" s="70"/>
      <c r="H4647" s="85"/>
      <c r="I4647" s="85"/>
      <c r="J4647" s="131"/>
      <c r="K4647" s="60"/>
      <c r="L4647" s="33"/>
      <c r="P4647" s="3"/>
      <c r="Q4647" s="3"/>
      <c r="R4647" s="3"/>
      <c r="S4647" s="3"/>
      <c r="T4647" s="3"/>
      <c r="U4647" s="3"/>
      <c r="V4647" s="3"/>
      <c r="W4647" s="3"/>
      <c r="X4647" s="3"/>
      <c r="Y4647" s="4"/>
      <c r="Z4647"/>
      <c r="AA4647"/>
    </row>
    <row r="4648" spans="1:27" s="37" customFormat="1" x14ac:dyDescent="0.15">
      <c r="A4648" s="83"/>
      <c r="B4648" s="118"/>
      <c r="C4648" s="83"/>
      <c r="D4648" s="83"/>
      <c r="E4648" s="83"/>
      <c r="F4648" s="83"/>
      <c r="G4648" s="83"/>
      <c r="H4648" s="85"/>
      <c r="I4648" s="85"/>
      <c r="J4648" s="139"/>
      <c r="K4648" s="72"/>
      <c r="L4648" s="31"/>
      <c r="P4648" s="3"/>
      <c r="Q4648" s="3"/>
      <c r="R4648" s="3"/>
      <c r="S4648" s="3"/>
      <c r="T4648" s="3"/>
      <c r="U4648" s="3"/>
      <c r="V4648" s="3"/>
      <c r="W4648" s="3"/>
      <c r="X4648" s="3"/>
      <c r="Y4648" s="4"/>
      <c r="Z4648"/>
      <c r="AA4648"/>
    </row>
    <row r="4649" spans="1:27" s="37" customFormat="1" x14ac:dyDescent="0.15">
      <c r="A4649" s="83"/>
      <c r="B4649" s="118"/>
      <c r="C4649" s="83"/>
      <c r="D4649" s="83"/>
      <c r="E4649" s="83"/>
      <c r="F4649" s="83"/>
      <c r="G4649" s="83"/>
      <c r="H4649" s="85"/>
      <c r="I4649" s="85"/>
      <c r="J4649" s="139"/>
      <c r="K4649" s="72"/>
      <c r="L4649" s="31"/>
      <c r="P4649" s="3"/>
      <c r="Q4649" s="3"/>
      <c r="R4649" s="3"/>
      <c r="S4649" s="3"/>
      <c r="T4649" s="3"/>
      <c r="U4649" s="3"/>
      <c r="V4649" s="3"/>
      <c r="W4649" s="3"/>
      <c r="X4649" s="3"/>
      <c r="Y4649" s="4"/>
      <c r="Z4649"/>
      <c r="AA4649"/>
    </row>
    <row r="4650" spans="1:27" s="37" customFormat="1" x14ac:dyDescent="0.15">
      <c r="A4650" s="70"/>
      <c r="B4650" s="117"/>
      <c r="C4650" s="70"/>
      <c r="D4650" s="70"/>
      <c r="E4650" s="70"/>
      <c r="F4650" s="70"/>
      <c r="G4650" s="70"/>
      <c r="H4650" s="85"/>
      <c r="I4650" s="85"/>
      <c r="J4650" s="131"/>
      <c r="K4650" s="60"/>
      <c r="L4650" s="33"/>
      <c r="P4650" s="3"/>
      <c r="Q4650" s="3"/>
      <c r="R4650" s="3"/>
      <c r="S4650" s="3"/>
      <c r="T4650" s="3"/>
      <c r="U4650" s="3"/>
      <c r="V4650" s="3"/>
      <c r="W4650" s="3"/>
      <c r="X4650" s="3"/>
      <c r="Y4650" s="4"/>
      <c r="Z4650"/>
      <c r="AA4650"/>
    </row>
    <row r="4651" spans="1:27" s="37" customFormat="1" x14ac:dyDescent="0.15">
      <c r="A4651" s="70"/>
      <c r="B4651" s="117"/>
      <c r="C4651" s="70"/>
      <c r="D4651" s="70"/>
      <c r="E4651" s="70"/>
      <c r="F4651" s="70"/>
      <c r="G4651" s="70"/>
      <c r="H4651" s="85"/>
      <c r="I4651" s="85"/>
      <c r="J4651" s="131"/>
      <c r="K4651" s="60"/>
      <c r="L4651" s="33"/>
      <c r="P4651" s="3"/>
      <c r="Q4651" s="3"/>
      <c r="R4651" s="3"/>
      <c r="S4651" s="3"/>
      <c r="T4651" s="3"/>
      <c r="U4651" s="3"/>
      <c r="V4651" s="3"/>
      <c r="W4651" s="3"/>
      <c r="X4651" s="3"/>
      <c r="Y4651" s="4"/>
      <c r="Z4651"/>
      <c r="AA4651"/>
    </row>
    <row r="4652" spans="1:27" s="37" customFormat="1" x14ac:dyDescent="0.15">
      <c r="A4652" s="70"/>
      <c r="B4652" s="117"/>
      <c r="C4652" s="70"/>
      <c r="D4652" s="70"/>
      <c r="E4652" s="70"/>
      <c r="F4652" s="70"/>
      <c r="G4652" s="70"/>
      <c r="H4652" s="85"/>
      <c r="I4652" s="85"/>
      <c r="J4652" s="131"/>
      <c r="K4652" s="60"/>
      <c r="L4652" s="33"/>
      <c r="P4652" s="3"/>
      <c r="Q4652" s="3"/>
      <c r="R4652" s="3"/>
      <c r="S4652" s="3"/>
      <c r="T4652" s="3"/>
      <c r="U4652" s="3"/>
      <c r="V4652" s="3"/>
      <c r="W4652" s="3"/>
      <c r="X4652" s="3"/>
      <c r="Y4652" s="4"/>
      <c r="Z4652"/>
      <c r="AA4652"/>
    </row>
    <row r="4653" spans="1:27" s="37" customFormat="1" x14ac:dyDescent="0.15">
      <c r="A4653" s="70"/>
      <c r="B4653" s="117"/>
      <c r="C4653" s="70"/>
      <c r="D4653" s="70"/>
      <c r="E4653" s="70"/>
      <c r="F4653" s="70"/>
      <c r="G4653" s="70"/>
      <c r="H4653" s="85"/>
      <c r="I4653" s="85"/>
      <c r="J4653" s="131"/>
      <c r="K4653" s="60"/>
      <c r="L4653" s="33"/>
      <c r="P4653" s="3"/>
      <c r="Q4653" s="3"/>
      <c r="R4653" s="3"/>
      <c r="S4653" s="3"/>
      <c r="T4653" s="3"/>
      <c r="U4653" s="3"/>
      <c r="V4653" s="3"/>
      <c r="W4653" s="3"/>
      <c r="X4653" s="3"/>
      <c r="Y4653" s="4"/>
      <c r="Z4653"/>
      <c r="AA4653"/>
    </row>
    <row r="4654" spans="1:27" s="37" customFormat="1" x14ac:dyDescent="0.15">
      <c r="A4654" s="70"/>
      <c r="B4654" s="117"/>
      <c r="C4654" s="70"/>
      <c r="D4654" s="70"/>
      <c r="E4654" s="70"/>
      <c r="F4654" s="70"/>
      <c r="G4654" s="70"/>
      <c r="H4654" s="85"/>
      <c r="I4654" s="85"/>
      <c r="J4654" s="131"/>
      <c r="K4654" s="60"/>
      <c r="L4654" s="33"/>
      <c r="P4654" s="3"/>
      <c r="Q4654" s="3"/>
      <c r="R4654" s="3"/>
      <c r="S4654" s="3"/>
      <c r="T4654" s="3"/>
      <c r="U4654" s="3"/>
      <c r="V4654" s="3"/>
      <c r="W4654" s="3"/>
      <c r="X4654" s="3"/>
      <c r="Y4654" s="4"/>
      <c r="Z4654"/>
      <c r="AA4654"/>
    </row>
    <row r="4655" spans="1:27" s="37" customFormat="1" x14ac:dyDescent="0.15">
      <c r="A4655" s="70"/>
      <c r="B4655" s="117"/>
      <c r="C4655" s="70"/>
      <c r="D4655" s="70"/>
      <c r="E4655" s="70"/>
      <c r="F4655" s="70"/>
      <c r="G4655" s="70"/>
      <c r="H4655" s="85"/>
      <c r="I4655" s="85"/>
      <c r="J4655" s="131"/>
      <c r="K4655" s="60"/>
      <c r="L4655" s="33"/>
      <c r="P4655" s="3"/>
      <c r="Q4655" s="3"/>
      <c r="R4655" s="3"/>
      <c r="S4655" s="3"/>
      <c r="T4655" s="3"/>
      <c r="U4655" s="3"/>
      <c r="V4655" s="3"/>
      <c r="W4655" s="3"/>
      <c r="X4655" s="3"/>
      <c r="Y4655" s="4"/>
      <c r="Z4655"/>
      <c r="AA4655"/>
    </row>
    <row r="4656" spans="1:27" s="37" customFormat="1" x14ac:dyDescent="0.15">
      <c r="A4656" s="70"/>
      <c r="B4656" s="118"/>
      <c r="C4656" s="70"/>
      <c r="D4656" s="70"/>
      <c r="E4656" s="70"/>
      <c r="F4656" s="70"/>
      <c r="G4656" s="70"/>
      <c r="H4656" s="85"/>
      <c r="I4656" s="85"/>
      <c r="J4656" s="131"/>
      <c r="K4656" s="60"/>
      <c r="L4656" s="33"/>
      <c r="P4656" s="3"/>
      <c r="Q4656" s="3"/>
      <c r="R4656" s="3"/>
      <c r="S4656" s="3"/>
      <c r="T4656" s="3"/>
      <c r="U4656" s="3"/>
      <c r="V4656" s="3"/>
      <c r="W4656" s="3"/>
      <c r="X4656" s="3"/>
      <c r="Y4656" s="4"/>
      <c r="Z4656"/>
      <c r="AA4656"/>
    </row>
    <row r="4657" spans="1:27" s="37" customFormat="1" x14ac:dyDescent="0.15">
      <c r="A4657" s="70"/>
      <c r="B4657" s="117"/>
      <c r="C4657" s="70"/>
      <c r="D4657" s="70"/>
      <c r="E4657" s="70"/>
      <c r="F4657" s="70"/>
      <c r="G4657" s="70"/>
      <c r="H4657" s="85"/>
      <c r="I4657" s="85"/>
      <c r="J4657" s="131"/>
      <c r="K4657" s="60"/>
      <c r="L4657" s="33"/>
      <c r="P4657" s="3"/>
      <c r="Q4657" s="3"/>
      <c r="R4657" s="3"/>
      <c r="S4657" s="3"/>
      <c r="T4657" s="3"/>
      <c r="U4657" s="3"/>
      <c r="V4657" s="3"/>
      <c r="W4657" s="3"/>
      <c r="X4657" s="3"/>
      <c r="Y4657" s="4"/>
      <c r="Z4657"/>
      <c r="AA4657"/>
    </row>
    <row r="4658" spans="1:27" s="37" customFormat="1" ht="16" x14ac:dyDescent="0.2">
      <c r="A4658" s="70"/>
      <c r="B4658" s="117"/>
      <c r="C4658" s="70"/>
      <c r="D4658" s="70"/>
      <c r="E4658" s="70"/>
      <c r="F4658" s="70"/>
      <c r="G4658" s="70"/>
      <c r="H4658" s="85"/>
      <c r="I4658" s="85"/>
      <c r="J4658" s="131"/>
      <c r="K4658" s="60"/>
      <c r="L4658" s="47"/>
      <c r="P4658" s="3"/>
      <c r="Q4658" s="3"/>
      <c r="R4658" s="3"/>
      <c r="S4658" s="3"/>
      <c r="T4658" s="3"/>
      <c r="U4658" s="3"/>
      <c r="V4658" s="3"/>
      <c r="W4658" s="3"/>
      <c r="X4658" s="3"/>
      <c r="Y4658" s="4"/>
      <c r="Z4658"/>
      <c r="AA4658"/>
    </row>
    <row r="4659" spans="1:27" s="37" customFormat="1" x14ac:dyDescent="0.15">
      <c r="A4659" s="70"/>
      <c r="B4659" s="117"/>
      <c r="C4659" s="70"/>
      <c r="D4659" s="70"/>
      <c r="E4659" s="70"/>
      <c r="F4659" s="70"/>
      <c r="G4659" s="70"/>
      <c r="H4659" s="85"/>
      <c r="I4659" s="85"/>
      <c r="J4659" s="131"/>
      <c r="K4659" s="60"/>
      <c r="P4659" s="3"/>
      <c r="Q4659" s="3"/>
      <c r="R4659" s="3"/>
      <c r="S4659" s="3"/>
      <c r="T4659" s="3"/>
      <c r="U4659" s="3"/>
      <c r="V4659" s="3"/>
      <c r="W4659" s="3"/>
      <c r="X4659" s="3"/>
      <c r="Y4659" s="4"/>
      <c r="Z4659"/>
      <c r="AA4659"/>
    </row>
    <row r="4660" spans="1:27" s="37" customFormat="1" x14ac:dyDescent="0.15">
      <c r="A4660" s="70"/>
      <c r="B4660" s="117"/>
      <c r="C4660" s="70"/>
      <c r="D4660" s="70"/>
      <c r="E4660" s="70"/>
      <c r="F4660" s="70"/>
      <c r="G4660" s="70"/>
      <c r="H4660" s="85"/>
      <c r="I4660" s="85"/>
      <c r="J4660" s="131"/>
      <c r="K4660" s="60"/>
      <c r="L4660" s="33"/>
      <c r="P4660" s="3"/>
      <c r="Q4660" s="3"/>
      <c r="R4660" s="3"/>
      <c r="S4660" s="3"/>
      <c r="T4660" s="3"/>
      <c r="U4660" s="3"/>
      <c r="V4660" s="3"/>
      <c r="W4660" s="3"/>
      <c r="X4660" s="3"/>
      <c r="Y4660" s="4"/>
      <c r="Z4660"/>
      <c r="AA4660"/>
    </row>
    <row r="4661" spans="1:27" s="37" customFormat="1" x14ac:dyDescent="0.15">
      <c r="A4661" s="70"/>
      <c r="B4661" s="117"/>
      <c r="C4661" s="70"/>
      <c r="D4661" s="70"/>
      <c r="E4661" s="70"/>
      <c r="F4661" s="70"/>
      <c r="G4661" s="70"/>
      <c r="H4661" s="85"/>
      <c r="I4661" s="85"/>
      <c r="J4661" s="131"/>
      <c r="K4661" s="60"/>
      <c r="L4661" s="33"/>
      <c r="P4661" s="3"/>
      <c r="Q4661" s="3"/>
      <c r="R4661" s="3"/>
      <c r="S4661" s="3"/>
      <c r="T4661" s="3"/>
      <c r="U4661" s="3"/>
      <c r="V4661" s="3"/>
      <c r="W4661" s="3"/>
      <c r="X4661" s="3"/>
      <c r="Y4661" s="4"/>
      <c r="Z4661"/>
      <c r="AA4661"/>
    </row>
    <row r="4662" spans="1:27" s="37" customFormat="1" ht="16" x14ac:dyDescent="0.2">
      <c r="A4662" s="70"/>
      <c r="B4662" s="117"/>
      <c r="C4662" s="70"/>
      <c r="D4662" s="70"/>
      <c r="E4662" s="70"/>
      <c r="F4662" s="70"/>
      <c r="G4662" s="70"/>
      <c r="H4662" s="85"/>
      <c r="I4662" s="85"/>
      <c r="J4662" s="131"/>
      <c r="K4662" s="60"/>
      <c r="L4662" s="47"/>
      <c r="P4662" s="3"/>
      <c r="Q4662" s="3"/>
      <c r="R4662" s="3"/>
      <c r="S4662" s="3"/>
      <c r="T4662" s="3"/>
      <c r="U4662" s="3"/>
      <c r="V4662" s="3"/>
      <c r="W4662" s="3"/>
      <c r="X4662" s="3"/>
      <c r="Y4662" s="4"/>
      <c r="Z4662"/>
      <c r="AA4662"/>
    </row>
    <row r="4663" spans="1:27" s="37" customFormat="1" x14ac:dyDescent="0.15">
      <c r="A4663" s="70"/>
      <c r="B4663" s="117"/>
      <c r="C4663" s="70"/>
      <c r="D4663" s="70"/>
      <c r="E4663" s="70"/>
      <c r="F4663" s="70"/>
      <c r="G4663" s="70"/>
      <c r="H4663" s="85"/>
      <c r="I4663" s="85"/>
      <c r="J4663" s="131"/>
      <c r="K4663" s="60"/>
      <c r="L4663" s="33"/>
      <c r="P4663" s="3"/>
      <c r="Q4663" s="3"/>
      <c r="R4663" s="3"/>
      <c r="S4663" s="3"/>
      <c r="T4663" s="3"/>
      <c r="U4663" s="3"/>
      <c r="V4663" s="3"/>
      <c r="W4663" s="3"/>
      <c r="X4663" s="3"/>
      <c r="Y4663" s="4"/>
      <c r="Z4663"/>
      <c r="AA4663"/>
    </row>
    <row r="4664" spans="1:27" s="37" customFormat="1" x14ac:dyDescent="0.15">
      <c r="A4664" s="70"/>
      <c r="B4664" s="117"/>
      <c r="C4664" s="70"/>
      <c r="D4664" s="70"/>
      <c r="E4664" s="70"/>
      <c r="F4664" s="70"/>
      <c r="G4664" s="70"/>
      <c r="H4664" s="85"/>
      <c r="I4664" s="85"/>
      <c r="J4664" s="131"/>
      <c r="K4664" s="60"/>
      <c r="L4664" s="33"/>
      <c r="P4664" s="3"/>
      <c r="Q4664" s="3"/>
      <c r="R4664" s="3"/>
      <c r="S4664" s="3"/>
      <c r="T4664" s="3"/>
      <c r="U4664" s="3"/>
      <c r="V4664" s="3"/>
      <c r="W4664" s="3"/>
      <c r="X4664" s="3"/>
      <c r="Y4664" s="4"/>
      <c r="Z4664"/>
      <c r="AA4664"/>
    </row>
    <row r="4665" spans="1:27" s="37" customFormat="1" x14ac:dyDescent="0.15">
      <c r="A4665" s="70"/>
      <c r="B4665" s="117"/>
      <c r="C4665" s="70"/>
      <c r="D4665" s="70"/>
      <c r="E4665" s="70"/>
      <c r="F4665" s="70"/>
      <c r="G4665" s="70"/>
      <c r="H4665" s="85"/>
      <c r="I4665" s="85"/>
      <c r="J4665" s="131"/>
      <c r="K4665" s="60"/>
      <c r="L4665" s="33"/>
      <c r="P4665" s="3"/>
      <c r="Q4665" s="3"/>
      <c r="R4665" s="3"/>
      <c r="S4665" s="3"/>
      <c r="T4665" s="3"/>
      <c r="U4665" s="3"/>
      <c r="V4665" s="3"/>
      <c r="W4665" s="3"/>
      <c r="X4665" s="3"/>
      <c r="Y4665" s="4"/>
      <c r="Z4665"/>
      <c r="AA4665"/>
    </row>
    <row r="4666" spans="1:27" s="37" customFormat="1" x14ac:dyDescent="0.15">
      <c r="A4666" s="70"/>
      <c r="B4666" s="117"/>
      <c r="C4666" s="70"/>
      <c r="D4666" s="70"/>
      <c r="E4666" s="70"/>
      <c r="F4666" s="70"/>
      <c r="G4666" s="70"/>
      <c r="H4666" s="85"/>
      <c r="I4666" s="85"/>
      <c r="J4666" s="131"/>
      <c r="K4666" s="60"/>
      <c r="L4666" s="33"/>
      <c r="P4666" s="3"/>
      <c r="Q4666" s="3"/>
      <c r="R4666" s="3"/>
      <c r="S4666" s="3"/>
      <c r="T4666" s="3"/>
      <c r="U4666" s="3"/>
      <c r="V4666" s="3"/>
      <c r="W4666" s="3"/>
      <c r="X4666" s="3"/>
      <c r="Y4666" s="4"/>
      <c r="Z4666"/>
      <c r="AA4666"/>
    </row>
    <row r="4667" spans="1:27" s="37" customFormat="1" x14ac:dyDescent="0.15">
      <c r="A4667" s="70"/>
      <c r="B4667" s="117"/>
      <c r="C4667" s="70"/>
      <c r="D4667" s="70"/>
      <c r="E4667" s="70"/>
      <c r="F4667" s="70"/>
      <c r="G4667" s="70"/>
      <c r="H4667" s="85"/>
      <c r="I4667" s="85"/>
      <c r="J4667" s="131"/>
      <c r="K4667" s="60"/>
      <c r="P4667" s="3"/>
      <c r="Q4667" s="3"/>
      <c r="R4667" s="3"/>
      <c r="S4667" s="3"/>
      <c r="T4667" s="3"/>
      <c r="U4667" s="3"/>
      <c r="V4667" s="3"/>
      <c r="W4667" s="3"/>
      <c r="X4667" s="3"/>
      <c r="Y4667" s="4"/>
      <c r="Z4667"/>
      <c r="AA4667"/>
    </row>
    <row r="4668" spans="1:27" s="37" customFormat="1" x14ac:dyDescent="0.15">
      <c r="A4668" s="70"/>
      <c r="B4668" s="117"/>
      <c r="C4668" s="62"/>
      <c r="D4668" s="62"/>
      <c r="E4668" s="62"/>
      <c r="F4668" s="62"/>
      <c r="G4668" s="62"/>
      <c r="H4668" s="85"/>
      <c r="I4668" s="98"/>
      <c r="J4668" s="138"/>
      <c r="K4668" s="67"/>
      <c r="L4668" s="35"/>
      <c r="M4668" s="32"/>
      <c r="N4668" s="33"/>
      <c r="P4668" s="3"/>
      <c r="Q4668" s="3"/>
      <c r="R4668" s="3"/>
      <c r="S4668" s="3"/>
      <c r="T4668" s="3"/>
      <c r="U4668" s="3"/>
      <c r="V4668" s="3"/>
      <c r="W4668" s="3"/>
      <c r="X4668" s="3"/>
      <c r="Y4668" s="4"/>
      <c r="Z4668"/>
      <c r="AA4668"/>
    </row>
    <row r="4669" spans="1:27" s="37" customFormat="1" ht="16" x14ac:dyDescent="0.2">
      <c r="A4669" s="70"/>
      <c r="B4669" s="117"/>
      <c r="C4669" s="70"/>
      <c r="D4669" s="70"/>
      <c r="E4669" s="70"/>
      <c r="F4669" s="70"/>
      <c r="G4669" s="70"/>
      <c r="H4669" s="85"/>
      <c r="I4669" s="85"/>
      <c r="J4669" s="131"/>
      <c r="K4669" s="60"/>
      <c r="L4669" s="47"/>
      <c r="P4669" s="3"/>
      <c r="Q4669" s="3"/>
      <c r="R4669" s="3"/>
      <c r="S4669" s="3"/>
      <c r="T4669" s="3"/>
      <c r="U4669" s="3"/>
      <c r="V4669" s="3"/>
      <c r="W4669" s="3"/>
      <c r="X4669" s="3"/>
      <c r="Y4669" s="4"/>
      <c r="Z4669"/>
      <c r="AA4669"/>
    </row>
    <row r="4670" spans="1:27" s="37" customFormat="1" x14ac:dyDescent="0.15">
      <c r="A4670" s="70"/>
      <c r="B4670" s="117"/>
      <c r="C4670" s="70"/>
      <c r="D4670" s="70"/>
      <c r="E4670" s="70"/>
      <c r="F4670" s="70"/>
      <c r="G4670" s="70"/>
      <c r="H4670" s="85"/>
      <c r="I4670" s="85"/>
      <c r="J4670" s="131"/>
      <c r="K4670" s="60"/>
      <c r="L4670" s="33"/>
      <c r="P4670" s="3"/>
      <c r="Q4670" s="3"/>
      <c r="R4670" s="3"/>
      <c r="S4670" s="3"/>
      <c r="T4670" s="3"/>
      <c r="U4670" s="3"/>
      <c r="V4670" s="3"/>
      <c r="W4670" s="3"/>
      <c r="X4670" s="3"/>
      <c r="Y4670" s="4"/>
      <c r="Z4670"/>
      <c r="AA4670"/>
    </row>
    <row r="4671" spans="1:27" s="37" customFormat="1" ht="16" x14ac:dyDescent="0.2">
      <c r="A4671" s="70"/>
      <c r="B4671" s="117"/>
      <c r="C4671" s="70"/>
      <c r="D4671" s="70"/>
      <c r="E4671" s="70"/>
      <c r="F4671" s="70"/>
      <c r="G4671" s="70"/>
      <c r="H4671" s="85"/>
      <c r="I4671" s="85"/>
      <c r="J4671" s="131"/>
      <c r="K4671" s="66"/>
      <c r="L4671" s="47"/>
      <c r="P4671" s="3"/>
      <c r="Q4671" s="3"/>
      <c r="R4671" s="3"/>
      <c r="S4671" s="3"/>
      <c r="T4671" s="3"/>
      <c r="U4671" s="3"/>
      <c r="V4671" s="3"/>
      <c r="W4671" s="3"/>
      <c r="X4671" s="3"/>
      <c r="Y4671" s="4"/>
      <c r="Z4671"/>
      <c r="AA4671"/>
    </row>
    <row r="4672" spans="1:27" s="37" customFormat="1" x14ac:dyDescent="0.15">
      <c r="A4672" s="70"/>
      <c r="B4672" s="117"/>
      <c r="C4672" s="73"/>
      <c r="D4672" s="73"/>
      <c r="E4672" s="73"/>
      <c r="F4672" s="73"/>
      <c r="G4672" s="73"/>
      <c r="H4672" s="85"/>
      <c r="I4672" s="95"/>
      <c r="J4672" s="131"/>
      <c r="K4672" s="60"/>
      <c r="P4672" s="3"/>
      <c r="Q4672" s="3"/>
      <c r="R4672" s="3"/>
      <c r="S4672" s="3"/>
      <c r="T4672" s="3"/>
      <c r="U4672" s="3"/>
      <c r="V4672" s="3"/>
      <c r="W4672" s="3"/>
      <c r="X4672" s="3"/>
      <c r="Y4672" s="4"/>
      <c r="Z4672"/>
      <c r="AA4672"/>
    </row>
    <row r="4673" spans="1:27" s="37" customFormat="1" x14ac:dyDescent="0.15">
      <c r="A4673" s="62"/>
      <c r="B4673" s="117"/>
      <c r="C4673" s="62"/>
      <c r="D4673" s="62"/>
      <c r="E4673" s="62"/>
      <c r="F4673" s="62"/>
      <c r="G4673" s="62"/>
      <c r="H4673" s="85"/>
      <c r="I4673" s="98"/>
      <c r="J4673" s="131"/>
      <c r="K4673" s="67"/>
      <c r="L4673" s="35"/>
      <c r="P4673" s="3"/>
      <c r="Q4673" s="3"/>
      <c r="R4673" s="3"/>
      <c r="S4673" s="3"/>
      <c r="T4673" s="3"/>
      <c r="U4673" s="3"/>
      <c r="V4673" s="3"/>
      <c r="W4673" s="3"/>
      <c r="X4673" s="3"/>
      <c r="Y4673" s="4"/>
      <c r="Z4673"/>
      <c r="AA4673"/>
    </row>
    <row r="4674" spans="1:27" s="37" customFormat="1" x14ac:dyDescent="0.15">
      <c r="A4674" s="70"/>
      <c r="B4674" s="117"/>
      <c r="C4674" s="70"/>
      <c r="D4674" s="70"/>
      <c r="E4674" s="70"/>
      <c r="F4674" s="70"/>
      <c r="G4674" s="70"/>
      <c r="H4674" s="85"/>
      <c r="I4674" s="85"/>
      <c r="J4674" s="131"/>
      <c r="K4674" s="60"/>
      <c r="L4674" s="33"/>
      <c r="P4674" s="3"/>
      <c r="Q4674" s="3"/>
      <c r="R4674" s="3"/>
      <c r="S4674" s="3"/>
      <c r="T4674" s="3"/>
      <c r="U4674" s="3"/>
      <c r="V4674" s="3"/>
      <c r="W4674" s="3"/>
      <c r="X4674" s="3"/>
      <c r="Y4674" s="4"/>
      <c r="Z4674"/>
      <c r="AA4674"/>
    </row>
    <row r="4675" spans="1:27" s="37" customFormat="1" x14ac:dyDescent="0.15">
      <c r="A4675" s="70"/>
      <c r="B4675" s="117"/>
      <c r="C4675" s="70"/>
      <c r="D4675" s="70"/>
      <c r="E4675" s="70"/>
      <c r="F4675" s="70"/>
      <c r="G4675" s="70"/>
      <c r="H4675" s="85"/>
      <c r="I4675" s="85"/>
      <c r="J4675" s="131"/>
      <c r="K4675" s="60"/>
      <c r="L4675" s="33"/>
      <c r="P4675" s="3"/>
      <c r="Q4675" s="3"/>
      <c r="R4675" s="3"/>
      <c r="S4675" s="3"/>
      <c r="T4675" s="3"/>
      <c r="U4675" s="3"/>
      <c r="V4675" s="3"/>
      <c r="W4675" s="3"/>
      <c r="X4675" s="3"/>
      <c r="Y4675" s="4"/>
      <c r="Z4675"/>
      <c r="AA4675"/>
    </row>
    <row r="4676" spans="1:27" s="37" customFormat="1" ht="16" x14ac:dyDescent="0.2">
      <c r="A4676" s="70"/>
      <c r="B4676" s="117"/>
      <c r="C4676" s="70"/>
      <c r="D4676" s="70"/>
      <c r="E4676" s="70"/>
      <c r="F4676" s="70"/>
      <c r="G4676" s="70"/>
      <c r="H4676" s="85"/>
      <c r="I4676" s="85"/>
      <c r="J4676" s="131"/>
      <c r="K4676" s="60"/>
      <c r="L4676" s="47"/>
      <c r="P4676" s="3"/>
      <c r="Q4676" s="3"/>
      <c r="R4676" s="3"/>
      <c r="S4676" s="3"/>
      <c r="T4676" s="3"/>
      <c r="U4676" s="3"/>
      <c r="V4676" s="3"/>
      <c r="W4676" s="3"/>
      <c r="X4676" s="3"/>
      <c r="Y4676" s="4"/>
      <c r="Z4676"/>
      <c r="AA4676"/>
    </row>
    <row r="4677" spans="1:27" s="37" customFormat="1" x14ac:dyDescent="0.15">
      <c r="A4677" s="70"/>
      <c r="B4677" s="117"/>
      <c r="C4677" s="70"/>
      <c r="D4677" s="70"/>
      <c r="E4677" s="70"/>
      <c r="F4677" s="70"/>
      <c r="G4677" s="70"/>
      <c r="H4677" s="85"/>
      <c r="I4677" s="85"/>
      <c r="J4677" s="131"/>
      <c r="K4677" s="60"/>
      <c r="L4677" s="33"/>
      <c r="P4677" s="3"/>
      <c r="Q4677" s="3"/>
      <c r="R4677" s="3"/>
      <c r="S4677" s="3"/>
      <c r="T4677" s="3"/>
      <c r="U4677" s="3"/>
      <c r="V4677" s="3"/>
      <c r="W4677" s="3"/>
      <c r="X4677" s="3"/>
      <c r="Y4677" s="4"/>
      <c r="Z4677"/>
      <c r="AA4677"/>
    </row>
    <row r="4678" spans="1:27" s="37" customFormat="1" x14ac:dyDescent="0.15">
      <c r="A4678" s="70"/>
      <c r="B4678" s="117"/>
      <c r="C4678" s="70"/>
      <c r="D4678" s="70"/>
      <c r="E4678" s="70"/>
      <c r="F4678" s="70"/>
      <c r="G4678" s="70"/>
      <c r="H4678" s="85"/>
      <c r="I4678" s="85"/>
      <c r="J4678" s="131"/>
      <c r="K4678" s="60"/>
      <c r="L4678" s="49"/>
      <c r="M4678" s="33"/>
      <c r="P4678" s="3"/>
      <c r="Q4678" s="3"/>
      <c r="R4678" s="3"/>
      <c r="S4678" s="3"/>
      <c r="T4678" s="3"/>
      <c r="U4678" s="3"/>
      <c r="V4678" s="3"/>
      <c r="W4678" s="3"/>
      <c r="X4678" s="3"/>
      <c r="Y4678" s="4"/>
      <c r="Z4678"/>
      <c r="AA4678"/>
    </row>
    <row r="4679" spans="1:27" s="37" customFormat="1" x14ac:dyDescent="0.15">
      <c r="A4679" s="70"/>
      <c r="B4679" s="117"/>
      <c r="C4679" s="70"/>
      <c r="D4679" s="70"/>
      <c r="E4679" s="70"/>
      <c r="F4679" s="70"/>
      <c r="G4679" s="70"/>
      <c r="H4679" s="85"/>
      <c r="I4679" s="85"/>
      <c r="J4679" s="138"/>
      <c r="K4679" s="60"/>
      <c r="L4679" s="49"/>
      <c r="M4679" s="32"/>
      <c r="P4679" s="3"/>
      <c r="Q4679" s="3"/>
      <c r="R4679" s="3"/>
      <c r="S4679" s="3"/>
      <c r="T4679" s="3"/>
      <c r="U4679" s="3"/>
      <c r="V4679" s="3"/>
      <c r="W4679" s="3"/>
      <c r="X4679" s="3"/>
      <c r="Y4679" s="4"/>
      <c r="Z4679"/>
      <c r="AA4679"/>
    </row>
    <row r="4680" spans="1:27" s="37" customFormat="1" x14ac:dyDescent="0.15">
      <c r="A4680" s="70"/>
      <c r="B4680" s="117"/>
      <c r="C4680" s="70"/>
      <c r="D4680" s="70"/>
      <c r="E4680" s="70"/>
      <c r="F4680" s="70"/>
      <c r="G4680" s="70"/>
      <c r="H4680" s="85"/>
      <c r="I4680" s="85"/>
      <c r="J4680" s="131"/>
      <c r="K4680" s="60"/>
      <c r="L4680" s="33"/>
      <c r="P4680" s="3"/>
      <c r="Q4680" s="3"/>
      <c r="R4680" s="3"/>
      <c r="S4680" s="3"/>
      <c r="T4680" s="3"/>
      <c r="U4680" s="3"/>
      <c r="V4680" s="3"/>
      <c r="W4680" s="3"/>
      <c r="X4680" s="3"/>
      <c r="Y4680" s="4"/>
      <c r="Z4680"/>
      <c r="AA4680"/>
    </row>
    <row r="4681" spans="1:27" s="37" customFormat="1" x14ac:dyDescent="0.15">
      <c r="A4681" s="70"/>
      <c r="B4681" s="117"/>
      <c r="C4681" s="70"/>
      <c r="D4681" s="70"/>
      <c r="E4681" s="70"/>
      <c r="F4681" s="70"/>
      <c r="G4681" s="70"/>
      <c r="H4681" s="85"/>
      <c r="I4681" s="85"/>
      <c r="J4681" s="131"/>
      <c r="K4681" s="60"/>
      <c r="L4681" s="33"/>
      <c r="P4681" s="3"/>
      <c r="Q4681" s="3"/>
      <c r="R4681" s="3"/>
      <c r="S4681" s="3"/>
      <c r="T4681" s="3"/>
      <c r="U4681" s="3"/>
      <c r="V4681" s="3"/>
      <c r="W4681" s="3"/>
      <c r="X4681" s="3"/>
      <c r="Y4681" s="4"/>
      <c r="Z4681"/>
      <c r="AA4681"/>
    </row>
    <row r="4682" spans="1:27" s="37" customFormat="1" ht="16" x14ac:dyDescent="0.2">
      <c r="A4682" s="70"/>
      <c r="B4682" s="117"/>
      <c r="C4682" s="70"/>
      <c r="D4682" s="70"/>
      <c r="E4682" s="70"/>
      <c r="F4682" s="70"/>
      <c r="G4682" s="70"/>
      <c r="H4682" s="85"/>
      <c r="I4682" s="85"/>
      <c r="J4682" s="131"/>
      <c r="K4682" s="60"/>
      <c r="L4682" s="47"/>
      <c r="P4682" s="3"/>
      <c r="Q4682" s="3"/>
      <c r="R4682" s="3"/>
      <c r="S4682" s="3"/>
      <c r="T4682" s="3"/>
      <c r="U4682" s="3"/>
      <c r="V4682" s="3"/>
      <c r="W4682" s="3"/>
      <c r="X4682" s="3"/>
      <c r="Y4682" s="4"/>
      <c r="Z4682"/>
      <c r="AA4682"/>
    </row>
    <row r="4683" spans="1:27" s="37" customFormat="1" x14ac:dyDescent="0.15">
      <c r="A4683" s="70"/>
      <c r="B4683" s="117"/>
      <c r="C4683" s="70"/>
      <c r="D4683" s="70"/>
      <c r="E4683" s="70"/>
      <c r="F4683" s="70"/>
      <c r="G4683" s="70"/>
      <c r="H4683" s="85"/>
      <c r="I4683" s="85"/>
      <c r="J4683" s="131"/>
      <c r="K4683" s="60"/>
      <c r="L4683" s="33"/>
      <c r="P4683" s="3"/>
      <c r="Q4683" s="3"/>
      <c r="R4683" s="3"/>
      <c r="S4683" s="3"/>
      <c r="T4683" s="3"/>
      <c r="U4683" s="3"/>
      <c r="V4683" s="3"/>
      <c r="W4683" s="3"/>
      <c r="X4683" s="3"/>
      <c r="Y4683" s="4"/>
      <c r="Z4683"/>
      <c r="AA4683"/>
    </row>
    <row r="4684" spans="1:27" s="37" customFormat="1" x14ac:dyDescent="0.15">
      <c r="A4684" s="70"/>
      <c r="B4684" s="117"/>
      <c r="C4684" s="70"/>
      <c r="D4684" s="70"/>
      <c r="E4684" s="70"/>
      <c r="F4684" s="70"/>
      <c r="G4684" s="70"/>
      <c r="H4684" s="85"/>
      <c r="I4684" s="85"/>
      <c r="J4684" s="131"/>
      <c r="K4684" s="60"/>
      <c r="L4684" s="33"/>
      <c r="P4684" s="3"/>
      <c r="Q4684" s="3"/>
      <c r="R4684" s="3"/>
      <c r="S4684" s="3"/>
      <c r="T4684" s="3"/>
      <c r="U4684" s="3"/>
      <c r="V4684" s="3"/>
      <c r="W4684" s="3"/>
      <c r="X4684" s="3"/>
      <c r="Y4684" s="4"/>
      <c r="Z4684"/>
      <c r="AA4684"/>
    </row>
    <row r="4685" spans="1:27" s="37" customFormat="1" x14ac:dyDescent="0.15">
      <c r="A4685" s="70"/>
      <c r="B4685" s="117"/>
      <c r="C4685" s="70"/>
      <c r="D4685" s="70"/>
      <c r="E4685" s="73"/>
      <c r="F4685" s="70"/>
      <c r="G4685" s="70"/>
      <c r="H4685" s="85"/>
      <c r="I4685" s="85"/>
      <c r="J4685" s="131"/>
      <c r="K4685" s="60"/>
      <c r="L4685" s="49"/>
      <c r="M4685" s="33"/>
      <c r="P4685" s="3"/>
      <c r="Q4685" s="3"/>
      <c r="R4685" s="3"/>
      <c r="S4685" s="3"/>
      <c r="T4685" s="3"/>
      <c r="U4685" s="3"/>
      <c r="V4685" s="3"/>
      <c r="W4685" s="3"/>
      <c r="X4685" s="3"/>
      <c r="Y4685" s="4"/>
      <c r="Z4685"/>
      <c r="AA4685"/>
    </row>
    <row r="4686" spans="1:27" s="37" customFormat="1" x14ac:dyDescent="0.15">
      <c r="A4686" s="70"/>
      <c r="B4686" s="117"/>
      <c r="C4686" s="70"/>
      <c r="D4686" s="70"/>
      <c r="E4686" s="70"/>
      <c r="F4686" s="70"/>
      <c r="G4686" s="70"/>
      <c r="H4686" s="85"/>
      <c r="I4686" s="85"/>
      <c r="J4686" s="131"/>
      <c r="K4686" s="60"/>
      <c r="L4686" s="33"/>
      <c r="P4686" s="3"/>
      <c r="Q4686" s="3"/>
      <c r="R4686" s="3"/>
      <c r="S4686" s="3"/>
      <c r="T4686" s="3"/>
      <c r="U4686" s="3"/>
      <c r="V4686" s="3"/>
      <c r="W4686" s="3"/>
      <c r="X4686" s="3"/>
      <c r="Y4686" s="4"/>
      <c r="Z4686"/>
      <c r="AA4686"/>
    </row>
    <row r="4687" spans="1:27" s="37" customFormat="1" x14ac:dyDescent="0.15">
      <c r="A4687" s="70"/>
      <c r="B4687" s="117"/>
      <c r="C4687" s="70"/>
      <c r="D4687" s="70"/>
      <c r="E4687" s="70"/>
      <c r="F4687" s="70"/>
      <c r="G4687" s="70"/>
      <c r="H4687" s="85"/>
      <c r="I4687" s="85"/>
      <c r="J4687" s="131"/>
      <c r="K4687" s="60"/>
      <c r="L4687" s="33"/>
      <c r="M4687" s="33"/>
      <c r="P4687" s="3"/>
      <c r="Q4687" s="3"/>
      <c r="R4687" s="3"/>
      <c r="S4687" s="3"/>
      <c r="T4687" s="3"/>
      <c r="U4687" s="3"/>
      <c r="V4687" s="3"/>
      <c r="W4687" s="3"/>
      <c r="X4687" s="3"/>
      <c r="Y4687" s="4"/>
      <c r="Z4687"/>
      <c r="AA4687"/>
    </row>
    <row r="4688" spans="1:27" s="37" customFormat="1" x14ac:dyDescent="0.15">
      <c r="A4688" s="70"/>
      <c r="B4688" s="117"/>
      <c r="C4688" s="70"/>
      <c r="D4688" s="70"/>
      <c r="E4688" s="70"/>
      <c r="F4688" s="70"/>
      <c r="G4688" s="70"/>
      <c r="H4688" s="85"/>
      <c r="I4688" s="85"/>
      <c r="J4688" s="131"/>
      <c r="K4688" s="67"/>
      <c r="L4688" s="33"/>
      <c r="P4688" s="3"/>
      <c r="Q4688" s="3"/>
      <c r="R4688" s="3"/>
      <c r="S4688" s="3"/>
      <c r="T4688" s="3"/>
      <c r="U4688" s="3"/>
      <c r="V4688" s="3"/>
      <c r="W4688" s="3"/>
      <c r="X4688" s="3"/>
      <c r="Y4688" s="4"/>
      <c r="Z4688"/>
      <c r="AA4688"/>
    </row>
    <row r="4689" spans="1:27" s="37" customFormat="1" x14ac:dyDescent="0.15">
      <c r="A4689" s="70"/>
      <c r="B4689" s="117"/>
      <c r="C4689" s="70"/>
      <c r="D4689" s="70"/>
      <c r="E4689" s="70"/>
      <c r="F4689" s="70"/>
      <c r="G4689" s="70"/>
      <c r="H4689" s="85"/>
      <c r="I4689" s="85"/>
      <c r="J4689" s="131"/>
      <c r="K4689" s="60"/>
      <c r="L4689" s="49"/>
      <c r="P4689" s="3"/>
      <c r="Q4689" s="3"/>
      <c r="R4689" s="3"/>
      <c r="S4689" s="3"/>
      <c r="T4689" s="3"/>
      <c r="U4689" s="3"/>
      <c r="V4689" s="3"/>
      <c r="W4689" s="3"/>
      <c r="X4689" s="3"/>
      <c r="Y4689" s="4"/>
      <c r="Z4689"/>
      <c r="AA4689"/>
    </row>
    <row r="4690" spans="1:27" s="37" customFormat="1" ht="16" x14ac:dyDescent="0.2">
      <c r="A4690" s="70"/>
      <c r="B4690" s="117"/>
      <c r="C4690" s="70"/>
      <c r="D4690" s="70"/>
      <c r="E4690" s="70"/>
      <c r="F4690" s="70"/>
      <c r="G4690" s="70"/>
      <c r="H4690" s="85"/>
      <c r="I4690" s="85"/>
      <c r="J4690" s="131"/>
      <c r="K4690" s="60"/>
      <c r="L4690" s="47"/>
      <c r="P4690" s="3"/>
      <c r="Q4690" s="3"/>
      <c r="R4690" s="3"/>
      <c r="S4690" s="3"/>
      <c r="T4690" s="3"/>
      <c r="U4690" s="3"/>
      <c r="V4690" s="3"/>
      <c r="W4690" s="3"/>
      <c r="X4690" s="3"/>
      <c r="Y4690" s="4"/>
      <c r="Z4690"/>
      <c r="AA4690"/>
    </row>
    <row r="4691" spans="1:27" s="37" customFormat="1" x14ac:dyDescent="0.15">
      <c r="A4691" s="70"/>
      <c r="B4691" s="117"/>
      <c r="C4691" s="70"/>
      <c r="D4691" s="70"/>
      <c r="E4691" s="70"/>
      <c r="F4691" s="70"/>
      <c r="G4691" s="70"/>
      <c r="H4691" s="85"/>
      <c r="I4691" s="85"/>
      <c r="J4691" s="131"/>
      <c r="K4691" s="60"/>
      <c r="L4691" s="33"/>
      <c r="P4691" s="3"/>
      <c r="Q4691" s="3"/>
      <c r="R4691" s="3"/>
      <c r="S4691" s="3"/>
      <c r="T4691" s="3"/>
      <c r="U4691" s="3"/>
      <c r="V4691" s="3"/>
      <c r="W4691" s="3"/>
      <c r="X4691" s="3"/>
      <c r="Y4691" s="4"/>
      <c r="Z4691"/>
      <c r="AA4691"/>
    </row>
    <row r="4692" spans="1:27" s="37" customFormat="1" x14ac:dyDescent="0.15">
      <c r="A4692" s="70"/>
      <c r="B4692" s="117"/>
      <c r="C4692" s="70"/>
      <c r="D4692" s="70"/>
      <c r="E4692" s="70"/>
      <c r="F4692" s="70"/>
      <c r="G4692" s="70"/>
      <c r="H4692" s="85"/>
      <c r="I4692" s="85"/>
      <c r="J4692" s="131"/>
      <c r="K4692" s="60"/>
      <c r="L4692" s="33"/>
      <c r="P4692" s="3"/>
      <c r="Q4692" s="3"/>
      <c r="R4692" s="3"/>
      <c r="S4692" s="3"/>
      <c r="T4692" s="3"/>
      <c r="U4692" s="3"/>
      <c r="V4692" s="3"/>
      <c r="W4692" s="3"/>
      <c r="X4692" s="3"/>
      <c r="Y4692" s="4"/>
      <c r="Z4692"/>
      <c r="AA4692"/>
    </row>
    <row r="4693" spans="1:27" s="37" customFormat="1" x14ac:dyDescent="0.15">
      <c r="A4693" s="70"/>
      <c r="B4693" s="117"/>
      <c r="C4693" s="70"/>
      <c r="D4693" s="70"/>
      <c r="E4693" s="70"/>
      <c r="F4693" s="70"/>
      <c r="G4693" s="70"/>
      <c r="H4693" s="85"/>
      <c r="I4693" s="85"/>
      <c r="J4693" s="131"/>
      <c r="K4693" s="60"/>
      <c r="L4693" s="33"/>
      <c r="P4693" s="3"/>
      <c r="Q4693" s="3"/>
      <c r="R4693" s="3"/>
      <c r="S4693" s="3"/>
      <c r="T4693" s="3"/>
      <c r="U4693" s="3"/>
      <c r="V4693" s="3"/>
      <c r="W4693" s="3"/>
      <c r="X4693" s="3"/>
      <c r="Y4693" s="4"/>
      <c r="Z4693"/>
      <c r="AA4693"/>
    </row>
    <row r="4694" spans="1:27" s="37" customFormat="1" ht="16" x14ac:dyDescent="0.2">
      <c r="A4694" s="70"/>
      <c r="B4694" s="117"/>
      <c r="C4694" s="70"/>
      <c r="D4694" s="70"/>
      <c r="E4694" s="70"/>
      <c r="F4694" s="70"/>
      <c r="G4694" s="70"/>
      <c r="H4694" s="85"/>
      <c r="I4694" s="85"/>
      <c r="J4694" s="131"/>
      <c r="K4694" s="60"/>
      <c r="L4694" s="47"/>
      <c r="P4694" s="3"/>
      <c r="Q4694" s="3"/>
      <c r="R4694" s="3"/>
      <c r="S4694" s="3"/>
      <c r="T4694" s="3"/>
      <c r="U4694" s="3"/>
      <c r="V4694" s="3"/>
      <c r="W4694" s="3"/>
      <c r="X4694" s="3"/>
      <c r="Y4694" s="4"/>
      <c r="Z4694"/>
      <c r="AA4694"/>
    </row>
    <row r="4695" spans="1:27" s="37" customFormat="1" ht="16" x14ac:dyDescent="0.2">
      <c r="A4695" s="70"/>
      <c r="B4695" s="117"/>
      <c r="C4695" s="70"/>
      <c r="D4695" s="70"/>
      <c r="E4695" s="70"/>
      <c r="F4695" s="70"/>
      <c r="G4695" s="70"/>
      <c r="H4695" s="85"/>
      <c r="I4695" s="85"/>
      <c r="J4695" s="131"/>
      <c r="K4695" s="60"/>
      <c r="L4695" s="47"/>
      <c r="P4695" s="3"/>
      <c r="Q4695" s="3"/>
      <c r="R4695" s="3"/>
      <c r="S4695" s="3"/>
      <c r="T4695" s="3"/>
      <c r="U4695" s="3"/>
      <c r="V4695" s="3"/>
      <c r="W4695" s="3"/>
      <c r="X4695" s="3"/>
      <c r="Y4695" s="4"/>
      <c r="Z4695"/>
      <c r="AA4695"/>
    </row>
    <row r="4696" spans="1:27" s="37" customFormat="1" x14ac:dyDescent="0.15">
      <c r="A4696" s="70"/>
      <c r="B4696" s="117"/>
      <c r="C4696" s="70"/>
      <c r="D4696" s="70"/>
      <c r="E4696" s="70"/>
      <c r="F4696" s="70"/>
      <c r="G4696" s="70"/>
      <c r="H4696" s="85"/>
      <c r="I4696" s="85"/>
      <c r="J4696" s="131"/>
      <c r="K4696" s="60"/>
      <c r="L4696" s="33"/>
      <c r="P4696" s="3"/>
      <c r="Q4696" s="3"/>
      <c r="R4696" s="3"/>
      <c r="S4696" s="3"/>
      <c r="T4696" s="3"/>
      <c r="U4696" s="3"/>
      <c r="V4696" s="3"/>
      <c r="W4696" s="3"/>
      <c r="X4696" s="3"/>
      <c r="Y4696" s="4"/>
      <c r="Z4696"/>
      <c r="AA4696"/>
    </row>
    <row r="4697" spans="1:27" s="37" customFormat="1" x14ac:dyDescent="0.15">
      <c r="A4697" s="70"/>
      <c r="B4697" s="117"/>
      <c r="C4697" s="70"/>
      <c r="D4697" s="70"/>
      <c r="E4697" s="70"/>
      <c r="F4697" s="70"/>
      <c r="G4697" s="70"/>
      <c r="H4697" s="85"/>
      <c r="I4697" s="85"/>
      <c r="J4697" s="131"/>
      <c r="K4697" s="60"/>
      <c r="L4697" s="33"/>
      <c r="P4697" s="3"/>
      <c r="Q4697" s="3"/>
      <c r="R4697" s="3"/>
      <c r="S4697" s="3"/>
      <c r="T4697" s="3"/>
      <c r="U4697" s="3"/>
      <c r="V4697" s="3"/>
      <c r="W4697" s="3"/>
      <c r="X4697" s="3"/>
      <c r="Y4697" s="4"/>
      <c r="Z4697"/>
      <c r="AA4697"/>
    </row>
    <row r="4698" spans="1:27" s="37" customFormat="1" x14ac:dyDescent="0.15">
      <c r="A4698" s="70"/>
      <c r="B4698" s="117"/>
      <c r="C4698" s="70"/>
      <c r="D4698" s="70"/>
      <c r="E4698" s="70"/>
      <c r="F4698" s="70"/>
      <c r="G4698" s="70"/>
      <c r="H4698" s="85"/>
      <c r="I4698" s="85"/>
      <c r="J4698" s="131"/>
      <c r="K4698" s="60"/>
      <c r="L4698" s="33"/>
      <c r="P4698" s="3"/>
      <c r="Q4698" s="3"/>
      <c r="R4698" s="3"/>
      <c r="S4698" s="3"/>
      <c r="T4698" s="3"/>
      <c r="U4698" s="3"/>
      <c r="V4698" s="3"/>
      <c r="W4698" s="3"/>
      <c r="X4698" s="3"/>
      <c r="Y4698" s="4"/>
      <c r="Z4698"/>
      <c r="AA4698"/>
    </row>
    <row r="4699" spans="1:27" s="37" customFormat="1" x14ac:dyDescent="0.15">
      <c r="A4699" s="70"/>
      <c r="B4699" s="118"/>
      <c r="C4699" s="70"/>
      <c r="D4699" s="70"/>
      <c r="E4699" s="70"/>
      <c r="F4699" s="70"/>
      <c r="G4699" s="70"/>
      <c r="H4699" s="85"/>
      <c r="I4699" s="85"/>
      <c r="J4699" s="131"/>
      <c r="K4699" s="60"/>
      <c r="L4699" s="33"/>
      <c r="P4699" s="3"/>
      <c r="Q4699" s="3"/>
      <c r="R4699" s="3"/>
      <c r="S4699" s="3"/>
      <c r="T4699" s="3"/>
      <c r="U4699" s="3"/>
      <c r="V4699" s="3"/>
      <c r="W4699" s="3"/>
      <c r="X4699" s="3"/>
      <c r="Y4699" s="4"/>
      <c r="Z4699"/>
      <c r="AA4699"/>
    </row>
    <row r="4700" spans="1:27" s="37" customFormat="1" x14ac:dyDescent="0.15">
      <c r="A4700" s="70"/>
      <c r="B4700" s="118"/>
      <c r="C4700" s="70"/>
      <c r="D4700" s="70"/>
      <c r="E4700" s="70"/>
      <c r="F4700" s="70"/>
      <c r="G4700" s="70"/>
      <c r="H4700" s="85"/>
      <c r="I4700" s="85"/>
      <c r="J4700" s="131"/>
      <c r="K4700" s="60"/>
      <c r="L4700" s="33"/>
      <c r="P4700" s="3"/>
      <c r="Q4700" s="3"/>
      <c r="R4700" s="3"/>
      <c r="S4700" s="3"/>
      <c r="T4700" s="3"/>
      <c r="U4700" s="3"/>
      <c r="V4700" s="3"/>
      <c r="W4700" s="3"/>
      <c r="X4700" s="3"/>
      <c r="Y4700" s="4"/>
      <c r="Z4700"/>
      <c r="AA4700"/>
    </row>
    <row r="4701" spans="1:27" s="37" customFormat="1" x14ac:dyDescent="0.15">
      <c r="A4701" s="70"/>
      <c r="B4701" s="117"/>
      <c r="C4701" s="70"/>
      <c r="D4701" s="70"/>
      <c r="E4701" s="70"/>
      <c r="F4701" s="70"/>
      <c r="G4701" s="70"/>
      <c r="H4701" s="85"/>
      <c r="I4701" s="85"/>
      <c r="J4701" s="131"/>
      <c r="K4701" s="60"/>
      <c r="P4701" s="3"/>
      <c r="Q4701" s="3"/>
      <c r="R4701" s="3"/>
      <c r="S4701" s="3"/>
      <c r="T4701" s="3"/>
      <c r="U4701" s="3"/>
      <c r="V4701" s="3"/>
      <c r="W4701" s="3"/>
      <c r="X4701" s="3"/>
      <c r="Y4701" s="4"/>
      <c r="Z4701"/>
      <c r="AA4701"/>
    </row>
    <row r="4702" spans="1:27" s="37" customFormat="1" x14ac:dyDescent="0.15">
      <c r="A4702" s="70"/>
      <c r="B4702" s="117"/>
      <c r="C4702" s="70"/>
      <c r="D4702" s="70"/>
      <c r="E4702" s="70"/>
      <c r="F4702" s="70"/>
      <c r="G4702" s="70"/>
      <c r="H4702" s="85"/>
      <c r="I4702" s="85"/>
      <c r="J4702" s="131"/>
      <c r="K4702" s="60"/>
      <c r="P4702" s="3"/>
      <c r="Q4702" s="3"/>
      <c r="R4702" s="3"/>
      <c r="S4702" s="3"/>
      <c r="T4702" s="3"/>
      <c r="U4702" s="3"/>
      <c r="V4702" s="3"/>
      <c r="W4702" s="3"/>
      <c r="X4702" s="3"/>
      <c r="Y4702" s="4"/>
      <c r="Z4702"/>
      <c r="AA4702"/>
    </row>
    <row r="4703" spans="1:27" s="37" customFormat="1" x14ac:dyDescent="0.15">
      <c r="A4703" s="70"/>
      <c r="B4703" s="117"/>
      <c r="C4703" s="70"/>
      <c r="D4703" s="70"/>
      <c r="E4703" s="70"/>
      <c r="F4703" s="70"/>
      <c r="G4703" s="70"/>
      <c r="H4703" s="85"/>
      <c r="I4703" s="85"/>
      <c r="J4703" s="131"/>
      <c r="K4703" s="60"/>
      <c r="P4703" s="3"/>
      <c r="Q4703" s="3"/>
      <c r="R4703" s="3"/>
      <c r="S4703" s="3"/>
      <c r="T4703" s="3"/>
      <c r="U4703" s="3"/>
      <c r="V4703" s="3"/>
      <c r="W4703" s="3"/>
      <c r="X4703" s="3"/>
      <c r="Y4703" s="4"/>
      <c r="Z4703"/>
      <c r="AA4703"/>
    </row>
    <row r="4704" spans="1:27" s="37" customFormat="1" x14ac:dyDescent="0.15">
      <c r="A4704" s="70"/>
      <c r="B4704" s="117"/>
      <c r="C4704" s="70"/>
      <c r="D4704" s="70"/>
      <c r="E4704" s="70"/>
      <c r="F4704" s="70"/>
      <c r="G4704" s="70"/>
      <c r="H4704" s="85"/>
      <c r="I4704" s="85"/>
      <c r="J4704" s="131"/>
      <c r="K4704" s="60"/>
      <c r="P4704" s="3"/>
      <c r="Q4704" s="3"/>
      <c r="R4704" s="3"/>
      <c r="S4704" s="3"/>
      <c r="T4704" s="3"/>
      <c r="U4704" s="3"/>
      <c r="V4704" s="3"/>
      <c r="W4704" s="3"/>
      <c r="X4704" s="3"/>
      <c r="Y4704" s="4"/>
      <c r="Z4704"/>
      <c r="AA4704"/>
    </row>
    <row r="4705" spans="1:27" s="37" customFormat="1" x14ac:dyDescent="0.15">
      <c r="A4705" s="70"/>
      <c r="B4705" s="117"/>
      <c r="C4705" s="70"/>
      <c r="D4705" s="70"/>
      <c r="E4705" s="70"/>
      <c r="F4705" s="70"/>
      <c r="G4705" s="70"/>
      <c r="H4705" s="85"/>
      <c r="I4705" s="85"/>
      <c r="J4705" s="131"/>
      <c r="K4705" s="60"/>
      <c r="P4705" s="3"/>
      <c r="Q4705" s="3"/>
      <c r="R4705" s="3"/>
      <c r="S4705" s="3"/>
      <c r="T4705" s="3"/>
      <c r="U4705" s="3"/>
      <c r="V4705" s="3"/>
      <c r="W4705" s="3"/>
      <c r="X4705" s="3"/>
      <c r="Y4705" s="4"/>
      <c r="Z4705"/>
      <c r="AA4705"/>
    </row>
    <row r="4706" spans="1:27" s="37" customFormat="1" x14ac:dyDescent="0.15">
      <c r="A4706" s="83"/>
      <c r="B4706" s="118"/>
      <c r="C4706" s="81"/>
      <c r="D4706" s="81"/>
      <c r="E4706" s="83"/>
      <c r="F4706" s="81"/>
      <c r="G4706" s="81"/>
      <c r="H4706" s="85"/>
      <c r="I4706" s="111"/>
      <c r="J4706" s="139"/>
      <c r="K4706" s="72"/>
      <c r="L4706" s="31"/>
      <c r="P4706" s="3"/>
      <c r="Q4706" s="3"/>
      <c r="R4706" s="3"/>
      <c r="S4706" s="3"/>
      <c r="T4706" s="3"/>
      <c r="U4706" s="3"/>
      <c r="V4706" s="3"/>
      <c r="W4706" s="3"/>
      <c r="X4706" s="3"/>
      <c r="Y4706" s="4"/>
      <c r="Z4706"/>
      <c r="AA4706"/>
    </row>
    <row r="4707" spans="1:27" s="37" customFormat="1" x14ac:dyDescent="0.15">
      <c r="A4707" s="70"/>
      <c r="B4707" s="117"/>
      <c r="C4707" s="70"/>
      <c r="D4707" s="70"/>
      <c r="E4707" s="70"/>
      <c r="F4707" s="70"/>
      <c r="G4707" s="70"/>
      <c r="H4707" s="85"/>
      <c r="I4707" s="85"/>
      <c r="J4707" s="131"/>
      <c r="K4707" s="60"/>
      <c r="L4707" s="33"/>
      <c r="P4707" s="3"/>
      <c r="Q4707" s="3"/>
      <c r="R4707" s="3"/>
      <c r="S4707" s="3"/>
      <c r="T4707" s="3"/>
      <c r="U4707" s="3"/>
      <c r="V4707" s="3"/>
      <c r="W4707" s="3"/>
      <c r="X4707" s="3"/>
      <c r="Y4707" s="4"/>
      <c r="Z4707"/>
      <c r="AA4707"/>
    </row>
    <row r="4708" spans="1:27" s="37" customFormat="1" ht="16" x14ac:dyDescent="0.2">
      <c r="A4708" s="70"/>
      <c r="B4708" s="117"/>
      <c r="C4708" s="70"/>
      <c r="D4708" s="70"/>
      <c r="E4708" s="70"/>
      <c r="F4708" s="70"/>
      <c r="G4708" s="70"/>
      <c r="H4708" s="85"/>
      <c r="I4708" s="85"/>
      <c r="J4708" s="131"/>
      <c r="K4708" s="60"/>
      <c r="L4708" s="47"/>
      <c r="P4708" s="3"/>
      <c r="Q4708" s="3"/>
      <c r="R4708" s="3"/>
      <c r="S4708" s="3"/>
      <c r="T4708" s="3"/>
      <c r="U4708" s="3"/>
      <c r="V4708" s="3"/>
      <c r="W4708" s="3"/>
      <c r="X4708" s="3"/>
      <c r="Y4708" s="4"/>
      <c r="Z4708"/>
      <c r="AA4708"/>
    </row>
    <row r="4709" spans="1:27" s="37" customFormat="1" x14ac:dyDescent="0.15">
      <c r="A4709" s="70"/>
      <c r="B4709" s="117"/>
      <c r="C4709" s="70"/>
      <c r="D4709" s="70"/>
      <c r="E4709" s="70"/>
      <c r="F4709" s="70"/>
      <c r="G4709" s="70"/>
      <c r="H4709" s="85"/>
      <c r="I4709" s="85"/>
      <c r="J4709" s="131"/>
      <c r="K4709" s="60"/>
      <c r="L4709" s="33"/>
      <c r="P4709" s="3"/>
      <c r="Q4709" s="3"/>
      <c r="R4709" s="3"/>
      <c r="S4709" s="3"/>
      <c r="T4709" s="3"/>
      <c r="U4709" s="3"/>
      <c r="V4709" s="3"/>
      <c r="W4709" s="3"/>
      <c r="X4709" s="3"/>
      <c r="Y4709" s="4"/>
      <c r="Z4709"/>
      <c r="AA4709"/>
    </row>
    <row r="4710" spans="1:27" s="37" customFormat="1" x14ac:dyDescent="0.15">
      <c r="A4710" s="70"/>
      <c r="B4710" s="117"/>
      <c r="C4710" s="70"/>
      <c r="D4710" s="70"/>
      <c r="E4710" s="70"/>
      <c r="F4710" s="70"/>
      <c r="G4710" s="70"/>
      <c r="H4710" s="85"/>
      <c r="I4710" s="85"/>
      <c r="J4710" s="131"/>
      <c r="K4710" s="60"/>
      <c r="L4710" s="33"/>
      <c r="P4710" s="3"/>
      <c r="Q4710" s="3"/>
      <c r="R4710" s="3"/>
      <c r="S4710" s="3"/>
      <c r="T4710" s="3"/>
      <c r="U4710" s="3"/>
      <c r="V4710" s="3"/>
      <c r="W4710" s="3"/>
      <c r="X4710" s="3"/>
      <c r="Y4710" s="4"/>
      <c r="Z4710"/>
      <c r="AA4710"/>
    </row>
    <row r="4711" spans="1:27" s="37" customFormat="1" x14ac:dyDescent="0.15">
      <c r="A4711" s="70"/>
      <c r="B4711" s="118"/>
      <c r="C4711" s="70"/>
      <c r="D4711" s="70"/>
      <c r="E4711" s="70"/>
      <c r="F4711" s="70"/>
      <c r="G4711" s="70"/>
      <c r="H4711" s="85"/>
      <c r="I4711" s="85"/>
      <c r="J4711" s="131"/>
      <c r="K4711" s="60"/>
      <c r="L4711" s="33"/>
      <c r="P4711" s="3"/>
      <c r="Q4711" s="3"/>
      <c r="R4711" s="3"/>
      <c r="S4711" s="3"/>
      <c r="T4711" s="3"/>
      <c r="U4711" s="3"/>
      <c r="V4711" s="3"/>
      <c r="W4711" s="3"/>
      <c r="X4711" s="3"/>
      <c r="Y4711" s="4"/>
      <c r="Z4711"/>
      <c r="AA4711"/>
    </row>
    <row r="4712" spans="1:27" s="37" customFormat="1" x14ac:dyDescent="0.15">
      <c r="A4712" s="70"/>
      <c r="B4712" s="117"/>
      <c r="C4712" s="70"/>
      <c r="D4712" s="70"/>
      <c r="E4712" s="70"/>
      <c r="F4712" s="70"/>
      <c r="G4712" s="70"/>
      <c r="H4712" s="85"/>
      <c r="I4712" s="85"/>
      <c r="J4712" s="131"/>
      <c r="K4712" s="60"/>
      <c r="L4712" s="33"/>
      <c r="P4712" s="3"/>
      <c r="Q4712" s="3"/>
      <c r="R4712" s="3"/>
      <c r="S4712" s="3"/>
      <c r="T4712" s="3"/>
      <c r="U4712" s="3"/>
      <c r="V4712" s="3"/>
      <c r="W4712" s="3"/>
      <c r="X4712" s="3"/>
      <c r="Y4712" s="4"/>
      <c r="Z4712"/>
      <c r="AA4712"/>
    </row>
    <row r="4713" spans="1:27" s="37" customFormat="1" x14ac:dyDescent="0.15">
      <c r="A4713" s="70"/>
      <c r="B4713" s="118"/>
      <c r="C4713" s="70"/>
      <c r="D4713" s="73"/>
      <c r="E4713" s="73"/>
      <c r="F4713" s="73"/>
      <c r="G4713" s="73"/>
      <c r="H4713" s="85"/>
      <c r="I4713" s="95"/>
      <c r="J4713" s="131"/>
      <c r="K4713" s="60"/>
      <c r="L4713" s="33"/>
      <c r="P4713" s="3"/>
      <c r="Q4713" s="3"/>
      <c r="R4713" s="3"/>
      <c r="S4713" s="3"/>
      <c r="T4713" s="3"/>
      <c r="U4713" s="3"/>
      <c r="V4713" s="3"/>
      <c r="W4713" s="3"/>
      <c r="X4713" s="3"/>
      <c r="Y4713" s="4"/>
      <c r="Z4713"/>
      <c r="AA4713"/>
    </row>
    <row r="4714" spans="1:27" s="37" customFormat="1" x14ac:dyDescent="0.15">
      <c r="A4714" s="70"/>
      <c r="B4714" s="118"/>
      <c r="C4714" s="70"/>
      <c r="D4714" s="70"/>
      <c r="E4714" s="70"/>
      <c r="F4714" s="70"/>
      <c r="G4714" s="70"/>
      <c r="H4714" s="85"/>
      <c r="I4714" s="85"/>
      <c r="J4714" s="131"/>
      <c r="K4714" s="60"/>
      <c r="L4714" s="33"/>
      <c r="P4714" s="3"/>
      <c r="Q4714" s="3"/>
      <c r="R4714" s="3"/>
      <c r="S4714" s="3"/>
      <c r="T4714" s="3"/>
      <c r="U4714" s="3"/>
      <c r="V4714" s="3"/>
      <c r="W4714" s="3"/>
      <c r="X4714" s="3"/>
      <c r="Y4714" s="4"/>
      <c r="Z4714"/>
      <c r="AA4714"/>
    </row>
    <row r="4715" spans="1:27" s="37" customFormat="1" x14ac:dyDescent="0.15">
      <c r="A4715" s="70"/>
      <c r="B4715" s="117"/>
      <c r="C4715" s="70"/>
      <c r="D4715" s="70"/>
      <c r="E4715" s="70"/>
      <c r="F4715" s="70"/>
      <c r="G4715" s="70"/>
      <c r="H4715" s="85"/>
      <c r="I4715" s="85"/>
      <c r="J4715" s="131"/>
      <c r="K4715" s="60"/>
      <c r="L4715" s="33"/>
      <c r="P4715" s="3"/>
      <c r="Q4715" s="3"/>
      <c r="R4715" s="3"/>
      <c r="S4715" s="3"/>
      <c r="T4715" s="3"/>
      <c r="U4715" s="3"/>
      <c r="V4715" s="3"/>
      <c r="W4715" s="3"/>
      <c r="X4715" s="3"/>
      <c r="Y4715" s="4"/>
      <c r="Z4715"/>
      <c r="AA4715"/>
    </row>
    <row r="4716" spans="1:27" s="37" customFormat="1" ht="16" x14ac:dyDescent="0.2">
      <c r="A4716" s="70"/>
      <c r="B4716" s="117"/>
      <c r="C4716" s="70"/>
      <c r="D4716" s="70"/>
      <c r="E4716" s="70"/>
      <c r="F4716" s="70"/>
      <c r="G4716" s="70"/>
      <c r="H4716" s="85"/>
      <c r="I4716" s="85"/>
      <c r="J4716" s="131"/>
      <c r="K4716" s="60"/>
      <c r="L4716" s="47"/>
      <c r="P4716" s="3"/>
      <c r="Q4716" s="3"/>
      <c r="R4716" s="3"/>
      <c r="S4716" s="3"/>
      <c r="T4716" s="3"/>
      <c r="U4716" s="3"/>
      <c r="V4716" s="3"/>
      <c r="W4716" s="3"/>
      <c r="X4716" s="3"/>
      <c r="Y4716" s="4"/>
      <c r="Z4716"/>
      <c r="AA4716"/>
    </row>
    <row r="4717" spans="1:27" s="37" customFormat="1" x14ac:dyDescent="0.15">
      <c r="A4717" s="70"/>
      <c r="B4717" s="117"/>
      <c r="C4717" s="70"/>
      <c r="D4717" s="70"/>
      <c r="E4717" s="70"/>
      <c r="F4717" s="70"/>
      <c r="G4717" s="70"/>
      <c r="H4717" s="85"/>
      <c r="I4717" s="85"/>
      <c r="J4717" s="131"/>
      <c r="K4717" s="60"/>
      <c r="L4717" s="33"/>
      <c r="P4717" s="3"/>
      <c r="Q4717" s="3"/>
      <c r="R4717" s="3"/>
      <c r="S4717" s="3"/>
      <c r="T4717" s="3"/>
      <c r="U4717" s="3"/>
      <c r="V4717" s="3"/>
      <c r="W4717" s="3"/>
      <c r="X4717" s="3"/>
      <c r="Y4717" s="4"/>
      <c r="Z4717"/>
      <c r="AA4717"/>
    </row>
    <row r="4718" spans="1:27" s="37" customFormat="1" x14ac:dyDescent="0.15">
      <c r="A4718" s="70"/>
      <c r="B4718" s="117"/>
      <c r="C4718" s="70"/>
      <c r="D4718" s="70"/>
      <c r="E4718" s="70"/>
      <c r="F4718" s="70"/>
      <c r="G4718" s="70"/>
      <c r="H4718" s="85"/>
      <c r="I4718" s="85"/>
      <c r="J4718" s="131"/>
      <c r="K4718" s="60"/>
      <c r="L4718" s="33"/>
      <c r="P4718" s="3"/>
      <c r="Q4718" s="3"/>
      <c r="R4718" s="3"/>
      <c r="S4718" s="3"/>
      <c r="T4718" s="3"/>
      <c r="U4718" s="3"/>
      <c r="V4718" s="3"/>
      <c r="W4718" s="3"/>
      <c r="X4718" s="3"/>
      <c r="Y4718" s="4"/>
      <c r="Z4718"/>
      <c r="AA4718"/>
    </row>
    <row r="4719" spans="1:27" s="37" customFormat="1" x14ac:dyDescent="0.15">
      <c r="A4719" s="70"/>
      <c r="B4719" s="118"/>
      <c r="C4719" s="70"/>
      <c r="D4719" s="70"/>
      <c r="E4719" s="70"/>
      <c r="F4719" s="70"/>
      <c r="G4719" s="70"/>
      <c r="H4719" s="85"/>
      <c r="I4719" s="85"/>
      <c r="J4719" s="131"/>
      <c r="K4719" s="60"/>
      <c r="L4719" s="33"/>
      <c r="N4719" s="33"/>
      <c r="P4719" s="3"/>
      <c r="Q4719" s="3"/>
      <c r="R4719" s="3"/>
      <c r="S4719" s="3"/>
      <c r="T4719" s="3"/>
      <c r="U4719" s="3"/>
      <c r="V4719" s="3"/>
      <c r="W4719" s="3"/>
      <c r="X4719" s="3"/>
      <c r="Y4719" s="4"/>
      <c r="Z4719"/>
      <c r="AA4719"/>
    </row>
    <row r="4720" spans="1:27" s="37" customFormat="1" x14ac:dyDescent="0.15">
      <c r="A4720" s="70"/>
      <c r="B4720" s="118"/>
      <c r="C4720" s="70"/>
      <c r="D4720" s="70"/>
      <c r="E4720" s="70"/>
      <c r="F4720" s="70"/>
      <c r="G4720" s="70"/>
      <c r="H4720" s="85"/>
      <c r="I4720" s="85"/>
      <c r="J4720" s="131"/>
      <c r="K4720" s="60"/>
      <c r="L4720" s="33"/>
      <c r="P4720" s="3"/>
      <c r="Q4720" s="3"/>
      <c r="R4720" s="3"/>
      <c r="S4720" s="3"/>
      <c r="T4720" s="3"/>
      <c r="U4720" s="3"/>
      <c r="V4720" s="3"/>
      <c r="W4720" s="3"/>
      <c r="X4720" s="3"/>
      <c r="Y4720" s="4"/>
      <c r="Z4720"/>
      <c r="AA4720"/>
    </row>
    <row r="4721" spans="1:27" s="37" customFormat="1" x14ac:dyDescent="0.15">
      <c r="A4721" s="70"/>
      <c r="B4721" s="118"/>
      <c r="C4721" s="70"/>
      <c r="D4721" s="70"/>
      <c r="E4721" s="70"/>
      <c r="F4721" s="70"/>
      <c r="G4721" s="70"/>
      <c r="H4721" s="85"/>
      <c r="I4721" s="85"/>
      <c r="J4721" s="131"/>
      <c r="K4721" s="60"/>
      <c r="L4721" s="33"/>
      <c r="P4721" s="3"/>
      <c r="Q4721" s="3"/>
      <c r="R4721" s="3"/>
      <c r="S4721" s="3"/>
      <c r="T4721" s="3"/>
      <c r="U4721" s="3"/>
      <c r="V4721" s="3"/>
      <c r="W4721" s="3"/>
      <c r="X4721" s="3"/>
      <c r="Y4721" s="4"/>
      <c r="Z4721"/>
      <c r="AA4721"/>
    </row>
    <row r="4722" spans="1:27" s="37" customFormat="1" x14ac:dyDescent="0.15">
      <c r="A4722" s="70"/>
      <c r="B4722" s="118"/>
      <c r="C4722" s="70"/>
      <c r="D4722" s="70"/>
      <c r="E4722" s="70"/>
      <c r="F4722" s="70"/>
      <c r="G4722" s="70"/>
      <c r="H4722" s="85"/>
      <c r="I4722" s="85"/>
      <c r="J4722" s="131"/>
      <c r="K4722" s="63"/>
      <c r="L4722" s="33"/>
      <c r="P4722" s="3"/>
      <c r="Q4722" s="3"/>
      <c r="R4722" s="3"/>
      <c r="S4722" s="3"/>
      <c r="T4722" s="3"/>
      <c r="U4722" s="3"/>
      <c r="V4722" s="3"/>
      <c r="W4722" s="3"/>
      <c r="X4722" s="3"/>
      <c r="Y4722" s="4"/>
      <c r="Z4722"/>
      <c r="AA4722"/>
    </row>
    <row r="4723" spans="1:27" s="37" customFormat="1" x14ac:dyDescent="0.15">
      <c r="A4723" s="70"/>
      <c r="B4723" s="117"/>
      <c r="C4723" s="70"/>
      <c r="D4723" s="70"/>
      <c r="E4723" s="70"/>
      <c r="F4723" s="70"/>
      <c r="G4723" s="70"/>
      <c r="H4723" s="85"/>
      <c r="I4723" s="85"/>
      <c r="J4723" s="131"/>
      <c r="K4723" s="60"/>
      <c r="L4723" s="33"/>
      <c r="P4723" s="3"/>
      <c r="Q4723" s="3"/>
      <c r="R4723" s="3"/>
      <c r="S4723" s="3"/>
      <c r="T4723" s="3"/>
      <c r="U4723" s="3"/>
      <c r="V4723" s="3"/>
      <c r="W4723" s="3"/>
      <c r="X4723" s="3"/>
      <c r="Y4723" s="4"/>
      <c r="Z4723"/>
      <c r="AA4723"/>
    </row>
    <row r="4724" spans="1:27" s="37" customFormat="1" x14ac:dyDescent="0.15">
      <c r="A4724" s="70"/>
      <c r="B4724" s="117"/>
      <c r="C4724" s="70"/>
      <c r="D4724" s="70"/>
      <c r="E4724" s="70"/>
      <c r="F4724" s="70"/>
      <c r="G4724" s="70"/>
      <c r="H4724" s="85"/>
      <c r="I4724" s="85"/>
      <c r="J4724" s="131"/>
      <c r="K4724" s="60"/>
      <c r="L4724" s="33"/>
      <c r="P4724" s="3"/>
      <c r="Q4724" s="3"/>
      <c r="R4724" s="3"/>
      <c r="S4724" s="3"/>
      <c r="T4724" s="3"/>
      <c r="U4724" s="3"/>
      <c r="V4724" s="3"/>
      <c r="W4724" s="3"/>
      <c r="X4724" s="3"/>
      <c r="Y4724" s="4"/>
      <c r="Z4724"/>
      <c r="AA4724"/>
    </row>
    <row r="4725" spans="1:27" s="37" customFormat="1" x14ac:dyDescent="0.15">
      <c r="A4725" s="62"/>
      <c r="B4725" s="117"/>
      <c r="C4725" s="62"/>
      <c r="D4725" s="62"/>
      <c r="E4725" s="62"/>
      <c r="F4725" s="62"/>
      <c r="G4725" s="62"/>
      <c r="H4725" s="85"/>
      <c r="I4725" s="98"/>
      <c r="J4725" s="135"/>
      <c r="K4725" s="66"/>
      <c r="L4725" s="35"/>
      <c r="P4725" s="3"/>
      <c r="Q4725" s="3"/>
      <c r="R4725" s="3"/>
      <c r="S4725" s="3"/>
      <c r="T4725" s="3"/>
      <c r="U4725" s="3"/>
      <c r="V4725" s="3"/>
      <c r="W4725" s="3"/>
      <c r="X4725" s="3"/>
      <c r="Y4725" s="4"/>
      <c r="Z4725"/>
      <c r="AA4725"/>
    </row>
    <row r="4726" spans="1:27" s="37" customFormat="1" x14ac:dyDescent="0.15">
      <c r="A4726" s="70"/>
      <c r="B4726" s="117"/>
      <c r="C4726" s="70"/>
      <c r="D4726" s="70"/>
      <c r="E4726" s="70"/>
      <c r="F4726" s="70"/>
      <c r="G4726" s="70"/>
      <c r="H4726" s="85"/>
      <c r="I4726" s="85"/>
      <c r="J4726" s="131"/>
      <c r="K4726" s="60"/>
      <c r="L4726" s="33"/>
      <c r="P4726" s="3"/>
      <c r="Q4726" s="3"/>
      <c r="R4726" s="3"/>
      <c r="S4726" s="3"/>
      <c r="T4726" s="3"/>
      <c r="U4726" s="3"/>
      <c r="V4726" s="3"/>
      <c r="W4726" s="3"/>
      <c r="X4726" s="3"/>
      <c r="Y4726" s="4"/>
      <c r="Z4726"/>
      <c r="AA4726"/>
    </row>
    <row r="4727" spans="1:27" s="37" customFormat="1" x14ac:dyDescent="0.15">
      <c r="A4727" s="70"/>
      <c r="B4727" s="117"/>
      <c r="C4727" s="70"/>
      <c r="D4727" s="70"/>
      <c r="E4727" s="70"/>
      <c r="F4727" s="70"/>
      <c r="G4727" s="70"/>
      <c r="H4727" s="85"/>
      <c r="I4727" s="85"/>
      <c r="J4727" s="138"/>
      <c r="K4727" s="60"/>
      <c r="M4727" s="32"/>
      <c r="P4727" s="3"/>
      <c r="Q4727" s="3"/>
      <c r="R4727" s="3"/>
      <c r="S4727" s="3"/>
      <c r="T4727" s="3"/>
      <c r="U4727" s="3"/>
      <c r="V4727" s="3"/>
      <c r="W4727" s="3"/>
      <c r="X4727" s="3"/>
      <c r="Y4727" s="4"/>
      <c r="Z4727"/>
      <c r="AA4727"/>
    </row>
    <row r="4728" spans="1:27" s="37" customFormat="1" x14ac:dyDescent="0.15">
      <c r="A4728" s="70"/>
      <c r="B4728" s="117"/>
      <c r="C4728" s="70"/>
      <c r="D4728" s="70"/>
      <c r="E4728" s="70"/>
      <c r="F4728" s="70"/>
      <c r="G4728" s="70"/>
      <c r="H4728" s="85"/>
      <c r="I4728" s="85"/>
      <c r="J4728" s="131"/>
      <c r="K4728" s="60"/>
      <c r="L4728" s="33"/>
      <c r="P4728" s="3"/>
      <c r="Q4728" s="3"/>
      <c r="R4728" s="3"/>
      <c r="S4728" s="3"/>
      <c r="T4728" s="3"/>
      <c r="U4728" s="3"/>
      <c r="V4728" s="3"/>
      <c r="W4728" s="3"/>
      <c r="X4728" s="3"/>
      <c r="Y4728" s="4"/>
      <c r="Z4728"/>
      <c r="AA4728"/>
    </row>
    <row r="4729" spans="1:27" s="37" customFormat="1" x14ac:dyDescent="0.15">
      <c r="A4729" s="70"/>
      <c r="B4729" s="117"/>
      <c r="C4729" s="70"/>
      <c r="D4729" s="70"/>
      <c r="E4729" s="70"/>
      <c r="F4729" s="70"/>
      <c r="G4729" s="70"/>
      <c r="H4729" s="85"/>
      <c r="I4729" s="85"/>
      <c r="J4729" s="134"/>
      <c r="K4729" s="60"/>
      <c r="L4729" s="33"/>
      <c r="P4729" s="3"/>
      <c r="Q4729" s="3"/>
      <c r="R4729" s="3"/>
      <c r="S4729" s="3"/>
      <c r="T4729" s="3"/>
      <c r="U4729" s="3"/>
      <c r="V4729" s="3"/>
      <c r="W4729" s="3"/>
      <c r="X4729" s="3"/>
      <c r="Y4729" s="4"/>
      <c r="Z4729"/>
      <c r="AA4729"/>
    </row>
    <row r="4730" spans="1:27" s="37" customFormat="1" x14ac:dyDescent="0.15">
      <c r="A4730" s="70"/>
      <c r="B4730" s="117"/>
      <c r="C4730" s="70"/>
      <c r="D4730" s="70"/>
      <c r="E4730" s="70"/>
      <c r="F4730" s="70"/>
      <c r="G4730" s="70"/>
      <c r="H4730" s="85"/>
      <c r="I4730" s="85"/>
      <c r="J4730" s="131"/>
      <c r="K4730" s="60"/>
      <c r="L4730" s="33"/>
      <c r="P4730" s="3"/>
      <c r="Q4730" s="3"/>
      <c r="R4730" s="3"/>
      <c r="S4730" s="3"/>
      <c r="T4730" s="3"/>
      <c r="U4730" s="3"/>
      <c r="V4730" s="3"/>
      <c r="W4730" s="3"/>
      <c r="X4730" s="3"/>
      <c r="Y4730" s="4"/>
      <c r="Z4730"/>
      <c r="AA4730"/>
    </row>
    <row r="4731" spans="1:27" s="37" customFormat="1" x14ac:dyDescent="0.15">
      <c r="A4731" s="70"/>
      <c r="B4731" s="117"/>
      <c r="C4731" s="70"/>
      <c r="D4731" s="70"/>
      <c r="E4731" s="70"/>
      <c r="F4731" s="70"/>
      <c r="G4731" s="70"/>
      <c r="H4731" s="85"/>
      <c r="I4731" s="85"/>
      <c r="J4731" s="131"/>
      <c r="K4731" s="63"/>
      <c r="P4731" s="3"/>
      <c r="Q4731" s="3"/>
      <c r="R4731" s="3"/>
      <c r="S4731" s="3"/>
      <c r="T4731" s="3"/>
      <c r="U4731" s="3"/>
      <c r="V4731" s="3"/>
      <c r="W4731" s="3"/>
      <c r="X4731" s="3"/>
      <c r="Y4731" s="4"/>
      <c r="Z4731"/>
      <c r="AA4731"/>
    </row>
    <row r="4732" spans="1:27" s="37" customFormat="1" x14ac:dyDescent="0.15">
      <c r="A4732" s="70"/>
      <c r="B4732" s="117"/>
      <c r="C4732" s="70"/>
      <c r="D4732" s="70"/>
      <c r="E4732" s="70"/>
      <c r="F4732" s="70"/>
      <c r="G4732" s="70"/>
      <c r="H4732" s="85"/>
      <c r="I4732" s="85"/>
      <c r="J4732" s="131"/>
      <c r="K4732" s="60"/>
      <c r="L4732" s="49"/>
      <c r="P4732" s="3"/>
      <c r="Q4732" s="3"/>
      <c r="R4732" s="3"/>
      <c r="S4732" s="3"/>
      <c r="T4732" s="3"/>
      <c r="U4732" s="3"/>
      <c r="V4732" s="3"/>
      <c r="W4732" s="3"/>
      <c r="X4732" s="3"/>
      <c r="Y4732" s="4"/>
      <c r="Z4732"/>
      <c r="AA4732"/>
    </row>
    <row r="4733" spans="1:27" s="37" customFormat="1" x14ac:dyDescent="0.15">
      <c r="A4733" s="70"/>
      <c r="B4733" s="118"/>
      <c r="C4733" s="70"/>
      <c r="D4733" s="70"/>
      <c r="E4733" s="70"/>
      <c r="F4733" s="70"/>
      <c r="G4733" s="70"/>
      <c r="H4733" s="85"/>
      <c r="I4733" s="85"/>
      <c r="J4733" s="131"/>
      <c r="K4733" s="60"/>
      <c r="L4733" s="33"/>
      <c r="P4733" s="3"/>
      <c r="Q4733" s="3"/>
      <c r="R4733" s="3"/>
      <c r="S4733" s="3"/>
      <c r="T4733" s="3"/>
      <c r="U4733" s="3"/>
      <c r="V4733" s="3"/>
      <c r="W4733" s="3"/>
      <c r="X4733" s="3"/>
      <c r="Y4733" s="4"/>
      <c r="Z4733"/>
      <c r="AA4733"/>
    </row>
    <row r="4734" spans="1:27" s="37" customFormat="1" x14ac:dyDescent="0.15">
      <c r="A4734" s="70"/>
      <c r="B4734" s="118"/>
      <c r="C4734" s="70"/>
      <c r="D4734" s="70"/>
      <c r="E4734" s="70"/>
      <c r="F4734" s="70"/>
      <c r="G4734" s="70"/>
      <c r="H4734" s="85"/>
      <c r="I4734" s="85"/>
      <c r="J4734" s="131"/>
      <c r="K4734" s="60"/>
      <c r="L4734" s="33"/>
      <c r="P4734" s="3"/>
      <c r="Q4734" s="3"/>
      <c r="R4734" s="3"/>
      <c r="S4734" s="3"/>
      <c r="T4734" s="3"/>
      <c r="U4734" s="3"/>
      <c r="V4734" s="3"/>
      <c r="W4734" s="3"/>
      <c r="X4734" s="3"/>
      <c r="Y4734" s="4"/>
      <c r="Z4734"/>
      <c r="AA4734"/>
    </row>
    <row r="4735" spans="1:27" s="37" customFormat="1" x14ac:dyDescent="0.15">
      <c r="A4735" s="70"/>
      <c r="B4735" s="117"/>
      <c r="C4735" s="70"/>
      <c r="D4735" s="70"/>
      <c r="E4735" s="70"/>
      <c r="F4735" s="70"/>
      <c r="G4735" s="70"/>
      <c r="H4735" s="85"/>
      <c r="I4735" s="85"/>
      <c r="J4735" s="131"/>
      <c r="K4735" s="60"/>
      <c r="L4735" s="33"/>
      <c r="P4735" s="3"/>
      <c r="Q4735" s="3"/>
      <c r="R4735" s="3"/>
      <c r="S4735" s="3"/>
      <c r="T4735" s="3"/>
      <c r="U4735" s="3"/>
      <c r="V4735" s="3"/>
      <c r="W4735" s="3"/>
      <c r="X4735" s="3"/>
      <c r="Y4735" s="4"/>
      <c r="Z4735"/>
      <c r="AA4735"/>
    </row>
    <row r="4736" spans="1:27" s="37" customFormat="1" x14ac:dyDescent="0.15">
      <c r="A4736" s="70"/>
      <c r="B4736" s="117"/>
      <c r="C4736" s="70"/>
      <c r="D4736" s="70"/>
      <c r="E4736" s="70"/>
      <c r="F4736" s="70"/>
      <c r="G4736" s="70"/>
      <c r="H4736" s="85"/>
      <c r="I4736" s="85"/>
      <c r="J4736" s="131"/>
      <c r="K4736" s="60"/>
      <c r="L4736" s="33"/>
      <c r="P4736" s="3"/>
      <c r="Q4736" s="3"/>
      <c r="R4736" s="3"/>
      <c r="S4736" s="3"/>
      <c r="T4736" s="3"/>
      <c r="U4736" s="3"/>
      <c r="V4736" s="3"/>
      <c r="W4736" s="3"/>
      <c r="X4736" s="3"/>
      <c r="Y4736" s="4"/>
      <c r="Z4736"/>
      <c r="AA4736"/>
    </row>
    <row r="4737" spans="1:27" s="37" customFormat="1" x14ac:dyDescent="0.15">
      <c r="A4737" s="70"/>
      <c r="B4737" s="117"/>
      <c r="C4737" s="70"/>
      <c r="D4737" s="70"/>
      <c r="E4737" s="70"/>
      <c r="F4737" s="70"/>
      <c r="G4737" s="70"/>
      <c r="H4737" s="85"/>
      <c r="I4737" s="85"/>
      <c r="J4737" s="131"/>
      <c r="K4737" s="60"/>
      <c r="L4737" s="33"/>
      <c r="P4737" s="3"/>
      <c r="Q4737" s="3"/>
      <c r="R4737" s="3"/>
      <c r="S4737" s="3"/>
      <c r="T4737" s="3"/>
      <c r="U4737" s="3"/>
      <c r="V4737" s="3"/>
      <c r="W4737" s="3"/>
      <c r="X4737" s="3"/>
      <c r="Y4737" s="4"/>
      <c r="Z4737"/>
      <c r="AA4737"/>
    </row>
    <row r="4738" spans="1:27" s="37" customFormat="1" x14ac:dyDescent="0.15">
      <c r="A4738" s="70"/>
      <c r="B4738" s="118"/>
      <c r="C4738" s="70"/>
      <c r="D4738" s="70"/>
      <c r="E4738" s="70"/>
      <c r="F4738" s="70"/>
      <c r="G4738" s="70"/>
      <c r="H4738" s="85"/>
      <c r="I4738" s="85"/>
      <c r="J4738" s="131"/>
      <c r="K4738" s="60"/>
      <c r="L4738" s="33"/>
      <c r="P4738" s="3"/>
      <c r="Q4738" s="3"/>
      <c r="R4738" s="3"/>
      <c r="S4738" s="3"/>
      <c r="T4738" s="3"/>
      <c r="U4738" s="3"/>
      <c r="V4738" s="3"/>
      <c r="W4738" s="3"/>
      <c r="X4738" s="3"/>
      <c r="Y4738" s="4"/>
      <c r="Z4738"/>
      <c r="AA4738"/>
    </row>
    <row r="4739" spans="1:27" s="37" customFormat="1" x14ac:dyDescent="0.15">
      <c r="A4739" s="70"/>
      <c r="B4739" s="118"/>
      <c r="C4739" s="70"/>
      <c r="D4739" s="70"/>
      <c r="E4739" s="70"/>
      <c r="F4739" s="70"/>
      <c r="G4739" s="70"/>
      <c r="H4739" s="85"/>
      <c r="I4739" s="85"/>
      <c r="J4739" s="131"/>
      <c r="K4739" s="60"/>
      <c r="L4739" s="33"/>
      <c r="P4739" s="3"/>
      <c r="Q4739" s="3"/>
      <c r="R4739" s="3"/>
      <c r="S4739" s="3"/>
      <c r="T4739" s="3"/>
      <c r="U4739" s="3"/>
      <c r="V4739" s="3"/>
      <c r="W4739" s="3"/>
      <c r="X4739" s="3"/>
      <c r="Y4739" s="4"/>
      <c r="Z4739"/>
      <c r="AA4739"/>
    </row>
    <row r="4740" spans="1:27" s="37" customFormat="1" x14ac:dyDescent="0.15">
      <c r="A4740" s="70"/>
      <c r="B4740" s="118"/>
      <c r="C4740" s="70"/>
      <c r="D4740" s="70"/>
      <c r="E4740" s="70"/>
      <c r="F4740" s="70"/>
      <c r="G4740" s="70"/>
      <c r="H4740" s="85"/>
      <c r="I4740" s="85"/>
      <c r="J4740" s="131"/>
      <c r="K4740" s="60"/>
      <c r="L4740" s="33"/>
      <c r="P4740" s="3"/>
      <c r="Q4740" s="3"/>
      <c r="R4740" s="3"/>
      <c r="S4740" s="3"/>
      <c r="T4740" s="3"/>
      <c r="U4740" s="3"/>
      <c r="V4740" s="3"/>
      <c r="W4740" s="3"/>
      <c r="X4740" s="3"/>
      <c r="Y4740" s="4"/>
      <c r="Z4740"/>
      <c r="AA4740"/>
    </row>
    <row r="4741" spans="1:27" s="37" customFormat="1" x14ac:dyDescent="0.15">
      <c r="A4741" s="70"/>
      <c r="B4741" s="117"/>
      <c r="C4741" s="70"/>
      <c r="D4741" s="70"/>
      <c r="E4741" s="70"/>
      <c r="F4741" s="70"/>
      <c r="G4741" s="70"/>
      <c r="H4741" s="85"/>
      <c r="I4741" s="85"/>
      <c r="J4741" s="131"/>
      <c r="K4741" s="60"/>
      <c r="L4741" s="33"/>
      <c r="P4741" s="3"/>
      <c r="Q4741" s="3"/>
      <c r="R4741" s="3"/>
      <c r="S4741" s="3"/>
      <c r="T4741" s="3"/>
      <c r="U4741" s="3"/>
      <c r="V4741" s="3"/>
      <c r="W4741" s="3"/>
      <c r="X4741" s="3"/>
      <c r="Y4741" s="4"/>
      <c r="Z4741"/>
      <c r="AA4741"/>
    </row>
    <row r="4742" spans="1:27" s="37" customFormat="1" x14ac:dyDescent="0.15">
      <c r="A4742" s="70"/>
      <c r="B4742" s="117"/>
      <c r="C4742" s="70"/>
      <c r="D4742" s="70"/>
      <c r="E4742" s="70"/>
      <c r="F4742" s="70"/>
      <c r="G4742" s="70"/>
      <c r="H4742" s="85"/>
      <c r="I4742" s="85"/>
      <c r="J4742" s="131"/>
      <c r="K4742" s="60"/>
      <c r="L4742" s="33"/>
      <c r="P4742" s="3"/>
      <c r="Q4742" s="3"/>
      <c r="R4742" s="3"/>
      <c r="S4742" s="3"/>
      <c r="T4742" s="3"/>
      <c r="U4742" s="3"/>
      <c r="V4742" s="3"/>
      <c r="W4742" s="3"/>
      <c r="X4742" s="3"/>
      <c r="Y4742" s="4"/>
      <c r="Z4742"/>
      <c r="AA4742"/>
    </row>
    <row r="4743" spans="1:27" s="37" customFormat="1" x14ac:dyDescent="0.15">
      <c r="A4743" s="70"/>
      <c r="B4743" s="117"/>
      <c r="C4743" s="70"/>
      <c r="D4743" s="70"/>
      <c r="E4743" s="70"/>
      <c r="F4743" s="70"/>
      <c r="G4743" s="70"/>
      <c r="H4743" s="85"/>
      <c r="I4743" s="85"/>
      <c r="J4743" s="131"/>
      <c r="K4743" s="60"/>
      <c r="L4743" s="33"/>
      <c r="P4743" s="3"/>
      <c r="Q4743" s="3"/>
      <c r="R4743" s="3"/>
      <c r="S4743" s="3"/>
      <c r="T4743" s="3"/>
      <c r="U4743" s="3"/>
      <c r="V4743" s="3"/>
      <c r="W4743" s="3"/>
      <c r="X4743" s="3"/>
      <c r="Y4743" s="4"/>
      <c r="Z4743"/>
      <c r="AA4743"/>
    </row>
    <row r="4744" spans="1:27" s="37" customFormat="1" x14ac:dyDescent="0.15">
      <c r="A4744" s="70"/>
      <c r="B4744" s="117"/>
      <c r="C4744" s="70"/>
      <c r="D4744" s="70"/>
      <c r="E4744" s="70"/>
      <c r="F4744" s="70"/>
      <c r="G4744" s="70"/>
      <c r="H4744" s="85"/>
      <c r="I4744" s="85"/>
      <c r="J4744" s="131"/>
      <c r="K4744" s="60"/>
      <c r="L4744" s="33"/>
      <c r="P4744" s="3"/>
      <c r="Q4744" s="3"/>
      <c r="R4744" s="3"/>
      <c r="S4744" s="3"/>
      <c r="T4744" s="3"/>
      <c r="U4744" s="3"/>
      <c r="V4744" s="3"/>
      <c r="W4744" s="3"/>
      <c r="X4744" s="3"/>
      <c r="Y4744" s="4"/>
      <c r="Z4744"/>
      <c r="AA4744"/>
    </row>
    <row r="4745" spans="1:27" s="37" customFormat="1" x14ac:dyDescent="0.15">
      <c r="A4745" s="70"/>
      <c r="B4745" s="117"/>
      <c r="C4745" s="70"/>
      <c r="D4745" s="70"/>
      <c r="E4745" s="70"/>
      <c r="F4745" s="70"/>
      <c r="G4745" s="70"/>
      <c r="H4745" s="85"/>
      <c r="I4745" s="85"/>
      <c r="J4745" s="131"/>
      <c r="K4745" s="60"/>
      <c r="L4745" s="33"/>
      <c r="P4745" s="3"/>
      <c r="Q4745" s="3"/>
      <c r="R4745" s="3"/>
      <c r="S4745" s="3"/>
      <c r="T4745" s="3"/>
      <c r="U4745" s="3"/>
      <c r="V4745" s="3"/>
      <c r="W4745" s="3"/>
      <c r="X4745" s="3"/>
      <c r="Y4745" s="4"/>
      <c r="Z4745"/>
      <c r="AA4745"/>
    </row>
    <row r="4746" spans="1:27" s="37" customFormat="1" x14ac:dyDescent="0.15">
      <c r="A4746" s="70"/>
      <c r="B4746" s="117"/>
      <c r="C4746" s="70"/>
      <c r="D4746" s="70"/>
      <c r="E4746" s="70"/>
      <c r="F4746" s="70"/>
      <c r="G4746" s="70"/>
      <c r="H4746" s="85"/>
      <c r="I4746" s="85"/>
      <c r="J4746" s="131"/>
      <c r="K4746" s="60"/>
      <c r="L4746" s="33"/>
      <c r="P4746" s="3"/>
      <c r="Q4746" s="3"/>
      <c r="R4746" s="3"/>
      <c r="S4746" s="3"/>
      <c r="T4746" s="3"/>
      <c r="U4746" s="3"/>
      <c r="V4746" s="3"/>
      <c r="W4746" s="3"/>
      <c r="X4746" s="3"/>
      <c r="Y4746" s="4"/>
      <c r="Z4746"/>
      <c r="AA4746"/>
    </row>
    <row r="4747" spans="1:27" s="37" customFormat="1" x14ac:dyDescent="0.15">
      <c r="A4747" s="70"/>
      <c r="B4747" s="117"/>
      <c r="C4747" s="70"/>
      <c r="D4747" s="70"/>
      <c r="E4747" s="73"/>
      <c r="F4747" s="70"/>
      <c r="G4747" s="70"/>
      <c r="H4747" s="85"/>
      <c r="I4747" s="85"/>
      <c r="J4747" s="131"/>
      <c r="K4747" s="60"/>
      <c r="L4747" s="33"/>
      <c r="P4747" s="3"/>
      <c r="Q4747" s="3"/>
      <c r="R4747" s="3"/>
      <c r="S4747" s="3"/>
      <c r="T4747" s="3"/>
      <c r="U4747" s="3"/>
      <c r="V4747" s="3"/>
      <c r="W4747" s="3"/>
      <c r="X4747" s="3"/>
      <c r="Y4747" s="4"/>
      <c r="Z4747"/>
      <c r="AA4747"/>
    </row>
    <row r="4748" spans="1:27" s="37" customFormat="1" x14ac:dyDescent="0.15">
      <c r="A4748" s="70"/>
      <c r="B4748" s="117"/>
      <c r="C4748" s="70"/>
      <c r="D4748" s="70"/>
      <c r="E4748" s="70"/>
      <c r="F4748" s="70"/>
      <c r="G4748" s="70"/>
      <c r="H4748" s="85"/>
      <c r="I4748" s="85"/>
      <c r="J4748" s="131"/>
      <c r="K4748" s="60"/>
      <c r="L4748" s="33"/>
      <c r="P4748" s="3"/>
      <c r="Q4748" s="3"/>
      <c r="R4748" s="3"/>
      <c r="S4748" s="3"/>
      <c r="T4748" s="3"/>
      <c r="U4748" s="3"/>
      <c r="V4748" s="3"/>
      <c r="W4748" s="3"/>
      <c r="X4748" s="3"/>
      <c r="Y4748" s="4"/>
      <c r="Z4748"/>
      <c r="AA4748"/>
    </row>
    <row r="4749" spans="1:27" s="37" customFormat="1" x14ac:dyDescent="0.15">
      <c r="A4749" s="70"/>
      <c r="B4749" s="117"/>
      <c r="C4749" s="70"/>
      <c r="D4749" s="70"/>
      <c r="E4749" s="70"/>
      <c r="F4749" s="70"/>
      <c r="G4749" s="70"/>
      <c r="H4749" s="85"/>
      <c r="I4749" s="85"/>
      <c r="J4749" s="131"/>
      <c r="K4749" s="60"/>
      <c r="L4749" s="33"/>
      <c r="P4749" s="3"/>
      <c r="Q4749" s="3"/>
      <c r="R4749" s="3"/>
      <c r="S4749" s="3"/>
      <c r="T4749" s="3"/>
      <c r="U4749" s="3"/>
      <c r="V4749" s="3"/>
      <c r="W4749" s="3"/>
      <c r="X4749" s="3"/>
      <c r="Y4749" s="4"/>
      <c r="Z4749"/>
      <c r="AA4749"/>
    </row>
    <row r="4750" spans="1:27" s="37" customFormat="1" x14ac:dyDescent="0.15">
      <c r="A4750" s="70"/>
      <c r="B4750" s="117"/>
      <c r="C4750" s="70"/>
      <c r="D4750" s="70"/>
      <c r="E4750" s="70"/>
      <c r="F4750" s="70"/>
      <c r="G4750" s="70"/>
      <c r="H4750" s="85"/>
      <c r="I4750" s="85"/>
      <c r="J4750" s="131"/>
      <c r="K4750" s="60"/>
      <c r="L4750" s="33"/>
      <c r="P4750" s="3"/>
      <c r="Q4750" s="3"/>
      <c r="R4750" s="3"/>
      <c r="S4750" s="3"/>
      <c r="T4750" s="3"/>
      <c r="U4750" s="3"/>
      <c r="V4750" s="3"/>
      <c r="W4750" s="3"/>
      <c r="X4750" s="3"/>
      <c r="Y4750" s="4"/>
      <c r="Z4750"/>
      <c r="AA4750"/>
    </row>
    <row r="4751" spans="1:27" s="37" customFormat="1" ht="16" x14ac:dyDescent="0.2">
      <c r="A4751" s="70"/>
      <c r="B4751" s="117"/>
      <c r="C4751" s="70"/>
      <c r="D4751" s="70"/>
      <c r="E4751" s="70"/>
      <c r="F4751" s="70"/>
      <c r="G4751" s="70"/>
      <c r="H4751" s="85"/>
      <c r="I4751" s="85"/>
      <c r="J4751" s="131"/>
      <c r="K4751" s="60"/>
      <c r="L4751" s="47"/>
      <c r="P4751" s="3"/>
      <c r="Q4751" s="3"/>
      <c r="R4751" s="3"/>
      <c r="S4751" s="3"/>
      <c r="T4751" s="3"/>
      <c r="U4751" s="3"/>
      <c r="V4751" s="3"/>
      <c r="W4751" s="3"/>
      <c r="X4751" s="3"/>
      <c r="Y4751" s="4"/>
      <c r="Z4751"/>
      <c r="AA4751"/>
    </row>
    <row r="4752" spans="1:27" s="37" customFormat="1" x14ac:dyDescent="0.15">
      <c r="A4752" s="70"/>
      <c r="B4752" s="118"/>
      <c r="C4752" s="70"/>
      <c r="D4752" s="70"/>
      <c r="E4752" s="70"/>
      <c r="F4752" s="70"/>
      <c r="G4752" s="70"/>
      <c r="H4752" s="85"/>
      <c r="I4752" s="85"/>
      <c r="J4752" s="131"/>
      <c r="K4752" s="60"/>
      <c r="L4752" s="33"/>
      <c r="P4752" s="3"/>
      <c r="Q4752" s="3"/>
      <c r="R4752" s="3"/>
      <c r="S4752" s="3"/>
      <c r="T4752" s="3"/>
      <c r="U4752" s="3"/>
      <c r="V4752" s="3"/>
      <c r="W4752" s="3"/>
      <c r="X4752" s="3"/>
      <c r="Y4752" s="4"/>
      <c r="Z4752"/>
      <c r="AA4752"/>
    </row>
    <row r="4753" spans="1:27" s="37" customFormat="1" x14ac:dyDescent="0.15">
      <c r="A4753" s="70"/>
      <c r="B4753" s="117"/>
      <c r="C4753" s="70"/>
      <c r="D4753" s="70"/>
      <c r="E4753" s="70"/>
      <c r="F4753" s="70"/>
      <c r="G4753" s="70"/>
      <c r="H4753" s="85"/>
      <c r="I4753" s="85"/>
      <c r="J4753" s="131"/>
      <c r="K4753" s="60"/>
      <c r="L4753" s="33"/>
      <c r="P4753" s="3"/>
      <c r="Q4753" s="3"/>
      <c r="R4753" s="3"/>
      <c r="S4753" s="3"/>
      <c r="T4753" s="3"/>
      <c r="U4753" s="3"/>
      <c r="V4753" s="3"/>
      <c r="W4753" s="3"/>
      <c r="X4753" s="3"/>
      <c r="Y4753" s="4"/>
      <c r="Z4753"/>
      <c r="AA4753"/>
    </row>
    <row r="4754" spans="1:27" s="37" customFormat="1" x14ac:dyDescent="0.15">
      <c r="A4754" s="70"/>
      <c r="B4754" s="117"/>
      <c r="C4754" s="70"/>
      <c r="D4754" s="70"/>
      <c r="E4754" s="70"/>
      <c r="F4754" s="70"/>
      <c r="G4754" s="70"/>
      <c r="H4754" s="85"/>
      <c r="I4754" s="85"/>
      <c r="J4754" s="131"/>
      <c r="K4754" s="70"/>
      <c r="L4754" s="33"/>
      <c r="P4754" s="3"/>
      <c r="Q4754" s="3"/>
      <c r="R4754" s="3"/>
      <c r="S4754" s="3"/>
      <c r="T4754" s="3"/>
      <c r="U4754" s="3"/>
      <c r="V4754" s="3"/>
      <c r="W4754" s="3"/>
      <c r="X4754" s="3"/>
      <c r="Y4754" s="4"/>
      <c r="Z4754"/>
      <c r="AA4754"/>
    </row>
    <row r="4755" spans="1:27" s="37" customFormat="1" x14ac:dyDescent="0.15">
      <c r="A4755" s="70"/>
      <c r="B4755" s="117"/>
      <c r="C4755" s="70"/>
      <c r="D4755" s="70"/>
      <c r="E4755" s="70"/>
      <c r="F4755" s="70"/>
      <c r="G4755" s="70"/>
      <c r="H4755" s="85"/>
      <c r="I4755" s="85"/>
      <c r="J4755" s="131"/>
      <c r="K4755" s="60"/>
      <c r="L4755" s="33"/>
      <c r="P4755" s="3"/>
      <c r="Q4755" s="3"/>
      <c r="R4755" s="3"/>
      <c r="S4755" s="3"/>
      <c r="T4755" s="3"/>
      <c r="U4755" s="3"/>
      <c r="V4755" s="3"/>
      <c r="W4755" s="3"/>
      <c r="X4755" s="3"/>
      <c r="Y4755" s="4"/>
      <c r="Z4755"/>
      <c r="AA4755"/>
    </row>
    <row r="4756" spans="1:27" s="37" customFormat="1" x14ac:dyDescent="0.15">
      <c r="A4756" s="70"/>
      <c r="B4756" s="117"/>
      <c r="C4756" s="70"/>
      <c r="D4756" s="70"/>
      <c r="E4756" s="70"/>
      <c r="F4756" s="70"/>
      <c r="G4756" s="70"/>
      <c r="H4756" s="85"/>
      <c r="I4756" s="85"/>
      <c r="J4756" s="131"/>
      <c r="K4756" s="60"/>
      <c r="L4756" s="33"/>
      <c r="P4756" s="3"/>
      <c r="Q4756" s="3"/>
      <c r="R4756" s="3"/>
      <c r="S4756" s="3"/>
      <c r="T4756" s="3"/>
      <c r="U4756" s="3"/>
      <c r="V4756" s="3"/>
      <c r="W4756" s="3"/>
      <c r="X4756" s="3"/>
      <c r="Y4756" s="4"/>
      <c r="Z4756"/>
      <c r="AA4756"/>
    </row>
    <row r="4757" spans="1:27" s="37" customFormat="1" x14ac:dyDescent="0.15">
      <c r="A4757" s="70"/>
      <c r="B4757" s="117"/>
      <c r="C4757" s="70"/>
      <c r="D4757" s="70"/>
      <c r="E4757" s="70"/>
      <c r="F4757" s="70"/>
      <c r="G4757" s="70"/>
      <c r="H4757" s="85"/>
      <c r="I4757" s="85"/>
      <c r="J4757" s="131"/>
      <c r="K4757" s="60"/>
      <c r="L4757" s="33"/>
      <c r="P4757" s="3"/>
      <c r="Q4757" s="3"/>
      <c r="R4757" s="3"/>
      <c r="S4757" s="3"/>
      <c r="T4757" s="3"/>
      <c r="U4757" s="3"/>
      <c r="V4757" s="3"/>
      <c r="W4757" s="3"/>
      <c r="X4757" s="3"/>
      <c r="Y4757" s="4"/>
      <c r="Z4757"/>
      <c r="AA4757"/>
    </row>
    <row r="4758" spans="1:27" s="37" customFormat="1" x14ac:dyDescent="0.15">
      <c r="A4758" s="70"/>
      <c r="B4758" s="117"/>
      <c r="C4758" s="70"/>
      <c r="D4758" s="70"/>
      <c r="E4758" s="70"/>
      <c r="F4758" s="70"/>
      <c r="G4758" s="70"/>
      <c r="H4758" s="85"/>
      <c r="I4758" s="85"/>
      <c r="J4758" s="131"/>
      <c r="K4758" s="60"/>
      <c r="L4758" s="33"/>
      <c r="P4758" s="3"/>
      <c r="Q4758" s="3"/>
      <c r="R4758" s="3"/>
      <c r="S4758" s="3"/>
      <c r="T4758" s="3"/>
      <c r="U4758" s="3"/>
      <c r="V4758" s="3"/>
      <c r="W4758" s="3"/>
      <c r="X4758" s="3"/>
      <c r="Y4758" s="4"/>
      <c r="Z4758"/>
      <c r="AA4758"/>
    </row>
    <row r="4759" spans="1:27" s="37" customFormat="1" ht="16" x14ac:dyDescent="0.2">
      <c r="A4759" s="70"/>
      <c r="B4759" s="117"/>
      <c r="C4759" s="70"/>
      <c r="D4759" s="70"/>
      <c r="E4759" s="70"/>
      <c r="F4759" s="70"/>
      <c r="G4759" s="70"/>
      <c r="H4759" s="85"/>
      <c r="I4759" s="85"/>
      <c r="J4759" s="131"/>
      <c r="K4759" s="60"/>
      <c r="L4759" s="33"/>
      <c r="M4759" s="48"/>
      <c r="P4759" s="3"/>
      <c r="Q4759" s="3"/>
      <c r="R4759" s="3"/>
      <c r="S4759" s="3"/>
      <c r="T4759" s="3"/>
      <c r="U4759" s="3"/>
      <c r="V4759" s="3"/>
      <c r="W4759" s="3"/>
      <c r="X4759" s="3"/>
      <c r="Y4759" s="4"/>
      <c r="Z4759"/>
      <c r="AA4759"/>
    </row>
    <row r="4760" spans="1:27" s="37" customFormat="1" x14ac:dyDescent="0.15">
      <c r="A4760" s="70"/>
      <c r="B4760" s="117"/>
      <c r="C4760" s="70"/>
      <c r="D4760" s="70"/>
      <c r="E4760" s="70"/>
      <c r="F4760" s="70"/>
      <c r="G4760" s="70"/>
      <c r="H4760" s="85"/>
      <c r="I4760" s="85"/>
      <c r="J4760" s="131"/>
      <c r="K4760" s="60"/>
      <c r="L4760" s="33"/>
      <c r="P4760" s="3"/>
      <c r="Q4760" s="3"/>
      <c r="R4760" s="3"/>
      <c r="S4760" s="3"/>
      <c r="T4760" s="3"/>
      <c r="U4760" s="3"/>
      <c r="V4760" s="3"/>
      <c r="W4760" s="3"/>
      <c r="X4760" s="3"/>
      <c r="Y4760" s="4"/>
      <c r="Z4760"/>
      <c r="AA4760"/>
    </row>
    <row r="4761" spans="1:27" s="37" customFormat="1" x14ac:dyDescent="0.15">
      <c r="A4761" s="83"/>
      <c r="B4761" s="117"/>
      <c r="C4761" s="70"/>
      <c r="D4761" s="70"/>
      <c r="E4761" s="70"/>
      <c r="F4761" s="70"/>
      <c r="G4761" s="70"/>
      <c r="H4761" s="85"/>
      <c r="I4761" s="85"/>
      <c r="J4761" s="131"/>
      <c r="K4761" s="60"/>
      <c r="L4761" s="33"/>
      <c r="P4761" s="3"/>
      <c r="Q4761" s="3"/>
      <c r="R4761" s="3"/>
      <c r="S4761" s="3"/>
      <c r="T4761" s="3"/>
      <c r="U4761" s="3"/>
      <c r="V4761" s="3"/>
      <c r="W4761" s="3"/>
      <c r="X4761" s="3"/>
      <c r="Y4761" s="4"/>
      <c r="Z4761"/>
      <c r="AA4761"/>
    </row>
    <row r="4762" spans="1:27" s="37" customFormat="1" x14ac:dyDescent="0.15">
      <c r="A4762" s="70"/>
      <c r="B4762" s="117"/>
      <c r="C4762" s="70"/>
      <c r="D4762" s="70"/>
      <c r="E4762" s="70"/>
      <c r="F4762" s="70"/>
      <c r="G4762" s="70"/>
      <c r="H4762" s="85"/>
      <c r="I4762" s="85"/>
      <c r="J4762" s="131"/>
      <c r="K4762" s="60"/>
      <c r="L4762" s="33"/>
      <c r="P4762" s="3"/>
      <c r="Q4762" s="3"/>
      <c r="R4762" s="3"/>
      <c r="S4762" s="3"/>
      <c r="T4762" s="3"/>
      <c r="U4762" s="3"/>
      <c r="V4762" s="3"/>
      <c r="W4762" s="3"/>
      <c r="X4762" s="3"/>
      <c r="Y4762" s="4"/>
      <c r="Z4762"/>
      <c r="AA4762"/>
    </row>
    <row r="4763" spans="1:27" s="37" customFormat="1" x14ac:dyDescent="0.15">
      <c r="A4763" s="70"/>
      <c r="B4763" s="117"/>
      <c r="C4763" s="70"/>
      <c r="D4763" s="70"/>
      <c r="E4763" s="70"/>
      <c r="F4763" s="70"/>
      <c r="G4763" s="70"/>
      <c r="H4763" s="85"/>
      <c r="I4763" s="85"/>
      <c r="J4763" s="131"/>
      <c r="K4763" s="60"/>
      <c r="L4763" s="33"/>
      <c r="P4763" s="3"/>
      <c r="Q4763" s="3"/>
      <c r="R4763" s="3"/>
      <c r="S4763" s="3"/>
      <c r="T4763" s="3"/>
      <c r="U4763" s="3"/>
      <c r="V4763" s="3"/>
      <c r="W4763" s="3"/>
      <c r="X4763" s="3"/>
      <c r="Y4763" s="4"/>
      <c r="Z4763"/>
      <c r="AA4763"/>
    </row>
    <row r="4764" spans="1:27" s="37" customFormat="1" x14ac:dyDescent="0.15">
      <c r="A4764" s="70"/>
      <c r="B4764" s="117"/>
      <c r="C4764" s="70"/>
      <c r="D4764" s="70"/>
      <c r="E4764" s="70"/>
      <c r="F4764" s="70"/>
      <c r="G4764" s="70"/>
      <c r="H4764" s="85"/>
      <c r="I4764" s="85"/>
      <c r="J4764" s="131"/>
      <c r="K4764" s="60"/>
      <c r="L4764" s="33"/>
      <c r="P4764" s="3"/>
      <c r="Q4764" s="3"/>
      <c r="R4764" s="3"/>
      <c r="S4764" s="3"/>
      <c r="T4764" s="3"/>
      <c r="U4764" s="3"/>
      <c r="V4764" s="3"/>
      <c r="W4764" s="3"/>
      <c r="X4764" s="3"/>
      <c r="Y4764" s="4"/>
      <c r="Z4764"/>
      <c r="AA4764"/>
    </row>
    <row r="4765" spans="1:27" s="37" customFormat="1" x14ac:dyDescent="0.15">
      <c r="A4765" s="70"/>
      <c r="B4765" s="117"/>
      <c r="C4765" s="70"/>
      <c r="D4765" s="70"/>
      <c r="E4765" s="70"/>
      <c r="F4765" s="70"/>
      <c r="G4765" s="70"/>
      <c r="H4765" s="85"/>
      <c r="I4765" s="85"/>
      <c r="J4765" s="131"/>
      <c r="K4765" s="60"/>
      <c r="L4765" s="33"/>
      <c r="P4765" s="3"/>
      <c r="Q4765" s="3"/>
      <c r="R4765" s="3"/>
      <c r="S4765" s="3"/>
      <c r="T4765" s="3"/>
      <c r="U4765" s="3"/>
      <c r="V4765" s="3"/>
      <c r="W4765" s="3"/>
      <c r="X4765" s="3"/>
      <c r="Y4765" s="4"/>
      <c r="Z4765"/>
      <c r="AA4765"/>
    </row>
    <row r="4766" spans="1:27" s="37" customFormat="1" x14ac:dyDescent="0.15">
      <c r="A4766" s="70"/>
      <c r="B4766" s="117"/>
      <c r="C4766" s="70"/>
      <c r="D4766" s="70"/>
      <c r="E4766" s="70"/>
      <c r="F4766" s="70"/>
      <c r="G4766" s="70"/>
      <c r="H4766" s="85"/>
      <c r="I4766" s="85"/>
      <c r="J4766" s="131"/>
      <c r="K4766" s="60"/>
      <c r="L4766" s="33"/>
      <c r="M4766" s="35"/>
      <c r="P4766" s="3"/>
      <c r="Q4766" s="3"/>
      <c r="R4766" s="3"/>
      <c r="S4766" s="3"/>
      <c r="T4766" s="3"/>
      <c r="U4766" s="3"/>
      <c r="V4766" s="3"/>
      <c r="W4766" s="3"/>
      <c r="X4766" s="3"/>
      <c r="Y4766" s="4"/>
      <c r="Z4766"/>
      <c r="AA4766"/>
    </row>
    <row r="4767" spans="1:27" s="37" customFormat="1" x14ac:dyDescent="0.15">
      <c r="A4767" s="70"/>
      <c r="B4767" s="117"/>
      <c r="C4767" s="70"/>
      <c r="D4767" s="70"/>
      <c r="E4767" s="70"/>
      <c r="F4767" s="70"/>
      <c r="G4767" s="70"/>
      <c r="H4767" s="85"/>
      <c r="I4767" s="85"/>
      <c r="J4767" s="131"/>
      <c r="K4767" s="60"/>
      <c r="L4767" s="33"/>
      <c r="P4767" s="3"/>
      <c r="Q4767" s="3"/>
      <c r="R4767" s="3"/>
      <c r="S4767" s="3"/>
      <c r="T4767" s="3"/>
      <c r="U4767" s="3"/>
      <c r="V4767" s="3"/>
      <c r="W4767" s="3"/>
      <c r="X4767" s="3"/>
      <c r="Y4767" s="4"/>
      <c r="Z4767"/>
      <c r="AA4767"/>
    </row>
    <row r="4768" spans="1:27" s="37" customFormat="1" x14ac:dyDescent="0.15">
      <c r="A4768" s="70"/>
      <c r="B4768" s="117"/>
      <c r="C4768" s="70"/>
      <c r="D4768" s="70"/>
      <c r="E4768" s="70"/>
      <c r="F4768" s="70"/>
      <c r="G4768" s="70"/>
      <c r="H4768" s="85"/>
      <c r="I4768" s="85"/>
      <c r="J4768" s="131"/>
      <c r="K4768" s="67"/>
      <c r="L4768" s="33"/>
      <c r="P4768" s="3"/>
      <c r="Q4768" s="3"/>
      <c r="R4768" s="3"/>
      <c r="S4768" s="3"/>
      <c r="T4768" s="3"/>
      <c r="U4768" s="3"/>
      <c r="V4768" s="3"/>
      <c r="W4768" s="3"/>
      <c r="X4768" s="3"/>
      <c r="Y4768" s="4"/>
      <c r="Z4768"/>
      <c r="AA4768"/>
    </row>
    <row r="4769" spans="1:27" s="37" customFormat="1" x14ac:dyDescent="0.15">
      <c r="A4769" s="70"/>
      <c r="B4769" s="117"/>
      <c r="C4769" s="70"/>
      <c r="D4769" s="70"/>
      <c r="E4769" s="70"/>
      <c r="F4769" s="70"/>
      <c r="G4769" s="70"/>
      <c r="H4769" s="85"/>
      <c r="I4769" s="85"/>
      <c r="J4769" s="131"/>
      <c r="K4769" s="60"/>
      <c r="L4769" s="33"/>
      <c r="P4769" s="3"/>
      <c r="Q4769" s="3"/>
      <c r="R4769" s="3"/>
      <c r="S4769" s="3"/>
      <c r="T4769" s="3"/>
      <c r="U4769" s="3"/>
      <c r="V4769" s="3"/>
      <c r="W4769" s="3"/>
      <c r="X4769" s="3"/>
      <c r="Y4769" s="4"/>
      <c r="Z4769"/>
      <c r="AA4769"/>
    </row>
    <row r="4770" spans="1:27" s="37" customFormat="1" ht="16" x14ac:dyDescent="0.2">
      <c r="A4770" s="70"/>
      <c r="B4770" s="117"/>
      <c r="C4770" s="70"/>
      <c r="D4770" s="70"/>
      <c r="E4770" s="70"/>
      <c r="F4770" s="70"/>
      <c r="G4770" s="70"/>
      <c r="H4770" s="85"/>
      <c r="I4770" s="85"/>
      <c r="J4770" s="131"/>
      <c r="K4770" s="60"/>
      <c r="L4770" s="47"/>
      <c r="P4770" s="3"/>
      <c r="Q4770" s="3"/>
      <c r="R4770" s="3"/>
      <c r="S4770" s="3"/>
      <c r="T4770" s="3"/>
      <c r="U4770" s="3"/>
      <c r="V4770" s="3"/>
      <c r="W4770" s="3"/>
      <c r="X4770" s="3"/>
      <c r="Y4770" s="4"/>
      <c r="Z4770"/>
      <c r="AA4770"/>
    </row>
    <row r="4771" spans="1:27" s="37" customFormat="1" x14ac:dyDescent="0.15">
      <c r="A4771" s="70"/>
      <c r="B4771" s="118"/>
      <c r="C4771" s="70"/>
      <c r="D4771" s="70"/>
      <c r="E4771" s="70"/>
      <c r="F4771" s="70"/>
      <c r="G4771" s="70"/>
      <c r="H4771" s="85"/>
      <c r="I4771" s="85"/>
      <c r="J4771" s="131"/>
      <c r="K4771" s="60"/>
      <c r="L4771" s="33"/>
      <c r="P4771" s="3"/>
      <c r="Q4771" s="3"/>
      <c r="R4771" s="3"/>
      <c r="S4771" s="3"/>
      <c r="T4771" s="3"/>
      <c r="U4771" s="3"/>
      <c r="V4771" s="3"/>
      <c r="W4771" s="3"/>
      <c r="X4771" s="3"/>
      <c r="Y4771" s="4"/>
      <c r="Z4771"/>
      <c r="AA4771"/>
    </row>
    <row r="4772" spans="1:27" s="37" customFormat="1" ht="16" x14ac:dyDescent="0.2">
      <c r="A4772" s="70"/>
      <c r="B4772" s="117"/>
      <c r="C4772" s="70"/>
      <c r="D4772" s="70"/>
      <c r="E4772" s="70"/>
      <c r="F4772" s="70"/>
      <c r="G4772" s="70"/>
      <c r="H4772" s="85"/>
      <c r="I4772" s="85"/>
      <c r="J4772" s="131"/>
      <c r="K4772" s="60"/>
      <c r="L4772" s="47"/>
      <c r="P4772" s="3"/>
      <c r="Q4772" s="3"/>
      <c r="R4772" s="3"/>
      <c r="S4772" s="3"/>
      <c r="T4772" s="3"/>
      <c r="U4772" s="3"/>
      <c r="V4772" s="3"/>
      <c r="W4772" s="3"/>
      <c r="X4772" s="3"/>
      <c r="Y4772" s="4"/>
      <c r="Z4772"/>
      <c r="AA4772"/>
    </row>
    <row r="4773" spans="1:27" s="37" customFormat="1" x14ac:dyDescent="0.15">
      <c r="A4773" s="70"/>
      <c r="B4773" s="117"/>
      <c r="C4773" s="70"/>
      <c r="D4773" s="70"/>
      <c r="E4773" s="70"/>
      <c r="F4773" s="70"/>
      <c r="G4773" s="70"/>
      <c r="H4773" s="85"/>
      <c r="I4773" s="85"/>
      <c r="J4773" s="131"/>
      <c r="K4773" s="60"/>
      <c r="L4773" s="33"/>
      <c r="P4773" s="3"/>
      <c r="Q4773" s="3"/>
      <c r="R4773" s="3"/>
      <c r="S4773" s="3"/>
      <c r="T4773" s="3"/>
      <c r="U4773" s="3"/>
      <c r="V4773" s="3"/>
      <c r="W4773" s="3"/>
      <c r="X4773" s="3"/>
      <c r="Y4773" s="4"/>
      <c r="Z4773"/>
      <c r="AA4773"/>
    </row>
    <row r="4774" spans="1:27" s="37" customFormat="1" x14ac:dyDescent="0.15">
      <c r="A4774" s="70"/>
      <c r="B4774" s="117"/>
      <c r="C4774" s="70"/>
      <c r="D4774" s="70"/>
      <c r="E4774" s="70"/>
      <c r="F4774" s="70"/>
      <c r="G4774" s="70"/>
      <c r="H4774" s="85"/>
      <c r="I4774" s="85"/>
      <c r="J4774" s="131"/>
      <c r="K4774" s="60"/>
      <c r="L4774" s="33"/>
      <c r="P4774" s="3"/>
      <c r="Q4774" s="3"/>
      <c r="R4774" s="3"/>
      <c r="S4774" s="3"/>
      <c r="T4774" s="3"/>
      <c r="U4774" s="3"/>
      <c r="V4774" s="3"/>
      <c r="W4774" s="3"/>
      <c r="X4774" s="3"/>
      <c r="Y4774" s="4"/>
      <c r="Z4774"/>
      <c r="AA4774"/>
    </row>
    <row r="4775" spans="1:27" s="37" customFormat="1" x14ac:dyDescent="0.15">
      <c r="A4775" s="70"/>
      <c r="B4775" s="117"/>
      <c r="C4775" s="70"/>
      <c r="D4775" s="70"/>
      <c r="E4775" s="70"/>
      <c r="F4775" s="70"/>
      <c r="G4775" s="70"/>
      <c r="H4775" s="85"/>
      <c r="I4775" s="85"/>
      <c r="J4775" s="131"/>
      <c r="K4775" s="60"/>
      <c r="L4775" s="33"/>
      <c r="P4775" s="3"/>
      <c r="Q4775" s="3"/>
      <c r="R4775" s="3"/>
      <c r="S4775" s="3"/>
      <c r="T4775" s="3"/>
      <c r="U4775" s="3"/>
      <c r="V4775" s="3"/>
      <c r="W4775" s="3"/>
      <c r="X4775" s="3"/>
      <c r="Y4775" s="4"/>
      <c r="Z4775"/>
      <c r="AA4775"/>
    </row>
    <row r="4776" spans="1:27" s="37" customFormat="1" x14ac:dyDescent="0.15">
      <c r="A4776" s="70"/>
      <c r="B4776" s="117"/>
      <c r="C4776" s="70"/>
      <c r="D4776" s="70"/>
      <c r="E4776" s="70"/>
      <c r="F4776" s="70"/>
      <c r="G4776" s="70"/>
      <c r="H4776" s="85"/>
      <c r="I4776" s="85"/>
      <c r="J4776" s="131"/>
      <c r="K4776" s="60"/>
      <c r="L4776" s="33"/>
      <c r="P4776" s="3"/>
      <c r="Q4776" s="3"/>
      <c r="R4776" s="3"/>
      <c r="S4776" s="3"/>
      <c r="T4776" s="3"/>
      <c r="U4776" s="3"/>
      <c r="V4776" s="3"/>
      <c r="W4776" s="3"/>
      <c r="X4776" s="3"/>
      <c r="Y4776" s="4"/>
      <c r="Z4776"/>
      <c r="AA4776"/>
    </row>
    <row r="4777" spans="1:27" s="37" customFormat="1" x14ac:dyDescent="0.15">
      <c r="A4777" s="70"/>
      <c r="B4777" s="118"/>
      <c r="C4777" s="70"/>
      <c r="D4777" s="70"/>
      <c r="E4777" s="70"/>
      <c r="F4777" s="70"/>
      <c r="G4777" s="70"/>
      <c r="H4777" s="85"/>
      <c r="I4777" s="85"/>
      <c r="J4777" s="131"/>
      <c r="K4777" s="60"/>
      <c r="L4777" s="33"/>
      <c r="P4777" s="3"/>
      <c r="Q4777" s="3"/>
      <c r="R4777" s="3"/>
      <c r="S4777" s="3"/>
      <c r="T4777" s="3"/>
      <c r="U4777" s="3"/>
      <c r="V4777" s="3"/>
      <c r="W4777" s="3"/>
      <c r="X4777" s="3"/>
      <c r="Y4777" s="4"/>
      <c r="Z4777"/>
      <c r="AA4777"/>
    </row>
    <row r="4778" spans="1:27" s="37" customFormat="1" ht="16" x14ac:dyDescent="0.2">
      <c r="A4778" s="70"/>
      <c r="B4778" s="117"/>
      <c r="C4778" s="70"/>
      <c r="D4778" s="70"/>
      <c r="E4778" s="70"/>
      <c r="F4778" s="70"/>
      <c r="G4778" s="70"/>
      <c r="H4778" s="85"/>
      <c r="I4778" s="85"/>
      <c r="J4778" s="131"/>
      <c r="K4778" s="60"/>
      <c r="L4778" s="47"/>
      <c r="P4778" s="3"/>
      <c r="Q4778" s="3"/>
      <c r="R4778" s="3"/>
      <c r="S4778" s="3"/>
      <c r="T4778" s="3"/>
      <c r="U4778" s="3"/>
      <c r="V4778" s="3"/>
      <c r="W4778" s="3"/>
      <c r="X4778" s="3"/>
      <c r="Y4778" s="4"/>
      <c r="Z4778"/>
      <c r="AA4778"/>
    </row>
    <row r="4779" spans="1:27" s="37" customFormat="1" x14ac:dyDescent="0.15">
      <c r="A4779" s="70"/>
      <c r="B4779" s="117"/>
      <c r="C4779" s="70"/>
      <c r="D4779" s="70"/>
      <c r="E4779" s="70"/>
      <c r="F4779" s="70"/>
      <c r="G4779" s="70"/>
      <c r="H4779" s="85"/>
      <c r="I4779" s="85"/>
      <c r="J4779" s="131"/>
      <c r="K4779" s="60"/>
      <c r="L4779" s="33"/>
      <c r="P4779" s="3"/>
      <c r="Q4779" s="3"/>
      <c r="R4779" s="3"/>
      <c r="S4779" s="3"/>
      <c r="T4779" s="3"/>
      <c r="U4779" s="3"/>
      <c r="V4779" s="3"/>
      <c r="W4779" s="3"/>
      <c r="X4779" s="3"/>
      <c r="Y4779" s="4"/>
      <c r="Z4779"/>
      <c r="AA4779"/>
    </row>
    <row r="4780" spans="1:27" s="37" customFormat="1" ht="16" x14ac:dyDescent="0.2">
      <c r="A4780" s="70"/>
      <c r="B4780" s="117"/>
      <c r="C4780" s="70"/>
      <c r="D4780" s="70"/>
      <c r="E4780" s="70"/>
      <c r="F4780" s="70"/>
      <c r="G4780" s="70"/>
      <c r="H4780" s="85"/>
      <c r="I4780" s="85"/>
      <c r="J4780" s="131"/>
      <c r="K4780" s="60"/>
      <c r="L4780" s="33"/>
      <c r="M4780" s="48"/>
      <c r="P4780" s="3"/>
      <c r="Q4780" s="3"/>
      <c r="R4780" s="3"/>
      <c r="S4780" s="3"/>
      <c r="T4780" s="3"/>
      <c r="U4780" s="3"/>
      <c r="V4780" s="3"/>
      <c r="W4780" s="3"/>
      <c r="X4780" s="3"/>
      <c r="Y4780" s="4"/>
      <c r="Z4780"/>
      <c r="AA4780"/>
    </row>
    <row r="4781" spans="1:27" s="37" customFormat="1" x14ac:dyDescent="0.15">
      <c r="A4781" s="70"/>
      <c r="B4781" s="117"/>
      <c r="C4781" s="70"/>
      <c r="D4781" s="70"/>
      <c r="E4781" s="70"/>
      <c r="F4781" s="70"/>
      <c r="G4781" s="70"/>
      <c r="H4781" s="85"/>
      <c r="I4781" s="85"/>
      <c r="J4781" s="131"/>
      <c r="K4781" s="60"/>
      <c r="L4781" s="33"/>
      <c r="P4781" s="3"/>
      <c r="Q4781" s="3"/>
      <c r="R4781" s="3"/>
      <c r="S4781" s="3"/>
      <c r="T4781" s="3"/>
      <c r="U4781" s="3"/>
      <c r="V4781" s="3"/>
      <c r="W4781" s="3"/>
      <c r="X4781" s="3"/>
      <c r="Y4781" s="4"/>
      <c r="Z4781"/>
      <c r="AA4781"/>
    </row>
    <row r="4782" spans="1:27" s="37" customFormat="1" x14ac:dyDescent="0.15">
      <c r="A4782" s="70"/>
      <c r="B4782" s="117"/>
      <c r="C4782" s="70"/>
      <c r="D4782" s="70"/>
      <c r="E4782" s="70"/>
      <c r="F4782" s="70"/>
      <c r="G4782" s="70"/>
      <c r="H4782" s="85"/>
      <c r="I4782" s="85"/>
      <c r="J4782" s="131"/>
      <c r="K4782" s="60"/>
      <c r="L4782" s="33"/>
      <c r="P4782" s="3"/>
      <c r="Q4782" s="3"/>
      <c r="R4782" s="3"/>
      <c r="S4782" s="3"/>
      <c r="T4782" s="3"/>
      <c r="U4782" s="3"/>
      <c r="V4782" s="3"/>
      <c r="W4782" s="3"/>
      <c r="X4782" s="3"/>
      <c r="Y4782" s="4"/>
      <c r="Z4782"/>
      <c r="AA4782"/>
    </row>
    <row r="4783" spans="1:27" s="37" customFormat="1" x14ac:dyDescent="0.15">
      <c r="A4783" s="70"/>
      <c r="B4783" s="117"/>
      <c r="C4783" s="70"/>
      <c r="D4783" s="70"/>
      <c r="E4783" s="70"/>
      <c r="F4783" s="70"/>
      <c r="G4783" s="70"/>
      <c r="H4783" s="85"/>
      <c r="I4783" s="85"/>
      <c r="J4783" s="131"/>
      <c r="K4783" s="60"/>
      <c r="L4783" s="33"/>
      <c r="P4783" s="3"/>
      <c r="Q4783" s="3"/>
      <c r="R4783" s="3"/>
      <c r="S4783" s="3"/>
      <c r="T4783" s="3"/>
      <c r="U4783" s="3"/>
      <c r="V4783" s="3"/>
      <c r="W4783" s="3"/>
      <c r="X4783" s="3"/>
      <c r="Y4783" s="4"/>
      <c r="Z4783"/>
      <c r="AA4783"/>
    </row>
    <row r="4784" spans="1:27" s="37" customFormat="1" x14ac:dyDescent="0.15">
      <c r="A4784" s="70"/>
      <c r="B4784" s="117"/>
      <c r="C4784" s="70"/>
      <c r="D4784" s="70"/>
      <c r="E4784" s="70"/>
      <c r="F4784" s="70"/>
      <c r="G4784" s="70"/>
      <c r="H4784" s="85"/>
      <c r="I4784" s="85"/>
      <c r="J4784" s="131"/>
      <c r="K4784" s="60"/>
      <c r="L4784" s="33"/>
      <c r="P4784" s="3"/>
      <c r="Q4784" s="3"/>
      <c r="R4784" s="3"/>
      <c r="S4784" s="3"/>
      <c r="T4784" s="3"/>
      <c r="U4784" s="3"/>
      <c r="V4784" s="3"/>
      <c r="W4784" s="3"/>
      <c r="X4784" s="3"/>
      <c r="Y4784" s="4"/>
      <c r="Z4784"/>
      <c r="AA4784"/>
    </row>
    <row r="4785" spans="1:27" s="37" customFormat="1" x14ac:dyDescent="0.15">
      <c r="A4785" s="70"/>
      <c r="B4785" s="117"/>
      <c r="C4785" s="70"/>
      <c r="D4785" s="70"/>
      <c r="E4785" s="70"/>
      <c r="F4785" s="70"/>
      <c r="G4785" s="70"/>
      <c r="H4785" s="85"/>
      <c r="I4785" s="85"/>
      <c r="J4785" s="131"/>
      <c r="K4785" s="60"/>
      <c r="L4785" s="33"/>
      <c r="P4785" s="3"/>
      <c r="Q4785" s="3"/>
      <c r="R4785" s="3"/>
      <c r="S4785" s="3"/>
      <c r="T4785" s="3"/>
      <c r="U4785" s="3"/>
      <c r="V4785" s="3"/>
      <c r="W4785" s="3"/>
      <c r="X4785" s="3"/>
      <c r="Y4785" s="4"/>
      <c r="Z4785"/>
      <c r="AA4785"/>
    </row>
    <row r="4786" spans="1:27" s="37" customFormat="1" x14ac:dyDescent="0.15">
      <c r="A4786" s="70"/>
      <c r="B4786" s="118"/>
      <c r="C4786" s="70"/>
      <c r="D4786" s="70"/>
      <c r="E4786" s="73"/>
      <c r="F4786" s="70"/>
      <c r="G4786" s="70"/>
      <c r="H4786" s="85"/>
      <c r="I4786" s="85"/>
      <c r="J4786" s="131"/>
      <c r="K4786" s="60"/>
      <c r="L4786" s="33"/>
      <c r="P4786" s="3"/>
      <c r="Q4786" s="3"/>
      <c r="R4786" s="3"/>
      <c r="S4786" s="3"/>
      <c r="T4786" s="3"/>
      <c r="U4786" s="3"/>
      <c r="V4786" s="3"/>
      <c r="W4786" s="3"/>
      <c r="X4786" s="3"/>
      <c r="Y4786" s="4"/>
      <c r="Z4786"/>
      <c r="AA4786"/>
    </row>
    <row r="4787" spans="1:27" s="37" customFormat="1" x14ac:dyDescent="0.15">
      <c r="A4787" s="70"/>
      <c r="B4787" s="118"/>
      <c r="C4787" s="70"/>
      <c r="D4787" s="70"/>
      <c r="E4787" s="70"/>
      <c r="F4787" s="70"/>
      <c r="G4787" s="70"/>
      <c r="H4787" s="85"/>
      <c r="I4787" s="85"/>
      <c r="J4787" s="131"/>
      <c r="K4787" s="60"/>
      <c r="L4787" s="33"/>
      <c r="P4787" s="3"/>
      <c r="Q4787" s="3"/>
      <c r="R4787" s="3"/>
      <c r="S4787" s="3"/>
      <c r="T4787" s="3"/>
      <c r="U4787" s="3"/>
      <c r="V4787" s="3"/>
      <c r="W4787" s="3"/>
      <c r="X4787" s="3"/>
      <c r="Y4787" s="4"/>
      <c r="Z4787"/>
      <c r="AA4787"/>
    </row>
    <row r="4788" spans="1:27" s="37" customFormat="1" x14ac:dyDescent="0.15">
      <c r="A4788" s="70"/>
      <c r="B4788" s="118"/>
      <c r="C4788" s="70"/>
      <c r="D4788" s="70"/>
      <c r="E4788" s="70"/>
      <c r="F4788" s="70"/>
      <c r="G4788" s="70"/>
      <c r="H4788" s="85"/>
      <c r="I4788" s="85"/>
      <c r="J4788" s="131"/>
      <c r="K4788" s="60"/>
      <c r="L4788" s="33"/>
      <c r="P4788" s="3"/>
      <c r="Q4788" s="3"/>
      <c r="R4788" s="3"/>
      <c r="S4788" s="3"/>
      <c r="T4788" s="3"/>
      <c r="U4788" s="3"/>
      <c r="V4788" s="3"/>
      <c r="W4788" s="3"/>
      <c r="X4788" s="3"/>
      <c r="Y4788" s="4"/>
      <c r="Z4788"/>
      <c r="AA4788"/>
    </row>
    <row r="4789" spans="1:27" s="37" customFormat="1" x14ac:dyDescent="0.15">
      <c r="A4789" s="70"/>
      <c r="B4789" s="118"/>
      <c r="C4789" s="70"/>
      <c r="D4789" s="70"/>
      <c r="E4789" s="70"/>
      <c r="F4789" s="70"/>
      <c r="G4789" s="70"/>
      <c r="H4789" s="85"/>
      <c r="I4789" s="85"/>
      <c r="J4789" s="131"/>
      <c r="K4789" s="60"/>
      <c r="L4789" s="33"/>
      <c r="P4789" s="3"/>
      <c r="Q4789" s="3"/>
      <c r="R4789" s="3"/>
      <c r="S4789" s="3"/>
      <c r="T4789" s="3"/>
      <c r="U4789" s="3"/>
      <c r="V4789" s="3"/>
      <c r="W4789" s="3"/>
      <c r="X4789" s="3"/>
      <c r="Y4789" s="4"/>
      <c r="Z4789"/>
      <c r="AA4789"/>
    </row>
    <row r="4790" spans="1:27" s="37" customFormat="1" x14ac:dyDescent="0.15">
      <c r="A4790" s="70"/>
      <c r="B4790" s="118"/>
      <c r="C4790" s="70"/>
      <c r="D4790" s="70"/>
      <c r="E4790" s="70"/>
      <c r="F4790" s="70"/>
      <c r="G4790" s="70"/>
      <c r="H4790" s="85"/>
      <c r="I4790" s="85"/>
      <c r="J4790" s="131"/>
      <c r="K4790" s="60"/>
      <c r="L4790" s="33"/>
      <c r="P4790" s="3"/>
      <c r="Q4790" s="3"/>
      <c r="R4790" s="3"/>
      <c r="S4790" s="3"/>
      <c r="T4790" s="3"/>
      <c r="U4790" s="3"/>
      <c r="V4790" s="3"/>
      <c r="W4790" s="3"/>
      <c r="X4790" s="3"/>
      <c r="Y4790" s="4"/>
      <c r="Z4790"/>
      <c r="AA4790"/>
    </row>
    <row r="4791" spans="1:27" s="37" customFormat="1" x14ac:dyDescent="0.15">
      <c r="A4791" s="70"/>
      <c r="B4791" s="117"/>
      <c r="C4791" s="70"/>
      <c r="D4791" s="70"/>
      <c r="E4791" s="70"/>
      <c r="F4791" s="70"/>
      <c r="G4791" s="70"/>
      <c r="H4791" s="85"/>
      <c r="I4791" s="85"/>
      <c r="J4791" s="131"/>
      <c r="K4791" s="60"/>
      <c r="L4791" s="33"/>
      <c r="M4791" s="35"/>
      <c r="P4791" s="3"/>
      <c r="Q4791" s="3"/>
      <c r="R4791" s="3"/>
      <c r="S4791" s="3"/>
      <c r="T4791" s="3"/>
      <c r="U4791" s="3"/>
      <c r="V4791" s="3"/>
      <c r="W4791" s="3"/>
      <c r="X4791" s="3"/>
      <c r="Y4791" s="4"/>
      <c r="Z4791"/>
      <c r="AA4791"/>
    </row>
    <row r="4792" spans="1:27" s="37" customFormat="1" x14ac:dyDescent="0.15">
      <c r="A4792" s="70"/>
      <c r="B4792" s="118"/>
      <c r="C4792" s="70"/>
      <c r="D4792" s="70"/>
      <c r="E4792" s="70"/>
      <c r="F4792" s="70"/>
      <c r="G4792" s="70"/>
      <c r="H4792" s="85"/>
      <c r="I4792" s="85"/>
      <c r="J4792" s="131"/>
      <c r="K4792" s="60"/>
      <c r="L4792" s="33"/>
      <c r="P4792" s="3"/>
      <c r="Q4792" s="3"/>
      <c r="R4792" s="3"/>
      <c r="S4792" s="3"/>
      <c r="T4792" s="3"/>
      <c r="U4792" s="3"/>
      <c r="V4792" s="3"/>
      <c r="W4792" s="3"/>
      <c r="X4792" s="3"/>
      <c r="Y4792" s="4"/>
      <c r="Z4792"/>
      <c r="AA4792"/>
    </row>
    <row r="4793" spans="1:27" s="37" customFormat="1" x14ac:dyDescent="0.15">
      <c r="A4793" s="70"/>
      <c r="B4793" s="117"/>
      <c r="C4793" s="70"/>
      <c r="D4793" s="70"/>
      <c r="E4793" s="70"/>
      <c r="F4793" s="70"/>
      <c r="G4793" s="70"/>
      <c r="H4793" s="85"/>
      <c r="I4793" s="85"/>
      <c r="J4793" s="131"/>
      <c r="K4793" s="60"/>
      <c r="L4793" s="33"/>
      <c r="P4793" s="3"/>
      <c r="Q4793" s="3"/>
      <c r="R4793" s="3"/>
      <c r="S4793" s="3"/>
      <c r="T4793" s="3"/>
      <c r="U4793" s="3"/>
      <c r="V4793" s="3"/>
      <c r="W4793" s="3"/>
      <c r="X4793" s="3"/>
      <c r="Y4793" s="4"/>
      <c r="Z4793"/>
      <c r="AA4793"/>
    </row>
    <row r="4794" spans="1:27" s="37" customFormat="1" x14ac:dyDescent="0.15">
      <c r="A4794" s="70"/>
      <c r="B4794" s="117"/>
      <c r="C4794" s="70"/>
      <c r="D4794" s="70"/>
      <c r="E4794" s="70"/>
      <c r="F4794" s="70"/>
      <c r="G4794" s="70"/>
      <c r="H4794" s="85"/>
      <c r="I4794" s="85"/>
      <c r="J4794" s="131"/>
      <c r="K4794" s="60"/>
      <c r="L4794" s="33"/>
      <c r="P4794" s="3"/>
      <c r="Q4794" s="3"/>
      <c r="R4794" s="3"/>
      <c r="S4794" s="3"/>
      <c r="T4794" s="3"/>
      <c r="U4794" s="3"/>
      <c r="V4794" s="3"/>
      <c r="W4794" s="3"/>
      <c r="X4794" s="3"/>
      <c r="Y4794" s="4"/>
      <c r="Z4794"/>
      <c r="AA4794"/>
    </row>
    <row r="4795" spans="1:27" s="37" customFormat="1" x14ac:dyDescent="0.15">
      <c r="A4795" s="70"/>
      <c r="B4795" s="117"/>
      <c r="C4795" s="70"/>
      <c r="D4795" s="70"/>
      <c r="E4795" s="70"/>
      <c r="F4795" s="70"/>
      <c r="G4795" s="70"/>
      <c r="H4795" s="85"/>
      <c r="I4795" s="85"/>
      <c r="J4795" s="131"/>
      <c r="K4795" s="60"/>
      <c r="L4795" s="33"/>
      <c r="P4795" s="3"/>
      <c r="Q4795" s="3"/>
      <c r="R4795" s="3"/>
      <c r="S4795" s="3"/>
      <c r="T4795" s="3"/>
      <c r="U4795" s="3"/>
      <c r="V4795" s="3"/>
      <c r="W4795" s="3"/>
      <c r="X4795" s="3"/>
      <c r="Y4795" s="4"/>
      <c r="Z4795"/>
      <c r="AA4795"/>
    </row>
    <row r="4796" spans="1:27" s="37" customFormat="1" ht="16" x14ac:dyDescent="0.2">
      <c r="A4796" s="70"/>
      <c r="B4796" s="117"/>
      <c r="C4796" s="73"/>
      <c r="D4796" s="73"/>
      <c r="E4796" s="70"/>
      <c r="F4796" s="73"/>
      <c r="G4796" s="73"/>
      <c r="H4796" s="85"/>
      <c r="I4796" s="95"/>
      <c r="J4796" s="131"/>
      <c r="K4796" s="60"/>
      <c r="L4796" s="47"/>
      <c r="P4796" s="3"/>
      <c r="Q4796" s="3"/>
      <c r="R4796" s="3"/>
      <c r="S4796" s="3"/>
      <c r="T4796" s="3"/>
      <c r="U4796" s="3"/>
      <c r="V4796" s="3"/>
      <c r="W4796" s="3"/>
      <c r="X4796" s="3"/>
      <c r="Y4796" s="4"/>
      <c r="Z4796"/>
      <c r="AA4796"/>
    </row>
    <row r="4797" spans="1:27" s="37" customFormat="1" x14ac:dyDescent="0.15">
      <c r="A4797" s="70"/>
      <c r="B4797" s="117"/>
      <c r="C4797" s="70"/>
      <c r="D4797" s="70"/>
      <c r="E4797" s="70"/>
      <c r="F4797" s="70"/>
      <c r="G4797" s="70"/>
      <c r="H4797" s="85"/>
      <c r="I4797" s="85"/>
      <c r="J4797" s="131"/>
      <c r="K4797" s="60"/>
      <c r="L4797" s="33"/>
      <c r="P4797" s="3"/>
      <c r="Q4797" s="3"/>
      <c r="R4797" s="3"/>
      <c r="S4797" s="3"/>
      <c r="T4797" s="3"/>
      <c r="U4797" s="3"/>
      <c r="V4797" s="3"/>
      <c r="W4797" s="3"/>
      <c r="X4797" s="3"/>
      <c r="Y4797" s="4"/>
      <c r="Z4797"/>
      <c r="AA4797"/>
    </row>
    <row r="4798" spans="1:27" s="37" customFormat="1" x14ac:dyDescent="0.15">
      <c r="A4798" s="70"/>
      <c r="B4798" s="117"/>
      <c r="C4798" s="70"/>
      <c r="D4798" s="70"/>
      <c r="E4798" s="70"/>
      <c r="F4798" s="70"/>
      <c r="G4798" s="70"/>
      <c r="H4798" s="85"/>
      <c r="I4798" s="85"/>
      <c r="J4798" s="131"/>
      <c r="K4798" s="60"/>
      <c r="L4798" s="33"/>
      <c r="P4798" s="3"/>
      <c r="Q4798" s="3"/>
      <c r="R4798" s="3"/>
      <c r="S4798" s="3"/>
      <c r="T4798" s="3"/>
      <c r="U4798" s="3"/>
      <c r="V4798" s="3"/>
      <c r="W4798" s="3"/>
      <c r="X4798" s="3"/>
      <c r="Y4798" s="4"/>
      <c r="Z4798"/>
      <c r="AA4798"/>
    </row>
    <row r="4799" spans="1:27" s="37" customFormat="1" x14ac:dyDescent="0.15">
      <c r="A4799" s="70"/>
      <c r="B4799" s="117"/>
      <c r="C4799" s="70"/>
      <c r="D4799" s="70"/>
      <c r="E4799" s="70"/>
      <c r="F4799" s="70"/>
      <c r="G4799" s="70"/>
      <c r="H4799" s="85"/>
      <c r="I4799" s="85"/>
      <c r="J4799" s="131"/>
      <c r="K4799" s="60"/>
      <c r="L4799" s="33"/>
      <c r="P4799" s="3"/>
      <c r="Q4799" s="3"/>
      <c r="R4799" s="3"/>
      <c r="S4799" s="3"/>
      <c r="T4799" s="3"/>
      <c r="U4799" s="3"/>
      <c r="V4799" s="3"/>
      <c r="W4799" s="3"/>
      <c r="X4799" s="3"/>
      <c r="Y4799" s="4"/>
      <c r="Z4799"/>
      <c r="AA4799"/>
    </row>
    <row r="4800" spans="1:27" s="37" customFormat="1" x14ac:dyDescent="0.15">
      <c r="A4800" s="70"/>
      <c r="B4800" s="118"/>
      <c r="C4800" s="70"/>
      <c r="D4800" s="70"/>
      <c r="E4800" s="70"/>
      <c r="F4800" s="70"/>
      <c r="G4800" s="70"/>
      <c r="H4800" s="85"/>
      <c r="I4800" s="85"/>
      <c r="J4800" s="131"/>
      <c r="K4800" s="60"/>
      <c r="L4800" s="33"/>
      <c r="P4800" s="3"/>
      <c r="Q4800" s="3"/>
      <c r="R4800" s="3"/>
      <c r="S4800" s="3"/>
      <c r="T4800" s="3"/>
      <c r="U4800" s="3"/>
      <c r="V4800" s="3"/>
      <c r="W4800" s="3"/>
      <c r="X4800" s="3"/>
      <c r="Y4800" s="4"/>
      <c r="Z4800"/>
      <c r="AA4800"/>
    </row>
    <row r="4801" spans="1:27" s="37" customFormat="1" x14ac:dyDescent="0.15">
      <c r="A4801" s="70"/>
      <c r="B4801" s="117"/>
      <c r="C4801" s="70"/>
      <c r="D4801" s="70"/>
      <c r="E4801" s="70"/>
      <c r="F4801" s="70"/>
      <c r="G4801" s="70"/>
      <c r="H4801" s="85"/>
      <c r="I4801" s="85"/>
      <c r="J4801" s="131"/>
      <c r="K4801" s="60"/>
      <c r="L4801" s="33"/>
      <c r="P4801" s="3"/>
      <c r="Q4801" s="3"/>
      <c r="R4801" s="3"/>
      <c r="S4801" s="3"/>
      <c r="T4801" s="3"/>
      <c r="U4801" s="3"/>
      <c r="V4801" s="3"/>
      <c r="W4801" s="3"/>
      <c r="X4801" s="3"/>
      <c r="Y4801" s="4"/>
      <c r="Z4801"/>
      <c r="AA4801"/>
    </row>
    <row r="4802" spans="1:27" s="37" customFormat="1" x14ac:dyDescent="0.15">
      <c r="A4802" s="70"/>
      <c r="B4802" s="117"/>
      <c r="C4802" s="70"/>
      <c r="D4802" s="70"/>
      <c r="E4802" s="70"/>
      <c r="F4802" s="70"/>
      <c r="G4802" s="70"/>
      <c r="H4802" s="85"/>
      <c r="I4802" s="85"/>
      <c r="J4802" s="131"/>
      <c r="K4802" s="60"/>
      <c r="L4802" s="33"/>
      <c r="P4802" s="3"/>
      <c r="Q4802" s="3"/>
      <c r="R4802" s="3"/>
      <c r="S4802" s="3"/>
      <c r="T4802" s="3"/>
      <c r="U4802" s="3"/>
      <c r="V4802" s="3"/>
      <c r="W4802" s="3"/>
      <c r="X4802" s="3"/>
      <c r="Y4802" s="4"/>
      <c r="Z4802"/>
      <c r="AA4802"/>
    </row>
    <row r="4803" spans="1:27" s="37" customFormat="1" x14ac:dyDescent="0.15">
      <c r="A4803" s="70"/>
      <c r="B4803" s="117"/>
      <c r="C4803" s="70"/>
      <c r="D4803" s="70"/>
      <c r="E4803" s="70"/>
      <c r="F4803" s="70"/>
      <c r="G4803" s="70"/>
      <c r="H4803" s="85"/>
      <c r="I4803" s="85"/>
      <c r="J4803" s="131"/>
      <c r="K4803" s="60"/>
      <c r="L4803" s="33"/>
      <c r="P4803" s="3"/>
      <c r="Q4803" s="3"/>
      <c r="R4803" s="3"/>
      <c r="S4803" s="3"/>
      <c r="T4803" s="3"/>
      <c r="U4803" s="3"/>
      <c r="V4803" s="3"/>
      <c r="W4803" s="3"/>
      <c r="X4803" s="3"/>
      <c r="Y4803" s="4"/>
      <c r="Z4803"/>
      <c r="AA4803"/>
    </row>
    <row r="4804" spans="1:27" s="37" customFormat="1" x14ac:dyDescent="0.15">
      <c r="A4804" s="70"/>
      <c r="B4804" s="117"/>
      <c r="C4804" s="70"/>
      <c r="D4804" s="70"/>
      <c r="E4804" s="70"/>
      <c r="F4804" s="70"/>
      <c r="G4804" s="70"/>
      <c r="H4804" s="85"/>
      <c r="I4804" s="85"/>
      <c r="J4804" s="131"/>
      <c r="K4804" s="60"/>
      <c r="L4804" s="33"/>
      <c r="P4804" s="3"/>
      <c r="Q4804" s="3"/>
      <c r="R4804" s="3"/>
      <c r="S4804" s="3"/>
      <c r="T4804" s="3"/>
      <c r="U4804" s="3"/>
      <c r="V4804" s="3"/>
      <c r="W4804" s="3"/>
      <c r="X4804" s="3"/>
      <c r="Y4804" s="4"/>
      <c r="Z4804"/>
      <c r="AA4804"/>
    </row>
    <row r="4805" spans="1:27" s="37" customFormat="1" x14ac:dyDescent="0.15">
      <c r="A4805" s="70"/>
      <c r="B4805" s="117"/>
      <c r="C4805" s="70"/>
      <c r="D4805" s="70"/>
      <c r="E4805" s="70"/>
      <c r="F4805" s="70"/>
      <c r="G4805" s="70"/>
      <c r="H4805" s="85"/>
      <c r="I4805" s="85"/>
      <c r="J4805" s="131"/>
      <c r="K4805" s="60"/>
      <c r="L4805" s="33"/>
      <c r="P4805" s="3"/>
      <c r="Q4805" s="3"/>
      <c r="R4805" s="3"/>
      <c r="S4805" s="3"/>
      <c r="T4805" s="3"/>
      <c r="U4805" s="3"/>
      <c r="V4805" s="3"/>
      <c r="W4805" s="3"/>
      <c r="X4805" s="3"/>
      <c r="Y4805" s="4"/>
      <c r="Z4805"/>
      <c r="AA4805"/>
    </row>
    <row r="4806" spans="1:27" s="37" customFormat="1" x14ac:dyDescent="0.15">
      <c r="A4806" s="70"/>
      <c r="B4806" s="117"/>
      <c r="C4806" s="70"/>
      <c r="D4806" s="70"/>
      <c r="E4806" s="70"/>
      <c r="F4806" s="70"/>
      <c r="G4806" s="70"/>
      <c r="H4806" s="85"/>
      <c r="I4806" s="85"/>
      <c r="J4806" s="131"/>
      <c r="K4806" s="60"/>
      <c r="L4806" s="33"/>
      <c r="P4806" s="3"/>
      <c r="Q4806" s="3"/>
      <c r="R4806" s="3"/>
      <c r="S4806" s="3"/>
      <c r="T4806" s="3"/>
      <c r="U4806" s="3"/>
      <c r="V4806" s="3"/>
      <c r="W4806" s="3"/>
      <c r="X4806" s="3"/>
      <c r="Y4806" s="4"/>
      <c r="Z4806"/>
      <c r="AA4806"/>
    </row>
    <row r="4807" spans="1:27" s="37" customFormat="1" x14ac:dyDescent="0.15">
      <c r="A4807" s="70"/>
      <c r="B4807" s="117"/>
      <c r="C4807" s="70"/>
      <c r="D4807" s="70"/>
      <c r="E4807" s="70"/>
      <c r="F4807" s="70"/>
      <c r="G4807" s="70"/>
      <c r="H4807" s="85"/>
      <c r="I4807" s="85"/>
      <c r="J4807" s="131"/>
      <c r="K4807" s="60"/>
      <c r="L4807" s="33"/>
      <c r="P4807" s="3"/>
      <c r="Q4807" s="3"/>
      <c r="R4807" s="3"/>
      <c r="S4807" s="3"/>
      <c r="T4807" s="3"/>
      <c r="U4807" s="3"/>
      <c r="V4807" s="3"/>
      <c r="W4807" s="3"/>
      <c r="X4807" s="3"/>
      <c r="Y4807" s="4"/>
      <c r="Z4807"/>
      <c r="AA4807"/>
    </row>
    <row r="4808" spans="1:27" s="37" customFormat="1" x14ac:dyDescent="0.15">
      <c r="A4808" s="70"/>
      <c r="B4808" s="117"/>
      <c r="C4808" s="70"/>
      <c r="D4808" s="70"/>
      <c r="E4808" s="70"/>
      <c r="F4808" s="70"/>
      <c r="G4808" s="70"/>
      <c r="H4808" s="85"/>
      <c r="I4808" s="85"/>
      <c r="J4808" s="131"/>
      <c r="K4808" s="60"/>
      <c r="L4808" s="33"/>
      <c r="P4808" s="3"/>
      <c r="Q4808" s="3"/>
      <c r="R4808" s="3"/>
      <c r="S4808" s="3"/>
      <c r="T4808" s="3"/>
      <c r="U4808" s="3"/>
      <c r="V4808" s="3"/>
      <c r="W4808" s="3"/>
      <c r="X4808" s="3"/>
      <c r="Y4808" s="4"/>
      <c r="Z4808"/>
      <c r="AA4808"/>
    </row>
    <row r="4809" spans="1:27" s="37" customFormat="1" x14ac:dyDescent="0.15">
      <c r="A4809" s="70"/>
      <c r="B4809" s="118"/>
      <c r="C4809" s="70"/>
      <c r="D4809" s="70"/>
      <c r="E4809" s="70"/>
      <c r="F4809" s="70"/>
      <c r="G4809" s="70"/>
      <c r="H4809" s="85"/>
      <c r="I4809" s="85"/>
      <c r="J4809" s="131"/>
      <c r="K4809" s="60"/>
      <c r="L4809" s="33"/>
      <c r="P4809" s="3"/>
      <c r="Q4809" s="3"/>
      <c r="R4809" s="3"/>
      <c r="S4809" s="3"/>
      <c r="T4809" s="3"/>
      <c r="U4809" s="3"/>
      <c r="V4809" s="3"/>
      <c r="W4809" s="3"/>
      <c r="X4809" s="3"/>
      <c r="Y4809" s="4"/>
      <c r="Z4809"/>
      <c r="AA4809"/>
    </row>
    <row r="4810" spans="1:27" s="37" customFormat="1" x14ac:dyDescent="0.15">
      <c r="A4810" s="70"/>
      <c r="B4810" s="117"/>
      <c r="C4810" s="70"/>
      <c r="D4810" s="70"/>
      <c r="E4810" s="70"/>
      <c r="F4810" s="70"/>
      <c r="G4810" s="70"/>
      <c r="H4810" s="85"/>
      <c r="I4810" s="85"/>
      <c r="J4810" s="131"/>
      <c r="K4810" s="60"/>
      <c r="L4810" s="33"/>
      <c r="P4810" s="3"/>
      <c r="Q4810" s="3"/>
      <c r="R4810" s="3"/>
      <c r="S4810" s="3"/>
      <c r="T4810" s="3"/>
      <c r="U4810" s="3"/>
      <c r="V4810" s="3"/>
      <c r="W4810" s="3"/>
      <c r="X4810" s="3"/>
      <c r="Y4810" s="4"/>
      <c r="Z4810"/>
      <c r="AA4810"/>
    </row>
    <row r="4811" spans="1:27" s="37" customFormat="1" x14ac:dyDescent="0.15">
      <c r="A4811" s="70"/>
      <c r="B4811" s="118"/>
      <c r="C4811" s="70"/>
      <c r="D4811" s="70"/>
      <c r="E4811" s="70"/>
      <c r="F4811" s="70"/>
      <c r="G4811" s="70"/>
      <c r="H4811" s="85"/>
      <c r="I4811" s="85"/>
      <c r="J4811" s="131"/>
      <c r="K4811" s="60"/>
      <c r="L4811" s="49"/>
      <c r="P4811" s="3"/>
      <c r="Q4811" s="3"/>
      <c r="R4811" s="3"/>
      <c r="S4811" s="3"/>
      <c r="T4811" s="3"/>
      <c r="U4811" s="3"/>
      <c r="V4811" s="3"/>
      <c r="W4811" s="3"/>
      <c r="X4811" s="3"/>
      <c r="Y4811" s="4"/>
      <c r="Z4811"/>
      <c r="AA4811"/>
    </row>
    <row r="4812" spans="1:27" s="37" customFormat="1" x14ac:dyDescent="0.15">
      <c r="A4812" s="70"/>
      <c r="B4812" s="118"/>
      <c r="C4812" s="70"/>
      <c r="D4812" s="70"/>
      <c r="E4812" s="70"/>
      <c r="F4812" s="70"/>
      <c r="G4812" s="70"/>
      <c r="H4812" s="85"/>
      <c r="I4812" s="85"/>
      <c r="J4812" s="131"/>
      <c r="K4812" s="60"/>
      <c r="L4812" s="49"/>
      <c r="P4812" s="3"/>
      <c r="Q4812" s="3"/>
      <c r="R4812" s="3"/>
      <c r="S4812" s="3"/>
      <c r="T4812" s="3"/>
      <c r="U4812" s="3"/>
      <c r="V4812" s="3"/>
      <c r="W4812" s="3"/>
      <c r="X4812" s="3"/>
      <c r="Y4812" s="4"/>
      <c r="Z4812"/>
      <c r="AA4812"/>
    </row>
    <row r="4813" spans="1:27" s="37" customFormat="1" x14ac:dyDescent="0.15">
      <c r="A4813" s="70"/>
      <c r="B4813" s="118"/>
      <c r="C4813" s="70"/>
      <c r="D4813" s="70"/>
      <c r="E4813" s="70"/>
      <c r="F4813" s="70"/>
      <c r="G4813" s="70"/>
      <c r="H4813" s="85"/>
      <c r="I4813" s="85"/>
      <c r="J4813" s="131"/>
      <c r="K4813" s="60"/>
      <c r="L4813" s="49"/>
      <c r="P4813" s="3"/>
      <c r="Q4813" s="3"/>
      <c r="R4813" s="3"/>
      <c r="S4813" s="3"/>
      <c r="T4813" s="3"/>
      <c r="U4813" s="3"/>
      <c r="V4813" s="3"/>
      <c r="W4813" s="3"/>
      <c r="X4813" s="3"/>
      <c r="Y4813" s="4"/>
      <c r="Z4813"/>
      <c r="AA4813"/>
    </row>
    <row r="4814" spans="1:27" s="37" customFormat="1" x14ac:dyDescent="0.15">
      <c r="A4814" s="70"/>
      <c r="B4814" s="118"/>
      <c r="C4814" s="70"/>
      <c r="D4814" s="70"/>
      <c r="E4814" s="70"/>
      <c r="F4814" s="70"/>
      <c r="G4814" s="70"/>
      <c r="H4814" s="85"/>
      <c r="I4814" s="85"/>
      <c r="J4814" s="131"/>
      <c r="K4814" s="60"/>
      <c r="L4814" s="49"/>
      <c r="P4814" s="3"/>
      <c r="Q4814" s="3"/>
      <c r="R4814" s="3"/>
      <c r="S4814" s="3"/>
      <c r="T4814" s="3"/>
      <c r="U4814" s="3"/>
      <c r="V4814" s="3"/>
      <c r="W4814" s="3"/>
      <c r="X4814" s="3"/>
      <c r="Y4814" s="4"/>
      <c r="Z4814"/>
      <c r="AA4814"/>
    </row>
    <row r="4815" spans="1:27" s="3" customFormat="1" x14ac:dyDescent="0.15">
      <c r="A4815" s="73"/>
      <c r="B4815" s="118"/>
      <c r="C4815" s="70"/>
      <c r="D4815" s="70"/>
      <c r="E4815" s="70"/>
      <c r="F4815" s="70"/>
      <c r="G4815" s="70"/>
      <c r="H4815" s="85"/>
      <c r="I4815" s="85"/>
      <c r="J4815" s="131"/>
      <c r="K4815" s="69"/>
      <c r="L4815" s="49"/>
      <c r="M4815" s="37"/>
      <c r="N4815" s="37"/>
      <c r="O4815" s="37"/>
      <c r="Y4815" s="4"/>
      <c r="Z4815"/>
      <c r="AA4815"/>
    </row>
    <row r="4816" spans="1:27" s="3" customFormat="1" x14ac:dyDescent="0.15">
      <c r="A4816" s="70"/>
      <c r="B4816" s="118"/>
      <c r="C4816" s="70"/>
      <c r="D4816" s="70"/>
      <c r="E4816" s="70"/>
      <c r="F4816" s="70"/>
      <c r="G4816" s="70"/>
      <c r="H4816" s="85"/>
      <c r="I4816" s="85"/>
      <c r="J4816" s="131"/>
      <c r="K4816" s="60"/>
      <c r="L4816" s="49"/>
      <c r="M4816" s="37"/>
      <c r="N4816" s="37"/>
      <c r="O4816" s="37"/>
      <c r="Y4816" s="4"/>
      <c r="Z4816"/>
      <c r="AA4816"/>
    </row>
    <row r="4817" spans="1:27" s="3" customFormat="1" x14ac:dyDescent="0.15">
      <c r="A4817" s="73"/>
      <c r="B4817" s="118"/>
      <c r="C4817" s="70"/>
      <c r="D4817" s="70"/>
      <c r="E4817" s="70"/>
      <c r="F4817" s="70"/>
      <c r="G4817" s="70"/>
      <c r="H4817" s="85"/>
      <c r="I4817" s="85"/>
      <c r="J4817" s="131"/>
      <c r="K4817" s="60"/>
      <c r="L4817" s="49"/>
      <c r="M4817" s="37"/>
      <c r="N4817" s="37"/>
      <c r="O4817" s="37"/>
      <c r="Y4817" s="4"/>
      <c r="Z4817"/>
      <c r="AA4817"/>
    </row>
    <row r="4818" spans="1:27" s="3" customFormat="1" x14ac:dyDescent="0.15">
      <c r="A4818" s="70"/>
      <c r="B4818" s="118"/>
      <c r="C4818" s="70"/>
      <c r="D4818" s="70"/>
      <c r="E4818" s="70"/>
      <c r="F4818" s="70"/>
      <c r="G4818" s="70"/>
      <c r="H4818" s="85"/>
      <c r="I4818" s="85"/>
      <c r="J4818" s="131"/>
      <c r="K4818" s="60"/>
      <c r="L4818" s="49"/>
      <c r="M4818" s="37"/>
      <c r="N4818" s="37"/>
      <c r="O4818" s="37"/>
      <c r="Y4818" s="4"/>
      <c r="Z4818"/>
      <c r="AA4818"/>
    </row>
    <row r="4819" spans="1:27" s="3" customFormat="1" ht="16" x14ac:dyDescent="0.2">
      <c r="A4819" s="70"/>
      <c r="B4819" s="118"/>
      <c r="C4819" s="70"/>
      <c r="D4819" s="70"/>
      <c r="E4819" s="70"/>
      <c r="F4819" s="70"/>
      <c r="G4819" s="70"/>
      <c r="H4819" s="85"/>
      <c r="I4819" s="85"/>
      <c r="J4819" s="131"/>
      <c r="K4819" s="60"/>
      <c r="L4819" s="49"/>
      <c r="M4819" s="48"/>
      <c r="N4819" s="37"/>
      <c r="O4819" s="37"/>
      <c r="Y4819" s="4"/>
      <c r="Z4819"/>
      <c r="AA4819"/>
    </row>
    <row r="4820" spans="1:27" s="3" customFormat="1" x14ac:dyDescent="0.15">
      <c r="A4820" s="70"/>
      <c r="B4820" s="118"/>
      <c r="C4820" s="70"/>
      <c r="D4820" s="70"/>
      <c r="E4820" s="70"/>
      <c r="F4820" s="70"/>
      <c r="G4820" s="70"/>
      <c r="H4820" s="85"/>
      <c r="I4820" s="85"/>
      <c r="J4820" s="131"/>
      <c r="K4820" s="60"/>
      <c r="L4820" s="49"/>
      <c r="M4820" s="37"/>
      <c r="N4820" s="37"/>
      <c r="O4820" s="37"/>
      <c r="Y4820" s="4"/>
      <c r="Z4820"/>
      <c r="AA4820"/>
    </row>
    <row r="4821" spans="1:27" s="3" customFormat="1" x14ac:dyDescent="0.15">
      <c r="A4821" s="70"/>
      <c r="B4821" s="118"/>
      <c r="C4821" s="70"/>
      <c r="D4821" s="70"/>
      <c r="E4821" s="70"/>
      <c r="F4821" s="70"/>
      <c r="G4821" s="70"/>
      <c r="H4821" s="85"/>
      <c r="I4821" s="85"/>
      <c r="J4821" s="131"/>
      <c r="K4821" s="60"/>
      <c r="L4821" s="49"/>
      <c r="M4821" s="37"/>
      <c r="N4821" s="37"/>
      <c r="O4821" s="37"/>
      <c r="Y4821" s="4"/>
      <c r="Z4821"/>
      <c r="AA4821"/>
    </row>
    <row r="4822" spans="1:27" s="3" customFormat="1" x14ac:dyDescent="0.15">
      <c r="A4822" s="70"/>
      <c r="B4822" s="118"/>
      <c r="C4822" s="70"/>
      <c r="D4822" s="70"/>
      <c r="E4822" s="70"/>
      <c r="F4822" s="70"/>
      <c r="G4822" s="70"/>
      <c r="H4822" s="85"/>
      <c r="I4822" s="85"/>
      <c r="J4822" s="131"/>
      <c r="K4822" s="60"/>
      <c r="L4822" s="49"/>
      <c r="M4822" s="37"/>
      <c r="N4822" s="37"/>
      <c r="O4822" s="37"/>
      <c r="Y4822" s="4"/>
      <c r="Z4822"/>
      <c r="AA4822"/>
    </row>
    <row r="4823" spans="1:27" s="3" customFormat="1" x14ac:dyDescent="0.15">
      <c r="A4823" s="70"/>
      <c r="B4823" s="118"/>
      <c r="C4823" s="73"/>
      <c r="D4823" s="73"/>
      <c r="E4823" s="70"/>
      <c r="F4823" s="73"/>
      <c r="G4823" s="73"/>
      <c r="H4823" s="85"/>
      <c r="I4823" s="95"/>
      <c r="J4823" s="131"/>
      <c r="K4823" s="69"/>
      <c r="L4823" s="49"/>
      <c r="M4823" s="37"/>
      <c r="N4823" s="37"/>
      <c r="O4823" s="37"/>
      <c r="Y4823" s="4"/>
      <c r="Z4823"/>
      <c r="AA4823"/>
    </row>
    <row r="4824" spans="1:27" s="3" customFormat="1" x14ac:dyDescent="0.15">
      <c r="A4824" s="70"/>
      <c r="B4824" s="118"/>
      <c r="C4824" s="70"/>
      <c r="D4824" s="70"/>
      <c r="E4824" s="70"/>
      <c r="F4824" s="70"/>
      <c r="G4824" s="70"/>
      <c r="H4824" s="85"/>
      <c r="I4824" s="85"/>
      <c r="J4824" s="131"/>
      <c r="K4824" s="60"/>
      <c r="L4824" s="49"/>
      <c r="M4824" s="37"/>
      <c r="N4824" s="37"/>
      <c r="O4824" s="37"/>
      <c r="Y4824" s="4"/>
      <c r="Z4824"/>
      <c r="AA4824"/>
    </row>
    <row r="4825" spans="1:27" s="3" customFormat="1" x14ac:dyDescent="0.15">
      <c r="A4825" s="70"/>
      <c r="B4825" s="118"/>
      <c r="C4825" s="70"/>
      <c r="D4825" s="70"/>
      <c r="E4825" s="70"/>
      <c r="F4825" s="70"/>
      <c r="G4825" s="70"/>
      <c r="H4825" s="85"/>
      <c r="I4825" s="85"/>
      <c r="J4825" s="131"/>
      <c r="K4825" s="60"/>
      <c r="L4825" s="49"/>
      <c r="M4825" s="37"/>
      <c r="N4825" s="37"/>
      <c r="O4825" s="37"/>
      <c r="Y4825" s="4"/>
      <c r="Z4825"/>
      <c r="AA4825"/>
    </row>
    <row r="4826" spans="1:27" s="3" customFormat="1" x14ac:dyDescent="0.15">
      <c r="A4826" s="70"/>
      <c r="B4826" s="118"/>
      <c r="C4826" s="70"/>
      <c r="D4826" s="70"/>
      <c r="E4826" s="70"/>
      <c r="F4826" s="70"/>
      <c r="G4826" s="70"/>
      <c r="H4826" s="85"/>
      <c r="I4826" s="85"/>
      <c r="J4826" s="131"/>
      <c r="K4826" s="69"/>
      <c r="L4826" s="49"/>
      <c r="M4826" s="37"/>
      <c r="N4826" s="37"/>
      <c r="O4826" s="51"/>
      <c r="Y4826" s="4"/>
      <c r="Z4826"/>
      <c r="AA4826"/>
    </row>
    <row r="4827" spans="1:27" s="3" customFormat="1" x14ac:dyDescent="0.15">
      <c r="A4827" s="70"/>
      <c r="B4827" s="118"/>
      <c r="C4827" s="70"/>
      <c r="D4827" s="70"/>
      <c r="E4827" s="70"/>
      <c r="F4827" s="70"/>
      <c r="G4827" s="70"/>
      <c r="H4827" s="85"/>
      <c r="I4827" s="85"/>
      <c r="J4827" s="131"/>
      <c r="K4827" s="69"/>
      <c r="L4827" s="49"/>
      <c r="M4827" s="37"/>
      <c r="N4827" s="37"/>
      <c r="O4827" s="51"/>
      <c r="Y4827" s="4"/>
      <c r="Z4827"/>
      <c r="AA4827"/>
    </row>
    <row r="4828" spans="1:27" s="3" customFormat="1" x14ac:dyDescent="0.15">
      <c r="A4828" s="73"/>
      <c r="B4828" s="117"/>
      <c r="C4828" s="73"/>
      <c r="D4828" s="73"/>
      <c r="E4828" s="73"/>
      <c r="F4828" s="73"/>
      <c r="G4828" s="73"/>
      <c r="H4828" s="85"/>
      <c r="I4828" s="95"/>
      <c r="J4828" s="131"/>
      <c r="K4828" s="60"/>
      <c r="L4828" s="33"/>
      <c r="M4828" s="37"/>
      <c r="N4828" s="37"/>
      <c r="O4828" s="37"/>
      <c r="Y4828" s="4"/>
      <c r="Z4828"/>
      <c r="AA4828"/>
    </row>
    <row r="4829" spans="1:27" s="3" customFormat="1" x14ac:dyDescent="0.15">
      <c r="A4829" s="70"/>
      <c r="B4829" s="117"/>
      <c r="C4829" s="70"/>
      <c r="D4829" s="70"/>
      <c r="E4829" s="70"/>
      <c r="F4829" s="70"/>
      <c r="G4829" s="70"/>
      <c r="H4829" s="85"/>
      <c r="I4829" s="85"/>
      <c r="J4829" s="131"/>
      <c r="K4829" s="60"/>
      <c r="L4829" s="33"/>
      <c r="M4829" s="37"/>
      <c r="N4829" s="37"/>
      <c r="O4829" s="37"/>
      <c r="Y4829" s="4"/>
      <c r="Z4829"/>
      <c r="AA4829"/>
    </row>
    <row r="4830" spans="1:27" s="3" customFormat="1" x14ac:dyDescent="0.15">
      <c r="A4830" s="70"/>
      <c r="B4830" s="117"/>
      <c r="C4830" s="70"/>
      <c r="D4830" s="70"/>
      <c r="E4830" s="70"/>
      <c r="F4830" s="70"/>
      <c r="G4830" s="70"/>
      <c r="H4830" s="85"/>
      <c r="I4830" s="85"/>
      <c r="J4830" s="131"/>
      <c r="K4830" s="60"/>
      <c r="L4830" s="33"/>
      <c r="M4830" s="37"/>
      <c r="N4830" s="37"/>
      <c r="O4830" s="37"/>
      <c r="Y4830" s="4"/>
      <c r="Z4830"/>
      <c r="AA4830"/>
    </row>
    <row r="4831" spans="1:27" s="3" customFormat="1" x14ac:dyDescent="0.15">
      <c r="A4831" s="70"/>
      <c r="B4831" s="117"/>
      <c r="C4831" s="70"/>
      <c r="D4831" s="70"/>
      <c r="E4831" s="70"/>
      <c r="F4831" s="70"/>
      <c r="G4831" s="70"/>
      <c r="H4831" s="85"/>
      <c r="I4831" s="85"/>
      <c r="J4831" s="131"/>
      <c r="K4831" s="60"/>
      <c r="L4831" s="49"/>
      <c r="M4831" s="37"/>
      <c r="N4831" s="37"/>
      <c r="O4831" s="51"/>
      <c r="Y4831" s="4"/>
      <c r="Z4831"/>
      <c r="AA4831"/>
    </row>
    <row r="4832" spans="1:27" s="3" customFormat="1" x14ac:dyDescent="0.15">
      <c r="A4832" s="70"/>
      <c r="B4832" s="118"/>
      <c r="C4832" s="70"/>
      <c r="D4832" s="70"/>
      <c r="E4832" s="70"/>
      <c r="F4832" s="70"/>
      <c r="G4832" s="70"/>
      <c r="H4832" s="85"/>
      <c r="I4832" s="85"/>
      <c r="J4832" s="131"/>
      <c r="K4832" s="69"/>
      <c r="L4832" s="49"/>
      <c r="M4832" s="37"/>
      <c r="N4832" s="37"/>
      <c r="O4832" s="51"/>
      <c r="Y4832" s="4"/>
      <c r="Z4832"/>
      <c r="AA4832"/>
    </row>
    <row r="4833" spans="1:27" s="3" customFormat="1" x14ac:dyDescent="0.15">
      <c r="A4833" s="70"/>
      <c r="B4833" s="118"/>
      <c r="C4833" s="70"/>
      <c r="D4833" s="70"/>
      <c r="E4833" s="70"/>
      <c r="F4833" s="70"/>
      <c r="G4833" s="70"/>
      <c r="H4833" s="85"/>
      <c r="I4833" s="85"/>
      <c r="J4833" s="131"/>
      <c r="K4833" s="69"/>
      <c r="L4833" s="49"/>
      <c r="M4833" s="37"/>
      <c r="N4833" s="37"/>
      <c r="O4833" s="51"/>
      <c r="Y4833" s="4"/>
      <c r="Z4833"/>
      <c r="AA4833"/>
    </row>
    <row r="4834" spans="1:27" s="3" customFormat="1" x14ac:dyDescent="0.15">
      <c r="A4834" s="73"/>
      <c r="B4834" s="118"/>
      <c r="C4834" s="70"/>
      <c r="D4834" s="70"/>
      <c r="E4834" s="70"/>
      <c r="F4834" s="70"/>
      <c r="G4834" s="70"/>
      <c r="H4834" s="85"/>
      <c r="I4834" s="85"/>
      <c r="J4834" s="131"/>
      <c r="K4834" s="69"/>
      <c r="L4834" s="49"/>
      <c r="M4834" s="37"/>
      <c r="N4834" s="37"/>
      <c r="O4834" s="51"/>
      <c r="Y4834" s="4"/>
      <c r="Z4834"/>
      <c r="AA4834"/>
    </row>
    <row r="4835" spans="1:27" s="3" customFormat="1" x14ac:dyDescent="0.15">
      <c r="A4835" s="70"/>
      <c r="B4835" s="118"/>
      <c r="C4835" s="70"/>
      <c r="D4835" s="70"/>
      <c r="E4835" s="70"/>
      <c r="F4835" s="70"/>
      <c r="G4835" s="70"/>
      <c r="H4835" s="85"/>
      <c r="I4835" s="85"/>
      <c r="J4835" s="131"/>
      <c r="K4835" s="69"/>
      <c r="L4835" s="49"/>
      <c r="M4835" s="37"/>
      <c r="N4835" s="37"/>
      <c r="O4835" s="51"/>
      <c r="Y4835" s="4"/>
      <c r="Z4835"/>
      <c r="AA4835"/>
    </row>
    <row r="4836" spans="1:27" s="3" customFormat="1" x14ac:dyDescent="0.15">
      <c r="A4836" s="70"/>
      <c r="B4836" s="117"/>
      <c r="C4836" s="70"/>
      <c r="D4836" s="70"/>
      <c r="E4836" s="70"/>
      <c r="F4836" s="70"/>
      <c r="G4836" s="70"/>
      <c r="H4836" s="85"/>
      <c r="I4836" s="85"/>
      <c r="J4836" s="131"/>
      <c r="K4836" s="60"/>
      <c r="L4836" s="49"/>
      <c r="M4836" s="37"/>
      <c r="N4836" s="37"/>
      <c r="O4836" s="51"/>
      <c r="Y4836" s="4"/>
      <c r="Z4836"/>
      <c r="AA4836"/>
    </row>
    <row r="4837" spans="1:27" s="3" customFormat="1" x14ac:dyDescent="0.15">
      <c r="A4837" s="70"/>
      <c r="B4837" s="117"/>
      <c r="C4837" s="70"/>
      <c r="D4837" s="70"/>
      <c r="E4837" s="70"/>
      <c r="F4837" s="70"/>
      <c r="G4837" s="70"/>
      <c r="H4837" s="85"/>
      <c r="I4837" s="85"/>
      <c r="J4837" s="131"/>
      <c r="K4837" s="60"/>
      <c r="L4837" s="49"/>
      <c r="M4837" s="37"/>
      <c r="N4837" s="37"/>
      <c r="O4837" s="51"/>
      <c r="Y4837" s="4"/>
      <c r="Z4837"/>
      <c r="AA4837"/>
    </row>
    <row r="4838" spans="1:27" s="3" customFormat="1" x14ac:dyDescent="0.15">
      <c r="A4838" s="70"/>
      <c r="B4838" s="118"/>
      <c r="C4838" s="73"/>
      <c r="D4838" s="73"/>
      <c r="E4838" s="70"/>
      <c r="F4838" s="73"/>
      <c r="G4838" s="73"/>
      <c r="H4838" s="85"/>
      <c r="I4838" s="95"/>
      <c r="J4838" s="131"/>
      <c r="K4838" s="69"/>
      <c r="L4838" s="49"/>
      <c r="M4838" s="37"/>
      <c r="N4838" s="37"/>
      <c r="O4838" s="37"/>
      <c r="Y4838" s="4"/>
      <c r="Z4838"/>
      <c r="AA4838"/>
    </row>
    <row r="4839" spans="1:27" s="3" customFormat="1" x14ac:dyDescent="0.15">
      <c r="A4839" s="70"/>
      <c r="B4839" s="118"/>
      <c r="C4839" s="70"/>
      <c r="D4839" s="70"/>
      <c r="E4839" s="70"/>
      <c r="F4839" s="70"/>
      <c r="G4839" s="70"/>
      <c r="H4839" s="85"/>
      <c r="I4839" s="85"/>
      <c r="J4839" s="131"/>
      <c r="K4839" s="69"/>
      <c r="L4839" s="49"/>
      <c r="M4839" s="37"/>
      <c r="N4839" s="37"/>
      <c r="O4839" s="37"/>
      <c r="Y4839" s="4"/>
      <c r="Z4839"/>
      <c r="AA4839"/>
    </row>
    <row r="4840" spans="1:27" s="3" customFormat="1" x14ac:dyDescent="0.15">
      <c r="A4840" s="70"/>
      <c r="B4840" s="118"/>
      <c r="C4840" s="70"/>
      <c r="D4840" s="70"/>
      <c r="E4840" s="70"/>
      <c r="F4840" s="70"/>
      <c r="G4840" s="70"/>
      <c r="H4840" s="85"/>
      <c r="I4840" s="85"/>
      <c r="J4840" s="131"/>
      <c r="K4840" s="69"/>
      <c r="L4840" s="49"/>
      <c r="M4840" s="37"/>
      <c r="N4840" s="37"/>
      <c r="O4840" s="37"/>
      <c r="Y4840" s="4"/>
      <c r="Z4840"/>
      <c r="AA4840"/>
    </row>
    <row r="4841" spans="1:27" s="3" customFormat="1" x14ac:dyDescent="0.15">
      <c r="A4841" s="70"/>
      <c r="B4841" s="118"/>
      <c r="C4841" s="73"/>
      <c r="D4841" s="73"/>
      <c r="E4841" s="70"/>
      <c r="F4841" s="73"/>
      <c r="G4841" s="73"/>
      <c r="H4841" s="85"/>
      <c r="I4841" s="95"/>
      <c r="J4841" s="131"/>
      <c r="K4841" s="69"/>
      <c r="L4841" s="49"/>
      <c r="M4841" s="37"/>
      <c r="N4841" s="37"/>
      <c r="O4841" s="37"/>
      <c r="Y4841" s="4"/>
      <c r="Z4841"/>
      <c r="AA4841"/>
    </row>
    <row r="4842" spans="1:27" s="3" customFormat="1" x14ac:dyDescent="0.15">
      <c r="A4842" s="70"/>
      <c r="B4842" s="118"/>
      <c r="C4842" s="70"/>
      <c r="D4842" s="70"/>
      <c r="E4842" s="70"/>
      <c r="F4842" s="70"/>
      <c r="G4842" s="70"/>
      <c r="H4842" s="85"/>
      <c r="I4842" s="85"/>
      <c r="J4842" s="131"/>
      <c r="K4842" s="69"/>
      <c r="L4842" s="49"/>
      <c r="M4842" s="37"/>
      <c r="N4842" s="37"/>
      <c r="O4842" s="37"/>
      <c r="Y4842" s="4"/>
      <c r="Z4842"/>
      <c r="AA4842"/>
    </row>
    <row r="4843" spans="1:27" s="3" customFormat="1" x14ac:dyDescent="0.15">
      <c r="A4843" s="70"/>
      <c r="B4843" s="118"/>
      <c r="C4843" s="70"/>
      <c r="D4843" s="70"/>
      <c r="E4843" s="70"/>
      <c r="F4843" s="70"/>
      <c r="G4843" s="70"/>
      <c r="H4843" s="85"/>
      <c r="I4843" s="85"/>
      <c r="J4843" s="131"/>
      <c r="K4843" s="60"/>
      <c r="L4843" s="49"/>
      <c r="M4843" s="37"/>
      <c r="N4843" s="37"/>
      <c r="O4843" s="37"/>
      <c r="Y4843" s="4"/>
      <c r="Z4843"/>
      <c r="AA4843"/>
    </row>
    <row r="4844" spans="1:27" s="3" customFormat="1" x14ac:dyDescent="0.15">
      <c r="A4844" s="70"/>
      <c r="B4844" s="118"/>
      <c r="C4844" s="70"/>
      <c r="D4844" s="70"/>
      <c r="E4844" s="70"/>
      <c r="F4844" s="70"/>
      <c r="G4844" s="70"/>
      <c r="H4844" s="85"/>
      <c r="I4844" s="85"/>
      <c r="J4844" s="131"/>
      <c r="K4844" s="60"/>
      <c r="L4844" s="49"/>
      <c r="M4844" s="37"/>
      <c r="N4844" s="37"/>
      <c r="O4844" s="51"/>
      <c r="Y4844" s="4"/>
      <c r="Z4844"/>
      <c r="AA4844"/>
    </row>
    <row r="4845" spans="1:27" s="3" customFormat="1" x14ac:dyDescent="0.15">
      <c r="A4845" s="73"/>
      <c r="B4845" s="118"/>
      <c r="C4845" s="70"/>
      <c r="D4845" s="70"/>
      <c r="E4845" s="70"/>
      <c r="F4845" s="70"/>
      <c r="G4845" s="70"/>
      <c r="H4845" s="85"/>
      <c r="I4845" s="85"/>
      <c r="J4845" s="131"/>
      <c r="K4845" s="60"/>
      <c r="L4845" s="49"/>
      <c r="M4845" s="37"/>
      <c r="N4845" s="37"/>
      <c r="O4845" s="51"/>
      <c r="Y4845" s="4"/>
      <c r="Z4845"/>
      <c r="AA4845"/>
    </row>
    <row r="4846" spans="1:27" s="3" customFormat="1" x14ac:dyDescent="0.15">
      <c r="A4846" s="70"/>
      <c r="B4846" s="118"/>
      <c r="C4846" s="70"/>
      <c r="D4846" s="70"/>
      <c r="E4846" s="70"/>
      <c r="F4846" s="70"/>
      <c r="G4846" s="70"/>
      <c r="H4846" s="85"/>
      <c r="I4846" s="85"/>
      <c r="J4846" s="131"/>
      <c r="K4846" s="69"/>
      <c r="L4846" s="49"/>
      <c r="M4846" s="37"/>
      <c r="N4846" s="37"/>
      <c r="O4846" s="51"/>
      <c r="Y4846" s="4"/>
      <c r="Z4846"/>
      <c r="AA4846"/>
    </row>
    <row r="4847" spans="1:27" x14ac:dyDescent="0.15">
      <c r="A4847" s="70"/>
      <c r="B4847" s="117"/>
      <c r="C4847" s="70"/>
      <c r="D4847" s="70"/>
      <c r="E4847" s="70"/>
      <c r="F4847" s="70"/>
      <c r="G4847" s="70"/>
      <c r="H4847" s="85"/>
      <c r="I4847" s="85"/>
      <c r="J4847" s="131"/>
      <c r="K4847" s="60"/>
      <c r="L4847" s="33"/>
    </row>
    <row r="4848" spans="1:27" x14ac:dyDescent="0.15">
      <c r="A4848" s="70"/>
      <c r="B4848" s="117"/>
      <c r="C4848" s="70"/>
      <c r="D4848" s="70"/>
      <c r="E4848" s="70"/>
      <c r="F4848" s="70"/>
      <c r="G4848" s="70"/>
      <c r="H4848" s="85"/>
      <c r="I4848" s="85"/>
      <c r="J4848" s="131"/>
      <c r="K4848" s="60"/>
      <c r="L4848" s="33"/>
    </row>
    <row r="4849" spans="1:27" x14ac:dyDescent="0.15">
      <c r="A4849" s="70"/>
      <c r="B4849" s="118"/>
      <c r="C4849" s="70"/>
      <c r="D4849" s="70"/>
      <c r="E4849" s="70"/>
      <c r="F4849" s="70"/>
      <c r="G4849" s="70"/>
      <c r="H4849" s="85"/>
      <c r="I4849" s="85"/>
      <c r="J4849" s="131"/>
      <c r="K4849" s="69"/>
    </row>
    <row r="4850" spans="1:27" x14ac:dyDescent="0.15">
      <c r="A4850" s="70"/>
      <c r="B4850" s="118"/>
      <c r="C4850" s="70"/>
      <c r="D4850" s="70"/>
      <c r="E4850" s="70"/>
      <c r="F4850" s="70"/>
      <c r="G4850" s="70"/>
      <c r="H4850" s="85"/>
      <c r="I4850" s="85"/>
      <c r="J4850" s="131"/>
      <c r="K4850" s="69"/>
    </row>
    <row r="4851" spans="1:27" x14ac:dyDescent="0.15">
      <c r="A4851" s="70"/>
      <c r="B4851" s="118"/>
      <c r="C4851" s="70"/>
      <c r="D4851" s="70"/>
      <c r="E4851" s="70"/>
      <c r="F4851" s="70"/>
      <c r="G4851" s="70"/>
      <c r="H4851" s="85"/>
      <c r="I4851" s="95"/>
      <c r="J4851" s="131"/>
      <c r="K4851" s="60"/>
      <c r="R4851" s="6"/>
      <c r="S4851" s="6"/>
      <c r="T4851" s="6"/>
      <c r="U4851" s="6"/>
      <c r="V4851" s="6"/>
      <c r="W4851" s="6"/>
      <c r="X4851" s="6"/>
      <c r="Y4851" s="6"/>
      <c r="Z4851" s="2"/>
      <c r="AA4851" s="2"/>
    </row>
    <row r="4852" spans="1:27" x14ac:dyDescent="0.15">
      <c r="A4852" s="70"/>
      <c r="B4852" s="118"/>
      <c r="C4852" s="70"/>
      <c r="D4852" s="70"/>
      <c r="E4852" s="70"/>
      <c r="F4852" s="70"/>
      <c r="G4852" s="70"/>
      <c r="H4852" s="85"/>
      <c r="I4852" s="85"/>
      <c r="J4852" s="131"/>
      <c r="K4852" s="60"/>
      <c r="R4852" s="6"/>
      <c r="S4852" s="6"/>
      <c r="T4852" s="6"/>
      <c r="U4852" s="6"/>
      <c r="V4852" s="6"/>
      <c r="W4852" s="6"/>
      <c r="X4852" s="6"/>
      <c r="Y4852" s="6"/>
      <c r="Z4852" s="2"/>
      <c r="AA4852" s="2"/>
    </row>
    <row r="4853" spans="1:27" x14ac:dyDescent="0.15">
      <c r="A4853" s="70"/>
      <c r="B4853" s="118"/>
      <c r="C4853" s="70"/>
      <c r="D4853" s="70"/>
      <c r="E4853" s="70"/>
      <c r="F4853" s="70"/>
      <c r="G4853" s="70"/>
      <c r="H4853" s="85"/>
      <c r="I4853" s="85"/>
      <c r="J4853" s="131"/>
      <c r="K4853" s="60"/>
      <c r="R4853" s="6"/>
      <c r="S4853" s="6"/>
      <c r="T4853" s="6"/>
      <c r="U4853" s="6"/>
      <c r="V4853" s="6"/>
      <c r="W4853" s="6"/>
      <c r="X4853" s="6"/>
      <c r="Y4853" s="6"/>
      <c r="Z4853" s="2"/>
      <c r="AA4853" s="2"/>
    </row>
    <row r="4854" spans="1:27" x14ac:dyDescent="0.15">
      <c r="A4854" s="70"/>
      <c r="B4854" s="117"/>
      <c r="C4854" s="70"/>
      <c r="D4854" s="70"/>
      <c r="E4854" s="70"/>
      <c r="F4854" s="70"/>
      <c r="G4854" s="70"/>
      <c r="H4854" s="85"/>
      <c r="I4854" s="85"/>
      <c r="J4854" s="131"/>
      <c r="K4854" s="60"/>
      <c r="O4854" s="51"/>
      <c r="R4854" s="6"/>
      <c r="S4854" s="6"/>
      <c r="T4854" s="6"/>
      <c r="U4854" s="6"/>
      <c r="V4854" s="6"/>
      <c r="W4854" s="6"/>
      <c r="X4854" s="6"/>
      <c r="Y4854" s="6"/>
      <c r="Z4854" s="2"/>
      <c r="AA4854" s="2"/>
    </row>
    <row r="4855" spans="1:27" x14ac:dyDescent="0.15">
      <c r="A4855" s="70"/>
      <c r="B4855" s="118"/>
      <c r="C4855" s="70"/>
      <c r="D4855" s="70"/>
      <c r="E4855" s="70"/>
      <c r="F4855" s="70"/>
      <c r="G4855" s="70"/>
      <c r="H4855" s="85"/>
      <c r="I4855" s="85"/>
      <c r="J4855" s="131"/>
      <c r="K4855" s="60"/>
      <c r="O4855" s="51"/>
      <c r="R4855" s="6"/>
      <c r="S4855" s="6"/>
      <c r="T4855" s="6"/>
      <c r="U4855" s="6"/>
      <c r="V4855" s="6"/>
      <c r="W4855" s="6"/>
      <c r="X4855" s="6"/>
      <c r="Y4855" s="6"/>
      <c r="Z4855" s="2"/>
      <c r="AA4855" s="2"/>
    </row>
    <row r="4856" spans="1:27" x14ac:dyDescent="0.15">
      <c r="A4856" s="70"/>
      <c r="B4856" s="118"/>
      <c r="C4856" s="70"/>
      <c r="D4856" s="70"/>
      <c r="E4856" s="70"/>
      <c r="F4856" s="70"/>
      <c r="G4856" s="70"/>
      <c r="H4856" s="85"/>
      <c r="I4856" s="85"/>
      <c r="J4856" s="131"/>
      <c r="K4856" s="69"/>
      <c r="O4856" s="51"/>
      <c r="R4856" s="6"/>
      <c r="S4856" s="6"/>
      <c r="T4856" s="6"/>
      <c r="U4856" s="6"/>
      <c r="V4856" s="6"/>
      <c r="W4856" s="6"/>
      <c r="X4856" s="6"/>
      <c r="Y4856" s="6"/>
      <c r="Z4856" s="2"/>
      <c r="AA4856" s="2"/>
    </row>
    <row r="4857" spans="1:27" x14ac:dyDescent="0.15">
      <c r="A4857" s="70"/>
      <c r="B4857" s="118"/>
      <c r="C4857" s="70"/>
      <c r="D4857" s="70"/>
      <c r="E4857" s="70"/>
      <c r="F4857" s="70"/>
      <c r="G4857" s="70"/>
      <c r="H4857" s="85"/>
      <c r="I4857" s="85"/>
      <c r="J4857" s="131"/>
      <c r="K4857" s="60"/>
      <c r="L4857" s="33"/>
      <c r="O4857" s="51"/>
      <c r="R4857" s="6"/>
      <c r="S4857" s="6"/>
      <c r="T4857" s="6"/>
      <c r="U4857" s="6"/>
      <c r="V4857" s="6"/>
      <c r="W4857" s="6"/>
      <c r="X4857" s="6"/>
      <c r="Y4857" s="6"/>
      <c r="Z4857" s="2"/>
      <c r="AA4857" s="2"/>
    </row>
    <row r="4858" spans="1:27" x14ac:dyDescent="0.15">
      <c r="A4858" s="70"/>
      <c r="B4858" s="118"/>
      <c r="C4858" s="70"/>
      <c r="D4858" s="70"/>
      <c r="E4858" s="70"/>
      <c r="F4858" s="70"/>
      <c r="G4858" s="70"/>
      <c r="H4858" s="85"/>
      <c r="I4858" s="85"/>
      <c r="J4858" s="131"/>
      <c r="K4858" s="60"/>
      <c r="O4858" s="51"/>
      <c r="R4858" s="6"/>
      <c r="S4858" s="6"/>
      <c r="T4858" s="6"/>
      <c r="U4858" s="6"/>
      <c r="V4858" s="6"/>
      <c r="W4858" s="6"/>
      <c r="X4858" s="6"/>
      <c r="Y4858" s="6"/>
      <c r="Z4858" s="2"/>
      <c r="AA4858" s="2"/>
    </row>
    <row r="4859" spans="1:27" x14ac:dyDescent="0.15">
      <c r="A4859" s="73"/>
      <c r="B4859" s="118"/>
      <c r="C4859" s="70"/>
      <c r="D4859" s="70"/>
      <c r="E4859" s="70"/>
      <c r="F4859" s="70"/>
      <c r="G4859" s="70"/>
      <c r="H4859" s="85"/>
      <c r="I4859" s="85"/>
      <c r="J4859" s="131"/>
      <c r="K4859" s="60"/>
      <c r="O4859" s="51"/>
      <c r="R4859" s="6"/>
      <c r="S4859" s="6"/>
      <c r="T4859" s="6"/>
      <c r="U4859" s="6"/>
      <c r="V4859" s="6"/>
      <c r="W4859" s="6"/>
      <c r="X4859" s="6"/>
      <c r="Y4859" s="6"/>
      <c r="Z4859" s="2"/>
      <c r="AA4859" s="2"/>
    </row>
    <row r="4860" spans="1:27" x14ac:dyDescent="0.15">
      <c r="A4860" s="73"/>
      <c r="B4860" s="118"/>
      <c r="C4860" s="70"/>
      <c r="D4860" s="70"/>
      <c r="E4860" s="70"/>
      <c r="F4860" s="70"/>
      <c r="G4860" s="70"/>
      <c r="H4860" s="85"/>
      <c r="I4860" s="85"/>
      <c r="J4860" s="131"/>
      <c r="K4860" s="60"/>
      <c r="O4860" s="51"/>
      <c r="R4860" s="6"/>
      <c r="S4860" s="6"/>
      <c r="T4860" s="6"/>
      <c r="U4860" s="6"/>
      <c r="V4860" s="6"/>
      <c r="W4860" s="6"/>
      <c r="X4860" s="6"/>
      <c r="Y4860" s="6"/>
      <c r="Z4860" s="2"/>
      <c r="AA4860" s="2"/>
    </row>
    <row r="4861" spans="1:27" x14ac:dyDescent="0.15">
      <c r="A4861" s="70"/>
      <c r="B4861" s="118"/>
      <c r="C4861" s="70"/>
      <c r="D4861" s="70"/>
      <c r="E4861" s="70"/>
      <c r="F4861" s="70"/>
      <c r="G4861" s="70"/>
      <c r="H4861" s="85"/>
      <c r="I4861" s="85"/>
      <c r="J4861" s="131"/>
      <c r="K4861" s="60"/>
      <c r="O4861" s="51"/>
      <c r="R4861" s="6"/>
      <c r="S4861" s="6"/>
      <c r="T4861" s="6"/>
      <c r="U4861" s="6"/>
      <c r="V4861" s="6"/>
      <c r="W4861" s="6"/>
      <c r="X4861" s="6"/>
      <c r="Y4861" s="6"/>
      <c r="Z4861" s="2"/>
      <c r="AA4861" s="2"/>
    </row>
    <row r="4862" spans="1:27" x14ac:dyDescent="0.15">
      <c r="A4862" s="70"/>
      <c r="B4862" s="118"/>
      <c r="C4862" s="70"/>
      <c r="D4862" s="70"/>
      <c r="E4862" s="70"/>
      <c r="F4862" s="70"/>
      <c r="G4862" s="70"/>
      <c r="H4862" s="85"/>
      <c r="I4862" s="85"/>
      <c r="J4862" s="131"/>
      <c r="K4862" s="69"/>
      <c r="O4862" s="51"/>
      <c r="R4862" s="6"/>
      <c r="S4862" s="6"/>
      <c r="T4862" s="6"/>
      <c r="U4862" s="6"/>
      <c r="V4862" s="6"/>
      <c r="W4862" s="6"/>
      <c r="X4862" s="6"/>
      <c r="Y4862" s="6"/>
      <c r="Z4862" s="2"/>
      <c r="AA4862" s="2"/>
    </row>
    <row r="4863" spans="1:27" x14ac:dyDescent="0.15">
      <c r="A4863" s="70"/>
      <c r="B4863" s="118"/>
      <c r="C4863" s="70"/>
      <c r="D4863" s="70"/>
      <c r="E4863" s="70"/>
      <c r="F4863" s="70"/>
      <c r="G4863" s="70"/>
      <c r="H4863" s="85"/>
      <c r="I4863" s="85"/>
      <c r="J4863" s="131"/>
      <c r="K4863" s="60"/>
      <c r="O4863" s="51"/>
      <c r="R4863" s="6"/>
      <c r="S4863" s="6"/>
      <c r="T4863" s="6"/>
      <c r="U4863" s="6"/>
      <c r="V4863" s="6"/>
      <c r="W4863" s="6"/>
      <c r="X4863" s="6"/>
      <c r="Y4863" s="6"/>
      <c r="Z4863" s="2"/>
      <c r="AA4863" s="2"/>
    </row>
    <row r="4864" spans="1:27" x14ac:dyDescent="0.15">
      <c r="A4864" s="73"/>
      <c r="B4864" s="118"/>
      <c r="C4864" s="70"/>
      <c r="D4864" s="70"/>
      <c r="E4864" s="70"/>
      <c r="F4864" s="70"/>
      <c r="G4864" s="70"/>
      <c r="H4864" s="85"/>
      <c r="I4864" s="85"/>
      <c r="J4864" s="131"/>
      <c r="K4864" s="60"/>
      <c r="O4864" s="51"/>
      <c r="R4864" s="6"/>
      <c r="S4864" s="6"/>
      <c r="T4864" s="6"/>
      <c r="U4864" s="6"/>
      <c r="V4864" s="6"/>
      <c r="W4864" s="6"/>
      <c r="X4864" s="6"/>
      <c r="Y4864" s="6"/>
      <c r="Z4864" s="2"/>
      <c r="AA4864" s="2"/>
    </row>
    <row r="4865" spans="1:27" x14ac:dyDescent="0.15">
      <c r="A4865" s="70"/>
      <c r="B4865" s="118"/>
      <c r="C4865" s="70"/>
      <c r="D4865" s="70"/>
      <c r="E4865" s="70"/>
      <c r="F4865" s="70"/>
      <c r="G4865" s="70"/>
      <c r="H4865" s="85"/>
      <c r="I4865" s="85"/>
      <c r="J4865" s="131"/>
      <c r="K4865" s="60"/>
      <c r="O4865" s="51"/>
      <c r="R4865" s="6"/>
      <c r="S4865" s="6"/>
      <c r="T4865" s="6"/>
      <c r="U4865" s="6"/>
      <c r="V4865" s="6"/>
      <c r="W4865" s="6"/>
      <c r="X4865" s="6"/>
      <c r="Y4865" s="6"/>
      <c r="Z4865" s="2"/>
      <c r="AA4865" s="2"/>
    </row>
    <row r="4866" spans="1:27" ht="16" x14ac:dyDescent="0.2">
      <c r="A4866" s="70"/>
      <c r="B4866" s="118"/>
      <c r="C4866" s="70"/>
      <c r="D4866" s="70"/>
      <c r="E4866" s="70"/>
      <c r="F4866" s="70"/>
      <c r="G4866" s="70"/>
      <c r="H4866" s="85"/>
      <c r="I4866" s="85"/>
      <c r="J4866" s="131"/>
      <c r="K4866" s="69"/>
      <c r="M4866" s="48"/>
      <c r="O4866" s="51"/>
      <c r="R4866" s="6"/>
      <c r="S4866" s="6"/>
      <c r="T4866" s="6"/>
      <c r="U4866" s="6"/>
      <c r="V4866" s="6"/>
      <c r="W4866" s="6"/>
      <c r="X4866" s="6"/>
      <c r="Y4866" s="6"/>
      <c r="Z4866" s="2"/>
      <c r="AA4866" s="2"/>
    </row>
    <row r="4867" spans="1:27" x14ac:dyDescent="0.15">
      <c r="A4867" s="70"/>
      <c r="B4867" s="118"/>
      <c r="C4867" s="70"/>
      <c r="D4867" s="70"/>
      <c r="E4867" s="70"/>
      <c r="F4867" s="70"/>
      <c r="G4867" s="70"/>
      <c r="H4867" s="85"/>
      <c r="I4867" s="85"/>
      <c r="J4867" s="131"/>
      <c r="K4867" s="69"/>
      <c r="O4867" s="51"/>
      <c r="R4867" s="6"/>
      <c r="S4867" s="6"/>
      <c r="T4867" s="6"/>
      <c r="U4867" s="6"/>
      <c r="V4867" s="6"/>
      <c r="W4867" s="6"/>
      <c r="X4867" s="6"/>
      <c r="Y4867" s="6"/>
      <c r="Z4867" s="2"/>
      <c r="AA4867" s="2"/>
    </row>
    <row r="4868" spans="1:27" x14ac:dyDescent="0.15">
      <c r="A4868" s="73"/>
      <c r="B4868" s="118"/>
      <c r="C4868" s="70"/>
      <c r="D4868" s="70"/>
      <c r="E4868" s="70"/>
      <c r="F4868" s="70"/>
      <c r="G4868" s="70"/>
      <c r="H4868" s="85"/>
      <c r="I4868" s="85"/>
      <c r="J4868" s="131"/>
      <c r="K4868" s="69"/>
      <c r="O4868" s="51"/>
      <c r="R4868" s="6"/>
      <c r="S4868" s="6"/>
      <c r="T4868" s="6"/>
      <c r="U4868" s="6"/>
      <c r="V4868" s="6"/>
      <c r="W4868" s="6"/>
      <c r="X4868" s="6"/>
      <c r="Y4868" s="6"/>
      <c r="Z4868" s="2"/>
      <c r="AA4868" s="2"/>
    </row>
    <row r="4869" spans="1:27" x14ac:dyDescent="0.15">
      <c r="A4869" s="70"/>
      <c r="B4869" s="118"/>
      <c r="C4869" s="70"/>
      <c r="D4869" s="70"/>
      <c r="E4869" s="70"/>
      <c r="F4869" s="70"/>
      <c r="G4869" s="70"/>
      <c r="H4869" s="85"/>
      <c r="I4869" s="85"/>
      <c r="J4869" s="131"/>
      <c r="K4869" s="60"/>
      <c r="O4869" s="51"/>
      <c r="R4869" s="6"/>
      <c r="S4869" s="6"/>
      <c r="T4869" s="6"/>
      <c r="U4869" s="6"/>
      <c r="V4869" s="6"/>
      <c r="W4869" s="6"/>
      <c r="X4869" s="6"/>
      <c r="Y4869" s="6"/>
      <c r="Z4869" s="2"/>
      <c r="AA4869" s="2"/>
    </row>
    <row r="4870" spans="1:27" x14ac:dyDescent="0.15">
      <c r="A4870" s="70"/>
      <c r="B4870" s="118"/>
      <c r="C4870" s="70"/>
      <c r="D4870" s="70"/>
      <c r="E4870" s="70"/>
      <c r="F4870" s="70"/>
      <c r="G4870" s="70"/>
      <c r="H4870" s="85"/>
      <c r="I4870" s="85"/>
      <c r="J4870" s="131"/>
      <c r="K4870" s="60"/>
      <c r="O4870" s="51"/>
      <c r="R4870" s="6"/>
      <c r="S4870" s="6"/>
      <c r="T4870" s="6"/>
      <c r="U4870" s="6"/>
      <c r="V4870" s="6"/>
      <c r="W4870" s="6"/>
      <c r="X4870" s="6"/>
      <c r="Y4870" s="6"/>
      <c r="Z4870" s="2"/>
      <c r="AA4870" s="2"/>
    </row>
    <row r="4871" spans="1:27" x14ac:dyDescent="0.15">
      <c r="A4871" s="73"/>
      <c r="B4871" s="118"/>
      <c r="C4871" s="70"/>
      <c r="D4871" s="70"/>
      <c r="E4871" s="70"/>
      <c r="F4871" s="70"/>
      <c r="G4871" s="70"/>
      <c r="H4871" s="85"/>
      <c r="I4871" s="85"/>
      <c r="J4871" s="131"/>
      <c r="K4871" s="69"/>
      <c r="O4871" s="35"/>
      <c r="R4871" s="6"/>
      <c r="S4871" s="6"/>
      <c r="T4871" s="6"/>
      <c r="U4871" s="6"/>
      <c r="V4871" s="6"/>
      <c r="W4871" s="6"/>
      <c r="X4871" s="6"/>
      <c r="Y4871" s="6"/>
      <c r="Z4871" s="2"/>
      <c r="AA4871" s="2"/>
    </row>
    <row r="4872" spans="1:27" x14ac:dyDescent="0.15">
      <c r="A4872" s="70"/>
      <c r="B4872" s="118"/>
      <c r="C4872" s="70"/>
      <c r="D4872" s="70"/>
      <c r="E4872" s="70"/>
      <c r="F4872" s="70"/>
      <c r="G4872" s="70"/>
      <c r="H4872" s="85"/>
      <c r="I4872" s="85"/>
      <c r="J4872" s="131"/>
      <c r="K4872" s="60"/>
      <c r="O4872" s="35"/>
      <c r="R4872" s="6"/>
      <c r="S4872" s="6"/>
      <c r="T4872" s="6"/>
      <c r="U4872" s="6"/>
      <c r="V4872" s="6"/>
      <c r="W4872" s="6"/>
      <c r="X4872" s="6"/>
      <c r="Y4872" s="6"/>
      <c r="Z4872" s="2"/>
      <c r="AA4872" s="2"/>
    </row>
    <row r="4873" spans="1:27" x14ac:dyDescent="0.15">
      <c r="A4873" s="70"/>
      <c r="B4873" s="118"/>
      <c r="C4873" s="70"/>
      <c r="D4873" s="70"/>
      <c r="E4873" s="70"/>
      <c r="F4873" s="70"/>
      <c r="G4873" s="70"/>
      <c r="H4873" s="85"/>
      <c r="I4873" s="85"/>
      <c r="J4873" s="131"/>
      <c r="K4873" s="60"/>
      <c r="O4873" s="35"/>
      <c r="R4873" s="6"/>
      <c r="S4873" s="6"/>
      <c r="T4873" s="6"/>
      <c r="U4873" s="6"/>
      <c r="V4873" s="6"/>
      <c r="W4873" s="6"/>
      <c r="X4873" s="6"/>
      <c r="Y4873" s="6"/>
      <c r="Z4873" s="2"/>
      <c r="AA4873" s="2"/>
    </row>
    <row r="4874" spans="1:27" x14ac:dyDescent="0.15">
      <c r="A4874" s="70"/>
      <c r="B4874" s="118"/>
      <c r="C4874" s="70"/>
      <c r="D4874" s="70"/>
      <c r="E4874" s="70"/>
      <c r="F4874" s="70"/>
      <c r="G4874" s="70"/>
      <c r="H4874" s="85"/>
      <c r="I4874" s="85"/>
      <c r="J4874" s="131"/>
      <c r="K4874" s="60"/>
      <c r="O4874" s="35"/>
    </row>
    <row r="4875" spans="1:27" x14ac:dyDescent="0.15">
      <c r="A4875" s="70"/>
      <c r="B4875" s="118"/>
      <c r="C4875" s="70"/>
      <c r="D4875" s="70"/>
      <c r="E4875" s="70"/>
      <c r="F4875" s="70"/>
      <c r="G4875" s="70"/>
      <c r="H4875" s="85"/>
      <c r="I4875" s="85"/>
      <c r="J4875" s="131"/>
      <c r="K4875" s="60"/>
      <c r="O4875" s="35"/>
    </row>
    <row r="4876" spans="1:27" x14ac:dyDescent="0.15">
      <c r="A4876" s="70"/>
      <c r="B4876" s="118"/>
      <c r="C4876" s="70"/>
      <c r="D4876" s="70"/>
      <c r="E4876" s="70"/>
      <c r="F4876" s="70"/>
      <c r="G4876" s="70"/>
      <c r="H4876" s="85"/>
      <c r="I4876" s="85"/>
      <c r="J4876" s="131"/>
      <c r="K4876" s="60"/>
      <c r="O4876" s="35"/>
    </row>
    <row r="4877" spans="1:27" x14ac:dyDescent="0.15">
      <c r="A4877" s="70"/>
      <c r="B4877" s="118"/>
      <c r="C4877" s="70"/>
      <c r="D4877" s="70"/>
      <c r="E4877" s="70"/>
      <c r="F4877" s="70"/>
      <c r="G4877" s="70"/>
      <c r="H4877" s="85"/>
      <c r="I4877" s="85"/>
      <c r="J4877" s="131"/>
      <c r="K4877" s="60"/>
      <c r="O4877" s="35"/>
    </row>
    <row r="4878" spans="1:27" x14ac:dyDescent="0.15">
      <c r="A4878" s="73"/>
      <c r="B4878" s="118"/>
      <c r="C4878" s="70"/>
      <c r="D4878" s="70"/>
      <c r="E4878" s="70"/>
      <c r="F4878" s="70"/>
      <c r="G4878" s="70"/>
      <c r="H4878" s="85"/>
      <c r="I4878" s="85"/>
      <c r="J4878" s="131"/>
      <c r="K4878" s="69"/>
      <c r="O4878" s="35"/>
    </row>
    <row r="4879" spans="1:27" s="3" customFormat="1" x14ac:dyDescent="0.15">
      <c r="A4879" s="70"/>
      <c r="B4879" s="118"/>
      <c r="C4879" s="70"/>
      <c r="D4879" s="70"/>
      <c r="E4879" s="70"/>
      <c r="F4879" s="70"/>
      <c r="G4879" s="70"/>
      <c r="H4879" s="85"/>
      <c r="I4879" s="85"/>
      <c r="J4879" s="131"/>
      <c r="K4879" s="69"/>
      <c r="L4879" s="49"/>
      <c r="M4879" s="37"/>
      <c r="N4879" s="37"/>
      <c r="O4879" s="35"/>
      <c r="Y4879" s="4"/>
      <c r="Z4879"/>
      <c r="AA4879"/>
    </row>
    <row r="4880" spans="1:27" s="3" customFormat="1" x14ac:dyDescent="0.15">
      <c r="A4880" s="70"/>
      <c r="B4880" s="118"/>
      <c r="C4880" s="70"/>
      <c r="D4880" s="70"/>
      <c r="E4880" s="70"/>
      <c r="F4880" s="70"/>
      <c r="G4880" s="70"/>
      <c r="H4880" s="85"/>
      <c r="I4880" s="85"/>
      <c r="J4880" s="131"/>
      <c r="K4880" s="69"/>
      <c r="L4880" s="49"/>
      <c r="M4880" s="37"/>
      <c r="N4880" s="37"/>
      <c r="O4880" s="35"/>
      <c r="Y4880" s="4"/>
      <c r="Z4880"/>
      <c r="AA4880"/>
    </row>
    <row r="4881" spans="1:27" s="3" customFormat="1" x14ac:dyDescent="0.15">
      <c r="A4881" s="70"/>
      <c r="B4881" s="118"/>
      <c r="C4881" s="70"/>
      <c r="D4881" s="70"/>
      <c r="E4881" s="70"/>
      <c r="F4881" s="70"/>
      <c r="G4881" s="70"/>
      <c r="H4881" s="85"/>
      <c r="I4881" s="85"/>
      <c r="J4881" s="131"/>
      <c r="K4881" s="60"/>
      <c r="L4881" s="49"/>
      <c r="M4881" s="37"/>
      <c r="N4881" s="37"/>
      <c r="O4881" s="35"/>
      <c r="Y4881" s="4"/>
      <c r="Z4881"/>
      <c r="AA4881"/>
    </row>
    <row r="4882" spans="1:27" s="3" customFormat="1" x14ac:dyDescent="0.15">
      <c r="A4882" s="70"/>
      <c r="B4882" s="118"/>
      <c r="C4882" s="70"/>
      <c r="D4882" s="70"/>
      <c r="E4882" s="70"/>
      <c r="F4882" s="70"/>
      <c r="G4882" s="70"/>
      <c r="H4882" s="85"/>
      <c r="I4882" s="85"/>
      <c r="J4882" s="131"/>
      <c r="K4882" s="60"/>
      <c r="L4882" s="49"/>
      <c r="M4882" s="37"/>
      <c r="N4882" s="37"/>
      <c r="O4882" s="35"/>
      <c r="Y4882" s="4"/>
      <c r="Z4882"/>
      <c r="AA4882"/>
    </row>
    <row r="4883" spans="1:27" s="3" customFormat="1" x14ac:dyDescent="0.15">
      <c r="A4883" s="73"/>
      <c r="B4883" s="118"/>
      <c r="C4883" s="70"/>
      <c r="D4883" s="70"/>
      <c r="E4883" s="70"/>
      <c r="F4883" s="70"/>
      <c r="G4883" s="70"/>
      <c r="H4883" s="85"/>
      <c r="I4883" s="85"/>
      <c r="J4883" s="131"/>
      <c r="K4883" s="60"/>
      <c r="L4883" s="49"/>
      <c r="M4883" s="37"/>
      <c r="N4883" s="37"/>
      <c r="O4883" s="35"/>
      <c r="Y4883" s="4"/>
      <c r="Z4883"/>
      <c r="AA4883"/>
    </row>
    <row r="4884" spans="1:27" s="3" customFormat="1" x14ac:dyDescent="0.15">
      <c r="A4884" s="73"/>
      <c r="B4884" s="118"/>
      <c r="C4884" s="70"/>
      <c r="D4884" s="70"/>
      <c r="E4884" s="70"/>
      <c r="F4884" s="70"/>
      <c r="G4884" s="70"/>
      <c r="H4884" s="85"/>
      <c r="I4884" s="85"/>
      <c r="J4884" s="131"/>
      <c r="K4884" s="60"/>
      <c r="L4884" s="49"/>
      <c r="M4884" s="37"/>
      <c r="N4884" s="37"/>
      <c r="O4884" s="37"/>
      <c r="Y4884" s="4"/>
      <c r="Z4884"/>
      <c r="AA4884"/>
    </row>
    <row r="4885" spans="1:27" s="3" customFormat="1" x14ac:dyDescent="0.15">
      <c r="A4885" s="70"/>
      <c r="B4885" s="118"/>
      <c r="C4885" s="70"/>
      <c r="D4885" s="70"/>
      <c r="E4885" s="70"/>
      <c r="F4885" s="70"/>
      <c r="G4885" s="70"/>
      <c r="H4885" s="85"/>
      <c r="I4885" s="85"/>
      <c r="J4885" s="131"/>
      <c r="K4885" s="60"/>
      <c r="L4885" s="49"/>
      <c r="M4885" s="37"/>
      <c r="N4885" s="37"/>
      <c r="O4885" s="37"/>
      <c r="Y4885" s="4"/>
      <c r="Z4885"/>
      <c r="AA4885"/>
    </row>
    <row r="4886" spans="1:27" s="3" customFormat="1" x14ac:dyDescent="0.15">
      <c r="A4886" s="70"/>
      <c r="B4886" s="118"/>
      <c r="C4886" s="70"/>
      <c r="D4886" s="70"/>
      <c r="E4886" s="70"/>
      <c r="F4886" s="70"/>
      <c r="G4886" s="70"/>
      <c r="H4886" s="85"/>
      <c r="I4886" s="85"/>
      <c r="J4886" s="131"/>
      <c r="K4886" s="60"/>
      <c r="L4886" s="49"/>
      <c r="M4886" s="37"/>
      <c r="N4886" s="37"/>
      <c r="O4886" s="37"/>
      <c r="Y4886" s="4"/>
      <c r="Z4886"/>
      <c r="AA4886"/>
    </row>
    <row r="4887" spans="1:27" s="3" customFormat="1" x14ac:dyDescent="0.15">
      <c r="A4887" s="70"/>
      <c r="B4887" s="118"/>
      <c r="C4887" s="70"/>
      <c r="D4887" s="70"/>
      <c r="E4887" s="70"/>
      <c r="F4887" s="70"/>
      <c r="G4887" s="70"/>
      <c r="H4887" s="85"/>
      <c r="I4887" s="85"/>
      <c r="J4887" s="131"/>
      <c r="K4887" s="60"/>
      <c r="L4887" s="49"/>
      <c r="M4887" s="37"/>
      <c r="N4887" s="37"/>
      <c r="O4887" s="37"/>
      <c r="Y4887" s="4"/>
      <c r="Z4887"/>
      <c r="AA4887"/>
    </row>
    <row r="4888" spans="1:27" s="3" customFormat="1" ht="16" x14ac:dyDescent="0.2">
      <c r="A4888" s="70"/>
      <c r="B4888" s="118"/>
      <c r="C4888" s="70"/>
      <c r="D4888" s="70"/>
      <c r="E4888" s="70"/>
      <c r="F4888" s="70"/>
      <c r="G4888" s="70"/>
      <c r="H4888" s="85"/>
      <c r="I4888" s="85"/>
      <c r="J4888" s="131"/>
      <c r="K4888" s="60"/>
      <c r="L4888" s="49"/>
      <c r="M4888" s="48"/>
      <c r="N4888" s="37"/>
      <c r="O4888" s="35"/>
      <c r="Y4888" s="4"/>
      <c r="Z4888"/>
      <c r="AA4888"/>
    </row>
    <row r="4889" spans="1:27" s="3" customFormat="1" x14ac:dyDescent="0.15">
      <c r="A4889" s="70"/>
      <c r="B4889" s="118"/>
      <c r="C4889" s="70"/>
      <c r="D4889" s="70"/>
      <c r="E4889" s="70"/>
      <c r="F4889" s="70"/>
      <c r="G4889" s="70"/>
      <c r="H4889" s="85"/>
      <c r="I4889" s="85"/>
      <c r="J4889" s="131"/>
      <c r="K4889" s="60"/>
      <c r="L4889" s="49"/>
      <c r="M4889" s="37"/>
      <c r="N4889" s="37"/>
      <c r="O4889" s="35"/>
      <c r="Y4889" s="4"/>
      <c r="Z4889"/>
      <c r="AA4889"/>
    </row>
    <row r="4890" spans="1:27" s="3" customFormat="1" x14ac:dyDescent="0.15">
      <c r="A4890" s="70"/>
      <c r="B4890" s="118"/>
      <c r="C4890" s="121"/>
      <c r="D4890" s="121"/>
      <c r="E4890" s="70"/>
      <c r="F4890" s="121"/>
      <c r="G4890" s="121"/>
      <c r="H4890" s="85"/>
      <c r="I4890" s="122"/>
      <c r="J4890" s="131"/>
      <c r="K4890" s="60"/>
      <c r="L4890" s="49"/>
      <c r="M4890" s="37"/>
      <c r="N4890" s="37"/>
      <c r="O4890" s="35"/>
      <c r="Y4890" s="4"/>
      <c r="Z4890"/>
      <c r="AA4890"/>
    </row>
    <row r="4891" spans="1:27" s="3" customFormat="1" x14ac:dyDescent="0.15">
      <c r="A4891" s="70"/>
      <c r="B4891" s="117"/>
      <c r="C4891" s="121"/>
      <c r="D4891" s="121"/>
      <c r="E4891" s="70"/>
      <c r="F4891" s="121"/>
      <c r="G4891" s="121"/>
      <c r="H4891" s="85"/>
      <c r="I4891" s="122"/>
      <c r="J4891" s="131"/>
      <c r="K4891" s="60"/>
      <c r="L4891" s="49"/>
      <c r="M4891" s="37"/>
      <c r="N4891" s="37"/>
      <c r="O4891" s="35"/>
      <c r="Y4891" s="4"/>
      <c r="Z4891"/>
      <c r="AA4891"/>
    </row>
    <row r="4892" spans="1:27" s="3" customFormat="1" x14ac:dyDescent="0.15">
      <c r="A4892" s="70"/>
      <c r="B4892" s="118"/>
      <c r="C4892" s="121"/>
      <c r="D4892" s="121"/>
      <c r="E4892" s="70"/>
      <c r="F4892" s="121"/>
      <c r="G4892" s="121"/>
      <c r="H4892" s="85"/>
      <c r="I4892" s="122"/>
      <c r="J4892" s="131"/>
      <c r="K4892" s="69"/>
      <c r="L4892" s="49"/>
      <c r="M4892" s="37"/>
      <c r="N4892" s="37"/>
      <c r="O4892" s="37"/>
      <c r="Y4892" s="4"/>
      <c r="Z4892"/>
      <c r="AA4892"/>
    </row>
    <row r="4893" spans="1:27" s="3" customFormat="1" ht="16" x14ac:dyDescent="0.2">
      <c r="A4893" s="70"/>
      <c r="B4893" s="118"/>
      <c r="C4893" s="121"/>
      <c r="D4893" s="121"/>
      <c r="E4893" s="70"/>
      <c r="F4893" s="121"/>
      <c r="G4893" s="121"/>
      <c r="H4893" s="85"/>
      <c r="I4893" s="122"/>
      <c r="J4893" s="131"/>
      <c r="K4893" s="60"/>
      <c r="L4893" s="49"/>
      <c r="M4893" s="48"/>
      <c r="N4893" s="37"/>
      <c r="O4893" s="36"/>
      <c r="Y4893" s="4"/>
      <c r="Z4893"/>
      <c r="AA4893"/>
    </row>
    <row r="4894" spans="1:27" s="3" customFormat="1" x14ac:dyDescent="0.15">
      <c r="A4894" s="70"/>
      <c r="B4894" s="118"/>
      <c r="C4894" s="121"/>
      <c r="D4894" s="121"/>
      <c r="E4894" s="70"/>
      <c r="F4894" s="121"/>
      <c r="G4894" s="121"/>
      <c r="H4894" s="85"/>
      <c r="I4894" s="122"/>
      <c r="J4894" s="131"/>
      <c r="K4894" s="60"/>
      <c r="L4894" s="49"/>
      <c r="M4894" s="37"/>
      <c r="N4894" s="37"/>
      <c r="O4894" s="35"/>
      <c r="Y4894" s="4"/>
      <c r="Z4894"/>
      <c r="AA4894"/>
    </row>
    <row r="4895" spans="1:27" s="3" customFormat="1" x14ac:dyDescent="0.15">
      <c r="A4895" s="70"/>
      <c r="B4895" s="118"/>
      <c r="C4895" s="121"/>
      <c r="D4895" s="121"/>
      <c r="E4895" s="70"/>
      <c r="F4895" s="121"/>
      <c r="G4895" s="121"/>
      <c r="H4895" s="85"/>
      <c r="I4895" s="122"/>
      <c r="J4895" s="131"/>
      <c r="K4895" s="69"/>
      <c r="L4895" s="49"/>
      <c r="M4895" s="37"/>
      <c r="N4895" s="37"/>
      <c r="O4895" s="35"/>
      <c r="Y4895" s="4"/>
      <c r="Z4895"/>
      <c r="AA4895"/>
    </row>
    <row r="4896" spans="1:27" s="3" customFormat="1" x14ac:dyDescent="0.15">
      <c r="A4896" s="70"/>
      <c r="B4896" s="118"/>
      <c r="C4896" s="121"/>
      <c r="D4896" s="121"/>
      <c r="E4896" s="70"/>
      <c r="F4896" s="121"/>
      <c r="G4896" s="121"/>
      <c r="H4896" s="85"/>
      <c r="I4896" s="122"/>
      <c r="J4896" s="131"/>
      <c r="K4896" s="69"/>
      <c r="L4896" s="49"/>
      <c r="M4896" s="37"/>
      <c r="N4896" s="37"/>
      <c r="O4896" s="35"/>
      <c r="Y4896" s="4"/>
      <c r="Z4896"/>
      <c r="AA4896"/>
    </row>
    <row r="4897" spans="1:27" s="3" customFormat="1" x14ac:dyDescent="0.15">
      <c r="A4897" s="70"/>
      <c r="B4897" s="118"/>
      <c r="C4897" s="121"/>
      <c r="D4897" s="121"/>
      <c r="E4897" s="70"/>
      <c r="F4897" s="121"/>
      <c r="G4897" s="121"/>
      <c r="H4897" s="85"/>
      <c r="I4897" s="122"/>
      <c r="J4897" s="131"/>
      <c r="K4897" s="69"/>
      <c r="L4897" s="49"/>
      <c r="M4897" s="37"/>
      <c r="N4897" s="37"/>
      <c r="O4897" s="35"/>
      <c r="Y4897" s="4"/>
      <c r="Z4897"/>
      <c r="AA4897"/>
    </row>
    <row r="4898" spans="1:27" s="3" customFormat="1" x14ac:dyDescent="0.15">
      <c r="A4898" s="70"/>
      <c r="B4898" s="118"/>
      <c r="C4898" s="121"/>
      <c r="D4898" s="121"/>
      <c r="E4898" s="70"/>
      <c r="F4898" s="121"/>
      <c r="G4898" s="121"/>
      <c r="H4898" s="85"/>
      <c r="I4898" s="122"/>
      <c r="J4898" s="131"/>
      <c r="K4898" s="60"/>
      <c r="L4898" s="49"/>
      <c r="M4898" s="37"/>
      <c r="N4898" s="37"/>
      <c r="O4898" s="51"/>
      <c r="Y4898" s="4"/>
      <c r="Z4898"/>
      <c r="AA4898"/>
    </row>
    <row r="4899" spans="1:27" s="3" customFormat="1" x14ac:dyDescent="0.15">
      <c r="A4899" s="70"/>
      <c r="B4899" s="118"/>
      <c r="C4899" s="121"/>
      <c r="D4899" s="121"/>
      <c r="E4899" s="70"/>
      <c r="F4899" s="121"/>
      <c r="G4899" s="121"/>
      <c r="H4899" s="85"/>
      <c r="I4899" s="122"/>
      <c r="J4899" s="131"/>
      <c r="K4899" s="60"/>
      <c r="L4899" s="49"/>
      <c r="M4899" s="37"/>
      <c r="N4899" s="37"/>
      <c r="O4899" s="51"/>
      <c r="Y4899" s="4"/>
      <c r="Z4899"/>
      <c r="AA4899"/>
    </row>
    <row r="4900" spans="1:27" s="3" customFormat="1" x14ac:dyDescent="0.15">
      <c r="A4900" s="70"/>
      <c r="B4900" s="118"/>
      <c r="C4900" s="121"/>
      <c r="D4900" s="121"/>
      <c r="E4900" s="70"/>
      <c r="F4900" s="121"/>
      <c r="G4900" s="121"/>
      <c r="H4900" s="85"/>
      <c r="I4900" s="122"/>
      <c r="J4900" s="131"/>
      <c r="K4900" s="60"/>
      <c r="L4900" s="49"/>
      <c r="M4900" s="37"/>
      <c r="N4900" s="37"/>
      <c r="O4900" s="51"/>
      <c r="Y4900" s="4"/>
      <c r="Z4900"/>
      <c r="AA4900"/>
    </row>
    <row r="4901" spans="1:27" s="3" customFormat="1" x14ac:dyDescent="0.15">
      <c r="A4901" s="70"/>
      <c r="B4901" s="118"/>
      <c r="C4901" s="121"/>
      <c r="D4901" s="121"/>
      <c r="E4901" s="70"/>
      <c r="F4901" s="121"/>
      <c r="G4901" s="121"/>
      <c r="H4901" s="85"/>
      <c r="I4901" s="122"/>
      <c r="J4901" s="131"/>
      <c r="K4901" s="60"/>
      <c r="L4901" s="49"/>
      <c r="M4901" s="37"/>
      <c r="N4901" s="37"/>
      <c r="O4901" s="51"/>
      <c r="Y4901" s="4"/>
      <c r="Z4901"/>
      <c r="AA4901"/>
    </row>
    <row r="4902" spans="1:27" s="3" customFormat="1" x14ac:dyDescent="0.15">
      <c r="A4902" s="70"/>
      <c r="B4902" s="118"/>
      <c r="C4902" s="121"/>
      <c r="D4902" s="121"/>
      <c r="E4902" s="70"/>
      <c r="F4902" s="121"/>
      <c r="G4902" s="121"/>
      <c r="H4902" s="85"/>
      <c r="I4902" s="122"/>
      <c r="J4902" s="131"/>
      <c r="K4902" s="60"/>
      <c r="L4902" s="49"/>
      <c r="M4902" s="37"/>
      <c r="N4902" s="37"/>
      <c r="O4902" s="51"/>
      <c r="Y4902" s="4"/>
      <c r="Z4902"/>
      <c r="AA4902"/>
    </row>
    <row r="4903" spans="1:27" s="3" customFormat="1" x14ac:dyDescent="0.15">
      <c r="A4903" s="70"/>
      <c r="B4903" s="118"/>
      <c r="C4903" s="121"/>
      <c r="D4903" s="121"/>
      <c r="E4903" s="70"/>
      <c r="F4903" s="121"/>
      <c r="G4903" s="121"/>
      <c r="H4903" s="85"/>
      <c r="I4903" s="122"/>
      <c r="J4903" s="131"/>
      <c r="K4903" s="60"/>
      <c r="L4903" s="49"/>
      <c r="M4903" s="37"/>
      <c r="N4903" s="37"/>
      <c r="O4903" s="51"/>
      <c r="Y4903" s="4"/>
      <c r="Z4903"/>
      <c r="AA4903"/>
    </row>
    <row r="4904" spans="1:27" s="3" customFormat="1" ht="16" x14ac:dyDescent="0.2">
      <c r="A4904" s="70"/>
      <c r="B4904" s="118"/>
      <c r="C4904" s="121"/>
      <c r="D4904" s="121"/>
      <c r="E4904" s="70"/>
      <c r="F4904" s="121"/>
      <c r="G4904" s="121"/>
      <c r="H4904" s="85"/>
      <c r="I4904" s="122"/>
      <c r="J4904" s="131"/>
      <c r="K4904" s="60"/>
      <c r="L4904" s="49"/>
      <c r="M4904" s="48"/>
      <c r="N4904" s="37"/>
      <c r="O4904" s="51"/>
      <c r="Y4904" s="4"/>
      <c r="Z4904"/>
      <c r="AA4904"/>
    </row>
    <row r="4905" spans="1:27" s="3" customFormat="1" x14ac:dyDescent="0.15">
      <c r="A4905" s="70"/>
      <c r="B4905" s="118"/>
      <c r="C4905" s="121"/>
      <c r="D4905" s="121"/>
      <c r="E4905" s="70"/>
      <c r="F4905" s="121"/>
      <c r="G4905" s="121"/>
      <c r="H4905" s="85"/>
      <c r="I4905" s="122"/>
      <c r="J4905" s="131"/>
      <c r="K4905" s="60"/>
      <c r="L4905" s="49"/>
      <c r="M4905" s="37"/>
      <c r="N4905" s="37"/>
      <c r="O4905" s="51"/>
      <c r="Y4905" s="4"/>
      <c r="Z4905"/>
      <c r="AA4905"/>
    </row>
    <row r="4906" spans="1:27" s="3" customFormat="1" x14ac:dyDescent="0.15">
      <c r="A4906" s="70"/>
      <c r="B4906" s="118"/>
      <c r="C4906" s="121"/>
      <c r="D4906" s="121"/>
      <c r="E4906" s="70"/>
      <c r="F4906" s="121"/>
      <c r="G4906" s="121"/>
      <c r="H4906" s="85"/>
      <c r="I4906" s="122"/>
      <c r="J4906" s="131"/>
      <c r="K4906" s="60"/>
      <c r="L4906" s="49"/>
      <c r="M4906" s="37"/>
      <c r="N4906" s="37"/>
      <c r="O4906" s="51"/>
      <c r="Y4906" s="4"/>
      <c r="Z4906"/>
      <c r="AA4906"/>
    </row>
    <row r="4907" spans="1:27" s="3" customFormat="1" x14ac:dyDescent="0.15">
      <c r="A4907" s="70"/>
      <c r="B4907" s="118"/>
      <c r="C4907" s="121"/>
      <c r="D4907" s="121"/>
      <c r="E4907" s="70"/>
      <c r="F4907" s="121"/>
      <c r="G4907" s="121"/>
      <c r="H4907" s="85"/>
      <c r="I4907" s="122"/>
      <c r="J4907" s="131"/>
      <c r="K4907" s="60"/>
      <c r="L4907" s="49"/>
      <c r="M4907" s="37"/>
      <c r="N4907" s="37"/>
      <c r="O4907" s="51"/>
      <c r="Y4907" s="4"/>
      <c r="Z4907"/>
      <c r="AA4907"/>
    </row>
    <row r="4908" spans="1:27" s="3" customFormat="1" x14ac:dyDescent="0.15">
      <c r="A4908" s="70"/>
      <c r="B4908" s="118"/>
      <c r="C4908" s="121"/>
      <c r="D4908" s="121"/>
      <c r="E4908" s="70"/>
      <c r="F4908" s="121"/>
      <c r="G4908" s="121"/>
      <c r="H4908" s="85"/>
      <c r="I4908" s="122"/>
      <c r="J4908" s="131"/>
      <c r="K4908" s="69"/>
      <c r="L4908" s="49"/>
      <c r="M4908" s="37"/>
      <c r="N4908" s="37"/>
      <c r="O4908" s="51"/>
      <c r="Y4908" s="4"/>
      <c r="Z4908"/>
      <c r="AA4908"/>
    </row>
    <row r="4909" spans="1:27" s="3" customFormat="1" ht="16" x14ac:dyDescent="0.2">
      <c r="A4909" s="70"/>
      <c r="B4909" s="118"/>
      <c r="C4909" s="121"/>
      <c r="D4909" s="121"/>
      <c r="E4909" s="70"/>
      <c r="F4909" s="121"/>
      <c r="G4909" s="121"/>
      <c r="H4909" s="85"/>
      <c r="I4909" s="122"/>
      <c r="J4909" s="131"/>
      <c r="K4909" s="69"/>
      <c r="L4909" s="49"/>
      <c r="M4909" s="48"/>
      <c r="N4909" s="37"/>
      <c r="O4909" s="51"/>
      <c r="Y4909" s="4"/>
      <c r="Z4909"/>
      <c r="AA4909"/>
    </row>
    <row r="4910" spans="1:27" s="3" customFormat="1" ht="16" x14ac:dyDescent="0.2">
      <c r="A4910" s="70"/>
      <c r="B4910" s="118"/>
      <c r="C4910" s="121"/>
      <c r="D4910" s="121"/>
      <c r="E4910" s="70"/>
      <c r="F4910" s="121"/>
      <c r="G4910" s="121"/>
      <c r="H4910" s="85"/>
      <c r="I4910" s="122"/>
      <c r="J4910" s="131"/>
      <c r="K4910" s="60"/>
      <c r="L4910" s="49"/>
      <c r="M4910" s="48"/>
      <c r="N4910" s="37"/>
      <c r="O4910" s="51"/>
      <c r="Y4910" s="4"/>
      <c r="Z4910"/>
      <c r="AA4910"/>
    </row>
    <row r="4911" spans="1:27" s="3" customFormat="1" x14ac:dyDescent="0.15">
      <c r="A4911" s="70"/>
      <c r="B4911" s="118"/>
      <c r="C4911" s="121"/>
      <c r="D4911" s="121"/>
      <c r="E4911" s="70"/>
      <c r="F4911" s="121"/>
      <c r="G4911" s="121"/>
      <c r="H4911" s="85"/>
      <c r="I4911" s="122"/>
      <c r="J4911" s="131"/>
      <c r="K4911" s="60"/>
      <c r="L4911" s="49"/>
      <c r="M4911" s="37"/>
      <c r="N4911" s="37"/>
      <c r="O4911" s="37"/>
      <c r="Y4911" s="4"/>
      <c r="Z4911"/>
      <c r="AA4911"/>
    </row>
    <row r="4912" spans="1:27" s="3" customFormat="1" x14ac:dyDescent="0.15">
      <c r="A4912" s="70"/>
      <c r="B4912" s="117"/>
      <c r="C4912" s="121"/>
      <c r="D4912" s="121"/>
      <c r="E4912" s="70"/>
      <c r="F4912" s="121"/>
      <c r="G4912" s="121"/>
      <c r="H4912" s="85"/>
      <c r="I4912" s="122"/>
      <c r="J4912" s="131"/>
      <c r="K4912" s="60"/>
      <c r="L4912" s="49"/>
      <c r="M4912" s="37"/>
      <c r="N4912" s="37"/>
      <c r="O4912" s="37"/>
      <c r="Y4912" s="4"/>
      <c r="Z4912"/>
      <c r="AA4912"/>
    </row>
    <row r="4913" spans="1:27" s="3" customFormat="1" ht="16" x14ac:dyDescent="0.2">
      <c r="A4913" s="70"/>
      <c r="B4913" s="118"/>
      <c r="C4913" s="121"/>
      <c r="D4913" s="121"/>
      <c r="E4913" s="70"/>
      <c r="F4913" s="121"/>
      <c r="G4913" s="121"/>
      <c r="H4913" s="85"/>
      <c r="I4913" s="122"/>
      <c r="J4913" s="131"/>
      <c r="K4913" s="60"/>
      <c r="L4913" s="49"/>
      <c r="M4913" s="48"/>
      <c r="N4913" s="37"/>
      <c r="O4913" s="37"/>
      <c r="Y4913" s="4"/>
      <c r="Z4913"/>
      <c r="AA4913"/>
    </row>
    <row r="4914" spans="1:27" s="3" customFormat="1" x14ac:dyDescent="0.15">
      <c r="A4914" s="70"/>
      <c r="B4914" s="118"/>
      <c r="C4914" s="121"/>
      <c r="D4914" s="121"/>
      <c r="E4914" s="70"/>
      <c r="F4914" s="121"/>
      <c r="G4914" s="121"/>
      <c r="H4914" s="85"/>
      <c r="I4914" s="122"/>
      <c r="J4914" s="131"/>
      <c r="K4914" s="69"/>
      <c r="L4914" s="49"/>
      <c r="M4914" s="37"/>
      <c r="N4914" s="37"/>
      <c r="O4914" s="37"/>
      <c r="Y4914" s="4"/>
      <c r="Z4914"/>
      <c r="AA4914"/>
    </row>
    <row r="4915" spans="1:27" s="3" customFormat="1" x14ac:dyDescent="0.15">
      <c r="A4915" s="70"/>
      <c r="B4915" s="118"/>
      <c r="C4915" s="121"/>
      <c r="D4915" s="121"/>
      <c r="E4915" s="70"/>
      <c r="F4915" s="121"/>
      <c r="G4915" s="121"/>
      <c r="H4915" s="85"/>
      <c r="I4915" s="122"/>
      <c r="J4915" s="131"/>
      <c r="K4915" s="60"/>
      <c r="L4915" s="49"/>
      <c r="M4915" s="37"/>
      <c r="N4915" s="37"/>
      <c r="O4915" s="51"/>
      <c r="Y4915" s="4"/>
      <c r="Z4915"/>
      <c r="AA4915"/>
    </row>
    <row r="4916" spans="1:27" s="3" customFormat="1" x14ac:dyDescent="0.15">
      <c r="A4916" s="70"/>
      <c r="B4916" s="118"/>
      <c r="C4916" s="121"/>
      <c r="D4916" s="121"/>
      <c r="E4916" s="70"/>
      <c r="F4916" s="121"/>
      <c r="G4916" s="121"/>
      <c r="H4916" s="85"/>
      <c r="I4916" s="122"/>
      <c r="J4916" s="131"/>
      <c r="K4916" s="60"/>
      <c r="L4916" s="49"/>
      <c r="M4916" s="37"/>
      <c r="N4916" s="37"/>
      <c r="O4916" s="51"/>
      <c r="Y4916" s="4"/>
      <c r="Z4916"/>
      <c r="AA4916"/>
    </row>
    <row r="4917" spans="1:27" s="3" customFormat="1" x14ac:dyDescent="0.15">
      <c r="A4917" s="73"/>
      <c r="B4917" s="118"/>
      <c r="C4917" s="121"/>
      <c r="D4917" s="121"/>
      <c r="E4917" s="70"/>
      <c r="F4917" s="121"/>
      <c r="G4917" s="121"/>
      <c r="H4917" s="85"/>
      <c r="I4917" s="122"/>
      <c r="J4917" s="131"/>
      <c r="K4917" s="69"/>
      <c r="L4917" s="49"/>
      <c r="M4917" s="37"/>
      <c r="N4917" s="37"/>
      <c r="O4917" s="37"/>
      <c r="Y4917" s="4"/>
      <c r="Z4917"/>
      <c r="AA4917"/>
    </row>
    <row r="4918" spans="1:27" s="3" customFormat="1" x14ac:dyDescent="0.15">
      <c r="A4918" s="70"/>
      <c r="B4918" s="117"/>
      <c r="C4918" s="121"/>
      <c r="D4918" s="121"/>
      <c r="E4918" s="70"/>
      <c r="F4918" s="121"/>
      <c r="G4918" s="121"/>
      <c r="H4918" s="85"/>
      <c r="I4918" s="122"/>
      <c r="J4918" s="131"/>
      <c r="K4918" s="60"/>
      <c r="L4918" s="33"/>
      <c r="M4918" s="37"/>
      <c r="N4918" s="37"/>
      <c r="O4918" s="37"/>
      <c r="Y4918" s="4"/>
      <c r="Z4918"/>
      <c r="AA4918"/>
    </row>
    <row r="4919" spans="1:27" s="3" customFormat="1" x14ac:dyDescent="0.15">
      <c r="A4919" s="70"/>
      <c r="B4919" s="117"/>
      <c r="C4919" s="121"/>
      <c r="D4919" s="121"/>
      <c r="E4919" s="70"/>
      <c r="F4919" s="121"/>
      <c r="G4919" s="121"/>
      <c r="H4919" s="85"/>
      <c r="I4919" s="122"/>
      <c r="J4919" s="138"/>
      <c r="K4919" s="60"/>
      <c r="L4919" s="33"/>
      <c r="M4919" s="37"/>
      <c r="N4919" s="37"/>
      <c r="O4919" s="37"/>
      <c r="Y4919" s="4"/>
      <c r="Z4919"/>
      <c r="AA4919"/>
    </row>
    <row r="4920" spans="1:27" s="3" customFormat="1" x14ac:dyDescent="0.15">
      <c r="A4920" s="70"/>
      <c r="B4920" s="118"/>
      <c r="C4920" s="121"/>
      <c r="D4920" s="121"/>
      <c r="E4920" s="70"/>
      <c r="F4920" s="121"/>
      <c r="G4920" s="121"/>
      <c r="H4920" s="85"/>
      <c r="I4920" s="122"/>
      <c r="J4920" s="131"/>
      <c r="K4920" s="60"/>
      <c r="L4920" s="49"/>
      <c r="M4920" s="37"/>
      <c r="N4920" s="37"/>
      <c r="O4920" s="37"/>
      <c r="Y4920" s="4"/>
      <c r="Z4920"/>
      <c r="AA4920"/>
    </row>
    <row r="4921" spans="1:27" s="3" customFormat="1" x14ac:dyDescent="0.15">
      <c r="A4921" s="70"/>
      <c r="B4921" s="117"/>
      <c r="C4921" s="121"/>
      <c r="D4921" s="121"/>
      <c r="E4921" s="70"/>
      <c r="F4921" s="121"/>
      <c r="G4921" s="121"/>
      <c r="H4921" s="85"/>
      <c r="I4921" s="122"/>
      <c r="J4921" s="131"/>
      <c r="K4921" s="60"/>
      <c r="L4921" s="33"/>
      <c r="M4921" s="37"/>
      <c r="N4921" s="37"/>
      <c r="O4921" s="37"/>
      <c r="Y4921" s="4"/>
      <c r="Z4921"/>
      <c r="AA4921"/>
    </row>
    <row r="4922" spans="1:27" s="3" customFormat="1" x14ac:dyDescent="0.15">
      <c r="A4922" s="70"/>
      <c r="B4922" s="118"/>
      <c r="C4922" s="121"/>
      <c r="D4922" s="121"/>
      <c r="E4922" s="70"/>
      <c r="F4922" s="121"/>
      <c r="G4922" s="121"/>
      <c r="H4922" s="85"/>
      <c r="I4922" s="122"/>
      <c r="J4922" s="131"/>
      <c r="K4922" s="69"/>
      <c r="L4922" s="49"/>
      <c r="M4922" s="37"/>
      <c r="N4922" s="37"/>
      <c r="O4922" s="37"/>
      <c r="Y4922" s="4"/>
      <c r="Z4922"/>
      <c r="AA4922"/>
    </row>
    <row r="4923" spans="1:27" s="3" customFormat="1" x14ac:dyDescent="0.15">
      <c r="A4923" s="70"/>
      <c r="B4923" s="118"/>
      <c r="C4923" s="121"/>
      <c r="D4923" s="121"/>
      <c r="E4923" s="70"/>
      <c r="F4923" s="121"/>
      <c r="G4923" s="121"/>
      <c r="H4923" s="85"/>
      <c r="I4923" s="122"/>
      <c r="J4923" s="131"/>
      <c r="K4923" s="69"/>
      <c r="L4923" s="49"/>
      <c r="M4923" s="37"/>
      <c r="N4923" s="37"/>
      <c r="O4923" s="37"/>
      <c r="Y4923" s="4"/>
      <c r="Z4923"/>
      <c r="AA4923"/>
    </row>
    <row r="4924" spans="1:27" s="3" customFormat="1" x14ac:dyDescent="0.15">
      <c r="A4924" s="70"/>
      <c r="B4924" s="118"/>
      <c r="C4924" s="121"/>
      <c r="D4924" s="121"/>
      <c r="E4924" s="70"/>
      <c r="F4924" s="121"/>
      <c r="G4924" s="121"/>
      <c r="H4924" s="85"/>
      <c r="I4924" s="122"/>
      <c r="J4924" s="131"/>
      <c r="K4924" s="69"/>
      <c r="L4924" s="49"/>
      <c r="M4924" s="37"/>
      <c r="N4924" s="37"/>
      <c r="O4924" s="37"/>
      <c r="Y4924" s="4"/>
      <c r="Z4924"/>
      <c r="AA4924"/>
    </row>
    <row r="4925" spans="1:27" s="3" customFormat="1" ht="16" x14ac:dyDescent="0.2">
      <c r="A4925" s="70"/>
      <c r="B4925" s="118"/>
      <c r="C4925" s="121"/>
      <c r="D4925" s="121"/>
      <c r="E4925" s="70"/>
      <c r="F4925" s="121"/>
      <c r="G4925" s="121"/>
      <c r="H4925" s="85"/>
      <c r="I4925" s="122"/>
      <c r="J4925" s="131"/>
      <c r="K4925" s="69"/>
      <c r="L4925" s="49"/>
      <c r="M4925" s="48"/>
      <c r="N4925" s="37"/>
      <c r="O4925" s="37"/>
      <c r="Y4925" s="4"/>
      <c r="Z4925"/>
      <c r="AA4925"/>
    </row>
    <row r="4926" spans="1:27" s="3" customFormat="1" x14ac:dyDescent="0.15">
      <c r="A4926" s="70"/>
      <c r="B4926" s="118"/>
      <c r="C4926" s="121"/>
      <c r="D4926" s="121"/>
      <c r="E4926" s="70"/>
      <c r="F4926" s="121"/>
      <c r="G4926" s="121"/>
      <c r="H4926" s="85"/>
      <c r="I4926" s="122"/>
      <c r="J4926" s="131"/>
      <c r="K4926" s="69"/>
      <c r="L4926" s="49"/>
      <c r="M4926" s="37"/>
      <c r="N4926" s="37"/>
      <c r="O4926" s="37"/>
      <c r="Y4926" s="4"/>
      <c r="Z4926"/>
      <c r="AA4926"/>
    </row>
    <row r="4927" spans="1:27" s="3" customFormat="1" x14ac:dyDescent="0.15">
      <c r="A4927" s="70"/>
      <c r="B4927" s="118"/>
      <c r="C4927" s="121"/>
      <c r="D4927" s="121"/>
      <c r="E4927" s="70"/>
      <c r="F4927" s="121"/>
      <c r="G4927" s="121"/>
      <c r="H4927" s="85"/>
      <c r="I4927" s="122"/>
      <c r="J4927" s="131"/>
      <c r="K4927" s="60"/>
      <c r="L4927" s="49"/>
      <c r="M4927" s="37"/>
      <c r="N4927" s="37"/>
      <c r="O4927" s="37"/>
      <c r="Y4927" s="4"/>
      <c r="Z4927"/>
      <c r="AA4927"/>
    </row>
    <row r="4928" spans="1:27" s="3" customFormat="1" x14ac:dyDescent="0.15">
      <c r="A4928" s="73"/>
      <c r="B4928" s="118"/>
      <c r="C4928" s="121"/>
      <c r="D4928" s="121"/>
      <c r="E4928" s="70"/>
      <c r="F4928" s="121"/>
      <c r="G4928" s="121"/>
      <c r="H4928" s="85"/>
      <c r="I4928" s="122"/>
      <c r="J4928" s="131"/>
      <c r="K4928" s="60"/>
      <c r="L4928" s="49"/>
      <c r="M4928" s="37"/>
      <c r="N4928" s="37"/>
      <c r="O4928" s="37"/>
      <c r="P4928" s="6"/>
      <c r="Q4928" s="6"/>
      <c r="Y4928" s="4"/>
      <c r="Z4928"/>
      <c r="AA4928"/>
    </row>
    <row r="4929" spans="1:27" s="3" customFormat="1" x14ac:dyDescent="0.15">
      <c r="A4929" s="70"/>
      <c r="B4929" s="117"/>
      <c r="C4929" s="121"/>
      <c r="D4929" s="121"/>
      <c r="E4929" s="70"/>
      <c r="F4929" s="121"/>
      <c r="G4929" s="121"/>
      <c r="H4929" s="85"/>
      <c r="I4929" s="122"/>
      <c r="J4929" s="131"/>
      <c r="K4929" s="60"/>
      <c r="L4929" s="33"/>
      <c r="M4929" s="37"/>
      <c r="N4929" s="37"/>
      <c r="O4929" s="37"/>
      <c r="P4929" s="6"/>
      <c r="Q4929" s="6"/>
      <c r="Y4929" s="4"/>
      <c r="Z4929"/>
      <c r="AA4929"/>
    </row>
    <row r="4930" spans="1:27" s="3" customFormat="1" x14ac:dyDescent="0.15">
      <c r="A4930" s="70"/>
      <c r="B4930" s="118"/>
      <c r="C4930" s="121"/>
      <c r="D4930" s="121"/>
      <c r="E4930" s="70"/>
      <c r="F4930" s="121"/>
      <c r="G4930" s="121"/>
      <c r="H4930" s="85"/>
      <c r="I4930" s="122"/>
      <c r="J4930" s="131"/>
      <c r="K4930" s="69"/>
      <c r="L4930" s="49"/>
      <c r="M4930" s="37"/>
      <c r="N4930" s="37"/>
      <c r="O4930" s="37"/>
      <c r="P4930" s="6"/>
      <c r="Q4930" s="6"/>
      <c r="Y4930" s="4"/>
      <c r="Z4930"/>
      <c r="AA4930"/>
    </row>
    <row r="4931" spans="1:27" s="3" customFormat="1" x14ac:dyDescent="0.15">
      <c r="A4931" s="73"/>
      <c r="B4931" s="118"/>
      <c r="C4931" s="121"/>
      <c r="D4931" s="121"/>
      <c r="E4931" s="70"/>
      <c r="F4931" s="121"/>
      <c r="G4931" s="121"/>
      <c r="H4931" s="85"/>
      <c r="I4931" s="122"/>
      <c r="J4931" s="131"/>
      <c r="K4931" s="60"/>
      <c r="L4931" s="49"/>
      <c r="M4931" s="37"/>
      <c r="N4931" s="37"/>
      <c r="O4931" s="37"/>
      <c r="P4931" s="6"/>
      <c r="Q4931" s="6"/>
      <c r="Y4931" s="4"/>
      <c r="Z4931"/>
      <c r="AA4931"/>
    </row>
    <row r="4932" spans="1:27" s="3" customFormat="1" x14ac:dyDescent="0.15">
      <c r="A4932" s="70"/>
      <c r="B4932" s="117"/>
      <c r="C4932" s="121"/>
      <c r="D4932" s="121"/>
      <c r="E4932" s="70"/>
      <c r="F4932" s="121"/>
      <c r="G4932" s="121"/>
      <c r="H4932" s="85"/>
      <c r="I4932" s="122"/>
      <c r="J4932" s="131"/>
      <c r="K4932" s="60"/>
      <c r="L4932" s="33"/>
      <c r="M4932" s="37"/>
      <c r="N4932" s="37"/>
      <c r="O4932" s="37"/>
      <c r="P4932" s="6"/>
      <c r="Q4932" s="6"/>
      <c r="Y4932" s="4"/>
      <c r="Z4932"/>
      <c r="AA4932"/>
    </row>
    <row r="4933" spans="1:27" s="3" customFormat="1" x14ac:dyDescent="0.15">
      <c r="A4933" s="70"/>
      <c r="B4933" s="117"/>
      <c r="C4933" s="121"/>
      <c r="D4933" s="121"/>
      <c r="E4933" s="70"/>
      <c r="F4933" s="121"/>
      <c r="G4933" s="121"/>
      <c r="H4933" s="85"/>
      <c r="I4933" s="122"/>
      <c r="J4933" s="131"/>
      <c r="K4933" s="60"/>
      <c r="L4933" s="33"/>
      <c r="M4933" s="37"/>
      <c r="N4933" s="37"/>
      <c r="O4933" s="37"/>
      <c r="P4933" s="6"/>
      <c r="Q4933" s="6"/>
      <c r="Y4933" s="4"/>
      <c r="Z4933"/>
      <c r="AA4933"/>
    </row>
    <row r="4934" spans="1:27" s="3" customFormat="1" x14ac:dyDescent="0.15">
      <c r="A4934" s="70"/>
      <c r="B4934" s="118"/>
      <c r="C4934" s="121"/>
      <c r="D4934" s="121"/>
      <c r="E4934" s="70"/>
      <c r="F4934" s="121"/>
      <c r="G4934" s="121"/>
      <c r="H4934" s="85"/>
      <c r="I4934" s="122"/>
      <c r="J4934" s="131"/>
      <c r="K4934" s="60"/>
      <c r="L4934" s="49"/>
      <c r="M4934" s="37"/>
      <c r="N4934" s="37"/>
      <c r="O4934" s="37"/>
      <c r="P4934" s="6"/>
      <c r="Q4934" s="6"/>
      <c r="Y4934" s="4"/>
      <c r="Z4934"/>
      <c r="AA4934"/>
    </row>
    <row r="4935" spans="1:27" s="3" customFormat="1" x14ac:dyDescent="0.15">
      <c r="A4935" s="73"/>
      <c r="B4935" s="118"/>
      <c r="C4935" s="121"/>
      <c r="D4935" s="121"/>
      <c r="E4935" s="70"/>
      <c r="F4935" s="121"/>
      <c r="G4935" s="121"/>
      <c r="H4935" s="85"/>
      <c r="I4935" s="122"/>
      <c r="J4935" s="131"/>
      <c r="K4935" s="60"/>
      <c r="L4935" s="49"/>
      <c r="M4935" s="37"/>
      <c r="N4935" s="37"/>
      <c r="O4935" s="51"/>
      <c r="Y4935" s="4"/>
      <c r="Z4935"/>
      <c r="AA4935"/>
    </row>
    <row r="4936" spans="1:27" s="3" customFormat="1" x14ac:dyDescent="0.15">
      <c r="A4936" s="73"/>
      <c r="B4936" s="118"/>
      <c r="C4936" s="121"/>
      <c r="D4936" s="121"/>
      <c r="E4936" s="70"/>
      <c r="F4936" s="121"/>
      <c r="G4936" s="121"/>
      <c r="H4936" s="85"/>
      <c r="I4936" s="122"/>
      <c r="J4936" s="131"/>
      <c r="K4936" s="60"/>
      <c r="L4936" s="49"/>
      <c r="M4936" s="37"/>
      <c r="N4936" s="37"/>
      <c r="O4936" s="37"/>
      <c r="Y4936" s="4"/>
      <c r="Z4936"/>
      <c r="AA4936"/>
    </row>
    <row r="4937" spans="1:27" s="3" customFormat="1" x14ac:dyDescent="0.15">
      <c r="A4937" s="70"/>
      <c r="B4937" s="118"/>
      <c r="C4937" s="121"/>
      <c r="D4937" s="121"/>
      <c r="E4937" s="70"/>
      <c r="F4937" s="121"/>
      <c r="G4937" s="121"/>
      <c r="H4937" s="85"/>
      <c r="I4937" s="122"/>
      <c r="J4937" s="131"/>
      <c r="K4937" s="60"/>
      <c r="L4937" s="49"/>
      <c r="M4937" s="37"/>
      <c r="N4937" s="37"/>
      <c r="O4937" s="37"/>
      <c r="Y4937" s="4"/>
      <c r="Z4937"/>
      <c r="AA4937"/>
    </row>
    <row r="4938" spans="1:27" s="3" customFormat="1" x14ac:dyDescent="0.15">
      <c r="A4938" s="70"/>
      <c r="B4938" s="118"/>
      <c r="C4938" s="121"/>
      <c r="D4938" s="121"/>
      <c r="E4938" s="70"/>
      <c r="F4938" s="121"/>
      <c r="G4938" s="121"/>
      <c r="H4938" s="85"/>
      <c r="I4938" s="122"/>
      <c r="J4938" s="131"/>
      <c r="K4938" s="60"/>
      <c r="L4938" s="49"/>
      <c r="M4938" s="37"/>
      <c r="N4938" s="37"/>
      <c r="O4938" s="37"/>
      <c r="Y4938" s="4"/>
      <c r="Z4938"/>
      <c r="AA4938"/>
    </row>
    <row r="4939" spans="1:27" s="3" customFormat="1" x14ac:dyDescent="0.15">
      <c r="A4939" s="70"/>
      <c r="B4939" s="118"/>
      <c r="C4939" s="121"/>
      <c r="D4939" s="121"/>
      <c r="E4939" s="70"/>
      <c r="F4939" s="121"/>
      <c r="G4939" s="121"/>
      <c r="H4939" s="85"/>
      <c r="I4939" s="122"/>
      <c r="J4939" s="131"/>
      <c r="K4939" s="60"/>
      <c r="L4939" s="49"/>
      <c r="M4939" s="37"/>
      <c r="N4939" s="37"/>
      <c r="O4939" s="37"/>
      <c r="Y4939" s="4"/>
      <c r="Z4939"/>
      <c r="AA4939"/>
    </row>
    <row r="4940" spans="1:27" s="3" customFormat="1" x14ac:dyDescent="0.15">
      <c r="A4940" s="70"/>
      <c r="B4940" s="118"/>
      <c r="C4940" s="121"/>
      <c r="D4940" s="121"/>
      <c r="E4940" s="70"/>
      <c r="F4940" s="121"/>
      <c r="G4940" s="121"/>
      <c r="H4940" s="85"/>
      <c r="I4940" s="122"/>
      <c r="J4940" s="131"/>
      <c r="K4940" s="60"/>
      <c r="L4940" s="49"/>
      <c r="M4940" s="37"/>
      <c r="N4940" s="37"/>
      <c r="O4940" s="37"/>
      <c r="Y4940" s="4"/>
      <c r="Z4940"/>
      <c r="AA4940"/>
    </row>
    <row r="4941" spans="1:27" s="3" customFormat="1" x14ac:dyDescent="0.15">
      <c r="A4941" s="70"/>
      <c r="B4941" s="118"/>
      <c r="C4941" s="121"/>
      <c r="D4941" s="121"/>
      <c r="E4941" s="70"/>
      <c r="F4941" s="121"/>
      <c r="G4941" s="121"/>
      <c r="H4941" s="85"/>
      <c r="I4941" s="122"/>
      <c r="J4941" s="131"/>
      <c r="K4941" s="60"/>
      <c r="L4941" s="49"/>
      <c r="M4941" s="37"/>
      <c r="N4941" s="37"/>
      <c r="O4941" s="37"/>
      <c r="Y4941" s="4"/>
      <c r="Z4941"/>
      <c r="AA4941"/>
    </row>
    <row r="4942" spans="1:27" s="3" customFormat="1" x14ac:dyDescent="0.15">
      <c r="A4942" s="70"/>
      <c r="B4942" s="118"/>
      <c r="C4942" s="121"/>
      <c r="D4942" s="121"/>
      <c r="E4942" s="70"/>
      <c r="F4942" s="121"/>
      <c r="G4942" s="121"/>
      <c r="H4942" s="85"/>
      <c r="I4942" s="122"/>
      <c r="J4942" s="131"/>
      <c r="K4942" s="60"/>
      <c r="L4942" s="49"/>
      <c r="M4942" s="37"/>
      <c r="N4942" s="37"/>
      <c r="O4942" s="37"/>
      <c r="Y4942" s="4"/>
      <c r="Z4942"/>
      <c r="AA4942"/>
    </row>
    <row r="4943" spans="1:27" s="37" customFormat="1" x14ac:dyDescent="0.15">
      <c r="A4943" s="70"/>
      <c r="B4943" s="118"/>
      <c r="C4943" s="121"/>
      <c r="D4943" s="121"/>
      <c r="E4943" s="70"/>
      <c r="F4943" s="121"/>
      <c r="G4943" s="121"/>
      <c r="H4943" s="85"/>
      <c r="I4943" s="122"/>
      <c r="J4943" s="131"/>
      <c r="K4943" s="60"/>
      <c r="L4943" s="49"/>
      <c r="P4943" s="3"/>
      <c r="Q4943" s="3"/>
      <c r="R4943" s="3"/>
      <c r="S4943" s="3"/>
      <c r="T4943" s="3"/>
      <c r="U4943" s="3"/>
      <c r="V4943" s="3"/>
      <c r="W4943" s="3"/>
      <c r="X4943" s="3"/>
      <c r="Y4943" s="4"/>
      <c r="Z4943"/>
      <c r="AA4943"/>
    </row>
    <row r="4944" spans="1:27" s="37" customFormat="1" ht="16" x14ac:dyDescent="0.2">
      <c r="A4944" s="70"/>
      <c r="B4944" s="118"/>
      <c r="C4944" s="121"/>
      <c r="D4944" s="121"/>
      <c r="E4944" s="70"/>
      <c r="F4944" s="121"/>
      <c r="G4944" s="121"/>
      <c r="H4944" s="85"/>
      <c r="I4944" s="122"/>
      <c r="J4944" s="131"/>
      <c r="K4944" s="60"/>
      <c r="L4944" s="49"/>
      <c r="M4944" s="48"/>
      <c r="P4944" s="3"/>
      <c r="Q4944" s="3"/>
      <c r="R4944" s="3"/>
      <c r="S4944" s="3"/>
      <c r="T4944" s="3"/>
      <c r="U4944" s="3"/>
      <c r="V4944" s="3"/>
      <c r="W4944" s="3"/>
      <c r="X4944" s="3"/>
      <c r="Y4944" s="4"/>
      <c r="Z4944"/>
      <c r="AA4944"/>
    </row>
    <row r="4945" spans="1:27" s="37" customFormat="1" ht="16" x14ac:dyDescent="0.2">
      <c r="A4945" s="70"/>
      <c r="B4945" s="118"/>
      <c r="C4945" s="121"/>
      <c r="D4945" s="121"/>
      <c r="E4945" s="70"/>
      <c r="F4945" s="121"/>
      <c r="G4945" s="121"/>
      <c r="H4945" s="85"/>
      <c r="I4945" s="122"/>
      <c r="J4945" s="131"/>
      <c r="K4945" s="69"/>
      <c r="L4945" s="49"/>
      <c r="M4945" s="48"/>
      <c r="P4945" s="3"/>
      <c r="Q4945" s="3"/>
      <c r="R4945" s="3"/>
      <c r="S4945" s="3"/>
      <c r="T4945" s="3"/>
      <c r="U4945" s="3"/>
      <c r="V4945" s="3"/>
      <c r="W4945" s="3"/>
      <c r="X4945" s="3"/>
      <c r="Y4945" s="4"/>
      <c r="Z4945"/>
      <c r="AA4945"/>
    </row>
    <row r="4946" spans="1:27" s="37" customFormat="1" x14ac:dyDescent="0.15">
      <c r="A4946" s="70"/>
      <c r="B4946" s="118"/>
      <c r="C4946" s="121"/>
      <c r="D4946" s="121"/>
      <c r="E4946" s="70"/>
      <c r="F4946" s="121"/>
      <c r="G4946" s="121"/>
      <c r="H4946" s="85"/>
      <c r="I4946" s="122"/>
      <c r="J4946" s="131"/>
      <c r="K4946" s="69"/>
      <c r="L4946" s="49"/>
      <c r="P4946" s="3"/>
      <c r="Q4946" s="3"/>
      <c r="R4946" s="3"/>
      <c r="S4946" s="3"/>
      <c r="T4946" s="3"/>
      <c r="U4946" s="3"/>
      <c r="V4946" s="3"/>
      <c r="W4946" s="3"/>
      <c r="X4946" s="3"/>
      <c r="Y4946" s="4"/>
      <c r="Z4946"/>
      <c r="AA4946"/>
    </row>
    <row r="4947" spans="1:27" s="37" customFormat="1" x14ac:dyDescent="0.15">
      <c r="A4947" s="70"/>
      <c r="B4947" s="118"/>
      <c r="C4947" s="121"/>
      <c r="D4947" s="121"/>
      <c r="E4947" s="70"/>
      <c r="F4947" s="121"/>
      <c r="G4947" s="121"/>
      <c r="H4947" s="85"/>
      <c r="I4947" s="122"/>
      <c r="J4947" s="131"/>
      <c r="K4947" s="69"/>
      <c r="L4947" s="49"/>
      <c r="P4947" s="3"/>
      <c r="Q4947" s="3"/>
      <c r="R4947" s="3"/>
      <c r="S4947" s="3"/>
      <c r="T4947" s="3"/>
      <c r="U4947" s="3"/>
      <c r="V4947" s="3"/>
      <c r="W4947" s="3"/>
      <c r="X4947" s="3"/>
      <c r="Y4947" s="4"/>
      <c r="Z4947"/>
      <c r="AA4947"/>
    </row>
    <row r="4948" spans="1:27" s="37" customFormat="1" x14ac:dyDescent="0.15">
      <c r="A4948" s="73"/>
      <c r="B4948" s="118"/>
      <c r="C4948" s="121"/>
      <c r="D4948" s="121"/>
      <c r="E4948" s="70"/>
      <c r="F4948" s="121"/>
      <c r="G4948" s="121"/>
      <c r="H4948" s="85"/>
      <c r="I4948" s="122"/>
      <c r="J4948" s="131"/>
      <c r="K4948" s="69"/>
      <c r="L4948" s="49"/>
      <c r="P4948" s="3"/>
      <c r="Q4948" s="3"/>
      <c r="R4948" s="3"/>
      <c r="S4948" s="3"/>
      <c r="T4948" s="3"/>
      <c r="U4948" s="3"/>
      <c r="V4948" s="3"/>
      <c r="W4948" s="3"/>
      <c r="X4948" s="3"/>
      <c r="Y4948" s="4"/>
      <c r="Z4948"/>
      <c r="AA4948"/>
    </row>
    <row r="4949" spans="1:27" s="37" customFormat="1" x14ac:dyDescent="0.15">
      <c r="A4949" s="70"/>
      <c r="B4949" s="118"/>
      <c r="C4949" s="121"/>
      <c r="D4949" s="121"/>
      <c r="E4949" s="70"/>
      <c r="F4949" s="121"/>
      <c r="G4949" s="121"/>
      <c r="H4949" s="85"/>
      <c r="I4949" s="122"/>
      <c r="J4949" s="131"/>
      <c r="K4949" s="60"/>
      <c r="L4949" s="49"/>
      <c r="P4949" s="3"/>
      <c r="Q4949" s="3"/>
      <c r="R4949" s="3"/>
      <c r="S4949" s="3"/>
      <c r="T4949" s="3"/>
      <c r="U4949" s="3"/>
      <c r="V4949" s="3"/>
      <c r="W4949" s="3"/>
      <c r="X4949" s="3"/>
      <c r="Y4949" s="4"/>
      <c r="Z4949"/>
      <c r="AA4949"/>
    </row>
    <row r="4950" spans="1:27" s="37" customFormat="1" x14ac:dyDescent="0.15">
      <c r="A4950" s="70"/>
      <c r="B4950" s="118"/>
      <c r="C4950" s="121"/>
      <c r="D4950" s="121"/>
      <c r="E4950" s="70"/>
      <c r="F4950" s="121"/>
      <c r="G4950" s="121"/>
      <c r="H4950" s="85"/>
      <c r="I4950" s="122"/>
      <c r="J4950" s="131"/>
      <c r="K4950" s="60"/>
      <c r="L4950" s="49"/>
      <c r="P4950" s="3"/>
      <c r="Q4950" s="3"/>
      <c r="R4950" s="3"/>
      <c r="S4950" s="3"/>
      <c r="T4950" s="3"/>
      <c r="U4950" s="3"/>
      <c r="V4950" s="3"/>
      <c r="W4950" s="3"/>
      <c r="X4950" s="3"/>
      <c r="Y4950" s="4"/>
      <c r="Z4950"/>
      <c r="AA4950"/>
    </row>
    <row r="4951" spans="1:27" s="37" customFormat="1" x14ac:dyDescent="0.15">
      <c r="A4951" s="70"/>
      <c r="B4951" s="118"/>
      <c r="C4951" s="121"/>
      <c r="D4951" s="121"/>
      <c r="E4951" s="70"/>
      <c r="F4951" s="121"/>
      <c r="G4951" s="121"/>
      <c r="H4951" s="85"/>
      <c r="I4951" s="122"/>
      <c r="J4951" s="131"/>
      <c r="K4951" s="60"/>
      <c r="L4951" s="49"/>
      <c r="P4951" s="3"/>
      <c r="Q4951" s="3"/>
      <c r="R4951" s="3"/>
      <c r="S4951" s="3"/>
      <c r="T4951" s="3"/>
      <c r="U4951" s="3"/>
      <c r="V4951" s="3"/>
      <c r="W4951" s="3"/>
      <c r="X4951" s="3"/>
      <c r="Y4951" s="4"/>
      <c r="Z4951"/>
      <c r="AA4951"/>
    </row>
    <row r="4952" spans="1:27" s="37" customFormat="1" x14ac:dyDescent="0.15">
      <c r="A4952" s="70"/>
      <c r="B4952" s="118"/>
      <c r="C4952" s="121"/>
      <c r="D4952" s="121"/>
      <c r="E4952" s="70"/>
      <c r="F4952" s="121"/>
      <c r="G4952" s="121"/>
      <c r="H4952" s="85"/>
      <c r="I4952" s="122"/>
      <c r="J4952" s="131"/>
      <c r="K4952" s="60"/>
      <c r="L4952" s="49"/>
      <c r="P4952" s="3"/>
      <c r="Q4952" s="3"/>
      <c r="R4952" s="3"/>
      <c r="S4952" s="3"/>
      <c r="T4952" s="3"/>
      <c r="U4952" s="3"/>
      <c r="V4952" s="3"/>
      <c r="W4952" s="3"/>
      <c r="X4952" s="3"/>
      <c r="Y4952" s="4"/>
      <c r="Z4952"/>
      <c r="AA4952"/>
    </row>
    <row r="4953" spans="1:27" s="37" customFormat="1" x14ac:dyDescent="0.15">
      <c r="A4953" s="70"/>
      <c r="B4953" s="118"/>
      <c r="C4953" s="121"/>
      <c r="D4953" s="121"/>
      <c r="E4953" s="70"/>
      <c r="F4953" s="121"/>
      <c r="G4953" s="121"/>
      <c r="H4953" s="85"/>
      <c r="I4953" s="122"/>
      <c r="J4953" s="131"/>
      <c r="K4953" s="60"/>
      <c r="L4953" s="49"/>
      <c r="P4953" s="3"/>
      <c r="Q4953" s="3"/>
      <c r="R4953" s="3"/>
      <c r="S4953" s="3"/>
      <c r="T4953" s="3"/>
      <c r="U4953" s="3"/>
      <c r="V4953" s="3"/>
      <c r="W4953" s="3"/>
      <c r="X4953" s="3"/>
      <c r="Y4953" s="4"/>
      <c r="Z4953"/>
      <c r="AA4953"/>
    </row>
    <row r="4954" spans="1:27" s="37" customFormat="1" x14ac:dyDescent="0.15">
      <c r="A4954" s="73"/>
      <c r="B4954" s="118"/>
      <c r="C4954" s="121"/>
      <c r="D4954" s="121"/>
      <c r="E4954" s="70"/>
      <c r="F4954" s="121"/>
      <c r="G4954" s="121"/>
      <c r="H4954" s="85"/>
      <c r="I4954" s="122"/>
      <c r="J4954" s="131"/>
      <c r="K4954" s="60"/>
      <c r="L4954" s="33"/>
      <c r="P4954" s="3"/>
      <c r="Q4954" s="3"/>
      <c r="R4954" s="3"/>
      <c r="S4954" s="3"/>
      <c r="T4954" s="3"/>
      <c r="U4954" s="3"/>
      <c r="V4954" s="3"/>
      <c r="W4954" s="3"/>
      <c r="X4954" s="3"/>
      <c r="Y4954" s="4"/>
      <c r="Z4954"/>
      <c r="AA4954"/>
    </row>
    <row r="4955" spans="1:27" s="37" customFormat="1" x14ac:dyDescent="0.15">
      <c r="A4955" s="70"/>
      <c r="B4955" s="117"/>
      <c r="C4955" s="121"/>
      <c r="D4955" s="121"/>
      <c r="E4955" s="70"/>
      <c r="F4955" s="121"/>
      <c r="G4955" s="121"/>
      <c r="H4955" s="85"/>
      <c r="I4955" s="122"/>
      <c r="J4955" s="131"/>
      <c r="K4955" s="60"/>
      <c r="L4955" s="33"/>
      <c r="P4955" s="3"/>
      <c r="Q4955" s="3"/>
      <c r="R4955" s="3"/>
      <c r="S4955" s="3"/>
      <c r="T4955" s="3"/>
      <c r="U4955" s="3"/>
      <c r="V4955" s="3"/>
      <c r="W4955" s="3"/>
      <c r="X4955" s="3"/>
      <c r="Y4955" s="4"/>
      <c r="Z4955"/>
      <c r="AA4955"/>
    </row>
    <row r="4956" spans="1:27" s="37" customFormat="1" x14ac:dyDescent="0.15">
      <c r="A4956" s="70"/>
      <c r="B4956" s="118"/>
      <c r="C4956" s="121"/>
      <c r="D4956" s="121"/>
      <c r="E4956" s="70"/>
      <c r="F4956" s="121"/>
      <c r="G4956" s="121"/>
      <c r="H4956" s="85"/>
      <c r="I4956" s="122"/>
      <c r="J4956" s="131"/>
      <c r="K4956" s="69"/>
      <c r="L4956" s="49"/>
      <c r="P4956" s="3"/>
      <c r="Q4956" s="3"/>
      <c r="R4956" s="3"/>
      <c r="S4956" s="3"/>
      <c r="T4956" s="3"/>
      <c r="U4956" s="3"/>
      <c r="V4956" s="3"/>
      <c r="W4956" s="3"/>
      <c r="X4956" s="3"/>
      <c r="Y4956" s="4"/>
      <c r="Z4956"/>
      <c r="AA4956"/>
    </row>
    <row r="4957" spans="1:27" s="37" customFormat="1" x14ac:dyDescent="0.15">
      <c r="A4957" s="70"/>
      <c r="B4957" s="118"/>
      <c r="C4957" s="121"/>
      <c r="D4957" s="121"/>
      <c r="E4957" s="70"/>
      <c r="F4957" s="121"/>
      <c r="G4957" s="121"/>
      <c r="H4957" s="85"/>
      <c r="I4957" s="122"/>
      <c r="J4957" s="131"/>
      <c r="K4957" s="60"/>
      <c r="L4957" s="49"/>
      <c r="P4957" s="3"/>
      <c r="Q4957" s="3"/>
      <c r="R4957" s="3"/>
      <c r="S4957" s="3"/>
      <c r="T4957" s="3"/>
      <c r="U4957" s="3"/>
      <c r="V4957" s="3"/>
      <c r="W4957" s="3"/>
      <c r="X4957" s="3"/>
      <c r="Y4957" s="4"/>
      <c r="Z4957"/>
      <c r="AA4957"/>
    </row>
    <row r="4958" spans="1:27" s="37" customFormat="1" ht="16" x14ac:dyDescent="0.2">
      <c r="A4958" s="70"/>
      <c r="B4958" s="117"/>
      <c r="C4958" s="121"/>
      <c r="D4958" s="121"/>
      <c r="E4958" s="70"/>
      <c r="F4958" s="121"/>
      <c r="G4958" s="121"/>
      <c r="H4958" s="85"/>
      <c r="I4958" s="122"/>
      <c r="J4958" s="131"/>
      <c r="K4958" s="60"/>
      <c r="L4958" s="33"/>
      <c r="M4958" s="48"/>
      <c r="P4958" s="3"/>
      <c r="Q4958" s="3"/>
      <c r="R4958" s="3"/>
      <c r="S4958" s="3"/>
      <c r="T4958" s="3"/>
      <c r="U4958" s="3"/>
      <c r="V4958" s="3"/>
      <c r="W4958" s="3"/>
      <c r="X4958" s="3"/>
      <c r="Y4958" s="4"/>
      <c r="Z4958"/>
      <c r="AA4958"/>
    </row>
    <row r="4959" spans="1:27" s="37" customFormat="1" x14ac:dyDescent="0.15">
      <c r="A4959" s="70"/>
      <c r="B4959" s="118"/>
      <c r="C4959" s="121"/>
      <c r="D4959" s="121"/>
      <c r="E4959" s="70"/>
      <c r="F4959" s="121"/>
      <c r="G4959" s="121"/>
      <c r="H4959" s="85"/>
      <c r="I4959" s="122"/>
      <c r="J4959" s="131"/>
      <c r="K4959" s="60"/>
      <c r="L4959" s="49"/>
      <c r="P4959" s="3"/>
      <c r="Q4959" s="3"/>
      <c r="R4959" s="3"/>
      <c r="S4959" s="3"/>
      <c r="T4959" s="3"/>
      <c r="U4959" s="3"/>
      <c r="V4959" s="3"/>
      <c r="W4959" s="3"/>
      <c r="X4959" s="3"/>
      <c r="Y4959" s="4"/>
      <c r="Z4959"/>
      <c r="AA4959"/>
    </row>
    <row r="4960" spans="1:27" s="37" customFormat="1" x14ac:dyDescent="0.15">
      <c r="A4960" s="70"/>
      <c r="B4960" s="118"/>
      <c r="C4960" s="121"/>
      <c r="D4960" s="121"/>
      <c r="E4960" s="70"/>
      <c r="F4960" s="121"/>
      <c r="G4960" s="121"/>
      <c r="H4960" s="85"/>
      <c r="I4960" s="122"/>
      <c r="J4960" s="131"/>
      <c r="K4960" s="60"/>
      <c r="L4960" s="49"/>
      <c r="P4960" s="3"/>
      <c r="Q4960" s="3"/>
      <c r="R4960" s="3"/>
      <c r="S4960" s="3"/>
      <c r="T4960" s="3"/>
      <c r="U4960" s="3"/>
      <c r="V4960" s="3"/>
      <c r="W4960" s="3"/>
      <c r="X4960" s="3"/>
      <c r="Y4960" s="4"/>
      <c r="Z4960"/>
      <c r="AA4960"/>
    </row>
    <row r="4961" spans="1:27" s="37" customFormat="1" x14ac:dyDescent="0.15">
      <c r="A4961" s="70"/>
      <c r="B4961" s="118"/>
      <c r="C4961" s="121"/>
      <c r="D4961" s="121"/>
      <c r="E4961" s="70"/>
      <c r="F4961" s="121"/>
      <c r="G4961" s="121"/>
      <c r="H4961" s="85"/>
      <c r="I4961" s="122"/>
      <c r="J4961" s="131"/>
      <c r="K4961" s="69"/>
      <c r="L4961" s="49"/>
      <c r="P4961" s="3"/>
      <c r="Q4961" s="3"/>
      <c r="R4961" s="3"/>
      <c r="S4961" s="3"/>
      <c r="T4961" s="3"/>
      <c r="U4961" s="3"/>
      <c r="V4961" s="3"/>
      <c r="W4961" s="3"/>
      <c r="X4961" s="3"/>
      <c r="Y4961" s="4"/>
      <c r="Z4961"/>
      <c r="AA4961"/>
    </row>
    <row r="4962" spans="1:27" s="37" customFormat="1" x14ac:dyDescent="0.15">
      <c r="A4962" s="70"/>
      <c r="B4962" s="118"/>
      <c r="C4962" s="121"/>
      <c r="D4962" s="121"/>
      <c r="E4962" s="70"/>
      <c r="F4962" s="121"/>
      <c r="G4962" s="121"/>
      <c r="H4962" s="85"/>
      <c r="I4962" s="122"/>
      <c r="J4962" s="131"/>
      <c r="K4962" s="69"/>
      <c r="L4962" s="49"/>
      <c r="P4962" s="3"/>
      <c r="Q4962" s="3"/>
      <c r="R4962" s="3"/>
      <c r="S4962" s="3"/>
      <c r="T4962" s="3"/>
      <c r="U4962" s="3"/>
      <c r="V4962" s="3"/>
      <c r="W4962" s="3"/>
      <c r="X4962" s="3"/>
      <c r="Y4962" s="4"/>
      <c r="Z4962"/>
      <c r="AA4962"/>
    </row>
    <row r="4963" spans="1:27" s="37" customFormat="1" x14ac:dyDescent="0.15">
      <c r="A4963" s="70"/>
      <c r="B4963" s="118"/>
      <c r="C4963" s="121"/>
      <c r="D4963" s="121"/>
      <c r="E4963" s="70"/>
      <c r="F4963" s="121"/>
      <c r="G4963" s="121"/>
      <c r="H4963" s="85"/>
      <c r="I4963" s="122"/>
      <c r="J4963" s="131"/>
      <c r="K4963" s="69"/>
      <c r="L4963" s="49"/>
      <c r="P4963" s="3"/>
      <c r="Q4963" s="3"/>
      <c r="R4963" s="3"/>
      <c r="S4963" s="3"/>
      <c r="T4963" s="3"/>
      <c r="U4963" s="3"/>
      <c r="V4963" s="3"/>
      <c r="W4963" s="3"/>
      <c r="X4963" s="3"/>
      <c r="Y4963" s="4"/>
      <c r="Z4963"/>
      <c r="AA4963"/>
    </row>
    <row r="4964" spans="1:27" s="37" customFormat="1" x14ac:dyDescent="0.15">
      <c r="A4964" s="70"/>
      <c r="B4964" s="118"/>
      <c r="C4964" s="121"/>
      <c r="D4964" s="121"/>
      <c r="E4964" s="70"/>
      <c r="F4964" s="121"/>
      <c r="G4964" s="121"/>
      <c r="H4964" s="85"/>
      <c r="I4964" s="122"/>
      <c r="J4964" s="131"/>
      <c r="K4964" s="69"/>
      <c r="L4964" s="49"/>
      <c r="P4964" s="3"/>
      <c r="Q4964" s="3"/>
      <c r="R4964" s="3"/>
      <c r="S4964" s="3"/>
      <c r="T4964" s="3"/>
      <c r="U4964" s="3"/>
      <c r="V4964" s="3"/>
      <c r="W4964" s="3"/>
      <c r="X4964" s="3"/>
      <c r="Y4964" s="4"/>
      <c r="Z4964"/>
      <c r="AA4964"/>
    </row>
    <row r="4965" spans="1:27" s="37" customFormat="1" x14ac:dyDescent="0.15">
      <c r="A4965" s="70"/>
      <c r="B4965" s="118"/>
      <c r="C4965" s="121"/>
      <c r="D4965" s="121"/>
      <c r="E4965" s="70"/>
      <c r="F4965" s="121"/>
      <c r="G4965" s="121"/>
      <c r="H4965" s="85"/>
      <c r="I4965" s="122"/>
      <c r="J4965" s="131"/>
      <c r="K4965" s="69"/>
      <c r="L4965" s="49"/>
      <c r="P4965" s="3"/>
      <c r="Q4965" s="3"/>
      <c r="R4965" s="3"/>
      <c r="S4965" s="3"/>
      <c r="T4965" s="3"/>
      <c r="U4965" s="3"/>
      <c r="V4965" s="3"/>
      <c r="W4965" s="3"/>
      <c r="X4965" s="3"/>
      <c r="Y4965" s="4"/>
      <c r="Z4965"/>
      <c r="AA4965"/>
    </row>
    <row r="4966" spans="1:27" s="37" customFormat="1" x14ac:dyDescent="0.15">
      <c r="A4966" s="70"/>
      <c r="B4966" s="118"/>
      <c r="C4966" s="121"/>
      <c r="D4966" s="121"/>
      <c r="E4966" s="70"/>
      <c r="F4966" s="121"/>
      <c r="G4966" s="121"/>
      <c r="H4966" s="85"/>
      <c r="I4966" s="122"/>
      <c r="J4966" s="131"/>
      <c r="K4966" s="60"/>
      <c r="L4966" s="49"/>
      <c r="P4966" s="3"/>
      <c r="Q4966" s="3"/>
      <c r="R4966" s="3"/>
      <c r="S4966" s="3"/>
      <c r="T4966" s="3"/>
      <c r="U4966" s="3"/>
      <c r="V4966" s="3"/>
      <c r="W4966" s="3"/>
      <c r="X4966" s="3"/>
      <c r="Y4966" s="4"/>
      <c r="Z4966"/>
      <c r="AA4966"/>
    </row>
    <row r="4967" spans="1:27" s="37" customFormat="1" x14ac:dyDescent="0.15">
      <c r="A4967" s="70"/>
      <c r="B4967" s="118"/>
      <c r="C4967" s="121"/>
      <c r="D4967" s="121"/>
      <c r="E4967" s="70"/>
      <c r="F4967" s="121"/>
      <c r="G4967" s="121"/>
      <c r="H4967" s="85"/>
      <c r="I4967" s="122"/>
      <c r="J4967" s="131"/>
      <c r="K4967" s="60"/>
      <c r="L4967" s="49"/>
      <c r="P4967" s="3"/>
      <c r="Q4967" s="3"/>
      <c r="R4967" s="3"/>
      <c r="S4967" s="3"/>
      <c r="T4967" s="3"/>
      <c r="U4967" s="3"/>
      <c r="V4967" s="3"/>
      <c r="W4967" s="3"/>
      <c r="X4967" s="3"/>
      <c r="Y4967" s="4"/>
      <c r="Z4967"/>
      <c r="AA4967"/>
    </row>
    <row r="4968" spans="1:27" s="37" customFormat="1" x14ac:dyDescent="0.15">
      <c r="A4968" s="70"/>
      <c r="B4968" s="118"/>
      <c r="C4968" s="121"/>
      <c r="D4968" s="121"/>
      <c r="E4968" s="70"/>
      <c r="F4968" s="121"/>
      <c r="G4968" s="121"/>
      <c r="H4968" s="85"/>
      <c r="I4968" s="122"/>
      <c r="J4968" s="131"/>
      <c r="K4968" s="60"/>
      <c r="L4968" s="49"/>
      <c r="P4968" s="3"/>
      <c r="Q4968" s="3"/>
      <c r="R4968" s="3"/>
      <c r="S4968" s="3"/>
      <c r="T4968" s="3"/>
      <c r="U4968" s="3"/>
      <c r="V4968" s="3"/>
      <c r="W4968" s="3"/>
      <c r="X4968" s="3"/>
      <c r="Y4968" s="4"/>
      <c r="Z4968"/>
      <c r="AA4968"/>
    </row>
    <row r="4969" spans="1:27" s="37" customFormat="1" x14ac:dyDescent="0.15">
      <c r="A4969" s="70"/>
      <c r="B4969" s="118"/>
      <c r="C4969" s="121"/>
      <c r="D4969" s="121"/>
      <c r="E4969" s="70"/>
      <c r="F4969" s="121"/>
      <c r="G4969" s="121"/>
      <c r="H4969" s="85"/>
      <c r="I4969" s="122"/>
      <c r="J4969" s="131"/>
      <c r="K4969" s="60"/>
      <c r="L4969" s="49"/>
      <c r="P4969" s="3"/>
      <c r="Q4969" s="3"/>
      <c r="R4969" s="3"/>
      <c r="S4969" s="3"/>
      <c r="T4969" s="3"/>
      <c r="U4969" s="3"/>
      <c r="V4969" s="3"/>
      <c r="W4969" s="3"/>
      <c r="X4969" s="3"/>
      <c r="Y4969" s="4"/>
      <c r="Z4969"/>
      <c r="AA4969"/>
    </row>
    <row r="4970" spans="1:27" s="37" customFormat="1" x14ac:dyDescent="0.15">
      <c r="A4970" s="70"/>
      <c r="B4970" s="118"/>
      <c r="C4970" s="121"/>
      <c r="D4970" s="121"/>
      <c r="E4970" s="70"/>
      <c r="F4970" s="121"/>
      <c r="G4970" s="121"/>
      <c r="H4970" s="85"/>
      <c r="I4970" s="122"/>
      <c r="J4970" s="131"/>
      <c r="K4970" s="60"/>
      <c r="L4970" s="49"/>
      <c r="P4970" s="3"/>
      <c r="Q4970" s="3"/>
      <c r="R4970" s="3"/>
      <c r="S4970" s="3"/>
      <c r="T4970" s="3"/>
      <c r="U4970" s="3"/>
      <c r="V4970" s="3"/>
      <c r="W4970" s="3"/>
      <c r="X4970" s="3"/>
      <c r="Y4970" s="4"/>
      <c r="Z4970"/>
      <c r="AA4970"/>
    </row>
    <row r="4971" spans="1:27" s="37" customFormat="1" x14ac:dyDescent="0.15">
      <c r="A4971" s="70"/>
      <c r="B4971" s="118"/>
      <c r="C4971" s="121"/>
      <c r="D4971" s="121"/>
      <c r="E4971" s="70"/>
      <c r="F4971" s="121"/>
      <c r="G4971" s="121"/>
      <c r="H4971" s="85"/>
      <c r="I4971" s="122"/>
      <c r="J4971" s="131"/>
      <c r="K4971" s="60"/>
      <c r="L4971" s="49"/>
      <c r="P4971" s="3"/>
      <c r="Q4971" s="3"/>
      <c r="R4971" s="3"/>
      <c r="S4971" s="3"/>
      <c r="T4971" s="3"/>
      <c r="U4971" s="3"/>
      <c r="V4971" s="3"/>
      <c r="W4971" s="3"/>
      <c r="X4971" s="3"/>
      <c r="Y4971" s="4"/>
      <c r="Z4971"/>
      <c r="AA4971"/>
    </row>
    <row r="4972" spans="1:27" s="37" customFormat="1" x14ac:dyDescent="0.15">
      <c r="A4972" s="73"/>
      <c r="B4972" s="118"/>
      <c r="C4972" s="121"/>
      <c r="D4972" s="121"/>
      <c r="E4972" s="70"/>
      <c r="F4972" s="121"/>
      <c r="G4972" s="121"/>
      <c r="H4972" s="85"/>
      <c r="I4972" s="122"/>
      <c r="J4972" s="131"/>
      <c r="K4972" s="69"/>
      <c r="L4972" s="49"/>
      <c r="P4972" s="3"/>
      <c r="Q4972" s="3"/>
      <c r="R4972" s="3"/>
      <c r="S4972" s="3"/>
      <c r="T4972" s="3"/>
      <c r="U4972" s="3"/>
      <c r="V4972" s="3"/>
      <c r="W4972" s="3"/>
      <c r="X4972" s="3"/>
      <c r="Y4972" s="4"/>
      <c r="Z4972"/>
      <c r="AA4972"/>
    </row>
    <row r="4973" spans="1:27" s="37" customFormat="1" x14ac:dyDescent="0.15">
      <c r="A4973" s="70"/>
      <c r="B4973" s="118"/>
      <c r="C4973" s="121"/>
      <c r="D4973" s="121"/>
      <c r="E4973" s="70"/>
      <c r="F4973" s="121"/>
      <c r="G4973" s="121"/>
      <c r="H4973" s="85"/>
      <c r="I4973" s="122"/>
      <c r="J4973" s="131"/>
      <c r="K4973" s="69"/>
      <c r="L4973" s="49"/>
      <c r="P4973" s="3"/>
      <c r="Q4973" s="3"/>
      <c r="R4973" s="3"/>
      <c r="S4973" s="3"/>
      <c r="T4973" s="3"/>
      <c r="U4973" s="3"/>
      <c r="V4973" s="3"/>
      <c r="W4973" s="3"/>
      <c r="X4973" s="3"/>
      <c r="Y4973" s="4"/>
      <c r="Z4973"/>
      <c r="AA4973"/>
    </row>
    <row r="4974" spans="1:27" s="37" customFormat="1" ht="16" x14ac:dyDescent="0.2">
      <c r="A4974" s="73"/>
      <c r="B4974" s="118"/>
      <c r="C4974" s="121"/>
      <c r="D4974" s="121"/>
      <c r="E4974" s="70"/>
      <c r="F4974" s="121"/>
      <c r="G4974" s="121"/>
      <c r="H4974" s="85"/>
      <c r="I4974" s="122"/>
      <c r="J4974" s="131"/>
      <c r="K4974" s="69"/>
      <c r="L4974" s="49"/>
      <c r="M4974" s="48"/>
      <c r="P4974" s="3"/>
      <c r="Q4974" s="3"/>
      <c r="R4974" s="3"/>
      <c r="S4974" s="3"/>
      <c r="T4974" s="3"/>
      <c r="U4974" s="3"/>
      <c r="V4974" s="3"/>
      <c r="W4974" s="3"/>
      <c r="X4974" s="3"/>
      <c r="Y4974" s="4"/>
      <c r="Z4974"/>
      <c r="AA4974"/>
    </row>
    <row r="4975" spans="1:27" s="3" customFormat="1" x14ac:dyDescent="0.15">
      <c r="A4975" s="70"/>
      <c r="B4975" s="118"/>
      <c r="C4975" s="121"/>
      <c r="D4975" s="121"/>
      <c r="E4975" s="70"/>
      <c r="F4975" s="121"/>
      <c r="G4975" s="121"/>
      <c r="H4975" s="85"/>
      <c r="I4975" s="122"/>
      <c r="J4975" s="131"/>
      <c r="K4975" s="60"/>
      <c r="L4975" s="49"/>
      <c r="M4975" s="37"/>
      <c r="N4975" s="37"/>
      <c r="O4975" s="51"/>
      <c r="Y4975" s="4"/>
      <c r="Z4975"/>
      <c r="AA4975"/>
    </row>
    <row r="4976" spans="1:27" s="3" customFormat="1" x14ac:dyDescent="0.15">
      <c r="A4976" s="70"/>
      <c r="B4976" s="117"/>
      <c r="C4976" s="121"/>
      <c r="D4976" s="121"/>
      <c r="E4976" s="70"/>
      <c r="F4976" s="121"/>
      <c r="G4976" s="121"/>
      <c r="H4976" s="85"/>
      <c r="I4976" s="122"/>
      <c r="J4976" s="131"/>
      <c r="K4976" s="60"/>
      <c r="L4976" s="33"/>
      <c r="M4976" s="37"/>
      <c r="N4976" s="37"/>
      <c r="O4976" s="37"/>
      <c r="Y4976" s="4"/>
      <c r="Z4976"/>
      <c r="AA4976"/>
    </row>
    <row r="4977" spans="1:27" s="3" customFormat="1" x14ac:dyDescent="0.15">
      <c r="A4977" s="70"/>
      <c r="B4977" s="118"/>
      <c r="C4977" s="121"/>
      <c r="D4977" s="121"/>
      <c r="E4977" s="70"/>
      <c r="F4977" s="121"/>
      <c r="G4977" s="121"/>
      <c r="H4977" s="85"/>
      <c r="I4977" s="122"/>
      <c r="J4977" s="131"/>
      <c r="K4977" s="60"/>
      <c r="L4977" s="49"/>
      <c r="M4977" s="37"/>
      <c r="N4977" s="37"/>
      <c r="O4977" s="37"/>
      <c r="Y4977" s="4"/>
      <c r="Z4977"/>
      <c r="AA4977"/>
    </row>
    <row r="4978" spans="1:27" s="3" customFormat="1" x14ac:dyDescent="0.15">
      <c r="A4978" s="70"/>
      <c r="B4978" s="118"/>
      <c r="C4978" s="121"/>
      <c r="D4978" s="121"/>
      <c r="E4978" s="70"/>
      <c r="F4978" s="121"/>
      <c r="G4978" s="121"/>
      <c r="H4978" s="85"/>
      <c r="I4978" s="122"/>
      <c r="J4978" s="131"/>
      <c r="K4978" s="60"/>
      <c r="L4978" s="49"/>
      <c r="M4978" s="37"/>
      <c r="N4978" s="37"/>
      <c r="O4978" s="37"/>
      <c r="Y4978" s="4"/>
      <c r="Z4978"/>
      <c r="AA4978"/>
    </row>
    <row r="4979" spans="1:27" s="3" customFormat="1" x14ac:dyDescent="0.15">
      <c r="A4979" s="70"/>
      <c r="B4979" s="118"/>
      <c r="C4979" s="121"/>
      <c r="D4979" s="121"/>
      <c r="E4979" s="70"/>
      <c r="F4979" s="121"/>
      <c r="G4979" s="121"/>
      <c r="H4979" s="85"/>
      <c r="I4979" s="122"/>
      <c r="J4979" s="131"/>
      <c r="K4979" s="60"/>
      <c r="L4979" s="49"/>
      <c r="M4979" s="37"/>
      <c r="N4979" s="37"/>
      <c r="O4979" s="37"/>
      <c r="Y4979" s="4"/>
      <c r="Z4979"/>
      <c r="AA4979"/>
    </row>
    <row r="4980" spans="1:27" s="3" customFormat="1" ht="16" x14ac:dyDescent="0.2">
      <c r="A4980" s="70"/>
      <c r="B4980" s="118"/>
      <c r="C4980" s="121"/>
      <c r="D4980" s="121"/>
      <c r="E4980" s="70"/>
      <c r="F4980" s="121"/>
      <c r="G4980" s="121"/>
      <c r="H4980" s="85"/>
      <c r="I4980" s="122"/>
      <c r="J4980" s="131"/>
      <c r="K4980" s="60"/>
      <c r="L4980" s="49"/>
      <c r="M4980" s="48"/>
      <c r="N4980" s="37"/>
      <c r="O4980" s="37"/>
      <c r="Y4980" s="4"/>
      <c r="Z4980"/>
      <c r="AA4980"/>
    </row>
    <row r="4981" spans="1:27" s="3" customFormat="1" x14ac:dyDescent="0.15">
      <c r="A4981" s="73"/>
      <c r="B4981" s="118"/>
      <c r="C4981" s="121"/>
      <c r="D4981" s="121"/>
      <c r="E4981" s="70"/>
      <c r="F4981" s="121"/>
      <c r="G4981" s="121"/>
      <c r="H4981" s="85"/>
      <c r="I4981" s="122"/>
      <c r="J4981" s="131"/>
      <c r="K4981" s="69"/>
      <c r="L4981" s="49"/>
      <c r="M4981" s="37"/>
      <c r="N4981" s="37"/>
      <c r="O4981" s="37"/>
      <c r="Y4981" s="4"/>
      <c r="Z4981"/>
      <c r="AA4981"/>
    </row>
    <row r="4982" spans="1:27" s="3" customFormat="1" x14ac:dyDescent="0.15">
      <c r="A4982" s="73"/>
      <c r="B4982" s="117"/>
      <c r="C4982" s="121"/>
      <c r="D4982" s="121"/>
      <c r="E4982" s="70"/>
      <c r="F4982" s="121"/>
      <c r="G4982" s="121"/>
      <c r="H4982" s="85"/>
      <c r="I4982" s="122"/>
      <c r="J4982" s="131"/>
      <c r="K4982" s="60"/>
      <c r="L4982" s="33"/>
      <c r="M4982" s="37"/>
      <c r="N4982" s="37"/>
      <c r="O4982" s="37"/>
      <c r="Y4982" s="4"/>
      <c r="Z4982"/>
      <c r="AA4982"/>
    </row>
    <row r="4983" spans="1:27" s="3" customFormat="1" x14ac:dyDescent="0.15">
      <c r="A4983" s="73"/>
      <c r="B4983" s="117"/>
      <c r="C4983" s="121"/>
      <c r="D4983" s="121"/>
      <c r="E4983" s="73"/>
      <c r="F4983" s="121"/>
      <c r="G4983" s="121"/>
      <c r="H4983" s="85"/>
      <c r="I4983" s="122"/>
      <c r="J4983" s="131"/>
      <c r="K4983" s="60"/>
      <c r="L4983" s="33"/>
      <c r="M4983" s="37"/>
      <c r="N4983" s="37"/>
      <c r="O4983" s="37"/>
      <c r="Y4983" s="4"/>
      <c r="Z4983"/>
      <c r="AA4983"/>
    </row>
    <row r="4984" spans="1:27" s="3" customFormat="1" x14ac:dyDescent="0.15">
      <c r="A4984" s="70"/>
      <c r="B4984" s="117"/>
      <c r="C4984" s="121"/>
      <c r="D4984" s="121"/>
      <c r="E4984" s="70"/>
      <c r="F4984" s="121"/>
      <c r="G4984" s="121"/>
      <c r="H4984" s="85"/>
      <c r="I4984" s="122"/>
      <c r="J4984" s="131"/>
      <c r="K4984" s="60"/>
      <c r="L4984" s="33"/>
      <c r="M4984" s="37"/>
      <c r="N4984" s="37"/>
      <c r="O4984" s="37"/>
      <c r="Y4984" s="4"/>
      <c r="Z4984"/>
      <c r="AA4984"/>
    </row>
    <row r="4985" spans="1:27" s="3" customFormat="1" x14ac:dyDescent="0.15">
      <c r="A4985" s="70"/>
      <c r="B4985" s="117"/>
      <c r="C4985" s="121"/>
      <c r="D4985" s="121"/>
      <c r="E4985" s="70"/>
      <c r="F4985" s="121"/>
      <c r="G4985" s="121"/>
      <c r="H4985" s="85"/>
      <c r="I4985" s="122"/>
      <c r="J4985" s="131"/>
      <c r="K4985" s="60"/>
      <c r="L4985" s="33"/>
      <c r="M4985" s="37"/>
      <c r="N4985" s="37"/>
      <c r="O4985" s="37"/>
      <c r="Y4985" s="4"/>
      <c r="Z4985"/>
      <c r="AA4985"/>
    </row>
    <row r="4986" spans="1:27" s="3" customFormat="1" x14ac:dyDescent="0.15">
      <c r="A4986" s="70"/>
      <c r="B4986" s="117"/>
      <c r="C4986" s="121"/>
      <c r="D4986" s="121"/>
      <c r="E4986" s="70"/>
      <c r="F4986" s="121"/>
      <c r="G4986" s="121"/>
      <c r="H4986" s="85"/>
      <c r="I4986" s="122"/>
      <c r="J4986" s="131"/>
      <c r="K4986" s="60"/>
      <c r="L4986" s="33"/>
      <c r="M4986" s="37"/>
      <c r="N4986" s="37"/>
      <c r="O4986" s="37"/>
      <c r="Y4986" s="4"/>
      <c r="Z4986"/>
      <c r="AA4986"/>
    </row>
    <row r="4987" spans="1:27" s="3" customFormat="1" x14ac:dyDescent="0.15">
      <c r="A4987" s="70"/>
      <c r="B4987" s="118"/>
      <c r="C4987" s="121"/>
      <c r="D4987" s="121"/>
      <c r="E4987" s="70"/>
      <c r="F4987" s="121"/>
      <c r="G4987" s="121"/>
      <c r="H4987" s="85"/>
      <c r="I4987" s="122"/>
      <c r="J4987" s="131"/>
      <c r="K4987" s="60"/>
      <c r="L4987" s="49"/>
      <c r="M4987" s="37"/>
      <c r="N4987" s="37"/>
      <c r="O4987" s="37"/>
      <c r="Y4987" s="4"/>
      <c r="Z4987"/>
      <c r="AA4987"/>
    </row>
    <row r="4988" spans="1:27" s="3" customFormat="1" x14ac:dyDescent="0.15">
      <c r="A4988" s="70"/>
      <c r="B4988" s="118"/>
      <c r="C4988" s="121"/>
      <c r="D4988" s="121"/>
      <c r="E4988" s="70"/>
      <c r="F4988" s="121"/>
      <c r="G4988" s="121"/>
      <c r="H4988" s="85"/>
      <c r="I4988" s="122"/>
      <c r="J4988" s="131"/>
      <c r="K4988" s="60"/>
      <c r="L4988" s="49"/>
      <c r="M4988" s="37"/>
      <c r="N4988" s="37"/>
      <c r="O4988" s="37"/>
      <c r="Y4988" s="4"/>
      <c r="Z4988"/>
      <c r="AA4988"/>
    </row>
    <row r="4989" spans="1:27" s="3" customFormat="1" x14ac:dyDescent="0.15">
      <c r="A4989" s="70"/>
      <c r="B4989" s="118"/>
      <c r="C4989" s="121"/>
      <c r="D4989" s="121"/>
      <c r="E4989" s="70"/>
      <c r="F4989" s="121"/>
      <c r="G4989" s="121"/>
      <c r="H4989" s="85"/>
      <c r="I4989" s="122"/>
      <c r="J4989" s="131"/>
      <c r="K4989" s="69"/>
      <c r="L4989" s="49"/>
      <c r="M4989" s="37"/>
      <c r="N4989" s="37"/>
      <c r="O4989" s="37"/>
      <c r="Y4989" s="4"/>
      <c r="Z4989"/>
      <c r="AA4989"/>
    </row>
    <row r="4990" spans="1:27" s="3" customFormat="1" ht="16" x14ac:dyDescent="0.2">
      <c r="A4990" s="70"/>
      <c r="B4990" s="118"/>
      <c r="C4990" s="121"/>
      <c r="D4990" s="121"/>
      <c r="E4990" s="70"/>
      <c r="F4990" s="121"/>
      <c r="G4990" s="121"/>
      <c r="H4990" s="85"/>
      <c r="I4990" s="122"/>
      <c r="J4990" s="131"/>
      <c r="K4990" s="60"/>
      <c r="L4990" s="49"/>
      <c r="M4990" s="48"/>
      <c r="N4990" s="37"/>
      <c r="O4990" s="37"/>
      <c r="Y4990" s="4"/>
      <c r="Z4990"/>
      <c r="AA4990"/>
    </row>
    <row r="4991" spans="1:27" s="3" customFormat="1" x14ac:dyDescent="0.15">
      <c r="A4991" s="70"/>
      <c r="B4991" s="118"/>
      <c r="C4991" s="121"/>
      <c r="D4991" s="121"/>
      <c r="E4991" s="70"/>
      <c r="F4991" s="121"/>
      <c r="G4991" s="121"/>
      <c r="H4991" s="85"/>
      <c r="I4991" s="122"/>
      <c r="J4991" s="131"/>
      <c r="K4991" s="60"/>
      <c r="L4991" s="49"/>
      <c r="M4991" s="37"/>
      <c r="N4991" s="37"/>
      <c r="O4991" s="37"/>
      <c r="Y4991" s="4"/>
      <c r="Z4991"/>
      <c r="AA4991"/>
    </row>
    <row r="4992" spans="1:27" s="3" customFormat="1" x14ac:dyDescent="0.15">
      <c r="A4992" s="70"/>
      <c r="B4992" s="118"/>
      <c r="C4992" s="121"/>
      <c r="D4992" s="121"/>
      <c r="E4992" s="70"/>
      <c r="F4992" s="121"/>
      <c r="G4992" s="121"/>
      <c r="H4992" s="85"/>
      <c r="I4992" s="122"/>
      <c r="J4992" s="131"/>
      <c r="K4992" s="69"/>
      <c r="L4992" s="49"/>
      <c r="M4992" s="37"/>
      <c r="N4992" s="37"/>
      <c r="O4992" s="37"/>
      <c r="Y4992" s="4"/>
      <c r="Z4992"/>
      <c r="AA4992"/>
    </row>
    <row r="4993" spans="1:27" s="3" customFormat="1" x14ac:dyDescent="0.15">
      <c r="A4993" s="70"/>
      <c r="B4993" s="118"/>
      <c r="C4993" s="121"/>
      <c r="D4993" s="121"/>
      <c r="E4993" s="70"/>
      <c r="F4993" s="121"/>
      <c r="G4993" s="121"/>
      <c r="H4993" s="85"/>
      <c r="I4993" s="122"/>
      <c r="J4993" s="131"/>
      <c r="K4993" s="60"/>
      <c r="L4993" s="49"/>
      <c r="M4993" s="37"/>
      <c r="N4993" s="37"/>
      <c r="O4993" s="37"/>
      <c r="Y4993" s="4"/>
      <c r="Z4993"/>
      <c r="AA4993"/>
    </row>
    <row r="4994" spans="1:27" s="3" customFormat="1" x14ac:dyDescent="0.15">
      <c r="A4994" s="70"/>
      <c r="B4994" s="118"/>
      <c r="C4994" s="121"/>
      <c r="D4994" s="121"/>
      <c r="E4994" s="70"/>
      <c r="F4994" s="121"/>
      <c r="G4994" s="121"/>
      <c r="H4994" s="85"/>
      <c r="I4994" s="122"/>
      <c r="J4994" s="131"/>
      <c r="K4994" s="60"/>
      <c r="L4994" s="49"/>
      <c r="M4994" s="37"/>
      <c r="N4994" s="37"/>
      <c r="O4994" s="37"/>
      <c r="Y4994" s="4"/>
      <c r="Z4994"/>
      <c r="AA4994"/>
    </row>
    <row r="4995" spans="1:27" s="3" customFormat="1" x14ac:dyDescent="0.15">
      <c r="A4995" s="70"/>
      <c r="B4995" s="117"/>
      <c r="C4995" s="121"/>
      <c r="D4995" s="121"/>
      <c r="E4995" s="70"/>
      <c r="F4995" s="121"/>
      <c r="G4995" s="121"/>
      <c r="H4995" s="85"/>
      <c r="I4995" s="122"/>
      <c r="J4995" s="131"/>
      <c r="K4995" s="60"/>
      <c r="L4995" s="33"/>
      <c r="M4995" s="37"/>
      <c r="N4995" s="37"/>
      <c r="O4995" s="37"/>
      <c r="Y4995" s="4"/>
      <c r="Z4995"/>
      <c r="AA4995"/>
    </row>
    <row r="4996" spans="1:27" s="3" customFormat="1" x14ac:dyDescent="0.15">
      <c r="A4996" s="70"/>
      <c r="B4996" s="117"/>
      <c r="C4996" s="121"/>
      <c r="D4996" s="121"/>
      <c r="E4996" s="73"/>
      <c r="F4996" s="121"/>
      <c r="G4996" s="121"/>
      <c r="H4996" s="85"/>
      <c r="I4996" s="122"/>
      <c r="J4996" s="131"/>
      <c r="K4996" s="60"/>
      <c r="L4996" s="33"/>
      <c r="M4996" s="37"/>
      <c r="N4996" s="37"/>
      <c r="O4996" s="37"/>
      <c r="Y4996" s="4"/>
      <c r="Z4996"/>
      <c r="AA4996"/>
    </row>
    <row r="4997" spans="1:27" s="3" customFormat="1" x14ac:dyDescent="0.15">
      <c r="A4997" s="70"/>
      <c r="B4997" s="118"/>
      <c r="C4997" s="121"/>
      <c r="D4997" s="121"/>
      <c r="E4997" s="70"/>
      <c r="F4997" s="121"/>
      <c r="G4997" s="121"/>
      <c r="H4997" s="85"/>
      <c r="I4997" s="122"/>
      <c r="J4997" s="131"/>
      <c r="K4997" s="60"/>
      <c r="L4997" s="49"/>
      <c r="M4997" s="37"/>
      <c r="N4997" s="37"/>
      <c r="O4997" s="51"/>
      <c r="Y4997" s="4"/>
      <c r="Z4997"/>
      <c r="AA4997"/>
    </row>
    <row r="4998" spans="1:27" s="3" customFormat="1" ht="16" x14ac:dyDescent="0.2">
      <c r="A4998" s="70"/>
      <c r="B4998" s="118"/>
      <c r="C4998" s="121"/>
      <c r="D4998" s="121"/>
      <c r="E4998" s="70"/>
      <c r="F4998" s="121"/>
      <c r="G4998" s="121"/>
      <c r="H4998" s="85"/>
      <c r="I4998" s="122"/>
      <c r="J4998" s="131"/>
      <c r="K4998" s="60"/>
      <c r="L4998" s="49"/>
      <c r="M4998" s="48"/>
      <c r="N4998" s="37"/>
      <c r="O4998" s="51"/>
      <c r="Y4998" s="4"/>
      <c r="Z4998"/>
      <c r="AA4998"/>
    </row>
    <row r="4999" spans="1:27" s="3" customFormat="1" x14ac:dyDescent="0.15">
      <c r="A4999" s="70"/>
      <c r="B4999" s="118"/>
      <c r="C4999" s="121"/>
      <c r="D4999" s="121"/>
      <c r="E4999" s="70"/>
      <c r="F4999" s="121"/>
      <c r="G4999" s="121"/>
      <c r="H4999" s="85"/>
      <c r="I4999" s="122"/>
      <c r="J4999" s="131"/>
      <c r="K4999" s="60"/>
      <c r="L4999" s="49"/>
      <c r="M4999" s="37"/>
      <c r="N4999" s="37"/>
      <c r="O4999" s="51"/>
      <c r="Y4999" s="4"/>
      <c r="Z4999"/>
      <c r="AA4999"/>
    </row>
    <row r="5000" spans="1:27" s="3" customFormat="1" x14ac:dyDescent="0.15">
      <c r="A5000" s="70"/>
      <c r="B5000" s="118"/>
      <c r="C5000" s="121"/>
      <c r="D5000" s="121"/>
      <c r="E5000" s="70"/>
      <c r="F5000" s="121"/>
      <c r="G5000" s="121"/>
      <c r="H5000" s="85"/>
      <c r="I5000" s="122"/>
      <c r="J5000" s="131"/>
      <c r="K5000" s="60"/>
      <c r="L5000" s="49"/>
      <c r="M5000" s="37"/>
      <c r="N5000" s="37"/>
      <c r="O5000" s="51"/>
      <c r="Y5000" s="4"/>
      <c r="Z5000"/>
      <c r="AA5000"/>
    </row>
    <row r="5001" spans="1:27" s="3" customFormat="1" x14ac:dyDescent="0.15">
      <c r="A5001" s="70"/>
      <c r="B5001" s="118"/>
      <c r="C5001" s="121"/>
      <c r="D5001" s="121"/>
      <c r="E5001" s="70"/>
      <c r="F5001" s="121"/>
      <c r="G5001" s="121"/>
      <c r="H5001" s="85"/>
      <c r="I5001" s="122"/>
      <c r="J5001" s="131"/>
      <c r="K5001" s="60"/>
      <c r="L5001" s="49"/>
      <c r="M5001" s="37"/>
      <c r="N5001" s="37"/>
      <c r="O5001" s="51"/>
      <c r="Y5001" s="4"/>
      <c r="Z5001"/>
      <c r="AA5001"/>
    </row>
    <row r="5002" spans="1:27" s="3" customFormat="1" x14ac:dyDescent="0.15">
      <c r="A5002" s="70"/>
      <c r="B5002" s="118"/>
      <c r="C5002" s="121"/>
      <c r="D5002" s="121"/>
      <c r="E5002" s="70"/>
      <c r="F5002" s="121"/>
      <c r="G5002" s="121"/>
      <c r="H5002" s="85"/>
      <c r="I5002" s="122"/>
      <c r="J5002" s="131"/>
      <c r="K5002" s="69"/>
      <c r="L5002" s="49"/>
      <c r="M5002" s="37"/>
      <c r="N5002" s="37"/>
      <c r="O5002" s="51"/>
      <c r="Y5002" s="4"/>
      <c r="Z5002"/>
      <c r="AA5002"/>
    </row>
    <row r="5003" spans="1:27" s="3" customFormat="1" x14ac:dyDescent="0.15">
      <c r="A5003" s="70"/>
      <c r="B5003" s="118"/>
      <c r="C5003" s="121"/>
      <c r="D5003" s="121"/>
      <c r="E5003" s="70"/>
      <c r="F5003" s="121"/>
      <c r="G5003" s="121"/>
      <c r="H5003" s="85"/>
      <c r="I5003" s="122"/>
      <c r="J5003" s="131"/>
      <c r="K5003" s="60"/>
      <c r="L5003" s="49"/>
      <c r="M5003" s="37"/>
      <c r="N5003" s="37"/>
      <c r="O5003" s="37"/>
      <c r="Y5003" s="4"/>
      <c r="Z5003"/>
      <c r="AA5003"/>
    </row>
    <row r="5004" spans="1:27" s="3" customFormat="1" x14ac:dyDescent="0.15">
      <c r="A5004" s="70"/>
      <c r="B5004" s="117"/>
      <c r="C5004" s="121"/>
      <c r="D5004" s="121"/>
      <c r="E5004" s="70"/>
      <c r="F5004" s="121"/>
      <c r="G5004" s="121"/>
      <c r="H5004" s="85"/>
      <c r="I5004" s="122"/>
      <c r="J5004" s="131"/>
      <c r="K5004" s="60"/>
      <c r="L5004" s="33"/>
      <c r="M5004" s="37"/>
      <c r="N5004" s="37"/>
      <c r="O5004" s="37"/>
      <c r="Y5004" s="4"/>
      <c r="Z5004"/>
      <c r="AA5004"/>
    </row>
    <row r="5005" spans="1:27" s="3" customFormat="1" x14ac:dyDescent="0.15">
      <c r="A5005" s="70"/>
      <c r="B5005" s="118"/>
      <c r="C5005" s="121"/>
      <c r="D5005" s="121"/>
      <c r="E5005" s="70"/>
      <c r="F5005" s="121"/>
      <c r="G5005" s="121"/>
      <c r="H5005" s="85"/>
      <c r="I5005" s="122"/>
      <c r="J5005" s="131"/>
      <c r="K5005" s="60"/>
      <c r="L5005" s="49"/>
      <c r="M5005" s="37"/>
      <c r="N5005" s="37"/>
      <c r="O5005" s="37"/>
      <c r="Y5005" s="4"/>
      <c r="Z5005"/>
      <c r="AA5005"/>
    </row>
    <row r="5006" spans="1:27" s="3" customFormat="1" x14ac:dyDescent="0.15">
      <c r="A5006" s="70"/>
      <c r="B5006" s="117"/>
      <c r="C5006" s="121"/>
      <c r="D5006" s="121"/>
      <c r="E5006" s="70"/>
      <c r="F5006" s="121"/>
      <c r="G5006" s="121"/>
      <c r="H5006" s="85"/>
      <c r="I5006" s="122"/>
      <c r="J5006" s="131"/>
      <c r="K5006" s="60"/>
      <c r="L5006" s="49"/>
      <c r="M5006" s="37"/>
      <c r="N5006" s="37"/>
      <c r="O5006" s="37"/>
      <c r="Y5006" s="4"/>
      <c r="Z5006"/>
      <c r="AA5006"/>
    </row>
    <row r="5007" spans="1:27" s="37" customFormat="1" x14ac:dyDescent="0.15">
      <c r="A5007" s="70"/>
      <c r="B5007" s="118"/>
      <c r="C5007" s="121"/>
      <c r="D5007" s="121"/>
      <c r="E5007" s="70"/>
      <c r="F5007" s="121"/>
      <c r="G5007" s="121"/>
      <c r="H5007" s="85"/>
      <c r="I5007" s="122"/>
      <c r="J5007" s="131"/>
      <c r="K5007" s="60"/>
      <c r="L5007" s="49"/>
      <c r="P5007" s="3"/>
      <c r="Q5007" s="3"/>
      <c r="R5007" s="3"/>
      <c r="S5007" s="3"/>
      <c r="T5007" s="3"/>
      <c r="U5007" s="3"/>
      <c r="V5007" s="3"/>
      <c r="W5007" s="3"/>
      <c r="X5007" s="3"/>
      <c r="Y5007" s="4"/>
      <c r="Z5007"/>
      <c r="AA5007"/>
    </row>
    <row r="5008" spans="1:27" s="37" customFormat="1" x14ac:dyDescent="0.15">
      <c r="A5008" s="70"/>
      <c r="B5008" s="118"/>
      <c r="C5008" s="121"/>
      <c r="D5008" s="121"/>
      <c r="E5008" s="70"/>
      <c r="F5008" s="121"/>
      <c r="G5008" s="121"/>
      <c r="H5008" s="85"/>
      <c r="I5008" s="122"/>
      <c r="J5008" s="131"/>
      <c r="K5008" s="60"/>
      <c r="L5008" s="49"/>
      <c r="P5008" s="3"/>
      <c r="Q5008" s="3"/>
      <c r="R5008" s="3"/>
      <c r="S5008" s="3"/>
      <c r="T5008" s="3"/>
      <c r="U5008" s="3"/>
      <c r="V5008" s="3"/>
      <c r="W5008" s="3"/>
      <c r="X5008" s="3"/>
      <c r="Y5008" s="4"/>
      <c r="Z5008"/>
      <c r="AA5008"/>
    </row>
    <row r="5009" spans="1:27" s="37" customFormat="1" x14ac:dyDescent="0.15">
      <c r="A5009" s="70"/>
      <c r="B5009" s="117"/>
      <c r="C5009" s="121"/>
      <c r="D5009" s="121"/>
      <c r="E5009" s="70"/>
      <c r="F5009" s="121"/>
      <c r="G5009" s="121"/>
      <c r="H5009" s="85"/>
      <c r="I5009" s="122"/>
      <c r="J5009" s="131"/>
      <c r="K5009" s="60"/>
      <c r="L5009" s="33"/>
      <c r="P5009" s="3"/>
      <c r="Q5009" s="3"/>
      <c r="R5009" s="3"/>
      <c r="S5009" s="3"/>
      <c r="T5009" s="3"/>
      <c r="U5009" s="3"/>
      <c r="V5009" s="3"/>
      <c r="W5009" s="3"/>
      <c r="X5009" s="3"/>
      <c r="Y5009" s="4"/>
      <c r="Z5009"/>
      <c r="AA5009"/>
    </row>
    <row r="5010" spans="1:27" s="37" customFormat="1" x14ac:dyDescent="0.15">
      <c r="A5010" s="73"/>
      <c r="B5010" s="118"/>
      <c r="C5010" s="121"/>
      <c r="D5010" s="121"/>
      <c r="E5010" s="70"/>
      <c r="F5010" s="121"/>
      <c r="G5010" s="121"/>
      <c r="H5010" s="85"/>
      <c r="I5010" s="122"/>
      <c r="J5010" s="131"/>
      <c r="K5010" s="60"/>
      <c r="L5010" s="49"/>
      <c r="P5010" s="3"/>
      <c r="Q5010" s="3"/>
      <c r="R5010" s="3"/>
      <c r="S5010" s="3"/>
      <c r="T5010" s="3"/>
      <c r="U5010" s="3"/>
      <c r="V5010" s="3"/>
      <c r="W5010" s="3"/>
      <c r="X5010" s="3"/>
      <c r="Y5010" s="4"/>
      <c r="Z5010"/>
      <c r="AA5010"/>
    </row>
    <row r="5011" spans="1:27" s="37" customFormat="1" x14ac:dyDescent="0.15">
      <c r="A5011" s="70"/>
      <c r="B5011" s="117"/>
      <c r="C5011" s="121"/>
      <c r="D5011" s="121"/>
      <c r="E5011" s="70"/>
      <c r="F5011" s="121"/>
      <c r="G5011" s="121"/>
      <c r="H5011" s="85"/>
      <c r="I5011" s="122"/>
      <c r="J5011" s="131"/>
      <c r="K5011" s="60"/>
      <c r="L5011" s="49"/>
      <c r="P5011" s="3"/>
      <c r="Q5011" s="3"/>
      <c r="R5011" s="3"/>
      <c r="S5011" s="3"/>
      <c r="T5011" s="3"/>
      <c r="U5011" s="3"/>
      <c r="V5011" s="3"/>
      <c r="W5011" s="3"/>
      <c r="X5011" s="3"/>
      <c r="Y5011" s="4"/>
      <c r="Z5011"/>
      <c r="AA5011"/>
    </row>
    <row r="5012" spans="1:27" s="37" customFormat="1" ht="16" x14ac:dyDescent="0.2">
      <c r="A5012" s="70"/>
      <c r="B5012" s="118"/>
      <c r="C5012" s="121"/>
      <c r="D5012" s="121"/>
      <c r="E5012" s="70"/>
      <c r="F5012" s="121"/>
      <c r="G5012" s="121"/>
      <c r="H5012" s="85"/>
      <c r="I5012" s="122"/>
      <c r="J5012" s="131"/>
      <c r="K5012" s="60"/>
      <c r="L5012" s="49"/>
      <c r="M5012" s="48"/>
      <c r="P5012" s="3"/>
      <c r="Q5012" s="3"/>
      <c r="R5012" s="3"/>
      <c r="S5012" s="3"/>
      <c r="T5012" s="3"/>
      <c r="U5012" s="3"/>
      <c r="V5012" s="3"/>
      <c r="W5012" s="3"/>
      <c r="X5012" s="3"/>
      <c r="Y5012" s="4"/>
      <c r="Z5012"/>
      <c r="AA5012"/>
    </row>
    <row r="5013" spans="1:27" s="37" customFormat="1" x14ac:dyDescent="0.15">
      <c r="A5013" s="73"/>
      <c r="B5013" s="118"/>
      <c r="C5013" s="121"/>
      <c r="D5013" s="121"/>
      <c r="E5013" s="70"/>
      <c r="F5013" s="121"/>
      <c r="G5013" s="121"/>
      <c r="H5013" s="85"/>
      <c r="I5013" s="122"/>
      <c r="J5013" s="131"/>
      <c r="K5013" s="60"/>
      <c r="L5013" s="49"/>
      <c r="P5013" s="3"/>
      <c r="Q5013" s="3"/>
      <c r="R5013" s="3"/>
      <c r="S5013" s="3"/>
      <c r="T5013" s="3"/>
      <c r="U5013" s="3"/>
      <c r="V5013" s="3"/>
      <c r="W5013" s="3"/>
      <c r="X5013" s="3"/>
      <c r="Y5013" s="4"/>
      <c r="Z5013"/>
      <c r="AA5013"/>
    </row>
    <row r="5014" spans="1:27" s="37" customFormat="1" x14ac:dyDescent="0.15">
      <c r="A5014" s="70"/>
      <c r="B5014" s="118"/>
      <c r="C5014" s="121"/>
      <c r="D5014" s="121"/>
      <c r="E5014" s="70"/>
      <c r="F5014" s="121"/>
      <c r="G5014" s="121"/>
      <c r="H5014" s="85"/>
      <c r="I5014" s="122"/>
      <c r="J5014" s="131"/>
      <c r="K5014" s="69"/>
      <c r="L5014" s="49"/>
      <c r="P5014" s="3"/>
      <c r="Q5014" s="3"/>
      <c r="R5014" s="3"/>
      <c r="S5014" s="3"/>
      <c r="T5014" s="3"/>
      <c r="U5014" s="3"/>
      <c r="V5014" s="3"/>
      <c r="W5014" s="3"/>
      <c r="X5014" s="3"/>
      <c r="Y5014" s="4"/>
      <c r="Z5014"/>
      <c r="AA5014"/>
    </row>
    <row r="5015" spans="1:27" s="37" customFormat="1" ht="16" x14ac:dyDescent="0.2">
      <c r="A5015" s="73"/>
      <c r="B5015" s="118"/>
      <c r="C5015" s="121"/>
      <c r="D5015" s="121"/>
      <c r="E5015" s="70"/>
      <c r="F5015" s="121"/>
      <c r="G5015" s="121"/>
      <c r="H5015" s="85"/>
      <c r="I5015" s="122"/>
      <c r="J5015" s="131"/>
      <c r="K5015" s="69"/>
      <c r="L5015" s="49"/>
      <c r="M5015" s="48"/>
      <c r="P5015" s="3"/>
      <c r="Q5015" s="3"/>
      <c r="R5015" s="3"/>
      <c r="S5015" s="3"/>
      <c r="T5015" s="3"/>
      <c r="U5015" s="3"/>
      <c r="V5015" s="3"/>
      <c r="W5015" s="3"/>
      <c r="X5015" s="3"/>
      <c r="Y5015" s="4"/>
      <c r="Z5015"/>
      <c r="AA5015"/>
    </row>
    <row r="5016" spans="1:27" s="37" customFormat="1" ht="16" x14ac:dyDescent="0.2">
      <c r="A5016" s="70"/>
      <c r="B5016" s="118"/>
      <c r="C5016" s="121"/>
      <c r="D5016" s="121"/>
      <c r="E5016" s="70"/>
      <c r="F5016" s="121"/>
      <c r="G5016" s="121"/>
      <c r="H5016" s="85"/>
      <c r="I5016" s="122"/>
      <c r="J5016" s="131"/>
      <c r="K5016" s="69"/>
      <c r="L5016" s="49"/>
      <c r="M5016" s="48"/>
      <c r="P5016" s="3"/>
      <c r="Q5016" s="3"/>
      <c r="R5016" s="3"/>
      <c r="S5016" s="3"/>
      <c r="T5016" s="3"/>
      <c r="U5016" s="3"/>
      <c r="V5016" s="3"/>
      <c r="W5016" s="3"/>
      <c r="X5016" s="3"/>
      <c r="Y5016" s="4"/>
      <c r="Z5016"/>
      <c r="AA5016"/>
    </row>
    <row r="5017" spans="1:27" s="37" customFormat="1" x14ac:dyDescent="0.15">
      <c r="A5017" s="70"/>
      <c r="B5017" s="118"/>
      <c r="C5017" s="121"/>
      <c r="D5017" s="121"/>
      <c r="E5017" s="70"/>
      <c r="F5017" s="121"/>
      <c r="G5017" s="121"/>
      <c r="H5017" s="85"/>
      <c r="I5017" s="122"/>
      <c r="J5017" s="131"/>
      <c r="K5017" s="69"/>
      <c r="L5017" s="49"/>
      <c r="P5017" s="3"/>
      <c r="Q5017" s="3"/>
      <c r="R5017" s="3"/>
      <c r="S5017" s="3"/>
      <c r="T5017" s="3"/>
      <c r="U5017" s="3"/>
      <c r="V5017" s="3"/>
      <c r="W5017" s="3"/>
      <c r="X5017" s="3"/>
      <c r="Y5017" s="4"/>
      <c r="Z5017"/>
      <c r="AA5017"/>
    </row>
    <row r="5018" spans="1:27" s="37" customFormat="1" x14ac:dyDescent="0.15">
      <c r="A5018" s="70"/>
      <c r="B5018" s="118"/>
      <c r="C5018" s="121"/>
      <c r="D5018" s="121"/>
      <c r="E5018" s="70"/>
      <c r="F5018" s="121"/>
      <c r="G5018" s="121"/>
      <c r="H5018" s="85"/>
      <c r="I5018" s="122"/>
      <c r="J5018" s="131"/>
      <c r="K5018" s="60"/>
      <c r="L5018" s="49"/>
      <c r="P5018" s="3"/>
      <c r="Q5018" s="3"/>
      <c r="R5018" s="3"/>
      <c r="S5018" s="3"/>
      <c r="T5018" s="3"/>
      <c r="U5018" s="3"/>
      <c r="V5018" s="3"/>
      <c r="W5018" s="3"/>
      <c r="X5018" s="3"/>
      <c r="Y5018" s="4"/>
      <c r="Z5018"/>
      <c r="AA5018"/>
    </row>
    <row r="5019" spans="1:27" s="37" customFormat="1" ht="16" x14ac:dyDescent="0.2">
      <c r="A5019" s="70"/>
      <c r="B5019" s="118"/>
      <c r="C5019" s="121"/>
      <c r="D5019" s="121"/>
      <c r="E5019" s="70"/>
      <c r="F5019" s="121"/>
      <c r="G5019" s="121"/>
      <c r="H5019" s="85"/>
      <c r="I5019" s="122"/>
      <c r="J5019" s="131"/>
      <c r="K5019" s="69"/>
      <c r="L5019" s="49"/>
      <c r="M5019" s="48"/>
      <c r="P5019" s="3"/>
      <c r="Q5019" s="3"/>
      <c r="R5019" s="3"/>
      <c r="S5019" s="3"/>
      <c r="T5019" s="3"/>
      <c r="U5019" s="3"/>
      <c r="V5019" s="3"/>
      <c r="W5019" s="3"/>
      <c r="X5019" s="3"/>
      <c r="Y5019" s="4"/>
      <c r="Z5019"/>
      <c r="AA5019"/>
    </row>
    <row r="5020" spans="1:27" s="37" customFormat="1" x14ac:dyDescent="0.15">
      <c r="A5020" s="70"/>
      <c r="B5020" s="118"/>
      <c r="C5020" s="121"/>
      <c r="D5020" s="121"/>
      <c r="E5020" s="70"/>
      <c r="F5020" s="121"/>
      <c r="G5020" s="121"/>
      <c r="H5020" s="85"/>
      <c r="I5020" s="122"/>
      <c r="J5020" s="131"/>
      <c r="K5020" s="69"/>
      <c r="L5020" s="49"/>
      <c r="P5020" s="3"/>
      <c r="Q5020" s="3"/>
      <c r="R5020" s="3"/>
      <c r="S5020" s="3"/>
      <c r="T5020" s="3"/>
      <c r="U5020" s="3"/>
      <c r="V5020" s="3"/>
      <c r="W5020" s="3"/>
      <c r="X5020" s="3"/>
      <c r="Y5020" s="4"/>
      <c r="Z5020"/>
      <c r="AA5020"/>
    </row>
    <row r="5021" spans="1:27" s="37" customFormat="1" x14ac:dyDescent="0.15">
      <c r="A5021" s="70"/>
      <c r="B5021" s="118"/>
      <c r="C5021" s="121"/>
      <c r="D5021" s="121"/>
      <c r="E5021" s="70"/>
      <c r="F5021" s="121"/>
      <c r="G5021" s="121"/>
      <c r="H5021" s="85"/>
      <c r="I5021" s="122"/>
      <c r="J5021" s="131"/>
      <c r="K5021" s="69"/>
      <c r="L5021" s="49"/>
      <c r="P5021" s="3"/>
      <c r="Q5021" s="3"/>
      <c r="R5021" s="3"/>
      <c r="S5021" s="3"/>
      <c r="T5021" s="3"/>
      <c r="U5021" s="3"/>
      <c r="V5021" s="3"/>
      <c r="W5021" s="3"/>
      <c r="X5021" s="3"/>
      <c r="Y5021" s="4"/>
      <c r="Z5021"/>
      <c r="AA5021"/>
    </row>
    <row r="5022" spans="1:27" s="37" customFormat="1" ht="16" x14ac:dyDescent="0.2">
      <c r="A5022" s="70"/>
      <c r="B5022" s="118"/>
      <c r="C5022" s="121"/>
      <c r="D5022" s="121"/>
      <c r="E5022" s="70"/>
      <c r="F5022" s="121"/>
      <c r="G5022" s="121"/>
      <c r="H5022" s="85"/>
      <c r="I5022" s="122"/>
      <c r="J5022" s="131"/>
      <c r="K5022" s="69"/>
      <c r="L5022" s="49"/>
      <c r="M5022" s="48"/>
      <c r="P5022" s="3"/>
      <c r="Q5022" s="3"/>
      <c r="R5022" s="3"/>
      <c r="S5022" s="3"/>
      <c r="T5022" s="3"/>
      <c r="U5022" s="3"/>
      <c r="V5022" s="3"/>
      <c r="W5022" s="3"/>
      <c r="X5022" s="3"/>
      <c r="Y5022" s="4"/>
      <c r="Z5022"/>
      <c r="AA5022"/>
    </row>
    <row r="5023" spans="1:27" s="37" customFormat="1" x14ac:dyDescent="0.15">
      <c r="A5023" s="70"/>
      <c r="B5023" s="118"/>
      <c r="C5023" s="121"/>
      <c r="D5023" s="121"/>
      <c r="E5023" s="70"/>
      <c r="F5023" s="121"/>
      <c r="G5023" s="121"/>
      <c r="H5023" s="85"/>
      <c r="I5023" s="122"/>
      <c r="J5023" s="131"/>
      <c r="K5023" s="69"/>
      <c r="L5023" s="49"/>
      <c r="P5023" s="3"/>
      <c r="Q5023" s="3"/>
      <c r="R5023" s="3"/>
      <c r="S5023" s="3"/>
      <c r="T5023" s="3"/>
      <c r="U5023" s="3"/>
      <c r="V5023" s="3"/>
      <c r="W5023" s="3"/>
      <c r="X5023" s="3"/>
      <c r="Y5023" s="4"/>
      <c r="Z5023"/>
      <c r="AA5023"/>
    </row>
    <row r="5024" spans="1:27" s="37" customFormat="1" x14ac:dyDescent="0.15">
      <c r="A5024" s="70"/>
      <c r="B5024" s="118"/>
      <c r="C5024" s="121"/>
      <c r="D5024" s="121"/>
      <c r="E5024" s="70"/>
      <c r="F5024" s="121"/>
      <c r="G5024" s="121"/>
      <c r="H5024" s="85"/>
      <c r="I5024" s="122"/>
      <c r="J5024" s="131"/>
      <c r="K5024" s="69"/>
      <c r="L5024" s="49"/>
      <c r="P5024" s="3"/>
      <c r="Q5024" s="3"/>
      <c r="R5024" s="3"/>
      <c r="S5024" s="3"/>
      <c r="T5024" s="3"/>
      <c r="U5024" s="3"/>
      <c r="V5024" s="3"/>
      <c r="W5024" s="3"/>
      <c r="X5024" s="3"/>
      <c r="Y5024" s="4"/>
      <c r="Z5024"/>
      <c r="AA5024"/>
    </row>
    <row r="5025" spans="1:27" s="37" customFormat="1" x14ac:dyDescent="0.15">
      <c r="A5025" s="70"/>
      <c r="B5025" s="118"/>
      <c r="C5025" s="121"/>
      <c r="D5025" s="121"/>
      <c r="E5025" s="70"/>
      <c r="F5025" s="121"/>
      <c r="G5025" s="121"/>
      <c r="H5025" s="85"/>
      <c r="I5025" s="122"/>
      <c r="J5025" s="131"/>
      <c r="K5025" s="69"/>
      <c r="L5025" s="49"/>
      <c r="P5025" s="3"/>
      <c r="Q5025" s="3"/>
      <c r="R5025" s="3"/>
      <c r="S5025" s="3"/>
      <c r="T5025" s="3"/>
      <c r="U5025" s="3"/>
      <c r="V5025" s="3"/>
      <c r="W5025" s="3"/>
      <c r="X5025" s="3"/>
      <c r="Y5025" s="4"/>
      <c r="Z5025"/>
      <c r="AA5025"/>
    </row>
    <row r="5026" spans="1:27" s="37" customFormat="1" x14ac:dyDescent="0.15">
      <c r="A5026" s="73"/>
      <c r="B5026" s="118"/>
      <c r="C5026" s="121"/>
      <c r="D5026" s="121"/>
      <c r="E5026" s="70"/>
      <c r="F5026" s="121"/>
      <c r="G5026" s="121"/>
      <c r="H5026" s="85"/>
      <c r="I5026" s="122"/>
      <c r="J5026" s="131"/>
      <c r="K5026" s="69"/>
      <c r="L5026" s="49"/>
      <c r="P5026" s="3"/>
      <c r="Q5026" s="3"/>
      <c r="R5026" s="3"/>
      <c r="S5026" s="3"/>
      <c r="T5026" s="3"/>
      <c r="U5026" s="3"/>
      <c r="V5026" s="3"/>
      <c r="W5026" s="3"/>
      <c r="X5026" s="3"/>
      <c r="Y5026" s="4"/>
      <c r="Z5026"/>
      <c r="AA5026"/>
    </row>
    <row r="5027" spans="1:27" s="37" customFormat="1" x14ac:dyDescent="0.15">
      <c r="A5027" s="70"/>
      <c r="B5027" s="118"/>
      <c r="C5027" s="121"/>
      <c r="D5027" s="121"/>
      <c r="E5027" s="70"/>
      <c r="F5027" s="121"/>
      <c r="G5027" s="121"/>
      <c r="H5027" s="85"/>
      <c r="I5027" s="122"/>
      <c r="J5027" s="131"/>
      <c r="K5027" s="69"/>
      <c r="L5027" s="49"/>
      <c r="P5027" s="3"/>
      <c r="Q5027" s="3"/>
      <c r="R5027" s="3"/>
      <c r="S5027" s="3"/>
      <c r="T5027" s="3"/>
      <c r="U5027" s="3"/>
      <c r="V5027" s="3"/>
      <c r="W5027" s="3"/>
      <c r="X5027" s="3"/>
      <c r="Y5027" s="4"/>
      <c r="Z5027"/>
      <c r="AA5027"/>
    </row>
    <row r="5028" spans="1:27" s="37" customFormat="1" x14ac:dyDescent="0.15">
      <c r="A5028" s="70"/>
      <c r="B5028" s="118"/>
      <c r="C5028" s="121"/>
      <c r="D5028" s="121"/>
      <c r="E5028" s="70"/>
      <c r="F5028" s="121"/>
      <c r="G5028" s="121"/>
      <c r="H5028" s="85"/>
      <c r="I5028" s="122"/>
      <c r="J5028" s="131"/>
      <c r="K5028" s="69"/>
      <c r="L5028" s="49"/>
      <c r="P5028" s="3"/>
      <c r="Q5028" s="3"/>
      <c r="R5028" s="3"/>
      <c r="S5028" s="3"/>
      <c r="T5028" s="3"/>
      <c r="U5028" s="3"/>
      <c r="V5028" s="3"/>
      <c r="W5028" s="3"/>
      <c r="X5028" s="3"/>
      <c r="Y5028" s="4"/>
      <c r="Z5028"/>
      <c r="AA5028"/>
    </row>
    <row r="5029" spans="1:27" s="37" customFormat="1" x14ac:dyDescent="0.15">
      <c r="A5029" s="70"/>
      <c r="B5029" s="118"/>
      <c r="C5029" s="121"/>
      <c r="D5029" s="121"/>
      <c r="E5029" s="70"/>
      <c r="F5029" s="121"/>
      <c r="G5029" s="121"/>
      <c r="H5029" s="85"/>
      <c r="I5029" s="122"/>
      <c r="J5029" s="131"/>
      <c r="K5029" s="69"/>
      <c r="L5029" s="49"/>
      <c r="P5029" s="3"/>
      <c r="Q5029" s="3"/>
      <c r="R5029" s="3"/>
      <c r="S5029" s="3"/>
      <c r="T5029" s="3"/>
      <c r="U5029" s="3"/>
      <c r="V5029" s="3"/>
      <c r="W5029" s="3"/>
      <c r="X5029" s="3"/>
      <c r="Y5029" s="4"/>
      <c r="Z5029"/>
      <c r="AA5029"/>
    </row>
    <row r="5030" spans="1:27" s="37" customFormat="1" x14ac:dyDescent="0.15">
      <c r="A5030" s="70"/>
      <c r="B5030" s="118"/>
      <c r="C5030" s="121"/>
      <c r="D5030" s="121"/>
      <c r="E5030" s="70"/>
      <c r="F5030" s="121"/>
      <c r="G5030" s="121"/>
      <c r="H5030" s="85"/>
      <c r="I5030" s="122"/>
      <c r="J5030" s="131"/>
      <c r="K5030" s="69"/>
      <c r="L5030" s="49"/>
      <c r="P5030" s="3"/>
      <c r="Q5030" s="3"/>
      <c r="R5030" s="3"/>
      <c r="S5030" s="3"/>
      <c r="T5030" s="3"/>
      <c r="U5030" s="3"/>
      <c r="V5030" s="3"/>
      <c r="W5030" s="3"/>
      <c r="X5030" s="3"/>
      <c r="Y5030" s="4"/>
      <c r="Z5030"/>
      <c r="AA5030"/>
    </row>
    <row r="5031" spans="1:27" s="37" customFormat="1" x14ac:dyDescent="0.15">
      <c r="A5031" s="70"/>
      <c r="B5031" s="118"/>
      <c r="C5031" s="121"/>
      <c r="D5031" s="121"/>
      <c r="E5031" s="70"/>
      <c r="F5031" s="121"/>
      <c r="G5031" s="121"/>
      <c r="H5031" s="85"/>
      <c r="I5031" s="122"/>
      <c r="J5031" s="131"/>
      <c r="K5031" s="60"/>
      <c r="L5031" s="49"/>
      <c r="P5031" s="3"/>
      <c r="Q5031" s="3"/>
      <c r="R5031" s="3"/>
      <c r="S5031" s="3"/>
      <c r="T5031" s="3"/>
      <c r="U5031" s="3"/>
      <c r="V5031" s="3"/>
      <c r="W5031" s="3"/>
      <c r="X5031" s="3"/>
      <c r="Y5031" s="4"/>
      <c r="Z5031"/>
      <c r="AA5031"/>
    </row>
    <row r="5032" spans="1:27" s="37" customFormat="1" x14ac:dyDescent="0.15">
      <c r="A5032" s="70"/>
      <c r="B5032" s="118"/>
      <c r="C5032" s="121"/>
      <c r="D5032" s="121"/>
      <c r="E5032" s="70"/>
      <c r="F5032" s="121"/>
      <c r="G5032" s="121"/>
      <c r="H5032" s="85"/>
      <c r="I5032" s="122"/>
      <c r="J5032" s="131"/>
      <c r="K5032" s="69"/>
      <c r="L5032" s="49"/>
      <c r="P5032" s="3"/>
      <c r="Q5032" s="3"/>
      <c r="R5032" s="3"/>
      <c r="S5032" s="3"/>
      <c r="T5032" s="3"/>
      <c r="U5032" s="3"/>
      <c r="V5032" s="3"/>
      <c r="W5032" s="3"/>
      <c r="X5032" s="3"/>
      <c r="Y5032" s="4"/>
      <c r="Z5032"/>
      <c r="AA5032"/>
    </row>
    <row r="5033" spans="1:27" s="37" customFormat="1" ht="16" x14ac:dyDescent="0.2">
      <c r="A5033" s="70"/>
      <c r="B5033" s="118"/>
      <c r="C5033" s="121"/>
      <c r="D5033" s="121"/>
      <c r="E5033" s="70"/>
      <c r="F5033" s="121"/>
      <c r="G5033" s="121"/>
      <c r="H5033" s="85"/>
      <c r="I5033" s="122"/>
      <c r="J5033" s="131"/>
      <c r="K5033" s="60"/>
      <c r="L5033" s="49"/>
      <c r="M5033" s="48"/>
      <c r="P5033" s="3"/>
      <c r="Q5033" s="3"/>
      <c r="R5033" s="3"/>
      <c r="S5033" s="3"/>
      <c r="T5033" s="3"/>
      <c r="U5033" s="3"/>
      <c r="V5033" s="3"/>
      <c r="W5033" s="3"/>
      <c r="X5033" s="3"/>
      <c r="Y5033" s="4"/>
      <c r="Z5033"/>
      <c r="AA5033"/>
    </row>
    <row r="5034" spans="1:27" s="37" customFormat="1" x14ac:dyDescent="0.15">
      <c r="A5034" s="70"/>
      <c r="B5034" s="118"/>
      <c r="C5034" s="121"/>
      <c r="D5034" s="121"/>
      <c r="E5034" s="70"/>
      <c r="F5034" s="121"/>
      <c r="G5034" s="121"/>
      <c r="H5034" s="85"/>
      <c r="I5034" s="122"/>
      <c r="J5034" s="131"/>
      <c r="K5034" s="69"/>
      <c r="L5034" s="49"/>
      <c r="P5034" s="3"/>
      <c r="Q5034" s="3"/>
      <c r="R5034" s="3"/>
      <c r="S5034" s="3"/>
      <c r="T5034" s="3"/>
      <c r="U5034" s="3"/>
      <c r="V5034" s="3"/>
      <c r="W5034" s="3"/>
      <c r="X5034" s="3"/>
      <c r="Y5034" s="4"/>
      <c r="Z5034"/>
      <c r="AA5034"/>
    </row>
    <row r="5035" spans="1:27" s="37" customFormat="1" x14ac:dyDescent="0.15">
      <c r="A5035" s="70"/>
      <c r="B5035" s="118"/>
      <c r="C5035" s="121"/>
      <c r="D5035" s="121"/>
      <c r="E5035" s="70"/>
      <c r="F5035" s="121"/>
      <c r="G5035" s="121"/>
      <c r="H5035" s="85"/>
      <c r="I5035" s="122"/>
      <c r="J5035" s="131"/>
      <c r="K5035" s="69"/>
      <c r="L5035" s="49"/>
      <c r="P5035" s="3"/>
      <c r="Q5035" s="3"/>
      <c r="R5035" s="3"/>
      <c r="S5035" s="3"/>
      <c r="T5035" s="3"/>
      <c r="U5035" s="3"/>
      <c r="V5035" s="3"/>
      <c r="W5035" s="3"/>
      <c r="X5035" s="3"/>
      <c r="Y5035" s="4"/>
      <c r="Z5035"/>
      <c r="AA5035"/>
    </row>
    <row r="5036" spans="1:27" s="37" customFormat="1" x14ac:dyDescent="0.15">
      <c r="A5036" s="70"/>
      <c r="B5036" s="118"/>
      <c r="C5036" s="121"/>
      <c r="D5036" s="121"/>
      <c r="E5036" s="70"/>
      <c r="F5036" s="121"/>
      <c r="G5036" s="121"/>
      <c r="H5036" s="85"/>
      <c r="I5036" s="122"/>
      <c r="J5036" s="131"/>
      <c r="K5036" s="69"/>
      <c r="L5036" s="49"/>
      <c r="P5036" s="3"/>
      <c r="Q5036" s="3"/>
      <c r="R5036" s="3"/>
      <c r="S5036" s="3"/>
      <c r="T5036" s="3"/>
      <c r="U5036" s="3"/>
      <c r="V5036" s="3"/>
      <c r="W5036" s="3"/>
      <c r="X5036" s="3"/>
      <c r="Y5036" s="4"/>
      <c r="Z5036"/>
      <c r="AA5036"/>
    </row>
    <row r="5037" spans="1:27" s="37" customFormat="1" x14ac:dyDescent="0.15">
      <c r="A5037" s="70"/>
      <c r="B5037" s="118"/>
      <c r="C5037" s="121"/>
      <c r="D5037" s="121"/>
      <c r="E5037" s="70"/>
      <c r="F5037" s="121"/>
      <c r="G5037" s="121"/>
      <c r="H5037" s="85"/>
      <c r="I5037" s="122"/>
      <c r="J5037" s="131"/>
      <c r="K5037" s="60"/>
      <c r="L5037" s="49"/>
      <c r="P5037" s="3"/>
      <c r="Q5037" s="3"/>
      <c r="R5037" s="3"/>
      <c r="S5037" s="3"/>
      <c r="T5037" s="3"/>
      <c r="U5037" s="3"/>
      <c r="V5037" s="3"/>
      <c r="W5037" s="3"/>
      <c r="X5037" s="3"/>
      <c r="Y5037" s="4"/>
      <c r="Z5037"/>
      <c r="AA5037"/>
    </row>
    <row r="5038" spans="1:27" s="37" customFormat="1" x14ac:dyDescent="0.15">
      <c r="A5038" s="70"/>
      <c r="B5038" s="117"/>
      <c r="C5038" s="121"/>
      <c r="D5038" s="121"/>
      <c r="E5038" s="73"/>
      <c r="F5038" s="121"/>
      <c r="G5038" s="121"/>
      <c r="H5038" s="85"/>
      <c r="I5038" s="122"/>
      <c r="J5038" s="131"/>
      <c r="K5038" s="60"/>
      <c r="L5038" s="33"/>
      <c r="P5038" s="3"/>
      <c r="Q5038" s="3"/>
      <c r="R5038" s="3"/>
      <c r="S5038" s="3"/>
      <c r="T5038" s="3"/>
      <c r="U5038" s="3"/>
      <c r="V5038" s="3"/>
      <c r="W5038" s="3"/>
      <c r="X5038" s="3"/>
      <c r="Y5038" s="4"/>
      <c r="Z5038"/>
      <c r="AA5038"/>
    </row>
    <row r="5039" spans="1:27" s="3" customFormat="1" x14ac:dyDescent="0.15">
      <c r="A5039" s="70"/>
      <c r="B5039" s="118"/>
      <c r="C5039" s="121"/>
      <c r="D5039" s="121"/>
      <c r="E5039" s="70"/>
      <c r="F5039" s="121"/>
      <c r="G5039" s="121"/>
      <c r="H5039" s="85"/>
      <c r="I5039" s="122"/>
      <c r="J5039" s="131"/>
      <c r="K5039" s="60"/>
      <c r="L5039" s="49"/>
      <c r="M5039" s="37"/>
      <c r="N5039" s="37"/>
      <c r="O5039" s="37"/>
      <c r="Y5039" s="4"/>
      <c r="Z5039"/>
      <c r="AA5039"/>
    </row>
    <row r="5040" spans="1:27" s="3" customFormat="1" x14ac:dyDescent="0.15">
      <c r="A5040" s="70"/>
      <c r="B5040" s="117"/>
      <c r="C5040" s="121"/>
      <c r="D5040" s="121"/>
      <c r="E5040" s="70"/>
      <c r="F5040" s="121"/>
      <c r="G5040" s="121"/>
      <c r="H5040" s="85"/>
      <c r="I5040" s="122"/>
      <c r="J5040" s="131"/>
      <c r="K5040" s="60"/>
      <c r="L5040" s="33"/>
      <c r="M5040" s="37"/>
      <c r="N5040" s="37"/>
      <c r="O5040" s="37"/>
      <c r="Y5040" s="4"/>
      <c r="Z5040"/>
      <c r="AA5040"/>
    </row>
    <row r="5041" spans="1:27" s="3" customFormat="1" x14ac:dyDescent="0.15">
      <c r="A5041" s="70"/>
      <c r="B5041" s="117"/>
      <c r="C5041" s="121"/>
      <c r="D5041" s="121"/>
      <c r="E5041" s="70"/>
      <c r="F5041" s="121"/>
      <c r="G5041" s="121"/>
      <c r="H5041" s="85"/>
      <c r="I5041" s="122"/>
      <c r="J5041" s="131"/>
      <c r="K5041" s="60"/>
      <c r="L5041" s="33"/>
      <c r="M5041" s="37"/>
      <c r="N5041" s="37"/>
      <c r="O5041" s="37"/>
      <c r="Y5041" s="4"/>
      <c r="Z5041"/>
      <c r="AA5041"/>
    </row>
    <row r="5042" spans="1:27" s="3" customFormat="1" x14ac:dyDescent="0.15">
      <c r="A5042" s="70"/>
      <c r="B5042" s="117"/>
      <c r="C5042" s="121"/>
      <c r="D5042" s="121"/>
      <c r="E5042" s="70"/>
      <c r="F5042" s="121"/>
      <c r="G5042" s="121"/>
      <c r="H5042" s="85"/>
      <c r="I5042" s="122"/>
      <c r="J5042" s="131"/>
      <c r="K5042" s="60"/>
      <c r="L5042" s="33"/>
      <c r="M5042" s="37"/>
      <c r="N5042" s="37"/>
      <c r="O5042" s="37"/>
      <c r="Y5042" s="4"/>
      <c r="Z5042"/>
      <c r="AA5042"/>
    </row>
    <row r="5043" spans="1:27" s="3" customFormat="1" x14ac:dyDescent="0.15">
      <c r="A5043" s="70"/>
      <c r="B5043" s="118"/>
      <c r="C5043" s="121"/>
      <c r="D5043" s="121"/>
      <c r="E5043" s="70"/>
      <c r="F5043" s="121"/>
      <c r="G5043" s="121"/>
      <c r="H5043" s="85"/>
      <c r="I5043" s="122"/>
      <c r="J5043" s="131"/>
      <c r="K5043" s="60"/>
      <c r="L5043" s="49"/>
      <c r="M5043" s="37"/>
      <c r="N5043" s="37"/>
      <c r="O5043" s="37"/>
      <c r="Y5043" s="4"/>
      <c r="Z5043"/>
      <c r="AA5043"/>
    </row>
    <row r="5044" spans="1:27" s="3" customFormat="1" x14ac:dyDescent="0.15">
      <c r="A5044" s="70"/>
      <c r="B5044" s="118"/>
      <c r="C5044" s="121"/>
      <c r="D5044" s="121"/>
      <c r="E5044" s="70"/>
      <c r="F5044" s="121"/>
      <c r="G5044" s="121"/>
      <c r="H5044" s="85"/>
      <c r="I5044" s="122"/>
      <c r="J5044" s="131"/>
      <c r="K5044" s="60"/>
      <c r="L5044" s="49"/>
      <c r="M5044" s="37"/>
      <c r="N5044" s="37"/>
      <c r="O5044" s="37"/>
      <c r="Y5044" s="4"/>
      <c r="Z5044"/>
      <c r="AA5044"/>
    </row>
    <row r="5045" spans="1:27" s="3" customFormat="1" x14ac:dyDescent="0.15">
      <c r="A5045" s="70"/>
      <c r="B5045" s="118"/>
      <c r="C5045" s="121"/>
      <c r="D5045" s="121"/>
      <c r="E5045" s="70"/>
      <c r="F5045" s="121"/>
      <c r="G5045" s="121"/>
      <c r="H5045" s="85"/>
      <c r="I5045" s="122"/>
      <c r="J5045" s="131"/>
      <c r="K5045" s="60"/>
      <c r="L5045" s="49"/>
      <c r="M5045" s="37"/>
      <c r="N5045" s="37"/>
      <c r="O5045" s="37"/>
      <c r="Y5045" s="4"/>
      <c r="Z5045"/>
      <c r="AA5045"/>
    </row>
    <row r="5046" spans="1:27" s="3" customFormat="1" x14ac:dyDescent="0.15">
      <c r="A5046" s="73"/>
      <c r="B5046" s="118"/>
      <c r="C5046" s="121"/>
      <c r="D5046" s="121"/>
      <c r="E5046" s="70"/>
      <c r="F5046" s="121"/>
      <c r="G5046" s="121"/>
      <c r="H5046" s="85"/>
      <c r="I5046" s="122"/>
      <c r="J5046" s="131"/>
      <c r="K5046" s="60"/>
      <c r="L5046" s="49"/>
      <c r="M5046" s="37"/>
      <c r="N5046" s="37"/>
      <c r="O5046" s="37"/>
      <c r="Y5046" s="4"/>
      <c r="Z5046"/>
      <c r="AA5046"/>
    </row>
    <row r="5047" spans="1:27" s="3" customFormat="1" x14ac:dyDescent="0.15">
      <c r="A5047" s="70"/>
      <c r="B5047" s="118"/>
      <c r="C5047" s="121"/>
      <c r="D5047" s="121"/>
      <c r="E5047" s="70"/>
      <c r="F5047" s="121"/>
      <c r="G5047" s="121"/>
      <c r="H5047" s="85"/>
      <c r="I5047" s="122"/>
      <c r="J5047" s="131"/>
      <c r="K5047" s="60"/>
      <c r="L5047" s="49"/>
      <c r="M5047" s="37"/>
      <c r="N5047" s="37"/>
      <c r="O5047" s="37"/>
      <c r="Y5047" s="4"/>
      <c r="Z5047"/>
      <c r="AA5047"/>
    </row>
    <row r="5048" spans="1:27" s="3" customFormat="1" x14ac:dyDescent="0.15">
      <c r="A5048" s="73"/>
      <c r="B5048" s="118"/>
      <c r="C5048" s="121"/>
      <c r="D5048" s="121"/>
      <c r="E5048" s="70"/>
      <c r="F5048" s="121"/>
      <c r="G5048" s="121"/>
      <c r="H5048" s="85"/>
      <c r="I5048" s="122"/>
      <c r="J5048" s="131"/>
      <c r="K5048" s="60"/>
      <c r="L5048" s="49"/>
      <c r="M5048" s="37"/>
      <c r="N5048" s="37"/>
      <c r="O5048" s="37"/>
      <c r="Y5048" s="4"/>
      <c r="Z5048"/>
      <c r="AA5048"/>
    </row>
    <row r="5049" spans="1:27" s="3" customFormat="1" x14ac:dyDescent="0.15">
      <c r="A5049" s="70"/>
      <c r="B5049" s="117"/>
      <c r="C5049" s="121"/>
      <c r="D5049" s="121"/>
      <c r="E5049" s="70"/>
      <c r="F5049" s="121"/>
      <c r="G5049" s="121"/>
      <c r="H5049" s="85"/>
      <c r="I5049" s="122"/>
      <c r="J5049" s="131"/>
      <c r="K5049" s="60"/>
      <c r="L5049" s="49"/>
      <c r="M5049" s="37"/>
      <c r="N5049" s="37"/>
      <c r="O5049" s="37"/>
      <c r="Y5049" s="4"/>
      <c r="Z5049"/>
      <c r="AA5049"/>
    </row>
    <row r="5050" spans="1:27" s="3" customFormat="1" x14ac:dyDescent="0.15">
      <c r="A5050" s="70"/>
      <c r="B5050" s="118"/>
      <c r="C5050" s="121"/>
      <c r="D5050" s="121"/>
      <c r="E5050" s="70"/>
      <c r="F5050" s="121"/>
      <c r="G5050" s="121"/>
      <c r="H5050" s="85"/>
      <c r="I5050" s="122"/>
      <c r="J5050" s="131"/>
      <c r="K5050" s="69"/>
      <c r="L5050" s="49"/>
      <c r="M5050" s="37"/>
      <c r="N5050" s="37"/>
      <c r="O5050" s="51"/>
      <c r="Y5050" s="4"/>
      <c r="Z5050"/>
      <c r="AA5050"/>
    </row>
    <row r="5051" spans="1:27" s="3" customFormat="1" x14ac:dyDescent="0.15">
      <c r="A5051" s="70"/>
      <c r="B5051" s="118"/>
      <c r="C5051" s="121"/>
      <c r="D5051" s="121"/>
      <c r="E5051" s="70"/>
      <c r="F5051" s="121"/>
      <c r="G5051" s="121"/>
      <c r="H5051" s="85"/>
      <c r="I5051" s="122"/>
      <c r="J5051" s="131"/>
      <c r="K5051" s="69"/>
      <c r="L5051" s="49"/>
      <c r="M5051" s="37"/>
      <c r="N5051" s="37"/>
      <c r="O5051" s="51"/>
      <c r="Y5051" s="4"/>
      <c r="Z5051"/>
      <c r="AA5051"/>
    </row>
    <row r="5052" spans="1:27" s="3" customFormat="1" x14ac:dyDescent="0.15">
      <c r="A5052" s="73"/>
      <c r="B5052" s="118"/>
      <c r="C5052" s="121"/>
      <c r="D5052" s="121"/>
      <c r="E5052" s="70"/>
      <c r="F5052" s="121"/>
      <c r="G5052" s="121"/>
      <c r="H5052" s="85"/>
      <c r="I5052" s="122"/>
      <c r="J5052" s="131"/>
      <c r="K5052" s="69"/>
      <c r="L5052" s="49"/>
      <c r="M5052" s="37"/>
      <c r="N5052" s="37"/>
      <c r="O5052" s="51"/>
      <c r="Y5052" s="4"/>
      <c r="Z5052"/>
      <c r="AA5052"/>
    </row>
    <row r="5053" spans="1:27" s="3" customFormat="1" x14ac:dyDescent="0.15">
      <c r="A5053" s="70"/>
      <c r="B5053" s="118"/>
      <c r="C5053" s="121"/>
      <c r="D5053" s="121"/>
      <c r="E5053" s="70"/>
      <c r="F5053" s="121"/>
      <c r="G5053" s="121"/>
      <c r="H5053" s="85"/>
      <c r="I5053" s="122"/>
      <c r="J5053" s="131"/>
      <c r="K5053" s="69"/>
      <c r="L5053" s="49"/>
      <c r="M5053" s="37"/>
      <c r="N5053" s="37"/>
      <c r="O5053" s="51"/>
      <c r="Y5053" s="4"/>
      <c r="Z5053"/>
      <c r="AA5053"/>
    </row>
    <row r="5054" spans="1:27" s="3" customFormat="1" x14ac:dyDescent="0.15">
      <c r="A5054" s="70"/>
      <c r="B5054" s="118"/>
      <c r="C5054" s="121"/>
      <c r="D5054" s="121"/>
      <c r="E5054" s="70"/>
      <c r="F5054" s="121"/>
      <c r="G5054" s="121"/>
      <c r="H5054" s="85"/>
      <c r="I5054" s="122"/>
      <c r="J5054" s="131"/>
      <c r="K5054" s="69"/>
      <c r="L5054" s="49"/>
      <c r="M5054" s="37"/>
      <c r="N5054" s="37"/>
      <c r="O5054" s="51"/>
      <c r="Y5054" s="4"/>
      <c r="Z5054"/>
      <c r="AA5054"/>
    </row>
    <row r="5055" spans="1:27" x14ac:dyDescent="0.15">
      <c r="A5055" s="70"/>
      <c r="B5055" s="118"/>
      <c r="C5055" s="121"/>
      <c r="D5055" s="121"/>
      <c r="E5055" s="70"/>
      <c r="F5055" s="121"/>
      <c r="G5055" s="121"/>
      <c r="H5055" s="85"/>
      <c r="I5055" s="122"/>
      <c r="J5055" s="131"/>
      <c r="K5055" s="69"/>
      <c r="O5055" s="51"/>
    </row>
    <row r="5056" spans="1:27" ht="16" x14ac:dyDescent="0.2">
      <c r="A5056" s="70"/>
      <c r="B5056" s="118"/>
      <c r="C5056" s="121"/>
      <c r="D5056" s="121"/>
      <c r="E5056" s="121"/>
      <c r="F5056" s="121"/>
      <c r="G5056" s="121"/>
      <c r="H5056" s="85"/>
      <c r="I5056" s="122"/>
      <c r="J5056" s="131"/>
      <c r="K5056" s="69"/>
      <c r="M5056" s="48"/>
      <c r="O5056" s="51"/>
    </row>
    <row r="5057" spans="1:27" ht="16" x14ac:dyDescent="0.2">
      <c r="A5057" s="70"/>
      <c r="B5057" s="117"/>
      <c r="C5057" s="121"/>
      <c r="D5057" s="121"/>
      <c r="E5057" s="121"/>
      <c r="F5057" s="121"/>
      <c r="G5057" s="121"/>
      <c r="H5057" s="85"/>
      <c r="I5057" s="122"/>
      <c r="J5057" s="131"/>
      <c r="K5057" s="60"/>
      <c r="L5057" s="47"/>
      <c r="O5057" s="51"/>
    </row>
    <row r="5058" spans="1:27" x14ac:dyDescent="0.15">
      <c r="A5058" s="70"/>
      <c r="B5058" s="117"/>
      <c r="C5058" s="121"/>
      <c r="D5058" s="121"/>
      <c r="E5058" s="121"/>
      <c r="F5058" s="121"/>
      <c r="G5058" s="121"/>
      <c r="H5058" s="85"/>
      <c r="I5058" s="122"/>
      <c r="J5058" s="131"/>
      <c r="K5058" s="60"/>
      <c r="L5058" s="33"/>
    </row>
    <row r="5059" spans="1:27" ht="16" x14ac:dyDescent="0.2">
      <c r="A5059" s="70"/>
      <c r="B5059" s="118"/>
      <c r="C5059" s="121"/>
      <c r="D5059" s="121"/>
      <c r="E5059" s="121"/>
      <c r="F5059" s="121"/>
      <c r="G5059" s="121"/>
      <c r="H5059" s="85"/>
      <c r="I5059" s="122"/>
      <c r="J5059" s="131"/>
      <c r="K5059" s="69"/>
      <c r="M5059" s="48"/>
    </row>
    <row r="5060" spans="1:27" x14ac:dyDescent="0.15">
      <c r="A5060" s="70"/>
      <c r="B5060" s="118"/>
      <c r="C5060" s="121"/>
      <c r="D5060" s="121"/>
      <c r="E5060" s="121"/>
      <c r="F5060" s="121"/>
      <c r="G5060" s="121"/>
      <c r="H5060" s="85"/>
      <c r="I5060" s="122"/>
      <c r="J5060" s="131"/>
      <c r="K5060" s="69"/>
    </row>
    <row r="5061" spans="1:27" x14ac:dyDescent="0.15">
      <c r="A5061" s="70"/>
      <c r="B5061" s="117"/>
      <c r="C5061" s="121"/>
      <c r="D5061" s="121"/>
      <c r="E5061" s="121"/>
      <c r="F5061" s="121"/>
      <c r="G5061" s="121"/>
      <c r="H5061" s="85"/>
      <c r="I5061" s="122"/>
      <c r="J5061" s="131"/>
      <c r="K5061" s="60"/>
      <c r="L5061" s="33"/>
    </row>
    <row r="5062" spans="1:27" x14ac:dyDescent="0.15">
      <c r="A5062" s="73"/>
      <c r="B5062" s="118"/>
      <c r="C5062" s="121"/>
      <c r="D5062" s="121"/>
      <c r="E5062" s="121"/>
      <c r="F5062" s="121"/>
      <c r="G5062" s="121"/>
      <c r="H5062" s="85"/>
      <c r="I5062" s="122"/>
      <c r="J5062" s="131"/>
      <c r="K5062" s="60"/>
    </row>
    <row r="5063" spans="1:27" x14ac:dyDescent="0.15">
      <c r="A5063" s="70"/>
      <c r="B5063" s="118"/>
      <c r="C5063" s="121"/>
      <c r="D5063" s="121"/>
      <c r="E5063" s="121"/>
      <c r="F5063" s="121"/>
      <c r="G5063" s="121"/>
      <c r="H5063" s="85"/>
      <c r="I5063" s="122"/>
      <c r="J5063" s="131"/>
      <c r="K5063" s="60"/>
      <c r="O5063" s="51"/>
    </row>
    <row r="5064" spans="1:27" x14ac:dyDescent="0.15">
      <c r="A5064" s="70"/>
      <c r="B5064" s="118"/>
      <c r="C5064" s="121"/>
      <c r="D5064" s="121"/>
      <c r="E5064" s="121"/>
      <c r="F5064" s="121"/>
      <c r="G5064" s="121"/>
      <c r="H5064" s="85"/>
      <c r="I5064" s="122"/>
      <c r="J5064" s="131"/>
      <c r="K5064" s="60"/>
    </row>
    <row r="5065" spans="1:27" x14ac:dyDescent="0.15">
      <c r="A5065" s="70"/>
      <c r="B5065" s="118"/>
      <c r="C5065" s="121"/>
      <c r="D5065" s="121"/>
      <c r="E5065" s="121"/>
      <c r="F5065" s="121"/>
      <c r="G5065" s="121"/>
      <c r="H5065" s="85"/>
      <c r="I5065" s="122"/>
      <c r="J5065" s="131"/>
      <c r="K5065" s="69"/>
    </row>
    <row r="5066" spans="1:27" x14ac:dyDescent="0.15">
      <c r="A5066" s="73"/>
      <c r="B5066" s="118"/>
      <c r="C5066" s="121"/>
      <c r="D5066" s="121"/>
      <c r="E5066" s="121"/>
      <c r="F5066" s="121"/>
      <c r="G5066" s="121"/>
      <c r="H5066" s="85"/>
      <c r="I5066" s="122"/>
      <c r="J5066" s="131"/>
      <c r="K5066" s="60"/>
    </row>
    <row r="5067" spans="1:27" x14ac:dyDescent="0.15">
      <c r="A5067" s="70"/>
      <c r="B5067" s="118"/>
      <c r="C5067" s="121"/>
      <c r="D5067" s="121"/>
      <c r="E5067" s="121"/>
      <c r="F5067" s="121"/>
      <c r="G5067" s="121"/>
      <c r="H5067" s="85"/>
      <c r="I5067" s="122"/>
      <c r="J5067" s="131"/>
      <c r="K5067" s="60"/>
    </row>
    <row r="5068" spans="1:27" x14ac:dyDescent="0.15">
      <c r="A5068" s="70"/>
      <c r="B5068" s="118"/>
      <c r="C5068" s="121"/>
      <c r="D5068" s="121"/>
      <c r="E5068" s="121"/>
      <c r="F5068" s="121"/>
      <c r="G5068" s="121"/>
      <c r="H5068" s="85"/>
      <c r="I5068" s="122"/>
      <c r="J5068" s="131"/>
      <c r="K5068" s="60"/>
    </row>
    <row r="5069" spans="1:27" x14ac:dyDescent="0.15">
      <c r="A5069" s="73"/>
      <c r="B5069" s="118"/>
      <c r="C5069" s="121"/>
      <c r="D5069" s="121"/>
      <c r="E5069" s="121"/>
      <c r="F5069" s="121"/>
      <c r="G5069" s="121"/>
      <c r="H5069" s="85"/>
      <c r="I5069" s="122"/>
      <c r="J5069" s="131"/>
      <c r="K5069" s="69"/>
      <c r="R5069"/>
      <c r="S5069"/>
      <c r="T5069"/>
      <c r="U5069"/>
      <c r="V5069"/>
      <c r="W5069"/>
      <c r="X5069"/>
      <c r="Y5069"/>
    </row>
    <row r="5070" spans="1:27" x14ac:dyDescent="0.15">
      <c r="A5070" s="73"/>
      <c r="B5070" s="118"/>
      <c r="C5070" s="121"/>
      <c r="D5070" s="121"/>
      <c r="E5070" s="121"/>
      <c r="F5070" s="121"/>
      <c r="G5070" s="121"/>
      <c r="H5070" s="85"/>
      <c r="I5070" s="122"/>
      <c r="J5070" s="131"/>
      <c r="K5070" s="60"/>
    </row>
    <row r="5071" spans="1:27" s="3" customFormat="1" x14ac:dyDescent="0.15">
      <c r="A5071" s="70"/>
      <c r="B5071" s="117"/>
      <c r="C5071" s="121"/>
      <c r="D5071" s="121"/>
      <c r="E5071" s="121"/>
      <c r="F5071" s="121"/>
      <c r="G5071" s="121"/>
      <c r="H5071" s="85"/>
      <c r="I5071" s="122"/>
      <c r="J5071" s="131"/>
      <c r="K5071" s="60"/>
      <c r="L5071" s="33"/>
      <c r="M5071" s="37"/>
      <c r="N5071" s="37"/>
      <c r="O5071" s="37"/>
      <c r="Y5071" s="4"/>
      <c r="Z5071"/>
      <c r="AA5071"/>
    </row>
    <row r="5072" spans="1:27" s="3" customFormat="1" x14ac:dyDescent="0.15">
      <c r="A5072" s="70"/>
      <c r="B5072" s="117"/>
      <c r="C5072" s="121"/>
      <c r="D5072" s="121"/>
      <c r="E5072" s="121"/>
      <c r="F5072" s="121"/>
      <c r="G5072" s="121"/>
      <c r="H5072" s="85"/>
      <c r="I5072" s="122"/>
      <c r="J5072" s="131"/>
      <c r="K5072" s="60"/>
      <c r="L5072" s="33"/>
      <c r="M5072" s="37"/>
      <c r="N5072" s="37"/>
      <c r="O5072" s="37"/>
      <c r="Y5072" s="4"/>
      <c r="Z5072"/>
      <c r="AA5072"/>
    </row>
    <row r="5073" spans="1:27" s="3" customFormat="1" x14ac:dyDescent="0.15">
      <c r="A5073" s="70"/>
      <c r="B5073" s="118"/>
      <c r="C5073" s="121"/>
      <c r="D5073" s="121"/>
      <c r="E5073" s="121"/>
      <c r="F5073" s="121"/>
      <c r="G5073" s="121"/>
      <c r="H5073" s="85"/>
      <c r="I5073" s="122"/>
      <c r="J5073" s="131"/>
      <c r="K5073" s="60"/>
      <c r="L5073" s="49"/>
      <c r="M5073" s="37"/>
      <c r="N5073" s="37"/>
      <c r="O5073" s="51"/>
      <c r="Y5073" s="4"/>
      <c r="Z5073"/>
      <c r="AA5073"/>
    </row>
    <row r="5074" spans="1:27" s="3" customFormat="1" x14ac:dyDescent="0.15">
      <c r="A5074" s="70"/>
      <c r="B5074" s="118"/>
      <c r="C5074" s="121"/>
      <c r="D5074" s="121"/>
      <c r="E5074" s="121"/>
      <c r="F5074" s="121"/>
      <c r="G5074" s="121"/>
      <c r="H5074" s="85"/>
      <c r="I5074" s="122"/>
      <c r="J5074" s="131"/>
      <c r="K5074" s="60"/>
      <c r="L5074" s="49"/>
      <c r="M5074" s="37"/>
      <c r="N5074" s="37"/>
      <c r="O5074" s="37"/>
      <c r="Y5074" s="4"/>
      <c r="Z5074"/>
      <c r="AA5074"/>
    </row>
    <row r="5075" spans="1:27" s="3" customFormat="1" x14ac:dyDescent="0.15">
      <c r="A5075" s="70"/>
      <c r="B5075" s="117"/>
      <c r="C5075" s="121"/>
      <c r="D5075" s="121"/>
      <c r="E5075" s="121"/>
      <c r="F5075" s="121"/>
      <c r="G5075" s="121"/>
      <c r="H5075" s="85"/>
      <c r="I5075" s="122"/>
      <c r="J5075" s="131"/>
      <c r="K5075" s="60"/>
      <c r="L5075" s="33"/>
      <c r="M5075" s="37"/>
      <c r="N5075" s="37"/>
      <c r="O5075" s="37"/>
      <c r="Y5075" s="4"/>
      <c r="Z5075"/>
      <c r="AA5075"/>
    </row>
    <row r="5076" spans="1:27" s="3" customFormat="1" x14ac:dyDescent="0.15">
      <c r="A5076" s="70"/>
      <c r="B5076" s="117"/>
      <c r="C5076" s="121"/>
      <c r="D5076" s="121"/>
      <c r="E5076" s="121"/>
      <c r="F5076" s="121"/>
      <c r="G5076" s="121"/>
      <c r="H5076" s="85"/>
      <c r="I5076" s="122"/>
      <c r="J5076" s="131"/>
      <c r="K5076" s="60"/>
      <c r="L5076" s="33"/>
      <c r="M5076" s="37"/>
      <c r="N5076" s="37"/>
      <c r="O5076" s="37"/>
      <c r="Y5076" s="4"/>
      <c r="Z5076"/>
      <c r="AA5076"/>
    </row>
    <row r="5077" spans="1:27" s="3" customFormat="1" x14ac:dyDescent="0.15">
      <c r="A5077" s="70"/>
      <c r="B5077" s="118"/>
      <c r="C5077" s="121"/>
      <c r="D5077" s="121"/>
      <c r="E5077" s="121"/>
      <c r="F5077" s="121"/>
      <c r="G5077" s="121"/>
      <c r="H5077" s="85"/>
      <c r="I5077" s="122"/>
      <c r="J5077" s="131"/>
      <c r="K5077" s="60"/>
      <c r="L5077" s="49"/>
      <c r="M5077" s="37"/>
      <c r="N5077" s="37"/>
      <c r="O5077" s="37"/>
      <c r="Y5077" s="4"/>
      <c r="Z5077"/>
      <c r="AA5077"/>
    </row>
    <row r="5078" spans="1:27" s="3" customFormat="1" x14ac:dyDescent="0.15">
      <c r="A5078" s="70"/>
      <c r="B5078" s="117"/>
      <c r="C5078" s="121"/>
      <c r="D5078" s="121"/>
      <c r="E5078" s="121"/>
      <c r="F5078" s="121"/>
      <c r="G5078" s="121"/>
      <c r="H5078" s="85"/>
      <c r="I5078" s="122"/>
      <c r="J5078" s="131"/>
      <c r="K5078" s="60"/>
      <c r="L5078" s="33"/>
      <c r="M5078" s="37"/>
      <c r="N5078" s="37"/>
      <c r="O5078" s="37"/>
      <c r="Y5078" s="4"/>
      <c r="Z5078"/>
      <c r="AA5078"/>
    </row>
    <row r="5079" spans="1:27" s="3" customFormat="1" x14ac:dyDescent="0.15">
      <c r="A5079" s="70"/>
      <c r="B5079" s="118"/>
      <c r="C5079" s="121"/>
      <c r="D5079" s="121"/>
      <c r="E5079" s="121"/>
      <c r="F5079" s="121"/>
      <c r="G5079" s="121"/>
      <c r="H5079" s="85"/>
      <c r="I5079" s="122"/>
      <c r="J5079" s="131"/>
      <c r="K5079" s="69"/>
      <c r="L5079" s="49"/>
      <c r="M5079" s="37"/>
      <c r="N5079" s="37"/>
      <c r="O5079" s="37"/>
      <c r="Y5079" s="4"/>
      <c r="Z5079"/>
      <c r="AA5079"/>
    </row>
    <row r="5080" spans="1:27" s="3" customFormat="1" x14ac:dyDescent="0.15">
      <c r="A5080" s="73"/>
      <c r="B5080" s="118"/>
      <c r="C5080" s="121"/>
      <c r="D5080" s="121"/>
      <c r="E5080" s="121"/>
      <c r="F5080" s="121"/>
      <c r="G5080" s="121"/>
      <c r="H5080" s="85"/>
      <c r="I5080" s="122"/>
      <c r="J5080" s="131"/>
      <c r="K5080" s="69"/>
      <c r="L5080" s="49"/>
      <c r="M5080" s="37"/>
      <c r="N5080" s="37"/>
      <c r="O5080" s="37"/>
      <c r="Y5080" s="4"/>
      <c r="Z5080"/>
      <c r="AA5080"/>
    </row>
    <row r="5081" spans="1:27" s="3" customFormat="1" x14ac:dyDescent="0.15">
      <c r="A5081" s="70"/>
      <c r="B5081" s="118"/>
      <c r="C5081" s="121"/>
      <c r="D5081" s="121"/>
      <c r="E5081" s="121"/>
      <c r="F5081" s="121"/>
      <c r="G5081" s="121"/>
      <c r="H5081" s="85"/>
      <c r="I5081" s="122"/>
      <c r="J5081" s="131"/>
      <c r="K5081" s="69"/>
      <c r="L5081" s="49"/>
      <c r="M5081" s="37"/>
      <c r="N5081" s="37"/>
      <c r="O5081" s="37"/>
      <c r="Y5081" s="4"/>
      <c r="Z5081"/>
      <c r="AA5081"/>
    </row>
    <row r="5082" spans="1:27" s="3" customFormat="1" x14ac:dyDescent="0.15">
      <c r="A5082" s="70"/>
      <c r="B5082" s="118"/>
      <c r="C5082" s="121"/>
      <c r="D5082" s="121"/>
      <c r="E5082" s="121"/>
      <c r="F5082" s="121"/>
      <c r="G5082" s="121"/>
      <c r="H5082" s="85"/>
      <c r="I5082" s="122"/>
      <c r="J5082" s="131"/>
      <c r="K5082" s="60"/>
      <c r="L5082" s="49"/>
      <c r="M5082" s="37"/>
      <c r="N5082" s="37"/>
      <c r="O5082" s="37"/>
      <c r="Y5082" s="4"/>
      <c r="Z5082"/>
      <c r="AA5082"/>
    </row>
    <row r="5083" spans="1:27" s="3" customFormat="1" x14ac:dyDescent="0.15">
      <c r="A5083" s="70"/>
      <c r="B5083" s="118"/>
      <c r="C5083" s="121"/>
      <c r="D5083" s="121"/>
      <c r="E5083" s="121"/>
      <c r="F5083" s="121"/>
      <c r="G5083" s="121"/>
      <c r="H5083" s="85"/>
      <c r="I5083" s="122"/>
      <c r="J5083" s="131"/>
      <c r="K5083" s="60"/>
      <c r="L5083" s="49"/>
      <c r="M5083" s="37"/>
      <c r="N5083" s="37"/>
      <c r="O5083" s="37"/>
      <c r="Y5083" s="4"/>
      <c r="Z5083"/>
      <c r="AA5083"/>
    </row>
    <row r="5084" spans="1:27" s="3" customFormat="1" x14ac:dyDescent="0.15">
      <c r="A5084" s="70"/>
      <c r="B5084" s="118"/>
      <c r="C5084" s="121"/>
      <c r="D5084" s="121"/>
      <c r="E5084" s="121"/>
      <c r="F5084" s="121"/>
      <c r="G5084" s="121"/>
      <c r="H5084" s="85"/>
      <c r="I5084" s="122"/>
      <c r="J5084" s="131"/>
      <c r="K5084" s="60"/>
      <c r="L5084" s="49"/>
      <c r="M5084" s="37"/>
      <c r="N5084" s="37"/>
      <c r="O5084" s="37"/>
      <c r="Y5084" s="4"/>
      <c r="Z5084"/>
      <c r="AA5084"/>
    </row>
    <row r="5085" spans="1:27" s="3" customFormat="1" x14ac:dyDescent="0.15">
      <c r="A5085" s="70"/>
      <c r="B5085" s="118"/>
      <c r="C5085" s="121"/>
      <c r="D5085" s="121"/>
      <c r="E5085" s="121"/>
      <c r="F5085" s="121"/>
      <c r="G5085" s="121"/>
      <c r="H5085" s="85"/>
      <c r="I5085" s="122"/>
      <c r="J5085" s="131"/>
      <c r="K5085" s="60"/>
      <c r="L5085" s="49"/>
      <c r="M5085" s="37"/>
      <c r="N5085" s="37"/>
      <c r="O5085" s="37"/>
      <c r="Y5085" s="4"/>
      <c r="Z5085"/>
      <c r="AA5085"/>
    </row>
    <row r="5086" spans="1:27" s="3" customFormat="1" x14ac:dyDescent="0.15">
      <c r="A5086" s="70"/>
      <c r="B5086" s="118"/>
      <c r="C5086" s="121"/>
      <c r="D5086" s="121"/>
      <c r="E5086" s="121"/>
      <c r="F5086" s="121"/>
      <c r="G5086" s="121"/>
      <c r="H5086" s="85"/>
      <c r="I5086" s="122"/>
      <c r="J5086" s="131"/>
      <c r="K5086" s="69"/>
      <c r="L5086" s="49"/>
      <c r="M5086" s="37"/>
      <c r="N5086" s="37"/>
      <c r="O5086" s="37"/>
      <c r="Y5086" s="4"/>
      <c r="Z5086"/>
      <c r="AA5086"/>
    </row>
    <row r="5087" spans="1:27" s="37" customFormat="1" x14ac:dyDescent="0.15">
      <c r="A5087" s="70"/>
      <c r="B5087" s="118"/>
      <c r="C5087" s="121"/>
      <c r="D5087" s="121"/>
      <c r="E5087" s="121"/>
      <c r="F5087" s="121"/>
      <c r="G5087" s="121"/>
      <c r="H5087" s="85"/>
      <c r="I5087" s="122"/>
      <c r="J5087" s="131"/>
      <c r="K5087" s="69"/>
      <c r="L5087" s="49"/>
      <c r="P5087" s="3"/>
      <c r="Q5087" s="3"/>
      <c r="R5087" s="3"/>
      <c r="S5087" s="3"/>
      <c r="T5087" s="3"/>
      <c r="U5087" s="3"/>
      <c r="V5087" s="3"/>
      <c r="W5087" s="3"/>
      <c r="X5087" s="3"/>
      <c r="Y5087" s="4"/>
      <c r="Z5087"/>
      <c r="AA5087"/>
    </row>
    <row r="5088" spans="1:27" s="37" customFormat="1" x14ac:dyDescent="0.15">
      <c r="A5088" s="70"/>
      <c r="B5088" s="118"/>
      <c r="C5088" s="121"/>
      <c r="D5088" s="121"/>
      <c r="E5088" s="121"/>
      <c r="F5088" s="121"/>
      <c r="G5088" s="121"/>
      <c r="H5088" s="85"/>
      <c r="I5088" s="122"/>
      <c r="J5088" s="131"/>
      <c r="K5088" s="60"/>
      <c r="L5088" s="49"/>
      <c r="P5088" s="3"/>
      <c r="Q5088" s="3"/>
      <c r="R5088" s="3"/>
      <c r="S5088" s="3"/>
      <c r="T5088" s="3"/>
      <c r="U5088" s="3"/>
      <c r="V5088" s="3"/>
      <c r="W5088" s="3"/>
      <c r="X5088" s="3"/>
      <c r="Y5088" s="4"/>
      <c r="Z5088"/>
      <c r="AA5088"/>
    </row>
    <row r="5089" spans="1:27" s="37" customFormat="1" x14ac:dyDescent="0.15">
      <c r="A5089" s="70"/>
      <c r="B5089" s="118"/>
      <c r="C5089" s="121"/>
      <c r="D5089" s="121"/>
      <c r="E5089" s="121"/>
      <c r="F5089" s="121"/>
      <c r="G5089" s="121"/>
      <c r="H5089" s="85"/>
      <c r="I5089" s="122"/>
      <c r="J5089" s="131"/>
      <c r="K5089" s="60"/>
      <c r="L5089" s="49"/>
      <c r="P5089" s="3"/>
      <c r="Q5089" s="3"/>
      <c r="R5089" s="3"/>
      <c r="S5089" s="3"/>
      <c r="T5089" s="3"/>
      <c r="U5089" s="3"/>
      <c r="V5089" s="3"/>
      <c r="W5089" s="3"/>
      <c r="X5089" s="3"/>
      <c r="Y5089" s="4"/>
      <c r="Z5089"/>
      <c r="AA5089"/>
    </row>
    <row r="5090" spans="1:27" s="37" customFormat="1" x14ac:dyDescent="0.15">
      <c r="A5090" s="70"/>
      <c r="B5090" s="118"/>
      <c r="C5090" s="121"/>
      <c r="D5090" s="121"/>
      <c r="E5090" s="121"/>
      <c r="F5090" s="121"/>
      <c r="G5090" s="121"/>
      <c r="H5090" s="85"/>
      <c r="I5090" s="122"/>
      <c r="J5090" s="131"/>
      <c r="K5090" s="60"/>
      <c r="L5090" s="49"/>
      <c r="P5090" s="3"/>
      <c r="Q5090" s="3"/>
      <c r="R5090" s="3"/>
      <c r="S5090" s="3"/>
      <c r="T5090" s="3"/>
      <c r="U5090" s="3"/>
      <c r="V5090" s="3"/>
      <c r="W5090" s="3"/>
      <c r="X5090" s="3"/>
      <c r="Y5090" s="4"/>
      <c r="Z5090"/>
      <c r="AA5090"/>
    </row>
    <row r="5091" spans="1:27" s="37" customFormat="1" x14ac:dyDescent="0.15">
      <c r="A5091" s="70"/>
      <c r="B5091" s="118"/>
      <c r="C5091" s="121"/>
      <c r="D5091" s="121"/>
      <c r="E5091" s="121"/>
      <c r="F5091" s="121"/>
      <c r="G5091" s="121"/>
      <c r="H5091" s="85"/>
      <c r="I5091" s="122"/>
      <c r="J5091" s="131"/>
      <c r="K5091" s="60"/>
      <c r="L5091" s="49"/>
      <c r="P5091" s="3"/>
      <c r="Q5091" s="3"/>
      <c r="R5091" s="3"/>
      <c r="S5091" s="3"/>
      <c r="T5091" s="3"/>
      <c r="U5091" s="3"/>
      <c r="V5091" s="3"/>
      <c r="W5091" s="3"/>
      <c r="X5091" s="3"/>
      <c r="Y5091" s="4"/>
      <c r="Z5091"/>
      <c r="AA5091"/>
    </row>
    <row r="5092" spans="1:27" s="37" customFormat="1" x14ac:dyDescent="0.15">
      <c r="A5092" s="70"/>
      <c r="B5092" s="118"/>
      <c r="C5092" s="121"/>
      <c r="D5092" s="121"/>
      <c r="E5092" s="121"/>
      <c r="F5092" s="121"/>
      <c r="G5092" s="121"/>
      <c r="H5092" s="85"/>
      <c r="I5092" s="122"/>
      <c r="J5092" s="131"/>
      <c r="K5092" s="60"/>
      <c r="L5092" s="49"/>
      <c r="P5092" s="3"/>
      <c r="Q5092" s="3"/>
      <c r="R5092" s="3"/>
      <c r="S5092" s="3"/>
      <c r="T5092" s="3"/>
      <c r="U5092" s="3"/>
      <c r="V5092" s="3"/>
      <c r="W5092" s="3"/>
      <c r="X5092" s="3"/>
      <c r="Y5092" s="4"/>
      <c r="Z5092"/>
      <c r="AA5092"/>
    </row>
    <row r="5093" spans="1:27" s="37" customFormat="1" x14ac:dyDescent="0.15">
      <c r="A5093" s="70"/>
      <c r="B5093" s="118"/>
      <c r="C5093" s="121"/>
      <c r="D5093" s="121"/>
      <c r="E5093" s="121"/>
      <c r="F5093" s="121"/>
      <c r="G5093" s="121"/>
      <c r="H5093" s="85"/>
      <c r="I5093" s="122"/>
      <c r="J5093" s="131"/>
      <c r="K5093" s="69"/>
      <c r="L5093" s="49"/>
      <c r="P5093" s="3"/>
      <c r="Q5093" s="3"/>
      <c r="R5093" s="3"/>
      <c r="S5093" s="3"/>
      <c r="T5093" s="3"/>
      <c r="U5093" s="3"/>
      <c r="V5093" s="3"/>
      <c r="W5093" s="3"/>
      <c r="X5093" s="3"/>
      <c r="Y5093" s="4"/>
      <c r="Z5093"/>
      <c r="AA5093"/>
    </row>
    <row r="5094" spans="1:27" s="37" customFormat="1" x14ac:dyDescent="0.15">
      <c r="A5094" s="70"/>
      <c r="B5094" s="117"/>
      <c r="C5094" s="121"/>
      <c r="D5094" s="121"/>
      <c r="E5094" s="121"/>
      <c r="F5094" s="121"/>
      <c r="G5094" s="121"/>
      <c r="H5094" s="85"/>
      <c r="I5094" s="122"/>
      <c r="J5094" s="131"/>
      <c r="K5094" s="60"/>
      <c r="L5094" s="33"/>
      <c r="P5094" s="3"/>
      <c r="Q5094" s="3"/>
      <c r="R5094" s="3"/>
      <c r="S5094" s="3"/>
      <c r="T5094" s="3"/>
      <c r="U5094" s="3"/>
      <c r="V5094" s="3"/>
      <c r="W5094" s="3"/>
      <c r="X5094" s="3"/>
      <c r="Y5094" s="4"/>
      <c r="Z5094"/>
      <c r="AA5094"/>
    </row>
    <row r="5095" spans="1:27" s="37" customFormat="1" x14ac:dyDescent="0.15">
      <c r="A5095" s="73"/>
      <c r="B5095" s="118"/>
      <c r="C5095" s="121"/>
      <c r="D5095" s="121"/>
      <c r="E5095" s="121"/>
      <c r="F5095" s="121"/>
      <c r="G5095" s="121"/>
      <c r="H5095" s="85"/>
      <c r="I5095" s="122"/>
      <c r="J5095" s="131"/>
      <c r="K5095" s="60"/>
      <c r="L5095" s="49"/>
      <c r="P5095" s="3"/>
      <c r="Q5095" s="3"/>
      <c r="R5095" s="3"/>
      <c r="S5095" s="3"/>
      <c r="T5095" s="3"/>
      <c r="U5095" s="3"/>
      <c r="V5095" s="3"/>
      <c r="W5095" s="3"/>
      <c r="X5095" s="3"/>
      <c r="Y5095" s="4"/>
      <c r="Z5095"/>
      <c r="AA5095"/>
    </row>
    <row r="5096" spans="1:27" s="37" customFormat="1" x14ac:dyDescent="0.15">
      <c r="A5096" s="70"/>
      <c r="B5096" s="118"/>
      <c r="C5096" s="121"/>
      <c r="D5096" s="121"/>
      <c r="E5096" s="121"/>
      <c r="F5096" s="121"/>
      <c r="G5096" s="121"/>
      <c r="H5096" s="85"/>
      <c r="I5096" s="122"/>
      <c r="J5096" s="131"/>
      <c r="K5096" s="69"/>
      <c r="L5096" s="49"/>
      <c r="P5096" s="3"/>
      <c r="Q5096" s="3"/>
      <c r="R5096" s="3"/>
      <c r="S5096" s="3"/>
      <c r="T5096" s="3"/>
      <c r="U5096" s="3"/>
      <c r="V5096" s="3"/>
      <c r="W5096" s="3"/>
      <c r="X5096" s="3"/>
      <c r="Y5096" s="4"/>
      <c r="Z5096"/>
      <c r="AA5096"/>
    </row>
    <row r="5097" spans="1:27" s="37" customFormat="1" x14ac:dyDescent="0.15">
      <c r="A5097" s="70"/>
      <c r="B5097" s="118"/>
      <c r="C5097" s="121"/>
      <c r="D5097" s="121"/>
      <c r="E5097" s="121"/>
      <c r="F5097" s="121"/>
      <c r="G5097" s="121"/>
      <c r="H5097" s="85"/>
      <c r="I5097" s="122"/>
      <c r="J5097" s="131"/>
      <c r="K5097" s="69"/>
      <c r="L5097" s="49"/>
      <c r="P5097" s="3"/>
      <c r="Q5097" s="3"/>
      <c r="R5097" s="3"/>
      <c r="S5097" s="3"/>
      <c r="T5097" s="3"/>
      <c r="U5097" s="3"/>
      <c r="V5097" s="3"/>
      <c r="W5097" s="3"/>
      <c r="X5097" s="3"/>
      <c r="Y5097" s="4"/>
      <c r="Z5097"/>
      <c r="AA5097"/>
    </row>
    <row r="5098" spans="1:27" s="37" customFormat="1" x14ac:dyDescent="0.15">
      <c r="A5098" s="70"/>
      <c r="B5098" s="118"/>
      <c r="C5098" s="121"/>
      <c r="D5098" s="121"/>
      <c r="E5098" s="121"/>
      <c r="F5098" s="121"/>
      <c r="G5098" s="121"/>
      <c r="H5098" s="85"/>
      <c r="I5098" s="122"/>
      <c r="J5098" s="131"/>
      <c r="K5098" s="60"/>
      <c r="L5098" s="49"/>
      <c r="P5098" s="3"/>
      <c r="Q5098" s="3"/>
      <c r="R5098" s="3"/>
      <c r="S5098" s="3"/>
      <c r="T5098" s="3"/>
      <c r="U5098" s="3"/>
      <c r="V5098" s="3"/>
      <c r="W5098" s="3"/>
      <c r="X5098" s="3"/>
      <c r="Y5098" s="4"/>
      <c r="Z5098"/>
      <c r="AA5098"/>
    </row>
    <row r="5099" spans="1:27" s="37" customFormat="1" x14ac:dyDescent="0.15">
      <c r="A5099" s="73"/>
      <c r="B5099" s="118"/>
      <c r="C5099" s="121"/>
      <c r="D5099" s="121"/>
      <c r="E5099" s="121"/>
      <c r="F5099" s="121"/>
      <c r="G5099" s="121"/>
      <c r="H5099" s="85"/>
      <c r="I5099" s="122"/>
      <c r="J5099" s="131"/>
      <c r="K5099" s="60"/>
      <c r="L5099" s="49"/>
      <c r="P5099" s="3"/>
      <c r="Q5099" s="3"/>
      <c r="R5099" s="3"/>
      <c r="S5099" s="3"/>
      <c r="T5099" s="3"/>
      <c r="U5099" s="3"/>
      <c r="V5099" s="3"/>
      <c r="W5099" s="3"/>
      <c r="X5099" s="3"/>
      <c r="Y5099" s="4"/>
      <c r="Z5099"/>
      <c r="AA5099"/>
    </row>
    <row r="5100" spans="1:27" s="37" customFormat="1" x14ac:dyDescent="0.15">
      <c r="A5100" s="70"/>
      <c r="B5100" s="117"/>
      <c r="C5100" s="121"/>
      <c r="D5100" s="121"/>
      <c r="E5100" s="121"/>
      <c r="F5100" s="121"/>
      <c r="G5100" s="121"/>
      <c r="H5100" s="85"/>
      <c r="I5100" s="122"/>
      <c r="J5100" s="131"/>
      <c r="K5100" s="60"/>
      <c r="L5100" s="49"/>
      <c r="P5100" s="3"/>
      <c r="Q5100" s="3"/>
      <c r="R5100" s="3"/>
      <c r="S5100" s="3"/>
      <c r="T5100" s="3"/>
      <c r="U5100" s="3"/>
      <c r="V5100" s="3"/>
      <c r="W5100" s="3"/>
      <c r="X5100" s="3"/>
      <c r="Y5100" s="4"/>
      <c r="Z5100"/>
      <c r="AA5100"/>
    </row>
    <row r="5101" spans="1:27" s="37" customFormat="1" x14ac:dyDescent="0.15">
      <c r="A5101" s="70"/>
      <c r="B5101" s="118"/>
      <c r="C5101" s="121"/>
      <c r="D5101" s="121"/>
      <c r="E5101" s="121"/>
      <c r="F5101" s="121"/>
      <c r="G5101" s="121"/>
      <c r="H5101" s="85"/>
      <c r="I5101" s="122"/>
      <c r="J5101" s="131"/>
      <c r="K5101" s="60"/>
      <c r="L5101" s="49"/>
      <c r="P5101" s="3"/>
      <c r="Q5101" s="3"/>
      <c r="R5101" s="3"/>
      <c r="S5101" s="3"/>
      <c r="T5101" s="3"/>
      <c r="U5101" s="3"/>
      <c r="V5101" s="3"/>
      <c r="W5101" s="3"/>
      <c r="X5101" s="3"/>
      <c r="Y5101" s="4"/>
      <c r="Z5101"/>
      <c r="AA5101"/>
    </row>
    <row r="5102" spans="1:27" s="37" customFormat="1" x14ac:dyDescent="0.15">
      <c r="A5102" s="70"/>
      <c r="B5102" s="118"/>
      <c r="C5102" s="121"/>
      <c r="D5102" s="121"/>
      <c r="E5102" s="121"/>
      <c r="F5102" s="121"/>
      <c r="G5102" s="121"/>
      <c r="H5102" s="85"/>
      <c r="I5102" s="122"/>
      <c r="J5102" s="131"/>
      <c r="K5102" s="60"/>
      <c r="L5102" s="50"/>
      <c r="P5102" s="3"/>
      <c r="Q5102" s="3"/>
      <c r="R5102" s="3"/>
      <c r="S5102" s="3"/>
      <c r="T5102" s="3"/>
      <c r="U5102" s="3"/>
      <c r="V5102" s="3"/>
      <c r="W5102" s="3"/>
      <c r="X5102" s="3"/>
      <c r="Y5102" s="4"/>
      <c r="Z5102"/>
      <c r="AA5102"/>
    </row>
    <row r="5103" spans="1:27" s="37" customFormat="1" x14ac:dyDescent="0.15">
      <c r="A5103" s="70"/>
      <c r="B5103" s="118"/>
      <c r="C5103" s="121"/>
      <c r="D5103" s="121"/>
      <c r="E5103" s="121"/>
      <c r="F5103" s="121"/>
      <c r="G5103" s="121"/>
      <c r="H5103" s="85"/>
      <c r="I5103" s="122"/>
      <c r="J5103" s="131"/>
      <c r="K5103" s="60"/>
      <c r="L5103" s="49"/>
      <c r="P5103" s="3"/>
      <c r="Q5103" s="3"/>
      <c r="R5103" s="3"/>
      <c r="S5103" s="3"/>
      <c r="T5103" s="3"/>
      <c r="U5103" s="3"/>
      <c r="V5103" s="3"/>
      <c r="W5103" s="3"/>
      <c r="X5103" s="3"/>
      <c r="Y5103" s="4"/>
      <c r="Z5103"/>
      <c r="AA5103"/>
    </row>
    <row r="5104" spans="1:27" s="37" customFormat="1" x14ac:dyDescent="0.15">
      <c r="A5104" s="73"/>
      <c r="B5104" s="118"/>
      <c r="C5104" s="121"/>
      <c r="D5104" s="121"/>
      <c r="E5104" s="121"/>
      <c r="F5104" s="121"/>
      <c r="G5104" s="121"/>
      <c r="H5104" s="85"/>
      <c r="I5104" s="122"/>
      <c r="J5104" s="131"/>
      <c r="K5104" s="60"/>
      <c r="L5104" s="49"/>
      <c r="P5104" s="3"/>
      <c r="Q5104" s="3"/>
      <c r="R5104" s="3"/>
      <c r="S5104" s="3"/>
      <c r="T5104" s="3"/>
      <c r="U5104" s="3"/>
      <c r="V5104" s="3"/>
      <c r="W5104" s="3"/>
      <c r="X5104" s="3"/>
      <c r="Y5104" s="4"/>
      <c r="Z5104"/>
      <c r="AA5104"/>
    </row>
    <row r="5105" spans="1:27" s="37" customFormat="1" x14ac:dyDescent="0.15">
      <c r="A5105" s="73"/>
      <c r="B5105" s="118"/>
      <c r="C5105" s="121"/>
      <c r="D5105" s="121"/>
      <c r="E5105" s="121"/>
      <c r="F5105" s="121"/>
      <c r="G5105" s="121"/>
      <c r="H5105" s="85"/>
      <c r="I5105" s="122"/>
      <c r="J5105" s="131"/>
      <c r="K5105" s="69"/>
      <c r="L5105" s="49"/>
      <c r="P5105" s="3"/>
      <c r="Q5105" s="3"/>
      <c r="R5105" s="3"/>
      <c r="S5105" s="3"/>
      <c r="T5105" s="3"/>
      <c r="U5105" s="3"/>
      <c r="V5105" s="3"/>
      <c r="W5105" s="3"/>
      <c r="X5105" s="3"/>
      <c r="Y5105" s="4"/>
      <c r="Z5105"/>
      <c r="AA5105"/>
    </row>
    <row r="5106" spans="1:27" s="37" customFormat="1" x14ac:dyDescent="0.15">
      <c r="A5106" s="70"/>
      <c r="B5106" s="118"/>
      <c r="C5106" s="121"/>
      <c r="D5106" s="121"/>
      <c r="E5106" s="121"/>
      <c r="F5106" s="121"/>
      <c r="G5106" s="121"/>
      <c r="H5106" s="85"/>
      <c r="I5106" s="122"/>
      <c r="J5106" s="131"/>
      <c r="K5106" s="60"/>
      <c r="L5106" s="49"/>
      <c r="P5106" s="3"/>
      <c r="Q5106" s="3"/>
      <c r="R5106" s="3"/>
      <c r="S5106" s="3"/>
      <c r="T5106" s="3"/>
      <c r="U5106" s="3"/>
      <c r="V5106" s="3"/>
      <c r="W5106" s="3"/>
      <c r="X5106" s="3"/>
      <c r="Y5106" s="4"/>
      <c r="Z5106"/>
      <c r="AA5106"/>
    </row>
    <row r="5107" spans="1:27" s="37" customFormat="1" x14ac:dyDescent="0.15">
      <c r="A5107" s="70"/>
      <c r="B5107" s="118"/>
      <c r="C5107" s="121"/>
      <c r="D5107" s="121"/>
      <c r="E5107" s="121"/>
      <c r="F5107" s="121"/>
      <c r="G5107" s="121"/>
      <c r="H5107" s="85"/>
      <c r="I5107" s="122"/>
      <c r="J5107" s="131"/>
      <c r="K5107" s="60"/>
      <c r="L5107" s="49"/>
      <c r="P5107" s="3"/>
      <c r="Q5107" s="3"/>
      <c r="R5107" s="3"/>
      <c r="S5107" s="3"/>
      <c r="T5107" s="3"/>
      <c r="U5107" s="3"/>
      <c r="V5107" s="3"/>
      <c r="W5107" s="3"/>
      <c r="X5107" s="3"/>
      <c r="Y5107" s="4"/>
      <c r="Z5107"/>
      <c r="AA5107"/>
    </row>
    <row r="5108" spans="1:27" s="37" customFormat="1" x14ac:dyDescent="0.15">
      <c r="A5108" s="70"/>
      <c r="B5108" s="118"/>
      <c r="C5108" s="121"/>
      <c r="D5108" s="121"/>
      <c r="E5108" s="121"/>
      <c r="F5108" s="121"/>
      <c r="G5108" s="121"/>
      <c r="H5108" s="85"/>
      <c r="I5108" s="122"/>
      <c r="J5108" s="131"/>
      <c r="K5108" s="60"/>
      <c r="L5108" s="49"/>
      <c r="P5108" s="3"/>
      <c r="Q5108" s="3"/>
      <c r="R5108" s="3"/>
      <c r="S5108" s="3"/>
      <c r="T5108" s="3"/>
      <c r="U5108" s="3"/>
      <c r="V5108" s="3"/>
      <c r="W5108" s="3"/>
      <c r="X5108" s="3"/>
      <c r="Y5108" s="4"/>
      <c r="Z5108"/>
      <c r="AA5108"/>
    </row>
    <row r="5109" spans="1:27" s="37" customFormat="1" x14ac:dyDescent="0.15">
      <c r="A5109" s="70"/>
      <c r="B5109" s="118"/>
      <c r="C5109" s="121"/>
      <c r="D5109" s="121"/>
      <c r="E5109" s="121"/>
      <c r="F5109" s="121"/>
      <c r="G5109" s="121"/>
      <c r="H5109" s="85"/>
      <c r="I5109" s="122"/>
      <c r="J5109" s="131"/>
      <c r="K5109" s="60"/>
      <c r="L5109" s="49"/>
      <c r="P5109" s="3"/>
      <c r="Q5109" s="3"/>
      <c r="R5109" s="3"/>
      <c r="S5109" s="3"/>
      <c r="T5109" s="3"/>
      <c r="U5109" s="3"/>
      <c r="V5109" s="3"/>
      <c r="W5109" s="3"/>
      <c r="X5109" s="3"/>
      <c r="Y5109" s="4"/>
      <c r="Z5109"/>
      <c r="AA5109"/>
    </row>
    <row r="5110" spans="1:27" s="37" customFormat="1" x14ac:dyDescent="0.15">
      <c r="A5110" s="70"/>
      <c r="B5110" s="118"/>
      <c r="C5110" s="121"/>
      <c r="D5110" s="121"/>
      <c r="E5110" s="121"/>
      <c r="F5110" s="121"/>
      <c r="G5110" s="121"/>
      <c r="H5110" s="85"/>
      <c r="I5110" s="122"/>
      <c r="J5110" s="134"/>
      <c r="K5110" s="60"/>
      <c r="L5110" s="49"/>
      <c r="P5110" s="3"/>
      <c r="Q5110" s="3"/>
      <c r="R5110" s="3"/>
      <c r="S5110" s="3"/>
      <c r="T5110" s="3"/>
      <c r="U5110" s="3"/>
      <c r="V5110" s="3"/>
      <c r="W5110" s="3"/>
      <c r="X5110" s="3"/>
      <c r="Y5110" s="4"/>
      <c r="Z5110"/>
      <c r="AA5110"/>
    </row>
    <row r="5111" spans="1:27" s="37" customFormat="1" x14ac:dyDescent="0.15">
      <c r="A5111" s="70"/>
      <c r="B5111" s="118"/>
      <c r="C5111" s="121"/>
      <c r="D5111" s="121"/>
      <c r="E5111" s="121"/>
      <c r="F5111" s="121"/>
      <c r="G5111" s="121"/>
      <c r="H5111" s="85"/>
      <c r="I5111" s="122"/>
      <c r="J5111" s="131"/>
      <c r="K5111" s="60"/>
      <c r="L5111" s="49"/>
      <c r="P5111" s="3"/>
      <c r="Q5111" s="3"/>
      <c r="R5111" s="3"/>
      <c r="S5111" s="3"/>
      <c r="T5111" s="3"/>
      <c r="U5111" s="3"/>
      <c r="V5111" s="3"/>
      <c r="W5111" s="3"/>
      <c r="X5111" s="3"/>
      <c r="Y5111" s="4"/>
      <c r="Z5111"/>
      <c r="AA5111"/>
    </row>
    <row r="5112" spans="1:27" s="37" customFormat="1" x14ac:dyDescent="0.15">
      <c r="A5112" s="70"/>
      <c r="B5112" s="118"/>
      <c r="C5112" s="121"/>
      <c r="D5112" s="121"/>
      <c r="E5112" s="121"/>
      <c r="F5112" s="121"/>
      <c r="G5112" s="121"/>
      <c r="H5112" s="85"/>
      <c r="I5112" s="122"/>
      <c r="J5112" s="131"/>
      <c r="K5112" s="60"/>
      <c r="L5112" s="49"/>
      <c r="P5112" s="3"/>
      <c r="Q5112" s="3"/>
      <c r="R5112" s="3"/>
      <c r="S5112" s="3"/>
      <c r="T5112" s="3"/>
      <c r="U5112" s="3"/>
      <c r="V5112" s="3"/>
      <c r="W5112" s="3"/>
      <c r="X5112" s="3"/>
      <c r="Y5112" s="4"/>
      <c r="Z5112"/>
      <c r="AA5112"/>
    </row>
    <row r="5113" spans="1:27" s="37" customFormat="1" x14ac:dyDescent="0.15">
      <c r="A5113" s="70"/>
      <c r="B5113" s="118"/>
      <c r="C5113" s="121"/>
      <c r="D5113" s="121"/>
      <c r="E5113" s="121"/>
      <c r="F5113" s="121"/>
      <c r="G5113" s="121"/>
      <c r="H5113" s="85"/>
      <c r="I5113" s="122"/>
      <c r="J5113" s="131"/>
      <c r="K5113" s="60"/>
      <c r="L5113" s="49"/>
      <c r="P5113" s="3"/>
      <c r="Q5113" s="3"/>
      <c r="R5113" s="3"/>
      <c r="S5113" s="3"/>
      <c r="T5113" s="3"/>
      <c r="U5113" s="3"/>
      <c r="V5113" s="3"/>
      <c r="W5113" s="3"/>
      <c r="X5113" s="3"/>
      <c r="Y5113" s="4"/>
      <c r="Z5113"/>
      <c r="AA5113"/>
    </row>
    <row r="5114" spans="1:27" s="37" customFormat="1" x14ac:dyDescent="0.15">
      <c r="A5114" s="70"/>
      <c r="B5114" s="117"/>
      <c r="C5114" s="121"/>
      <c r="D5114" s="121"/>
      <c r="E5114" s="121"/>
      <c r="F5114" s="121"/>
      <c r="G5114" s="121"/>
      <c r="H5114" s="85"/>
      <c r="I5114" s="122"/>
      <c r="J5114" s="131"/>
      <c r="K5114" s="60"/>
      <c r="L5114" s="33"/>
      <c r="P5114" s="3"/>
      <c r="Q5114" s="3"/>
      <c r="R5114" s="3"/>
      <c r="S5114" s="3"/>
      <c r="T5114" s="3"/>
      <c r="U5114" s="3"/>
      <c r="V5114" s="3"/>
      <c r="W5114" s="3"/>
      <c r="X5114" s="3"/>
      <c r="Y5114" s="4"/>
      <c r="Z5114"/>
      <c r="AA5114"/>
    </row>
    <row r="5115" spans="1:27" s="37" customFormat="1" x14ac:dyDescent="0.15">
      <c r="A5115" s="70"/>
      <c r="B5115" s="118"/>
      <c r="C5115" s="121"/>
      <c r="D5115" s="121"/>
      <c r="E5115" s="121"/>
      <c r="F5115" s="121"/>
      <c r="G5115" s="121"/>
      <c r="H5115" s="85"/>
      <c r="I5115" s="122"/>
      <c r="J5115" s="131"/>
      <c r="K5115" s="60"/>
      <c r="L5115" s="49"/>
      <c r="P5115" s="3"/>
      <c r="Q5115" s="3"/>
      <c r="R5115" s="3"/>
      <c r="S5115" s="3"/>
      <c r="T5115" s="3"/>
      <c r="U5115" s="3"/>
      <c r="V5115" s="3"/>
      <c r="W5115" s="3"/>
      <c r="X5115" s="3"/>
      <c r="Y5115" s="4"/>
      <c r="Z5115"/>
      <c r="AA5115"/>
    </row>
    <row r="5116" spans="1:27" s="37" customFormat="1" x14ac:dyDescent="0.15">
      <c r="A5116" s="70"/>
      <c r="B5116" s="118"/>
      <c r="C5116" s="121"/>
      <c r="D5116" s="121"/>
      <c r="E5116" s="121"/>
      <c r="F5116" s="121"/>
      <c r="G5116" s="121"/>
      <c r="H5116" s="85"/>
      <c r="I5116" s="122"/>
      <c r="J5116" s="131"/>
      <c r="K5116" s="69"/>
      <c r="L5116" s="49"/>
      <c r="P5116" s="3"/>
      <c r="Q5116" s="3"/>
      <c r="R5116" s="3"/>
      <c r="S5116" s="3"/>
      <c r="T5116" s="3"/>
      <c r="U5116" s="3"/>
      <c r="V5116" s="3"/>
      <c r="W5116" s="3"/>
      <c r="X5116" s="3"/>
      <c r="Y5116" s="4"/>
      <c r="Z5116"/>
      <c r="AA5116"/>
    </row>
    <row r="5117" spans="1:27" s="37" customFormat="1" x14ac:dyDescent="0.15">
      <c r="A5117" s="70"/>
      <c r="B5117" s="118"/>
      <c r="C5117" s="121"/>
      <c r="D5117" s="121"/>
      <c r="E5117" s="121"/>
      <c r="F5117" s="121"/>
      <c r="G5117" s="121"/>
      <c r="H5117" s="85"/>
      <c r="I5117" s="122"/>
      <c r="J5117" s="131"/>
      <c r="K5117" s="60"/>
      <c r="L5117" s="49"/>
      <c r="P5117" s="3"/>
      <c r="Q5117" s="3"/>
      <c r="R5117" s="3"/>
      <c r="S5117" s="3"/>
      <c r="T5117" s="3"/>
      <c r="U5117" s="3"/>
      <c r="V5117" s="3"/>
      <c r="W5117" s="3"/>
      <c r="X5117" s="3"/>
      <c r="Y5117" s="4"/>
      <c r="Z5117"/>
      <c r="AA5117"/>
    </row>
    <row r="5118" spans="1:27" s="37" customFormat="1" x14ac:dyDescent="0.15">
      <c r="A5118" s="70"/>
      <c r="B5118" s="118"/>
      <c r="C5118" s="121"/>
      <c r="D5118" s="121"/>
      <c r="E5118" s="121"/>
      <c r="F5118" s="121"/>
      <c r="G5118" s="121"/>
      <c r="H5118" s="85"/>
      <c r="I5118" s="122"/>
      <c r="J5118" s="131"/>
      <c r="K5118" s="69"/>
      <c r="L5118" s="49"/>
      <c r="P5118" s="3"/>
      <c r="Q5118" s="3"/>
      <c r="R5118" s="3"/>
      <c r="S5118" s="3"/>
      <c r="T5118" s="3"/>
      <c r="U5118" s="3"/>
      <c r="V5118" s="3"/>
      <c r="W5118" s="3"/>
      <c r="X5118" s="3"/>
      <c r="Y5118" s="4"/>
      <c r="Z5118"/>
      <c r="AA5118"/>
    </row>
    <row r="5119" spans="1:27" s="49" customFormat="1" x14ac:dyDescent="0.15">
      <c r="A5119" s="70"/>
      <c r="B5119" s="118"/>
      <c r="C5119" s="121"/>
      <c r="D5119" s="121"/>
      <c r="E5119" s="121"/>
      <c r="F5119" s="121"/>
      <c r="G5119" s="121"/>
      <c r="H5119" s="85"/>
      <c r="I5119" s="122"/>
      <c r="J5119" s="131"/>
      <c r="K5119" s="60"/>
      <c r="M5119" s="37"/>
      <c r="N5119" s="37"/>
      <c r="O5119" s="37"/>
      <c r="P5119" s="3"/>
      <c r="Q5119" s="3"/>
      <c r="R5119" s="3"/>
      <c r="S5119" s="3"/>
      <c r="T5119" s="3"/>
      <c r="U5119" s="3"/>
      <c r="V5119" s="3"/>
      <c r="W5119" s="3"/>
      <c r="X5119" s="3"/>
      <c r="Y5119" s="4"/>
      <c r="Z5119"/>
      <c r="AA5119"/>
    </row>
    <row r="5120" spans="1:27" s="49" customFormat="1" x14ac:dyDescent="0.15">
      <c r="A5120" s="70"/>
      <c r="B5120" s="118"/>
      <c r="C5120" s="121"/>
      <c r="D5120" s="121"/>
      <c r="E5120" s="121"/>
      <c r="F5120" s="121"/>
      <c r="G5120" s="121"/>
      <c r="H5120" s="85"/>
      <c r="I5120" s="122"/>
      <c r="J5120" s="131"/>
      <c r="K5120" s="60"/>
      <c r="M5120" s="37"/>
      <c r="N5120" s="37"/>
      <c r="O5120" s="37"/>
      <c r="P5120" s="3"/>
      <c r="Q5120" s="3"/>
      <c r="R5120" s="3"/>
      <c r="S5120" s="3"/>
      <c r="T5120" s="3"/>
      <c r="U5120" s="3"/>
      <c r="V5120" s="3"/>
      <c r="W5120" s="3"/>
      <c r="X5120" s="3"/>
      <c r="Y5120" s="4"/>
      <c r="Z5120"/>
      <c r="AA5120"/>
    </row>
    <row r="5121" spans="1:27" s="49" customFormat="1" x14ac:dyDescent="0.15">
      <c r="A5121" s="73"/>
      <c r="B5121" s="118"/>
      <c r="C5121" s="121"/>
      <c r="D5121" s="121"/>
      <c r="E5121" s="121"/>
      <c r="F5121" s="121"/>
      <c r="G5121" s="121"/>
      <c r="H5121" s="85"/>
      <c r="I5121" s="122"/>
      <c r="J5121" s="131"/>
      <c r="K5121" s="60"/>
      <c r="M5121" s="37"/>
      <c r="N5121" s="37"/>
      <c r="O5121" s="37"/>
      <c r="P5121" s="3"/>
      <c r="Q5121" s="3"/>
      <c r="R5121" s="3"/>
      <c r="S5121" s="3"/>
      <c r="T5121" s="3"/>
      <c r="U5121" s="3"/>
      <c r="V5121" s="3"/>
      <c r="W5121" s="3"/>
      <c r="X5121" s="3"/>
      <c r="Y5121" s="4"/>
      <c r="Z5121"/>
      <c r="AA5121"/>
    </row>
    <row r="5122" spans="1:27" s="49" customFormat="1" x14ac:dyDescent="0.15">
      <c r="A5122" s="70"/>
      <c r="B5122" s="118"/>
      <c r="C5122" s="121"/>
      <c r="D5122" s="121"/>
      <c r="E5122" s="121"/>
      <c r="F5122" s="121"/>
      <c r="G5122" s="121"/>
      <c r="H5122" s="85"/>
      <c r="I5122" s="122"/>
      <c r="J5122" s="131"/>
      <c r="K5122" s="60"/>
      <c r="M5122" s="37"/>
      <c r="N5122" s="37"/>
      <c r="O5122" s="37"/>
      <c r="P5122" s="3"/>
      <c r="Q5122" s="3"/>
      <c r="R5122" s="3"/>
      <c r="S5122" s="3"/>
      <c r="T5122" s="3"/>
      <c r="U5122" s="3"/>
      <c r="V5122" s="3"/>
      <c r="W5122" s="3"/>
      <c r="X5122" s="3"/>
      <c r="Y5122" s="4"/>
      <c r="Z5122"/>
      <c r="AA5122"/>
    </row>
    <row r="5123" spans="1:27" s="49" customFormat="1" x14ac:dyDescent="0.15">
      <c r="A5123" s="70"/>
      <c r="B5123" s="118"/>
      <c r="C5123" s="121"/>
      <c r="D5123" s="121"/>
      <c r="E5123" s="121"/>
      <c r="F5123" s="121"/>
      <c r="G5123" s="121"/>
      <c r="H5123" s="85"/>
      <c r="I5123" s="122"/>
      <c r="J5123" s="131"/>
      <c r="K5123" s="60"/>
      <c r="M5123" s="37"/>
      <c r="N5123" s="37"/>
      <c r="O5123" s="37"/>
      <c r="P5123" s="3"/>
      <c r="Q5123" s="3"/>
      <c r="R5123" s="3"/>
      <c r="S5123" s="3"/>
      <c r="T5123" s="3"/>
      <c r="U5123" s="3"/>
      <c r="V5123" s="3"/>
      <c r="W5123" s="3"/>
      <c r="X5123" s="3"/>
      <c r="Y5123" s="4"/>
      <c r="Z5123"/>
      <c r="AA5123"/>
    </row>
    <row r="5124" spans="1:27" s="49" customFormat="1" x14ac:dyDescent="0.15">
      <c r="A5124" s="70"/>
      <c r="B5124" s="118"/>
      <c r="C5124" s="121"/>
      <c r="D5124" s="121"/>
      <c r="E5124" s="121"/>
      <c r="F5124" s="121"/>
      <c r="G5124" s="121"/>
      <c r="H5124" s="85"/>
      <c r="I5124" s="122"/>
      <c r="J5124" s="131"/>
      <c r="K5124" s="60"/>
      <c r="M5124" s="37"/>
      <c r="N5124" s="37"/>
      <c r="O5124" s="37"/>
      <c r="P5124" s="3"/>
      <c r="Q5124" s="3"/>
      <c r="R5124" s="3"/>
      <c r="S5124" s="3"/>
      <c r="T5124" s="3"/>
      <c r="U5124" s="3"/>
      <c r="V5124" s="3"/>
      <c r="W5124" s="3"/>
      <c r="X5124" s="3"/>
      <c r="Y5124" s="4"/>
      <c r="Z5124"/>
      <c r="AA5124"/>
    </row>
    <row r="5125" spans="1:27" s="49" customFormat="1" x14ac:dyDescent="0.15">
      <c r="A5125" s="70"/>
      <c r="B5125" s="118"/>
      <c r="C5125" s="121"/>
      <c r="D5125" s="121"/>
      <c r="E5125" s="121"/>
      <c r="F5125" s="121"/>
      <c r="G5125" s="121"/>
      <c r="H5125" s="85"/>
      <c r="I5125" s="122"/>
      <c r="J5125" s="131"/>
      <c r="K5125" s="60"/>
      <c r="M5125" s="37"/>
      <c r="N5125" s="37"/>
      <c r="O5125" s="37"/>
      <c r="P5125" s="3"/>
      <c r="Q5125" s="3"/>
      <c r="R5125" s="3"/>
      <c r="S5125" s="3"/>
      <c r="T5125" s="3"/>
      <c r="U5125" s="3"/>
      <c r="V5125" s="3"/>
      <c r="W5125" s="3"/>
      <c r="X5125" s="3"/>
      <c r="Y5125" s="4"/>
      <c r="Z5125"/>
      <c r="AA5125"/>
    </row>
    <row r="5126" spans="1:27" s="49" customFormat="1" x14ac:dyDescent="0.15">
      <c r="A5126" s="70"/>
      <c r="B5126" s="118"/>
      <c r="C5126" s="121"/>
      <c r="D5126" s="121"/>
      <c r="E5126" s="121"/>
      <c r="F5126" s="121"/>
      <c r="G5126" s="121"/>
      <c r="H5126" s="85"/>
      <c r="I5126" s="122"/>
      <c r="J5126" s="131"/>
      <c r="K5126" s="69"/>
      <c r="M5126" s="37"/>
      <c r="N5126" s="37"/>
      <c r="O5126" s="37"/>
      <c r="P5126" s="3"/>
      <c r="Q5126" s="3"/>
      <c r="R5126" s="3"/>
      <c r="S5126" s="3"/>
      <c r="T5126" s="3"/>
      <c r="U5126" s="3"/>
      <c r="V5126" s="3"/>
      <c r="W5126" s="3"/>
      <c r="X5126" s="3"/>
      <c r="Y5126" s="4"/>
      <c r="Z5126"/>
      <c r="AA5126"/>
    </row>
    <row r="5127" spans="1:27" s="49" customFormat="1" x14ac:dyDescent="0.15">
      <c r="A5127" s="70"/>
      <c r="B5127" s="118"/>
      <c r="C5127" s="121"/>
      <c r="D5127" s="121"/>
      <c r="E5127" s="121"/>
      <c r="F5127" s="121"/>
      <c r="G5127" s="121"/>
      <c r="H5127" s="85"/>
      <c r="I5127" s="122"/>
      <c r="J5127" s="131"/>
      <c r="K5127" s="69"/>
      <c r="M5127" s="37"/>
      <c r="N5127" s="37"/>
      <c r="O5127" s="37"/>
      <c r="P5127" s="3"/>
      <c r="Q5127" s="3"/>
      <c r="R5127" s="3"/>
      <c r="S5127" s="3"/>
      <c r="T5127" s="3"/>
      <c r="U5127" s="3"/>
      <c r="V5127" s="3"/>
      <c r="W5127" s="3"/>
      <c r="X5127" s="3"/>
      <c r="Y5127" s="4"/>
      <c r="Z5127"/>
      <c r="AA5127"/>
    </row>
    <row r="5128" spans="1:27" s="49" customFormat="1" x14ac:dyDescent="0.15">
      <c r="A5128" s="70"/>
      <c r="B5128" s="118"/>
      <c r="C5128" s="121"/>
      <c r="D5128" s="121"/>
      <c r="E5128" s="121"/>
      <c r="F5128" s="121"/>
      <c r="G5128" s="121"/>
      <c r="H5128" s="85"/>
      <c r="I5128" s="122"/>
      <c r="J5128" s="131"/>
      <c r="K5128" s="60"/>
      <c r="M5128" s="37"/>
      <c r="N5128" s="37"/>
      <c r="O5128" s="37"/>
      <c r="P5128" s="3"/>
      <c r="Q5128" s="3"/>
      <c r="R5128" s="3"/>
      <c r="S5128" s="3"/>
      <c r="T5128" s="3"/>
      <c r="U5128" s="3"/>
      <c r="V5128" s="3"/>
      <c r="W5128" s="3"/>
      <c r="X5128" s="3"/>
      <c r="Y5128" s="4"/>
      <c r="Z5128"/>
      <c r="AA5128"/>
    </row>
    <row r="5129" spans="1:27" s="49" customFormat="1" x14ac:dyDescent="0.15">
      <c r="A5129" s="70"/>
      <c r="B5129" s="118"/>
      <c r="C5129" s="121"/>
      <c r="D5129" s="121"/>
      <c r="E5129" s="121"/>
      <c r="F5129" s="121"/>
      <c r="G5129" s="121"/>
      <c r="H5129" s="85"/>
      <c r="I5129" s="122"/>
      <c r="J5129" s="131"/>
      <c r="K5129" s="69"/>
      <c r="M5129" s="37"/>
      <c r="N5129" s="37"/>
      <c r="O5129" s="37"/>
      <c r="P5129" s="3"/>
      <c r="Q5129" s="3"/>
      <c r="R5129" s="3"/>
      <c r="S5129" s="3"/>
      <c r="T5129" s="3"/>
      <c r="U5129" s="3"/>
      <c r="V5129" s="3"/>
      <c r="W5129" s="3"/>
      <c r="X5129" s="3"/>
      <c r="Y5129" s="4"/>
      <c r="Z5129"/>
      <c r="AA5129"/>
    </row>
    <row r="5130" spans="1:27" s="49" customFormat="1" x14ac:dyDescent="0.15">
      <c r="A5130" s="70"/>
      <c r="B5130" s="118"/>
      <c r="C5130" s="121"/>
      <c r="D5130" s="121"/>
      <c r="E5130" s="121"/>
      <c r="F5130" s="121"/>
      <c r="G5130" s="121"/>
      <c r="H5130" s="85"/>
      <c r="I5130" s="122"/>
      <c r="J5130" s="131"/>
      <c r="K5130" s="60"/>
      <c r="M5130" s="37"/>
      <c r="N5130" s="37"/>
      <c r="O5130" s="37"/>
      <c r="P5130" s="3"/>
      <c r="Q5130" s="3"/>
      <c r="R5130" s="3"/>
      <c r="S5130" s="3"/>
      <c r="T5130" s="3"/>
      <c r="U5130" s="3"/>
      <c r="V5130" s="3"/>
      <c r="W5130" s="3"/>
      <c r="X5130" s="3"/>
      <c r="Y5130" s="4"/>
      <c r="Z5130"/>
      <c r="AA5130"/>
    </row>
    <row r="5131" spans="1:27" s="49" customFormat="1" x14ac:dyDescent="0.15">
      <c r="A5131" s="70"/>
      <c r="B5131" s="118"/>
      <c r="C5131" s="121"/>
      <c r="D5131" s="121"/>
      <c r="E5131" s="121"/>
      <c r="F5131" s="121"/>
      <c r="G5131" s="121"/>
      <c r="H5131" s="85"/>
      <c r="I5131" s="122"/>
      <c r="J5131" s="131"/>
      <c r="K5131" s="60"/>
      <c r="M5131" s="37"/>
      <c r="N5131" s="37"/>
      <c r="O5131" s="37"/>
      <c r="P5131" s="3"/>
      <c r="Q5131" s="3"/>
      <c r="R5131" s="3"/>
      <c r="S5131" s="3"/>
      <c r="T5131" s="3"/>
      <c r="U5131" s="3"/>
      <c r="V5131" s="3"/>
      <c r="W5131" s="3"/>
      <c r="X5131" s="3"/>
      <c r="Y5131" s="4"/>
      <c r="Z5131"/>
      <c r="AA5131"/>
    </row>
    <row r="5132" spans="1:27" s="49" customFormat="1" x14ac:dyDescent="0.15">
      <c r="A5132" s="70"/>
      <c r="B5132" s="118"/>
      <c r="C5132" s="121"/>
      <c r="D5132" s="121"/>
      <c r="E5132" s="121"/>
      <c r="F5132" s="121"/>
      <c r="G5132" s="121"/>
      <c r="H5132" s="85"/>
      <c r="I5132" s="122"/>
      <c r="J5132" s="131"/>
      <c r="K5132" s="60"/>
      <c r="M5132" s="37"/>
      <c r="N5132" s="37"/>
      <c r="O5132" s="37"/>
      <c r="P5132" s="3"/>
      <c r="Q5132" s="3"/>
      <c r="R5132" s="3"/>
      <c r="S5132" s="3"/>
      <c r="T5132" s="3"/>
      <c r="U5132" s="3"/>
      <c r="V5132" s="3"/>
      <c r="W5132" s="3"/>
      <c r="X5132" s="3"/>
      <c r="Y5132" s="4"/>
      <c r="Z5132"/>
      <c r="AA5132"/>
    </row>
    <row r="5133" spans="1:27" s="49" customFormat="1" x14ac:dyDescent="0.15">
      <c r="A5133" s="70"/>
      <c r="B5133" s="118"/>
      <c r="C5133" s="121"/>
      <c r="D5133" s="121"/>
      <c r="E5133" s="121"/>
      <c r="F5133" s="121"/>
      <c r="G5133" s="121"/>
      <c r="H5133" s="85"/>
      <c r="I5133" s="122"/>
      <c r="J5133" s="131"/>
      <c r="K5133" s="60"/>
      <c r="M5133" s="37"/>
      <c r="N5133" s="37"/>
      <c r="O5133" s="37"/>
      <c r="P5133" s="3"/>
      <c r="Q5133" s="3"/>
      <c r="R5133" s="3"/>
      <c r="S5133" s="3"/>
      <c r="T5133" s="3"/>
      <c r="U5133" s="3"/>
      <c r="V5133" s="3"/>
      <c r="W5133" s="3"/>
      <c r="X5133" s="3"/>
      <c r="Y5133" s="4"/>
      <c r="Z5133"/>
      <c r="AA5133"/>
    </row>
    <row r="5134" spans="1:27" s="49" customFormat="1" x14ac:dyDescent="0.15">
      <c r="A5134" s="70"/>
      <c r="B5134" s="118"/>
      <c r="C5134" s="121"/>
      <c r="D5134" s="121"/>
      <c r="E5134" s="121"/>
      <c r="F5134" s="121"/>
      <c r="G5134" s="121"/>
      <c r="H5134" s="85"/>
      <c r="I5134" s="122"/>
      <c r="J5134" s="131"/>
      <c r="K5134" s="60"/>
      <c r="M5134" s="37"/>
      <c r="N5134" s="37"/>
      <c r="O5134" s="37"/>
      <c r="P5134" s="3"/>
      <c r="Q5134" s="3"/>
      <c r="R5134" s="3"/>
      <c r="S5134" s="3"/>
      <c r="T5134" s="3"/>
      <c r="U5134" s="3"/>
      <c r="V5134" s="3"/>
      <c r="W5134" s="3"/>
      <c r="X5134" s="3"/>
      <c r="Y5134" s="4"/>
      <c r="Z5134"/>
      <c r="AA5134"/>
    </row>
    <row r="5135" spans="1:27" s="37" customFormat="1" x14ac:dyDescent="0.15">
      <c r="A5135" s="70"/>
      <c r="B5135" s="118"/>
      <c r="C5135" s="121"/>
      <c r="D5135" s="121"/>
      <c r="E5135" s="121"/>
      <c r="F5135" s="121"/>
      <c r="G5135" s="121"/>
      <c r="H5135" s="85"/>
      <c r="I5135" s="122"/>
      <c r="J5135" s="131"/>
      <c r="K5135" s="69"/>
      <c r="L5135" s="49"/>
      <c r="P5135" s="3"/>
      <c r="Q5135" s="3"/>
      <c r="R5135" s="3"/>
      <c r="S5135" s="3"/>
      <c r="T5135" s="3"/>
      <c r="U5135" s="3"/>
      <c r="V5135" s="3"/>
      <c r="W5135" s="3"/>
      <c r="X5135" s="3"/>
      <c r="Y5135" s="4"/>
      <c r="Z5135"/>
      <c r="AA5135"/>
    </row>
    <row r="5136" spans="1:27" s="37" customFormat="1" x14ac:dyDescent="0.15">
      <c r="A5136" s="70"/>
      <c r="B5136" s="118"/>
      <c r="C5136" s="121"/>
      <c r="D5136" s="121"/>
      <c r="E5136" s="121"/>
      <c r="F5136" s="121"/>
      <c r="G5136" s="121"/>
      <c r="H5136" s="85"/>
      <c r="I5136" s="122"/>
      <c r="J5136" s="131"/>
      <c r="K5136" s="60"/>
      <c r="L5136" s="49"/>
      <c r="P5136" s="3"/>
      <c r="Q5136" s="3"/>
      <c r="R5136" s="3"/>
      <c r="S5136" s="3"/>
      <c r="T5136" s="3"/>
      <c r="U5136" s="3"/>
      <c r="V5136" s="3"/>
      <c r="W5136" s="3"/>
      <c r="X5136" s="3"/>
      <c r="Y5136" s="4"/>
      <c r="Z5136"/>
      <c r="AA5136"/>
    </row>
    <row r="5137" spans="1:27" s="37" customFormat="1" x14ac:dyDescent="0.15">
      <c r="A5137" s="70"/>
      <c r="B5137" s="118"/>
      <c r="C5137" s="121"/>
      <c r="D5137" s="121"/>
      <c r="E5137" s="121"/>
      <c r="F5137" s="121"/>
      <c r="G5137" s="121"/>
      <c r="H5137" s="85"/>
      <c r="I5137" s="122"/>
      <c r="J5137" s="131"/>
      <c r="K5137" s="60"/>
      <c r="L5137" s="49"/>
      <c r="P5137" s="3"/>
      <c r="Q5137" s="3"/>
      <c r="R5137" s="3"/>
      <c r="S5137" s="3"/>
      <c r="T5137" s="3"/>
      <c r="U5137" s="3"/>
      <c r="V5137" s="3"/>
      <c r="W5137" s="3"/>
      <c r="X5137" s="3"/>
      <c r="Y5137" s="4"/>
      <c r="Z5137"/>
      <c r="AA5137"/>
    </row>
    <row r="5138" spans="1:27" s="37" customFormat="1" x14ac:dyDescent="0.15">
      <c r="A5138" s="70"/>
      <c r="B5138" s="118"/>
      <c r="C5138" s="121"/>
      <c r="D5138" s="121"/>
      <c r="E5138" s="121"/>
      <c r="F5138" s="121"/>
      <c r="G5138" s="121"/>
      <c r="H5138" s="85"/>
      <c r="I5138" s="122"/>
      <c r="J5138" s="131"/>
      <c r="K5138" s="60"/>
      <c r="L5138" s="49"/>
      <c r="P5138" s="3"/>
      <c r="Q5138" s="3"/>
      <c r="R5138" s="3"/>
      <c r="S5138" s="3"/>
      <c r="T5138" s="3"/>
      <c r="U5138" s="3"/>
      <c r="V5138" s="3"/>
      <c r="W5138" s="3"/>
      <c r="X5138" s="3"/>
      <c r="Y5138" s="4"/>
      <c r="Z5138"/>
      <c r="AA5138"/>
    </row>
    <row r="5139" spans="1:27" s="37" customFormat="1" x14ac:dyDescent="0.15">
      <c r="A5139" s="70"/>
      <c r="B5139" s="118"/>
      <c r="C5139" s="121"/>
      <c r="D5139" s="121"/>
      <c r="E5139" s="121"/>
      <c r="F5139" s="121"/>
      <c r="G5139" s="121"/>
      <c r="H5139" s="85"/>
      <c r="I5139" s="122"/>
      <c r="J5139" s="131"/>
      <c r="K5139" s="60"/>
      <c r="L5139" s="49"/>
      <c r="P5139" s="3"/>
      <c r="Q5139" s="3"/>
      <c r="R5139" s="3"/>
      <c r="S5139" s="3"/>
      <c r="T5139" s="3"/>
      <c r="U5139" s="3"/>
      <c r="V5139" s="3"/>
      <c r="W5139" s="3"/>
      <c r="X5139" s="3"/>
      <c r="Y5139" s="4"/>
      <c r="Z5139"/>
      <c r="AA5139"/>
    </row>
    <row r="5140" spans="1:27" s="37" customFormat="1" x14ac:dyDescent="0.15">
      <c r="A5140" s="70"/>
      <c r="B5140" s="117"/>
      <c r="C5140" s="121"/>
      <c r="D5140" s="121"/>
      <c r="E5140" s="121"/>
      <c r="F5140" s="121"/>
      <c r="G5140" s="121"/>
      <c r="H5140" s="85"/>
      <c r="I5140" s="122"/>
      <c r="J5140" s="131"/>
      <c r="K5140" s="60"/>
      <c r="L5140" s="33"/>
      <c r="P5140" s="3"/>
      <c r="Q5140" s="3"/>
      <c r="R5140" s="3"/>
      <c r="S5140" s="3"/>
      <c r="T5140" s="3"/>
      <c r="U5140" s="3"/>
      <c r="V5140" s="3"/>
      <c r="W5140" s="3"/>
      <c r="X5140" s="3"/>
      <c r="Y5140" s="4"/>
      <c r="Z5140"/>
      <c r="AA5140"/>
    </row>
    <row r="5141" spans="1:27" s="37" customFormat="1" x14ac:dyDescent="0.15">
      <c r="A5141" s="70"/>
      <c r="B5141" s="118"/>
      <c r="C5141" s="121"/>
      <c r="D5141" s="121"/>
      <c r="E5141" s="121"/>
      <c r="F5141" s="121"/>
      <c r="G5141" s="121"/>
      <c r="H5141" s="85"/>
      <c r="I5141" s="122"/>
      <c r="J5141" s="131"/>
      <c r="K5141" s="60"/>
      <c r="L5141" s="49"/>
      <c r="P5141" s="3"/>
      <c r="Q5141" s="3"/>
      <c r="R5141" s="3"/>
      <c r="S5141" s="3"/>
      <c r="T5141" s="3"/>
      <c r="U5141" s="3"/>
      <c r="V5141" s="3"/>
      <c r="W5141" s="3"/>
      <c r="X5141" s="3"/>
      <c r="Y5141" s="4"/>
      <c r="Z5141"/>
      <c r="AA5141"/>
    </row>
    <row r="5142" spans="1:27" s="37" customFormat="1" x14ac:dyDescent="0.15">
      <c r="A5142" s="70"/>
      <c r="B5142" s="118"/>
      <c r="C5142" s="121"/>
      <c r="D5142" s="121"/>
      <c r="E5142" s="121"/>
      <c r="F5142" s="121"/>
      <c r="G5142" s="121"/>
      <c r="H5142" s="85"/>
      <c r="I5142" s="122"/>
      <c r="J5142" s="131"/>
      <c r="K5142" s="60"/>
      <c r="L5142" s="49"/>
      <c r="P5142" s="3"/>
      <c r="Q5142" s="3"/>
      <c r="R5142" s="3"/>
      <c r="S5142" s="3"/>
      <c r="T5142" s="3"/>
      <c r="U5142" s="3"/>
      <c r="V5142" s="3"/>
      <c r="W5142" s="3"/>
      <c r="X5142" s="3"/>
      <c r="Y5142" s="4"/>
      <c r="Z5142"/>
      <c r="AA5142"/>
    </row>
    <row r="5143" spans="1:27" s="37" customFormat="1" x14ac:dyDescent="0.15">
      <c r="A5143" s="70"/>
      <c r="B5143" s="118"/>
      <c r="C5143" s="121"/>
      <c r="D5143" s="121"/>
      <c r="E5143" s="121"/>
      <c r="F5143" s="121"/>
      <c r="G5143" s="121"/>
      <c r="H5143" s="85"/>
      <c r="I5143" s="122"/>
      <c r="J5143" s="131"/>
      <c r="K5143" s="60"/>
      <c r="L5143" s="49"/>
      <c r="P5143" s="3"/>
      <c r="Q5143" s="3"/>
      <c r="R5143" s="3"/>
      <c r="S5143" s="3"/>
      <c r="T5143" s="3"/>
      <c r="U5143" s="3"/>
      <c r="V5143" s="3"/>
      <c r="W5143" s="3"/>
      <c r="X5143" s="3"/>
      <c r="Y5143" s="4"/>
      <c r="Z5143"/>
      <c r="AA5143"/>
    </row>
    <row r="5144" spans="1:27" s="37" customFormat="1" x14ac:dyDescent="0.15">
      <c r="A5144" s="70"/>
      <c r="B5144" s="118"/>
      <c r="C5144" s="121"/>
      <c r="D5144" s="121"/>
      <c r="E5144" s="121"/>
      <c r="F5144" s="121"/>
      <c r="G5144" s="121"/>
      <c r="H5144" s="85"/>
      <c r="I5144" s="122"/>
      <c r="J5144" s="131"/>
      <c r="K5144" s="60"/>
      <c r="L5144" s="49"/>
      <c r="P5144" s="3"/>
      <c r="Q5144" s="3"/>
      <c r="R5144" s="3"/>
      <c r="S5144" s="3"/>
      <c r="T5144" s="3"/>
      <c r="U5144" s="3"/>
      <c r="V5144" s="3"/>
      <c r="W5144" s="3"/>
      <c r="X5144" s="3"/>
      <c r="Y5144" s="4"/>
      <c r="Z5144"/>
      <c r="AA5144"/>
    </row>
    <row r="5145" spans="1:27" s="37" customFormat="1" ht="16" x14ac:dyDescent="0.2">
      <c r="A5145" s="70"/>
      <c r="B5145" s="118"/>
      <c r="C5145" s="121"/>
      <c r="D5145" s="121"/>
      <c r="E5145" s="121"/>
      <c r="F5145" s="121"/>
      <c r="G5145" s="121"/>
      <c r="H5145" s="85"/>
      <c r="I5145" s="122"/>
      <c r="J5145" s="131"/>
      <c r="K5145" s="60"/>
      <c r="L5145" s="49"/>
      <c r="M5145" s="48"/>
      <c r="P5145" s="3"/>
      <c r="Q5145" s="3"/>
      <c r="R5145" s="3"/>
      <c r="S5145" s="3"/>
      <c r="T5145" s="3"/>
      <c r="U5145" s="3"/>
      <c r="V5145" s="3"/>
      <c r="W5145" s="3"/>
      <c r="X5145" s="3"/>
      <c r="Y5145" s="4"/>
      <c r="Z5145"/>
      <c r="AA5145"/>
    </row>
    <row r="5146" spans="1:27" s="37" customFormat="1" x14ac:dyDescent="0.15">
      <c r="A5146" s="70"/>
      <c r="B5146" s="118"/>
      <c r="C5146" s="121"/>
      <c r="D5146" s="121"/>
      <c r="E5146" s="121"/>
      <c r="F5146" s="121"/>
      <c r="G5146" s="121"/>
      <c r="H5146" s="85"/>
      <c r="I5146" s="122"/>
      <c r="J5146" s="131"/>
      <c r="K5146" s="60"/>
      <c r="L5146" s="49"/>
      <c r="P5146" s="3"/>
      <c r="Q5146" s="3"/>
      <c r="R5146" s="3"/>
      <c r="S5146" s="3"/>
      <c r="T5146" s="3"/>
      <c r="U5146" s="3"/>
      <c r="V5146" s="3"/>
      <c r="W5146" s="3"/>
      <c r="X5146" s="3"/>
      <c r="Y5146" s="4"/>
      <c r="Z5146"/>
      <c r="AA5146"/>
    </row>
    <row r="5147" spans="1:27" s="37" customFormat="1" x14ac:dyDescent="0.15">
      <c r="A5147" s="70"/>
      <c r="B5147" s="118"/>
      <c r="C5147" s="121"/>
      <c r="D5147" s="121"/>
      <c r="E5147" s="121"/>
      <c r="F5147" s="121"/>
      <c r="G5147" s="121"/>
      <c r="H5147" s="85"/>
      <c r="I5147" s="122"/>
      <c r="J5147" s="131"/>
      <c r="K5147" s="60"/>
      <c r="L5147" s="49"/>
      <c r="P5147" s="3"/>
      <c r="Q5147" s="3"/>
      <c r="R5147" s="3"/>
      <c r="S5147" s="3"/>
      <c r="T5147" s="3"/>
      <c r="U5147" s="3"/>
      <c r="V5147" s="3"/>
      <c r="W5147" s="3"/>
      <c r="X5147" s="3"/>
      <c r="Y5147" s="4"/>
      <c r="Z5147"/>
      <c r="AA5147"/>
    </row>
    <row r="5148" spans="1:27" s="37" customFormat="1" x14ac:dyDescent="0.15">
      <c r="A5148" s="70"/>
      <c r="B5148" s="118"/>
      <c r="C5148" s="121"/>
      <c r="D5148" s="121"/>
      <c r="E5148" s="121"/>
      <c r="F5148" s="121"/>
      <c r="G5148" s="121"/>
      <c r="H5148" s="85"/>
      <c r="I5148" s="122"/>
      <c r="J5148" s="131"/>
      <c r="K5148" s="60"/>
      <c r="L5148" s="49"/>
      <c r="P5148" s="3"/>
      <c r="Q5148" s="3"/>
      <c r="R5148" s="3"/>
      <c r="S5148" s="3"/>
      <c r="T5148" s="3"/>
      <c r="U5148" s="3"/>
      <c r="V5148" s="3"/>
      <c r="W5148" s="3"/>
      <c r="X5148" s="3"/>
      <c r="Y5148" s="4"/>
      <c r="Z5148"/>
      <c r="AA5148"/>
    </row>
    <row r="5149" spans="1:27" s="37" customFormat="1" x14ac:dyDescent="0.15">
      <c r="A5149" s="70"/>
      <c r="B5149" s="118"/>
      <c r="C5149" s="121"/>
      <c r="D5149" s="121"/>
      <c r="E5149" s="121"/>
      <c r="F5149" s="121"/>
      <c r="G5149" s="121"/>
      <c r="H5149" s="85"/>
      <c r="I5149" s="122"/>
      <c r="J5149" s="131"/>
      <c r="K5149" s="60"/>
      <c r="L5149" s="49"/>
      <c r="P5149" s="3"/>
      <c r="Q5149" s="3"/>
      <c r="R5149" s="3"/>
      <c r="S5149" s="3"/>
      <c r="T5149" s="3"/>
      <c r="U5149" s="3"/>
      <c r="V5149" s="3"/>
      <c r="W5149" s="3"/>
      <c r="X5149" s="3"/>
      <c r="Y5149" s="4"/>
      <c r="Z5149"/>
      <c r="AA5149"/>
    </row>
    <row r="5150" spans="1:27" s="37" customFormat="1" x14ac:dyDescent="0.15">
      <c r="A5150" s="70"/>
      <c r="B5150" s="118"/>
      <c r="C5150" s="121"/>
      <c r="D5150" s="121"/>
      <c r="E5150" s="121"/>
      <c r="F5150" s="121"/>
      <c r="G5150" s="121"/>
      <c r="H5150" s="85"/>
      <c r="I5150" s="122"/>
      <c r="J5150" s="131"/>
      <c r="K5150" s="60"/>
      <c r="L5150" s="49"/>
      <c r="P5150" s="3"/>
      <c r="Q5150" s="3"/>
      <c r="R5150" s="3"/>
      <c r="S5150" s="3"/>
      <c r="T5150" s="3"/>
      <c r="U5150" s="3"/>
      <c r="V5150" s="3"/>
      <c r="W5150" s="3"/>
      <c r="X5150" s="3"/>
      <c r="Y5150" s="4"/>
      <c r="Z5150"/>
      <c r="AA5150"/>
    </row>
    <row r="5151" spans="1:27" s="37" customFormat="1" x14ac:dyDescent="0.15">
      <c r="A5151" s="70"/>
      <c r="B5151" s="118"/>
      <c r="C5151" s="121"/>
      <c r="D5151" s="121"/>
      <c r="E5151" s="121"/>
      <c r="F5151" s="121"/>
      <c r="G5151" s="121"/>
      <c r="H5151" s="85"/>
      <c r="I5151" s="122"/>
      <c r="J5151" s="131"/>
      <c r="K5151" s="60"/>
      <c r="L5151" s="49"/>
      <c r="P5151" s="3"/>
      <c r="Q5151" s="3"/>
      <c r="R5151" s="3"/>
      <c r="S5151" s="3"/>
      <c r="T5151" s="3"/>
      <c r="U5151" s="3"/>
      <c r="V5151" s="3"/>
      <c r="W5151" s="3"/>
      <c r="X5151" s="3"/>
      <c r="Y5151" s="4"/>
      <c r="Z5151"/>
      <c r="AA5151"/>
    </row>
    <row r="5152" spans="1:27" s="37" customFormat="1" x14ac:dyDescent="0.15">
      <c r="A5152" s="70"/>
      <c r="B5152" s="118"/>
      <c r="C5152" s="121"/>
      <c r="D5152" s="121"/>
      <c r="E5152" s="121"/>
      <c r="F5152" s="121"/>
      <c r="G5152" s="121"/>
      <c r="H5152" s="85"/>
      <c r="I5152" s="122"/>
      <c r="J5152" s="131"/>
      <c r="K5152" s="60"/>
      <c r="L5152" s="49"/>
      <c r="P5152" s="3"/>
      <c r="Q5152" s="3"/>
      <c r="R5152" s="3"/>
      <c r="S5152" s="3"/>
      <c r="T5152" s="3"/>
      <c r="U5152" s="3"/>
      <c r="V5152" s="3"/>
      <c r="W5152" s="3"/>
      <c r="X5152" s="3"/>
      <c r="Y5152" s="4"/>
      <c r="Z5152"/>
      <c r="AA5152"/>
    </row>
    <row r="5153" spans="1:27" s="37" customFormat="1" x14ac:dyDescent="0.15">
      <c r="A5153" s="70"/>
      <c r="B5153" s="118"/>
      <c r="C5153" s="121"/>
      <c r="D5153" s="121"/>
      <c r="E5153" s="121"/>
      <c r="F5153" s="121"/>
      <c r="G5153" s="121"/>
      <c r="H5153" s="85"/>
      <c r="I5153" s="122"/>
      <c r="J5153" s="131"/>
      <c r="K5153" s="60"/>
      <c r="L5153" s="49"/>
      <c r="P5153" s="3"/>
      <c r="Q5153" s="3"/>
      <c r="R5153" s="3"/>
      <c r="S5153" s="3"/>
      <c r="T5153" s="3"/>
      <c r="U5153" s="3"/>
      <c r="V5153" s="3"/>
      <c r="W5153" s="3"/>
      <c r="X5153" s="3"/>
      <c r="Y5153" s="4"/>
      <c r="Z5153"/>
      <c r="AA5153"/>
    </row>
    <row r="5154" spans="1:27" s="37" customFormat="1" x14ac:dyDescent="0.15">
      <c r="A5154" s="70"/>
      <c r="B5154" s="118"/>
      <c r="C5154" s="121"/>
      <c r="D5154" s="121"/>
      <c r="E5154" s="121"/>
      <c r="F5154" s="121"/>
      <c r="G5154" s="121"/>
      <c r="H5154" s="85"/>
      <c r="I5154" s="122"/>
      <c r="J5154" s="131"/>
      <c r="K5154" s="60"/>
      <c r="L5154" s="49"/>
      <c r="P5154" s="3"/>
      <c r="Q5154" s="3"/>
      <c r="R5154" s="3"/>
      <c r="S5154" s="3"/>
      <c r="T5154" s="3"/>
      <c r="U5154" s="3"/>
      <c r="V5154" s="3"/>
      <c r="W5154" s="3"/>
      <c r="X5154" s="3"/>
      <c r="Y5154" s="4"/>
      <c r="Z5154"/>
      <c r="AA5154"/>
    </row>
    <row r="5155" spans="1:27" s="37" customFormat="1" x14ac:dyDescent="0.15">
      <c r="A5155" s="70"/>
      <c r="B5155" s="118"/>
      <c r="C5155" s="121"/>
      <c r="D5155" s="121"/>
      <c r="E5155" s="121"/>
      <c r="F5155" s="121"/>
      <c r="G5155" s="121"/>
      <c r="H5155" s="85"/>
      <c r="I5155" s="122"/>
      <c r="J5155" s="131"/>
      <c r="K5155" s="60"/>
      <c r="L5155" s="49"/>
      <c r="P5155" s="3"/>
      <c r="Q5155" s="3"/>
      <c r="R5155" s="3"/>
      <c r="S5155" s="3"/>
      <c r="T5155" s="3"/>
      <c r="U5155" s="3"/>
      <c r="V5155" s="3"/>
      <c r="W5155" s="3"/>
      <c r="X5155" s="3"/>
      <c r="Y5155" s="4"/>
      <c r="Z5155"/>
      <c r="AA5155"/>
    </row>
    <row r="5156" spans="1:27" s="37" customFormat="1" x14ac:dyDescent="0.15">
      <c r="A5156" s="70"/>
      <c r="B5156" s="118"/>
      <c r="C5156" s="121"/>
      <c r="D5156" s="121"/>
      <c r="E5156" s="121"/>
      <c r="F5156" s="121"/>
      <c r="G5156" s="121"/>
      <c r="H5156" s="85"/>
      <c r="I5156" s="122"/>
      <c r="J5156" s="131"/>
      <c r="K5156" s="69"/>
      <c r="L5156" s="49"/>
      <c r="P5156" s="3"/>
      <c r="Q5156" s="3"/>
      <c r="R5156" s="3"/>
      <c r="S5156" s="3"/>
      <c r="T5156" s="3"/>
      <c r="U5156" s="3"/>
      <c r="V5156" s="3"/>
      <c r="W5156" s="3"/>
      <c r="X5156" s="3"/>
      <c r="Y5156" s="4"/>
      <c r="Z5156"/>
      <c r="AA5156"/>
    </row>
    <row r="5157" spans="1:27" s="37" customFormat="1" x14ac:dyDescent="0.15">
      <c r="A5157" s="70"/>
      <c r="B5157" s="118"/>
      <c r="C5157" s="121"/>
      <c r="D5157" s="121"/>
      <c r="E5157" s="121"/>
      <c r="F5157" s="121"/>
      <c r="G5157" s="121"/>
      <c r="H5157" s="85"/>
      <c r="I5157" s="122"/>
      <c r="J5157" s="131"/>
      <c r="K5157" s="69"/>
      <c r="L5157" s="49"/>
      <c r="P5157" s="3"/>
      <c r="Q5157" s="3"/>
      <c r="R5157" s="3"/>
      <c r="S5157" s="3"/>
      <c r="T5157" s="3"/>
      <c r="U5157" s="3"/>
      <c r="V5157" s="3"/>
      <c r="W5157" s="3"/>
      <c r="X5157" s="3"/>
      <c r="Y5157" s="4"/>
      <c r="Z5157"/>
      <c r="AA5157"/>
    </row>
    <row r="5158" spans="1:27" s="37" customFormat="1" x14ac:dyDescent="0.15">
      <c r="A5158" s="70"/>
      <c r="B5158" s="118"/>
      <c r="C5158" s="121"/>
      <c r="D5158" s="121"/>
      <c r="E5158" s="121"/>
      <c r="F5158" s="121"/>
      <c r="G5158" s="121"/>
      <c r="H5158" s="85"/>
      <c r="I5158" s="122"/>
      <c r="J5158" s="131"/>
      <c r="K5158" s="69"/>
      <c r="L5158" s="49"/>
      <c r="P5158" s="3"/>
      <c r="Q5158" s="3"/>
      <c r="R5158" s="3"/>
      <c r="S5158" s="3"/>
      <c r="T5158" s="3"/>
      <c r="U5158" s="3"/>
      <c r="V5158" s="3"/>
      <c r="W5158" s="3"/>
      <c r="X5158" s="3"/>
      <c r="Y5158" s="4"/>
      <c r="Z5158"/>
      <c r="AA5158"/>
    </row>
    <row r="5159" spans="1:27" s="37" customFormat="1" x14ac:dyDescent="0.15">
      <c r="A5159" s="73"/>
      <c r="B5159" s="118"/>
      <c r="C5159" s="121"/>
      <c r="D5159" s="121"/>
      <c r="E5159" s="121"/>
      <c r="F5159" s="121"/>
      <c r="G5159" s="121"/>
      <c r="H5159" s="85"/>
      <c r="I5159" s="122"/>
      <c r="J5159" s="131"/>
      <c r="K5159" s="69"/>
      <c r="L5159" s="49"/>
      <c r="P5159" s="3"/>
      <c r="Q5159" s="3"/>
      <c r="R5159" s="3"/>
      <c r="S5159" s="3"/>
      <c r="T5159" s="3"/>
      <c r="U5159" s="3"/>
      <c r="V5159" s="3"/>
      <c r="W5159" s="3"/>
      <c r="X5159" s="3"/>
      <c r="Y5159" s="4"/>
      <c r="Z5159"/>
      <c r="AA5159"/>
    </row>
    <row r="5160" spans="1:27" s="37" customFormat="1" x14ac:dyDescent="0.15">
      <c r="A5160" s="70"/>
      <c r="B5160" s="118"/>
      <c r="C5160" s="121"/>
      <c r="D5160" s="121"/>
      <c r="E5160" s="121"/>
      <c r="F5160" s="121"/>
      <c r="G5160" s="121"/>
      <c r="H5160" s="85"/>
      <c r="I5160" s="122"/>
      <c r="J5160" s="131"/>
      <c r="K5160" s="60"/>
      <c r="L5160" s="49"/>
      <c r="P5160" s="3"/>
      <c r="Q5160" s="3"/>
      <c r="R5160" s="3"/>
      <c r="S5160" s="3"/>
      <c r="T5160" s="3"/>
      <c r="U5160" s="3"/>
      <c r="V5160" s="3"/>
      <c r="W5160" s="3"/>
      <c r="X5160" s="3"/>
      <c r="Y5160" s="4"/>
      <c r="Z5160"/>
      <c r="AA5160"/>
    </row>
    <row r="5161" spans="1:27" s="37" customFormat="1" x14ac:dyDescent="0.15">
      <c r="A5161" s="70"/>
      <c r="B5161" s="118"/>
      <c r="C5161" s="121"/>
      <c r="D5161" s="121"/>
      <c r="E5161" s="121"/>
      <c r="F5161" s="121"/>
      <c r="G5161" s="121"/>
      <c r="H5161" s="85"/>
      <c r="I5161" s="122"/>
      <c r="J5161" s="131"/>
      <c r="K5161" s="63"/>
      <c r="L5161" s="49"/>
      <c r="P5161" s="3"/>
      <c r="Q5161" s="3"/>
      <c r="R5161" s="3"/>
      <c r="S5161" s="3"/>
      <c r="T5161" s="3"/>
      <c r="U5161" s="3"/>
      <c r="V5161" s="3"/>
      <c r="W5161" s="3"/>
      <c r="X5161" s="3"/>
      <c r="Y5161" s="4"/>
      <c r="Z5161"/>
      <c r="AA5161"/>
    </row>
    <row r="5162" spans="1:27" s="37" customFormat="1" x14ac:dyDescent="0.15">
      <c r="A5162" s="70"/>
      <c r="B5162" s="118"/>
      <c r="C5162" s="121"/>
      <c r="D5162" s="121"/>
      <c r="E5162" s="121"/>
      <c r="F5162" s="121"/>
      <c r="G5162" s="121"/>
      <c r="H5162" s="85"/>
      <c r="I5162" s="122"/>
      <c r="J5162" s="131"/>
      <c r="K5162" s="69"/>
      <c r="L5162" s="49"/>
      <c r="P5162" s="3"/>
      <c r="Q5162" s="3"/>
      <c r="R5162" s="3"/>
      <c r="S5162" s="3"/>
      <c r="T5162" s="3"/>
      <c r="U5162" s="3"/>
      <c r="V5162" s="3"/>
      <c r="W5162" s="3"/>
      <c r="X5162" s="3"/>
      <c r="Y5162" s="4"/>
      <c r="Z5162"/>
      <c r="AA5162"/>
    </row>
    <row r="5163" spans="1:27" s="37" customFormat="1" x14ac:dyDescent="0.15">
      <c r="A5163" s="70"/>
      <c r="B5163" s="118"/>
      <c r="C5163" s="121"/>
      <c r="D5163" s="121"/>
      <c r="E5163" s="121"/>
      <c r="F5163" s="121"/>
      <c r="G5163" s="121"/>
      <c r="H5163" s="85"/>
      <c r="I5163" s="122"/>
      <c r="J5163" s="131"/>
      <c r="K5163" s="60"/>
      <c r="L5163" s="49"/>
      <c r="P5163" s="3"/>
      <c r="Q5163" s="3"/>
      <c r="R5163" s="3"/>
      <c r="S5163" s="3"/>
      <c r="T5163" s="3"/>
      <c r="U5163" s="3"/>
      <c r="V5163" s="3"/>
      <c r="W5163" s="3"/>
      <c r="X5163" s="3"/>
      <c r="Y5163" s="4"/>
      <c r="Z5163"/>
      <c r="AA5163"/>
    </row>
    <row r="5164" spans="1:27" s="37" customFormat="1" x14ac:dyDescent="0.15">
      <c r="A5164" s="70"/>
      <c r="B5164" s="118"/>
      <c r="C5164" s="121"/>
      <c r="D5164" s="121"/>
      <c r="E5164" s="121"/>
      <c r="F5164" s="121"/>
      <c r="G5164" s="121"/>
      <c r="H5164" s="85"/>
      <c r="I5164" s="122"/>
      <c r="J5164" s="131"/>
      <c r="K5164" s="60"/>
      <c r="L5164" s="49"/>
      <c r="P5164" s="3"/>
      <c r="Q5164" s="3"/>
      <c r="R5164" s="3"/>
      <c r="S5164" s="3"/>
      <c r="T5164" s="3"/>
      <c r="U5164" s="3"/>
      <c r="V5164" s="3"/>
      <c r="W5164" s="3"/>
      <c r="X5164" s="3"/>
      <c r="Y5164" s="4"/>
      <c r="Z5164"/>
      <c r="AA5164"/>
    </row>
    <row r="5165" spans="1:27" s="37" customFormat="1" x14ac:dyDescent="0.15">
      <c r="A5165" s="70"/>
      <c r="B5165" s="118"/>
      <c r="C5165" s="121"/>
      <c r="D5165" s="121"/>
      <c r="E5165" s="121"/>
      <c r="F5165" s="121"/>
      <c r="G5165" s="121"/>
      <c r="H5165" s="85"/>
      <c r="I5165" s="122"/>
      <c r="J5165" s="131"/>
      <c r="K5165" s="60"/>
      <c r="L5165" s="33"/>
      <c r="P5165" s="3"/>
      <c r="Q5165" s="3"/>
      <c r="R5165" s="3"/>
      <c r="S5165" s="3"/>
      <c r="T5165" s="3"/>
      <c r="U5165" s="3"/>
      <c r="V5165" s="3"/>
      <c r="W5165" s="3"/>
      <c r="X5165" s="3"/>
      <c r="Y5165" s="4"/>
      <c r="Z5165"/>
      <c r="AA5165"/>
    </row>
    <row r="5166" spans="1:27" s="37" customFormat="1" x14ac:dyDescent="0.15">
      <c r="A5166" s="70"/>
      <c r="B5166" s="118"/>
      <c r="C5166" s="121"/>
      <c r="D5166" s="121"/>
      <c r="E5166" s="121"/>
      <c r="F5166" s="121"/>
      <c r="G5166" s="121"/>
      <c r="H5166" s="85"/>
      <c r="I5166" s="122"/>
      <c r="J5166" s="131"/>
      <c r="K5166" s="60"/>
      <c r="L5166" s="49"/>
      <c r="P5166" s="3"/>
      <c r="Q5166" s="3"/>
      <c r="R5166" s="3"/>
      <c r="S5166" s="3"/>
      <c r="T5166" s="3"/>
      <c r="U5166" s="3"/>
      <c r="V5166" s="3"/>
      <c r="W5166" s="3"/>
      <c r="X5166" s="3"/>
      <c r="Y5166" s="4"/>
      <c r="Z5166"/>
      <c r="AA5166"/>
    </row>
    <row r="5167" spans="1:27" s="49" customFormat="1" x14ac:dyDescent="0.15">
      <c r="A5167" s="70"/>
      <c r="B5167" s="118"/>
      <c r="C5167" s="121"/>
      <c r="D5167" s="121"/>
      <c r="E5167" s="121"/>
      <c r="F5167" s="121"/>
      <c r="G5167" s="121"/>
      <c r="H5167" s="85"/>
      <c r="I5167" s="122"/>
      <c r="J5167" s="131"/>
      <c r="K5167" s="69"/>
      <c r="M5167" s="37"/>
      <c r="N5167" s="37"/>
      <c r="O5167" s="37"/>
      <c r="P5167" s="3"/>
      <c r="Q5167" s="3"/>
      <c r="R5167" s="3"/>
      <c r="S5167" s="3"/>
      <c r="T5167" s="3"/>
      <c r="U5167" s="3"/>
      <c r="V5167" s="3"/>
      <c r="W5167" s="3"/>
      <c r="X5167" s="3"/>
      <c r="Y5167" s="4"/>
      <c r="Z5167"/>
      <c r="AA5167"/>
    </row>
    <row r="5168" spans="1:27" s="49" customFormat="1" x14ac:dyDescent="0.15">
      <c r="A5168" s="70"/>
      <c r="B5168" s="118"/>
      <c r="C5168" s="121"/>
      <c r="D5168" s="121"/>
      <c r="E5168" s="121"/>
      <c r="F5168" s="121"/>
      <c r="G5168" s="121"/>
      <c r="H5168" s="85"/>
      <c r="I5168" s="122"/>
      <c r="J5168" s="131"/>
      <c r="K5168" s="69"/>
      <c r="M5168" s="37"/>
      <c r="N5168" s="37"/>
      <c r="O5168" s="37"/>
      <c r="P5168" s="3"/>
      <c r="Q5168" s="3"/>
      <c r="R5168" s="3"/>
      <c r="S5168" s="3"/>
      <c r="T5168" s="3"/>
      <c r="U5168" s="3"/>
      <c r="V5168" s="3"/>
      <c r="W5168" s="3"/>
      <c r="X5168" s="3"/>
      <c r="Y5168" s="4"/>
      <c r="Z5168"/>
      <c r="AA5168"/>
    </row>
    <row r="5169" spans="1:27" s="49" customFormat="1" x14ac:dyDescent="0.15">
      <c r="A5169" s="70"/>
      <c r="B5169" s="118"/>
      <c r="C5169" s="121"/>
      <c r="D5169" s="121"/>
      <c r="E5169" s="121"/>
      <c r="F5169" s="121"/>
      <c r="G5169" s="121"/>
      <c r="H5169" s="85"/>
      <c r="I5169" s="122"/>
      <c r="J5169" s="131"/>
      <c r="K5169" s="60"/>
      <c r="M5169" s="37"/>
      <c r="N5169" s="37"/>
      <c r="O5169" s="37"/>
      <c r="P5169" s="3"/>
      <c r="Q5169" s="3"/>
      <c r="R5169" s="3"/>
      <c r="S5169" s="3"/>
      <c r="T5169" s="3"/>
      <c r="U5169" s="3"/>
      <c r="V5169" s="3"/>
      <c r="W5169" s="3"/>
      <c r="X5169" s="3"/>
      <c r="Y5169" s="4"/>
      <c r="Z5169"/>
      <c r="AA5169"/>
    </row>
    <row r="5170" spans="1:27" s="49" customFormat="1" x14ac:dyDescent="0.15">
      <c r="A5170" s="70"/>
      <c r="B5170" s="118"/>
      <c r="C5170" s="121"/>
      <c r="D5170" s="121"/>
      <c r="E5170" s="121"/>
      <c r="F5170" s="121"/>
      <c r="G5170" s="121"/>
      <c r="H5170" s="85"/>
      <c r="I5170" s="122"/>
      <c r="J5170" s="131"/>
      <c r="K5170" s="60"/>
      <c r="M5170" s="37"/>
      <c r="N5170" s="37"/>
      <c r="O5170" s="37"/>
      <c r="P5170" s="3"/>
      <c r="Q5170" s="3"/>
      <c r="R5170" s="3"/>
      <c r="S5170" s="3"/>
      <c r="T5170" s="3"/>
      <c r="U5170" s="3"/>
      <c r="V5170" s="3"/>
      <c r="W5170" s="3"/>
      <c r="X5170" s="3"/>
      <c r="Y5170" s="4"/>
      <c r="Z5170"/>
      <c r="AA5170"/>
    </row>
    <row r="5171" spans="1:27" s="49" customFormat="1" x14ac:dyDescent="0.15">
      <c r="A5171" s="70"/>
      <c r="B5171" s="118"/>
      <c r="C5171" s="121"/>
      <c r="D5171" s="121"/>
      <c r="E5171" s="121"/>
      <c r="F5171" s="121"/>
      <c r="G5171" s="121"/>
      <c r="H5171" s="85"/>
      <c r="I5171" s="122"/>
      <c r="J5171" s="131"/>
      <c r="K5171" s="60"/>
      <c r="M5171" s="37"/>
      <c r="N5171" s="37"/>
      <c r="O5171" s="37"/>
      <c r="P5171" s="3"/>
      <c r="Q5171" s="3"/>
      <c r="R5171" s="3"/>
      <c r="S5171" s="3"/>
      <c r="T5171" s="3"/>
      <c r="U5171" s="3"/>
      <c r="V5171" s="3"/>
      <c r="W5171" s="3"/>
      <c r="X5171" s="3"/>
      <c r="Y5171" s="4"/>
      <c r="Z5171"/>
      <c r="AA5171"/>
    </row>
    <row r="5172" spans="1:27" s="49" customFormat="1" x14ac:dyDescent="0.15">
      <c r="A5172" s="70"/>
      <c r="B5172" s="118"/>
      <c r="C5172" s="121"/>
      <c r="D5172" s="121"/>
      <c r="E5172" s="121"/>
      <c r="F5172" s="121"/>
      <c r="G5172" s="121"/>
      <c r="H5172" s="85"/>
      <c r="I5172" s="122"/>
      <c r="J5172" s="131"/>
      <c r="K5172" s="60"/>
      <c r="M5172" s="37"/>
      <c r="N5172" s="37"/>
      <c r="O5172" s="37"/>
      <c r="P5172" s="3"/>
      <c r="Q5172" s="3"/>
      <c r="R5172" s="3"/>
      <c r="S5172" s="3"/>
      <c r="T5172" s="3"/>
      <c r="U5172" s="3"/>
      <c r="V5172" s="3"/>
      <c r="W5172" s="3"/>
      <c r="X5172" s="3"/>
      <c r="Y5172" s="4"/>
      <c r="Z5172"/>
      <c r="AA5172"/>
    </row>
    <row r="5173" spans="1:27" s="49" customFormat="1" x14ac:dyDescent="0.15">
      <c r="A5173" s="70"/>
      <c r="B5173" s="118"/>
      <c r="C5173" s="121"/>
      <c r="D5173" s="121"/>
      <c r="E5173" s="121"/>
      <c r="F5173" s="121"/>
      <c r="G5173" s="121"/>
      <c r="H5173" s="85"/>
      <c r="I5173" s="122"/>
      <c r="J5173" s="131"/>
      <c r="K5173" s="60"/>
      <c r="M5173" s="37"/>
      <c r="N5173" s="37"/>
      <c r="O5173" s="37"/>
      <c r="P5173" s="3"/>
      <c r="Q5173" s="3"/>
      <c r="R5173" s="3"/>
      <c r="S5173" s="3"/>
      <c r="T5173" s="3"/>
      <c r="U5173" s="3"/>
      <c r="V5173" s="3"/>
      <c r="W5173" s="3"/>
      <c r="X5173" s="3"/>
      <c r="Y5173" s="4"/>
      <c r="Z5173"/>
      <c r="AA5173"/>
    </row>
    <row r="5174" spans="1:27" s="49" customFormat="1" x14ac:dyDescent="0.15">
      <c r="A5174" s="70"/>
      <c r="B5174" s="118"/>
      <c r="C5174" s="121"/>
      <c r="D5174" s="121"/>
      <c r="E5174" s="121"/>
      <c r="F5174" s="121"/>
      <c r="G5174" s="121"/>
      <c r="H5174" s="85"/>
      <c r="I5174" s="122"/>
      <c r="J5174" s="131"/>
      <c r="K5174" s="60"/>
      <c r="M5174" s="37"/>
      <c r="N5174" s="37"/>
      <c r="O5174" s="37"/>
      <c r="P5174" s="3"/>
      <c r="Q5174" s="3"/>
      <c r="R5174" s="3"/>
      <c r="S5174" s="3"/>
      <c r="T5174" s="3"/>
      <c r="U5174" s="3"/>
      <c r="V5174" s="3"/>
      <c r="W5174" s="3"/>
      <c r="X5174" s="3"/>
      <c r="Y5174" s="4"/>
      <c r="Z5174"/>
      <c r="AA5174"/>
    </row>
    <row r="5175" spans="1:27" s="49" customFormat="1" x14ac:dyDescent="0.15">
      <c r="A5175" s="73"/>
      <c r="B5175" s="118"/>
      <c r="C5175" s="121"/>
      <c r="D5175" s="121"/>
      <c r="E5175" s="121"/>
      <c r="F5175" s="121"/>
      <c r="G5175" s="121"/>
      <c r="H5175" s="85"/>
      <c r="I5175" s="122"/>
      <c r="J5175" s="131"/>
      <c r="K5175" s="60"/>
      <c r="M5175" s="37"/>
      <c r="N5175" s="37"/>
      <c r="O5175" s="37"/>
      <c r="P5175" s="3"/>
      <c r="Q5175" s="3"/>
      <c r="R5175" s="3"/>
      <c r="S5175" s="3"/>
      <c r="T5175" s="3"/>
      <c r="U5175" s="3"/>
      <c r="V5175" s="3"/>
      <c r="W5175" s="3"/>
      <c r="X5175" s="3"/>
      <c r="Y5175" s="4"/>
      <c r="Z5175"/>
      <c r="AA5175"/>
    </row>
    <row r="5176" spans="1:27" s="49" customFormat="1" x14ac:dyDescent="0.15">
      <c r="A5176" s="70"/>
      <c r="B5176" s="118"/>
      <c r="C5176" s="121"/>
      <c r="D5176" s="121"/>
      <c r="E5176" s="121"/>
      <c r="F5176" s="121"/>
      <c r="G5176" s="121"/>
      <c r="H5176" s="85"/>
      <c r="I5176" s="122"/>
      <c r="J5176" s="131"/>
      <c r="K5176" s="60"/>
      <c r="M5176" s="37"/>
      <c r="N5176" s="37"/>
      <c r="O5176" s="37"/>
      <c r="P5176" s="3"/>
      <c r="Q5176" s="3"/>
      <c r="R5176" s="3"/>
      <c r="S5176" s="3"/>
      <c r="T5176" s="3"/>
      <c r="U5176" s="3"/>
      <c r="V5176" s="3"/>
      <c r="W5176" s="3"/>
      <c r="X5176" s="3"/>
      <c r="Y5176" s="4"/>
      <c r="Z5176"/>
      <c r="AA5176"/>
    </row>
    <row r="5177" spans="1:27" s="49" customFormat="1" x14ac:dyDescent="0.15">
      <c r="A5177" s="70"/>
      <c r="B5177" s="118"/>
      <c r="C5177" s="121"/>
      <c r="D5177" s="121"/>
      <c r="E5177" s="121"/>
      <c r="F5177" s="121"/>
      <c r="G5177" s="121"/>
      <c r="H5177" s="85"/>
      <c r="I5177" s="122"/>
      <c r="J5177" s="131"/>
      <c r="K5177" s="60"/>
      <c r="M5177" s="37"/>
      <c r="N5177" s="37"/>
      <c r="O5177" s="37"/>
      <c r="P5177" s="3"/>
      <c r="Q5177" s="3"/>
      <c r="R5177" s="3"/>
      <c r="S5177" s="3"/>
      <c r="T5177" s="3"/>
      <c r="U5177" s="3"/>
      <c r="V5177" s="3"/>
      <c r="W5177" s="3"/>
      <c r="X5177" s="3"/>
      <c r="Y5177" s="4"/>
      <c r="Z5177"/>
      <c r="AA5177"/>
    </row>
    <row r="5178" spans="1:27" s="49" customFormat="1" x14ac:dyDescent="0.15">
      <c r="A5178" s="70"/>
      <c r="B5178" s="118"/>
      <c r="C5178" s="121"/>
      <c r="D5178" s="121"/>
      <c r="E5178" s="121"/>
      <c r="F5178" s="121"/>
      <c r="G5178" s="121"/>
      <c r="H5178" s="85"/>
      <c r="I5178" s="122"/>
      <c r="J5178" s="131"/>
      <c r="K5178" s="60"/>
      <c r="M5178" s="37"/>
      <c r="N5178" s="37"/>
      <c r="O5178" s="37"/>
      <c r="P5178" s="3"/>
      <c r="Q5178" s="3"/>
      <c r="R5178" s="3"/>
      <c r="S5178" s="3"/>
      <c r="T5178" s="3"/>
      <c r="U5178" s="3"/>
      <c r="V5178" s="3"/>
      <c r="W5178" s="3"/>
      <c r="X5178" s="3"/>
      <c r="Y5178" s="4"/>
      <c r="Z5178"/>
      <c r="AA5178"/>
    </row>
    <row r="5179" spans="1:27" s="49" customFormat="1" x14ac:dyDescent="0.15">
      <c r="A5179" s="70"/>
      <c r="B5179" s="118"/>
      <c r="C5179" s="121"/>
      <c r="D5179" s="121"/>
      <c r="E5179" s="121"/>
      <c r="F5179" s="121"/>
      <c r="G5179" s="121"/>
      <c r="H5179" s="85"/>
      <c r="I5179" s="122"/>
      <c r="J5179" s="131"/>
      <c r="K5179" s="60"/>
      <c r="M5179" s="37"/>
      <c r="N5179" s="37"/>
      <c r="O5179" s="37"/>
      <c r="P5179" s="3"/>
      <c r="Q5179" s="3"/>
      <c r="R5179" s="3"/>
      <c r="S5179" s="3"/>
      <c r="T5179" s="3"/>
      <c r="U5179" s="3"/>
      <c r="V5179" s="3"/>
      <c r="W5179" s="3"/>
      <c r="X5179" s="3"/>
      <c r="Y5179" s="4"/>
      <c r="Z5179"/>
      <c r="AA5179"/>
    </row>
    <row r="5180" spans="1:27" s="49" customFormat="1" x14ac:dyDescent="0.15">
      <c r="A5180" s="70"/>
      <c r="B5180" s="118"/>
      <c r="C5180" s="121"/>
      <c r="D5180" s="121"/>
      <c r="E5180" s="121"/>
      <c r="F5180" s="121"/>
      <c r="G5180" s="121"/>
      <c r="H5180" s="85"/>
      <c r="I5180" s="122"/>
      <c r="J5180" s="131"/>
      <c r="K5180" s="69"/>
      <c r="M5180" s="37"/>
      <c r="N5180" s="37"/>
      <c r="O5180" s="37"/>
      <c r="P5180" s="3"/>
      <c r="Q5180" s="3"/>
      <c r="R5180" s="3"/>
      <c r="S5180" s="3"/>
      <c r="T5180" s="3"/>
      <c r="U5180" s="3"/>
      <c r="V5180" s="3"/>
      <c r="W5180" s="3"/>
      <c r="X5180" s="3"/>
      <c r="Y5180" s="4"/>
      <c r="Z5180"/>
      <c r="AA5180"/>
    </row>
    <row r="5181" spans="1:27" s="49" customFormat="1" x14ac:dyDescent="0.15">
      <c r="A5181" s="70"/>
      <c r="B5181" s="118"/>
      <c r="C5181" s="121"/>
      <c r="D5181" s="121"/>
      <c r="E5181" s="121"/>
      <c r="F5181" s="121"/>
      <c r="G5181" s="121"/>
      <c r="H5181" s="85"/>
      <c r="I5181" s="122"/>
      <c r="J5181" s="131"/>
      <c r="K5181" s="69"/>
      <c r="M5181" s="37"/>
      <c r="N5181" s="37"/>
      <c r="O5181" s="37"/>
      <c r="P5181" s="3"/>
      <c r="Q5181" s="3"/>
      <c r="R5181" s="3"/>
      <c r="S5181" s="3"/>
      <c r="T5181" s="3"/>
      <c r="U5181" s="3"/>
      <c r="V5181" s="3"/>
      <c r="W5181" s="3"/>
      <c r="X5181" s="3"/>
      <c r="Y5181" s="4"/>
      <c r="Z5181"/>
      <c r="AA5181"/>
    </row>
    <row r="5182" spans="1:27" s="49" customFormat="1" x14ac:dyDescent="0.15">
      <c r="A5182" s="70"/>
      <c r="B5182" s="118"/>
      <c r="C5182" s="121"/>
      <c r="D5182" s="121"/>
      <c r="E5182" s="121"/>
      <c r="F5182" s="121"/>
      <c r="G5182" s="121"/>
      <c r="H5182" s="85"/>
      <c r="I5182" s="122"/>
      <c r="J5182" s="131"/>
      <c r="K5182" s="60"/>
      <c r="M5182" s="37"/>
      <c r="N5182" s="37"/>
      <c r="O5182" s="37"/>
      <c r="P5182" s="3"/>
      <c r="Q5182" s="3"/>
      <c r="R5182" s="3"/>
      <c r="S5182" s="3"/>
      <c r="T5182" s="3"/>
      <c r="U5182" s="3"/>
      <c r="V5182" s="3"/>
      <c r="W5182" s="3"/>
      <c r="X5182" s="3"/>
      <c r="Y5182" s="4"/>
      <c r="Z5182"/>
      <c r="AA5182"/>
    </row>
    <row r="5183" spans="1:27" s="49" customFormat="1" x14ac:dyDescent="0.15">
      <c r="A5183" s="70"/>
      <c r="B5183" s="118"/>
      <c r="C5183" s="121"/>
      <c r="D5183" s="121"/>
      <c r="E5183" s="121"/>
      <c r="F5183" s="121"/>
      <c r="G5183" s="121"/>
      <c r="H5183" s="85"/>
      <c r="I5183" s="122"/>
      <c r="J5183" s="131"/>
      <c r="K5183" s="69"/>
      <c r="M5183" s="37"/>
      <c r="N5183" s="37"/>
      <c r="O5183" s="37"/>
      <c r="P5183" s="3"/>
      <c r="Q5183" s="3"/>
      <c r="R5183" s="3"/>
      <c r="S5183" s="3"/>
      <c r="T5183" s="3"/>
      <c r="U5183" s="3"/>
      <c r="V5183" s="3"/>
      <c r="W5183" s="3"/>
      <c r="X5183" s="3"/>
      <c r="Y5183" s="4"/>
      <c r="Z5183"/>
      <c r="AA5183"/>
    </row>
    <row r="5184" spans="1:27" s="49" customFormat="1" x14ac:dyDescent="0.15">
      <c r="A5184" s="73"/>
      <c r="B5184" s="118"/>
      <c r="C5184" s="121"/>
      <c r="D5184" s="121"/>
      <c r="E5184" s="121"/>
      <c r="F5184" s="121"/>
      <c r="G5184" s="121"/>
      <c r="H5184" s="85"/>
      <c r="I5184" s="122"/>
      <c r="J5184" s="131"/>
      <c r="K5184" s="69"/>
      <c r="M5184" s="37"/>
      <c r="N5184" s="37"/>
      <c r="O5184" s="37"/>
      <c r="P5184" s="3"/>
      <c r="Q5184" s="3"/>
      <c r="R5184" s="3"/>
      <c r="S5184" s="3"/>
      <c r="T5184" s="3"/>
      <c r="U5184" s="3"/>
      <c r="V5184" s="3"/>
      <c r="W5184" s="3"/>
      <c r="X5184" s="3"/>
      <c r="Y5184" s="4"/>
      <c r="Z5184"/>
      <c r="AA5184"/>
    </row>
    <row r="5185" spans="1:27" s="49" customFormat="1" x14ac:dyDescent="0.15">
      <c r="A5185" s="73"/>
      <c r="B5185" s="118"/>
      <c r="C5185" s="121"/>
      <c r="D5185" s="121"/>
      <c r="E5185" s="121"/>
      <c r="F5185" s="121"/>
      <c r="G5185" s="121"/>
      <c r="H5185" s="85"/>
      <c r="I5185" s="122"/>
      <c r="J5185" s="131"/>
      <c r="K5185" s="69"/>
      <c r="M5185" s="37"/>
      <c r="N5185" s="37"/>
      <c r="O5185" s="37"/>
      <c r="P5185" s="3"/>
      <c r="Q5185" s="3"/>
      <c r="R5185" s="3"/>
      <c r="S5185" s="3"/>
      <c r="T5185" s="3"/>
      <c r="U5185" s="3"/>
      <c r="V5185" s="3"/>
      <c r="W5185" s="3"/>
      <c r="X5185" s="3"/>
      <c r="Y5185" s="4"/>
      <c r="Z5185"/>
      <c r="AA5185"/>
    </row>
    <row r="5186" spans="1:27" s="49" customFormat="1" x14ac:dyDescent="0.15">
      <c r="A5186" s="70"/>
      <c r="B5186" s="118"/>
      <c r="C5186" s="121"/>
      <c r="D5186" s="121"/>
      <c r="E5186" s="121"/>
      <c r="F5186" s="121"/>
      <c r="G5186" s="121"/>
      <c r="H5186" s="85"/>
      <c r="I5186" s="122"/>
      <c r="J5186" s="131"/>
      <c r="K5186" s="69"/>
      <c r="M5186" s="37"/>
      <c r="N5186" s="37"/>
      <c r="O5186" s="37"/>
      <c r="P5186" s="3"/>
      <c r="Q5186" s="3"/>
      <c r="R5186" s="3"/>
      <c r="S5186" s="3"/>
      <c r="T5186" s="3"/>
      <c r="U5186" s="3"/>
      <c r="V5186" s="3"/>
      <c r="W5186" s="3"/>
      <c r="X5186" s="3"/>
      <c r="Y5186" s="4"/>
      <c r="Z5186"/>
      <c r="AA5186"/>
    </row>
    <row r="5187" spans="1:27" s="49" customFormat="1" x14ac:dyDescent="0.15">
      <c r="A5187" s="70"/>
      <c r="B5187" s="118"/>
      <c r="C5187" s="121"/>
      <c r="D5187" s="121"/>
      <c r="E5187" s="121"/>
      <c r="F5187" s="121"/>
      <c r="G5187" s="121"/>
      <c r="H5187" s="85"/>
      <c r="I5187" s="122"/>
      <c r="J5187" s="131"/>
      <c r="K5187" s="60"/>
      <c r="M5187" s="37"/>
      <c r="N5187" s="37"/>
      <c r="O5187" s="37"/>
      <c r="P5187" s="3"/>
      <c r="Q5187" s="3"/>
      <c r="R5187" s="3"/>
      <c r="S5187" s="3"/>
      <c r="T5187" s="3"/>
      <c r="U5187" s="3"/>
      <c r="V5187" s="3"/>
      <c r="W5187" s="3"/>
      <c r="X5187" s="3"/>
      <c r="Y5187" s="4"/>
      <c r="Z5187"/>
      <c r="AA5187"/>
    </row>
    <row r="5188" spans="1:27" s="49" customFormat="1" x14ac:dyDescent="0.15">
      <c r="A5188" s="70"/>
      <c r="B5188" s="118"/>
      <c r="C5188" s="121"/>
      <c r="D5188" s="121"/>
      <c r="E5188" s="121"/>
      <c r="F5188" s="121"/>
      <c r="G5188" s="121"/>
      <c r="H5188" s="85"/>
      <c r="I5188" s="122"/>
      <c r="J5188" s="131"/>
      <c r="K5188" s="60"/>
      <c r="M5188" s="37"/>
      <c r="N5188" s="37"/>
      <c r="O5188" s="37"/>
      <c r="P5188" s="3"/>
      <c r="Q5188" s="3"/>
      <c r="R5188" s="3"/>
      <c r="S5188" s="3"/>
      <c r="T5188" s="3"/>
      <c r="U5188" s="3"/>
      <c r="V5188" s="3"/>
      <c r="W5188" s="3"/>
      <c r="X5188" s="3"/>
      <c r="Y5188" s="4"/>
      <c r="Z5188"/>
      <c r="AA5188"/>
    </row>
    <row r="5189" spans="1:27" s="49" customFormat="1" x14ac:dyDescent="0.15">
      <c r="A5189" s="70"/>
      <c r="B5189" s="118"/>
      <c r="C5189" s="121"/>
      <c r="D5189" s="121"/>
      <c r="E5189" s="121"/>
      <c r="F5189" s="121"/>
      <c r="G5189" s="121"/>
      <c r="H5189" s="85"/>
      <c r="I5189" s="122"/>
      <c r="J5189" s="131"/>
      <c r="K5189" s="72"/>
      <c r="M5189" s="37"/>
      <c r="N5189" s="37"/>
      <c r="O5189" s="37"/>
      <c r="P5189" s="3"/>
      <c r="Q5189" s="3"/>
      <c r="R5189" s="3"/>
      <c r="S5189" s="3"/>
      <c r="T5189" s="3"/>
      <c r="U5189" s="3"/>
      <c r="V5189" s="3"/>
      <c r="W5189" s="3"/>
      <c r="X5189" s="3"/>
      <c r="Y5189" s="4"/>
      <c r="Z5189"/>
      <c r="AA5189"/>
    </row>
    <row r="5190" spans="1:27" s="49" customFormat="1" x14ac:dyDescent="0.15">
      <c r="A5190" s="70"/>
      <c r="B5190" s="118"/>
      <c r="C5190" s="121"/>
      <c r="D5190" s="121"/>
      <c r="E5190" s="121"/>
      <c r="F5190" s="121"/>
      <c r="G5190" s="121"/>
      <c r="H5190" s="85"/>
      <c r="I5190" s="122"/>
      <c r="J5190" s="131"/>
      <c r="K5190" s="69"/>
      <c r="M5190" s="37"/>
      <c r="N5190" s="37"/>
      <c r="O5190" s="37"/>
      <c r="P5190" s="3"/>
      <c r="Q5190" s="3"/>
      <c r="R5190" s="3"/>
      <c r="S5190" s="3"/>
      <c r="T5190" s="3"/>
      <c r="U5190" s="3"/>
      <c r="V5190" s="3"/>
      <c r="W5190" s="3"/>
      <c r="X5190" s="3"/>
      <c r="Y5190" s="4"/>
      <c r="Z5190"/>
      <c r="AA5190"/>
    </row>
    <row r="5191" spans="1:27" s="49" customFormat="1" x14ac:dyDescent="0.15">
      <c r="A5191" s="70"/>
      <c r="B5191" s="118"/>
      <c r="C5191" s="121"/>
      <c r="D5191" s="121"/>
      <c r="E5191" s="121"/>
      <c r="F5191" s="121"/>
      <c r="G5191" s="121"/>
      <c r="H5191" s="85"/>
      <c r="I5191" s="122"/>
      <c r="J5191" s="131"/>
      <c r="K5191" s="69"/>
      <c r="M5191" s="37"/>
      <c r="N5191" s="37"/>
      <c r="O5191" s="37"/>
      <c r="P5191" s="3"/>
      <c r="Q5191" s="3"/>
      <c r="R5191" s="3"/>
      <c r="S5191" s="3"/>
      <c r="T5191" s="3"/>
      <c r="U5191" s="3"/>
      <c r="V5191" s="3"/>
      <c r="W5191" s="3"/>
      <c r="X5191" s="3"/>
      <c r="Y5191" s="4"/>
      <c r="Z5191"/>
      <c r="AA5191"/>
    </row>
    <row r="5192" spans="1:27" s="49" customFormat="1" x14ac:dyDescent="0.15">
      <c r="A5192" s="70"/>
      <c r="B5192" s="118"/>
      <c r="C5192" s="121"/>
      <c r="D5192" s="121"/>
      <c r="E5192" s="121"/>
      <c r="F5192" s="121"/>
      <c r="G5192" s="121"/>
      <c r="H5192" s="85"/>
      <c r="I5192" s="122"/>
      <c r="J5192" s="131"/>
      <c r="K5192" s="63"/>
      <c r="M5192" s="37"/>
      <c r="N5192" s="37"/>
      <c r="O5192" s="37"/>
      <c r="P5192" s="3"/>
      <c r="Q5192" s="3"/>
      <c r="R5192" s="3"/>
      <c r="S5192" s="3"/>
      <c r="T5192" s="3"/>
      <c r="U5192" s="3"/>
      <c r="V5192" s="3"/>
      <c r="W5192" s="3"/>
      <c r="X5192" s="3"/>
      <c r="Y5192" s="4"/>
      <c r="Z5192"/>
      <c r="AA5192"/>
    </row>
    <row r="5193" spans="1:27" s="49" customFormat="1" x14ac:dyDescent="0.15">
      <c r="A5193" s="70"/>
      <c r="B5193" s="118"/>
      <c r="C5193" s="121"/>
      <c r="D5193" s="121"/>
      <c r="E5193" s="121"/>
      <c r="F5193" s="121"/>
      <c r="G5193" s="121"/>
      <c r="H5193" s="85"/>
      <c r="I5193" s="122"/>
      <c r="J5193" s="131"/>
      <c r="K5193" s="69"/>
      <c r="M5193" s="37"/>
      <c r="N5193" s="37"/>
      <c r="O5193" s="37"/>
      <c r="P5193" s="3"/>
      <c r="Q5193" s="3"/>
      <c r="R5193" s="3"/>
      <c r="S5193" s="3"/>
      <c r="T5193" s="3"/>
      <c r="U5193" s="3"/>
      <c r="V5193" s="3"/>
      <c r="W5193" s="3"/>
      <c r="X5193" s="3"/>
      <c r="Y5193" s="4"/>
      <c r="Z5193"/>
      <c r="AA5193"/>
    </row>
    <row r="5194" spans="1:27" s="49" customFormat="1" x14ac:dyDescent="0.15">
      <c r="A5194" s="70"/>
      <c r="B5194" s="118"/>
      <c r="C5194" s="121"/>
      <c r="D5194" s="121"/>
      <c r="E5194" s="121"/>
      <c r="F5194" s="121"/>
      <c r="G5194" s="121"/>
      <c r="H5194" s="85"/>
      <c r="I5194" s="122"/>
      <c r="J5194" s="131"/>
      <c r="K5194" s="69"/>
      <c r="M5194" s="37"/>
      <c r="N5194" s="37"/>
      <c r="O5194" s="37"/>
      <c r="P5194" s="3"/>
      <c r="Q5194" s="3"/>
      <c r="R5194" s="3"/>
      <c r="S5194" s="3"/>
      <c r="T5194" s="3"/>
      <c r="U5194" s="3"/>
      <c r="V5194" s="3"/>
      <c r="W5194" s="3"/>
      <c r="X5194" s="3"/>
      <c r="Y5194" s="4"/>
      <c r="Z5194"/>
      <c r="AA5194"/>
    </row>
    <row r="5195" spans="1:27" s="49" customFormat="1" x14ac:dyDescent="0.15">
      <c r="A5195" s="70"/>
      <c r="B5195" s="118"/>
      <c r="C5195" s="121"/>
      <c r="D5195" s="121"/>
      <c r="E5195" s="121"/>
      <c r="F5195" s="121"/>
      <c r="G5195" s="121"/>
      <c r="H5195" s="85"/>
      <c r="I5195" s="122"/>
      <c r="J5195" s="131"/>
      <c r="K5195" s="60"/>
      <c r="M5195" s="37"/>
      <c r="N5195" s="37"/>
      <c r="O5195" s="37"/>
      <c r="P5195" s="3"/>
      <c r="Q5195" s="3"/>
      <c r="R5195" s="3"/>
      <c r="S5195" s="3"/>
      <c r="T5195" s="3"/>
      <c r="U5195" s="3"/>
      <c r="V5195" s="3"/>
      <c r="W5195" s="3"/>
      <c r="X5195" s="3"/>
      <c r="Y5195" s="4"/>
      <c r="Z5195"/>
      <c r="AA5195"/>
    </row>
    <row r="5196" spans="1:27" s="49" customFormat="1" x14ac:dyDescent="0.15">
      <c r="A5196" s="70"/>
      <c r="B5196" s="118"/>
      <c r="C5196" s="121"/>
      <c r="D5196" s="121"/>
      <c r="E5196" s="121"/>
      <c r="F5196" s="121"/>
      <c r="G5196" s="121"/>
      <c r="H5196" s="85"/>
      <c r="I5196" s="122"/>
      <c r="J5196" s="131"/>
      <c r="K5196" s="69"/>
      <c r="M5196" s="37"/>
      <c r="N5196" s="37"/>
      <c r="O5196" s="37"/>
      <c r="P5196" s="3"/>
      <c r="Q5196" s="3"/>
      <c r="R5196" s="3"/>
      <c r="S5196" s="3"/>
      <c r="T5196" s="3"/>
      <c r="U5196" s="3"/>
      <c r="V5196" s="3"/>
      <c r="W5196" s="3"/>
      <c r="X5196" s="3"/>
      <c r="Y5196" s="4"/>
      <c r="Z5196"/>
      <c r="AA5196"/>
    </row>
    <row r="5197" spans="1:27" s="49" customFormat="1" x14ac:dyDescent="0.15">
      <c r="A5197" s="70"/>
      <c r="B5197" s="118"/>
      <c r="C5197" s="121"/>
      <c r="D5197" s="121"/>
      <c r="E5197" s="121"/>
      <c r="F5197" s="121"/>
      <c r="G5197" s="121"/>
      <c r="H5197" s="85"/>
      <c r="I5197" s="121"/>
      <c r="J5197" s="131"/>
      <c r="K5197" s="69"/>
      <c r="M5197" s="37"/>
      <c r="N5197" s="37"/>
      <c r="O5197" s="37"/>
      <c r="P5197" s="3"/>
      <c r="Q5197" s="3"/>
      <c r="R5197" s="3"/>
      <c r="S5197" s="3"/>
      <c r="T5197" s="3"/>
      <c r="U5197" s="3"/>
      <c r="V5197" s="3"/>
      <c r="W5197" s="3"/>
      <c r="X5197" s="3"/>
      <c r="Y5197" s="4"/>
      <c r="Z5197"/>
      <c r="AA5197"/>
    </row>
    <row r="5198" spans="1:27" s="49" customFormat="1" x14ac:dyDescent="0.15">
      <c r="A5198" s="73"/>
      <c r="B5198" s="118"/>
      <c r="C5198" s="121"/>
      <c r="D5198" s="121"/>
      <c r="E5198" s="121"/>
      <c r="F5198" s="121"/>
      <c r="G5198" s="121"/>
      <c r="H5198" s="85"/>
      <c r="I5198" s="122"/>
      <c r="J5198" s="131"/>
      <c r="K5198" s="69"/>
      <c r="M5198" s="37"/>
      <c r="N5198" s="37"/>
      <c r="O5198" s="37"/>
      <c r="P5198" s="3"/>
      <c r="Q5198" s="3"/>
      <c r="R5198" s="3"/>
      <c r="S5198" s="3"/>
      <c r="T5198" s="3"/>
      <c r="U5198" s="3"/>
      <c r="V5198" s="3"/>
      <c r="W5198" s="3"/>
      <c r="X5198" s="3"/>
      <c r="Y5198" s="4"/>
      <c r="Z5198"/>
      <c r="AA5198"/>
    </row>
    <row r="5199" spans="1:27" s="49" customFormat="1" x14ac:dyDescent="0.15">
      <c r="A5199" s="70"/>
      <c r="B5199" s="118"/>
      <c r="C5199" s="121"/>
      <c r="D5199" s="121"/>
      <c r="E5199" s="121"/>
      <c r="F5199" s="121"/>
      <c r="G5199" s="121"/>
      <c r="H5199" s="85"/>
      <c r="I5199" s="122"/>
      <c r="J5199" s="131"/>
      <c r="K5199" s="69"/>
      <c r="M5199" s="37"/>
      <c r="N5199" s="37"/>
      <c r="O5199" s="37"/>
      <c r="P5199" s="3"/>
      <c r="Q5199" s="3"/>
      <c r="R5199" s="3"/>
      <c r="S5199" s="3"/>
      <c r="T5199" s="3"/>
      <c r="U5199" s="3"/>
      <c r="V5199" s="3"/>
      <c r="W5199" s="3"/>
      <c r="X5199" s="3"/>
      <c r="Y5199" s="4"/>
      <c r="Z5199"/>
      <c r="AA5199"/>
    </row>
    <row r="5200" spans="1:27" s="49" customFormat="1" x14ac:dyDescent="0.15">
      <c r="A5200" s="70"/>
      <c r="B5200" s="118"/>
      <c r="C5200" s="121"/>
      <c r="D5200" s="121"/>
      <c r="E5200" s="121"/>
      <c r="F5200" s="121"/>
      <c r="G5200" s="121"/>
      <c r="H5200" s="85"/>
      <c r="I5200" s="122"/>
      <c r="J5200" s="131"/>
      <c r="K5200" s="69"/>
      <c r="M5200" s="37"/>
      <c r="N5200" s="37"/>
      <c r="O5200" s="37"/>
      <c r="P5200" s="3"/>
      <c r="Q5200" s="3"/>
      <c r="R5200" s="3"/>
      <c r="S5200" s="3"/>
      <c r="T5200" s="3"/>
      <c r="U5200" s="3"/>
      <c r="V5200" s="3"/>
      <c r="W5200" s="3"/>
      <c r="X5200" s="3"/>
      <c r="Y5200" s="4"/>
      <c r="Z5200"/>
      <c r="AA5200"/>
    </row>
    <row r="5201" spans="1:27" s="49" customFormat="1" x14ac:dyDescent="0.15">
      <c r="A5201" s="70"/>
      <c r="B5201" s="118"/>
      <c r="C5201" s="121"/>
      <c r="D5201" s="121"/>
      <c r="E5201" s="121"/>
      <c r="F5201" s="121"/>
      <c r="G5201" s="121"/>
      <c r="H5201" s="85"/>
      <c r="I5201" s="122"/>
      <c r="J5201" s="131"/>
      <c r="K5201" s="69"/>
      <c r="M5201" s="37"/>
      <c r="N5201" s="37"/>
      <c r="O5201" s="37"/>
      <c r="P5201" s="3"/>
      <c r="Q5201" s="3"/>
      <c r="R5201" s="3"/>
      <c r="S5201" s="3"/>
      <c r="T5201" s="3"/>
      <c r="U5201" s="3"/>
      <c r="V5201" s="3"/>
      <c r="W5201" s="3"/>
      <c r="X5201" s="3"/>
      <c r="Y5201" s="4"/>
      <c r="Z5201"/>
      <c r="AA5201"/>
    </row>
    <row r="5202" spans="1:27" s="49" customFormat="1" x14ac:dyDescent="0.15">
      <c r="A5202" s="70"/>
      <c r="B5202" s="118"/>
      <c r="C5202" s="121"/>
      <c r="D5202" s="121"/>
      <c r="E5202" s="121"/>
      <c r="F5202" s="121"/>
      <c r="G5202" s="121"/>
      <c r="H5202" s="85"/>
      <c r="I5202" s="122"/>
      <c r="J5202" s="131"/>
      <c r="K5202" s="69"/>
      <c r="M5202" s="37"/>
      <c r="N5202" s="37"/>
      <c r="O5202" s="37"/>
      <c r="P5202" s="3"/>
      <c r="Q5202" s="3"/>
      <c r="R5202" s="3"/>
      <c r="S5202" s="3"/>
      <c r="T5202" s="3"/>
      <c r="U5202" s="3"/>
      <c r="V5202" s="3"/>
      <c r="W5202" s="3"/>
      <c r="X5202" s="3"/>
      <c r="Y5202" s="4"/>
      <c r="Z5202"/>
      <c r="AA5202"/>
    </row>
    <row r="5203" spans="1:27" s="49" customFormat="1" x14ac:dyDescent="0.15">
      <c r="A5203" s="70"/>
      <c r="B5203" s="118"/>
      <c r="C5203" s="121"/>
      <c r="D5203" s="121"/>
      <c r="E5203" s="121"/>
      <c r="F5203" s="121"/>
      <c r="G5203" s="121"/>
      <c r="H5203" s="85"/>
      <c r="I5203" s="122"/>
      <c r="J5203" s="131"/>
      <c r="K5203" s="69"/>
      <c r="M5203" s="37"/>
      <c r="N5203" s="37"/>
      <c r="O5203" s="37"/>
      <c r="P5203" s="3"/>
      <c r="Q5203" s="3"/>
      <c r="R5203" s="3"/>
      <c r="S5203" s="3"/>
      <c r="T5203" s="3"/>
      <c r="U5203" s="3"/>
      <c r="V5203" s="3"/>
      <c r="W5203" s="3"/>
      <c r="X5203" s="3"/>
      <c r="Y5203" s="4"/>
      <c r="Z5203"/>
      <c r="AA5203"/>
    </row>
    <row r="5204" spans="1:27" s="49" customFormat="1" x14ac:dyDescent="0.15">
      <c r="A5204" s="73"/>
      <c r="B5204" s="118"/>
      <c r="C5204" s="121"/>
      <c r="D5204" s="121"/>
      <c r="E5204" s="121"/>
      <c r="F5204" s="121"/>
      <c r="G5204" s="121"/>
      <c r="H5204" s="85"/>
      <c r="I5204" s="122"/>
      <c r="J5204" s="131"/>
      <c r="K5204" s="69"/>
      <c r="M5204" s="37"/>
      <c r="N5204" s="37"/>
      <c r="O5204" s="37"/>
      <c r="P5204" s="3"/>
      <c r="Q5204" s="3"/>
      <c r="R5204" s="3"/>
      <c r="S5204" s="3"/>
      <c r="T5204" s="3"/>
      <c r="U5204" s="3"/>
      <c r="V5204" s="3"/>
      <c r="W5204" s="3"/>
      <c r="X5204" s="3"/>
      <c r="Y5204" s="4"/>
      <c r="Z5204"/>
      <c r="AA5204"/>
    </row>
    <row r="5205" spans="1:27" s="49" customFormat="1" x14ac:dyDescent="0.15">
      <c r="A5205" s="70"/>
      <c r="B5205" s="118"/>
      <c r="C5205" s="121"/>
      <c r="D5205" s="121"/>
      <c r="E5205" s="121"/>
      <c r="F5205" s="121"/>
      <c r="G5205" s="121"/>
      <c r="H5205" s="85"/>
      <c r="I5205" s="122"/>
      <c r="J5205" s="131"/>
      <c r="K5205" s="69"/>
      <c r="M5205" s="37"/>
      <c r="N5205" s="37"/>
      <c r="O5205" s="37"/>
      <c r="P5205" s="3"/>
      <c r="Q5205" s="3"/>
      <c r="R5205" s="3"/>
      <c r="S5205" s="3"/>
      <c r="T5205" s="3"/>
      <c r="U5205" s="3"/>
      <c r="V5205" s="3"/>
      <c r="W5205" s="3"/>
      <c r="X5205" s="3"/>
      <c r="Y5205" s="4"/>
      <c r="Z5205"/>
      <c r="AA5205"/>
    </row>
    <row r="5206" spans="1:27" s="49" customFormat="1" x14ac:dyDescent="0.15">
      <c r="A5206" s="70"/>
      <c r="B5206" s="118"/>
      <c r="C5206" s="121"/>
      <c r="D5206" s="121"/>
      <c r="E5206" s="121"/>
      <c r="F5206" s="121"/>
      <c r="G5206" s="121"/>
      <c r="H5206" s="85"/>
      <c r="I5206" s="122"/>
      <c r="J5206" s="131"/>
      <c r="K5206" s="60"/>
      <c r="M5206" s="37"/>
      <c r="N5206" s="37"/>
      <c r="O5206" s="37"/>
      <c r="P5206" s="3"/>
      <c r="Q5206" s="3"/>
      <c r="R5206" s="3"/>
      <c r="S5206" s="3"/>
      <c r="T5206" s="3"/>
      <c r="U5206" s="3"/>
      <c r="V5206" s="3"/>
      <c r="W5206" s="3"/>
      <c r="X5206" s="3"/>
      <c r="Y5206" s="4"/>
      <c r="Z5206"/>
      <c r="AA5206"/>
    </row>
    <row r="5207" spans="1:27" s="49" customFormat="1" x14ac:dyDescent="0.15">
      <c r="A5207" s="70"/>
      <c r="B5207" s="118"/>
      <c r="C5207" s="121"/>
      <c r="D5207" s="121"/>
      <c r="E5207" s="121"/>
      <c r="F5207" s="121"/>
      <c r="G5207" s="121"/>
      <c r="H5207" s="85"/>
      <c r="I5207" s="122"/>
      <c r="J5207" s="131"/>
      <c r="K5207" s="60"/>
      <c r="M5207" s="37"/>
      <c r="N5207" s="37"/>
      <c r="O5207" s="37"/>
      <c r="P5207" s="3"/>
      <c r="Q5207" s="3"/>
      <c r="R5207" s="3"/>
      <c r="S5207" s="3"/>
      <c r="T5207" s="3"/>
      <c r="U5207" s="3"/>
      <c r="V5207" s="3"/>
      <c r="W5207" s="3"/>
      <c r="X5207" s="3"/>
      <c r="Y5207" s="4"/>
      <c r="Z5207"/>
      <c r="AA5207"/>
    </row>
    <row r="5208" spans="1:27" s="49" customFormat="1" x14ac:dyDescent="0.15">
      <c r="A5208" s="70"/>
      <c r="B5208" s="118"/>
      <c r="C5208" s="121"/>
      <c r="D5208" s="121"/>
      <c r="E5208" s="121"/>
      <c r="F5208" s="121"/>
      <c r="G5208" s="121"/>
      <c r="H5208" s="85"/>
      <c r="I5208" s="122"/>
      <c r="J5208" s="131"/>
      <c r="K5208" s="69"/>
      <c r="M5208" s="37"/>
      <c r="N5208" s="37"/>
      <c r="O5208" s="37"/>
      <c r="P5208" s="3"/>
      <c r="Q5208" s="3"/>
      <c r="R5208" s="3"/>
      <c r="S5208" s="3"/>
      <c r="T5208" s="3"/>
      <c r="U5208" s="3"/>
      <c r="V5208" s="3"/>
      <c r="W5208" s="3"/>
      <c r="X5208" s="3"/>
      <c r="Y5208" s="4"/>
      <c r="Z5208"/>
      <c r="AA5208"/>
    </row>
    <row r="5209" spans="1:27" s="49" customFormat="1" x14ac:dyDescent="0.15">
      <c r="A5209" s="70"/>
      <c r="B5209" s="118"/>
      <c r="C5209" s="121"/>
      <c r="D5209" s="121"/>
      <c r="E5209" s="121"/>
      <c r="F5209" s="121"/>
      <c r="G5209" s="121"/>
      <c r="H5209" s="85"/>
      <c r="I5209" s="122"/>
      <c r="J5209" s="131"/>
      <c r="K5209" s="69"/>
      <c r="M5209" s="37"/>
      <c r="N5209" s="37"/>
      <c r="O5209" s="37"/>
      <c r="P5209" s="3"/>
      <c r="Q5209" s="3"/>
      <c r="R5209" s="3"/>
      <c r="S5209" s="3"/>
      <c r="T5209" s="3"/>
      <c r="U5209" s="3"/>
      <c r="V5209" s="3"/>
      <c r="W5209" s="3"/>
      <c r="X5209" s="3"/>
      <c r="Y5209" s="4"/>
      <c r="Z5209"/>
      <c r="AA5209"/>
    </row>
    <row r="5210" spans="1:27" s="49" customFormat="1" x14ac:dyDescent="0.15">
      <c r="A5210" s="70"/>
      <c r="B5210" s="118"/>
      <c r="C5210" s="121"/>
      <c r="D5210" s="121"/>
      <c r="E5210" s="121"/>
      <c r="F5210" s="121"/>
      <c r="G5210" s="121"/>
      <c r="H5210" s="85"/>
      <c r="I5210" s="122"/>
      <c r="J5210" s="131"/>
      <c r="K5210" s="69"/>
      <c r="M5210" s="37"/>
      <c r="N5210" s="37"/>
      <c r="O5210" s="37"/>
      <c r="P5210" s="3"/>
      <c r="Q5210" s="3"/>
      <c r="R5210" s="3"/>
      <c r="S5210" s="3"/>
      <c r="T5210" s="3"/>
      <c r="U5210" s="3"/>
      <c r="V5210" s="3"/>
      <c r="W5210" s="3"/>
      <c r="X5210" s="3"/>
      <c r="Y5210" s="4"/>
      <c r="Z5210"/>
      <c r="AA5210"/>
    </row>
    <row r="5211" spans="1:27" s="49" customFormat="1" x14ac:dyDescent="0.15">
      <c r="A5211" s="70"/>
      <c r="B5211" s="118"/>
      <c r="C5211" s="121"/>
      <c r="D5211" s="121"/>
      <c r="E5211" s="121"/>
      <c r="F5211" s="121"/>
      <c r="G5211" s="121"/>
      <c r="H5211" s="85"/>
      <c r="I5211" s="122"/>
      <c r="J5211" s="131"/>
      <c r="K5211" s="69"/>
      <c r="M5211" s="37"/>
      <c r="N5211" s="37"/>
      <c r="O5211" s="37"/>
      <c r="P5211" s="3"/>
      <c r="Q5211" s="3"/>
      <c r="R5211" s="3"/>
      <c r="S5211" s="3"/>
      <c r="T5211" s="3"/>
      <c r="U5211" s="3"/>
      <c r="V5211" s="3"/>
      <c r="W5211" s="3"/>
      <c r="X5211" s="3"/>
      <c r="Y5211" s="4"/>
      <c r="Z5211"/>
      <c r="AA5211"/>
    </row>
    <row r="5212" spans="1:27" s="49" customFormat="1" x14ac:dyDescent="0.15">
      <c r="A5212" s="70"/>
      <c r="B5212" s="118"/>
      <c r="C5212" s="121"/>
      <c r="D5212" s="121"/>
      <c r="E5212" s="121"/>
      <c r="F5212" s="121"/>
      <c r="G5212" s="121"/>
      <c r="H5212" s="85"/>
      <c r="I5212" s="122"/>
      <c r="J5212" s="131"/>
      <c r="K5212" s="69"/>
      <c r="M5212" s="37"/>
      <c r="N5212" s="37"/>
      <c r="O5212" s="37"/>
      <c r="P5212" s="3"/>
      <c r="Q5212" s="3"/>
      <c r="R5212" s="3"/>
      <c r="S5212" s="3"/>
      <c r="T5212" s="3"/>
      <c r="U5212" s="3"/>
      <c r="V5212" s="3"/>
      <c r="W5212" s="3"/>
      <c r="X5212" s="3"/>
      <c r="Y5212" s="4"/>
      <c r="Z5212"/>
      <c r="AA5212"/>
    </row>
    <row r="5213" spans="1:27" s="49" customFormat="1" x14ac:dyDescent="0.15">
      <c r="A5213" s="70"/>
      <c r="B5213" s="118"/>
      <c r="C5213" s="121"/>
      <c r="D5213" s="121"/>
      <c r="E5213" s="121"/>
      <c r="F5213" s="121"/>
      <c r="G5213" s="121"/>
      <c r="H5213" s="85"/>
      <c r="I5213" s="122"/>
      <c r="J5213" s="131"/>
      <c r="K5213" s="60"/>
      <c r="M5213" s="37"/>
      <c r="N5213" s="37"/>
      <c r="O5213" s="37"/>
      <c r="P5213" s="3"/>
      <c r="Q5213" s="3"/>
      <c r="R5213" s="3"/>
      <c r="S5213" s="3"/>
      <c r="T5213" s="3"/>
      <c r="U5213" s="3"/>
      <c r="V5213" s="3"/>
      <c r="W5213" s="3"/>
      <c r="X5213" s="3"/>
      <c r="Y5213" s="4"/>
      <c r="Z5213"/>
      <c r="AA5213"/>
    </row>
    <row r="5214" spans="1:27" s="49" customFormat="1" x14ac:dyDescent="0.15">
      <c r="A5214" s="70"/>
      <c r="B5214" s="118"/>
      <c r="C5214" s="121"/>
      <c r="D5214" s="121"/>
      <c r="E5214" s="121"/>
      <c r="F5214" s="121"/>
      <c r="G5214" s="121"/>
      <c r="H5214" s="85"/>
      <c r="I5214" s="122"/>
      <c r="J5214" s="131"/>
      <c r="K5214" s="60"/>
      <c r="M5214" s="37"/>
      <c r="N5214" s="37"/>
      <c r="O5214" s="37"/>
      <c r="P5214" s="3"/>
      <c r="Q5214" s="3"/>
      <c r="R5214" s="3"/>
      <c r="S5214" s="3"/>
      <c r="T5214" s="3"/>
      <c r="U5214" s="3"/>
      <c r="V5214" s="3"/>
      <c r="W5214" s="3"/>
      <c r="X5214" s="3"/>
      <c r="Y5214" s="4"/>
      <c r="Z5214"/>
      <c r="AA5214"/>
    </row>
    <row r="5215" spans="1:27" s="49" customFormat="1" x14ac:dyDescent="0.15">
      <c r="A5215" s="70"/>
      <c r="B5215" s="118"/>
      <c r="C5215" s="121"/>
      <c r="D5215" s="121"/>
      <c r="E5215" s="121"/>
      <c r="F5215" s="121"/>
      <c r="G5215" s="121"/>
      <c r="H5215" s="85"/>
      <c r="I5215" s="122"/>
      <c r="J5215" s="131"/>
      <c r="K5215" s="69"/>
      <c r="M5215" s="37"/>
      <c r="N5215" s="37"/>
      <c r="O5215" s="37"/>
      <c r="P5215" s="3"/>
      <c r="Q5215" s="3"/>
      <c r="R5215" s="3"/>
      <c r="S5215" s="3"/>
      <c r="T5215" s="3"/>
      <c r="U5215" s="3"/>
      <c r="V5215" s="3"/>
      <c r="W5215" s="3"/>
      <c r="X5215" s="3"/>
      <c r="Y5215" s="4"/>
      <c r="Z5215"/>
      <c r="AA5215"/>
    </row>
    <row r="5216" spans="1:27" s="49" customFormat="1" x14ac:dyDescent="0.15">
      <c r="A5216" s="70"/>
      <c r="B5216" s="118"/>
      <c r="C5216" s="121"/>
      <c r="D5216" s="121"/>
      <c r="E5216" s="121"/>
      <c r="F5216" s="121"/>
      <c r="G5216" s="121"/>
      <c r="H5216" s="85"/>
      <c r="I5216" s="122"/>
      <c r="J5216" s="131"/>
      <c r="K5216" s="60"/>
      <c r="M5216" s="37"/>
      <c r="N5216" s="37"/>
      <c r="O5216" s="37"/>
      <c r="P5216" s="3"/>
      <c r="Q5216" s="3"/>
      <c r="R5216" s="3"/>
      <c r="S5216" s="3"/>
      <c r="T5216" s="3"/>
      <c r="U5216" s="3"/>
      <c r="V5216" s="3"/>
      <c r="W5216" s="3"/>
      <c r="X5216" s="3"/>
      <c r="Y5216" s="4"/>
      <c r="Z5216"/>
      <c r="AA5216"/>
    </row>
    <row r="5217" spans="1:27" s="49" customFormat="1" x14ac:dyDescent="0.15">
      <c r="A5217" s="70"/>
      <c r="B5217" s="118"/>
      <c r="C5217" s="121"/>
      <c r="D5217" s="121"/>
      <c r="E5217" s="121"/>
      <c r="F5217" s="121"/>
      <c r="G5217" s="121"/>
      <c r="H5217" s="85"/>
      <c r="I5217" s="122"/>
      <c r="J5217" s="131"/>
      <c r="K5217" s="69"/>
      <c r="M5217" s="37"/>
      <c r="N5217" s="37"/>
      <c r="O5217" s="37"/>
      <c r="P5217" s="3"/>
      <c r="Q5217" s="3"/>
      <c r="R5217" s="3"/>
      <c r="S5217" s="3"/>
      <c r="T5217" s="3"/>
      <c r="U5217" s="3"/>
      <c r="V5217" s="3"/>
      <c r="W5217" s="3"/>
      <c r="X5217" s="3"/>
      <c r="Y5217" s="4"/>
      <c r="Z5217"/>
      <c r="AA5217"/>
    </row>
    <row r="5218" spans="1:27" s="49" customFormat="1" x14ac:dyDescent="0.15">
      <c r="A5218" s="70"/>
      <c r="B5218" s="118"/>
      <c r="C5218" s="121"/>
      <c r="D5218" s="121"/>
      <c r="E5218" s="121"/>
      <c r="F5218" s="121"/>
      <c r="G5218" s="121"/>
      <c r="H5218" s="85"/>
      <c r="I5218" s="122"/>
      <c r="J5218" s="131"/>
      <c r="K5218" s="69"/>
      <c r="M5218" s="37"/>
      <c r="N5218" s="37"/>
      <c r="O5218" s="37"/>
      <c r="P5218" s="3"/>
      <c r="Q5218" s="3"/>
      <c r="R5218" s="3"/>
      <c r="S5218" s="3"/>
      <c r="T5218" s="3"/>
      <c r="U5218" s="3"/>
      <c r="V5218" s="3"/>
      <c r="W5218" s="3"/>
      <c r="X5218" s="3"/>
      <c r="Y5218" s="4"/>
      <c r="Z5218"/>
      <c r="AA5218"/>
    </row>
    <row r="5219" spans="1:27" s="49" customFormat="1" x14ac:dyDescent="0.15">
      <c r="A5219" s="73"/>
      <c r="B5219" s="118"/>
      <c r="C5219" s="121"/>
      <c r="D5219" s="121"/>
      <c r="E5219" s="121"/>
      <c r="F5219" s="121"/>
      <c r="G5219" s="121"/>
      <c r="H5219" s="85"/>
      <c r="I5219" s="122"/>
      <c r="J5219" s="131"/>
      <c r="K5219" s="69"/>
      <c r="M5219" s="37"/>
      <c r="N5219" s="37"/>
      <c r="O5219" s="37"/>
      <c r="P5219" s="3"/>
      <c r="Q5219" s="3"/>
      <c r="R5219" s="3"/>
      <c r="S5219" s="3"/>
      <c r="T5219" s="3"/>
      <c r="U5219" s="3"/>
      <c r="V5219" s="3"/>
      <c r="W5219" s="3"/>
      <c r="X5219" s="3"/>
      <c r="Y5219" s="4"/>
      <c r="Z5219"/>
      <c r="AA5219"/>
    </row>
    <row r="5220" spans="1:27" s="49" customFormat="1" x14ac:dyDescent="0.15">
      <c r="A5220" s="70"/>
      <c r="B5220" s="118"/>
      <c r="C5220" s="121"/>
      <c r="D5220" s="121"/>
      <c r="E5220" s="121"/>
      <c r="F5220" s="121"/>
      <c r="G5220" s="121"/>
      <c r="H5220" s="85"/>
      <c r="I5220" s="122"/>
      <c r="J5220" s="131"/>
      <c r="K5220" s="69"/>
      <c r="M5220" s="37"/>
      <c r="N5220" s="37"/>
      <c r="O5220" s="37"/>
      <c r="P5220" s="3"/>
      <c r="Q5220" s="3"/>
      <c r="R5220" s="3"/>
      <c r="S5220" s="3"/>
      <c r="T5220" s="3"/>
      <c r="U5220" s="3"/>
      <c r="V5220" s="3"/>
      <c r="W5220" s="3"/>
      <c r="X5220" s="3"/>
      <c r="Y5220" s="4"/>
      <c r="Z5220"/>
      <c r="AA5220"/>
    </row>
    <row r="5221" spans="1:27" s="49" customFormat="1" x14ac:dyDescent="0.15">
      <c r="A5221" s="70"/>
      <c r="B5221" s="118"/>
      <c r="C5221" s="121"/>
      <c r="D5221" s="121"/>
      <c r="E5221" s="121"/>
      <c r="F5221" s="121"/>
      <c r="G5221" s="121"/>
      <c r="H5221" s="85"/>
      <c r="I5221" s="122"/>
      <c r="J5221" s="131"/>
      <c r="K5221" s="69"/>
      <c r="M5221" s="37"/>
      <c r="N5221" s="37"/>
      <c r="O5221" s="37"/>
      <c r="P5221" s="3"/>
      <c r="Q5221" s="3"/>
      <c r="R5221" s="3"/>
      <c r="S5221" s="3"/>
      <c r="T5221" s="3"/>
      <c r="U5221" s="3"/>
      <c r="V5221" s="3"/>
      <c r="W5221" s="3"/>
      <c r="X5221" s="3"/>
      <c r="Y5221" s="4"/>
      <c r="Z5221"/>
      <c r="AA5221"/>
    </row>
    <row r="5222" spans="1:27" s="49" customFormat="1" x14ac:dyDescent="0.15">
      <c r="A5222" s="70"/>
      <c r="B5222" s="118"/>
      <c r="C5222" s="121"/>
      <c r="D5222" s="121"/>
      <c r="E5222" s="121"/>
      <c r="F5222" s="121"/>
      <c r="G5222" s="121"/>
      <c r="H5222" s="85"/>
      <c r="I5222" s="122"/>
      <c r="J5222" s="131"/>
      <c r="K5222" s="69"/>
      <c r="M5222" s="37"/>
      <c r="N5222" s="37"/>
      <c r="O5222" s="37"/>
      <c r="P5222" s="3"/>
      <c r="Q5222" s="3"/>
      <c r="R5222" s="3"/>
      <c r="S5222" s="3"/>
      <c r="T5222" s="3"/>
      <c r="U5222" s="3"/>
      <c r="V5222" s="3"/>
      <c r="W5222" s="3"/>
      <c r="X5222" s="3"/>
      <c r="Y5222" s="4"/>
      <c r="Z5222"/>
      <c r="AA5222"/>
    </row>
    <row r="5223" spans="1:27" s="49" customFormat="1" x14ac:dyDescent="0.15">
      <c r="A5223" s="70"/>
      <c r="B5223" s="118"/>
      <c r="C5223" s="121"/>
      <c r="D5223" s="121"/>
      <c r="E5223" s="121"/>
      <c r="F5223" s="121"/>
      <c r="G5223" s="121"/>
      <c r="H5223" s="85"/>
      <c r="I5223" s="122"/>
      <c r="J5223" s="131"/>
      <c r="K5223" s="69"/>
      <c r="M5223" s="37"/>
      <c r="N5223" s="37"/>
      <c r="O5223" s="37"/>
      <c r="P5223" s="3"/>
      <c r="Q5223" s="3"/>
      <c r="R5223" s="3"/>
      <c r="S5223" s="3"/>
      <c r="T5223" s="3"/>
      <c r="U5223" s="3"/>
      <c r="V5223" s="3"/>
      <c r="W5223" s="3"/>
      <c r="X5223" s="3"/>
      <c r="Y5223" s="4"/>
      <c r="Z5223"/>
      <c r="AA5223"/>
    </row>
    <row r="5224" spans="1:27" s="49" customFormat="1" x14ac:dyDescent="0.15">
      <c r="A5224" s="70"/>
      <c r="B5224" s="118"/>
      <c r="C5224" s="121"/>
      <c r="D5224" s="121"/>
      <c r="E5224" s="121"/>
      <c r="F5224" s="121"/>
      <c r="G5224" s="121"/>
      <c r="H5224" s="85"/>
      <c r="I5224" s="122"/>
      <c r="J5224" s="131"/>
      <c r="K5224" s="69"/>
      <c r="M5224" s="37"/>
      <c r="N5224" s="37"/>
      <c r="O5224" s="37"/>
      <c r="P5224" s="3"/>
      <c r="Q5224" s="3"/>
      <c r="R5224" s="3"/>
      <c r="S5224" s="3"/>
      <c r="T5224" s="3"/>
      <c r="U5224" s="3"/>
      <c r="V5224" s="3"/>
      <c r="W5224" s="3"/>
      <c r="X5224" s="3"/>
      <c r="Y5224" s="4"/>
      <c r="Z5224"/>
      <c r="AA5224"/>
    </row>
    <row r="5225" spans="1:27" s="49" customFormat="1" x14ac:dyDescent="0.15">
      <c r="A5225" s="70"/>
      <c r="B5225" s="118"/>
      <c r="C5225" s="121"/>
      <c r="D5225" s="121"/>
      <c r="E5225" s="121"/>
      <c r="F5225" s="121"/>
      <c r="G5225" s="121"/>
      <c r="H5225" s="85"/>
      <c r="I5225" s="122"/>
      <c r="J5225" s="134"/>
      <c r="K5225" s="69"/>
      <c r="M5225" s="37"/>
      <c r="N5225" s="37"/>
      <c r="O5225" s="37"/>
      <c r="P5225" s="3"/>
      <c r="Q5225" s="3"/>
      <c r="R5225" s="3"/>
      <c r="S5225" s="3"/>
      <c r="T5225" s="3"/>
      <c r="U5225" s="3"/>
      <c r="V5225" s="3"/>
      <c r="W5225" s="3"/>
      <c r="X5225" s="3"/>
      <c r="Y5225" s="4"/>
      <c r="Z5225"/>
      <c r="AA5225"/>
    </row>
    <row r="5226" spans="1:27" s="49" customFormat="1" x14ac:dyDescent="0.15">
      <c r="A5226" s="70"/>
      <c r="B5226" s="118"/>
      <c r="C5226" s="121"/>
      <c r="D5226" s="121"/>
      <c r="E5226" s="121"/>
      <c r="F5226" s="121"/>
      <c r="G5226" s="121"/>
      <c r="H5226" s="85"/>
      <c r="I5226" s="122"/>
      <c r="J5226" s="131"/>
      <c r="K5226" s="69"/>
      <c r="M5226" s="37"/>
      <c r="N5226" s="37"/>
      <c r="O5226" s="37"/>
      <c r="P5226" s="3"/>
      <c r="Q5226" s="3"/>
      <c r="R5226" s="3"/>
      <c r="S5226" s="3"/>
      <c r="T5226" s="3"/>
      <c r="U5226" s="3"/>
      <c r="V5226" s="3"/>
      <c r="W5226" s="3"/>
      <c r="X5226" s="3"/>
      <c r="Y5226" s="4"/>
      <c r="Z5226"/>
      <c r="AA5226"/>
    </row>
    <row r="5227" spans="1:27" s="49" customFormat="1" x14ac:dyDescent="0.15">
      <c r="A5227" s="73"/>
      <c r="B5227" s="118"/>
      <c r="C5227" s="121"/>
      <c r="D5227" s="121"/>
      <c r="E5227" s="121"/>
      <c r="F5227" s="121"/>
      <c r="G5227" s="121"/>
      <c r="H5227" s="85"/>
      <c r="I5227" s="122"/>
      <c r="J5227" s="131"/>
      <c r="K5227" s="69"/>
      <c r="M5227" s="37"/>
      <c r="N5227" s="37"/>
      <c r="O5227" s="37"/>
      <c r="P5227" s="3"/>
      <c r="Q5227" s="3"/>
      <c r="R5227" s="3"/>
      <c r="S5227" s="3"/>
      <c r="T5227" s="3"/>
      <c r="U5227" s="3"/>
      <c r="V5227" s="3"/>
      <c r="W5227" s="3"/>
      <c r="X5227" s="3"/>
      <c r="Y5227" s="4"/>
      <c r="Z5227"/>
      <c r="AA5227"/>
    </row>
    <row r="5228" spans="1:27" s="49" customFormat="1" x14ac:dyDescent="0.15">
      <c r="A5228" s="70"/>
      <c r="B5228" s="118"/>
      <c r="C5228" s="121"/>
      <c r="D5228" s="121"/>
      <c r="E5228" s="121"/>
      <c r="F5228" s="121"/>
      <c r="G5228" s="121"/>
      <c r="H5228" s="85"/>
      <c r="I5228" s="122"/>
      <c r="J5228" s="131"/>
      <c r="K5228" s="60"/>
      <c r="M5228" s="37"/>
      <c r="N5228" s="37"/>
      <c r="O5228" s="37"/>
      <c r="P5228" s="3"/>
      <c r="Q5228" s="3"/>
      <c r="R5228" s="3"/>
      <c r="S5228" s="3"/>
      <c r="T5228" s="3"/>
      <c r="U5228" s="3"/>
      <c r="V5228" s="3"/>
      <c r="W5228" s="3"/>
      <c r="X5228" s="3"/>
      <c r="Y5228" s="4"/>
      <c r="Z5228"/>
      <c r="AA5228"/>
    </row>
    <row r="5229" spans="1:27" s="49" customFormat="1" x14ac:dyDescent="0.15">
      <c r="A5229" s="70"/>
      <c r="B5229" s="118"/>
      <c r="C5229" s="121"/>
      <c r="D5229" s="121"/>
      <c r="E5229" s="121"/>
      <c r="F5229" s="121"/>
      <c r="G5229" s="121"/>
      <c r="H5229" s="85"/>
      <c r="I5229" s="122"/>
      <c r="J5229" s="131"/>
      <c r="K5229" s="69"/>
      <c r="M5229" s="37"/>
      <c r="N5229" s="37"/>
      <c r="O5229" s="37"/>
      <c r="P5229" s="3"/>
      <c r="Q5229" s="3"/>
      <c r="R5229" s="3"/>
      <c r="S5229" s="3"/>
      <c r="T5229" s="3"/>
      <c r="U5229" s="3"/>
      <c r="V5229" s="3"/>
      <c r="W5229" s="3"/>
      <c r="X5229" s="3"/>
      <c r="Y5229" s="4"/>
      <c r="Z5229"/>
      <c r="AA5229"/>
    </row>
    <row r="5230" spans="1:27" s="49" customFormat="1" x14ac:dyDescent="0.15">
      <c r="A5230" s="70"/>
      <c r="B5230" s="118"/>
      <c r="C5230" s="121"/>
      <c r="D5230" s="121"/>
      <c r="E5230" s="121"/>
      <c r="F5230" s="121"/>
      <c r="G5230" s="121"/>
      <c r="H5230" s="85"/>
      <c r="I5230" s="122"/>
      <c r="J5230" s="131"/>
      <c r="K5230" s="60"/>
      <c r="M5230" s="37"/>
      <c r="N5230" s="37"/>
      <c r="O5230" s="37"/>
      <c r="P5230" s="3"/>
      <c r="Q5230" s="3"/>
      <c r="R5230" s="3"/>
      <c r="S5230" s="3"/>
      <c r="T5230" s="3"/>
      <c r="U5230" s="3"/>
      <c r="V5230" s="3"/>
      <c r="W5230" s="3"/>
      <c r="X5230" s="3"/>
      <c r="Y5230" s="4"/>
      <c r="Z5230"/>
      <c r="AA5230"/>
    </row>
    <row r="5231" spans="1:27" s="37" customFormat="1" x14ac:dyDescent="0.15">
      <c r="A5231" s="70"/>
      <c r="B5231" s="118"/>
      <c r="C5231" s="121"/>
      <c r="D5231" s="121"/>
      <c r="E5231" s="121"/>
      <c r="F5231" s="121"/>
      <c r="G5231" s="121"/>
      <c r="H5231" s="85"/>
      <c r="I5231" s="122"/>
      <c r="J5231" s="131"/>
      <c r="K5231" s="60"/>
      <c r="L5231" s="49"/>
      <c r="P5231" s="3"/>
      <c r="Q5231" s="3"/>
      <c r="R5231" s="3"/>
      <c r="S5231" s="3"/>
      <c r="T5231" s="3"/>
      <c r="U5231" s="3"/>
      <c r="V5231" s="3"/>
      <c r="W5231" s="3"/>
      <c r="X5231" s="3"/>
      <c r="Y5231" s="4"/>
      <c r="Z5231"/>
      <c r="AA5231"/>
    </row>
    <row r="5232" spans="1:27" s="37" customFormat="1" x14ac:dyDescent="0.15">
      <c r="A5232" s="70"/>
      <c r="B5232" s="118"/>
      <c r="C5232" s="121"/>
      <c r="D5232" s="121"/>
      <c r="E5232" s="121"/>
      <c r="F5232" s="121"/>
      <c r="G5232" s="121"/>
      <c r="H5232" s="85"/>
      <c r="I5232" s="122"/>
      <c r="J5232" s="131"/>
      <c r="K5232" s="72"/>
      <c r="L5232" s="49"/>
      <c r="P5232" s="3"/>
      <c r="Q5232" s="3"/>
      <c r="R5232" s="3"/>
      <c r="S5232" s="3"/>
      <c r="T5232" s="3"/>
      <c r="U5232" s="3"/>
      <c r="V5232" s="3"/>
      <c r="W5232" s="3"/>
      <c r="X5232" s="3"/>
      <c r="Y5232" s="4"/>
      <c r="Z5232"/>
      <c r="AA5232"/>
    </row>
    <row r="5233" spans="1:27" s="37" customFormat="1" x14ac:dyDescent="0.15">
      <c r="A5233" s="70"/>
      <c r="B5233" s="118"/>
      <c r="C5233" s="121"/>
      <c r="D5233" s="121"/>
      <c r="E5233" s="121"/>
      <c r="F5233" s="121"/>
      <c r="G5233" s="121"/>
      <c r="H5233" s="85"/>
      <c r="I5233" s="122"/>
      <c r="J5233" s="131"/>
      <c r="K5233" s="72"/>
      <c r="L5233" s="49"/>
      <c r="P5233" s="3"/>
      <c r="Q5233" s="3"/>
      <c r="R5233" s="3"/>
      <c r="S5233" s="3"/>
      <c r="T5233" s="3"/>
      <c r="U5233" s="3"/>
      <c r="V5233" s="3"/>
      <c r="W5233" s="3"/>
      <c r="X5233" s="3"/>
      <c r="Y5233" s="4"/>
      <c r="Z5233"/>
      <c r="AA5233"/>
    </row>
    <row r="5234" spans="1:27" s="37" customFormat="1" x14ac:dyDescent="0.15">
      <c r="A5234" s="70"/>
      <c r="B5234" s="118"/>
      <c r="C5234" s="121"/>
      <c r="D5234" s="121"/>
      <c r="E5234" s="121"/>
      <c r="F5234" s="121"/>
      <c r="G5234" s="121"/>
      <c r="H5234" s="85"/>
      <c r="I5234" s="122"/>
      <c r="J5234" s="131"/>
      <c r="K5234" s="69"/>
      <c r="L5234" s="49"/>
      <c r="P5234" s="3"/>
      <c r="Q5234" s="3"/>
      <c r="R5234" s="3"/>
      <c r="S5234" s="3"/>
      <c r="T5234" s="3"/>
      <c r="U5234" s="3"/>
      <c r="V5234" s="3"/>
      <c r="W5234" s="3"/>
      <c r="X5234" s="3"/>
      <c r="Y5234" s="4"/>
      <c r="Z5234"/>
      <c r="AA5234"/>
    </row>
    <row r="5235" spans="1:27" s="37" customFormat="1" x14ac:dyDescent="0.15">
      <c r="A5235" s="73"/>
      <c r="B5235" s="118"/>
      <c r="C5235" s="121"/>
      <c r="D5235" s="121"/>
      <c r="E5235" s="121"/>
      <c r="F5235" s="121"/>
      <c r="G5235" s="121"/>
      <c r="H5235" s="85"/>
      <c r="I5235" s="122"/>
      <c r="J5235" s="131"/>
      <c r="K5235" s="60"/>
      <c r="L5235" s="49"/>
      <c r="P5235" s="3"/>
      <c r="Q5235" s="3"/>
      <c r="R5235" s="3"/>
      <c r="S5235" s="3"/>
      <c r="T5235" s="3"/>
      <c r="U5235" s="3"/>
      <c r="V5235" s="3"/>
      <c r="W5235" s="3"/>
      <c r="X5235" s="3"/>
      <c r="Y5235" s="4"/>
      <c r="Z5235"/>
      <c r="AA5235"/>
    </row>
    <row r="5236" spans="1:27" s="37" customFormat="1" x14ac:dyDescent="0.15">
      <c r="A5236" s="70"/>
      <c r="B5236" s="118"/>
      <c r="C5236" s="121"/>
      <c r="D5236" s="121"/>
      <c r="E5236" s="121"/>
      <c r="F5236" s="121"/>
      <c r="G5236" s="121"/>
      <c r="H5236" s="85"/>
      <c r="I5236" s="122"/>
      <c r="J5236" s="131"/>
      <c r="K5236" s="72"/>
      <c r="L5236" s="49"/>
      <c r="P5236" s="3"/>
      <c r="Q5236" s="3"/>
      <c r="R5236" s="3"/>
      <c r="S5236" s="3"/>
      <c r="T5236" s="3"/>
      <c r="U5236" s="3"/>
      <c r="V5236" s="3"/>
      <c r="W5236" s="3"/>
      <c r="X5236" s="3"/>
      <c r="Y5236" s="4"/>
      <c r="Z5236"/>
      <c r="AA5236"/>
    </row>
    <row r="5237" spans="1:27" s="37" customFormat="1" x14ac:dyDescent="0.15">
      <c r="A5237" s="70"/>
      <c r="B5237" s="118"/>
      <c r="C5237" s="121"/>
      <c r="D5237" s="121"/>
      <c r="E5237" s="121"/>
      <c r="F5237" s="121"/>
      <c r="G5237" s="121"/>
      <c r="H5237" s="85"/>
      <c r="I5237" s="122"/>
      <c r="J5237" s="131"/>
      <c r="K5237" s="60"/>
      <c r="L5237" s="49"/>
      <c r="P5237" s="3"/>
      <c r="Q5237" s="3"/>
      <c r="R5237" s="3"/>
      <c r="S5237" s="3"/>
      <c r="T5237" s="3"/>
      <c r="U5237" s="3"/>
      <c r="V5237" s="3"/>
      <c r="W5237" s="3"/>
      <c r="X5237" s="3"/>
      <c r="Y5237" s="4"/>
      <c r="Z5237"/>
      <c r="AA5237"/>
    </row>
    <row r="5238" spans="1:27" s="37" customFormat="1" x14ac:dyDescent="0.15">
      <c r="A5238" s="70"/>
      <c r="B5238" s="118"/>
      <c r="C5238" s="121"/>
      <c r="D5238" s="121"/>
      <c r="E5238" s="121"/>
      <c r="F5238" s="121"/>
      <c r="G5238" s="121"/>
      <c r="H5238" s="85"/>
      <c r="I5238" s="122"/>
      <c r="J5238" s="131"/>
      <c r="K5238" s="69"/>
      <c r="L5238" s="49"/>
      <c r="P5238" s="3"/>
      <c r="Q5238" s="3"/>
      <c r="R5238" s="3"/>
      <c r="S5238" s="3"/>
      <c r="T5238" s="3"/>
      <c r="U5238" s="3"/>
      <c r="V5238" s="3"/>
      <c r="W5238" s="3"/>
      <c r="X5238" s="3"/>
      <c r="Y5238" s="4"/>
      <c r="Z5238"/>
      <c r="AA5238"/>
    </row>
    <row r="5239" spans="1:27" s="37" customFormat="1" x14ac:dyDescent="0.15">
      <c r="A5239" s="70"/>
      <c r="B5239" s="118"/>
      <c r="C5239" s="121"/>
      <c r="D5239" s="121"/>
      <c r="E5239" s="121"/>
      <c r="F5239" s="121"/>
      <c r="G5239" s="121"/>
      <c r="H5239" s="85"/>
      <c r="I5239" s="122"/>
      <c r="J5239" s="131"/>
      <c r="K5239" s="60"/>
      <c r="L5239" s="49"/>
      <c r="P5239" s="3"/>
      <c r="Q5239" s="3"/>
      <c r="R5239" s="3"/>
      <c r="S5239" s="3"/>
      <c r="T5239" s="3"/>
      <c r="U5239" s="3"/>
      <c r="V5239" s="3"/>
      <c r="W5239" s="3"/>
      <c r="X5239" s="3"/>
      <c r="Y5239" s="4"/>
      <c r="Z5239"/>
      <c r="AA5239"/>
    </row>
    <row r="5240" spans="1:27" s="37" customFormat="1" x14ac:dyDescent="0.15">
      <c r="A5240" s="73"/>
      <c r="B5240" s="118"/>
      <c r="C5240" s="121"/>
      <c r="D5240" s="121"/>
      <c r="E5240" s="121"/>
      <c r="F5240" s="121"/>
      <c r="G5240" s="121"/>
      <c r="H5240" s="85"/>
      <c r="I5240" s="122"/>
      <c r="J5240" s="131"/>
      <c r="K5240" s="69"/>
      <c r="L5240" s="49"/>
      <c r="P5240" s="3"/>
      <c r="Q5240" s="3"/>
      <c r="R5240" s="3"/>
      <c r="S5240" s="3"/>
      <c r="T5240" s="3"/>
      <c r="U5240" s="3"/>
      <c r="V5240" s="3"/>
      <c r="W5240" s="3"/>
      <c r="X5240" s="3"/>
      <c r="Y5240" s="4"/>
      <c r="Z5240"/>
      <c r="AA5240"/>
    </row>
    <row r="5241" spans="1:27" s="37" customFormat="1" x14ac:dyDescent="0.15">
      <c r="A5241" s="70"/>
      <c r="B5241" s="118"/>
      <c r="C5241" s="121"/>
      <c r="D5241" s="121"/>
      <c r="E5241" s="121"/>
      <c r="F5241" s="121"/>
      <c r="G5241" s="121"/>
      <c r="H5241" s="85"/>
      <c r="I5241" s="122"/>
      <c r="J5241" s="131"/>
      <c r="K5241" s="69"/>
      <c r="L5241" s="49"/>
      <c r="P5241" s="3"/>
      <c r="Q5241" s="3"/>
      <c r="R5241" s="3"/>
      <c r="S5241" s="3"/>
      <c r="T5241" s="3"/>
      <c r="U5241" s="3"/>
      <c r="V5241" s="3"/>
      <c r="W5241" s="3"/>
      <c r="X5241" s="3"/>
      <c r="Y5241" s="4"/>
      <c r="Z5241"/>
      <c r="AA5241"/>
    </row>
    <row r="5242" spans="1:27" s="37" customFormat="1" x14ac:dyDescent="0.15">
      <c r="A5242" s="70"/>
      <c r="B5242" s="118"/>
      <c r="C5242" s="121"/>
      <c r="D5242" s="121"/>
      <c r="E5242" s="121"/>
      <c r="F5242" s="121"/>
      <c r="G5242" s="121"/>
      <c r="H5242" s="85"/>
      <c r="I5242" s="122"/>
      <c r="J5242" s="131"/>
      <c r="K5242" s="60"/>
      <c r="L5242" s="49"/>
      <c r="P5242" s="3"/>
      <c r="Q5242" s="3"/>
      <c r="R5242" s="3"/>
      <c r="S5242" s="3"/>
      <c r="T5242" s="3"/>
      <c r="U5242" s="3"/>
      <c r="V5242" s="3"/>
      <c r="W5242" s="3"/>
      <c r="X5242" s="3"/>
      <c r="Y5242" s="4"/>
      <c r="Z5242"/>
      <c r="AA5242"/>
    </row>
    <row r="5243" spans="1:27" s="37" customFormat="1" x14ac:dyDescent="0.15">
      <c r="A5243" s="70"/>
      <c r="B5243" s="118"/>
      <c r="C5243" s="121"/>
      <c r="D5243" s="121"/>
      <c r="E5243" s="121"/>
      <c r="F5243" s="121"/>
      <c r="G5243" s="121"/>
      <c r="H5243" s="85"/>
      <c r="I5243" s="122"/>
      <c r="J5243" s="131"/>
      <c r="K5243" s="60"/>
      <c r="L5243" s="49"/>
      <c r="P5243" s="3"/>
      <c r="Q5243" s="3"/>
      <c r="R5243" s="3"/>
      <c r="S5243" s="3"/>
      <c r="T5243" s="3"/>
      <c r="U5243" s="3"/>
      <c r="V5243" s="3"/>
      <c r="W5243" s="3"/>
      <c r="X5243" s="3"/>
      <c r="Y5243" s="4"/>
      <c r="Z5243"/>
      <c r="AA5243"/>
    </row>
    <row r="5244" spans="1:27" s="37" customFormat="1" x14ac:dyDescent="0.15">
      <c r="A5244" s="70"/>
      <c r="B5244" s="118"/>
      <c r="C5244" s="121"/>
      <c r="D5244" s="121"/>
      <c r="E5244" s="121"/>
      <c r="F5244" s="121"/>
      <c r="G5244" s="121"/>
      <c r="H5244" s="85"/>
      <c r="I5244" s="122"/>
      <c r="J5244" s="131"/>
      <c r="K5244" s="60"/>
      <c r="L5244" s="50"/>
      <c r="P5244" s="3"/>
      <c r="Q5244" s="3"/>
      <c r="R5244" s="3"/>
      <c r="S5244" s="3"/>
      <c r="T5244" s="3"/>
      <c r="U5244" s="3"/>
      <c r="V5244" s="3"/>
      <c r="W5244" s="3"/>
      <c r="X5244" s="3"/>
      <c r="Y5244" s="4"/>
      <c r="Z5244"/>
      <c r="AA5244"/>
    </row>
    <row r="5245" spans="1:27" s="37" customFormat="1" x14ac:dyDescent="0.15">
      <c r="A5245" s="70"/>
      <c r="B5245" s="118"/>
      <c r="C5245" s="121"/>
      <c r="D5245" s="121"/>
      <c r="E5245" s="121"/>
      <c r="F5245" s="121"/>
      <c r="G5245" s="121"/>
      <c r="H5245" s="85"/>
      <c r="I5245" s="122"/>
      <c r="J5245" s="131"/>
      <c r="K5245" s="60"/>
      <c r="L5245" s="49"/>
      <c r="P5245" s="3"/>
      <c r="Q5245" s="3"/>
      <c r="R5245" s="3"/>
      <c r="S5245" s="3"/>
      <c r="T5245" s="3"/>
      <c r="U5245" s="3"/>
      <c r="V5245" s="3"/>
      <c r="W5245" s="3"/>
      <c r="X5245" s="3"/>
      <c r="Y5245" s="4"/>
      <c r="Z5245"/>
      <c r="AA5245"/>
    </row>
    <row r="5246" spans="1:27" s="37" customFormat="1" x14ac:dyDescent="0.15">
      <c r="A5246" s="70"/>
      <c r="B5246" s="118"/>
      <c r="C5246" s="121"/>
      <c r="D5246" s="121"/>
      <c r="E5246" s="121"/>
      <c r="F5246" s="121"/>
      <c r="G5246" s="121"/>
      <c r="H5246" s="85"/>
      <c r="I5246" s="122"/>
      <c r="J5246" s="131"/>
      <c r="K5246" s="69"/>
      <c r="L5246" s="49"/>
      <c r="P5246" s="3"/>
      <c r="Q5246" s="3"/>
      <c r="R5246" s="3"/>
      <c r="S5246" s="3"/>
      <c r="T5246" s="3"/>
      <c r="U5246" s="3"/>
      <c r="V5246" s="3"/>
      <c r="W5246" s="3"/>
      <c r="X5246" s="3"/>
      <c r="Y5246" s="4"/>
      <c r="Z5246"/>
      <c r="AA5246"/>
    </row>
    <row r="5247" spans="1:27" s="49" customFormat="1" x14ac:dyDescent="0.15">
      <c r="A5247" s="70"/>
      <c r="B5247" s="118"/>
      <c r="C5247" s="121"/>
      <c r="D5247" s="121"/>
      <c r="E5247" s="121"/>
      <c r="F5247" s="121"/>
      <c r="G5247" s="121"/>
      <c r="H5247" s="85"/>
      <c r="I5247" s="122"/>
      <c r="J5247" s="131"/>
      <c r="K5247" s="69"/>
      <c r="M5247" s="37"/>
      <c r="N5247" s="37"/>
      <c r="O5247" s="37"/>
      <c r="P5247" s="3"/>
      <c r="Q5247" s="3"/>
      <c r="R5247" s="3"/>
      <c r="S5247" s="3"/>
      <c r="T5247" s="3"/>
      <c r="U5247" s="3"/>
      <c r="V5247" s="3"/>
      <c r="W5247" s="3"/>
      <c r="X5247" s="3"/>
      <c r="Y5247" s="4"/>
      <c r="Z5247"/>
      <c r="AA5247"/>
    </row>
    <row r="5248" spans="1:27" s="49" customFormat="1" x14ac:dyDescent="0.15">
      <c r="A5248" s="70"/>
      <c r="B5248" s="118"/>
      <c r="C5248" s="121"/>
      <c r="D5248" s="121"/>
      <c r="E5248" s="121"/>
      <c r="F5248" s="121"/>
      <c r="G5248" s="121"/>
      <c r="H5248" s="85"/>
      <c r="I5248" s="122"/>
      <c r="J5248" s="131"/>
      <c r="K5248" s="69"/>
      <c r="M5248" s="37"/>
      <c r="N5248" s="37"/>
      <c r="O5248" s="37"/>
      <c r="P5248" s="3"/>
      <c r="Q5248" s="3"/>
      <c r="R5248" s="3"/>
      <c r="S5248" s="3"/>
      <c r="T5248" s="3"/>
      <c r="U5248" s="3"/>
      <c r="V5248" s="3"/>
      <c r="W5248" s="3"/>
      <c r="X5248" s="3"/>
      <c r="Y5248" s="4"/>
      <c r="Z5248"/>
      <c r="AA5248"/>
    </row>
    <row r="5249" spans="1:27" s="49" customFormat="1" x14ac:dyDescent="0.15">
      <c r="A5249" s="70"/>
      <c r="B5249" s="118"/>
      <c r="C5249" s="121"/>
      <c r="D5249" s="121"/>
      <c r="E5249" s="121"/>
      <c r="F5249" s="121"/>
      <c r="G5249" s="121"/>
      <c r="H5249" s="85"/>
      <c r="I5249" s="122"/>
      <c r="J5249" s="131"/>
      <c r="K5249" s="69"/>
      <c r="M5249" s="37"/>
      <c r="N5249" s="37"/>
      <c r="O5249" s="37"/>
      <c r="P5249" s="3"/>
      <c r="Q5249" s="3"/>
      <c r="R5249" s="3"/>
      <c r="S5249" s="3"/>
      <c r="T5249" s="3"/>
      <c r="U5249" s="3"/>
      <c r="V5249" s="3"/>
      <c r="W5249" s="3"/>
      <c r="X5249" s="3"/>
      <c r="Y5249" s="4"/>
      <c r="Z5249"/>
      <c r="AA5249"/>
    </row>
    <row r="5250" spans="1:27" s="49" customFormat="1" x14ac:dyDescent="0.15">
      <c r="A5250" s="70"/>
      <c r="B5250" s="118"/>
      <c r="C5250" s="121"/>
      <c r="D5250" s="121"/>
      <c r="E5250" s="121"/>
      <c r="F5250" s="121"/>
      <c r="G5250" s="121"/>
      <c r="H5250" s="85"/>
      <c r="I5250" s="122"/>
      <c r="J5250" s="131"/>
      <c r="K5250" s="69"/>
      <c r="M5250" s="37"/>
      <c r="N5250" s="37"/>
      <c r="O5250" s="37"/>
      <c r="P5250" s="3"/>
      <c r="Q5250" s="3"/>
      <c r="R5250" s="3"/>
      <c r="S5250" s="3"/>
      <c r="T5250" s="3"/>
      <c r="U5250" s="3"/>
      <c r="V5250" s="3"/>
      <c r="W5250" s="3"/>
      <c r="X5250" s="3"/>
      <c r="Y5250" s="4"/>
      <c r="Z5250"/>
      <c r="AA5250"/>
    </row>
    <row r="5251" spans="1:27" s="49" customFormat="1" x14ac:dyDescent="0.15">
      <c r="A5251" s="70"/>
      <c r="B5251" s="118"/>
      <c r="C5251" s="121"/>
      <c r="D5251" s="121"/>
      <c r="E5251" s="121"/>
      <c r="F5251" s="121"/>
      <c r="G5251" s="121"/>
      <c r="H5251" s="85"/>
      <c r="I5251" s="122"/>
      <c r="J5251" s="131"/>
      <c r="K5251" s="69"/>
      <c r="M5251" s="37"/>
      <c r="N5251" s="37"/>
      <c r="O5251" s="37"/>
      <c r="P5251" s="3"/>
      <c r="Q5251" s="3"/>
      <c r="R5251" s="3"/>
      <c r="S5251" s="3"/>
      <c r="T5251" s="3"/>
      <c r="U5251" s="3"/>
      <c r="V5251" s="3"/>
      <c r="W5251" s="3"/>
      <c r="X5251" s="3"/>
      <c r="Y5251" s="4"/>
      <c r="Z5251"/>
      <c r="AA5251"/>
    </row>
    <row r="5252" spans="1:27" s="49" customFormat="1" x14ac:dyDescent="0.15">
      <c r="A5252" s="70"/>
      <c r="B5252" s="118"/>
      <c r="C5252" s="121"/>
      <c r="D5252" s="121"/>
      <c r="E5252" s="121"/>
      <c r="F5252" s="121"/>
      <c r="G5252" s="121"/>
      <c r="H5252" s="85"/>
      <c r="I5252" s="122"/>
      <c r="J5252" s="131"/>
      <c r="K5252" s="60"/>
      <c r="M5252" s="37"/>
      <c r="N5252" s="37"/>
      <c r="O5252" s="37"/>
      <c r="P5252" s="3"/>
      <c r="Q5252" s="3"/>
      <c r="R5252" s="3"/>
      <c r="S5252" s="3"/>
      <c r="T5252" s="3"/>
      <c r="U5252" s="3"/>
      <c r="V5252" s="3"/>
      <c r="W5252" s="3"/>
      <c r="X5252" s="3"/>
      <c r="Y5252" s="4"/>
      <c r="Z5252"/>
      <c r="AA5252"/>
    </row>
    <row r="5253" spans="1:27" s="49" customFormat="1" x14ac:dyDescent="0.15">
      <c r="A5253" s="70"/>
      <c r="B5253" s="118"/>
      <c r="C5253" s="121"/>
      <c r="D5253" s="121"/>
      <c r="E5253" s="121"/>
      <c r="F5253" s="121"/>
      <c r="G5253" s="121"/>
      <c r="H5253" s="85"/>
      <c r="I5253" s="122"/>
      <c r="J5253" s="131"/>
      <c r="K5253" s="69"/>
      <c r="M5253" s="37"/>
      <c r="N5253" s="37"/>
      <c r="O5253" s="37"/>
      <c r="P5253" s="3"/>
      <c r="Q5253" s="3"/>
      <c r="R5253" s="3"/>
      <c r="S5253" s="3"/>
      <c r="T5253" s="3"/>
      <c r="U5253" s="3"/>
      <c r="V5253" s="3"/>
      <c r="W5253" s="3"/>
      <c r="X5253" s="3"/>
      <c r="Y5253" s="4"/>
      <c r="Z5253"/>
      <c r="AA5253"/>
    </row>
    <row r="5254" spans="1:27" s="49" customFormat="1" x14ac:dyDescent="0.15">
      <c r="A5254" s="70"/>
      <c r="B5254" s="118"/>
      <c r="C5254" s="121"/>
      <c r="D5254" s="121"/>
      <c r="E5254" s="121"/>
      <c r="F5254" s="121"/>
      <c r="G5254" s="121"/>
      <c r="H5254" s="85"/>
      <c r="I5254" s="122"/>
      <c r="J5254" s="131"/>
      <c r="K5254" s="69"/>
      <c r="M5254" s="37"/>
      <c r="N5254" s="37"/>
      <c r="O5254" s="37"/>
      <c r="P5254" s="3"/>
      <c r="Q5254" s="3"/>
      <c r="R5254" s="3"/>
      <c r="S5254" s="3"/>
      <c r="T5254" s="3"/>
      <c r="U5254" s="3"/>
      <c r="V5254" s="3"/>
      <c r="W5254" s="3"/>
      <c r="X5254" s="3"/>
      <c r="Y5254" s="4"/>
      <c r="Z5254"/>
      <c r="AA5254"/>
    </row>
    <row r="5255" spans="1:27" s="49" customFormat="1" x14ac:dyDescent="0.15">
      <c r="A5255" s="70"/>
      <c r="B5255" s="118"/>
      <c r="C5255" s="121"/>
      <c r="D5255" s="121"/>
      <c r="E5255" s="121"/>
      <c r="F5255" s="121"/>
      <c r="G5255" s="121"/>
      <c r="H5255" s="85"/>
      <c r="I5255" s="122"/>
      <c r="J5255" s="131"/>
      <c r="K5255" s="69"/>
      <c r="M5255" s="37"/>
      <c r="N5255" s="37"/>
      <c r="O5255" s="37"/>
      <c r="P5255" s="3"/>
      <c r="Q5255" s="3"/>
      <c r="R5255" s="3"/>
      <c r="S5255" s="3"/>
      <c r="T5255" s="3"/>
      <c r="U5255" s="3"/>
      <c r="V5255" s="3"/>
      <c r="W5255" s="3"/>
      <c r="X5255" s="3"/>
      <c r="Y5255" s="4"/>
      <c r="Z5255"/>
      <c r="AA5255"/>
    </row>
    <row r="5256" spans="1:27" s="49" customFormat="1" x14ac:dyDescent="0.15">
      <c r="A5256" s="70"/>
      <c r="B5256" s="118"/>
      <c r="C5256" s="121"/>
      <c r="D5256" s="121"/>
      <c r="E5256" s="121"/>
      <c r="F5256" s="121"/>
      <c r="G5256" s="121"/>
      <c r="H5256" s="85"/>
      <c r="I5256" s="122"/>
      <c r="J5256" s="131"/>
      <c r="K5256" s="69"/>
      <c r="M5256" s="37"/>
      <c r="N5256" s="37"/>
      <c r="O5256" s="37"/>
      <c r="P5256" s="3"/>
      <c r="Q5256" s="3"/>
      <c r="R5256" s="3"/>
      <c r="S5256" s="3"/>
      <c r="T5256" s="3"/>
      <c r="U5256" s="3"/>
      <c r="V5256" s="3"/>
      <c r="W5256" s="3"/>
      <c r="X5256" s="3"/>
      <c r="Y5256" s="4"/>
      <c r="Z5256"/>
      <c r="AA5256"/>
    </row>
    <row r="5257" spans="1:27" s="49" customFormat="1" x14ac:dyDescent="0.15">
      <c r="A5257" s="70"/>
      <c r="B5257" s="118"/>
      <c r="C5257" s="121"/>
      <c r="D5257" s="121"/>
      <c r="E5257" s="121"/>
      <c r="F5257" s="121"/>
      <c r="G5257" s="121"/>
      <c r="H5257" s="85"/>
      <c r="I5257" s="122"/>
      <c r="J5257" s="131"/>
      <c r="K5257" s="69"/>
      <c r="M5257" s="37"/>
      <c r="N5257" s="37"/>
      <c r="O5257" s="37"/>
      <c r="P5257" s="3"/>
      <c r="Q5257" s="3"/>
      <c r="R5257" s="3"/>
      <c r="S5257" s="3"/>
      <c r="T5257" s="3"/>
      <c r="U5257" s="3"/>
      <c r="V5257" s="3"/>
      <c r="W5257" s="3"/>
      <c r="X5257" s="3"/>
      <c r="Y5257" s="4"/>
      <c r="Z5257"/>
      <c r="AA5257"/>
    </row>
    <row r="5258" spans="1:27" s="49" customFormat="1" x14ac:dyDescent="0.15">
      <c r="A5258" s="70"/>
      <c r="B5258" s="118"/>
      <c r="C5258" s="121"/>
      <c r="D5258" s="121"/>
      <c r="E5258" s="121"/>
      <c r="F5258" s="121"/>
      <c r="G5258" s="121"/>
      <c r="H5258" s="85"/>
      <c r="I5258" s="122"/>
      <c r="J5258" s="131"/>
      <c r="K5258" s="69"/>
      <c r="M5258" s="37"/>
      <c r="N5258" s="37"/>
      <c r="O5258" s="37"/>
      <c r="P5258" s="3"/>
      <c r="Q5258" s="3"/>
      <c r="R5258" s="3"/>
      <c r="S5258" s="3"/>
      <c r="T5258" s="3"/>
      <c r="U5258" s="3"/>
      <c r="V5258" s="3"/>
      <c r="W5258" s="3"/>
      <c r="X5258" s="3"/>
      <c r="Y5258" s="4"/>
      <c r="Z5258"/>
      <c r="AA5258"/>
    </row>
    <row r="5259" spans="1:27" s="49" customFormat="1" x14ac:dyDescent="0.15">
      <c r="A5259" s="70"/>
      <c r="B5259" s="118"/>
      <c r="C5259" s="121"/>
      <c r="D5259" s="121"/>
      <c r="E5259" s="121"/>
      <c r="F5259" s="121"/>
      <c r="G5259" s="121"/>
      <c r="H5259" s="85"/>
      <c r="I5259" s="122"/>
      <c r="J5259" s="131"/>
      <c r="K5259" s="69"/>
      <c r="M5259" s="37"/>
      <c r="N5259" s="37"/>
      <c r="O5259" s="37"/>
      <c r="P5259" s="3"/>
      <c r="Q5259" s="3"/>
      <c r="R5259" s="3"/>
      <c r="S5259" s="3"/>
      <c r="T5259" s="3"/>
      <c r="U5259" s="3"/>
      <c r="V5259" s="3"/>
      <c r="W5259" s="3"/>
      <c r="X5259" s="3"/>
      <c r="Y5259" s="4"/>
      <c r="Z5259"/>
      <c r="AA5259"/>
    </row>
    <row r="5260" spans="1:27" s="49" customFormat="1" x14ac:dyDescent="0.15">
      <c r="A5260" s="70"/>
      <c r="B5260" s="118"/>
      <c r="C5260" s="121"/>
      <c r="D5260" s="121"/>
      <c r="E5260" s="121"/>
      <c r="F5260" s="121"/>
      <c r="G5260" s="121"/>
      <c r="H5260" s="85"/>
      <c r="I5260" s="122"/>
      <c r="J5260" s="131"/>
      <c r="K5260" s="69"/>
      <c r="M5260" s="37"/>
      <c r="N5260" s="37"/>
      <c r="O5260" s="37"/>
      <c r="P5260" s="3"/>
      <c r="Q5260" s="3"/>
      <c r="R5260" s="3"/>
      <c r="S5260" s="3"/>
      <c r="T5260" s="3"/>
      <c r="U5260" s="3"/>
      <c r="V5260" s="3"/>
      <c r="W5260" s="3"/>
      <c r="X5260" s="3"/>
      <c r="Y5260" s="4"/>
      <c r="Z5260"/>
      <c r="AA5260"/>
    </row>
    <row r="5261" spans="1:27" s="49" customFormat="1" x14ac:dyDescent="0.15">
      <c r="A5261" s="70"/>
      <c r="B5261" s="118"/>
      <c r="C5261" s="121"/>
      <c r="D5261" s="121"/>
      <c r="E5261" s="121"/>
      <c r="F5261" s="121"/>
      <c r="G5261" s="121"/>
      <c r="H5261" s="85"/>
      <c r="I5261" s="122"/>
      <c r="J5261" s="131"/>
      <c r="K5261" s="69"/>
      <c r="M5261" s="37"/>
      <c r="N5261" s="37"/>
      <c r="O5261" s="37"/>
      <c r="P5261" s="3"/>
      <c r="Q5261" s="3"/>
      <c r="R5261" s="3"/>
      <c r="S5261" s="3"/>
      <c r="T5261" s="3"/>
      <c r="U5261" s="3"/>
      <c r="V5261" s="3"/>
      <c r="W5261" s="3"/>
      <c r="X5261" s="3"/>
      <c r="Y5261" s="4"/>
      <c r="Z5261"/>
      <c r="AA5261"/>
    </row>
    <row r="5262" spans="1:27" s="49" customFormat="1" x14ac:dyDescent="0.15">
      <c r="A5262" s="70"/>
      <c r="B5262" s="118"/>
      <c r="C5262" s="121"/>
      <c r="D5262" s="121"/>
      <c r="E5262" s="121"/>
      <c r="F5262" s="121"/>
      <c r="G5262" s="121"/>
      <c r="H5262" s="85"/>
      <c r="I5262" s="122"/>
      <c r="J5262" s="131"/>
      <c r="K5262" s="69"/>
      <c r="M5262" s="37"/>
      <c r="N5262" s="37"/>
      <c r="O5262" s="37"/>
      <c r="P5262" s="3"/>
      <c r="Q5262" s="3"/>
      <c r="R5262" s="3"/>
      <c r="S5262" s="3"/>
      <c r="T5262" s="3"/>
      <c r="U5262" s="3"/>
      <c r="V5262" s="3"/>
      <c r="W5262" s="3"/>
      <c r="X5262" s="3"/>
      <c r="Y5262" s="4"/>
      <c r="Z5262"/>
      <c r="AA5262"/>
    </row>
    <row r="5263" spans="1:27" s="49" customFormat="1" x14ac:dyDescent="0.15">
      <c r="A5263" s="73"/>
      <c r="B5263" s="118"/>
      <c r="C5263" s="121"/>
      <c r="D5263" s="121"/>
      <c r="E5263" s="121"/>
      <c r="F5263" s="121"/>
      <c r="G5263" s="121"/>
      <c r="H5263" s="85"/>
      <c r="I5263" s="122"/>
      <c r="J5263" s="131"/>
      <c r="K5263" s="69"/>
      <c r="M5263" s="37"/>
      <c r="N5263" s="37"/>
      <c r="O5263" s="37"/>
      <c r="P5263" s="3"/>
      <c r="Q5263" s="3"/>
      <c r="R5263" s="3"/>
      <c r="S5263" s="3"/>
      <c r="T5263" s="3"/>
      <c r="U5263" s="3"/>
      <c r="V5263" s="3"/>
      <c r="W5263" s="3"/>
      <c r="X5263" s="3"/>
      <c r="Y5263" s="4"/>
      <c r="Z5263"/>
      <c r="AA5263"/>
    </row>
    <row r="5264" spans="1:27" s="49" customFormat="1" x14ac:dyDescent="0.15">
      <c r="A5264" s="70"/>
      <c r="B5264" s="118"/>
      <c r="C5264" s="121"/>
      <c r="D5264" s="121"/>
      <c r="E5264" s="121"/>
      <c r="F5264" s="121"/>
      <c r="G5264" s="121"/>
      <c r="H5264" s="85"/>
      <c r="I5264" s="122"/>
      <c r="J5264" s="131"/>
      <c r="K5264" s="69"/>
      <c r="M5264" s="37"/>
      <c r="N5264" s="37"/>
      <c r="O5264" s="37"/>
      <c r="P5264" s="3"/>
      <c r="Q5264" s="3"/>
      <c r="R5264" s="3"/>
      <c r="S5264" s="3"/>
      <c r="T5264" s="3"/>
      <c r="U5264" s="3"/>
      <c r="V5264" s="3"/>
      <c r="W5264" s="3"/>
      <c r="X5264" s="3"/>
      <c r="Y5264" s="4"/>
      <c r="Z5264"/>
      <c r="AA5264"/>
    </row>
    <row r="5265" spans="1:27" s="49" customFormat="1" x14ac:dyDescent="0.15">
      <c r="A5265" s="70"/>
      <c r="B5265" s="118"/>
      <c r="C5265" s="121"/>
      <c r="D5265" s="121"/>
      <c r="E5265" s="121"/>
      <c r="F5265" s="121"/>
      <c r="G5265" s="121"/>
      <c r="H5265" s="85"/>
      <c r="I5265" s="122"/>
      <c r="J5265" s="131"/>
      <c r="K5265" s="72"/>
      <c r="M5265" s="37"/>
      <c r="N5265" s="37"/>
      <c r="O5265" s="37"/>
      <c r="P5265" s="3"/>
      <c r="Q5265" s="3"/>
      <c r="R5265" s="3"/>
      <c r="S5265" s="3"/>
      <c r="T5265" s="3"/>
      <c r="U5265" s="3"/>
      <c r="V5265" s="3"/>
      <c r="W5265" s="3"/>
      <c r="X5265" s="3"/>
      <c r="Y5265" s="4"/>
      <c r="Z5265"/>
      <c r="AA5265"/>
    </row>
    <row r="5266" spans="1:27" s="49" customFormat="1" x14ac:dyDescent="0.15">
      <c r="A5266" s="70"/>
      <c r="B5266" s="118"/>
      <c r="C5266" s="121"/>
      <c r="D5266" s="121"/>
      <c r="E5266" s="121"/>
      <c r="F5266" s="121"/>
      <c r="G5266" s="121"/>
      <c r="H5266" s="85"/>
      <c r="I5266" s="122"/>
      <c r="J5266" s="131"/>
      <c r="K5266" s="69"/>
      <c r="M5266" s="37"/>
      <c r="N5266" s="37"/>
      <c r="O5266" s="37"/>
      <c r="P5266" s="3"/>
      <c r="Q5266" s="3"/>
      <c r="R5266" s="3"/>
      <c r="S5266" s="3"/>
      <c r="T5266" s="3"/>
      <c r="U5266" s="3"/>
      <c r="V5266" s="3"/>
      <c r="W5266" s="3"/>
      <c r="X5266" s="3"/>
      <c r="Y5266" s="4"/>
      <c r="Z5266"/>
      <c r="AA5266"/>
    </row>
    <row r="5267" spans="1:27" s="49" customFormat="1" x14ac:dyDescent="0.15">
      <c r="A5267" s="70"/>
      <c r="B5267" s="118"/>
      <c r="C5267" s="121"/>
      <c r="D5267" s="121"/>
      <c r="E5267" s="121"/>
      <c r="F5267" s="121"/>
      <c r="G5267" s="121"/>
      <c r="H5267" s="85"/>
      <c r="I5267" s="122"/>
      <c r="J5267" s="131"/>
      <c r="K5267" s="60"/>
      <c r="M5267" s="37"/>
      <c r="N5267" s="37"/>
      <c r="O5267" s="37"/>
      <c r="P5267" s="3"/>
      <c r="Q5267" s="3"/>
      <c r="R5267" s="3"/>
      <c r="S5267" s="3"/>
      <c r="T5267" s="3"/>
      <c r="U5267" s="3"/>
      <c r="V5267" s="3"/>
      <c r="W5267" s="3"/>
      <c r="X5267" s="3"/>
      <c r="Y5267" s="4"/>
      <c r="Z5267"/>
      <c r="AA5267"/>
    </row>
    <row r="5268" spans="1:27" s="49" customFormat="1" x14ac:dyDescent="0.15">
      <c r="A5268" s="70"/>
      <c r="B5268" s="118"/>
      <c r="C5268" s="121"/>
      <c r="D5268" s="121"/>
      <c r="E5268" s="121"/>
      <c r="F5268" s="121"/>
      <c r="G5268" s="121"/>
      <c r="H5268" s="85"/>
      <c r="I5268" s="122"/>
      <c r="J5268" s="131"/>
      <c r="K5268" s="69"/>
      <c r="M5268" s="37"/>
      <c r="N5268" s="37"/>
      <c r="O5268" s="37"/>
      <c r="P5268" s="3"/>
      <c r="Q5268" s="3"/>
      <c r="R5268" s="3"/>
      <c r="S5268" s="3"/>
      <c r="T5268" s="3"/>
      <c r="U5268" s="3"/>
      <c r="V5268" s="3"/>
      <c r="W5268" s="3"/>
      <c r="X5268" s="3"/>
      <c r="Y5268" s="4"/>
      <c r="Z5268"/>
      <c r="AA5268"/>
    </row>
    <row r="5269" spans="1:27" s="49" customFormat="1" x14ac:dyDescent="0.15">
      <c r="A5269" s="70"/>
      <c r="B5269" s="118"/>
      <c r="C5269" s="121"/>
      <c r="D5269" s="121"/>
      <c r="E5269" s="121"/>
      <c r="F5269" s="121"/>
      <c r="G5269" s="121"/>
      <c r="H5269" s="85"/>
      <c r="I5269" s="122"/>
      <c r="J5269" s="131"/>
      <c r="K5269" s="69"/>
      <c r="M5269" s="37"/>
      <c r="N5269" s="37"/>
      <c r="O5269" s="37"/>
      <c r="P5269" s="3"/>
      <c r="Q5269" s="3"/>
      <c r="R5269" s="3"/>
      <c r="S5269" s="3"/>
      <c r="T5269" s="3"/>
      <c r="U5269" s="3"/>
      <c r="V5269" s="3"/>
      <c r="W5269" s="3"/>
      <c r="X5269" s="3"/>
      <c r="Y5269" s="4"/>
      <c r="Z5269"/>
      <c r="AA5269"/>
    </row>
    <row r="5270" spans="1:27" s="49" customFormat="1" x14ac:dyDescent="0.15">
      <c r="A5270" s="70"/>
      <c r="B5270" s="118"/>
      <c r="C5270" s="121"/>
      <c r="D5270" s="121"/>
      <c r="E5270" s="121"/>
      <c r="F5270" s="121"/>
      <c r="G5270" s="121"/>
      <c r="H5270" s="85"/>
      <c r="I5270" s="122"/>
      <c r="J5270" s="131"/>
      <c r="K5270" s="60"/>
      <c r="M5270" s="37"/>
      <c r="N5270" s="37"/>
      <c r="O5270" s="37"/>
      <c r="P5270" s="3"/>
      <c r="Q5270" s="3"/>
      <c r="R5270" s="3"/>
      <c r="S5270" s="3"/>
      <c r="T5270" s="3"/>
      <c r="U5270" s="3"/>
      <c r="V5270" s="3"/>
      <c r="W5270" s="3"/>
      <c r="X5270" s="3"/>
      <c r="Y5270" s="4"/>
      <c r="Z5270"/>
      <c r="AA5270"/>
    </row>
    <row r="5271" spans="1:27" s="49" customFormat="1" x14ac:dyDescent="0.15">
      <c r="A5271" s="70"/>
      <c r="B5271" s="118"/>
      <c r="C5271" s="121"/>
      <c r="D5271" s="121"/>
      <c r="E5271" s="121"/>
      <c r="F5271" s="121"/>
      <c r="G5271" s="121"/>
      <c r="H5271" s="85"/>
      <c r="I5271" s="122"/>
      <c r="J5271" s="134"/>
      <c r="K5271" s="69"/>
      <c r="M5271" s="37"/>
      <c r="N5271" s="37"/>
      <c r="O5271" s="37"/>
      <c r="P5271" s="3"/>
      <c r="Q5271" s="3"/>
      <c r="R5271" s="3"/>
      <c r="S5271" s="3"/>
      <c r="T5271" s="3"/>
      <c r="U5271" s="3"/>
      <c r="V5271" s="3"/>
      <c r="W5271" s="3"/>
      <c r="X5271" s="3"/>
      <c r="Y5271" s="4"/>
      <c r="Z5271"/>
      <c r="AA5271"/>
    </row>
    <row r="5272" spans="1:27" s="49" customFormat="1" x14ac:dyDescent="0.15">
      <c r="A5272" s="70"/>
      <c r="B5272" s="118"/>
      <c r="C5272" s="121"/>
      <c r="D5272" s="121"/>
      <c r="E5272" s="121"/>
      <c r="F5272" s="121"/>
      <c r="G5272" s="121"/>
      <c r="H5272" s="85"/>
      <c r="I5272" s="122"/>
      <c r="J5272" s="131"/>
      <c r="K5272" s="60"/>
      <c r="M5272" s="37"/>
      <c r="N5272" s="37"/>
      <c r="O5272" s="37"/>
      <c r="P5272" s="3"/>
      <c r="Q5272" s="3"/>
      <c r="R5272" s="3"/>
      <c r="S5272" s="3"/>
      <c r="T5272" s="3"/>
      <c r="U5272" s="3"/>
      <c r="V5272" s="3"/>
      <c r="W5272" s="3"/>
      <c r="X5272" s="3"/>
      <c r="Y5272" s="4"/>
      <c r="Z5272"/>
      <c r="AA5272"/>
    </row>
    <row r="5273" spans="1:27" s="49" customFormat="1" x14ac:dyDescent="0.15">
      <c r="A5273" s="73"/>
      <c r="B5273" s="118"/>
      <c r="C5273" s="121"/>
      <c r="D5273" s="121"/>
      <c r="E5273" s="121"/>
      <c r="F5273" s="121"/>
      <c r="G5273" s="121"/>
      <c r="H5273" s="85"/>
      <c r="I5273" s="122"/>
      <c r="J5273" s="131"/>
      <c r="K5273" s="69"/>
      <c r="M5273" s="37"/>
      <c r="N5273" s="37"/>
      <c r="O5273" s="37"/>
      <c r="P5273" s="3"/>
      <c r="Q5273" s="3"/>
      <c r="R5273" s="3"/>
      <c r="S5273" s="3"/>
      <c r="T5273" s="3"/>
      <c r="U5273" s="3"/>
      <c r="V5273" s="3"/>
      <c r="W5273" s="3"/>
      <c r="X5273" s="3"/>
      <c r="Y5273" s="4"/>
      <c r="Z5273"/>
      <c r="AA5273"/>
    </row>
    <row r="5274" spans="1:27" s="49" customFormat="1" x14ac:dyDescent="0.15">
      <c r="A5274" s="70"/>
      <c r="B5274" s="118"/>
      <c r="C5274" s="121"/>
      <c r="D5274" s="121"/>
      <c r="E5274" s="121"/>
      <c r="F5274" s="121"/>
      <c r="G5274" s="121"/>
      <c r="H5274" s="85"/>
      <c r="I5274" s="122"/>
      <c r="J5274" s="131"/>
      <c r="K5274" s="69"/>
      <c r="M5274" s="37"/>
      <c r="N5274" s="37"/>
      <c r="O5274" s="37"/>
      <c r="P5274" s="3"/>
      <c r="Q5274" s="3"/>
      <c r="R5274" s="3"/>
      <c r="S5274" s="3"/>
      <c r="T5274" s="3"/>
      <c r="U5274" s="3"/>
      <c r="V5274" s="3"/>
      <c r="W5274" s="3"/>
      <c r="X5274" s="3"/>
      <c r="Y5274" s="4"/>
      <c r="Z5274"/>
      <c r="AA5274"/>
    </row>
    <row r="5275" spans="1:27" s="49" customFormat="1" x14ac:dyDescent="0.15">
      <c r="A5275" s="70"/>
      <c r="B5275" s="118"/>
      <c r="C5275" s="121"/>
      <c r="D5275" s="121"/>
      <c r="E5275" s="121"/>
      <c r="F5275" s="121"/>
      <c r="G5275" s="121"/>
      <c r="H5275" s="85"/>
      <c r="I5275" s="122"/>
      <c r="J5275" s="131"/>
      <c r="K5275" s="69"/>
      <c r="M5275" s="37"/>
      <c r="N5275" s="37"/>
      <c r="O5275" s="37"/>
      <c r="P5275" s="3"/>
      <c r="Q5275" s="3"/>
      <c r="R5275" s="3"/>
      <c r="S5275" s="3"/>
      <c r="T5275" s="3"/>
      <c r="U5275" s="3"/>
      <c r="V5275" s="3"/>
      <c r="W5275" s="3"/>
      <c r="X5275" s="3"/>
      <c r="Y5275" s="4"/>
      <c r="Z5275"/>
      <c r="AA5275"/>
    </row>
    <row r="5276" spans="1:27" s="49" customFormat="1" x14ac:dyDescent="0.15">
      <c r="A5276" s="70"/>
      <c r="B5276" s="118"/>
      <c r="C5276" s="121"/>
      <c r="D5276" s="121"/>
      <c r="E5276" s="121"/>
      <c r="F5276" s="121"/>
      <c r="G5276" s="121"/>
      <c r="H5276" s="85"/>
      <c r="I5276" s="122"/>
      <c r="J5276" s="131"/>
      <c r="K5276" s="69"/>
      <c r="M5276" s="37"/>
      <c r="N5276" s="37"/>
      <c r="O5276" s="37"/>
      <c r="P5276" s="3"/>
      <c r="Q5276" s="3"/>
      <c r="R5276" s="3"/>
      <c r="S5276" s="3"/>
      <c r="T5276" s="3"/>
      <c r="U5276" s="3"/>
      <c r="V5276" s="3"/>
      <c r="W5276" s="3"/>
      <c r="X5276" s="3"/>
      <c r="Y5276" s="4"/>
      <c r="Z5276"/>
      <c r="AA5276"/>
    </row>
    <row r="5277" spans="1:27" s="49" customFormat="1" x14ac:dyDescent="0.15">
      <c r="A5277" s="70"/>
      <c r="B5277" s="118"/>
      <c r="C5277" s="121"/>
      <c r="D5277" s="121"/>
      <c r="E5277" s="121"/>
      <c r="F5277" s="121"/>
      <c r="G5277" s="121"/>
      <c r="H5277" s="85"/>
      <c r="I5277" s="122"/>
      <c r="J5277" s="131"/>
      <c r="K5277" s="69"/>
      <c r="M5277" s="37"/>
      <c r="N5277" s="37"/>
      <c r="O5277" s="37"/>
      <c r="P5277" s="3"/>
      <c r="Q5277" s="3"/>
      <c r="R5277" s="3"/>
      <c r="S5277" s="3"/>
      <c r="T5277" s="3"/>
      <c r="U5277" s="3"/>
      <c r="V5277" s="3"/>
      <c r="W5277" s="3"/>
      <c r="X5277" s="3"/>
      <c r="Y5277" s="4"/>
      <c r="Z5277"/>
      <c r="AA5277"/>
    </row>
    <row r="5278" spans="1:27" s="49" customFormat="1" x14ac:dyDescent="0.15">
      <c r="A5278" s="73"/>
      <c r="B5278" s="118"/>
      <c r="C5278" s="121"/>
      <c r="D5278" s="121"/>
      <c r="E5278" s="121"/>
      <c r="F5278" s="121"/>
      <c r="G5278" s="121"/>
      <c r="H5278" s="85"/>
      <c r="I5278" s="122"/>
      <c r="J5278" s="131"/>
      <c r="K5278" s="69"/>
      <c r="M5278" s="37"/>
      <c r="N5278" s="37"/>
      <c r="O5278" s="37"/>
      <c r="P5278" s="3"/>
      <c r="Q5278" s="3"/>
      <c r="R5278" s="3"/>
      <c r="S5278" s="3"/>
      <c r="T5278" s="3"/>
      <c r="U5278" s="3"/>
      <c r="V5278" s="3"/>
      <c r="W5278" s="3"/>
      <c r="X5278" s="3"/>
      <c r="Y5278" s="4"/>
      <c r="Z5278"/>
      <c r="AA5278"/>
    </row>
    <row r="5279" spans="1:27" s="37" customFormat="1" x14ac:dyDescent="0.15">
      <c r="A5279" s="70"/>
      <c r="B5279" s="118"/>
      <c r="C5279" s="121"/>
      <c r="D5279" s="121"/>
      <c r="E5279" s="121"/>
      <c r="F5279" s="121"/>
      <c r="G5279" s="121"/>
      <c r="H5279" s="85"/>
      <c r="I5279" s="122"/>
      <c r="J5279" s="131"/>
      <c r="K5279" s="69"/>
      <c r="L5279" s="49"/>
      <c r="N5279" s="51"/>
      <c r="P5279" s="3"/>
      <c r="Q5279" s="3"/>
      <c r="R5279" s="3"/>
      <c r="S5279" s="3"/>
      <c r="T5279" s="3"/>
      <c r="U5279" s="3"/>
      <c r="V5279" s="3"/>
      <c r="W5279" s="3"/>
      <c r="X5279" s="3"/>
      <c r="Y5279" s="4"/>
      <c r="Z5279"/>
      <c r="AA5279"/>
    </row>
    <row r="5280" spans="1:27" s="37" customFormat="1" x14ac:dyDescent="0.15">
      <c r="A5280" s="70"/>
      <c r="B5280" s="118"/>
      <c r="C5280" s="121"/>
      <c r="D5280" s="121"/>
      <c r="E5280" s="121"/>
      <c r="F5280" s="121"/>
      <c r="G5280" s="121"/>
      <c r="H5280" s="85"/>
      <c r="I5280" s="122"/>
      <c r="J5280" s="131"/>
      <c r="K5280" s="69"/>
      <c r="L5280" s="49"/>
      <c r="P5280" s="3"/>
      <c r="Q5280" s="3"/>
      <c r="R5280" s="3"/>
      <c r="S5280" s="3"/>
      <c r="T5280" s="3"/>
      <c r="U5280" s="3"/>
      <c r="V5280" s="3"/>
      <c r="W5280" s="3"/>
      <c r="X5280" s="3"/>
      <c r="Y5280" s="4"/>
      <c r="Z5280"/>
      <c r="AA5280"/>
    </row>
    <row r="5281" spans="1:27" s="37" customFormat="1" x14ac:dyDescent="0.15">
      <c r="A5281" s="70"/>
      <c r="B5281" s="118"/>
      <c r="C5281" s="121"/>
      <c r="D5281" s="121"/>
      <c r="E5281" s="121"/>
      <c r="F5281" s="121"/>
      <c r="G5281" s="121"/>
      <c r="H5281" s="85"/>
      <c r="I5281" s="122"/>
      <c r="J5281" s="131"/>
      <c r="K5281" s="69"/>
      <c r="L5281" s="50"/>
      <c r="P5281" s="3"/>
      <c r="Q5281" s="3"/>
      <c r="R5281" s="3"/>
      <c r="S5281" s="3"/>
      <c r="T5281" s="3"/>
      <c r="U5281" s="3"/>
      <c r="V5281" s="3"/>
      <c r="W5281" s="3"/>
      <c r="X5281" s="3"/>
      <c r="Y5281" s="4"/>
      <c r="Z5281"/>
      <c r="AA5281"/>
    </row>
    <row r="5282" spans="1:27" s="37" customFormat="1" x14ac:dyDescent="0.15">
      <c r="A5282" s="70"/>
      <c r="B5282" s="118"/>
      <c r="C5282" s="121"/>
      <c r="D5282" s="121"/>
      <c r="E5282" s="121"/>
      <c r="F5282" s="121"/>
      <c r="G5282" s="121"/>
      <c r="H5282" s="85"/>
      <c r="I5282" s="122"/>
      <c r="J5282" s="131"/>
      <c r="K5282" s="69"/>
      <c r="L5282" s="50"/>
      <c r="P5282" s="3"/>
      <c r="Q5282" s="3"/>
      <c r="R5282" s="3"/>
      <c r="S5282" s="3"/>
      <c r="T5282" s="3"/>
      <c r="U5282" s="3"/>
      <c r="V5282" s="3"/>
      <c r="W5282" s="3"/>
      <c r="X5282" s="3"/>
      <c r="Y5282" s="4"/>
      <c r="Z5282"/>
      <c r="AA5282"/>
    </row>
    <row r="5283" spans="1:27" s="37" customFormat="1" x14ac:dyDescent="0.15">
      <c r="A5283" s="70"/>
      <c r="B5283" s="118"/>
      <c r="C5283" s="121"/>
      <c r="D5283" s="121"/>
      <c r="E5283" s="121"/>
      <c r="F5283" s="121"/>
      <c r="G5283" s="121"/>
      <c r="H5283" s="85"/>
      <c r="I5283" s="122"/>
      <c r="J5283" s="131"/>
      <c r="K5283" s="69"/>
      <c r="L5283" s="49"/>
      <c r="P5283" s="3"/>
      <c r="Q5283" s="3"/>
      <c r="R5283" s="3"/>
      <c r="S5283" s="3"/>
      <c r="T5283" s="3"/>
      <c r="U5283" s="3"/>
      <c r="V5283" s="3"/>
      <c r="W5283" s="3"/>
      <c r="X5283" s="3"/>
      <c r="Y5283" s="4"/>
      <c r="Z5283"/>
      <c r="AA5283"/>
    </row>
    <row r="5284" spans="1:27" s="37" customFormat="1" x14ac:dyDescent="0.15">
      <c r="A5284" s="70"/>
      <c r="B5284" s="118"/>
      <c r="C5284" s="121"/>
      <c r="D5284" s="121"/>
      <c r="E5284" s="121"/>
      <c r="F5284" s="121"/>
      <c r="G5284" s="121"/>
      <c r="H5284" s="85"/>
      <c r="I5284" s="122"/>
      <c r="J5284" s="131"/>
      <c r="K5284" s="69"/>
      <c r="L5284" s="49"/>
      <c r="P5284" s="3"/>
      <c r="Q5284" s="3"/>
      <c r="R5284" s="3"/>
      <c r="S5284" s="3"/>
      <c r="T5284" s="3"/>
      <c r="U5284" s="3"/>
      <c r="V5284" s="3"/>
      <c r="W5284" s="3"/>
      <c r="X5284" s="3"/>
      <c r="Y5284" s="4"/>
      <c r="Z5284"/>
      <c r="AA5284"/>
    </row>
    <row r="5285" spans="1:27" s="37" customFormat="1" x14ac:dyDescent="0.15">
      <c r="A5285" s="70"/>
      <c r="B5285" s="118"/>
      <c r="C5285" s="121"/>
      <c r="D5285" s="121"/>
      <c r="E5285" s="121"/>
      <c r="F5285" s="121"/>
      <c r="G5285" s="121"/>
      <c r="H5285" s="85"/>
      <c r="I5285" s="122"/>
      <c r="J5285" s="131"/>
      <c r="K5285" s="69"/>
      <c r="L5285" s="49"/>
      <c r="P5285" s="3"/>
      <c r="Q5285" s="3"/>
      <c r="R5285" s="3"/>
      <c r="S5285" s="3"/>
      <c r="T5285" s="3"/>
      <c r="U5285" s="3"/>
      <c r="V5285" s="3"/>
      <c r="W5285" s="3"/>
      <c r="X5285" s="3"/>
      <c r="Y5285" s="4"/>
      <c r="Z5285"/>
      <c r="AA5285"/>
    </row>
    <row r="5286" spans="1:27" s="37" customFormat="1" x14ac:dyDescent="0.15">
      <c r="A5286" s="70"/>
      <c r="B5286" s="118"/>
      <c r="C5286" s="121"/>
      <c r="D5286" s="121"/>
      <c r="E5286" s="121"/>
      <c r="F5286" s="121"/>
      <c r="G5286" s="121"/>
      <c r="H5286" s="85"/>
      <c r="I5286" s="122"/>
      <c r="J5286" s="131"/>
      <c r="K5286" s="69"/>
      <c r="L5286" s="49"/>
      <c r="P5286" s="3"/>
      <c r="Q5286" s="3"/>
      <c r="R5286" s="3"/>
      <c r="S5286" s="3"/>
      <c r="T5286" s="3"/>
      <c r="U5286" s="3"/>
      <c r="V5286" s="3"/>
      <c r="W5286" s="3"/>
      <c r="X5286" s="3"/>
      <c r="Y5286" s="4"/>
      <c r="Z5286"/>
      <c r="AA5286"/>
    </row>
    <row r="5287" spans="1:27" s="37" customFormat="1" x14ac:dyDescent="0.15">
      <c r="A5287" s="73"/>
      <c r="B5287" s="118"/>
      <c r="C5287" s="121"/>
      <c r="D5287" s="121"/>
      <c r="E5287" s="121"/>
      <c r="F5287" s="121"/>
      <c r="G5287" s="121"/>
      <c r="H5287" s="85"/>
      <c r="I5287" s="122"/>
      <c r="J5287" s="131"/>
      <c r="K5287" s="69"/>
      <c r="L5287" s="49"/>
      <c r="P5287" s="3"/>
      <c r="Q5287" s="3"/>
      <c r="R5287" s="3"/>
      <c r="S5287" s="3"/>
      <c r="T5287" s="3"/>
      <c r="U5287" s="3"/>
      <c r="V5287" s="3"/>
      <c r="W5287" s="3"/>
      <c r="X5287" s="3"/>
      <c r="Y5287" s="4"/>
      <c r="Z5287"/>
      <c r="AA5287"/>
    </row>
    <row r="5288" spans="1:27" s="37" customFormat="1" x14ac:dyDescent="0.15">
      <c r="A5288" s="70"/>
      <c r="B5288" s="118"/>
      <c r="C5288" s="121"/>
      <c r="D5288" s="121"/>
      <c r="E5288" s="121"/>
      <c r="F5288" s="121"/>
      <c r="G5288" s="121"/>
      <c r="H5288" s="85"/>
      <c r="I5288" s="122"/>
      <c r="J5288" s="131"/>
      <c r="K5288" s="69"/>
      <c r="L5288" s="49"/>
      <c r="P5288" s="3"/>
      <c r="Q5288" s="3"/>
      <c r="R5288" s="3"/>
      <c r="S5288" s="3"/>
      <c r="T5288" s="3"/>
      <c r="U5288" s="3"/>
      <c r="V5288" s="3"/>
      <c r="W5288" s="3"/>
      <c r="X5288" s="3"/>
      <c r="Y5288" s="4"/>
      <c r="Z5288"/>
      <c r="AA5288"/>
    </row>
    <row r="5289" spans="1:27" s="37" customFormat="1" x14ac:dyDescent="0.15">
      <c r="A5289" s="70"/>
      <c r="B5289" s="118"/>
      <c r="C5289" s="121"/>
      <c r="D5289" s="121"/>
      <c r="E5289" s="121"/>
      <c r="F5289" s="121"/>
      <c r="G5289" s="121"/>
      <c r="H5289" s="85"/>
      <c r="I5289" s="122"/>
      <c r="J5289" s="131"/>
      <c r="K5289" s="69"/>
      <c r="L5289" s="49"/>
      <c r="P5289" s="3"/>
      <c r="Q5289" s="3"/>
      <c r="R5289" s="3"/>
      <c r="S5289" s="3"/>
      <c r="T5289" s="3"/>
      <c r="U5289" s="3"/>
      <c r="V5289" s="3"/>
      <c r="W5289" s="3"/>
      <c r="X5289" s="3"/>
      <c r="Y5289" s="4"/>
      <c r="Z5289"/>
      <c r="AA5289"/>
    </row>
    <row r="5290" spans="1:27" s="37" customFormat="1" x14ac:dyDescent="0.15">
      <c r="A5290" s="70"/>
      <c r="B5290" s="118"/>
      <c r="C5290" s="121"/>
      <c r="D5290" s="121"/>
      <c r="E5290" s="121"/>
      <c r="F5290" s="121"/>
      <c r="G5290" s="121"/>
      <c r="H5290" s="85"/>
      <c r="I5290" s="122"/>
      <c r="J5290" s="131"/>
      <c r="K5290" s="69"/>
      <c r="L5290" s="49"/>
      <c r="P5290" s="3"/>
      <c r="Q5290" s="3"/>
      <c r="R5290" s="3"/>
      <c r="S5290" s="3"/>
      <c r="T5290" s="3"/>
      <c r="U5290" s="3"/>
      <c r="V5290" s="3"/>
      <c r="W5290" s="3"/>
      <c r="X5290" s="3"/>
      <c r="Y5290" s="4"/>
      <c r="Z5290"/>
      <c r="AA5290"/>
    </row>
    <row r="5291" spans="1:27" s="37" customFormat="1" x14ac:dyDescent="0.15">
      <c r="A5291" s="70"/>
      <c r="B5291" s="118"/>
      <c r="C5291" s="121"/>
      <c r="D5291" s="121"/>
      <c r="E5291" s="121"/>
      <c r="F5291" s="121"/>
      <c r="G5291" s="121"/>
      <c r="H5291" s="85"/>
      <c r="I5291" s="122"/>
      <c r="J5291" s="131"/>
      <c r="K5291" s="69"/>
      <c r="L5291" s="49"/>
      <c r="P5291" s="3"/>
      <c r="Q5291" s="3"/>
      <c r="R5291" s="3"/>
      <c r="S5291" s="3"/>
      <c r="T5291" s="3"/>
      <c r="U5291" s="3"/>
      <c r="V5291" s="3"/>
      <c r="W5291" s="3"/>
      <c r="X5291" s="3"/>
      <c r="Y5291" s="4"/>
      <c r="Z5291"/>
      <c r="AA5291"/>
    </row>
    <row r="5292" spans="1:27" s="37" customFormat="1" x14ac:dyDescent="0.15">
      <c r="A5292" s="70"/>
      <c r="B5292" s="118"/>
      <c r="C5292" s="121"/>
      <c r="D5292" s="121"/>
      <c r="E5292" s="121"/>
      <c r="F5292" s="121"/>
      <c r="G5292" s="121"/>
      <c r="H5292" s="85"/>
      <c r="I5292" s="122"/>
      <c r="J5292" s="131"/>
      <c r="K5292" s="69"/>
      <c r="L5292" s="49"/>
      <c r="P5292" s="3"/>
      <c r="Q5292" s="3"/>
      <c r="R5292" s="3"/>
      <c r="S5292" s="3"/>
      <c r="T5292" s="3"/>
      <c r="U5292" s="3"/>
      <c r="V5292" s="3"/>
      <c r="W5292" s="3"/>
      <c r="X5292" s="3"/>
      <c r="Y5292" s="4"/>
      <c r="Z5292"/>
      <c r="AA5292"/>
    </row>
    <row r="5293" spans="1:27" s="37" customFormat="1" x14ac:dyDescent="0.15">
      <c r="A5293" s="70"/>
      <c r="B5293" s="118"/>
      <c r="C5293" s="121"/>
      <c r="D5293" s="121"/>
      <c r="E5293" s="121"/>
      <c r="F5293" s="121"/>
      <c r="G5293" s="121"/>
      <c r="H5293" s="85"/>
      <c r="I5293" s="122"/>
      <c r="J5293" s="131"/>
      <c r="K5293" s="69"/>
      <c r="L5293" s="49"/>
      <c r="P5293" s="3"/>
      <c r="Q5293" s="3"/>
      <c r="R5293" s="3"/>
      <c r="S5293" s="3"/>
      <c r="T5293" s="3"/>
      <c r="U5293" s="3"/>
      <c r="V5293" s="3"/>
      <c r="W5293" s="3"/>
      <c r="X5293" s="3"/>
      <c r="Y5293" s="4"/>
      <c r="Z5293"/>
      <c r="AA5293"/>
    </row>
    <row r="5294" spans="1:27" s="37" customFormat="1" x14ac:dyDescent="0.15">
      <c r="A5294" s="70"/>
      <c r="B5294" s="118"/>
      <c r="C5294" s="121"/>
      <c r="D5294" s="121"/>
      <c r="E5294" s="121"/>
      <c r="F5294" s="121"/>
      <c r="G5294" s="121"/>
      <c r="H5294" s="85"/>
      <c r="I5294" s="122"/>
      <c r="J5294" s="131"/>
      <c r="K5294" s="69"/>
      <c r="L5294" s="50"/>
      <c r="P5294" s="3"/>
      <c r="Q5294" s="3"/>
      <c r="R5294" s="3"/>
      <c r="S5294" s="3"/>
      <c r="T5294" s="3"/>
      <c r="U5294" s="3"/>
      <c r="V5294" s="3"/>
      <c r="W5294" s="3"/>
      <c r="X5294" s="3"/>
      <c r="Y5294" s="4"/>
      <c r="Z5294"/>
      <c r="AA5294"/>
    </row>
    <row r="5295" spans="1:27" s="37" customFormat="1" x14ac:dyDescent="0.15">
      <c r="A5295" s="70"/>
      <c r="B5295" s="118"/>
      <c r="C5295" s="121"/>
      <c r="D5295" s="121"/>
      <c r="E5295" s="121"/>
      <c r="F5295" s="121"/>
      <c r="G5295" s="121"/>
      <c r="H5295" s="85"/>
      <c r="I5295" s="122"/>
      <c r="J5295" s="131"/>
      <c r="K5295" s="69"/>
      <c r="L5295" s="50"/>
      <c r="P5295" s="3"/>
      <c r="Q5295" s="3"/>
      <c r="R5295" s="3"/>
      <c r="S5295" s="3"/>
      <c r="T5295" s="3"/>
      <c r="U5295" s="3"/>
      <c r="V5295" s="3"/>
      <c r="W5295" s="3"/>
      <c r="X5295" s="3"/>
      <c r="Y5295" s="4"/>
      <c r="Z5295"/>
      <c r="AA5295"/>
    </row>
    <row r="5296" spans="1:27" s="37" customFormat="1" x14ac:dyDescent="0.15">
      <c r="A5296" s="70"/>
      <c r="B5296" s="118"/>
      <c r="C5296" s="121"/>
      <c r="D5296" s="121"/>
      <c r="E5296" s="121"/>
      <c r="F5296" s="121"/>
      <c r="G5296" s="121"/>
      <c r="H5296" s="85"/>
      <c r="I5296" s="122"/>
      <c r="J5296" s="131"/>
      <c r="K5296" s="69"/>
      <c r="L5296" s="50"/>
      <c r="P5296" s="3"/>
      <c r="Q5296" s="3"/>
      <c r="R5296" s="3"/>
      <c r="S5296" s="3"/>
      <c r="T5296" s="3"/>
      <c r="U5296" s="3"/>
      <c r="V5296" s="3"/>
      <c r="W5296" s="3"/>
      <c r="X5296" s="3"/>
      <c r="Y5296" s="4"/>
      <c r="Z5296"/>
      <c r="AA5296"/>
    </row>
    <row r="5297" spans="1:27" s="37" customFormat="1" x14ac:dyDescent="0.15">
      <c r="A5297" s="70"/>
      <c r="B5297" s="118"/>
      <c r="C5297" s="121"/>
      <c r="D5297" s="121"/>
      <c r="E5297" s="121"/>
      <c r="F5297" s="121"/>
      <c r="G5297" s="121"/>
      <c r="H5297" s="85"/>
      <c r="I5297" s="122"/>
      <c r="J5297" s="131"/>
      <c r="K5297" s="69"/>
      <c r="L5297" s="50"/>
      <c r="P5297" s="3"/>
      <c r="Q5297" s="3"/>
      <c r="R5297" s="3"/>
      <c r="S5297" s="3"/>
      <c r="T5297" s="3"/>
      <c r="U5297" s="3"/>
      <c r="V5297" s="3"/>
      <c r="W5297" s="3"/>
      <c r="X5297" s="3"/>
      <c r="Y5297" s="4"/>
      <c r="Z5297"/>
      <c r="AA5297"/>
    </row>
    <row r="5298" spans="1:27" s="37" customFormat="1" x14ac:dyDescent="0.15">
      <c r="A5298" s="70"/>
      <c r="B5298" s="118"/>
      <c r="C5298" s="121"/>
      <c r="D5298" s="121"/>
      <c r="E5298" s="121"/>
      <c r="F5298" s="121"/>
      <c r="G5298" s="121"/>
      <c r="H5298" s="85"/>
      <c r="I5298" s="122"/>
      <c r="J5298" s="131"/>
      <c r="K5298" s="69"/>
      <c r="L5298" s="50"/>
      <c r="P5298" s="3"/>
      <c r="Q5298" s="3"/>
      <c r="R5298" s="3"/>
      <c r="S5298" s="3"/>
      <c r="T5298" s="3"/>
      <c r="U5298" s="3"/>
      <c r="V5298" s="3"/>
      <c r="W5298" s="3"/>
      <c r="X5298" s="3"/>
      <c r="Y5298" s="4"/>
      <c r="Z5298"/>
      <c r="AA5298"/>
    </row>
    <row r="5299" spans="1:27" s="37" customFormat="1" x14ac:dyDescent="0.15">
      <c r="A5299" s="70"/>
      <c r="B5299" s="118"/>
      <c r="C5299" s="121"/>
      <c r="D5299" s="121"/>
      <c r="E5299" s="121"/>
      <c r="F5299" s="121"/>
      <c r="G5299" s="121"/>
      <c r="H5299" s="85"/>
      <c r="I5299" s="122"/>
      <c r="J5299" s="131"/>
      <c r="K5299" s="69"/>
      <c r="L5299" s="50"/>
      <c r="P5299" s="3"/>
      <c r="Q5299" s="3"/>
      <c r="R5299" s="3"/>
      <c r="S5299" s="3"/>
      <c r="T5299" s="3"/>
      <c r="U5299" s="3"/>
      <c r="V5299" s="3"/>
      <c r="W5299" s="3"/>
      <c r="X5299" s="3"/>
      <c r="Y5299" s="4"/>
      <c r="Z5299"/>
      <c r="AA5299"/>
    </row>
    <row r="5300" spans="1:27" s="37" customFormat="1" x14ac:dyDescent="0.15">
      <c r="A5300" s="70"/>
      <c r="B5300" s="118"/>
      <c r="C5300" s="121"/>
      <c r="D5300" s="121"/>
      <c r="E5300" s="121"/>
      <c r="F5300" s="121"/>
      <c r="G5300" s="121"/>
      <c r="H5300" s="85"/>
      <c r="I5300" s="122"/>
      <c r="J5300" s="131"/>
      <c r="K5300" s="69"/>
      <c r="L5300" s="50"/>
      <c r="P5300" s="3"/>
      <c r="Q5300" s="3"/>
      <c r="R5300" s="3"/>
      <c r="S5300" s="3"/>
      <c r="T5300" s="3"/>
      <c r="U5300" s="3"/>
      <c r="V5300" s="3"/>
      <c r="W5300" s="3"/>
      <c r="X5300" s="3"/>
      <c r="Y5300" s="4"/>
      <c r="Z5300"/>
      <c r="AA5300"/>
    </row>
    <row r="5301" spans="1:27" s="37" customFormat="1" x14ac:dyDescent="0.15">
      <c r="A5301" s="70"/>
      <c r="B5301" s="118"/>
      <c r="C5301" s="121"/>
      <c r="D5301" s="121"/>
      <c r="E5301" s="121"/>
      <c r="F5301" s="121"/>
      <c r="G5301" s="121"/>
      <c r="H5301" s="85"/>
      <c r="I5301" s="122"/>
      <c r="J5301" s="131"/>
      <c r="K5301" s="69"/>
      <c r="L5301" s="50"/>
      <c r="P5301" s="3"/>
      <c r="Q5301" s="3"/>
      <c r="R5301" s="3"/>
      <c r="S5301" s="3"/>
      <c r="T5301" s="3"/>
      <c r="U5301" s="3"/>
      <c r="V5301" s="3"/>
      <c r="W5301" s="3"/>
      <c r="X5301" s="3"/>
      <c r="Y5301" s="4"/>
      <c r="Z5301"/>
      <c r="AA5301"/>
    </row>
    <row r="5302" spans="1:27" s="37" customFormat="1" x14ac:dyDescent="0.15">
      <c r="A5302" s="70"/>
      <c r="B5302" s="118"/>
      <c r="C5302" s="121"/>
      <c r="D5302" s="121"/>
      <c r="E5302" s="121"/>
      <c r="F5302" s="121"/>
      <c r="G5302" s="121"/>
      <c r="H5302" s="85"/>
      <c r="I5302" s="122"/>
      <c r="J5302" s="131"/>
      <c r="K5302" s="69"/>
      <c r="L5302" s="50"/>
      <c r="P5302" s="3"/>
      <c r="Q5302" s="3"/>
      <c r="R5302" s="3"/>
      <c r="S5302" s="3"/>
      <c r="T5302" s="3"/>
      <c r="U5302" s="3"/>
      <c r="V5302" s="3"/>
      <c r="W5302" s="3"/>
      <c r="X5302" s="3"/>
      <c r="Y5302" s="4"/>
      <c r="Z5302"/>
      <c r="AA5302"/>
    </row>
    <row r="5303" spans="1:27" s="37" customFormat="1" x14ac:dyDescent="0.15">
      <c r="A5303" s="70"/>
      <c r="B5303" s="118"/>
      <c r="C5303" s="121"/>
      <c r="D5303" s="121"/>
      <c r="E5303" s="121"/>
      <c r="F5303" s="121"/>
      <c r="G5303" s="121"/>
      <c r="H5303" s="85"/>
      <c r="I5303" s="122"/>
      <c r="J5303" s="131"/>
      <c r="K5303" s="69"/>
      <c r="L5303" s="50"/>
      <c r="P5303" s="3"/>
      <c r="Q5303" s="3"/>
      <c r="R5303" s="3"/>
      <c r="S5303" s="3"/>
      <c r="T5303" s="3"/>
      <c r="U5303" s="3"/>
      <c r="V5303" s="3"/>
      <c r="W5303" s="3"/>
      <c r="X5303" s="3"/>
      <c r="Y5303" s="4"/>
      <c r="Z5303"/>
      <c r="AA5303"/>
    </row>
    <row r="5304" spans="1:27" s="37" customFormat="1" x14ac:dyDescent="0.15">
      <c r="A5304" s="70"/>
      <c r="B5304" s="118"/>
      <c r="C5304" s="121"/>
      <c r="D5304" s="121"/>
      <c r="E5304" s="121"/>
      <c r="F5304" s="121"/>
      <c r="G5304" s="121"/>
      <c r="H5304" s="85"/>
      <c r="I5304" s="122"/>
      <c r="J5304" s="131"/>
      <c r="K5304" s="69"/>
      <c r="L5304" s="50"/>
      <c r="P5304" s="3"/>
      <c r="Q5304" s="3"/>
      <c r="R5304" s="3"/>
      <c r="S5304" s="3"/>
      <c r="T5304" s="3"/>
      <c r="U5304" s="3"/>
      <c r="V5304" s="3"/>
      <c r="W5304" s="3"/>
      <c r="X5304" s="3"/>
      <c r="Y5304" s="4"/>
      <c r="Z5304"/>
      <c r="AA5304"/>
    </row>
    <row r="5305" spans="1:27" s="37" customFormat="1" x14ac:dyDescent="0.15">
      <c r="A5305" s="73"/>
      <c r="B5305" s="118"/>
      <c r="C5305" s="121"/>
      <c r="D5305" s="121"/>
      <c r="E5305" s="121"/>
      <c r="F5305" s="121"/>
      <c r="G5305" s="121"/>
      <c r="H5305" s="85"/>
      <c r="I5305" s="122"/>
      <c r="J5305" s="131"/>
      <c r="K5305" s="69"/>
      <c r="L5305" s="50"/>
      <c r="P5305" s="3"/>
      <c r="Q5305" s="3"/>
      <c r="R5305" s="3"/>
      <c r="S5305" s="3"/>
      <c r="T5305" s="3"/>
      <c r="U5305" s="3"/>
      <c r="V5305" s="3"/>
      <c r="W5305" s="3"/>
      <c r="X5305" s="3"/>
      <c r="Y5305" s="4"/>
      <c r="Z5305"/>
      <c r="AA5305"/>
    </row>
    <row r="5306" spans="1:27" s="37" customFormat="1" x14ac:dyDescent="0.15">
      <c r="A5306" s="70"/>
      <c r="B5306" s="118"/>
      <c r="C5306" s="121"/>
      <c r="D5306" s="121"/>
      <c r="E5306" s="121"/>
      <c r="F5306" s="121"/>
      <c r="G5306" s="121"/>
      <c r="H5306" s="85"/>
      <c r="I5306" s="122"/>
      <c r="J5306" s="134"/>
      <c r="K5306" s="69"/>
      <c r="L5306" s="50"/>
      <c r="P5306" s="3"/>
      <c r="Q5306" s="3"/>
      <c r="R5306" s="3"/>
      <c r="S5306" s="3"/>
      <c r="T5306" s="3"/>
      <c r="U5306" s="3"/>
      <c r="V5306" s="3"/>
      <c r="W5306" s="3"/>
      <c r="X5306" s="3"/>
      <c r="Y5306" s="4"/>
      <c r="Z5306"/>
      <c r="AA5306"/>
    </row>
    <row r="5307" spans="1:27" s="37" customFormat="1" x14ac:dyDescent="0.15">
      <c r="A5307" s="70"/>
      <c r="B5307" s="118"/>
      <c r="C5307" s="121"/>
      <c r="D5307" s="121"/>
      <c r="E5307" s="121"/>
      <c r="F5307" s="121"/>
      <c r="G5307" s="121"/>
      <c r="H5307" s="85"/>
      <c r="I5307" s="122"/>
      <c r="J5307" s="131"/>
      <c r="K5307" s="60"/>
      <c r="L5307" s="49"/>
      <c r="P5307" s="3"/>
      <c r="Q5307" s="3"/>
      <c r="R5307" s="3"/>
      <c r="S5307" s="3"/>
      <c r="T5307" s="3"/>
      <c r="U5307" s="3"/>
      <c r="V5307" s="3"/>
      <c r="W5307" s="3"/>
      <c r="X5307" s="3"/>
      <c r="Y5307" s="4"/>
      <c r="Z5307"/>
      <c r="AA5307"/>
    </row>
    <row r="5308" spans="1:27" s="37" customFormat="1" x14ac:dyDescent="0.15">
      <c r="A5308" s="70"/>
      <c r="B5308" s="118"/>
      <c r="C5308" s="121"/>
      <c r="D5308" s="121"/>
      <c r="E5308" s="121"/>
      <c r="F5308" s="121"/>
      <c r="G5308" s="121"/>
      <c r="H5308" s="85"/>
      <c r="I5308" s="122"/>
      <c r="J5308" s="131"/>
      <c r="K5308" s="60"/>
      <c r="L5308" s="49"/>
      <c r="P5308" s="3"/>
      <c r="Q5308" s="3"/>
      <c r="R5308" s="3"/>
      <c r="S5308" s="3"/>
      <c r="T5308" s="3"/>
      <c r="U5308" s="3"/>
      <c r="V5308" s="3"/>
      <c r="W5308" s="3"/>
      <c r="X5308" s="3"/>
      <c r="Y5308" s="4"/>
      <c r="Z5308"/>
      <c r="AA5308"/>
    </row>
    <row r="5309" spans="1:27" s="37" customFormat="1" x14ac:dyDescent="0.15">
      <c r="A5309" s="70"/>
      <c r="B5309" s="118"/>
      <c r="C5309" s="121"/>
      <c r="D5309" s="121"/>
      <c r="E5309" s="121"/>
      <c r="F5309" s="121"/>
      <c r="G5309" s="121"/>
      <c r="H5309" s="85"/>
      <c r="I5309" s="122"/>
      <c r="J5309" s="131"/>
      <c r="K5309" s="60"/>
      <c r="L5309" s="50"/>
      <c r="P5309" s="3"/>
      <c r="Q5309" s="3"/>
      <c r="R5309" s="3"/>
      <c r="S5309" s="3"/>
      <c r="T5309" s="3"/>
      <c r="U5309" s="3"/>
      <c r="V5309" s="3"/>
      <c r="W5309" s="3"/>
      <c r="X5309" s="3"/>
      <c r="Y5309" s="4"/>
      <c r="Z5309"/>
      <c r="AA5309"/>
    </row>
    <row r="5310" spans="1:27" s="37" customFormat="1" x14ac:dyDescent="0.15">
      <c r="A5310" s="70"/>
      <c r="B5310" s="118"/>
      <c r="C5310" s="121"/>
      <c r="D5310" s="121"/>
      <c r="E5310" s="121"/>
      <c r="F5310" s="121"/>
      <c r="G5310" s="121"/>
      <c r="H5310" s="85"/>
      <c r="I5310" s="122"/>
      <c r="J5310" s="131"/>
      <c r="K5310" s="60"/>
      <c r="L5310" s="49"/>
      <c r="P5310" s="3"/>
      <c r="Q5310" s="3"/>
      <c r="R5310" s="3"/>
      <c r="S5310" s="3"/>
      <c r="T5310" s="3"/>
      <c r="U5310" s="3"/>
      <c r="V5310" s="3"/>
      <c r="W5310" s="3"/>
      <c r="X5310" s="3"/>
      <c r="Y5310" s="4"/>
      <c r="Z5310"/>
      <c r="AA5310"/>
    </row>
    <row r="5311" spans="1:27" s="37" customFormat="1" x14ac:dyDescent="0.15">
      <c r="A5311" s="70"/>
      <c r="B5311" s="118"/>
      <c r="C5311" s="121"/>
      <c r="D5311" s="121"/>
      <c r="E5311" s="121"/>
      <c r="F5311" s="121"/>
      <c r="G5311" s="121"/>
      <c r="H5311" s="85"/>
      <c r="I5311" s="122"/>
      <c r="J5311" s="131"/>
      <c r="K5311" s="60"/>
      <c r="L5311" s="50"/>
      <c r="P5311" s="3"/>
      <c r="Q5311" s="3"/>
      <c r="R5311" s="3"/>
      <c r="S5311" s="3"/>
      <c r="T5311" s="3"/>
      <c r="U5311" s="3"/>
      <c r="V5311" s="3"/>
      <c r="W5311" s="3"/>
      <c r="X5311" s="3"/>
      <c r="Y5311" s="4"/>
      <c r="Z5311"/>
      <c r="AA5311"/>
    </row>
    <row r="5312" spans="1:27" s="37" customFormat="1" x14ac:dyDescent="0.15">
      <c r="A5312" s="70"/>
      <c r="B5312" s="118"/>
      <c r="C5312" s="121"/>
      <c r="D5312" s="121"/>
      <c r="E5312" s="121"/>
      <c r="F5312" s="121"/>
      <c r="G5312" s="121"/>
      <c r="H5312" s="85"/>
      <c r="I5312" s="122"/>
      <c r="J5312" s="131"/>
      <c r="K5312" s="60"/>
      <c r="L5312" s="49"/>
      <c r="P5312" s="3"/>
      <c r="Q5312" s="3"/>
      <c r="R5312" s="3"/>
      <c r="S5312" s="3"/>
      <c r="T5312" s="3"/>
      <c r="U5312" s="3"/>
      <c r="V5312" s="3"/>
      <c r="W5312" s="3"/>
      <c r="X5312" s="3"/>
      <c r="Y5312" s="4"/>
      <c r="Z5312"/>
      <c r="AA5312"/>
    </row>
    <row r="5313" spans="1:27" s="37" customFormat="1" x14ac:dyDescent="0.15">
      <c r="A5313" s="70"/>
      <c r="B5313" s="118"/>
      <c r="C5313" s="121"/>
      <c r="D5313" s="121"/>
      <c r="E5313" s="121"/>
      <c r="F5313" s="121"/>
      <c r="G5313" s="121"/>
      <c r="H5313" s="85"/>
      <c r="I5313" s="122"/>
      <c r="J5313" s="131"/>
      <c r="K5313" s="60"/>
      <c r="L5313" s="49"/>
      <c r="P5313" s="3"/>
      <c r="Q5313" s="3"/>
      <c r="R5313" s="3"/>
      <c r="S5313" s="3"/>
      <c r="T5313" s="3"/>
      <c r="U5313" s="3"/>
      <c r="V5313" s="3"/>
      <c r="W5313" s="3"/>
      <c r="X5313" s="3"/>
      <c r="Y5313" s="4"/>
      <c r="Z5313"/>
      <c r="AA5313"/>
    </row>
    <row r="5314" spans="1:27" s="37" customFormat="1" x14ac:dyDescent="0.15">
      <c r="A5314" s="70"/>
      <c r="B5314" s="118"/>
      <c r="C5314" s="121"/>
      <c r="D5314" s="121"/>
      <c r="E5314" s="121"/>
      <c r="F5314" s="121"/>
      <c r="G5314" s="121"/>
      <c r="H5314" s="85"/>
      <c r="I5314" s="122"/>
      <c r="J5314" s="131"/>
      <c r="K5314" s="63"/>
      <c r="L5314" s="49"/>
      <c r="P5314" s="3"/>
      <c r="Q5314" s="3"/>
      <c r="R5314" s="3"/>
      <c r="S5314" s="3"/>
      <c r="T5314" s="3"/>
      <c r="U5314" s="3"/>
      <c r="V5314" s="3"/>
      <c r="W5314" s="3"/>
      <c r="X5314" s="3"/>
      <c r="Y5314" s="4"/>
      <c r="Z5314"/>
      <c r="AA5314"/>
    </row>
    <row r="5315" spans="1:27" s="37" customFormat="1" x14ac:dyDescent="0.15">
      <c r="A5315" s="70"/>
      <c r="B5315" s="118"/>
      <c r="C5315" s="121"/>
      <c r="D5315" s="121"/>
      <c r="E5315" s="121"/>
      <c r="F5315" s="121"/>
      <c r="G5315" s="121"/>
      <c r="H5315" s="85"/>
      <c r="I5315" s="122"/>
      <c r="J5315" s="131"/>
      <c r="K5315" s="60"/>
      <c r="L5315" s="49"/>
      <c r="P5315" s="3"/>
      <c r="Q5315" s="3"/>
      <c r="R5315" s="3"/>
      <c r="S5315" s="3"/>
      <c r="T5315" s="3"/>
      <c r="U5315" s="3"/>
      <c r="V5315" s="3"/>
      <c r="W5315" s="3"/>
      <c r="X5315" s="3"/>
      <c r="Y5315" s="4"/>
      <c r="Z5315"/>
      <c r="AA5315"/>
    </row>
    <row r="5316" spans="1:27" s="37" customFormat="1" x14ac:dyDescent="0.15">
      <c r="A5316" s="73"/>
      <c r="B5316" s="118"/>
      <c r="C5316" s="121"/>
      <c r="D5316" s="121"/>
      <c r="E5316" s="121"/>
      <c r="F5316" s="121"/>
      <c r="G5316" s="121"/>
      <c r="H5316" s="85"/>
      <c r="I5316" s="122"/>
      <c r="J5316" s="131"/>
      <c r="K5316" s="69"/>
      <c r="L5316" s="49"/>
      <c r="P5316" s="3"/>
      <c r="Q5316" s="3"/>
      <c r="R5316" s="3"/>
      <c r="S5316" s="3"/>
      <c r="T5316" s="3"/>
      <c r="U5316" s="3"/>
      <c r="V5316" s="3"/>
      <c r="W5316" s="3"/>
      <c r="X5316" s="3"/>
      <c r="Y5316" s="4"/>
      <c r="Z5316"/>
      <c r="AA5316"/>
    </row>
    <row r="5317" spans="1:27" s="37" customFormat="1" x14ac:dyDescent="0.15">
      <c r="A5317" s="70"/>
      <c r="B5317" s="118"/>
      <c r="C5317" s="121"/>
      <c r="D5317" s="121"/>
      <c r="E5317" s="121"/>
      <c r="F5317" s="121"/>
      <c r="G5317" s="121"/>
      <c r="H5317" s="85"/>
      <c r="I5317" s="85"/>
      <c r="J5317" s="131"/>
      <c r="K5317" s="69"/>
      <c r="L5317" s="50"/>
      <c r="P5317" s="3"/>
      <c r="Q5317" s="3"/>
      <c r="R5317" s="3"/>
      <c r="S5317" s="3"/>
      <c r="T5317" s="3"/>
      <c r="U5317" s="3"/>
      <c r="V5317" s="3"/>
      <c r="W5317" s="3"/>
      <c r="X5317" s="3"/>
      <c r="Y5317" s="4"/>
      <c r="Z5317"/>
      <c r="AA5317"/>
    </row>
    <row r="5318" spans="1:27" s="37" customFormat="1" x14ac:dyDescent="0.15">
      <c r="A5318" s="70"/>
      <c r="B5318" s="118"/>
      <c r="C5318" s="121"/>
      <c r="D5318" s="121"/>
      <c r="E5318" s="121"/>
      <c r="F5318" s="121"/>
      <c r="G5318" s="121"/>
      <c r="H5318" s="85"/>
      <c r="I5318" s="122"/>
      <c r="J5318" s="131"/>
      <c r="K5318" s="72"/>
      <c r="L5318" s="50"/>
      <c r="P5318" s="3"/>
      <c r="Q5318" s="3"/>
      <c r="R5318" s="3"/>
      <c r="S5318" s="3"/>
      <c r="T5318" s="3"/>
      <c r="U5318" s="3"/>
      <c r="V5318" s="3"/>
      <c r="W5318" s="3"/>
      <c r="X5318" s="3"/>
      <c r="Y5318" s="4"/>
      <c r="Z5318"/>
      <c r="AA5318"/>
    </row>
    <row r="5319" spans="1:27" s="37" customFormat="1" x14ac:dyDescent="0.15">
      <c r="A5319" s="70"/>
      <c r="B5319" s="118"/>
      <c r="C5319" s="121"/>
      <c r="D5319" s="121"/>
      <c r="E5319" s="121"/>
      <c r="F5319" s="121"/>
      <c r="G5319" s="121"/>
      <c r="H5319" s="85"/>
      <c r="I5319" s="122"/>
      <c r="J5319" s="131"/>
      <c r="K5319" s="60"/>
      <c r="L5319" s="50"/>
      <c r="P5319" s="3"/>
      <c r="Q5319" s="3"/>
      <c r="R5319" s="3"/>
      <c r="S5319" s="3"/>
      <c r="T5319" s="3"/>
      <c r="U5319" s="3"/>
      <c r="V5319" s="3"/>
      <c r="W5319" s="3"/>
      <c r="X5319" s="3"/>
      <c r="Y5319" s="4"/>
      <c r="Z5319"/>
      <c r="AA5319"/>
    </row>
    <row r="5320" spans="1:27" s="37" customFormat="1" x14ac:dyDescent="0.15">
      <c r="A5320" s="70"/>
      <c r="B5320" s="118"/>
      <c r="C5320" s="121"/>
      <c r="D5320" s="121"/>
      <c r="E5320" s="121"/>
      <c r="F5320" s="121"/>
      <c r="G5320" s="121"/>
      <c r="H5320" s="85"/>
      <c r="I5320" s="122"/>
      <c r="J5320" s="131"/>
      <c r="K5320" s="69"/>
      <c r="L5320" s="50"/>
      <c r="P5320" s="3"/>
      <c r="Q5320" s="3"/>
      <c r="R5320" s="3"/>
      <c r="S5320" s="3"/>
      <c r="T5320" s="3"/>
      <c r="U5320" s="3"/>
      <c r="V5320" s="3"/>
      <c r="W5320" s="3"/>
      <c r="X5320" s="3"/>
      <c r="Y5320" s="4"/>
      <c r="Z5320"/>
      <c r="AA5320"/>
    </row>
    <row r="5321" spans="1:27" s="37" customFormat="1" x14ac:dyDescent="0.15">
      <c r="A5321" s="70"/>
      <c r="B5321" s="118"/>
      <c r="C5321" s="121"/>
      <c r="D5321" s="121"/>
      <c r="E5321" s="121"/>
      <c r="F5321" s="121"/>
      <c r="G5321" s="121"/>
      <c r="H5321" s="85"/>
      <c r="I5321" s="122"/>
      <c r="J5321" s="131"/>
      <c r="K5321" s="69"/>
      <c r="L5321" s="49"/>
      <c r="P5321" s="3"/>
      <c r="Q5321" s="3"/>
      <c r="R5321" s="3"/>
      <c r="S5321" s="3"/>
      <c r="T5321" s="3"/>
      <c r="U5321" s="3"/>
      <c r="V5321" s="3"/>
      <c r="W5321" s="3"/>
      <c r="X5321" s="3"/>
      <c r="Y5321" s="4"/>
      <c r="Z5321"/>
      <c r="AA5321"/>
    </row>
    <row r="5322" spans="1:27" s="37" customFormat="1" x14ac:dyDescent="0.15">
      <c r="A5322" s="70"/>
      <c r="B5322" s="118"/>
      <c r="C5322" s="121"/>
      <c r="D5322" s="121"/>
      <c r="E5322" s="121"/>
      <c r="F5322" s="121"/>
      <c r="G5322" s="121"/>
      <c r="H5322" s="85"/>
      <c r="I5322" s="122"/>
      <c r="J5322" s="131"/>
      <c r="K5322" s="69"/>
      <c r="L5322" s="49"/>
      <c r="P5322" s="3"/>
      <c r="Q5322" s="3"/>
      <c r="R5322" s="3"/>
      <c r="S5322" s="3"/>
      <c r="T5322" s="3"/>
      <c r="U5322" s="3"/>
      <c r="V5322" s="3"/>
      <c r="W5322" s="3"/>
      <c r="X5322" s="3"/>
      <c r="Y5322" s="4"/>
      <c r="Z5322"/>
      <c r="AA5322"/>
    </row>
    <row r="5323" spans="1:27" s="37" customFormat="1" x14ac:dyDescent="0.15">
      <c r="A5323" s="70"/>
      <c r="B5323" s="118"/>
      <c r="C5323" s="121"/>
      <c r="D5323" s="121"/>
      <c r="E5323" s="121"/>
      <c r="F5323" s="121"/>
      <c r="G5323" s="121"/>
      <c r="H5323" s="85"/>
      <c r="I5323" s="122"/>
      <c r="J5323" s="131"/>
      <c r="K5323" s="60"/>
      <c r="L5323" s="49"/>
      <c r="P5323" s="3"/>
      <c r="Q5323" s="3"/>
      <c r="R5323" s="3"/>
      <c r="S5323" s="3"/>
      <c r="T5323" s="3"/>
      <c r="U5323" s="3"/>
      <c r="V5323" s="3"/>
      <c r="W5323" s="3"/>
      <c r="X5323" s="3"/>
      <c r="Y5323" s="4"/>
      <c r="Z5323"/>
      <c r="AA5323"/>
    </row>
    <row r="5324" spans="1:27" s="37" customFormat="1" x14ac:dyDescent="0.15">
      <c r="A5324" s="70"/>
      <c r="B5324" s="118"/>
      <c r="C5324" s="121"/>
      <c r="D5324" s="121"/>
      <c r="E5324" s="121"/>
      <c r="F5324" s="121"/>
      <c r="G5324" s="121"/>
      <c r="H5324" s="85"/>
      <c r="I5324" s="122"/>
      <c r="J5324" s="131"/>
      <c r="K5324" s="69"/>
      <c r="L5324" s="49"/>
      <c r="P5324" s="3"/>
      <c r="Q5324" s="3"/>
      <c r="R5324" s="3"/>
      <c r="S5324" s="3"/>
      <c r="T5324" s="3"/>
      <c r="U5324" s="3"/>
      <c r="V5324" s="3"/>
      <c r="W5324" s="3"/>
      <c r="X5324" s="3"/>
      <c r="Y5324" s="4"/>
      <c r="Z5324"/>
      <c r="AA5324"/>
    </row>
    <row r="5325" spans="1:27" s="37" customFormat="1" x14ac:dyDescent="0.15">
      <c r="A5325" s="70"/>
      <c r="B5325" s="118"/>
      <c r="C5325" s="121"/>
      <c r="D5325" s="121"/>
      <c r="E5325" s="121"/>
      <c r="F5325" s="121"/>
      <c r="G5325" s="121"/>
      <c r="H5325" s="85"/>
      <c r="I5325" s="122"/>
      <c r="J5325" s="131"/>
      <c r="K5325" s="69"/>
      <c r="L5325" s="49"/>
      <c r="P5325" s="3"/>
      <c r="Q5325" s="3"/>
      <c r="R5325" s="3"/>
      <c r="S5325" s="3"/>
      <c r="T5325" s="3"/>
      <c r="U5325" s="3"/>
      <c r="V5325" s="3"/>
      <c r="W5325" s="3"/>
      <c r="X5325" s="3"/>
      <c r="Y5325" s="4"/>
      <c r="Z5325"/>
      <c r="AA5325"/>
    </row>
    <row r="5326" spans="1:27" s="37" customFormat="1" x14ac:dyDescent="0.15">
      <c r="A5326" s="70"/>
      <c r="B5326" s="118"/>
      <c r="C5326" s="121"/>
      <c r="D5326" s="121"/>
      <c r="E5326" s="121"/>
      <c r="F5326" s="121"/>
      <c r="G5326" s="121"/>
      <c r="H5326" s="85"/>
      <c r="I5326" s="122"/>
      <c r="J5326" s="131"/>
      <c r="K5326" s="60"/>
      <c r="L5326" s="49"/>
      <c r="P5326" s="3"/>
      <c r="Q5326" s="3"/>
      <c r="R5326" s="3"/>
      <c r="S5326" s="3"/>
      <c r="T5326" s="3"/>
      <c r="U5326" s="3"/>
      <c r="V5326" s="3"/>
      <c r="W5326" s="3"/>
      <c r="X5326" s="3"/>
      <c r="Y5326" s="4"/>
      <c r="Z5326"/>
      <c r="AA5326"/>
    </row>
    <row r="5327" spans="1:27" s="37" customFormat="1" x14ac:dyDescent="0.15">
      <c r="A5327" s="73"/>
      <c r="B5327" s="118"/>
      <c r="C5327" s="121"/>
      <c r="D5327" s="121"/>
      <c r="E5327" s="121"/>
      <c r="F5327" s="121"/>
      <c r="G5327" s="121"/>
      <c r="H5327" s="85"/>
      <c r="I5327" s="122"/>
      <c r="J5327" s="131"/>
      <c r="K5327" s="60"/>
      <c r="L5327" s="49"/>
      <c r="P5327" s="3"/>
      <c r="Q5327" s="3"/>
      <c r="R5327" s="3"/>
      <c r="S5327" s="3"/>
      <c r="T5327" s="3"/>
      <c r="U5327" s="3"/>
      <c r="V5327" s="3"/>
      <c r="W5327" s="3"/>
      <c r="X5327" s="3"/>
      <c r="Y5327" s="4"/>
      <c r="Z5327"/>
      <c r="AA5327"/>
    </row>
    <row r="5328" spans="1:27" s="37" customFormat="1" x14ac:dyDescent="0.15">
      <c r="A5328" s="70"/>
      <c r="B5328" s="118"/>
      <c r="C5328" s="121"/>
      <c r="D5328" s="121"/>
      <c r="E5328" s="121"/>
      <c r="F5328" s="121"/>
      <c r="G5328" s="121"/>
      <c r="H5328" s="85"/>
      <c r="I5328" s="122"/>
      <c r="J5328" s="131"/>
      <c r="K5328" s="60"/>
      <c r="L5328" s="49"/>
      <c r="P5328" s="3"/>
      <c r="Q5328" s="3"/>
      <c r="R5328" s="3"/>
      <c r="S5328" s="3"/>
      <c r="T5328" s="3"/>
      <c r="U5328" s="3"/>
      <c r="V5328" s="3"/>
      <c r="W5328" s="3"/>
      <c r="X5328" s="3"/>
      <c r="Y5328" s="4"/>
      <c r="Z5328"/>
      <c r="AA5328"/>
    </row>
    <row r="5329" spans="1:27" s="37" customFormat="1" ht="16" x14ac:dyDescent="0.2">
      <c r="A5329" s="70"/>
      <c r="B5329" s="118"/>
      <c r="C5329" s="121"/>
      <c r="D5329" s="121"/>
      <c r="E5329" s="121"/>
      <c r="F5329" s="121"/>
      <c r="G5329" s="121"/>
      <c r="H5329" s="85"/>
      <c r="I5329" s="122"/>
      <c r="J5329" s="131"/>
      <c r="K5329" s="60"/>
      <c r="L5329" s="49"/>
      <c r="M5329" s="48"/>
      <c r="P5329" s="3"/>
      <c r="Q5329" s="3"/>
      <c r="R5329" s="3"/>
      <c r="S5329" s="3"/>
      <c r="T5329" s="3"/>
      <c r="U5329" s="3"/>
      <c r="V5329" s="3"/>
      <c r="W5329" s="3"/>
      <c r="X5329" s="3"/>
      <c r="Y5329" s="4"/>
      <c r="Z5329"/>
      <c r="AA5329"/>
    </row>
    <row r="5330" spans="1:27" s="37" customFormat="1" x14ac:dyDescent="0.15">
      <c r="A5330" s="70"/>
      <c r="B5330" s="118"/>
      <c r="C5330" s="121"/>
      <c r="D5330" s="121"/>
      <c r="E5330" s="121"/>
      <c r="F5330" s="121"/>
      <c r="G5330" s="121"/>
      <c r="H5330" s="85"/>
      <c r="I5330" s="122"/>
      <c r="J5330" s="131"/>
      <c r="K5330" s="60"/>
      <c r="L5330" s="49"/>
      <c r="P5330" s="3"/>
      <c r="Q5330" s="3"/>
      <c r="R5330" s="3"/>
      <c r="S5330" s="3"/>
      <c r="T5330" s="3"/>
      <c r="U5330" s="3"/>
      <c r="V5330" s="3"/>
      <c r="W5330" s="3"/>
      <c r="X5330" s="3"/>
      <c r="Y5330" s="4"/>
      <c r="Z5330"/>
      <c r="AA5330"/>
    </row>
    <row r="5331" spans="1:27" s="37" customFormat="1" x14ac:dyDescent="0.15">
      <c r="A5331" s="70"/>
      <c r="B5331" s="118"/>
      <c r="C5331" s="121"/>
      <c r="D5331" s="121"/>
      <c r="E5331" s="121"/>
      <c r="F5331" s="121"/>
      <c r="G5331" s="121"/>
      <c r="H5331" s="85"/>
      <c r="I5331" s="122"/>
      <c r="J5331" s="131"/>
      <c r="K5331" s="60"/>
      <c r="L5331" s="50"/>
      <c r="P5331" s="3"/>
      <c r="Q5331" s="3"/>
      <c r="R5331" s="3"/>
      <c r="S5331" s="3"/>
      <c r="T5331" s="3"/>
      <c r="U5331" s="3"/>
      <c r="V5331" s="3"/>
      <c r="W5331" s="3"/>
      <c r="X5331" s="3"/>
      <c r="Y5331" s="4"/>
      <c r="Z5331"/>
      <c r="AA5331"/>
    </row>
    <row r="5332" spans="1:27" s="37" customFormat="1" x14ac:dyDescent="0.15">
      <c r="A5332" s="70"/>
      <c r="B5332" s="118"/>
      <c r="C5332" s="121"/>
      <c r="D5332" s="121"/>
      <c r="E5332" s="121"/>
      <c r="F5332" s="121"/>
      <c r="G5332" s="121"/>
      <c r="H5332" s="85"/>
      <c r="I5332" s="122"/>
      <c r="J5332" s="131"/>
      <c r="K5332" s="60"/>
      <c r="L5332" s="49"/>
      <c r="P5332" s="3"/>
      <c r="Q5332" s="3"/>
      <c r="R5332" s="3"/>
      <c r="S5332" s="3"/>
      <c r="T5332" s="3"/>
      <c r="U5332" s="3"/>
      <c r="V5332" s="3"/>
      <c r="W5332" s="3"/>
      <c r="X5332" s="3"/>
      <c r="Y5332" s="4"/>
      <c r="Z5332"/>
      <c r="AA5332"/>
    </row>
    <row r="5333" spans="1:27" s="37" customFormat="1" x14ac:dyDescent="0.15">
      <c r="A5333" s="70"/>
      <c r="B5333" s="118"/>
      <c r="C5333" s="121"/>
      <c r="D5333" s="121"/>
      <c r="E5333" s="121"/>
      <c r="F5333" s="121"/>
      <c r="G5333" s="121"/>
      <c r="H5333" s="85"/>
      <c r="I5333" s="122"/>
      <c r="J5333" s="131"/>
      <c r="K5333" s="60"/>
      <c r="L5333" s="49"/>
      <c r="P5333" s="3"/>
      <c r="Q5333" s="3"/>
      <c r="R5333" s="3"/>
      <c r="S5333" s="3"/>
      <c r="T5333" s="3"/>
      <c r="U5333" s="3"/>
      <c r="V5333" s="3"/>
      <c r="W5333" s="3"/>
      <c r="X5333" s="3"/>
      <c r="Y5333" s="4"/>
      <c r="Z5333"/>
      <c r="AA5333"/>
    </row>
    <row r="5334" spans="1:27" s="37" customFormat="1" x14ac:dyDescent="0.15">
      <c r="A5334" s="70"/>
      <c r="B5334" s="118"/>
      <c r="C5334" s="121"/>
      <c r="D5334" s="121"/>
      <c r="E5334" s="121"/>
      <c r="F5334" s="121"/>
      <c r="G5334" s="121"/>
      <c r="H5334" s="85"/>
      <c r="I5334" s="122"/>
      <c r="J5334" s="131"/>
      <c r="K5334" s="60"/>
      <c r="L5334" s="49"/>
      <c r="P5334" s="3"/>
      <c r="Q5334" s="3"/>
      <c r="R5334" s="3"/>
      <c r="S5334" s="3"/>
      <c r="T5334" s="3"/>
      <c r="U5334" s="3"/>
      <c r="V5334" s="3"/>
      <c r="W5334" s="3"/>
      <c r="X5334" s="3"/>
      <c r="Y5334" s="4"/>
      <c r="Z5334"/>
      <c r="AA5334"/>
    </row>
    <row r="5335" spans="1:27" s="37" customFormat="1" x14ac:dyDescent="0.15">
      <c r="A5335" s="70"/>
      <c r="B5335" s="118"/>
      <c r="C5335" s="121"/>
      <c r="D5335" s="121"/>
      <c r="E5335" s="121"/>
      <c r="F5335" s="121"/>
      <c r="G5335" s="121"/>
      <c r="H5335" s="85"/>
      <c r="I5335" s="122"/>
      <c r="J5335" s="131"/>
      <c r="K5335" s="60"/>
      <c r="L5335" s="50"/>
      <c r="N5335" s="51"/>
      <c r="P5335" s="3"/>
      <c r="Q5335" s="3"/>
      <c r="R5335" s="3"/>
      <c r="S5335" s="3"/>
      <c r="T5335" s="3"/>
      <c r="U5335" s="3"/>
      <c r="V5335" s="3"/>
      <c r="W5335" s="3"/>
      <c r="X5335" s="3"/>
      <c r="Y5335" s="4"/>
      <c r="Z5335"/>
      <c r="AA5335"/>
    </row>
    <row r="5336" spans="1:27" s="37" customFormat="1" ht="16" x14ac:dyDescent="0.2">
      <c r="A5336" s="70"/>
      <c r="B5336" s="118"/>
      <c r="C5336" s="121"/>
      <c r="D5336" s="121"/>
      <c r="E5336" s="121"/>
      <c r="F5336" s="121"/>
      <c r="G5336" s="121"/>
      <c r="H5336" s="85"/>
      <c r="I5336" s="122"/>
      <c r="J5336" s="131"/>
      <c r="K5336" s="60"/>
      <c r="L5336" s="50"/>
      <c r="M5336" s="48"/>
      <c r="P5336" s="3"/>
      <c r="Q5336" s="3"/>
      <c r="R5336" s="3"/>
      <c r="S5336" s="3"/>
      <c r="T5336" s="3"/>
      <c r="U5336" s="3"/>
      <c r="V5336" s="3"/>
      <c r="W5336" s="3"/>
      <c r="X5336" s="3"/>
      <c r="Y5336" s="4"/>
      <c r="Z5336"/>
      <c r="AA5336"/>
    </row>
    <row r="5337" spans="1:27" s="37" customFormat="1" x14ac:dyDescent="0.15">
      <c r="A5337" s="70"/>
      <c r="B5337" s="118"/>
      <c r="C5337" s="121"/>
      <c r="D5337" s="121"/>
      <c r="E5337" s="121"/>
      <c r="F5337" s="121"/>
      <c r="G5337" s="121"/>
      <c r="H5337" s="85"/>
      <c r="I5337" s="122"/>
      <c r="J5337" s="131"/>
      <c r="K5337" s="60"/>
      <c r="L5337" s="49"/>
      <c r="P5337" s="3"/>
      <c r="Q5337" s="3"/>
      <c r="R5337" s="3"/>
      <c r="S5337" s="3"/>
      <c r="T5337" s="3"/>
      <c r="U5337" s="3"/>
      <c r="V5337" s="3"/>
      <c r="W5337" s="3"/>
      <c r="X5337" s="3"/>
      <c r="Y5337" s="4"/>
      <c r="Z5337"/>
      <c r="AA5337"/>
    </row>
    <row r="5338" spans="1:27" s="37" customFormat="1" x14ac:dyDescent="0.15">
      <c r="A5338" s="70"/>
      <c r="B5338" s="118"/>
      <c r="C5338" s="121"/>
      <c r="D5338" s="121"/>
      <c r="E5338" s="121"/>
      <c r="F5338" s="121"/>
      <c r="G5338" s="121"/>
      <c r="H5338" s="85"/>
      <c r="I5338" s="122"/>
      <c r="J5338" s="131"/>
      <c r="K5338" s="60"/>
      <c r="L5338" s="49"/>
      <c r="P5338" s="3"/>
      <c r="Q5338" s="3"/>
      <c r="R5338" s="3"/>
      <c r="S5338" s="3"/>
      <c r="T5338" s="3"/>
      <c r="U5338" s="3"/>
      <c r="V5338" s="3"/>
      <c r="W5338" s="3"/>
      <c r="X5338" s="3"/>
      <c r="Y5338" s="4"/>
      <c r="Z5338"/>
      <c r="AA5338"/>
    </row>
    <row r="5339" spans="1:27" s="37" customFormat="1" x14ac:dyDescent="0.15">
      <c r="A5339" s="70"/>
      <c r="B5339" s="118"/>
      <c r="C5339" s="121"/>
      <c r="D5339" s="121"/>
      <c r="E5339" s="121"/>
      <c r="F5339" s="121"/>
      <c r="G5339" s="121"/>
      <c r="H5339" s="85"/>
      <c r="I5339" s="122"/>
      <c r="J5339" s="131"/>
      <c r="K5339" s="60"/>
      <c r="L5339" s="49"/>
      <c r="P5339" s="3"/>
      <c r="Q5339" s="3"/>
      <c r="R5339" s="3"/>
      <c r="S5339" s="3"/>
      <c r="T5339" s="3"/>
      <c r="U5339" s="3"/>
      <c r="V5339" s="3"/>
      <c r="W5339" s="3"/>
      <c r="X5339" s="3"/>
      <c r="Y5339" s="4"/>
      <c r="Z5339"/>
      <c r="AA5339"/>
    </row>
    <row r="5340" spans="1:27" s="37" customFormat="1" x14ac:dyDescent="0.15">
      <c r="A5340" s="70"/>
      <c r="B5340" s="118"/>
      <c r="C5340" s="121"/>
      <c r="D5340" s="121"/>
      <c r="E5340" s="121"/>
      <c r="F5340" s="121"/>
      <c r="G5340" s="121"/>
      <c r="H5340" s="85"/>
      <c r="I5340" s="122"/>
      <c r="J5340" s="131"/>
      <c r="K5340" s="60"/>
      <c r="L5340" s="50"/>
      <c r="P5340" s="3"/>
      <c r="Q5340" s="3"/>
      <c r="R5340" s="3"/>
      <c r="S5340" s="3"/>
      <c r="T5340" s="3"/>
      <c r="U5340" s="3"/>
      <c r="V5340" s="3"/>
      <c r="W5340" s="3"/>
      <c r="X5340" s="3"/>
      <c r="Y5340" s="4"/>
      <c r="Z5340"/>
      <c r="AA5340"/>
    </row>
    <row r="5341" spans="1:27" s="37" customFormat="1" x14ac:dyDescent="0.15">
      <c r="A5341" s="70"/>
      <c r="B5341" s="118"/>
      <c r="C5341" s="121"/>
      <c r="D5341" s="121"/>
      <c r="E5341" s="121"/>
      <c r="F5341" s="121"/>
      <c r="G5341" s="121"/>
      <c r="H5341" s="85"/>
      <c r="I5341" s="122"/>
      <c r="J5341" s="131"/>
      <c r="K5341" s="60"/>
      <c r="L5341" s="50"/>
      <c r="P5341" s="3"/>
      <c r="Q5341" s="3"/>
      <c r="R5341" s="3"/>
      <c r="S5341" s="3"/>
      <c r="T5341" s="3"/>
      <c r="U5341" s="3"/>
      <c r="V5341" s="3"/>
      <c r="W5341" s="3"/>
      <c r="X5341" s="3"/>
      <c r="Y5341" s="4"/>
      <c r="Z5341"/>
      <c r="AA5341"/>
    </row>
    <row r="5342" spans="1:27" s="37" customFormat="1" ht="16" x14ac:dyDescent="0.2">
      <c r="A5342" s="70"/>
      <c r="B5342" s="118"/>
      <c r="C5342" s="121"/>
      <c r="D5342" s="121"/>
      <c r="E5342" s="121"/>
      <c r="F5342" s="121"/>
      <c r="G5342" s="121"/>
      <c r="H5342" s="85"/>
      <c r="I5342" s="122"/>
      <c r="J5342" s="131"/>
      <c r="K5342" s="60"/>
      <c r="L5342" s="50"/>
      <c r="M5342" s="48"/>
      <c r="P5342" s="3"/>
      <c r="Q5342" s="3"/>
      <c r="R5342" s="3"/>
      <c r="S5342" s="3"/>
      <c r="T5342" s="3"/>
      <c r="U5342" s="3"/>
      <c r="V5342" s="3"/>
      <c r="W5342" s="3"/>
      <c r="X5342" s="3"/>
      <c r="Y5342" s="4"/>
      <c r="Z5342"/>
      <c r="AA5342"/>
    </row>
    <row r="5343" spans="1:27" s="37" customFormat="1" x14ac:dyDescent="0.15">
      <c r="A5343" s="73"/>
      <c r="B5343" s="118"/>
      <c r="C5343" s="121"/>
      <c r="D5343" s="121"/>
      <c r="E5343" s="121"/>
      <c r="F5343" s="121"/>
      <c r="G5343" s="121"/>
      <c r="H5343" s="85"/>
      <c r="I5343" s="122"/>
      <c r="J5343" s="131"/>
      <c r="K5343" s="60"/>
      <c r="L5343" s="50"/>
      <c r="P5343" s="3"/>
      <c r="Q5343" s="3"/>
      <c r="R5343" s="3"/>
      <c r="S5343" s="3"/>
      <c r="T5343" s="3"/>
      <c r="U5343" s="3"/>
      <c r="V5343" s="3"/>
      <c r="W5343" s="3"/>
      <c r="X5343" s="3"/>
      <c r="Y5343" s="4"/>
      <c r="Z5343"/>
      <c r="AA5343"/>
    </row>
    <row r="5344" spans="1:27" s="37" customFormat="1" ht="16" x14ac:dyDescent="0.2">
      <c r="A5344" s="70"/>
      <c r="B5344" s="118"/>
      <c r="C5344" s="121"/>
      <c r="D5344" s="121"/>
      <c r="E5344" s="121"/>
      <c r="F5344" s="121"/>
      <c r="G5344" s="121"/>
      <c r="H5344" s="85"/>
      <c r="I5344" s="122"/>
      <c r="J5344" s="131"/>
      <c r="K5344" s="60"/>
      <c r="L5344" s="49"/>
      <c r="M5344" s="48"/>
      <c r="P5344" s="3"/>
      <c r="Q5344" s="3"/>
      <c r="R5344" s="3"/>
      <c r="S5344" s="3"/>
      <c r="T5344" s="3"/>
      <c r="U5344" s="3"/>
      <c r="V5344" s="3"/>
      <c r="W5344" s="3"/>
      <c r="X5344" s="3"/>
      <c r="Y5344" s="4"/>
      <c r="Z5344"/>
      <c r="AA5344"/>
    </row>
    <row r="5345" spans="1:27" s="37" customFormat="1" x14ac:dyDescent="0.15">
      <c r="A5345" s="70"/>
      <c r="B5345" s="118"/>
      <c r="C5345" s="121"/>
      <c r="D5345" s="121"/>
      <c r="E5345" s="121"/>
      <c r="F5345" s="121"/>
      <c r="G5345" s="121"/>
      <c r="H5345" s="85"/>
      <c r="I5345" s="122"/>
      <c r="J5345" s="131"/>
      <c r="K5345" s="60"/>
      <c r="L5345" s="49"/>
      <c r="P5345" s="3"/>
      <c r="Q5345" s="3"/>
      <c r="R5345" s="3"/>
      <c r="S5345" s="3"/>
      <c r="T5345" s="3"/>
      <c r="U5345" s="3"/>
      <c r="V5345" s="3"/>
      <c r="W5345" s="3"/>
      <c r="X5345" s="3"/>
      <c r="Y5345" s="4"/>
      <c r="Z5345"/>
      <c r="AA5345"/>
    </row>
    <row r="5346" spans="1:27" s="37" customFormat="1" x14ac:dyDescent="0.15">
      <c r="A5346" s="70"/>
      <c r="B5346" s="118"/>
      <c r="C5346" s="121"/>
      <c r="D5346" s="121"/>
      <c r="E5346" s="121"/>
      <c r="F5346" s="121"/>
      <c r="G5346" s="121"/>
      <c r="H5346" s="85"/>
      <c r="I5346" s="122"/>
      <c r="J5346" s="131"/>
      <c r="K5346" s="60"/>
      <c r="L5346" s="50"/>
      <c r="P5346" s="3"/>
      <c r="Q5346" s="3"/>
      <c r="R5346" s="3"/>
      <c r="S5346" s="3"/>
      <c r="T5346" s="3"/>
      <c r="U5346" s="3"/>
      <c r="V5346" s="3"/>
      <c r="W5346" s="3"/>
      <c r="X5346" s="3"/>
      <c r="Y5346" s="4"/>
      <c r="Z5346"/>
      <c r="AA5346"/>
    </row>
    <row r="5347" spans="1:27" s="37" customFormat="1" x14ac:dyDescent="0.15">
      <c r="A5347" s="73"/>
      <c r="B5347" s="118"/>
      <c r="C5347" s="121"/>
      <c r="D5347" s="121"/>
      <c r="E5347" s="121"/>
      <c r="F5347" s="121"/>
      <c r="G5347" s="121"/>
      <c r="H5347" s="85"/>
      <c r="I5347" s="122"/>
      <c r="J5347" s="131"/>
      <c r="K5347" s="60"/>
      <c r="L5347" s="49"/>
      <c r="P5347" s="3"/>
      <c r="Q5347" s="3"/>
      <c r="R5347" s="3"/>
      <c r="S5347" s="3"/>
      <c r="T5347" s="3"/>
      <c r="U5347" s="3"/>
      <c r="V5347" s="3"/>
      <c r="W5347" s="3"/>
      <c r="X5347" s="3"/>
      <c r="Y5347" s="4"/>
      <c r="Z5347"/>
      <c r="AA5347"/>
    </row>
    <row r="5348" spans="1:27" s="37" customFormat="1" x14ac:dyDescent="0.15">
      <c r="A5348" s="70"/>
      <c r="B5348" s="118"/>
      <c r="C5348" s="121"/>
      <c r="D5348" s="121"/>
      <c r="E5348" s="121"/>
      <c r="F5348" s="121"/>
      <c r="G5348" s="121"/>
      <c r="H5348" s="85"/>
      <c r="I5348" s="122"/>
      <c r="J5348" s="131"/>
      <c r="K5348" s="60"/>
      <c r="L5348" s="50"/>
      <c r="P5348" s="3"/>
      <c r="Q5348" s="3"/>
      <c r="R5348" s="3"/>
      <c r="S5348" s="3"/>
      <c r="T5348" s="3"/>
      <c r="U5348" s="3"/>
      <c r="V5348" s="3"/>
      <c r="W5348" s="3"/>
      <c r="X5348" s="3"/>
      <c r="Y5348" s="4"/>
      <c r="Z5348"/>
      <c r="AA5348"/>
    </row>
    <row r="5349" spans="1:27" s="37" customFormat="1" x14ac:dyDescent="0.15">
      <c r="A5349" s="70"/>
      <c r="B5349" s="118"/>
      <c r="C5349" s="121"/>
      <c r="D5349" s="121"/>
      <c r="E5349" s="121"/>
      <c r="F5349" s="121"/>
      <c r="G5349" s="121"/>
      <c r="H5349" s="85"/>
      <c r="I5349" s="122"/>
      <c r="J5349" s="131"/>
      <c r="K5349" s="60"/>
      <c r="L5349" s="50"/>
      <c r="P5349" s="3"/>
      <c r="Q5349" s="3"/>
      <c r="R5349" s="3"/>
      <c r="S5349" s="3"/>
      <c r="T5349" s="3"/>
      <c r="U5349" s="3"/>
      <c r="V5349" s="3"/>
      <c r="W5349" s="3"/>
      <c r="X5349" s="3"/>
      <c r="Y5349" s="4"/>
      <c r="Z5349"/>
      <c r="AA5349"/>
    </row>
    <row r="5350" spans="1:27" s="37" customFormat="1" x14ac:dyDescent="0.15">
      <c r="A5350" s="70"/>
      <c r="B5350" s="118"/>
      <c r="C5350" s="121"/>
      <c r="D5350" s="121"/>
      <c r="E5350" s="121"/>
      <c r="F5350" s="121"/>
      <c r="G5350" s="121"/>
      <c r="H5350" s="85"/>
      <c r="I5350" s="122"/>
      <c r="J5350" s="131"/>
      <c r="K5350" s="60"/>
      <c r="L5350" s="50"/>
      <c r="P5350" s="3"/>
      <c r="Q5350" s="3"/>
      <c r="R5350" s="3"/>
      <c r="S5350" s="3"/>
      <c r="T5350" s="3"/>
      <c r="U5350" s="3"/>
      <c r="V5350" s="3"/>
      <c r="W5350" s="3"/>
      <c r="X5350" s="3"/>
      <c r="Y5350" s="4"/>
      <c r="Z5350"/>
      <c r="AA5350"/>
    </row>
    <row r="5351" spans="1:27" s="37" customFormat="1" ht="16" x14ac:dyDescent="0.2">
      <c r="A5351" s="70"/>
      <c r="B5351" s="118"/>
      <c r="C5351" s="121"/>
      <c r="D5351" s="121"/>
      <c r="E5351" s="121"/>
      <c r="F5351" s="121"/>
      <c r="G5351" s="121"/>
      <c r="H5351" s="85"/>
      <c r="I5351" s="122"/>
      <c r="J5351" s="131"/>
      <c r="K5351" s="60"/>
      <c r="L5351" s="49"/>
      <c r="M5351" s="48"/>
      <c r="P5351" s="3"/>
      <c r="Q5351" s="3"/>
      <c r="R5351" s="3"/>
      <c r="S5351" s="3"/>
      <c r="T5351" s="3"/>
      <c r="U5351" s="3"/>
      <c r="V5351" s="3"/>
      <c r="W5351" s="3"/>
      <c r="X5351" s="3"/>
      <c r="Y5351" s="4"/>
      <c r="Z5351"/>
      <c r="AA5351"/>
    </row>
    <row r="5352" spans="1:27" s="37" customFormat="1" x14ac:dyDescent="0.15">
      <c r="A5352" s="70"/>
      <c r="B5352" s="118"/>
      <c r="C5352" s="121"/>
      <c r="D5352" s="121"/>
      <c r="E5352" s="121"/>
      <c r="F5352" s="121"/>
      <c r="G5352" s="121"/>
      <c r="H5352" s="85"/>
      <c r="I5352" s="122"/>
      <c r="J5352" s="131"/>
      <c r="K5352" s="60"/>
      <c r="L5352" s="50"/>
      <c r="P5352" s="3"/>
      <c r="Q5352" s="3"/>
      <c r="R5352" s="3"/>
      <c r="S5352" s="3"/>
      <c r="T5352" s="3"/>
      <c r="U5352" s="3"/>
      <c r="V5352" s="3"/>
      <c r="W5352" s="3"/>
      <c r="X5352" s="3"/>
      <c r="Y5352" s="4"/>
      <c r="Z5352"/>
      <c r="AA5352"/>
    </row>
    <row r="5353" spans="1:27" s="37" customFormat="1" x14ac:dyDescent="0.15">
      <c r="A5353" s="70"/>
      <c r="B5353" s="118"/>
      <c r="C5353" s="121"/>
      <c r="D5353" s="121"/>
      <c r="E5353" s="121"/>
      <c r="F5353" s="121"/>
      <c r="G5353" s="121"/>
      <c r="H5353" s="85"/>
      <c r="I5353" s="122"/>
      <c r="J5353" s="131"/>
      <c r="K5353" s="60"/>
      <c r="L5353" s="50"/>
      <c r="P5353" s="3"/>
      <c r="Q5353" s="3"/>
      <c r="R5353" s="3"/>
      <c r="S5353" s="3"/>
      <c r="T5353" s="3"/>
      <c r="U5353" s="3"/>
      <c r="V5353" s="3"/>
      <c r="W5353" s="3"/>
      <c r="X5353" s="3"/>
      <c r="Y5353" s="4"/>
      <c r="Z5353"/>
      <c r="AA5353"/>
    </row>
    <row r="5354" spans="1:27" s="37" customFormat="1" x14ac:dyDescent="0.15">
      <c r="A5354" s="70"/>
      <c r="B5354" s="118"/>
      <c r="C5354" s="121"/>
      <c r="D5354" s="121"/>
      <c r="E5354" s="121"/>
      <c r="F5354" s="121"/>
      <c r="G5354" s="121"/>
      <c r="H5354" s="85"/>
      <c r="I5354" s="122"/>
      <c r="J5354" s="131"/>
      <c r="K5354" s="60"/>
      <c r="L5354" s="50"/>
      <c r="P5354" s="3"/>
      <c r="Q5354" s="3"/>
      <c r="R5354" s="3"/>
      <c r="S5354" s="3"/>
      <c r="T5354" s="3"/>
      <c r="U5354" s="3"/>
      <c r="V5354" s="3"/>
      <c r="W5354" s="3"/>
      <c r="X5354" s="3"/>
      <c r="Y5354" s="4"/>
      <c r="Z5354"/>
      <c r="AA5354"/>
    </row>
    <row r="5355" spans="1:27" s="37" customFormat="1" x14ac:dyDescent="0.15">
      <c r="A5355" s="70"/>
      <c r="B5355" s="118"/>
      <c r="C5355" s="121"/>
      <c r="D5355" s="121"/>
      <c r="E5355" s="121"/>
      <c r="F5355" s="121"/>
      <c r="G5355" s="121"/>
      <c r="H5355" s="85"/>
      <c r="I5355" s="122"/>
      <c r="J5355" s="131"/>
      <c r="K5355" s="60"/>
      <c r="L5355" s="49"/>
      <c r="P5355" s="3"/>
      <c r="Q5355" s="3"/>
      <c r="R5355" s="3"/>
      <c r="S5355" s="3"/>
      <c r="T5355" s="3"/>
      <c r="U5355" s="3"/>
      <c r="V5355" s="3"/>
      <c r="W5355" s="3"/>
      <c r="X5355" s="3"/>
      <c r="Y5355" s="4"/>
      <c r="Z5355"/>
      <c r="AA5355"/>
    </row>
    <row r="5356" spans="1:27" s="37" customFormat="1" x14ac:dyDescent="0.15">
      <c r="A5356" s="73"/>
      <c r="B5356" s="118"/>
      <c r="C5356" s="121"/>
      <c r="D5356" s="121"/>
      <c r="E5356" s="121"/>
      <c r="F5356" s="121"/>
      <c r="G5356" s="121"/>
      <c r="H5356" s="85"/>
      <c r="I5356" s="122"/>
      <c r="J5356" s="131"/>
      <c r="K5356" s="60"/>
      <c r="L5356" s="49"/>
      <c r="P5356" s="3"/>
      <c r="Q5356" s="3"/>
      <c r="R5356" s="3"/>
      <c r="S5356" s="3"/>
      <c r="T5356" s="3"/>
      <c r="U5356" s="3"/>
      <c r="V5356" s="3"/>
      <c r="W5356" s="3"/>
      <c r="X5356" s="3"/>
      <c r="Y5356" s="4"/>
      <c r="Z5356"/>
      <c r="AA5356"/>
    </row>
    <row r="5357" spans="1:27" s="37" customFormat="1" x14ac:dyDescent="0.15">
      <c r="A5357" s="70"/>
      <c r="B5357" s="118"/>
      <c r="C5357" s="121"/>
      <c r="D5357" s="121"/>
      <c r="E5357" s="121"/>
      <c r="F5357" s="121"/>
      <c r="G5357" s="121"/>
      <c r="H5357" s="85"/>
      <c r="I5357" s="122"/>
      <c r="J5357" s="131"/>
      <c r="K5357" s="60"/>
      <c r="L5357" s="50"/>
      <c r="P5357" s="3"/>
      <c r="Q5357" s="3"/>
      <c r="R5357" s="3"/>
      <c r="S5357" s="3"/>
      <c r="T5357" s="3"/>
      <c r="U5357" s="3"/>
      <c r="V5357" s="3"/>
      <c r="W5357" s="3"/>
      <c r="X5357" s="3"/>
      <c r="Y5357" s="4"/>
      <c r="Z5357"/>
      <c r="AA5357"/>
    </row>
    <row r="5358" spans="1:27" s="37" customFormat="1" x14ac:dyDescent="0.15">
      <c r="A5358" s="70"/>
      <c r="B5358" s="118"/>
      <c r="C5358" s="121"/>
      <c r="D5358" s="121"/>
      <c r="E5358" s="121"/>
      <c r="F5358" s="121"/>
      <c r="G5358" s="121"/>
      <c r="H5358" s="85"/>
      <c r="I5358" s="122"/>
      <c r="J5358" s="131"/>
      <c r="K5358" s="60"/>
      <c r="L5358" s="50"/>
      <c r="P5358" s="3"/>
      <c r="Q5358" s="3"/>
      <c r="R5358" s="3"/>
      <c r="S5358" s="3"/>
      <c r="T5358" s="3"/>
      <c r="U5358" s="3"/>
      <c r="V5358" s="3"/>
      <c r="W5358" s="3"/>
      <c r="X5358" s="3"/>
      <c r="Y5358" s="4"/>
      <c r="Z5358"/>
      <c r="AA5358"/>
    </row>
    <row r="5359" spans="1:27" s="37" customFormat="1" x14ac:dyDescent="0.15">
      <c r="A5359" s="70"/>
      <c r="B5359" s="118"/>
      <c r="C5359" s="121"/>
      <c r="D5359" s="121"/>
      <c r="E5359" s="121"/>
      <c r="F5359" s="121"/>
      <c r="G5359" s="121"/>
      <c r="H5359" s="85"/>
      <c r="I5359" s="122"/>
      <c r="J5359" s="131"/>
      <c r="K5359" s="60"/>
      <c r="L5359" s="50"/>
      <c r="P5359" s="3"/>
      <c r="Q5359" s="3"/>
      <c r="R5359" s="3"/>
      <c r="S5359" s="3"/>
      <c r="T5359" s="3"/>
      <c r="U5359" s="3"/>
      <c r="V5359" s="3"/>
      <c r="W5359" s="3"/>
      <c r="X5359" s="3"/>
      <c r="Y5359" s="4"/>
      <c r="Z5359"/>
      <c r="AA5359"/>
    </row>
    <row r="5360" spans="1:27" s="37" customFormat="1" x14ac:dyDescent="0.15">
      <c r="A5360" s="73"/>
      <c r="B5360" s="118"/>
      <c r="C5360" s="121"/>
      <c r="D5360" s="121"/>
      <c r="E5360" s="121"/>
      <c r="F5360" s="121"/>
      <c r="G5360" s="121"/>
      <c r="H5360" s="85"/>
      <c r="I5360" s="122"/>
      <c r="J5360" s="131"/>
      <c r="K5360" s="60"/>
      <c r="L5360" s="50"/>
      <c r="P5360" s="3"/>
      <c r="Q5360" s="3"/>
      <c r="R5360" s="3"/>
      <c r="S5360" s="3"/>
      <c r="T5360" s="3"/>
      <c r="U5360" s="3"/>
      <c r="V5360" s="3"/>
      <c r="W5360" s="3"/>
      <c r="X5360" s="3"/>
      <c r="Y5360" s="4"/>
      <c r="Z5360"/>
      <c r="AA5360"/>
    </row>
    <row r="5361" spans="1:27" s="37" customFormat="1" x14ac:dyDescent="0.15">
      <c r="A5361" s="70"/>
      <c r="B5361" s="118"/>
      <c r="C5361" s="121"/>
      <c r="D5361" s="121"/>
      <c r="E5361" s="121"/>
      <c r="F5361" s="121"/>
      <c r="G5361" s="121"/>
      <c r="H5361" s="85"/>
      <c r="I5361" s="122"/>
      <c r="J5361" s="131"/>
      <c r="K5361" s="60"/>
      <c r="L5361" s="50"/>
      <c r="P5361" s="3"/>
      <c r="Q5361" s="3"/>
      <c r="R5361" s="3"/>
      <c r="S5361" s="3"/>
      <c r="T5361" s="3"/>
      <c r="U5361" s="3"/>
      <c r="V5361" s="3"/>
      <c r="W5361" s="3"/>
      <c r="X5361" s="3"/>
      <c r="Y5361" s="4"/>
      <c r="Z5361"/>
      <c r="AA5361"/>
    </row>
    <row r="5362" spans="1:27" s="37" customFormat="1" x14ac:dyDescent="0.15">
      <c r="A5362" s="73"/>
      <c r="B5362" s="118"/>
      <c r="C5362" s="121"/>
      <c r="D5362" s="121"/>
      <c r="E5362" s="121"/>
      <c r="F5362" s="121"/>
      <c r="G5362" s="121"/>
      <c r="H5362" s="85"/>
      <c r="I5362" s="122"/>
      <c r="J5362" s="131"/>
      <c r="K5362" s="60"/>
      <c r="L5362" s="49"/>
      <c r="P5362" s="3"/>
      <c r="Q5362" s="3"/>
      <c r="R5362" s="3"/>
      <c r="S5362" s="3"/>
      <c r="T5362" s="3"/>
      <c r="U5362" s="3"/>
      <c r="V5362" s="3"/>
      <c r="W5362" s="3"/>
      <c r="X5362" s="3"/>
      <c r="Y5362" s="4"/>
      <c r="Z5362"/>
      <c r="AA5362"/>
    </row>
    <row r="5363" spans="1:27" s="37" customFormat="1" x14ac:dyDescent="0.15">
      <c r="A5363" s="70"/>
      <c r="B5363" s="118"/>
      <c r="C5363" s="121"/>
      <c r="D5363" s="121"/>
      <c r="E5363" s="121"/>
      <c r="F5363" s="121"/>
      <c r="G5363" s="121"/>
      <c r="H5363" s="85"/>
      <c r="I5363" s="122"/>
      <c r="J5363" s="131"/>
      <c r="K5363" s="60"/>
      <c r="L5363" s="49"/>
      <c r="P5363" s="3"/>
      <c r="Q5363" s="3"/>
      <c r="R5363" s="3"/>
      <c r="S5363" s="3"/>
      <c r="T5363" s="3"/>
      <c r="U5363" s="3"/>
      <c r="V5363" s="3"/>
      <c r="W5363" s="3"/>
      <c r="X5363" s="3"/>
      <c r="Y5363" s="4"/>
      <c r="Z5363"/>
      <c r="AA5363"/>
    </row>
    <row r="5364" spans="1:27" s="37" customFormat="1" x14ac:dyDescent="0.15">
      <c r="A5364" s="70"/>
      <c r="B5364" s="118"/>
      <c r="C5364" s="121"/>
      <c r="D5364" s="121"/>
      <c r="E5364" s="121"/>
      <c r="F5364" s="121"/>
      <c r="G5364" s="121"/>
      <c r="H5364" s="85"/>
      <c r="I5364" s="122"/>
      <c r="J5364" s="131"/>
      <c r="K5364" s="60"/>
      <c r="L5364" s="49"/>
      <c r="P5364" s="3"/>
      <c r="Q5364" s="3"/>
      <c r="R5364" s="3"/>
      <c r="S5364" s="3"/>
      <c r="T5364" s="3"/>
      <c r="U5364" s="3"/>
      <c r="V5364" s="3"/>
      <c r="W5364" s="3"/>
      <c r="X5364" s="3"/>
      <c r="Y5364" s="4"/>
      <c r="Z5364"/>
      <c r="AA5364"/>
    </row>
    <row r="5365" spans="1:27" s="37" customFormat="1" x14ac:dyDescent="0.15">
      <c r="A5365" s="70"/>
      <c r="B5365" s="118"/>
      <c r="C5365" s="121"/>
      <c r="D5365" s="121"/>
      <c r="E5365" s="121"/>
      <c r="F5365" s="121"/>
      <c r="G5365" s="121"/>
      <c r="H5365" s="85"/>
      <c r="I5365" s="122"/>
      <c r="J5365" s="131"/>
      <c r="K5365" s="60"/>
      <c r="L5365" s="50"/>
      <c r="P5365" s="3"/>
      <c r="Q5365" s="3"/>
      <c r="R5365" s="3"/>
      <c r="S5365" s="3"/>
      <c r="T5365" s="3"/>
      <c r="U5365" s="3"/>
      <c r="V5365" s="3"/>
      <c r="W5365" s="3"/>
      <c r="X5365" s="3"/>
      <c r="Y5365" s="4"/>
      <c r="Z5365"/>
      <c r="AA5365"/>
    </row>
    <row r="5366" spans="1:27" s="37" customFormat="1" x14ac:dyDescent="0.15">
      <c r="A5366" s="70"/>
      <c r="B5366" s="118"/>
      <c r="C5366" s="121"/>
      <c r="D5366" s="121"/>
      <c r="E5366" s="121"/>
      <c r="F5366" s="121"/>
      <c r="G5366" s="121"/>
      <c r="H5366" s="85"/>
      <c r="I5366" s="122"/>
      <c r="J5366" s="131"/>
      <c r="K5366" s="60"/>
      <c r="L5366" s="49"/>
      <c r="P5366" s="3"/>
      <c r="Q5366" s="3"/>
      <c r="R5366" s="3"/>
      <c r="S5366" s="3"/>
      <c r="T5366" s="3"/>
      <c r="U5366" s="3"/>
      <c r="V5366" s="3"/>
      <c r="W5366" s="3"/>
      <c r="X5366" s="3"/>
      <c r="Y5366" s="4"/>
      <c r="Z5366"/>
      <c r="AA5366"/>
    </row>
    <row r="5367" spans="1:27" s="37" customFormat="1" x14ac:dyDescent="0.15">
      <c r="A5367" s="70"/>
      <c r="B5367" s="118"/>
      <c r="C5367" s="121"/>
      <c r="D5367" s="121"/>
      <c r="E5367" s="121"/>
      <c r="F5367" s="121"/>
      <c r="G5367" s="121"/>
      <c r="H5367" s="85"/>
      <c r="I5367" s="122"/>
      <c r="J5367" s="131"/>
      <c r="K5367" s="60"/>
      <c r="L5367" s="50"/>
      <c r="P5367" s="3"/>
      <c r="Q5367" s="3"/>
      <c r="R5367" s="3"/>
      <c r="S5367" s="3"/>
      <c r="T5367" s="3"/>
      <c r="U5367" s="3"/>
      <c r="V5367" s="3"/>
      <c r="W5367" s="3"/>
      <c r="X5367" s="3"/>
      <c r="Y5367" s="4"/>
      <c r="Z5367"/>
      <c r="AA5367"/>
    </row>
    <row r="5368" spans="1:27" s="37" customFormat="1" ht="16" x14ac:dyDescent="0.2">
      <c r="A5368" s="70"/>
      <c r="B5368" s="118"/>
      <c r="C5368" s="121"/>
      <c r="D5368" s="121"/>
      <c r="E5368" s="121"/>
      <c r="F5368" s="121"/>
      <c r="G5368" s="121"/>
      <c r="H5368" s="85"/>
      <c r="I5368" s="122"/>
      <c r="J5368" s="131"/>
      <c r="K5368" s="60"/>
      <c r="L5368" s="49"/>
      <c r="M5368" s="48"/>
      <c r="P5368" s="3"/>
      <c r="Q5368" s="3"/>
      <c r="R5368" s="3"/>
      <c r="S5368" s="3"/>
      <c r="T5368" s="3"/>
      <c r="U5368" s="3"/>
      <c r="V5368" s="3"/>
      <c r="W5368" s="3"/>
      <c r="X5368" s="3"/>
      <c r="Y5368" s="4"/>
      <c r="Z5368"/>
      <c r="AA5368"/>
    </row>
    <row r="5369" spans="1:27" s="37" customFormat="1" x14ac:dyDescent="0.15">
      <c r="A5369" s="70"/>
      <c r="B5369" s="118"/>
      <c r="C5369" s="121"/>
      <c r="D5369" s="121"/>
      <c r="E5369" s="121"/>
      <c r="F5369" s="121"/>
      <c r="G5369" s="121"/>
      <c r="H5369" s="85"/>
      <c r="I5369" s="85"/>
      <c r="J5369" s="131"/>
      <c r="K5369" s="60"/>
      <c r="L5369" s="50"/>
      <c r="P5369" s="3"/>
      <c r="Q5369" s="3"/>
      <c r="R5369" s="3"/>
      <c r="S5369" s="3"/>
      <c r="T5369" s="3"/>
      <c r="U5369" s="3"/>
      <c r="V5369" s="3"/>
      <c r="W5369" s="3"/>
      <c r="X5369" s="3"/>
      <c r="Y5369" s="4"/>
      <c r="Z5369"/>
      <c r="AA5369"/>
    </row>
    <row r="5370" spans="1:27" s="37" customFormat="1" x14ac:dyDescent="0.15">
      <c r="A5370" s="70"/>
      <c r="B5370" s="118"/>
      <c r="C5370" s="121"/>
      <c r="D5370" s="121"/>
      <c r="E5370" s="121"/>
      <c r="F5370" s="121"/>
      <c r="G5370" s="121"/>
      <c r="H5370" s="85"/>
      <c r="I5370" s="122"/>
      <c r="J5370" s="131"/>
      <c r="K5370" s="60"/>
      <c r="L5370" s="50"/>
      <c r="P5370" s="3"/>
      <c r="Q5370" s="3"/>
      <c r="R5370" s="3"/>
      <c r="S5370" s="3"/>
      <c r="T5370" s="3"/>
      <c r="U5370" s="3"/>
      <c r="V5370" s="3"/>
      <c r="W5370" s="3"/>
      <c r="X5370" s="3"/>
      <c r="Y5370" s="4"/>
      <c r="Z5370"/>
      <c r="AA5370"/>
    </row>
    <row r="5371" spans="1:27" s="37" customFormat="1" x14ac:dyDescent="0.15">
      <c r="A5371" s="70"/>
      <c r="B5371" s="118"/>
      <c r="C5371" s="121"/>
      <c r="D5371" s="121"/>
      <c r="E5371" s="121"/>
      <c r="F5371" s="121"/>
      <c r="G5371" s="121"/>
      <c r="H5371" s="85"/>
      <c r="I5371" s="122"/>
      <c r="J5371" s="131"/>
      <c r="K5371" s="60"/>
      <c r="L5371" s="49"/>
      <c r="P5371" s="3"/>
      <c r="Q5371" s="3"/>
      <c r="R5371" s="3"/>
      <c r="S5371" s="3"/>
      <c r="T5371" s="3"/>
      <c r="U5371" s="3"/>
      <c r="V5371" s="3"/>
      <c r="W5371" s="3"/>
      <c r="X5371" s="3"/>
      <c r="Y5371" s="4"/>
      <c r="Z5371"/>
      <c r="AA5371"/>
    </row>
    <row r="5372" spans="1:27" s="37" customFormat="1" x14ac:dyDescent="0.15">
      <c r="A5372" s="70"/>
      <c r="B5372" s="118"/>
      <c r="C5372" s="121"/>
      <c r="D5372" s="121"/>
      <c r="E5372" s="121"/>
      <c r="F5372" s="121"/>
      <c r="G5372" s="121"/>
      <c r="H5372" s="85"/>
      <c r="I5372" s="122"/>
      <c r="J5372" s="131"/>
      <c r="K5372" s="60"/>
      <c r="L5372" s="49"/>
      <c r="P5372" s="3"/>
      <c r="Q5372" s="3"/>
      <c r="R5372" s="3"/>
      <c r="S5372" s="3"/>
      <c r="T5372" s="3"/>
      <c r="U5372" s="3"/>
      <c r="V5372" s="3"/>
      <c r="W5372" s="3"/>
      <c r="X5372" s="3"/>
      <c r="Y5372" s="4"/>
      <c r="Z5372"/>
      <c r="AA5372"/>
    </row>
    <row r="5373" spans="1:27" s="37" customFormat="1" x14ac:dyDescent="0.15">
      <c r="A5373" s="70"/>
      <c r="B5373" s="118"/>
      <c r="C5373" s="121"/>
      <c r="D5373" s="121"/>
      <c r="E5373" s="121"/>
      <c r="F5373" s="121"/>
      <c r="G5373" s="121"/>
      <c r="H5373" s="85"/>
      <c r="I5373" s="122"/>
      <c r="J5373" s="131"/>
      <c r="K5373" s="60"/>
      <c r="L5373" s="49"/>
      <c r="P5373" s="3"/>
      <c r="Q5373" s="3"/>
      <c r="R5373" s="3"/>
      <c r="S5373" s="3"/>
      <c r="T5373" s="3"/>
      <c r="U5373" s="3"/>
      <c r="V5373" s="3"/>
      <c r="W5373" s="3"/>
      <c r="X5373" s="3"/>
      <c r="Y5373" s="4"/>
      <c r="Z5373"/>
      <c r="AA5373"/>
    </row>
    <row r="5374" spans="1:27" s="37" customFormat="1" x14ac:dyDescent="0.15">
      <c r="A5374" s="70"/>
      <c r="B5374" s="118"/>
      <c r="C5374" s="121"/>
      <c r="D5374" s="121"/>
      <c r="E5374" s="121"/>
      <c r="F5374" s="121"/>
      <c r="G5374" s="121"/>
      <c r="H5374" s="85"/>
      <c r="I5374" s="122"/>
      <c r="J5374" s="131"/>
      <c r="K5374" s="60"/>
      <c r="L5374" s="49"/>
      <c r="P5374" s="3"/>
      <c r="Q5374" s="3"/>
      <c r="R5374" s="3"/>
      <c r="S5374" s="3"/>
      <c r="T5374" s="3"/>
      <c r="U5374" s="3"/>
      <c r="V5374" s="3"/>
      <c r="W5374" s="3"/>
      <c r="X5374" s="3"/>
      <c r="Y5374" s="4"/>
      <c r="Z5374"/>
      <c r="AA5374"/>
    </row>
    <row r="5375" spans="1:27" s="37" customFormat="1" x14ac:dyDescent="0.15">
      <c r="A5375" s="70"/>
      <c r="B5375" s="118"/>
      <c r="C5375" s="121"/>
      <c r="D5375" s="121"/>
      <c r="E5375" s="121"/>
      <c r="F5375" s="121"/>
      <c r="G5375" s="121"/>
      <c r="H5375" s="85"/>
      <c r="I5375" s="122"/>
      <c r="J5375" s="131"/>
      <c r="K5375" s="60"/>
      <c r="L5375" s="49"/>
      <c r="P5375" s="3"/>
      <c r="Q5375" s="3"/>
      <c r="R5375" s="3"/>
      <c r="S5375" s="3"/>
      <c r="T5375" s="3"/>
      <c r="U5375" s="3"/>
      <c r="V5375" s="3"/>
      <c r="W5375" s="3"/>
      <c r="X5375" s="3"/>
      <c r="Y5375" s="4"/>
      <c r="Z5375"/>
      <c r="AA5375"/>
    </row>
    <row r="5376" spans="1:27" s="37" customFormat="1" x14ac:dyDescent="0.15">
      <c r="A5376" s="70"/>
      <c r="B5376" s="118"/>
      <c r="C5376" s="121"/>
      <c r="D5376" s="121"/>
      <c r="E5376" s="121"/>
      <c r="F5376" s="121"/>
      <c r="G5376" s="121"/>
      <c r="H5376" s="85"/>
      <c r="I5376" s="122"/>
      <c r="J5376" s="131"/>
      <c r="K5376" s="60"/>
      <c r="L5376" s="49"/>
      <c r="P5376" s="3"/>
      <c r="Q5376" s="3"/>
      <c r="R5376" s="3"/>
      <c r="S5376" s="3"/>
      <c r="T5376" s="3"/>
      <c r="U5376" s="3"/>
      <c r="V5376" s="3"/>
      <c r="W5376" s="3"/>
      <c r="X5376" s="3"/>
      <c r="Y5376" s="4"/>
      <c r="Z5376"/>
      <c r="AA5376"/>
    </row>
    <row r="5377" spans="1:27" s="37" customFormat="1" x14ac:dyDescent="0.15">
      <c r="A5377" s="70"/>
      <c r="B5377" s="118"/>
      <c r="C5377" s="121"/>
      <c r="D5377" s="121"/>
      <c r="E5377" s="121"/>
      <c r="F5377" s="121"/>
      <c r="G5377" s="121"/>
      <c r="H5377" s="85"/>
      <c r="I5377" s="122"/>
      <c r="J5377" s="131"/>
      <c r="K5377" s="60"/>
      <c r="L5377" s="49"/>
      <c r="P5377" s="3"/>
      <c r="Q5377" s="3"/>
      <c r="R5377" s="3"/>
      <c r="S5377" s="3"/>
      <c r="T5377" s="3"/>
      <c r="U5377" s="3"/>
      <c r="V5377" s="3"/>
      <c r="W5377" s="3"/>
      <c r="X5377" s="3"/>
      <c r="Y5377" s="4"/>
      <c r="Z5377"/>
      <c r="AA5377"/>
    </row>
    <row r="5378" spans="1:27" s="37" customFormat="1" x14ac:dyDescent="0.15">
      <c r="A5378" s="70"/>
      <c r="B5378" s="118"/>
      <c r="C5378" s="121"/>
      <c r="D5378" s="121"/>
      <c r="E5378" s="121"/>
      <c r="F5378" s="121"/>
      <c r="G5378" s="121"/>
      <c r="H5378" s="85"/>
      <c r="I5378" s="122"/>
      <c r="J5378" s="131"/>
      <c r="K5378" s="60"/>
      <c r="L5378" s="49"/>
      <c r="P5378" s="3"/>
      <c r="Q5378" s="3"/>
      <c r="R5378" s="3"/>
      <c r="S5378" s="3"/>
      <c r="T5378" s="3"/>
      <c r="U5378" s="3"/>
      <c r="V5378" s="3"/>
      <c r="W5378" s="3"/>
      <c r="X5378" s="3"/>
      <c r="Y5378" s="4"/>
      <c r="Z5378"/>
      <c r="AA5378"/>
    </row>
    <row r="5379" spans="1:27" s="37" customFormat="1" x14ac:dyDescent="0.15">
      <c r="A5379" s="70"/>
      <c r="B5379" s="118"/>
      <c r="C5379" s="121"/>
      <c r="D5379" s="121"/>
      <c r="E5379" s="121"/>
      <c r="F5379" s="121"/>
      <c r="G5379" s="121"/>
      <c r="H5379" s="85"/>
      <c r="I5379" s="122"/>
      <c r="J5379" s="131"/>
      <c r="K5379" s="60"/>
      <c r="L5379" s="49"/>
      <c r="P5379" s="3"/>
      <c r="Q5379" s="3"/>
      <c r="R5379" s="3"/>
      <c r="S5379" s="3"/>
      <c r="T5379" s="3"/>
      <c r="U5379" s="3"/>
      <c r="V5379" s="3"/>
      <c r="W5379" s="3"/>
      <c r="X5379" s="3"/>
      <c r="Y5379" s="4"/>
      <c r="Z5379"/>
      <c r="AA5379"/>
    </row>
    <row r="5380" spans="1:27" s="37" customFormat="1" x14ac:dyDescent="0.15">
      <c r="A5380" s="70"/>
      <c r="B5380" s="118"/>
      <c r="C5380" s="121"/>
      <c r="D5380" s="121"/>
      <c r="E5380" s="121"/>
      <c r="F5380" s="121"/>
      <c r="G5380" s="121"/>
      <c r="H5380" s="85"/>
      <c r="I5380" s="122"/>
      <c r="J5380" s="131"/>
      <c r="K5380" s="60"/>
      <c r="L5380" s="49"/>
      <c r="P5380" s="3"/>
      <c r="Q5380" s="3"/>
      <c r="R5380" s="3"/>
      <c r="S5380" s="3"/>
      <c r="T5380" s="3"/>
      <c r="U5380" s="3"/>
      <c r="V5380" s="3"/>
      <c r="W5380" s="3"/>
      <c r="X5380" s="3"/>
      <c r="Y5380" s="4"/>
      <c r="Z5380"/>
      <c r="AA5380"/>
    </row>
    <row r="5381" spans="1:27" s="37" customFormat="1" x14ac:dyDescent="0.15">
      <c r="A5381" s="70"/>
      <c r="B5381" s="118"/>
      <c r="C5381" s="121"/>
      <c r="D5381" s="121"/>
      <c r="E5381" s="121"/>
      <c r="F5381" s="121"/>
      <c r="G5381" s="121"/>
      <c r="H5381" s="85"/>
      <c r="I5381" s="122"/>
      <c r="J5381" s="131"/>
      <c r="K5381" s="60"/>
      <c r="L5381" s="49"/>
      <c r="P5381" s="3"/>
      <c r="Q5381" s="3"/>
      <c r="R5381" s="3"/>
      <c r="S5381" s="3"/>
      <c r="T5381" s="3"/>
      <c r="U5381" s="3"/>
      <c r="V5381" s="3"/>
      <c r="W5381" s="3"/>
      <c r="X5381" s="3"/>
      <c r="Y5381" s="4"/>
      <c r="Z5381"/>
      <c r="AA5381"/>
    </row>
    <row r="5382" spans="1:27" s="37" customFormat="1" x14ac:dyDescent="0.15">
      <c r="A5382" s="70"/>
      <c r="B5382" s="118"/>
      <c r="C5382" s="121"/>
      <c r="D5382" s="121"/>
      <c r="E5382" s="121"/>
      <c r="F5382" s="121"/>
      <c r="G5382" s="121"/>
      <c r="H5382" s="85"/>
      <c r="I5382" s="122"/>
      <c r="J5382" s="131"/>
      <c r="K5382" s="60"/>
      <c r="L5382" s="49"/>
      <c r="P5382" s="3"/>
      <c r="Q5382" s="3"/>
      <c r="R5382" s="3"/>
      <c r="S5382" s="3"/>
      <c r="T5382" s="3"/>
      <c r="U5382" s="3"/>
      <c r="V5382" s="3"/>
      <c r="W5382" s="3"/>
      <c r="X5382" s="3"/>
      <c r="Y5382" s="4"/>
      <c r="Z5382"/>
      <c r="AA5382"/>
    </row>
    <row r="5383" spans="1:27" s="37" customFormat="1" x14ac:dyDescent="0.15">
      <c r="A5383" s="70"/>
      <c r="B5383" s="118"/>
      <c r="C5383" s="121"/>
      <c r="D5383" s="121"/>
      <c r="E5383" s="121"/>
      <c r="F5383" s="121"/>
      <c r="G5383" s="121"/>
      <c r="H5383" s="85"/>
      <c r="I5383" s="122"/>
      <c r="J5383" s="131"/>
      <c r="K5383" s="60"/>
      <c r="L5383" s="33"/>
      <c r="P5383" s="3"/>
      <c r="Q5383" s="3"/>
      <c r="R5383" s="3"/>
      <c r="S5383" s="3"/>
      <c r="T5383" s="3"/>
      <c r="U5383" s="3"/>
      <c r="V5383" s="3"/>
      <c r="W5383" s="3"/>
      <c r="X5383" s="3"/>
      <c r="Y5383" s="4"/>
      <c r="Z5383"/>
      <c r="AA5383"/>
    </row>
    <row r="5384" spans="1:27" s="37" customFormat="1" ht="16" x14ac:dyDescent="0.2">
      <c r="A5384" s="70"/>
      <c r="B5384" s="118"/>
      <c r="C5384" s="121"/>
      <c r="D5384" s="121"/>
      <c r="E5384" s="121"/>
      <c r="F5384" s="121"/>
      <c r="G5384" s="121"/>
      <c r="H5384" s="85"/>
      <c r="I5384" s="122"/>
      <c r="J5384" s="131"/>
      <c r="K5384" s="60"/>
      <c r="L5384" s="49"/>
      <c r="M5384" s="48"/>
      <c r="P5384" s="3"/>
      <c r="Q5384" s="3"/>
      <c r="R5384" s="3"/>
      <c r="S5384" s="3"/>
      <c r="T5384" s="3"/>
      <c r="U5384" s="3"/>
      <c r="V5384" s="3"/>
      <c r="W5384" s="3"/>
      <c r="X5384" s="3"/>
      <c r="Y5384" s="4"/>
      <c r="Z5384"/>
      <c r="AA5384"/>
    </row>
    <row r="5385" spans="1:27" s="37" customFormat="1" x14ac:dyDescent="0.15">
      <c r="A5385" s="70"/>
      <c r="B5385" s="118"/>
      <c r="C5385" s="121"/>
      <c r="D5385" s="121"/>
      <c r="E5385" s="121"/>
      <c r="F5385" s="121"/>
      <c r="G5385" s="121"/>
      <c r="H5385" s="85"/>
      <c r="I5385" s="122"/>
      <c r="J5385" s="131"/>
      <c r="K5385" s="60"/>
      <c r="L5385" s="49"/>
      <c r="P5385" s="3"/>
      <c r="Q5385" s="3"/>
      <c r="R5385" s="3"/>
      <c r="S5385" s="3"/>
      <c r="T5385" s="3"/>
      <c r="U5385" s="3"/>
      <c r="V5385" s="3"/>
      <c r="W5385" s="3"/>
      <c r="X5385" s="3"/>
      <c r="Y5385" s="4"/>
      <c r="Z5385"/>
      <c r="AA5385"/>
    </row>
    <row r="5386" spans="1:27" s="37" customFormat="1" x14ac:dyDescent="0.15">
      <c r="A5386" s="70"/>
      <c r="B5386" s="118"/>
      <c r="C5386" s="121"/>
      <c r="D5386" s="121"/>
      <c r="E5386" s="121"/>
      <c r="F5386" s="121"/>
      <c r="G5386" s="121"/>
      <c r="H5386" s="85"/>
      <c r="I5386" s="122"/>
      <c r="J5386" s="131"/>
      <c r="K5386" s="60"/>
      <c r="L5386" s="49"/>
      <c r="P5386" s="3"/>
      <c r="Q5386" s="3"/>
      <c r="R5386" s="3"/>
      <c r="S5386" s="3"/>
      <c r="T5386" s="3"/>
      <c r="U5386" s="3"/>
      <c r="V5386" s="3"/>
      <c r="W5386" s="3"/>
      <c r="X5386" s="3"/>
      <c r="Y5386" s="4"/>
      <c r="Z5386"/>
      <c r="AA5386"/>
    </row>
    <row r="5387" spans="1:27" s="37" customFormat="1" x14ac:dyDescent="0.15">
      <c r="A5387" s="73"/>
      <c r="B5387" s="118"/>
      <c r="C5387" s="121"/>
      <c r="D5387" s="121"/>
      <c r="E5387" s="121"/>
      <c r="F5387" s="121"/>
      <c r="G5387" s="121"/>
      <c r="H5387" s="85"/>
      <c r="I5387" s="122"/>
      <c r="J5387" s="131"/>
      <c r="K5387" s="60"/>
      <c r="L5387" s="49"/>
      <c r="P5387" s="3"/>
      <c r="Q5387" s="3"/>
      <c r="R5387" s="3"/>
      <c r="S5387" s="3"/>
      <c r="T5387" s="3"/>
      <c r="U5387" s="3"/>
      <c r="V5387" s="3"/>
      <c r="W5387" s="3"/>
      <c r="X5387" s="3"/>
      <c r="Y5387" s="4"/>
      <c r="Z5387"/>
      <c r="AA5387"/>
    </row>
    <row r="5388" spans="1:27" s="37" customFormat="1" ht="16" x14ac:dyDescent="0.2">
      <c r="A5388" s="73"/>
      <c r="B5388" s="118"/>
      <c r="C5388" s="121"/>
      <c r="D5388" s="121"/>
      <c r="E5388" s="121"/>
      <c r="F5388" s="121"/>
      <c r="G5388" s="121"/>
      <c r="H5388" s="85"/>
      <c r="I5388" s="122"/>
      <c r="J5388" s="131"/>
      <c r="K5388" s="60"/>
      <c r="L5388" s="49"/>
      <c r="M5388" s="48"/>
      <c r="P5388" s="3"/>
      <c r="Q5388" s="3"/>
      <c r="R5388" s="3"/>
      <c r="S5388" s="3"/>
      <c r="T5388" s="3"/>
      <c r="U5388" s="3"/>
      <c r="V5388" s="3"/>
      <c r="W5388" s="3"/>
      <c r="X5388" s="3"/>
      <c r="Y5388" s="4"/>
      <c r="Z5388"/>
      <c r="AA5388"/>
    </row>
    <row r="5389" spans="1:27" s="37" customFormat="1" x14ac:dyDescent="0.15">
      <c r="A5389" s="70"/>
      <c r="B5389" s="118"/>
      <c r="C5389" s="121"/>
      <c r="D5389" s="121"/>
      <c r="E5389" s="121"/>
      <c r="F5389" s="121"/>
      <c r="G5389" s="121"/>
      <c r="H5389" s="85"/>
      <c r="I5389" s="122"/>
      <c r="J5389" s="131"/>
      <c r="K5389" s="60"/>
      <c r="L5389" s="49"/>
      <c r="P5389" s="3"/>
      <c r="Q5389" s="3"/>
      <c r="R5389" s="3"/>
      <c r="S5389" s="3"/>
      <c r="T5389" s="3"/>
      <c r="U5389" s="3"/>
      <c r="V5389" s="3"/>
      <c r="W5389" s="3"/>
      <c r="X5389" s="3"/>
      <c r="Y5389" s="4"/>
      <c r="Z5389"/>
      <c r="AA5389"/>
    </row>
    <row r="5390" spans="1:27" s="37" customFormat="1" x14ac:dyDescent="0.15">
      <c r="A5390" s="70"/>
      <c r="B5390" s="118"/>
      <c r="C5390" s="121"/>
      <c r="D5390" s="121"/>
      <c r="E5390" s="121"/>
      <c r="F5390" s="121"/>
      <c r="G5390" s="121"/>
      <c r="H5390" s="85"/>
      <c r="I5390" s="122"/>
      <c r="J5390" s="131"/>
      <c r="K5390" s="60"/>
      <c r="L5390" s="49"/>
      <c r="P5390" s="3"/>
      <c r="Q5390" s="3"/>
      <c r="R5390" s="3"/>
      <c r="S5390" s="3"/>
      <c r="T5390" s="3"/>
      <c r="U5390" s="3"/>
      <c r="V5390" s="3"/>
      <c r="W5390" s="3"/>
      <c r="X5390" s="3"/>
      <c r="Y5390" s="4"/>
      <c r="Z5390"/>
      <c r="AA5390"/>
    </row>
    <row r="5391" spans="1:27" s="37" customFormat="1" x14ac:dyDescent="0.15">
      <c r="A5391" s="70"/>
      <c r="B5391" s="118"/>
      <c r="C5391" s="121"/>
      <c r="D5391" s="121"/>
      <c r="E5391" s="121"/>
      <c r="F5391" s="121"/>
      <c r="G5391" s="121"/>
      <c r="H5391" s="85"/>
      <c r="I5391" s="122"/>
      <c r="J5391" s="131"/>
      <c r="K5391" s="60"/>
      <c r="L5391" s="49"/>
      <c r="P5391" s="3"/>
      <c r="Q5391" s="3"/>
      <c r="R5391" s="3"/>
      <c r="S5391" s="3"/>
      <c r="T5391" s="3"/>
      <c r="U5391" s="3"/>
      <c r="V5391" s="3"/>
      <c r="W5391" s="3"/>
      <c r="X5391" s="3"/>
      <c r="Y5391" s="4"/>
      <c r="Z5391"/>
      <c r="AA5391"/>
    </row>
    <row r="5392" spans="1:27" s="37" customFormat="1" x14ac:dyDescent="0.15">
      <c r="A5392" s="70"/>
      <c r="B5392" s="118"/>
      <c r="C5392" s="121"/>
      <c r="D5392" s="121"/>
      <c r="E5392" s="121"/>
      <c r="F5392" s="121"/>
      <c r="G5392" s="121"/>
      <c r="H5392" s="85"/>
      <c r="I5392" s="122"/>
      <c r="J5392" s="131"/>
      <c r="K5392" s="60"/>
      <c r="L5392" s="49"/>
      <c r="P5392" s="3"/>
      <c r="Q5392" s="3"/>
      <c r="R5392" s="3"/>
      <c r="S5392" s="3"/>
      <c r="T5392" s="3"/>
      <c r="U5392" s="3"/>
      <c r="V5392" s="3"/>
      <c r="W5392" s="3"/>
      <c r="X5392" s="3"/>
      <c r="Y5392" s="4"/>
      <c r="Z5392"/>
      <c r="AA5392"/>
    </row>
    <row r="5393" spans="1:27" s="37" customFormat="1" x14ac:dyDescent="0.15">
      <c r="A5393" s="70"/>
      <c r="B5393" s="118"/>
      <c r="C5393" s="121"/>
      <c r="D5393" s="121"/>
      <c r="E5393" s="121"/>
      <c r="F5393" s="121"/>
      <c r="G5393" s="121"/>
      <c r="H5393" s="85"/>
      <c r="I5393" s="122"/>
      <c r="J5393" s="131"/>
      <c r="K5393" s="60"/>
      <c r="L5393" s="49"/>
      <c r="P5393" s="3"/>
      <c r="Q5393" s="3"/>
      <c r="R5393" s="3"/>
      <c r="S5393" s="3"/>
      <c r="T5393" s="3"/>
      <c r="U5393" s="3"/>
      <c r="V5393" s="3"/>
      <c r="W5393" s="3"/>
      <c r="X5393" s="3"/>
      <c r="Y5393" s="4"/>
      <c r="Z5393"/>
      <c r="AA5393"/>
    </row>
    <row r="5394" spans="1:27" s="37" customFormat="1" x14ac:dyDescent="0.15">
      <c r="A5394" s="70"/>
      <c r="B5394" s="118"/>
      <c r="C5394" s="121"/>
      <c r="D5394" s="121"/>
      <c r="E5394" s="121"/>
      <c r="F5394" s="121"/>
      <c r="G5394" s="121"/>
      <c r="H5394" s="85"/>
      <c r="I5394" s="122"/>
      <c r="J5394" s="131"/>
      <c r="K5394" s="60"/>
      <c r="L5394" s="49"/>
      <c r="P5394" s="3"/>
      <c r="Q5394" s="3"/>
      <c r="R5394" s="3"/>
      <c r="S5394" s="3"/>
      <c r="T5394" s="3"/>
      <c r="U5394" s="3"/>
      <c r="V5394" s="3"/>
      <c r="W5394" s="3"/>
      <c r="X5394" s="3"/>
      <c r="Y5394" s="4"/>
      <c r="Z5394"/>
      <c r="AA5394"/>
    </row>
    <row r="5395" spans="1:27" s="37" customFormat="1" x14ac:dyDescent="0.15">
      <c r="A5395" s="70"/>
      <c r="B5395" s="118"/>
      <c r="C5395" s="121"/>
      <c r="D5395" s="121"/>
      <c r="E5395" s="121"/>
      <c r="F5395" s="121"/>
      <c r="G5395" s="121"/>
      <c r="H5395" s="85"/>
      <c r="I5395" s="122"/>
      <c r="J5395" s="131"/>
      <c r="K5395" s="60"/>
      <c r="L5395" s="49"/>
      <c r="P5395" s="3"/>
      <c r="Q5395" s="3"/>
      <c r="R5395" s="3"/>
      <c r="S5395" s="3"/>
      <c r="T5395" s="3"/>
      <c r="U5395" s="3"/>
      <c r="V5395" s="3"/>
      <c r="W5395" s="3"/>
      <c r="X5395" s="3"/>
      <c r="Y5395" s="4"/>
      <c r="Z5395"/>
      <c r="AA5395"/>
    </row>
    <row r="5396" spans="1:27" s="37" customFormat="1" x14ac:dyDescent="0.15">
      <c r="A5396" s="70"/>
      <c r="B5396" s="118"/>
      <c r="C5396" s="121"/>
      <c r="D5396" s="121"/>
      <c r="E5396" s="121"/>
      <c r="F5396" s="121"/>
      <c r="G5396" s="121"/>
      <c r="H5396" s="85"/>
      <c r="I5396" s="122"/>
      <c r="J5396" s="131"/>
      <c r="K5396" s="60"/>
      <c r="L5396" s="49"/>
      <c r="P5396" s="3"/>
      <c r="Q5396" s="3"/>
      <c r="R5396" s="3"/>
      <c r="S5396" s="3"/>
      <c r="T5396" s="3"/>
      <c r="U5396" s="3"/>
      <c r="V5396" s="3"/>
      <c r="W5396" s="3"/>
      <c r="X5396" s="3"/>
      <c r="Y5396" s="4"/>
      <c r="Z5396"/>
      <c r="AA5396"/>
    </row>
    <row r="5397" spans="1:27" s="37" customFormat="1" x14ac:dyDescent="0.15">
      <c r="A5397" s="70"/>
      <c r="B5397" s="118"/>
      <c r="C5397" s="121"/>
      <c r="D5397" s="121"/>
      <c r="E5397" s="121"/>
      <c r="F5397" s="121"/>
      <c r="G5397" s="121"/>
      <c r="H5397" s="85"/>
      <c r="I5397" s="122"/>
      <c r="J5397" s="131"/>
      <c r="K5397" s="60"/>
      <c r="L5397" s="49"/>
      <c r="P5397" s="3"/>
      <c r="Q5397" s="3"/>
      <c r="R5397" s="3"/>
      <c r="S5397" s="3"/>
      <c r="T5397" s="3"/>
      <c r="U5397" s="3"/>
      <c r="V5397" s="3"/>
      <c r="W5397" s="3"/>
      <c r="X5397" s="3"/>
      <c r="Y5397" s="4"/>
      <c r="Z5397"/>
      <c r="AA5397"/>
    </row>
    <row r="5398" spans="1:27" s="37" customFormat="1" x14ac:dyDescent="0.15">
      <c r="A5398" s="70"/>
      <c r="B5398" s="118"/>
      <c r="C5398" s="121"/>
      <c r="D5398" s="121"/>
      <c r="E5398" s="121"/>
      <c r="F5398" s="121"/>
      <c r="G5398" s="121"/>
      <c r="H5398" s="85"/>
      <c r="I5398" s="122"/>
      <c r="J5398" s="131"/>
      <c r="K5398" s="60"/>
      <c r="L5398" s="49"/>
      <c r="P5398" s="3"/>
      <c r="Q5398" s="3"/>
      <c r="R5398" s="3"/>
      <c r="S5398" s="3"/>
      <c r="T5398" s="3"/>
      <c r="U5398" s="3"/>
      <c r="V5398" s="3"/>
      <c r="W5398" s="3"/>
      <c r="X5398" s="3"/>
      <c r="Y5398" s="4"/>
      <c r="Z5398"/>
      <c r="AA5398"/>
    </row>
    <row r="5399" spans="1:27" s="37" customFormat="1" x14ac:dyDescent="0.15">
      <c r="A5399" s="70"/>
      <c r="B5399" s="118"/>
      <c r="C5399" s="121"/>
      <c r="D5399" s="121"/>
      <c r="E5399" s="121"/>
      <c r="F5399" s="121"/>
      <c r="G5399" s="121"/>
      <c r="H5399" s="85"/>
      <c r="I5399" s="122"/>
      <c r="J5399" s="131"/>
      <c r="K5399" s="60"/>
      <c r="L5399" s="49"/>
      <c r="P5399" s="3"/>
      <c r="Q5399" s="3"/>
      <c r="R5399" s="3"/>
      <c r="S5399" s="3"/>
      <c r="T5399" s="3"/>
      <c r="U5399" s="3"/>
      <c r="V5399" s="3"/>
      <c r="W5399" s="3"/>
      <c r="X5399" s="3"/>
      <c r="Y5399" s="4"/>
      <c r="Z5399"/>
      <c r="AA5399"/>
    </row>
    <row r="5400" spans="1:27" s="37" customFormat="1" x14ac:dyDescent="0.15">
      <c r="A5400" s="73"/>
      <c r="B5400" s="118"/>
      <c r="C5400" s="121"/>
      <c r="D5400" s="121"/>
      <c r="E5400" s="121"/>
      <c r="F5400" s="121"/>
      <c r="G5400" s="121"/>
      <c r="H5400" s="85"/>
      <c r="I5400" s="122"/>
      <c r="J5400" s="131"/>
      <c r="K5400" s="60"/>
      <c r="L5400" s="49"/>
      <c r="P5400" s="3"/>
      <c r="Q5400" s="3"/>
      <c r="R5400" s="3"/>
      <c r="S5400" s="3"/>
      <c r="T5400" s="3"/>
      <c r="U5400" s="3"/>
      <c r="V5400" s="3"/>
      <c r="W5400" s="3"/>
      <c r="X5400" s="3"/>
      <c r="Y5400" s="4"/>
      <c r="Z5400"/>
      <c r="AA5400"/>
    </row>
    <row r="5401" spans="1:27" s="37" customFormat="1" x14ac:dyDescent="0.15">
      <c r="A5401" s="70"/>
      <c r="B5401" s="118"/>
      <c r="C5401" s="121"/>
      <c r="D5401" s="121"/>
      <c r="E5401" s="121"/>
      <c r="F5401" s="121"/>
      <c r="G5401" s="121"/>
      <c r="H5401" s="85"/>
      <c r="I5401" s="122"/>
      <c r="J5401" s="131"/>
      <c r="K5401" s="60"/>
      <c r="L5401" s="49"/>
      <c r="P5401" s="3"/>
      <c r="Q5401" s="3"/>
      <c r="R5401" s="3"/>
      <c r="S5401" s="3"/>
      <c r="T5401" s="3"/>
      <c r="U5401" s="3"/>
      <c r="V5401" s="3"/>
      <c r="W5401" s="3"/>
      <c r="X5401" s="3"/>
      <c r="Y5401" s="4"/>
      <c r="Z5401"/>
      <c r="AA5401"/>
    </row>
    <row r="5402" spans="1:27" s="37" customFormat="1" x14ac:dyDescent="0.15">
      <c r="A5402" s="70"/>
      <c r="B5402" s="118"/>
      <c r="C5402" s="121"/>
      <c r="D5402" s="121"/>
      <c r="E5402" s="121"/>
      <c r="F5402" s="121"/>
      <c r="G5402" s="121"/>
      <c r="H5402" s="85"/>
      <c r="I5402" s="122"/>
      <c r="J5402" s="131"/>
      <c r="K5402" s="60"/>
      <c r="L5402" s="49"/>
      <c r="P5402" s="3"/>
      <c r="Q5402" s="3"/>
      <c r="R5402" s="3"/>
      <c r="S5402" s="3"/>
      <c r="T5402" s="3"/>
      <c r="U5402" s="3"/>
      <c r="V5402" s="3"/>
      <c r="W5402" s="3"/>
      <c r="X5402" s="3"/>
      <c r="Y5402" s="4"/>
      <c r="Z5402"/>
      <c r="AA5402"/>
    </row>
    <row r="5403" spans="1:27" s="37" customFormat="1" x14ac:dyDescent="0.15">
      <c r="A5403" s="70"/>
      <c r="B5403" s="118"/>
      <c r="C5403" s="121"/>
      <c r="D5403" s="121"/>
      <c r="E5403" s="121"/>
      <c r="F5403" s="121"/>
      <c r="G5403" s="121"/>
      <c r="H5403" s="85"/>
      <c r="I5403" s="122"/>
      <c r="J5403" s="131"/>
      <c r="K5403" s="60"/>
      <c r="L5403" s="49"/>
      <c r="P5403" s="3"/>
      <c r="Q5403" s="3"/>
      <c r="R5403" s="3"/>
      <c r="S5403" s="3"/>
      <c r="T5403" s="3"/>
      <c r="U5403" s="3"/>
      <c r="V5403" s="3"/>
      <c r="W5403" s="3"/>
      <c r="X5403" s="3"/>
      <c r="Y5403" s="4"/>
      <c r="Z5403"/>
      <c r="AA5403"/>
    </row>
    <row r="5404" spans="1:27" s="37" customFormat="1" x14ac:dyDescent="0.15">
      <c r="A5404" s="70"/>
      <c r="B5404" s="118"/>
      <c r="C5404" s="121"/>
      <c r="D5404" s="121"/>
      <c r="E5404" s="121"/>
      <c r="F5404" s="121"/>
      <c r="G5404" s="121"/>
      <c r="H5404" s="85"/>
      <c r="I5404" s="85"/>
      <c r="J5404" s="131"/>
      <c r="K5404" s="63"/>
      <c r="L5404" s="49"/>
      <c r="N5404" s="51"/>
      <c r="P5404" s="3"/>
      <c r="Q5404" s="3"/>
      <c r="R5404" s="3"/>
      <c r="S5404" s="3"/>
      <c r="T5404" s="3"/>
      <c r="U5404" s="3"/>
      <c r="V5404" s="3"/>
      <c r="W5404" s="3"/>
      <c r="X5404" s="3"/>
      <c r="Y5404" s="4"/>
      <c r="Z5404"/>
      <c r="AA5404"/>
    </row>
    <row r="5405" spans="1:27" s="37" customFormat="1" x14ac:dyDescent="0.15">
      <c r="A5405" s="70"/>
      <c r="B5405" s="118"/>
      <c r="C5405" s="121"/>
      <c r="D5405" s="121"/>
      <c r="E5405" s="121"/>
      <c r="F5405" s="121"/>
      <c r="G5405" s="121"/>
      <c r="H5405" s="85"/>
      <c r="I5405" s="122"/>
      <c r="J5405" s="131"/>
      <c r="K5405" s="60"/>
      <c r="L5405" s="49"/>
      <c r="P5405" s="3"/>
      <c r="Q5405" s="3"/>
      <c r="R5405" s="3"/>
      <c r="S5405" s="3"/>
      <c r="T5405" s="3"/>
      <c r="U5405" s="3"/>
      <c r="V5405" s="3"/>
      <c r="W5405" s="3"/>
      <c r="X5405" s="3"/>
      <c r="Y5405" s="4"/>
      <c r="Z5405"/>
      <c r="AA5405"/>
    </row>
    <row r="5406" spans="1:27" s="37" customFormat="1" x14ac:dyDescent="0.15">
      <c r="A5406" s="70"/>
      <c r="B5406" s="118"/>
      <c r="C5406" s="121"/>
      <c r="D5406" s="121"/>
      <c r="E5406" s="121"/>
      <c r="F5406" s="121"/>
      <c r="G5406" s="121"/>
      <c r="H5406" s="85"/>
      <c r="I5406" s="122"/>
      <c r="J5406" s="131"/>
      <c r="K5406" s="60"/>
      <c r="L5406" s="49"/>
      <c r="P5406" s="3"/>
      <c r="Q5406" s="3"/>
      <c r="R5406" s="3"/>
      <c r="S5406" s="3"/>
      <c r="T5406" s="3"/>
      <c r="U5406" s="3"/>
      <c r="V5406" s="3"/>
      <c r="W5406" s="3"/>
      <c r="X5406" s="3"/>
      <c r="Y5406" s="4"/>
      <c r="Z5406"/>
      <c r="AA5406"/>
    </row>
    <row r="5407" spans="1:27" s="37" customFormat="1" x14ac:dyDescent="0.15">
      <c r="A5407" s="70"/>
      <c r="B5407" s="118"/>
      <c r="C5407" s="121"/>
      <c r="D5407" s="121"/>
      <c r="E5407" s="121"/>
      <c r="F5407" s="121"/>
      <c r="G5407" s="121"/>
      <c r="H5407" s="85"/>
      <c r="I5407" s="122"/>
      <c r="J5407" s="131"/>
      <c r="K5407" s="60"/>
      <c r="L5407" s="49"/>
      <c r="P5407" s="3"/>
      <c r="Q5407" s="3"/>
      <c r="R5407" s="3"/>
      <c r="S5407" s="3"/>
      <c r="T5407" s="3"/>
      <c r="U5407" s="3"/>
      <c r="V5407" s="3"/>
      <c r="W5407" s="3"/>
      <c r="X5407" s="3"/>
      <c r="Y5407" s="4"/>
      <c r="Z5407"/>
      <c r="AA5407"/>
    </row>
    <row r="5408" spans="1:27" s="37" customFormat="1" x14ac:dyDescent="0.15">
      <c r="A5408" s="70"/>
      <c r="B5408" s="118"/>
      <c r="C5408" s="121"/>
      <c r="D5408" s="121"/>
      <c r="E5408" s="121"/>
      <c r="F5408" s="121"/>
      <c r="G5408" s="121"/>
      <c r="H5408" s="85"/>
      <c r="I5408" s="122"/>
      <c r="J5408" s="131"/>
      <c r="K5408" s="69"/>
      <c r="L5408" s="49"/>
      <c r="P5408" s="3"/>
      <c r="Q5408" s="3"/>
      <c r="R5408" s="3"/>
      <c r="S5408" s="3"/>
      <c r="T5408" s="3"/>
      <c r="U5408" s="3"/>
      <c r="V5408" s="3"/>
      <c r="W5408" s="3"/>
      <c r="X5408" s="3"/>
      <c r="Y5408" s="4"/>
      <c r="Z5408"/>
      <c r="AA5408"/>
    </row>
    <row r="5409" spans="1:27" s="37" customFormat="1" ht="16" x14ac:dyDescent="0.2">
      <c r="A5409" s="70"/>
      <c r="B5409" s="118"/>
      <c r="C5409" s="121"/>
      <c r="D5409" s="121"/>
      <c r="E5409" s="121"/>
      <c r="F5409" s="121"/>
      <c r="G5409" s="121"/>
      <c r="H5409" s="85"/>
      <c r="I5409" s="122"/>
      <c r="J5409" s="131"/>
      <c r="K5409" s="69"/>
      <c r="L5409" s="49"/>
      <c r="M5409" s="48"/>
      <c r="P5409" s="3"/>
      <c r="Q5409" s="3"/>
      <c r="R5409" s="3"/>
      <c r="S5409" s="3"/>
      <c r="T5409" s="3"/>
      <c r="U5409" s="3"/>
      <c r="V5409" s="3"/>
      <c r="W5409" s="3"/>
      <c r="X5409" s="3"/>
      <c r="Y5409" s="4"/>
      <c r="Z5409"/>
      <c r="AA5409"/>
    </row>
    <row r="5410" spans="1:27" s="37" customFormat="1" x14ac:dyDescent="0.15">
      <c r="A5410" s="70"/>
      <c r="B5410" s="118"/>
      <c r="C5410" s="121"/>
      <c r="D5410" s="121"/>
      <c r="E5410" s="121"/>
      <c r="F5410" s="121"/>
      <c r="G5410" s="121"/>
      <c r="H5410" s="85"/>
      <c r="I5410" s="122"/>
      <c r="J5410" s="131"/>
      <c r="K5410" s="60"/>
      <c r="L5410" s="49"/>
      <c r="P5410" s="3"/>
      <c r="Q5410" s="3"/>
      <c r="R5410" s="3"/>
      <c r="S5410" s="3"/>
      <c r="T5410" s="3"/>
      <c r="U5410" s="3"/>
      <c r="V5410" s="3"/>
      <c r="W5410" s="3"/>
      <c r="X5410" s="3"/>
      <c r="Y5410" s="4"/>
      <c r="Z5410"/>
      <c r="AA5410"/>
    </row>
    <row r="5411" spans="1:27" s="37" customFormat="1" x14ac:dyDescent="0.15">
      <c r="A5411" s="70"/>
      <c r="B5411" s="118"/>
      <c r="C5411" s="121"/>
      <c r="D5411" s="121"/>
      <c r="E5411" s="121"/>
      <c r="F5411" s="121"/>
      <c r="G5411" s="121"/>
      <c r="H5411" s="85"/>
      <c r="I5411" s="122"/>
      <c r="J5411" s="131"/>
      <c r="K5411" s="69"/>
      <c r="L5411" s="49"/>
      <c r="P5411" s="3"/>
      <c r="Q5411" s="3"/>
      <c r="R5411" s="3"/>
      <c r="S5411" s="3"/>
      <c r="T5411" s="3"/>
      <c r="U5411" s="3"/>
      <c r="V5411" s="3"/>
      <c r="W5411" s="3"/>
      <c r="X5411" s="3"/>
      <c r="Y5411" s="4"/>
      <c r="Z5411"/>
      <c r="AA5411"/>
    </row>
    <row r="5412" spans="1:27" s="37" customFormat="1" x14ac:dyDescent="0.15">
      <c r="A5412" s="70"/>
      <c r="B5412" s="118"/>
      <c r="C5412" s="121"/>
      <c r="D5412" s="121"/>
      <c r="E5412" s="121"/>
      <c r="F5412" s="121"/>
      <c r="G5412" s="121"/>
      <c r="H5412" s="85"/>
      <c r="I5412" s="122"/>
      <c r="J5412" s="131"/>
      <c r="K5412" s="69"/>
      <c r="L5412" s="49"/>
      <c r="P5412" s="3"/>
      <c r="Q5412" s="3"/>
      <c r="R5412" s="3"/>
      <c r="S5412" s="3"/>
      <c r="T5412" s="3"/>
      <c r="U5412" s="3"/>
      <c r="V5412" s="3"/>
      <c r="W5412" s="3"/>
      <c r="X5412" s="3"/>
      <c r="Y5412" s="4"/>
      <c r="Z5412"/>
      <c r="AA5412"/>
    </row>
    <row r="5413" spans="1:27" s="37" customFormat="1" x14ac:dyDescent="0.15">
      <c r="A5413" s="73"/>
      <c r="B5413" s="118"/>
      <c r="C5413" s="121"/>
      <c r="D5413" s="121"/>
      <c r="E5413" s="121"/>
      <c r="F5413" s="121"/>
      <c r="G5413" s="121"/>
      <c r="H5413" s="85"/>
      <c r="I5413" s="122"/>
      <c r="J5413" s="131"/>
      <c r="K5413" s="69"/>
      <c r="L5413" s="49"/>
      <c r="P5413" s="3"/>
      <c r="Q5413" s="3"/>
      <c r="R5413" s="3"/>
      <c r="S5413" s="3"/>
      <c r="T5413" s="3"/>
      <c r="U5413" s="3"/>
      <c r="V5413" s="3"/>
      <c r="W5413" s="3"/>
      <c r="X5413" s="3"/>
      <c r="Y5413" s="4"/>
      <c r="Z5413"/>
      <c r="AA5413"/>
    </row>
    <row r="5414" spans="1:27" s="37" customFormat="1" x14ac:dyDescent="0.15">
      <c r="A5414" s="70"/>
      <c r="B5414" s="118"/>
      <c r="C5414" s="121"/>
      <c r="D5414" s="121"/>
      <c r="E5414" s="121"/>
      <c r="F5414" s="121"/>
      <c r="G5414" s="121"/>
      <c r="H5414" s="85"/>
      <c r="I5414" s="122"/>
      <c r="J5414" s="131"/>
      <c r="K5414" s="69"/>
      <c r="L5414" s="49"/>
      <c r="P5414" s="3"/>
      <c r="Q5414" s="3"/>
      <c r="R5414" s="3"/>
      <c r="S5414" s="3"/>
      <c r="T5414" s="3"/>
      <c r="U5414" s="3"/>
      <c r="V5414" s="3"/>
      <c r="W5414" s="3"/>
      <c r="X5414" s="3"/>
      <c r="Y5414" s="4"/>
      <c r="Z5414"/>
      <c r="AA5414"/>
    </row>
    <row r="5415" spans="1:27" s="37" customFormat="1" x14ac:dyDescent="0.15">
      <c r="A5415" s="70"/>
      <c r="B5415" s="118"/>
      <c r="C5415" s="121"/>
      <c r="D5415" s="121"/>
      <c r="E5415" s="121"/>
      <c r="F5415" s="121"/>
      <c r="G5415" s="121"/>
      <c r="H5415" s="85"/>
      <c r="I5415" s="122"/>
      <c r="J5415" s="131"/>
      <c r="K5415" s="69"/>
      <c r="L5415" s="49"/>
      <c r="P5415" s="3"/>
      <c r="Q5415" s="3"/>
      <c r="R5415" s="3"/>
      <c r="S5415" s="3"/>
      <c r="T5415" s="3"/>
      <c r="U5415" s="3"/>
      <c r="V5415" s="3"/>
      <c r="W5415" s="3"/>
      <c r="X5415" s="3"/>
      <c r="Y5415" s="4"/>
      <c r="Z5415"/>
      <c r="AA5415"/>
    </row>
    <row r="5416" spans="1:27" s="37" customFormat="1" x14ac:dyDescent="0.15">
      <c r="A5416" s="70"/>
      <c r="B5416" s="118"/>
      <c r="C5416" s="121"/>
      <c r="D5416" s="121"/>
      <c r="E5416" s="121"/>
      <c r="F5416" s="121"/>
      <c r="G5416" s="121"/>
      <c r="H5416" s="85"/>
      <c r="I5416" s="122"/>
      <c r="J5416" s="131"/>
      <c r="K5416" s="60"/>
      <c r="L5416" s="49"/>
      <c r="P5416" s="3"/>
      <c r="Q5416" s="3"/>
      <c r="R5416" s="3"/>
      <c r="S5416" s="3"/>
      <c r="T5416" s="3"/>
      <c r="U5416" s="3"/>
      <c r="V5416" s="3"/>
      <c r="W5416" s="3"/>
      <c r="X5416" s="3"/>
      <c r="Y5416" s="4"/>
      <c r="Z5416"/>
      <c r="AA5416"/>
    </row>
    <row r="5417" spans="1:27" s="37" customFormat="1" ht="16" x14ac:dyDescent="0.2">
      <c r="A5417" s="70"/>
      <c r="B5417" s="118"/>
      <c r="C5417" s="121"/>
      <c r="D5417" s="121"/>
      <c r="E5417" s="121"/>
      <c r="F5417" s="121"/>
      <c r="G5417" s="121"/>
      <c r="H5417" s="85"/>
      <c r="I5417" s="122"/>
      <c r="J5417" s="131"/>
      <c r="K5417" s="69"/>
      <c r="L5417" s="49"/>
      <c r="M5417" s="48"/>
      <c r="P5417" s="3"/>
      <c r="Q5417" s="3"/>
      <c r="R5417" s="3"/>
      <c r="S5417" s="3"/>
      <c r="T5417" s="3"/>
      <c r="U5417" s="3"/>
      <c r="V5417" s="3"/>
      <c r="W5417" s="3"/>
      <c r="X5417" s="3"/>
      <c r="Y5417" s="4"/>
      <c r="Z5417"/>
      <c r="AA5417"/>
    </row>
    <row r="5418" spans="1:27" s="37" customFormat="1" ht="16" x14ac:dyDescent="0.2">
      <c r="A5418" s="70"/>
      <c r="B5418" s="118"/>
      <c r="C5418" s="121"/>
      <c r="D5418" s="121"/>
      <c r="E5418" s="121"/>
      <c r="F5418" s="121"/>
      <c r="G5418" s="121"/>
      <c r="H5418" s="85"/>
      <c r="I5418" s="122"/>
      <c r="J5418" s="131"/>
      <c r="K5418" s="60"/>
      <c r="L5418" s="49"/>
      <c r="M5418" s="48"/>
      <c r="P5418" s="3"/>
      <c r="Q5418" s="3"/>
      <c r="R5418" s="3"/>
      <c r="S5418" s="3"/>
      <c r="T5418" s="3"/>
      <c r="U5418" s="3"/>
      <c r="V5418" s="3"/>
      <c r="W5418" s="3"/>
      <c r="X5418" s="3"/>
      <c r="Y5418" s="4"/>
      <c r="Z5418"/>
      <c r="AA5418"/>
    </row>
    <row r="5419" spans="1:27" s="37" customFormat="1" x14ac:dyDescent="0.15">
      <c r="A5419" s="70"/>
      <c r="B5419" s="118"/>
      <c r="C5419" s="121"/>
      <c r="D5419" s="121"/>
      <c r="E5419" s="121"/>
      <c r="F5419" s="121"/>
      <c r="G5419" s="121"/>
      <c r="H5419" s="85"/>
      <c r="I5419" s="122"/>
      <c r="J5419" s="131"/>
      <c r="K5419" s="69"/>
      <c r="L5419" s="49"/>
      <c r="P5419" s="3"/>
      <c r="Q5419" s="3"/>
      <c r="R5419" s="3"/>
      <c r="S5419" s="3"/>
      <c r="T5419" s="3"/>
      <c r="U5419" s="3"/>
      <c r="V5419" s="3"/>
      <c r="W5419" s="3"/>
      <c r="X5419" s="3"/>
      <c r="Y5419" s="4"/>
      <c r="Z5419"/>
      <c r="AA5419"/>
    </row>
    <row r="5420" spans="1:27" s="37" customFormat="1" x14ac:dyDescent="0.15">
      <c r="A5420" s="70"/>
      <c r="B5420" s="118"/>
      <c r="C5420" s="121"/>
      <c r="D5420" s="121"/>
      <c r="E5420" s="121"/>
      <c r="F5420" s="121"/>
      <c r="G5420" s="121"/>
      <c r="H5420" s="85"/>
      <c r="I5420" s="122"/>
      <c r="J5420" s="131"/>
      <c r="K5420" s="60"/>
      <c r="L5420" s="49"/>
      <c r="P5420" s="3"/>
      <c r="Q5420" s="3"/>
      <c r="R5420" s="3"/>
      <c r="S5420" s="3"/>
      <c r="T5420" s="3"/>
      <c r="U5420" s="3"/>
      <c r="V5420" s="3"/>
      <c r="W5420" s="3"/>
      <c r="X5420" s="3"/>
      <c r="Y5420" s="4"/>
      <c r="Z5420"/>
      <c r="AA5420"/>
    </row>
    <row r="5421" spans="1:27" s="37" customFormat="1" x14ac:dyDescent="0.15">
      <c r="A5421" s="70"/>
      <c r="B5421" s="118"/>
      <c r="C5421" s="121"/>
      <c r="D5421" s="121"/>
      <c r="E5421" s="121"/>
      <c r="F5421" s="121"/>
      <c r="G5421" s="121"/>
      <c r="H5421" s="85"/>
      <c r="I5421" s="122"/>
      <c r="J5421" s="131"/>
      <c r="K5421" s="60"/>
      <c r="L5421" s="49"/>
      <c r="P5421" s="3"/>
      <c r="Q5421" s="3"/>
      <c r="R5421" s="3"/>
      <c r="S5421" s="3"/>
      <c r="T5421" s="3"/>
      <c r="U5421" s="3"/>
      <c r="V5421" s="3"/>
      <c r="W5421" s="3"/>
      <c r="X5421" s="3"/>
      <c r="Y5421" s="4"/>
      <c r="Z5421"/>
      <c r="AA5421"/>
    </row>
    <row r="5422" spans="1:27" s="37" customFormat="1" x14ac:dyDescent="0.15">
      <c r="A5422" s="70"/>
      <c r="B5422" s="118"/>
      <c r="C5422" s="121"/>
      <c r="D5422" s="121"/>
      <c r="E5422" s="121"/>
      <c r="F5422" s="121"/>
      <c r="G5422" s="121"/>
      <c r="H5422" s="85"/>
      <c r="I5422" s="122"/>
      <c r="J5422" s="131"/>
      <c r="K5422" s="60"/>
      <c r="L5422" s="49"/>
      <c r="P5422" s="3"/>
      <c r="Q5422" s="3"/>
      <c r="R5422" s="3"/>
      <c r="S5422" s="3"/>
      <c r="T5422" s="3"/>
      <c r="U5422" s="3"/>
      <c r="V5422" s="3"/>
      <c r="W5422" s="3"/>
      <c r="X5422" s="3"/>
      <c r="Y5422" s="4"/>
      <c r="Z5422"/>
      <c r="AA5422"/>
    </row>
    <row r="5423" spans="1:27" s="3" customFormat="1" x14ac:dyDescent="0.15">
      <c r="A5423" s="70"/>
      <c r="B5423" s="118"/>
      <c r="C5423" s="121"/>
      <c r="D5423" s="121"/>
      <c r="E5423" s="121"/>
      <c r="F5423" s="121"/>
      <c r="G5423" s="121"/>
      <c r="H5423" s="85"/>
      <c r="I5423" s="121"/>
      <c r="J5423" s="131"/>
      <c r="K5423" s="69"/>
      <c r="L5423" s="49"/>
      <c r="M5423" s="37"/>
      <c r="N5423" s="37"/>
      <c r="O5423" s="37"/>
      <c r="Y5423" s="4"/>
      <c r="Z5423"/>
      <c r="AA5423"/>
    </row>
    <row r="5424" spans="1:27" s="3" customFormat="1" x14ac:dyDescent="0.15">
      <c r="A5424" s="70"/>
      <c r="B5424" s="118"/>
      <c r="C5424" s="121"/>
      <c r="D5424" s="121"/>
      <c r="E5424" s="121"/>
      <c r="F5424" s="121"/>
      <c r="G5424" s="121"/>
      <c r="H5424" s="85"/>
      <c r="I5424" s="122"/>
      <c r="J5424" s="131"/>
      <c r="K5424" s="69"/>
      <c r="L5424" s="49"/>
      <c r="M5424" s="37"/>
      <c r="N5424" s="37"/>
      <c r="O5424" s="37"/>
      <c r="Y5424" s="4"/>
      <c r="Z5424"/>
      <c r="AA5424"/>
    </row>
    <row r="5425" spans="1:27" s="3" customFormat="1" x14ac:dyDescent="0.15">
      <c r="A5425" s="70"/>
      <c r="B5425" s="118"/>
      <c r="C5425" s="121"/>
      <c r="D5425" s="121"/>
      <c r="E5425" s="121"/>
      <c r="F5425" s="121"/>
      <c r="G5425" s="121"/>
      <c r="H5425" s="85"/>
      <c r="I5425" s="122"/>
      <c r="J5425" s="131"/>
      <c r="K5425" s="69"/>
      <c r="L5425" s="49"/>
      <c r="M5425" s="37"/>
      <c r="N5425" s="37"/>
      <c r="O5425" s="37"/>
      <c r="Y5425" s="4"/>
      <c r="Z5425"/>
      <c r="AA5425"/>
    </row>
    <row r="5426" spans="1:27" s="3" customFormat="1" x14ac:dyDescent="0.15">
      <c r="A5426" s="73"/>
      <c r="B5426" s="118"/>
      <c r="C5426" s="121"/>
      <c r="D5426" s="121"/>
      <c r="E5426" s="121"/>
      <c r="F5426" s="121"/>
      <c r="G5426" s="121"/>
      <c r="H5426" s="85"/>
      <c r="I5426" s="122"/>
      <c r="J5426" s="150"/>
      <c r="K5426" s="69"/>
      <c r="L5426" s="49"/>
      <c r="M5426" s="37"/>
      <c r="N5426" s="37"/>
      <c r="O5426" s="37"/>
      <c r="Y5426" s="4"/>
      <c r="Z5426"/>
      <c r="AA5426"/>
    </row>
    <row r="5427" spans="1:27" s="3" customFormat="1" x14ac:dyDescent="0.15">
      <c r="A5427" s="70"/>
      <c r="B5427" s="118"/>
      <c r="C5427" s="121"/>
      <c r="D5427" s="121"/>
      <c r="E5427" s="121"/>
      <c r="F5427" s="121"/>
      <c r="G5427" s="121"/>
      <c r="H5427" s="85"/>
      <c r="I5427" s="122"/>
      <c r="J5427" s="150"/>
      <c r="K5427" s="69"/>
      <c r="L5427" s="49"/>
      <c r="M5427" s="37"/>
      <c r="N5427" s="37"/>
      <c r="O5427" s="37"/>
      <c r="P5427" s="6"/>
      <c r="Q5427" s="6"/>
      <c r="Y5427" s="4"/>
      <c r="Z5427"/>
      <c r="AA5427"/>
    </row>
    <row r="5428" spans="1:27" s="3" customFormat="1" x14ac:dyDescent="0.15">
      <c r="A5428" s="70"/>
      <c r="B5428" s="118"/>
      <c r="C5428" s="121"/>
      <c r="D5428" s="121"/>
      <c r="E5428" s="121"/>
      <c r="F5428" s="121"/>
      <c r="G5428" s="121"/>
      <c r="H5428" s="85"/>
      <c r="I5428" s="122"/>
      <c r="J5428" s="150"/>
      <c r="K5428" s="69"/>
      <c r="L5428" s="49"/>
      <c r="M5428" s="37"/>
      <c r="N5428" s="37"/>
      <c r="O5428" s="37"/>
      <c r="P5428" s="6"/>
      <c r="Q5428" s="6"/>
      <c r="Y5428" s="4"/>
      <c r="Z5428"/>
      <c r="AA5428"/>
    </row>
    <row r="5429" spans="1:27" s="3" customFormat="1" x14ac:dyDescent="0.15">
      <c r="A5429" s="70"/>
      <c r="B5429" s="118"/>
      <c r="C5429" s="121"/>
      <c r="D5429" s="121"/>
      <c r="E5429" s="121"/>
      <c r="F5429" s="121"/>
      <c r="G5429" s="121"/>
      <c r="H5429" s="85"/>
      <c r="I5429" s="122"/>
      <c r="J5429" s="150"/>
      <c r="K5429" s="69"/>
      <c r="L5429" s="49"/>
      <c r="M5429" s="37"/>
      <c r="N5429" s="37"/>
      <c r="O5429" s="37"/>
      <c r="P5429" s="6"/>
      <c r="Q5429" s="6"/>
      <c r="Y5429" s="4"/>
      <c r="Z5429"/>
      <c r="AA5429"/>
    </row>
    <row r="5430" spans="1:27" s="3" customFormat="1" x14ac:dyDescent="0.15">
      <c r="A5430" s="70"/>
      <c r="B5430" s="118"/>
      <c r="C5430" s="121"/>
      <c r="D5430" s="121"/>
      <c r="E5430" s="121"/>
      <c r="F5430" s="121"/>
      <c r="G5430" s="121"/>
      <c r="H5430" s="85"/>
      <c r="I5430" s="122"/>
      <c r="J5430" s="150"/>
      <c r="K5430" s="60"/>
      <c r="L5430" s="49"/>
      <c r="M5430" s="37"/>
      <c r="N5430" s="37"/>
      <c r="O5430" s="37"/>
      <c r="P5430" s="6"/>
      <c r="Q5430" s="6"/>
      <c r="Y5430" s="4"/>
      <c r="Z5430"/>
      <c r="AA5430"/>
    </row>
    <row r="5431" spans="1:27" s="3" customFormat="1" x14ac:dyDescent="0.15">
      <c r="A5431" s="70"/>
      <c r="B5431" s="118"/>
      <c r="C5431" s="121"/>
      <c r="D5431" s="121"/>
      <c r="E5431" s="121"/>
      <c r="F5431" s="121"/>
      <c r="G5431" s="121"/>
      <c r="H5431" s="85"/>
      <c r="I5431" s="122"/>
      <c r="J5431" s="150"/>
      <c r="K5431" s="60"/>
      <c r="L5431" s="49"/>
      <c r="M5431" s="37"/>
      <c r="N5431" s="37"/>
      <c r="O5431" s="37"/>
      <c r="P5431" s="6"/>
      <c r="Q5431" s="6"/>
      <c r="Y5431" s="4"/>
      <c r="Z5431"/>
      <c r="AA5431"/>
    </row>
    <row r="5432" spans="1:27" s="3" customFormat="1" x14ac:dyDescent="0.15">
      <c r="A5432" s="70"/>
      <c r="B5432" s="118"/>
      <c r="C5432" s="121"/>
      <c r="D5432" s="121"/>
      <c r="E5432" s="121"/>
      <c r="F5432" s="121"/>
      <c r="G5432" s="121"/>
      <c r="H5432" s="85"/>
      <c r="I5432" s="122"/>
      <c r="J5432" s="150"/>
      <c r="K5432" s="69"/>
      <c r="L5432" s="49"/>
      <c r="M5432" s="37"/>
      <c r="N5432" s="37"/>
      <c r="O5432" s="37"/>
      <c r="P5432" s="6"/>
      <c r="Q5432" s="6"/>
      <c r="Y5432" s="4"/>
      <c r="Z5432"/>
      <c r="AA5432"/>
    </row>
    <row r="5433" spans="1:27" s="3" customFormat="1" x14ac:dyDescent="0.15">
      <c r="A5433" s="70"/>
      <c r="B5433" s="118"/>
      <c r="C5433" s="121"/>
      <c r="D5433" s="121"/>
      <c r="E5433" s="121"/>
      <c r="F5433" s="121"/>
      <c r="G5433" s="121"/>
      <c r="H5433" s="85"/>
      <c r="I5433" s="122"/>
      <c r="J5433" s="150"/>
      <c r="K5433" s="69"/>
      <c r="L5433" s="49"/>
      <c r="M5433" s="37"/>
      <c r="N5433" s="37"/>
      <c r="O5433" s="37"/>
      <c r="P5433" s="6"/>
      <c r="Q5433" s="6"/>
      <c r="Y5433" s="4"/>
      <c r="Z5433"/>
      <c r="AA5433"/>
    </row>
    <row r="5434" spans="1:27" s="3" customFormat="1" x14ac:dyDescent="0.15">
      <c r="A5434" s="70"/>
      <c r="B5434" s="118"/>
      <c r="C5434" s="121"/>
      <c r="D5434" s="121"/>
      <c r="E5434" s="121"/>
      <c r="F5434" s="121"/>
      <c r="G5434" s="121"/>
      <c r="H5434" s="85"/>
      <c r="I5434" s="122"/>
      <c r="J5434" s="150"/>
      <c r="K5434" s="60"/>
      <c r="L5434" s="49"/>
      <c r="M5434" s="37"/>
      <c r="N5434" s="37"/>
      <c r="O5434" s="37"/>
      <c r="P5434" s="6"/>
      <c r="Q5434" s="6"/>
      <c r="Y5434" s="4"/>
      <c r="Z5434"/>
      <c r="AA5434"/>
    </row>
    <row r="5435" spans="1:27" s="3" customFormat="1" x14ac:dyDescent="0.15">
      <c r="A5435" s="70"/>
      <c r="B5435" s="118"/>
      <c r="C5435" s="121"/>
      <c r="D5435" s="121"/>
      <c r="E5435" s="121"/>
      <c r="F5435" s="121"/>
      <c r="G5435" s="121"/>
      <c r="H5435" s="85"/>
      <c r="I5435" s="122"/>
      <c r="J5435" s="150"/>
      <c r="K5435" s="69"/>
      <c r="L5435" s="49"/>
      <c r="M5435" s="37"/>
      <c r="N5435" s="37"/>
      <c r="O5435" s="37"/>
      <c r="P5435" s="6"/>
      <c r="Q5435" s="6"/>
      <c r="Y5435" s="4"/>
      <c r="Z5435"/>
      <c r="AA5435"/>
    </row>
    <row r="5436" spans="1:27" s="3" customFormat="1" x14ac:dyDescent="0.15">
      <c r="A5436" s="70"/>
      <c r="B5436" s="118"/>
      <c r="C5436" s="121"/>
      <c r="D5436" s="121"/>
      <c r="E5436" s="121"/>
      <c r="F5436" s="121"/>
      <c r="G5436" s="121"/>
      <c r="H5436" s="85"/>
      <c r="I5436" s="122"/>
      <c r="J5436" s="150"/>
      <c r="K5436" s="60"/>
      <c r="L5436" s="49"/>
      <c r="M5436" s="37"/>
      <c r="N5436" s="37"/>
      <c r="O5436" s="37"/>
      <c r="P5436" s="6"/>
      <c r="Q5436" s="6"/>
      <c r="Y5436" s="4"/>
      <c r="Z5436"/>
      <c r="AA5436"/>
    </row>
    <row r="5437" spans="1:27" s="3" customFormat="1" x14ac:dyDescent="0.15">
      <c r="A5437" s="70"/>
      <c r="B5437" s="118"/>
      <c r="C5437" s="121"/>
      <c r="D5437" s="121"/>
      <c r="E5437" s="121"/>
      <c r="F5437" s="121"/>
      <c r="G5437" s="121"/>
      <c r="H5437" s="85"/>
      <c r="I5437" s="122"/>
      <c r="J5437" s="150"/>
      <c r="K5437" s="69"/>
      <c r="L5437" s="49"/>
      <c r="M5437" s="37"/>
      <c r="N5437" s="37"/>
      <c r="O5437" s="37"/>
      <c r="P5437" s="6"/>
      <c r="Q5437" s="6"/>
      <c r="Y5437" s="4"/>
      <c r="Z5437"/>
      <c r="AA5437"/>
    </row>
    <row r="5438" spans="1:27" s="3" customFormat="1" x14ac:dyDescent="0.15">
      <c r="A5438" s="70"/>
      <c r="B5438" s="118"/>
      <c r="C5438" s="121"/>
      <c r="D5438" s="121"/>
      <c r="E5438" s="121"/>
      <c r="F5438" s="121"/>
      <c r="G5438" s="121"/>
      <c r="H5438" s="85"/>
      <c r="I5438" s="122"/>
      <c r="J5438" s="150"/>
      <c r="K5438" s="69"/>
      <c r="L5438" s="49"/>
      <c r="M5438" s="37"/>
      <c r="N5438" s="37"/>
      <c r="O5438" s="37"/>
      <c r="P5438" s="6"/>
      <c r="Q5438" s="6"/>
      <c r="Y5438" s="4"/>
      <c r="Z5438"/>
      <c r="AA5438"/>
    </row>
    <row r="5439" spans="1:27" s="37" customFormat="1" x14ac:dyDescent="0.15">
      <c r="A5439" s="70"/>
      <c r="B5439" s="118"/>
      <c r="C5439" s="121"/>
      <c r="D5439" s="121"/>
      <c r="E5439" s="121"/>
      <c r="F5439" s="121"/>
      <c r="G5439" s="121"/>
      <c r="H5439" s="85"/>
      <c r="I5439" s="122"/>
      <c r="J5439" s="150"/>
      <c r="K5439" s="69"/>
      <c r="L5439" s="49"/>
      <c r="P5439" s="3"/>
      <c r="Q5439" s="3"/>
      <c r="R5439" s="3"/>
      <c r="S5439" s="3"/>
      <c r="T5439" s="3"/>
      <c r="U5439" s="3"/>
      <c r="V5439" s="3"/>
      <c r="W5439" s="3"/>
      <c r="X5439" s="3"/>
      <c r="Y5439" s="4"/>
      <c r="Z5439"/>
      <c r="AA5439"/>
    </row>
    <row r="5440" spans="1:27" s="37" customFormat="1" x14ac:dyDescent="0.15">
      <c r="A5440" s="70"/>
      <c r="B5440" s="118"/>
      <c r="C5440" s="121"/>
      <c r="D5440" s="121"/>
      <c r="E5440" s="121"/>
      <c r="F5440" s="121"/>
      <c r="G5440" s="121"/>
      <c r="H5440" s="85"/>
      <c r="I5440" s="122"/>
      <c r="J5440" s="150"/>
      <c r="K5440" s="69"/>
      <c r="L5440" s="49"/>
      <c r="P5440" s="3"/>
      <c r="Q5440" s="3"/>
      <c r="R5440" s="3"/>
      <c r="S5440" s="3"/>
      <c r="T5440" s="3"/>
      <c r="U5440" s="3"/>
      <c r="V5440" s="3"/>
      <c r="W5440" s="3"/>
      <c r="X5440" s="3"/>
      <c r="Y5440" s="4"/>
      <c r="Z5440"/>
      <c r="AA5440"/>
    </row>
    <row r="5441" spans="1:27" s="37" customFormat="1" ht="16" x14ac:dyDescent="0.2">
      <c r="A5441" s="70"/>
      <c r="B5441" s="118"/>
      <c r="C5441" s="121"/>
      <c r="D5441" s="121"/>
      <c r="E5441" s="121"/>
      <c r="F5441" s="121"/>
      <c r="G5441" s="121"/>
      <c r="H5441" s="85"/>
      <c r="I5441" s="122"/>
      <c r="J5441" s="150"/>
      <c r="K5441" s="69"/>
      <c r="L5441" s="49"/>
      <c r="M5441" s="48"/>
      <c r="P5441" s="3"/>
      <c r="Q5441" s="3"/>
      <c r="R5441" s="3"/>
      <c r="S5441" s="3"/>
      <c r="T5441" s="3"/>
      <c r="U5441" s="3"/>
      <c r="V5441" s="3"/>
      <c r="W5441" s="3"/>
      <c r="X5441" s="3"/>
      <c r="Y5441" s="4"/>
      <c r="Z5441"/>
      <c r="AA5441"/>
    </row>
    <row r="5442" spans="1:27" s="37" customFormat="1" x14ac:dyDescent="0.15">
      <c r="A5442" s="70"/>
      <c r="B5442" s="118"/>
      <c r="C5442" s="121"/>
      <c r="D5442" s="121"/>
      <c r="E5442" s="121"/>
      <c r="F5442" s="121"/>
      <c r="G5442" s="121"/>
      <c r="H5442" s="85"/>
      <c r="I5442" s="122"/>
      <c r="J5442" s="150"/>
      <c r="K5442" s="69"/>
      <c r="L5442" s="49"/>
      <c r="P5442" s="3"/>
      <c r="Q5442" s="3"/>
      <c r="R5442" s="3"/>
      <c r="S5442" s="3"/>
      <c r="T5442" s="3"/>
      <c r="U5442" s="3"/>
      <c r="V5442" s="3"/>
      <c r="W5442" s="3"/>
      <c r="X5442" s="3"/>
      <c r="Y5442" s="4"/>
      <c r="Z5442"/>
      <c r="AA5442"/>
    </row>
    <row r="5443" spans="1:27" s="37" customFormat="1" x14ac:dyDescent="0.15">
      <c r="A5443" s="70"/>
      <c r="B5443" s="118"/>
      <c r="C5443" s="121"/>
      <c r="D5443" s="121"/>
      <c r="E5443" s="121"/>
      <c r="F5443" s="121"/>
      <c r="G5443" s="121"/>
      <c r="H5443" s="85"/>
      <c r="I5443" s="122"/>
      <c r="J5443" s="150"/>
      <c r="K5443" s="60"/>
      <c r="L5443" s="49"/>
      <c r="P5443" s="3"/>
      <c r="Q5443" s="3"/>
      <c r="R5443" s="3"/>
      <c r="S5443" s="3"/>
      <c r="T5443" s="3"/>
      <c r="U5443" s="3"/>
      <c r="V5443" s="3"/>
      <c r="W5443" s="3"/>
      <c r="X5443" s="3"/>
      <c r="Y5443" s="4"/>
      <c r="Z5443"/>
      <c r="AA5443"/>
    </row>
    <row r="5444" spans="1:27" s="37" customFormat="1" x14ac:dyDescent="0.15">
      <c r="A5444" s="70"/>
      <c r="B5444" s="117"/>
      <c r="C5444" s="121"/>
      <c r="D5444" s="121"/>
      <c r="E5444" s="121"/>
      <c r="F5444" s="121"/>
      <c r="G5444" s="121"/>
      <c r="H5444" s="85"/>
      <c r="I5444" s="122"/>
      <c r="J5444" s="150"/>
      <c r="K5444" s="60"/>
      <c r="L5444" s="33"/>
      <c r="P5444" s="3"/>
      <c r="Q5444" s="3"/>
      <c r="R5444" s="3"/>
      <c r="S5444" s="3"/>
      <c r="T5444" s="3"/>
      <c r="U5444" s="3"/>
      <c r="V5444" s="3"/>
      <c r="W5444" s="3"/>
      <c r="X5444" s="3"/>
      <c r="Y5444" s="4"/>
      <c r="Z5444"/>
      <c r="AA5444"/>
    </row>
    <row r="5445" spans="1:27" s="37" customFormat="1" x14ac:dyDescent="0.15">
      <c r="A5445" s="73"/>
      <c r="B5445" s="118"/>
      <c r="C5445" s="121"/>
      <c r="D5445" s="121"/>
      <c r="E5445" s="121"/>
      <c r="F5445" s="121"/>
      <c r="G5445" s="121"/>
      <c r="H5445" s="85"/>
      <c r="I5445" s="122"/>
      <c r="J5445" s="150"/>
      <c r="K5445" s="60"/>
      <c r="L5445" s="49"/>
      <c r="P5445" s="3"/>
      <c r="Q5445" s="3"/>
      <c r="R5445" s="3"/>
      <c r="S5445" s="3"/>
      <c r="T5445" s="3"/>
      <c r="U5445" s="3"/>
      <c r="V5445" s="3"/>
      <c r="W5445" s="3"/>
      <c r="X5445" s="3"/>
      <c r="Y5445" s="4"/>
      <c r="Z5445"/>
      <c r="AA5445"/>
    </row>
    <row r="5446" spans="1:27" s="37" customFormat="1" x14ac:dyDescent="0.15">
      <c r="A5446" s="70"/>
      <c r="B5446" s="118"/>
      <c r="C5446" s="121"/>
      <c r="D5446" s="121"/>
      <c r="E5446" s="121"/>
      <c r="F5446" s="121"/>
      <c r="G5446" s="121"/>
      <c r="H5446" s="85"/>
      <c r="I5446" s="122"/>
      <c r="J5446" s="150"/>
      <c r="K5446" s="69"/>
      <c r="L5446" s="49"/>
      <c r="P5446" s="3"/>
      <c r="Q5446" s="3"/>
      <c r="R5446" s="3"/>
      <c r="S5446" s="3"/>
      <c r="T5446" s="3"/>
      <c r="U5446" s="3"/>
      <c r="V5446" s="3"/>
      <c r="W5446" s="3"/>
      <c r="X5446" s="3"/>
      <c r="Y5446" s="4"/>
      <c r="Z5446"/>
      <c r="AA5446"/>
    </row>
    <row r="5447" spans="1:27" s="37" customFormat="1" x14ac:dyDescent="0.15">
      <c r="A5447" s="73"/>
      <c r="B5447" s="118"/>
      <c r="C5447" s="121"/>
      <c r="D5447" s="121"/>
      <c r="E5447" s="121"/>
      <c r="F5447" s="121"/>
      <c r="G5447" s="121"/>
      <c r="H5447" s="85"/>
      <c r="I5447" s="122"/>
      <c r="J5447" s="150"/>
      <c r="K5447" s="69"/>
      <c r="L5447" s="49"/>
      <c r="P5447" s="3"/>
      <c r="Q5447" s="3"/>
      <c r="R5447" s="3"/>
      <c r="S5447" s="3"/>
      <c r="T5447" s="3"/>
      <c r="U5447" s="3"/>
      <c r="V5447" s="3"/>
      <c r="W5447" s="3"/>
      <c r="X5447" s="3"/>
      <c r="Y5447" s="4"/>
      <c r="Z5447"/>
      <c r="AA5447"/>
    </row>
    <row r="5448" spans="1:27" s="37" customFormat="1" x14ac:dyDescent="0.15">
      <c r="A5448" s="70"/>
      <c r="B5448" s="118"/>
      <c r="C5448" s="121"/>
      <c r="D5448" s="121"/>
      <c r="E5448" s="121"/>
      <c r="F5448" s="121"/>
      <c r="G5448" s="121"/>
      <c r="H5448" s="85"/>
      <c r="I5448" s="122"/>
      <c r="J5448" s="150"/>
      <c r="K5448" s="60"/>
      <c r="L5448" s="49"/>
      <c r="P5448" s="3"/>
      <c r="Q5448" s="3"/>
      <c r="R5448" s="3"/>
      <c r="S5448" s="3"/>
      <c r="T5448" s="3"/>
      <c r="U5448" s="3"/>
      <c r="V5448" s="3"/>
      <c r="W5448" s="3"/>
      <c r="X5448" s="3"/>
      <c r="Y5448" s="4"/>
      <c r="Z5448"/>
      <c r="AA5448"/>
    </row>
    <row r="5449" spans="1:27" s="37" customFormat="1" x14ac:dyDescent="0.15">
      <c r="A5449" s="70"/>
      <c r="B5449" s="118"/>
      <c r="C5449" s="121"/>
      <c r="D5449" s="121"/>
      <c r="E5449" s="121"/>
      <c r="F5449" s="121"/>
      <c r="G5449" s="121"/>
      <c r="H5449" s="85"/>
      <c r="I5449" s="122"/>
      <c r="J5449" s="150"/>
      <c r="K5449" s="69"/>
      <c r="L5449" s="49"/>
      <c r="P5449" s="3"/>
      <c r="Q5449" s="3"/>
      <c r="R5449" s="3"/>
      <c r="S5449" s="3"/>
      <c r="T5449" s="3"/>
      <c r="U5449" s="3"/>
      <c r="V5449" s="3"/>
      <c r="W5449" s="3"/>
      <c r="X5449" s="3"/>
      <c r="Y5449" s="4"/>
      <c r="Z5449"/>
      <c r="AA5449"/>
    </row>
    <row r="5450" spans="1:27" s="37" customFormat="1" x14ac:dyDescent="0.15">
      <c r="A5450" s="70"/>
      <c r="B5450" s="118"/>
      <c r="C5450" s="121"/>
      <c r="D5450" s="121"/>
      <c r="E5450" s="121"/>
      <c r="F5450" s="121"/>
      <c r="G5450" s="121"/>
      <c r="H5450" s="85"/>
      <c r="I5450" s="122"/>
      <c r="J5450" s="150"/>
      <c r="K5450" s="69"/>
      <c r="L5450" s="49"/>
      <c r="P5450" s="3"/>
      <c r="Q5450" s="3"/>
      <c r="R5450" s="3"/>
      <c r="S5450" s="3"/>
      <c r="T5450" s="3"/>
      <c r="U5450" s="3"/>
      <c r="V5450" s="3"/>
      <c r="W5450" s="3"/>
      <c r="X5450" s="3"/>
      <c r="Y5450" s="4"/>
      <c r="Z5450"/>
      <c r="AA5450"/>
    </row>
    <row r="5451" spans="1:27" s="37" customFormat="1" x14ac:dyDescent="0.15">
      <c r="A5451" s="70"/>
      <c r="B5451" s="118"/>
      <c r="C5451" s="121"/>
      <c r="D5451" s="121"/>
      <c r="E5451" s="121"/>
      <c r="F5451" s="121"/>
      <c r="G5451" s="121"/>
      <c r="H5451" s="85"/>
      <c r="I5451" s="122"/>
      <c r="J5451" s="150"/>
      <c r="K5451" s="69"/>
      <c r="L5451" s="49"/>
      <c r="P5451" s="3"/>
      <c r="Q5451" s="3"/>
      <c r="R5451" s="3"/>
      <c r="S5451" s="3"/>
      <c r="T5451" s="3"/>
      <c r="U5451" s="3"/>
      <c r="V5451" s="3"/>
      <c r="W5451" s="3"/>
      <c r="X5451" s="3"/>
      <c r="Y5451" s="4"/>
      <c r="Z5451"/>
      <c r="AA5451"/>
    </row>
    <row r="5452" spans="1:27" s="37" customFormat="1" x14ac:dyDescent="0.15">
      <c r="A5452" s="70"/>
      <c r="B5452" s="118"/>
      <c r="C5452" s="121"/>
      <c r="D5452" s="121"/>
      <c r="E5452" s="121"/>
      <c r="F5452" s="121"/>
      <c r="G5452" s="121"/>
      <c r="H5452" s="85"/>
      <c r="I5452" s="122"/>
      <c r="J5452" s="150"/>
      <c r="K5452" s="69"/>
      <c r="L5452" s="49"/>
      <c r="P5452" s="3"/>
      <c r="Q5452" s="3"/>
      <c r="R5452" s="3"/>
      <c r="S5452" s="3"/>
      <c r="T5452" s="3"/>
      <c r="U5452" s="3"/>
      <c r="V5452" s="3"/>
      <c r="W5452" s="3"/>
      <c r="X5452" s="3"/>
      <c r="Y5452" s="4"/>
      <c r="Z5452"/>
      <c r="AA5452"/>
    </row>
    <row r="5453" spans="1:27" s="37" customFormat="1" x14ac:dyDescent="0.15">
      <c r="A5453" s="70"/>
      <c r="B5453" s="118"/>
      <c r="C5453" s="121"/>
      <c r="D5453" s="121"/>
      <c r="E5453" s="121"/>
      <c r="F5453" s="121"/>
      <c r="G5453" s="121"/>
      <c r="H5453" s="85"/>
      <c r="I5453" s="122"/>
      <c r="J5453" s="150"/>
      <c r="K5453" s="69"/>
      <c r="L5453" s="49"/>
      <c r="P5453" s="3"/>
      <c r="Q5453" s="3"/>
      <c r="R5453" s="3"/>
      <c r="S5453" s="3"/>
      <c r="T5453" s="3"/>
      <c r="U5453" s="3"/>
      <c r="V5453" s="3"/>
      <c r="W5453" s="3"/>
      <c r="X5453" s="3"/>
      <c r="Y5453" s="4"/>
      <c r="Z5453"/>
      <c r="AA5453"/>
    </row>
    <row r="5454" spans="1:27" s="37" customFormat="1" x14ac:dyDescent="0.15">
      <c r="A5454" s="70"/>
      <c r="B5454" s="118"/>
      <c r="C5454" s="121"/>
      <c r="D5454" s="121"/>
      <c r="E5454" s="121"/>
      <c r="F5454" s="121"/>
      <c r="G5454" s="121"/>
      <c r="H5454" s="85"/>
      <c r="I5454" s="122"/>
      <c r="J5454" s="150"/>
      <c r="K5454" s="60"/>
      <c r="L5454" s="49"/>
      <c r="P5454" s="3"/>
      <c r="Q5454" s="3"/>
      <c r="R5454" s="3"/>
      <c r="S5454" s="3"/>
      <c r="T5454" s="3"/>
      <c r="U5454" s="3"/>
      <c r="V5454" s="3"/>
      <c r="W5454" s="3"/>
      <c r="X5454" s="3"/>
      <c r="Y5454" s="4"/>
      <c r="Z5454"/>
      <c r="AA5454"/>
    </row>
    <row r="5455" spans="1:27" s="37" customFormat="1" ht="16" x14ac:dyDescent="0.2">
      <c r="A5455" s="70"/>
      <c r="B5455" s="118"/>
      <c r="C5455" s="121"/>
      <c r="D5455" s="121"/>
      <c r="E5455" s="121"/>
      <c r="F5455" s="121"/>
      <c r="G5455" s="121"/>
      <c r="H5455" s="85"/>
      <c r="I5455" s="122"/>
      <c r="J5455" s="150"/>
      <c r="K5455" s="60"/>
      <c r="L5455" s="49"/>
      <c r="M5455" s="48"/>
      <c r="P5455" s="3"/>
      <c r="Q5455" s="3"/>
      <c r="R5455" s="3"/>
      <c r="S5455" s="3"/>
      <c r="T5455" s="3"/>
      <c r="U5455" s="3"/>
      <c r="V5455" s="3"/>
      <c r="W5455" s="3"/>
      <c r="X5455" s="3"/>
      <c r="Y5455" s="4"/>
      <c r="Z5455"/>
      <c r="AA5455"/>
    </row>
    <row r="5456" spans="1:27" s="37" customFormat="1" x14ac:dyDescent="0.15">
      <c r="A5456" s="70"/>
      <c r="B5456" s="118"/>
      <c r="C5456" s="121"/>
      <c r="D5456" s="121"/>
      <c r="E5456" s="121"/>
      <c r="F5456" s="121"/>
      <c r="G5456" s="121"/>
      <c r="H5456" s="85"/>
      <c r="I5456" s="122"/>
      <c r="J5456" s="150"/>
      <c r="K5456" s="69"/>
      <c r="L5456" s="49"/>
      <c r="P5456" s="3"/>
      <c r="Q5456" s="3"/>
      <c r="R5456" s="3"/>
      <c r="S5456" s="3"/>
      <c r="T5456" s="3"/>
      <c r="U5456" s="3"/>
      <c r="V5456" s="3"/>
      <c r="W5456" s="3"/>
      <c r="X5456" s="3"/>
      <c r="Y5456" s="4"/>
      <c r="Z5456"/>
      <c r="AA5456"/>
    </row>
    <row r="5457" spans="1:27" s="37" customFormat="1" x14ac:dyDescent="0.15">
      <c r="A5457" s="70"/>
      <c r="B5457" s="118"/>
      <c r="C5457" s="121"/>
      <c r="D5457" s="121"/>
      <c r="E5457" s="121"/>
      <c r="F5457" s="121"/>
      <c r="G5457" s="121"/>
      <c r="H5457" s="85"/>
      <c r="I5457" s="122"/>
      <c r="J5457" s="150"/>
      <c r="K5457" s="69"/>
      <c r="L5457" s="49"/>
      <c r="P5457" s="3"/>
      <c r="Q5457" s="3"/>
      <c r="R5457" s="3"/>
      <c r="S5457" s="3"/>
      <c r="T5457" s="3"/>
      <c r="U5457" s="3"/>
      <c r="V5457" s="3"/>
      <c r="W5457" s="3"/>
      <c r="X5457" s="3"/>
      <c r="Y5457" s="4"/>
      <c r="Z5457"/>
      <c r="AA5457"/>
    </row>
    <row r="5458" spans="1:27" s="37" customFormat="1" x14ac:dyDescent="0.15">
      <c r="A5458" s="70"/>
      <c r="B5458" s="118"/>
      <c r="C5458" s="121"/>
      <c r="D5458" s="121"/>
      <c r="E5458" s="121"/>
      <c r="F5458" s="121"/>
      <c r="G5458" s="121"/>
      <c r="H5458" s="85"/>
      <c r="I5458" s="122"/>
      <c r="J5458" s="150"/>
      <c r="K5458" s="69"/>
      <c r="L5458" s="49"/>
      <c r="P5458" s="3"/>
      <c r="Q5458" s="3"/>
      <c r="R5458" s="3"/>
      <c r="S5458" s="3"/>
      <c r="T5458" s="3"/>
      <c r="U5458" s="3"/>
      <c r="V5458" s="3"/>
      <c r="W5458" s="3"/>
      <c r="X5458" s="3"/>
      <c r="Y5458" s="4"/>
      <c r="Z5458"/>
      <c r="AA5458"/>
    </row>
    <row r="5459" spans="1:27" s="37" customFormat="1" x14ac:dyDescent="0.15">
      <c r="A5459" s="70"/>
      <c r="B5459" s="118"/>
      <c r="C5459" s="121"/>
      <c r="D5459" s="121"/>
      <c r="E5459" s="121"/>
      <c r="F5459" s="121"/>
      <c r="G5459" s="121"/>
      <c r="H5459" s="85"/>
      <c r="I5459" s="122"/>
      <c r="J5459" s="150"/>
      <c r="K5459" s="69"/>
      <c r="L5459" s="49"/>
      <c r="P5459" s="3"/>
      <c r="Q5459" s="3"/>
      <c r="R5459" s="3"/>
      <c r="S5459" s="3"/>
      <c r="T5459" s="3"/>
      <c r="U5459" s="3"/>
      <c r="V5459" s="3"/>
      <c r="W5459" s="3"/>
      <c r="X5459" s="3"/>
      <c r="Y5459" s="4"/>
      <c r="Z5459"/>
      <c r="AA5459"/>
    </row>
    <row r="5460" spans="1:27" s="37" customFormat="1" x14ac:dyDescent="0.15">
      <c r="A5460" s="70"/>
      <c r="B5460" s="118"/>
      <c r="C5460" s="121"/>
      <c r="D5460" s="121"/>
      <c r="E5460" s="121"/>
      <c r="F5460" s="121"/>
      <c r="G5460" s="121"/>
      <c r="H5460" s="85"/>
      <c r="I5460" s="122"/>
      <c r="J5460" s="150"/>
      <c r="K5460" s="69"/>
      <c r="L5460" s="49"/>
      <c r="P5460" s="3"/>
      <c r="Q5460" s="3"/>
      <c r="R5460" s="3"/>
      <c r="S5460" s="3"/>
      <c r="T5460" s="3"/>
      <c r="U5460" s="3"/>
      <c r="V5460" s="3"/>
      <c r="W5460" s="3"/>
      <c r="X5460" s="3"/>
      <c r="Y5460" s="4"/>
      <c r="Z5460"/>
      <c r="AA5460"/>
    </row>
    <row r="5461" spans="1:27" s="37" customFormat="1" x14ac:dyDescent="0.15">
      <c r="A5461" s="73"/>
      <c r="B5461" s="118"/>
      <c r="C5461" s="121"/>
      <c r="D5461" s="121"/>
      <c r="E5461" s="121"/>
      <c r="F5461" s="121"/>
      <c r="G5461" s="121"/>
      <c r="H5461" s="85"/>
      <c r="I5461" s="122"/>
      <c r="J5461" s="150"/>
      <c r="K5461" s="69"/>
      <c r="L5461" s="49"/>
      <c r="P5461" s="3"/>
      <c r="Q5461" s="3"/>
      <c r="R5461" s="3"/>
      <c r="S5461" s="3"/>
      <c r="T5461" s="3"/>
      <c r="U5461" s="3"/>
      <c r="V5461" s="3"/>
      <c r="W5461" s="3"/>
      <c r="X5461" s="3"/>
      <c r="Y5461" s="4"/>
      <c r="Z5461"/>
      <c r="AA5461"/>
    </row>
    <row r="5462" spans="1:27" s="37" customFormat="1" x14ac:dyDescent="0.15">
      <c r="A5462" s="70"/>
      <c r="B5462" s="118"/>
      <c r="C5462" s="121"/>
      <c r="D5462" s="121"/>
      <c r="E5462" s="121"/>
      <c r="F5462" s="121"/>
      <c r="G5462" s="121"/>
      <c r="H5462" s="85"/>
      <c r="I5462" s="122"/>
      <c r="J5462" s="150"/>
      <c r="K5462" s="69"/>
      <c r="L5462" s="49"/>
      <c r="P5462" s="3"/>
      <c r="Q5462" s="3"/>
      <c r="R5462" s="3"/>
      <c r="S5462" s="3"/>
      <c r="T5462" s="3"/>
      <c r="U5462" s="3"/>
      <c r="V5462" s="3"/>
      <c r="W5462" s="3"/>
      <c r="X5462" s="3"/>
      <c r="Y5462" s="4"/>
      <c r="Z5462"/>
      <c r="AA5462"/>
    </row>
    <row r="5463" spans="1:27" s="37" customFormat="1" x14ac:dyDescent="0.15">
      <c r="A5463" s="70"/>
      <c r="B5463" s="118"/>
      <c r="C5463" s="121"/>
      <c r="D5463" s="121"/>
      <c r="E5463" s="121"/>
      <c r="F5463" s="121"/>
      <c r="G5463" s="121"/>
      <c r="H5463" s="85"/>
      <c r="I5463" s="122"/>
      <c r="J5463" s="150"/>
      <c r="K5463" s="69"/>
      <c r="L5463" s="49"/>
      <c r="P5463" s="3"/>
      <c r="Q5463" s="3"/>
      <c r="R5463" s="3"/>
      <c r="S5463" s="3"/>
      <c r="T5463" s="3"/>
      <c r="U5463" s="3"/>
      <c r="V5463" s="3"/>
      <c r="W5463" s="3"/>
      <c r="X5463" s="3"/>
      <c r="Y5463" s="4"/>
      <c r="Z5463"/>
      <c r="AA5463"/>
    </row>
    <row r="5464" spans="1:27" s="37" customFormat="1" x14ac:dyDescent="0.15">
      <c r="A5464" s="70"/>
      <c r="B5464" s="118"/>
      <c r="C5464" s="121"/>
      <c r="D5464" s="121"/>
      <c r="E5464" s="121"/>
      <c r="F5464" s="121"/>
      <c r="G5464" s="121"/>
      <c r="H5464" s="85"/>
      <c r="I5464" s="122"/>
      <c r="J5464" s="150"/>
      <c r="K5464" s="69"/>
      <c r="L5464" s="49"/>
      <c r="P5464" s="3"/>
      <c r="Q5464" s="3"/>
      <c r="R5464" s="3"/>
      <c r="S5464" s="3"/>
      <c r="T5464" s="3"/>
      <c r="U5464" s="3"/>
      <c r="V5464" s="3"/>
      <c r="W5464" s="3"/>
      <c r="X5464" s="3"/>
      <c r="Y5464" s="4"/>
      <c r="Z5464"/>
      <c r="AA5464"/>
    </row>
    <row r="5465" spans="1:27" s="37" customFormat="1" x14ac:dyDescent="0.15">
      <c r="A5465" s="70"/>
      <c r="B5465" s="118"/>
      <c r="C5465" s="121"/>
      <c r="D5465" s="121"/>
      <c r="E5465" s="121"/>
      <c r="F5465" s="121"/>
      <c r="G5465" s="121"/>
      <c r="H5465" s="85"/>
      <c r="I5465" s="122"/>
      <c r="J5465" s="150"/>
      <c r="K5465" s="69"/>
      <c r="L5465" s="49"/>
      <c r="P5465" s="3"/>
      <c r="Q5465" s="3"/>
      <c r="R5465" s="3"/>
      <c r="S5465" s="3"/>
      <c r="T5465" s="3"/>
      <c r="U5465" s="3"/>
      <c r="V5465" s="3"/>
      <c r="W5465" s="3"/>
      <c r="X5465" s="3"/>
      <c r="Y5465" s="4"/>
      <c r="Z5465"/>
      <c r="AA5465"/>
    </row>
    <row r="5466" spans="1:27" s="37" customFormat="1" x14ac:dyDescent="0.15">
      <c r="A5466" s="70"/>
      <c r="B5466" s="118"/>
      <c r="C5466" s="121"/>
      <c r="D5466" s="121"/>
      <c r="E5466" s="121"/>
      <c r="F5466" s="121"/>
      <c r="G5466" s="121"/>
      <c r="H5466" s="85"/>
      <c r="I5466" s="122"/>
      <c r="J5466" s="150"/>
      <c r="K5466" s="69"/>
      <c r="L5466" s="49"/>
      <c r="P5466" s="3"/>
      <c r="Q5466" s="3"/>
      <c r="R5466" s="3"/>
      <c r="S5466" s="3"/>
      <c r="T5466" s="3"/>
      <c r="U5466" s="3"/>
      <c r="V5466" s="3"/>
      <c r="W5466" s="3"/>
      <c r="X5466" s="3"/>
      <c r="Y5466" s="4"/>
      <c r="Z5466"/>
      <c r="AA5466"/>
    </row>
    <row r="5467" spans="1:27" s="37" customFormat="1" x14ac:dyDescent="0.15">
      <c r="A5467" s="70"/>
      <c r="B5467" s="118"/>
      <c r="C5467" s="121"/>
      <c r="D5467" s="121"/>
      <c r="E5467" s="121"/>
      <c r="F5467" s="121"/>
      <c r="G5467" s="121"/>
      <c r="H5467" s="85"/>
      <c r="I5467" s="122"/>
      <c r="J5467" s="150"/>
      <c r="K5467" s="60"/>
      <c r="L5467" s="49"/>
      <c r="P5467" s="3"/>
      <c r="Q5467" s="3"/>
      <c r="R5467" s="3"/>
      <c r="S5467" s="3"/>
      <c r="T5467" s="3"/>
      <c r="U5467" s="3"/>
      <c r="V5467" s="3"/>
      <c r="W5467" s="3"/>
      <c r="X5467" s="3"/>
      <c r="Y5467" s="4"/>
      <c r="Z5467"/>
      <c r="AA5467"/>
    </row>
    <row r="5468" spans="1:27" s="37" customFormat="1" x14ac:dyDescent="0.15">
      <c r="A5468" s="70"/>
      <c r="B5468" s="118"/>
      <c r="C5468" s="121"/>
      <c r="D5468" s="121"/>
      <c r="E5468" s="121"/>
      <c r="F5468" s="121"/>
      <c r="G5468" s="121"/>
      <c r="H5468" s="85"/>
      <c r="I5468" s="122"/>
      <c r="J5468" s="150"/>
      <c r="K5468" s="60"/>
      <c r="L5468" s="49"/>
      <c r="P5468" s="3"/>
      <c r="Q5468" s="3"/>
      <c r="R5468" s="3"/>
      <c r="S5468" s="3"/>
      <c r="T5468" s="3"/>
      <c r="U5468" s="3"/>
      <c r="V5468" s="3"/>
      <c r="W5468" s="3"/>
      <c r="X5468" s="3"/>
      <c r="Y5468" s="4"/>
      <c r="Z5468"/>
      <c r="AA5468"/>
    </row>
    <row r="5469" spans="1:27" s="37" customFormat="1" x14ac:dyDescent="0.15">
      <c r="A5469" s="70"/>
      <c r="B5469" s="118"/>
      <c r="C5469" s="121"/>
      <c r="D5469" s="121"/>
      <c r="E5469" s="121"/>
      <c r="F5469" s="121"/>
      <c r="G5469" s="121"/>
      <c r="H5469" s="85"/>
      <c r="I5469" s="122"/>
      <c r="J5469" s="150"/>
      <c r="K5469" s="60"/>
      <c r="L5469" s="49"/>
      <c r="P5469" s="3"/>
      <c r="Q5469" s="3"/>
      <c r="R5469" s="3"/>
      <c r="S5469" s="3"/>
      <c r="T5469" s="3"/>
      <c r="U5469" s="3"/>
      <c r="V5469" s="3"/>
      <c r="W5469" s="3"/>
      <c r="X5469" s="3"/>
      <c r="Y5469" s="4"/>
      <c r="Z5469"/>
      <c r="AA5469"/>
    </row>
    <row r="5470" spans="1:27" s="37" customFormat="1" ht="16" x14ac:dyDescent="0.2">
      <c r="A5470" s="70"/>
      <c r="B5470" s="118"/>
      <c r="C5470" s="121"/>
      <c r="D5470" s="121"/>
      <c r="E5470" s="121"/>
      <c r="F5470" s="121"/>
      <c r="G5470" s="121"/>
      <c r="H5470" s="85"/>
      <c r="I5470" s="122"/>
      <c r="J5470" s="150"/>
      <c r="K5470" s="60"/>
      <c r="L5470" s="49"/>
      <c r="M5470" s="48"/>
      <c r="P5470" s="3"/>
      <c r="Q5470" s="3"/>
      <c r="R5470" s="3"/>
      <c r="S5470" s="3"/>
      <c r="T5470" s="3"/>
      <c r="U5470" s="3"/>
      <c r="V5470" s="3"/>
      <c r="W5470" s="3"/>
      <c r="X5470" s="3"/>
      <c r="Y5470" s="4"/>
      <c r="Z5470"/>
      <c r="AA5470"/>
    </row>
    <row r="5471" spans="1:27" s="37" customFormat="1" x14ac:dyDescent="0.15">
      <c r="A5471" s="70"/>
      <c r="B5471" s="118"/>
      <c r="C5471" s="121"/>
      <c r="D5471" s="121"/>
      <c r="E5471" s="121"/>
      <c r="F5471" s="121"/>
      <c r="G5471" s="121"/>
      <c r="H5471" s="85"/>
      <c r="I5471" s="122"/>
      <c r="J5471" s="150"/>
      <c r="K5471" s="60"/>
      <c r="L5471" s="49"/>
      <c r="P5471" s="3"/>
      <c r="Q5471" s="3"/>
      <c r="R5471" s="3"/>
      <c r="S5471" s="3"/>
      <c r="T5471" s="3"/>
      <c r="U5471" s="3"/>
      <c r="V5471" s="3"/>
      <c r="W5471" s="3"/>
      <c r="X5471" s="3"/>
      <c r="Y5471" s="4"/>
      <c r="Z5471"/>
      <c r="AA5471"/>
    </row>
    <row r="5472" spans="1:27" s="37" customFormat="1" x14ac:dyDescent="0.15">
      <c r="A5472" s="70"/>
      <c r="B5472" s="118"/>
      <c r="C5472" s="121"/>
      <c r="D5472" s="121"/>
      <c r="E5472" s="121"/>
      <c r="F5472" s="121"/>
      <c r="G5472" s="121"/>
      <c r="H5472" s="85"/>
      <c r="I5472" s="122"/>
      <c r="J5472" s="150"/>
      <c r="K5472" s="69"/>
      <c r="L5472" s="49"/>
      <c r="P5472" s="3"/>
      <c r="Q5472" s="3"/>
      <c r="R5472" s="3"/>
      <c r="S5472" s="3"/>
      <c r="T5472" s="3"/>
      <c r="U5472" s="3"/>
      <c r="V5472" s="3"/>
      <c r="W5472" s="3"/>
      <c r="X5472" s="3"/>
      <c r="Y5472" s="4"/>
      <c r="Z5472"/>
      <c r="AA5472"/>
    </row>
    <row r="5473" spans="1:27" s="37" customFormat="1" x14ac:dyDescent="0.15">
      <c r="A5473" s="70"/>
      <c r="B5473" s="118"/>
      <c r="C5473" s="121"/>
      <c r="D5473" s="121"/>
      <c r="E5473" s="121"/>
      <c r="F5473" s="121"/>
      <c r="G5473" s="121"/>
      <c r="H5473" s="85"/>
      <c r="I5473" s="122"/>
      <c r="J5473" s="150"/>
      <c r="K5473" s="69"/>
      <c r="L5473" s="49"/>
      <c r="P5473" s="3"/>
      <c r="Q5473" s="3"/>
      <c r="R5473" s="3"/>
      <c r="S5473" s="3"/>
      <c r="T5473" s="3"/>
      <c r="U5473" s="3"/>
      <c r="V5473" s="3"/>
      <c r="W5473" s="3"/>
      <c r="X5473" s="3"/>
      <c r="Y5473" s="4"/>
      <c r="Z5473"/>
      <c r="AA5473"/>
    </row>
    <row r="5474" spans="1:27" s="37" customFormat="1" x14ac:dyDescent="0.15">
      <c r="A5474" s="70"/>
      <c r="B5474" s="118"/>
      <c r="C5474" s="121"/>
      <c r="D5474" s="121"/>
      <c r="E5474" s="121"/>
      <c r="F5474" s="121"/>
      <c r="G5474" s="121"/>
      <c r="H5474" s="85"/>
      <c r="I5474" s="122"/>
      <c r="J5474" s="150"/>
      <c r="K5474" s="69"/>
      <c r="L5474" s="49"/>
      <c r="P5474" s="3"/>
      <c r="Q5474" s="3"/>
      <c r="R5474" s="3"/>
      <c r="S5474" s="3"/>
      <c r="T5474" s="3"/>
      <c r="U5474" s="3"/>
      <c r="V5474" s="3"/>
      <c r="W5474" s="3"/>
      <c r="X5474" s="3"/>
      <c r="Y5474" s="4"/>
      <c r="Z5474"/>
      <c r="AA5474"/>
    </row>
    <row r="5475" spans="1:27" s="37" customFormat="1" x14ac:dyDescent="0.15">
      <c r="A5475" s="70"/>
      <c r="B5475" s="118"/>
      <c r="C5475" s="121"/>
      <c r="D5475" s="121"/>
      <c r="E5475" s="121"/>
      <c r="F5475" s="121"/>
      <c r="G5475" s="121"/>
      <c r="H5475" s="85"/>
      <c r="I5475" s="122"/>
      <c r="J5475" s="150"/>
      <c r="K5475" s="69"/>
      <c r="L5475" s="49"/>
      <c r="P5475" s="3"/>
      <c r="Q5475" s="3"/>
      <c r="R5475" s="3"/>
      <c r="S5475" s="3"/>
      <c r="T5475" s="3"/>
      <c r="U5475" s="3"/>
      <c r="V5475" s="3"/>
      <c r="W5475" s="3"/>
      <c r="X5475" s="3"/>
      <c r="Y5475" s="4"/>
      <c r="Z5475"/>
      <c r="AA5475"/>
    </row>
    <row r="5476" spans="1:27" s="37" customFormat="1" x14ac:dyDescent="0.15">
      <c r="A5476" s="70"/>
      <c r="B5476" s="118"/>
      <c r="C5476" s="121"/>
      <c r="D5476" s="121"/>
      <c r="E5476" s="121"/>
      <c r="F5476" s="121"/>
      <c r="G5476" s="121"/>
      <c r="H5476" s="85"/>
      <c r="I5476" s="122"/>
      <c r="J5476" s="150"/>
      <c r="K5476" s="69"/>
      <c r="L5476" s="49"/>
      <c r="P5476" s="3"/>
      <c r="Q5476" s="3"/>
      <c r="R5476" s="3"/>
      <c r="S5476" s="3"/>
      <c r="T5476" s="3"/>
      <c r="U5476" s="3"/>
      <c r="V5476" s="3"/>
      <c r="W5476" s="3"/>
      <c r="X5476" s="3"/>
      <c r="Y5476" s="4"/>
      <c r="Z5476"/>
      <c r="AA5476"/>
    </row>
    <row r="5477" spans="1:27" s="37" customFormat="1" ht="16" x14ac:dyDescent="0.2">
      <c r="A5477" s="73"/>
      <c r="B5477" s="118"/>
      <c r="C5477" s="121"/>
      <c r="D5477" s="121"/>
      <c r="E5477" s="121"/>
      <c r="F5477" s="121"/>
      <c r="G5477" s="121"/>
      <c r="H5477" s="85"/>
      <c r="I5477" s="122"/>
      <c r="J5477" s="150"/>
      <c r="K5477" s="69"/>
      <c r="L5477" s="49"/>
      <c r="M5477" s="48"/>
      <c r="P5477" s="3"/>
      <c r="Q5477" s="3"/>
      <c r="R5477" s="3"/>
      <c r="S5477" s="3"/>
      <c r="T5477" s="3"/>
      <c r="U5477" s="3"/>
      <c r="V5477" s="3"/>
      <c r="W5477" s="3"/>
      <c r="X5477" s="3"/>
      <c r="Y5477" s="4"/>
      <c r="Z5477"/>
      <c r="AA5477"/>
    </row>
    <row r="5478" spans="1:27" s="37" customFormat="1" ht="16" x14ac:dyDescent="0.2">
      <c r="A5478" s="70"/>
      <c r="B5478" s="118"/>
      <c r="C5478" s="121"/>
      <c r="D5478" s="121"/>
      <c r="E5478" s="121"/>
      <c r="F5478" s="121"/>
      <c r="G5478" s="121"/>
      <c r="H5478" s="85"/>
      <c r="I5478" s="122"/>
      <c r="J5478" s="150"/>
      <c r="K5478" s="69"/>
      <c r="L5478" s="49"/>
      <c r="M5478" s="48"/>
      <c r="P5478" s="3"/>
      <c r="Q5478" s="3"/>
      <c r="R5478" s="3"/>
      <c r="S5478" s="3"/>
      <c r="T5478" s="3"/>
      <c r="U5478" s="3"/>
      <c r="V5478" s="3"/>
      <c r="W5478" s="3"/>
      <c r="X5478" s="3"/>
      <c r="Y5478" s="4"/>
      <c r="Z5478"/>
      <c r="AA5478"/>
    </row>
    <row r="5479" spans="1:27" s="37" customFormat="1" x14ac:dyDescent="0.15">
      <c r="A5479" s="70"/>
      <c r="B5479" s="118"/>
      <c r="C5479" s="121"/>
      <c r="D5479" s="121"/>
      <c r="E5479" s="121"/>
      <c r="F5479" s="121"/>
      <c r="G5479" s="121"/>
      <c r="H5479" s="85"/>
      <c r="I5479" s="122"/>
      <c r="J5479" s="150"/>
      <c r="K5479" s="69"/>
      <c r="L5479" s="49"/>
      <c r="P5479" s="3"/>
      <c r="Q5479" s="3"/>
      <c r="R5479" s="3"/>
      <c r="S5479" s="3"/>
      <c r="T5479" s="3"/>
      <c r="U5479" s="3"/>
      <c r="V5479" s="3"/>
      <c r="W5479" s="3"/>
      <c r="X5479" s="3"/>
      <c r="Y5479" s="4"/>
      <c r="Z5479"/>
      <c r="AA5479"/>
    </row>
    <row r="5480" spans="1:27" s="37" customFormat="1" x14ac:dyDescent="0.15">
      <c r="A5480" s="70"/>
      <c r="B5480" s="118"/>
      <c r="C5480" s="121"/>
      <c r="D5480" s="121"/>
      <c r="E5480" s="121"/>
      <c r="F5480" s="121"/>
      <c r="G5480" s="121"/>
      <c r="H5480" s="85"/>
      <c r="I5480" s="122"/>
      <c r="J5480" s="150"/>
      <c r="K5480" s="69"/>
      <c r="L5480" s="49"/>
      <c r="P5480" s="3"/>
      <c r="Q5480" s="3"/>
      <c r="R5480" s="3"/>
      <c r="S5480" s="3"/>
      <c r="T5480" s="3"/>
      <c r="U5480" s="3"/>
      <c r="V5480" s="3"/>
      <c r="W5480" s="3"/>
      <c r="X5480" s="3"/>
      <c r="Y5480" s="4"/>
      <c r="Z5480"/>
      <c r="AA5480"/>
    </row>
    <row r="5481" spans="1:27" s="37" customFormat="1" x14ac:dyDescent="0.15">
      <c r="A5481" s="70"/>
      <c r="B5481" s="118"/>
      <c r="C5481" s="121"/>
      <c r="D5481" s="121"/>
      <c r="E5481" s="121"/>
      <c r="F5481" s="121"/>
      <c r="G5481" s="121"/>
      <c r="H5481" s="85"/>
      <c r="I5481" s="122"/>
      <c r="J5481" s="150"/>
      <c r="K5481" s="69"/>
      <c r="L5481" s="49"/>
      <c r="P5481" s="3"/>
      <c r="Q5481" s="3"/>
      <c r="R5481" s="3"/>
      <c r="S5481" s="3"/>
      <c r="T5481" s="3"/>
      <c r="U5481" s="3"/>
      <c r="V5481" s="3"/>
      <c r="W5481" s="3"/>
      <c r="X5481" s="3"/>
      <c r="Y5481" s="4"/>
      <c r="Z5481"/>
      <c r="AA5481"/>
    </row>
    <row r="5482" spans="1:27" s="37" customFormat="1" x14ac:dyDescent="0.15">
      <c r="A5482" s="73"/>
      <c r="B5482" s="118"/>
      <c r="C5482" s="121"/>
      <c r="D5482" s="121"/>
      <c r="E5482" s="121"/>
      <c r="F5482" s="121"/>
      <c r="G5482" s="121"/>
      <c r="H5482" s="85"/>
      <c r="I5482" s="122"/>
      <c r="J5482" s="150"/>
      <c r="K5482" s="69"/>
      <c r="L5482" s="49"/>
      <c r="P5482" s="3"/>
      <c r="Q5482" s="3"/>
      <c r="R5482" s="3"/>
      <c r="S5482" s="3"/>
      <c r="T5482" s="3"/>
      <c r="U5482" s="3"/>
      <c r="V5482" s="3"/>
      <c r="W5482" s="3"/>
      <c r="X5482" s="3"/>
      <c r="Y5482" s="4"/>
      <c r="Z5482"/>
      <c r="AA5482"/>
    </row>
    <row r="5483" spans="1:27" s="37" customFormat="1" x14ac:dyDescent="0.15">
      <c r="A5483" s="70"/>
      <c r="B5483" s="118"/>
      <c r="C5483" s="121"/>
      <c r="D5483" s="121"/>
      <c r="E5483" s="121"/>
      <c r="F5483" s="121"/>
      <c r="G5483" s="121"/>
      <c r="H5483" s="85"/>
      <c r="I5483" s="122"/>
      <c r="J5483" s="150"/>
      <c r="K5483" s="69"/>
      <c r="L5483" s="49"/>
      <c r="P5483" s="3"/>
      <c r="Q5483" s="3"/>
      <c r="R5483" s="3"/>
      <c r="S5483" s="3"/>
      <c r="T5483" s="3"/>
      <c r="U5483" s="3"/>
      <c r="V5483" s="3"/>
      <c r="W5483" s="3"/>
      <c r="X5483" s="3"/>
      <c r="Y5483" s="4"/>
      <c r="Z5483"/>
      <c r="AA5483"/>
    </row>
    <row r="5484" spans="1:27" s="37" customFormat="1" x14ac:dyDescent="0.15">
      <c r="A5484" s="70"/>
      <c r="B5484" s="118"/>
      <c r="C5484" s="121"/>
      <c r="D5484" s="121"/>
      <c r="E5484" s="121"/>
      <c r="F5484" s="121"/>
      <c r="G5484" s="121"/>
      <c r="H5484" s="85"/>
      <c r="I5484" s="122"/>
      <c r="J5484" s="150"/>
      <c r="K5484" s="60"/>
      <c r="L5484" s="49"/>
      <c r="P5484" s="3"/>
      <c r="Q5484" s="3"/>
      <c r="R5484" s="3"/>
      <c r="S5484" s="3"/>
      <c r="T5484" s="3"/>
      <c r="U5484" s="3"/>
      <c r="V5484" s="3"/>
      <c r="W5484" s="3"/>
      <c r="X5484" s="3"/>
      <c r="Y5484" s="4"/>
      <c r="Z5484"/>
      <c r="AA5484"/>
    </row>
    <row r="5485" spans="1:27" s="37" customFormat="1" x14ac:dyDescent="0.15">
      <c r="A5485" s="70"/>
      <c r="B5485" s="118"/>
      <c r="C5485" s="121"/>
      <c r="D5485" s="121"/>
      <c r="E5485" s="121"/>
      <c r="F5485" s="121"/>
      <c r="G5485" s="121"/>
      <c r="H5485" s="85"/>
      <c r="I5485" s="122"/>
      <c r="J5485" s="150"/>
      <c r="K5485" s="69"/>
      <c r="L5485" s="49"/>
      <c r="P5485" s="3"/>
      <c r="Q5485" s="3"/>
      <c r="R5485" s="3"/>
      <c r="S5485" s="3"/>
      <c r="T5485" s="3"/>
      <c r="U5485" s="3"/>
      <c r="V5485" s="3"/>
      <c r="W5485" s="3"/>
      <c r="X5485" s="3"/>
      <c r="Y5485" s="4"/>
      <c r="Z5485"/>
      <c r="AA5485"/>
    </row>
    <row r="5486" spans="1:27" s="37" customFormat="1" ht="16" x14ac:dyDescent="0.2">
      <c r="A5486" s="70"/>
      <c r="B5486" s="118"/>
      <c r="C5486" s="121"/>
      <c r="D5486" s="121"/>
      <c r="E5486" s="121"/>
      <c r="F5486" s="121"/>
      <c r="G5486" s="121"/>
      <c r="H5486" s="85"/>
      <c r="I5486" s="122"/>
      <c r="J5486" s="150"/>
      <c r="K5486" s="69"/>
      <c r="L5486" s="49"/>
      <c r="M5486" s="48"/>
      <c r="P5486" s="3"/>
      <c r="Q5486" s="3"/>
      <c r="R5486" s="3"/>
      <c r="S5486" s="3"/>
      <c r="T5486" s="3"/>
      <c r="U5486" s="3"/>
      <c r="V5486" s="3"/>
      <c r="W5486" s="3"/>
      <c r="X5486" s="3"/>
      <c r="Y5486" s="4"/>
      <c r="Z5486"/>
      <c r="AA5486"/>
    </row>
    <row r="5487" spans="1:27" s="37" customFormat="1" x14ac:dyDescent="0.15">
      <c r="A5487" s="70"/>
      <c r="B5487" s="118"/>
      <c r="C5487" s="121"/>
      <c r="D5487" s="121"/>
      <c r="E5487" s="121"/>
      <c r="F5487" s="121"/>
      <c r="G5487" s="121"/>
      <c r="H5487" s="85"/>
      <c r="I5487" s="122"/>
      <c r="J5487" s="150"/>
      <c r="K5487" s="69"/>
      <c r="L5487" s="49"/>
      <c r="P5487" s="3"/>
      <c r="Q5487" s="3"/>
      <c r="R5487" s="3"/>
      <c r="S5487" s="3"/>
      <c r="T5487" s="3"/>
      <c r="U5487" s="3"/>
      <c r="V5487" s="3"/>
      <c r="W5487" s="3"/>
      <c r="X5487" s="3"/>
      <c r="Y5487" s="4"/>
      <c r="Z5487"/>
      <c r="AA5487"/>
    </row>
    <row r="5488" spans="1:27" s="37" customFormat="1" x14ac:dyDescent="0.15">
      <c r="A5488" s="70"/>
      <c r="B5488" s="118"/>
      <c r="C5488" s="121"/>
      <c r="D5488" s="121"/>
      <c r="E5488" s="121"/>
      <c r="F5488" s="121"/>
      <c r="G5488" s="121"/>
      <c r="H5488" s="85"/>
      <c r="I5488" s="122"/>
      <c r="J5488" s="150"/>
      <c r="K5488" s="69"/>
      <c r="L5488" s="49"/>
      <c r="P5488" s="3"/>
      <c r="Q5488" s="3"/>
      <c r="R5488" s="3"/>
      <c r="S5488" s="3"/>
      <c r="T5488" s="3"/>
      <c r="U5488" s="3"/>
      <c r="V5488" s="3"/>
      <c r="W5488" s="3"/>
      <c r="X5488" s="3"/>
      <c r="Y5488" s="4"/>
      <c r="Z5488"/>
      <c r="AA5488"/>
    </row>
    <row r="5489" spans="1:27" s="37" customFormat="1" x14ac:dyDescent="0.15">
      <c r="A5489" s="70"/>
      <c r="B5489" s="118"/>
      <c r="C5489" s="121"/>
      <c r="D5489" s="121"/>
      <c r="E5489" s="121"/>
      <c r="F5489" s="121"/>
      <c r="G5489" s="121"/>
      <c r="H5489" s="85"/>
      <c r="I5489" s="122"/>
      <c r="J5489" s="150"/>
      <c r="K5489" s="69"/>
      <c r="L5489" s="49"/>
      <c r="P5489" s="3"/>
      <c r="Q5489" s="3"/>
      <c r="R5489" s="3"/>
      <c r="S5489" s="3"/>
      <c r="T5489" s="3"/>
      <c r="U5489" s="3"/>
      <c r="V5489" s="3"/>
      <c r="W5489" s="3"/>
      <c r="X5489" s="3"/>
      <c r="Y5489" s="4"/>
      <c r="Z5489"/>
      <c r="AA5489"/>
    </row>
    <row r="5490" spans="1:27" s="37" customFormat="1" ht="16" x14ac:dyDescent="0.2">
      <c r="A5490" s="70"/>
      <c r="B5490" s="118"/>
      <c r="C5490" s="121"/>
      <c r="D5490" s="121"/>
      <c r="E5490" s="121"/>
      <c r="F5490" s="121"/>
      <c r="G5490" s="121"/>
      <c r="H5490" s="85"/>
      <c r="I5490" s="122"/>
      <c r="J5490" s="150"/>
      <c r="K5490" s="69"/>
      <c r="L5490" s="49"/>
      <c r="M5490" s="48"/>
      <c r="P5490" s="3"/>
      <c r="Q5490" s="3"/>
      <c r="R5490" s="3"/>
      <c r="S5490" s="3"/>
      <c r="T5490" s="3"/>
      <c r="U5490" s="3"/>
      <c r="V5490" s="3"/>
      <c r="W5490" s="3"/>
      <c r="X5490" s="3"/>
      <c r="Y5490" s="4"/>
      <c r="Z5490"/>
      <c r="AA5490"/>
    </row>
    <row r="5491" spans="1:27" s="37" customFormat="1" x14ac:dyDescent="0.15">
      <c r="A5491" s="70"/>
      <c r="B5491" s="118"/>
      <c r="C5491" s="121"/>
      <c r="D5491" s="121"/>
      <c r="E5491" s="121"/>
      <c r="F5491" s="121"/>
      <c r="G5491" s="121"/>
      <c r="H5491" s="85"/>
      <c r="I5491" s="122"/>
      <c r="J5491" s="150"/>
      <c r="K5491" s="69"/>
      <c r="L5491" s="49"/>
      <c r="P5491" s="3"/>
      <c r="Q5491" s="3"/>
      <c r="R5491" s="3"/>
      <c r="S5491" s="3"/>
      <c r="T5491" s="3"/>
      <c r="U5491" s="3"/>
      <c r="V5491" s="3"/>
      <c r="W5491" s="3"/>
      <c r="X5491" s="3"/>
      <c r="Y5491" s="4"/>
      <c r="Z5491"/>
      <c r="AA5491"/>
    </row>
    <row r="5492" spans="1:27" s="37" customFormat="1" x14ac:dyDescent="0.15">
      <c r="A5492" s="70"/>
      <c r="B5492" s="118"/>
      <c r="C5492" s="121"/>
      <c r="D5492" s="121"/>
      <c r="E5492" s="121"/>
      <c r="F5492" s="121"/>
      <c r="G5492" s="121"/>
      <c r="H5492" s="85"/>
      <c r="I5492" s="122"/>
      <c r="J5492" s="150"/>
      <c r="K5492" s="69"/>
      <c r="L5492" s="49"/>
      <c r="P5492" s="3"/>
      <c r="Q5492" s="3"/>
      <c r="R5492" s="3"/>
      <c r="S5492" s="3"/>
      <c r="T5492" s="3"/>
      <c r="U5492" s="3"/>
      <c r="V5492" s="3"/>
      <c r="W5492" s="3"/>
      <c r="X5492" s="3"/>
      <c r="Y5492" s="4"/>
      <c r="Z5492"/>
      <c r="AA5492"/>
    </row>
    <row r="5493" spans="1:27" s="37" customFormat="1" ht="16" x14ac:dyDescent="0.2">
      <c r="A5493" s="70"/>
      <c r="B5493" s="118"/>
      <c r="C5493" s="121"/>
      <c r="D5493" s="121"/>
      <c r="E5493" s="121"/>
      <c r="F5493" s="121"/>
      <c r="G5493" s="121"/>
      <c r="H5493" s="85"/>
      <c r="I5493" s="122"/>
      <c r="J5493" s="150"/>
      <c r="K5493" s="69"/>
      <c r="L5493" s="49"/>
      <c r="M5493" s="48"/>
      <c r="P5493" s="3"/>
      <c r="Q5493" s="3"/>
      <c r="R5493" s="3"/>
      <c r="S5493" s="3"/>
      <c r="T5493" s="3"/>
      <c r="U5493" s="3"/>
      <c r="V5493" s="3"/>
      <c r="W5493" s="3"/>
      <c r="X5493" s="3"/>
      <c r="Y5493" s="4"/>
      <c r="Z5493"/>
      <c r="AA5493"/>
    </row>
    <row r="5494" spans="1:27" s="37" customFormat="1" x14ac:dyDescent="0.15">
      <c r="A5494" s="70"/>
      <c r="B5494" s="118"/>
      <c r="C5494" s="121"/>
      <c r="D5494" s="121"/>
      <c r="E5494" s="121"/>
      <c r="F5494" s="121"/>
      <c r="G5494" s="121"/>
      <c r="H5494" s="85"/>
      <c r="I5494" s="122"/>
      <c r="J5494" s="150"/>
      <c r="K5494" s="69"/>
      <c r="L5494" s="49"/>
      <c r="P5494" s="3"/>
      <c r="Q5494" s="3"/>
      <c r="R5494" s="3"/>
      <c r="S5494" s="3"/>
      <c r="T5494" s="3"/>
      <c r="U5494" s="3"/>
      <c r="V5494" s="3"/>
      <c r="W5494" s="3"/>
      <c r="X5494" s="3"/>
      <c r="Y5494" s="4"/>
      <c r="Z5494"/>
      <c r="AA5494"/>
    </row>
    <row r="5495" spans="1:27" s="37" customFormat="1" ht="16" x14ac:dyDescent="0.2">
      <c r="A5495" s="73"/>
      <c r="B5495" s="118"/>
      <c r="C5495" s="121"/>
      <c r="D5495" s="121"/>
      <c r="E5495" s="121"/>
      <c r="F5495" s="121"/>
      <c r="G5495" s="121"/>
      <c r="H5495" s="85"/>
      <c r="I5495" s="122"/>
      <c r="J5495" s="150"/>
      <c r="K5495" s="69"/>
      <c r="L5495" s="49"/>
      <c r="M5495" s="48"/>
      <c r="P5495" s="3"/>
      <c r="Q5495" s="3"/>
      <c r="R5495" s="3"/>
      <c r="S5495" s="3"/>
      <c r="T5495" s="3"/>
      <c r="U5495" s="3"/>
      <c r="V5495" s="3"/>
      <c r="W5495" s="3"/>
      <c r="X5495" s="3"/>
      <c r="Y5495" s="4"/>
      <c r="Z5495"/>
      <c r="AA5495"/>
    </row>
    <row r="5496" spans="1:27" s="37" customFormat="1" ht="16" x14ac:dyDescent="0.2">
      <c r="A5496" s="70"/>
      <c r="B5496" s="118"/>
      <c r="C5496" s="121"/>
      <c r="D5496" s="121"/>
      <c r="E5496" s="121"/>
      <c r="F5496" s="121"/>
      <c r="G5496" s="121"/>
      <c r="H5496" s="85"/>
      <c r="I5496" s="122"/>
      <c r="J5496" s="150"/>
      <c r="K5496" s="69"/>
      <c r="L5496" s="49"/>
      <c r="M5496" s="48"/>
      <c r="P5496" s="3"/>
      <c r="Q5496" s="3"/>
      <c r="R5496" s="3"/>
      <c r="S5496" s="3"/>
      <c r="T5496" s="3"/>
      <c r="U5496" s="3"/>
      <c r="V5496" s="3"/>
      <c r="W5496" s="3"/>
      <c r="X5496" s="3"/>
      <c r="Y5496" s="4"/>
      <c r="Z5496"/>
      <c r="AA5496"/>
    </row>
    <row r="5497" spans="1:27" s="37" customFormat="1" ht="16" x14ac:dyDescent="0.2">
      <c r="A5497" s="70"/>
      <c r="B5497" s="118"/>
      <c r="C5497" s="121"/>
      <c r="D5497" s="121"/>
      <c r="E5497" s="121"/>
      <c r="F5497" s="121"/>
      <c r="G5497" s="121"/>
      <c r="H5497" s="85"/>
      <c r="I5497" s="122"/>
      <c r="J5497" s="150"/>
      <c r="K5497" s="69"/>
      <c r="L5497" s="49"/>
      <c r="M5497" s="48"/>
      <c r="P5497" s="3"/>
      <c r="Q5497" s="3"/>
      <c r="R5497" s="3"/>
      <c r="S5497" s="3"/>
      <c r="T5497" s="3"/>
      <c r="U5497" s="3"/>
      <c r="V5497" s="3"/>
      <c r="W5497" s="3"/>
      <c r="X5497" s="3"/>
      <c r="Y5497" s="4"/>
      <c r="Z5497"/>
      <c r="AA5497"/>
    </row>
    <row r="5498" spans="1:27" s="37" customFormat="1" ht="16" x14ac:dyDescent="0.2">
      <c r="A5498" s="73"/>
      <c r="B5498" s="118"/>
      <c r="C5498" s="121"/>
      <c r="D5498" s="121"/>
      <c r="E5498" s="121"/>
      <c r="F5498" s="121"/>
      <c r="G5498" s="121"/>
      <c r="H5498" s="85"/>
      <c r="I5498" s="122"/>
      <c r="J5498" s="150"/>
      <c r="K5498" s="69"/>
      <c r="L5498" s="49"/>
      <c r="M5498" s="48"/>
      <c r="P5498" s="3"/>
      <c r="Q5498" s="3"/>
      <c r="R5498" s="3"/>
      <c r="S5498" s="3"/>
      <c r="T5498" s="3"/>
      <c r="U5498" s="3"/>
      <c r="V5498" s="3"/>
      <c r="W5498" s="3"/>
      <c r="X5498" s="3"/>
      <c r="Y5498" s="4"/>
      <c r="Z5498"/>
      <c r="AA5498"/>
    </row>
    <row r="5499" spans="1:27" s="37" customFormat="1" ht="16" x14ac:dyDescent="0.2">
      <c r="A5499" s="70"/>
      <c r="B5499" s="118"/>
      <c r="C5499" s="121"/>
      <c r="D5499" s="121"/>
      <c r="E5499" s="121"/>
      <c r="F5499" s="121"/>
      <c r="G5499" s="121"/>
      <c r="H5499" s="85"/>
      <c r="I5499" s="122"/>
      <c r="J5499" s="150"/>
      <c r="K5499" s="69"/>
      <c r="L5499" s="49"/>
      <c r="M5499" s="48"/>
      <c r="P5499" s="3"/>
      <c r="Q5499" s="3"/>
      <c r="R5499" s="3"/>
      <c r="S5499" s="3"/>
      <c r="T5499" s="3"/>
      <c r="U5499" s="3"/>
      <c r="V5499" s="3"/>
      <c r="W5499" s="3"/>
      <c r="X5499" s="3"/>
      <c r="Y5499" s="4"/>
      <c r="Z5499"/>
      <c r="AA5499"/>
    </row>
    <row r="5500" spans="1:27" s="37" customFormat="1" ht="16" x14ac:dyDescent="0.2">
      <c r="A5500" s="70"/>
      <c r="B5500" s="118"/>
      <c r="C5500" s="121"/>
      <c r="D5500" s="121"/>
      <c r="E5500" s="121"/>
      <c r="F5500" s="121"/>
      <c r="G5500" s="121"/>
      <c r="H5500" s="85"/>
      <c r="I5500" s="122"/>
      <c r="J5500" s="150"/>
      <c r="K5500" s="69"/>
      <c r="L5500" s="49"/>
      <c r="M5500" s="48"/>
      <c r="P5500" s="3"/>
      <c r="Q5500" s="3"/>
      <c r="R5500" s="3"/>
      <c r="S5500" s="3"/>
      <c r="T5500" s="3"/>
      <c r="U5500" s="3"/>
      <c r="V5500" s="3"/>
      <c r="W5500" s="3"/>
      <c r="X5500" s="3"/>
      <c r="Y5500" s="4"/>
      <c r="Z5500"/>
      <c r="AA5500"/>
    </row>
    <row r="5501" spans="1:27" s="37" customFormat="1" ht="16" x14ac:dyDescent="0.2">
      <c r="A5501" s="70"/>
      <c r="B5501" s="118"/>
      <c r="C5501" s="121"/>
      <c r="D5501" s="121"/>
      <c r="E5501" s="121"/>
      <c r="F5501" s="121"/>
      <c r="G5501" s="121"/>
      <c r="H5501" s="85"/>
      <c r="I5501" s="122"/>
      <c r="J5501" s="150"/>
      <c r="K5501" s="69"/>
      <c r="L5501" s="49"/>
      <c r="M5501" s="48"/>
      <c r="P5501" s="3"/>
      <c r="Q5501" s="3"/>
      <c r="R5501" s="3"/>
      <c r="S5501" s="3"/>
      <c r="T5501" s="3"/>
      <c r="U5501" s="3"/>
      <c r="V5501" s="3"/>
      <c r="W5501" s="3"/>
      <c r="X5501" s="3"/>
      <c r="Y5501" s="4"/>
      <c r="Z5501"/>
      <c r="AA5501"/>
    </row>
    <row r="5502" spans="1:27" s="37" customFormat="1" x14ac:dyDescent="0.15">
      <c r="A5502" s="70"/>
      <c r="B5502" s="118"/>
      <c r="C5502" s="121"/>
      <c r="D5502" s="121"/>
      <c r="E5502" s="121"/>
      <c r="F5502" s="121"/>
      <c r="G5502" s="121"/>
      <c r="H5502" s="85"/>
      <c r="I5502" s="122"/>
      <c r="J5502" s="150"/>
      <c r="K5502" s="60"/>
      <c r="L5502" s="49"/>
      <c r="P5502" s="3"/>
      <c r="Q5502" s="3"/>
      <c r="R5502" s="3"/>
      <c r="S5502" s="3"/>
      <c r="T5502" s="3"/>
      <c r="U5502" s="3"/>
      <c r="V5502" s="3"/>
      <c r="W5502" s="3"/>
      <c r="X5502" s="3"/>
      <c r="Y5502" s="4"/>
      <c r="Z5502"/>
      <c r="AA5502"/>
    </row>
    <row r="5503" spans="1:27" s="37" customFormat="1" x14ac:dyDescent="0.15">
      <c r="A5503" s="70"/>
      <c r="B5503" s="118"/>
      <c r="C5503" s="121"/>
      <c r="D5503" s="121"/>
      <c r="E5503" s="121"/>
      <c r="F5503" s="121"/>
      <c r="G5503" s="121"/>
      <c r="H5503" s="85"/>
      <c r="I5503" s="122"/>
      <c r="J5503" s="150"/>
      <c r="K5503" s="69"/>
      <c r="L5503" s="49"/>
      <c r="P5503" s="3"/>
      <c r="Q5503" s="3"/>
      <c r="R5503" s="3"/>
      <c r="S5503" s="3"/>
      <c r="T5503" s="3"/>
      <c r="U5503" s="3"/>
      <c r="V5503" s="3"/>
      <c r="W5503" s="3"/>
      <c r="X5503" s="3"/>
      <c r="Y5503" s="4"/>
      <c r="Z5503"/>
      <c r="AA5503"/>
    </row>
    <row r="5504" spans="1:27" s="37" customFormat="1" x14ac:dyDescent="0.15">
      <c r="A5504" s="70"/>
      <c r="B5504" s="118"/>
      <c r="C5504" s="121"/>
      <c r="D5504" s="121"/>
      <c r="E5504" s="121"/>
      <c r="F5504" s="121"/>
      <c r="G5504" s="121"/>
      <c r="H5504" s="85"/>
      <c r="I5504" s="122"/>
      <c r="J5504" s="150"/>
      <c r="K5504" s="69"/>
      <c r="L5504" s="49"/>
      <c r="P5504" s="3"/>
      <c r="Q5504" s="3"/>
      <c r="R5504" s="3"/>
      <c r="S5504" s="3"/>
      <c r="T5504" s="3"/>
      <c r="U5504" s="3"/>
      <c r="V5504" s="3"/>
      <c r="W5504" s="3"/>
      <c r="X5504" s="3"/>
      <c r="Y5504" s="4"/>
      <c r="Z5504"/>
      <c r="AA5504"/>
    </row>
    <row r="5505" spans="1:27" s="37" customFormat="1" x14ac:dyDescent="0.15">
      <c r="A5505" s="70"/>
      <c r="B5505" s="118"/>
      <c r="C5505" s="121"/>
      <c r="D5505" s="121"/>
      <c r="E5505" s="121"/>
      <c r="F5505" s="121"/>
      <c r="G5505" s="121"/>
      <c r="H5505" s="85"/>
      <c r="I5505" s="122"/>
      <c r="J5505" s="150"/>
      <c r="K5505" s="69"/>
      <c r="L5505" s="49"/>
      <c r="P5505" s="3"/>
      <c r="Q5505" s="3"/>
      <c r="R5505" s="3"/>
      <c r="S5505" s="3"/>
      <c r="T5505" s="3"/>
      <c r="U5505" s="3"/>
      <c r="V5505" s="3"/>
      <c r="W5505" s="3"/>
      <c r="X5505" s="3"/>
      <c r="Y5505" s="4"/>
      <c r="Z5505"/>
      <c r="AA5505"/>
    </row>
    <row r="5506" spans="1:27" s="37" customFormat="1" ht="16" x14ac:dyDescent="0.2">
      <c r="A5506" s="70"/>
      <c r="B5506" s="118"/>
      <c r="C5506" s="121"/>
      <c r="D5506" s="121"/>
      <c r="E5506" s="121"/>
      <c r="F5506" s="121"/>
      <c r="G5506" s="121"/>
      <c r="H5506" s="85"/>
      <c r="I5506" s="122"/>
      <c r="J5506" s="150"/>
      <c r="K5506" s="60"/>
      <c r="L5506" s="49"/>
      <c r="M5506" s="48"/>
      <c r="P5506" s="3"/>
      <c r="Q5506" s="3"/>
      <c r="R5506" s="3"/>
      <c r="S5506" s="3"/>
      <c r="T5506" s="3"/>
      <c r="U5506" s="3"/>
      <c r="V5506" s="3"/>
      <c r="W5506" s="3"/>
      <c r="X5506" s="3"/>
      <c r="Y5506" s="4"/>
      <c r="Z5506"/>
      <c r="AA5506"/>
    </row>
    <row r="5507" spans="1:27" s="37" customFormat="1" x14ac:dyDescent="0.15">
      <c r="A5507" s="70"/>
      <c r="B5507" s="118"/>
      <c r="C5507" s="121"/>
      <c r="D5507" s="121"/>
      <c r="E5507" s="121"/>
      <c r="F5507" s="121"/>
      <c r="G5507" s="121"/>
      <c r="H5507" s="85"/>
      <c r="I5507" s="122"/>
      <c r="J5507" s="150"/>
      <c r="K5507" s="69"/>
      <c r="L5507" s="49"/>
      <c r="P5507" s="3"/>
      <c r="Q5507" s="3"/>
      <c r="R5507" s="3"/>
      <c r="S5507" s="3"/>
      <c r="T5507" s="3"/>
      <c r="U5507" s="3"/>
      <c r="V5507" s="3"/>
      <c r="W5507" s="3"/>
      <c r="X5507" s="3"/>
      <c r="Y5507" s="4"/>
      <c r="Z5507"/>
      <c r="AA5507"/>
    </row>
    <row r="5508" spans="1:27" s="37" customFormat="1" x14ac:dyDescent="0.15">
      <c r="A5508" s="70"/>
      <c r="B5508" s="118"/>
      <c r="C5508" s="121"/>
      <c r="D5508" s="121"/>
      <c r="E5508" s="121"/>
      <c r="F5508" s="121"/>
      <c r="G5508" s="121"/>
      <c r="H5508" s="85"/>
      <c r="I5508" s="122"/>
      <c r="J5508" s="150"/>
      <c r="K5508" s="60"/>
      <c r="L5508" s="49"/>
      <c r="P5508" s="3"/>
      <c r="Q5508" s="3"/>
      <c r="R5508" s="3"/>
      <c r="S5508" s="3"/>
      <c r="T5508" s="3"/>
      <c r="U5508" s="3"/>
      <c r="V5508" s="3"/>
      <c r="W5508" s="3"/>
      <c r="X5508" s="3"/>
      <c r="Y5508" s="4"/>
      <c r="Z5508"/>
      <c r="AA5508"/>
    </row>
    <row r="5509" spans="1:27" s="37" customFormat="1" x14ac:dyDescent="0.15">
      <c r="A5509" s="70"/>
      <c r="B5509" s="118"/>
      <c r="C5509" s="121"/>
      <c r="D5509" s="121"/>
      <c r="E5509" s="121"/>
      <c r="F5509" s="121"/>
      <c r="G5509" s="121"/>
      <c r="H5509" s="85"/>
      <c r="I5509" s="122"/>
      <c r="J5509" s="150"/>
      <c r="K5509" s="69"/>
      <c r="L5509" s="49"/>
      <c r="P5509" s="3"/>
      <c r="Q5509" s="3"/>
      <c r="R5509" s="3"/>
      <c r="S5509" s="3"/>
      <c r="T5509" s="3"/>
      <c r="U5509" s="3"/>
      <c r="V5509" s="3"/>
      <c r="W5509" s="3"/>
      <c r="X5509" s="3"/>
      <c r="Y5509" s="4"/>
      <c r="Z5509"/>
      <c r="AA5509"/>
    </row>
    <row r="5510" spans="1:27" s="37" customFormat="1" x14ac:dyDescent="0.15">
      <c r="A5510" s="70"/>
      <c r="B5510" s="118"/>
      <c r="C5510" s="121"/>
      <c r="D5510" s="121"/>
      <c r="E5510" s="121"/>
      <c r="F5510" s="121"/>
      <c r="G5510" s="121"/>
      <c r="H5510" s="85"/>
      <c r="I5510" s="122"/>
      <c r="J5510" s="150"/>
      <c r="K5510" s="69"/>
      <c r="L5510" s="49"/>
      <c r="P5510" s="3"/>
      <c r="Q5510" s="3"/>
      <c r="R5510" s="3"/>
      <c r="S5510" s="3"/>
      <c r="T5510" s="3"/>
      <c r="U5510" s="3"/>
      <c r="V5510" s="3"/>
      <c r="W5510" s="3"/>
      <c r="X5510" s="3"/>
      <c r="Y5510" s="4"/>
      <c r="Z5510"/>
      <c r="AA5510"/>
    </row>
    <row r="5511" spans="1:27" s="37" customFormat="1" x14ac:dyDescent="0.15">
      <c r="A5511" s="70"/>
      <c r="B5511" s="118"/>
      <c r="C5511" s="121"/>
      <c r="D5511" s="121"/>
      <c r="E5511" s="121"/>
      <c r="F5511" s="121"/>
      <c r="G5511" s="121"/>
      <c r="H5511" s="85"/>
      <c r="I5511" s="122"/>
      <c r="J5511" s="150"/>
      <c r="K5511" s="69"/>
      <c r="L5511" s="49"/>
      <c r="P5511" s="3"/>
      <c r="Q5511" s="3"/>
      <c r="R5511" s="3"/>
      <c r="S5511" s="3"/>
      <c r="T5511" s="3"/>
      <c r="U5511" s="3"/>
      <c r="V5511" s="3"/>
      <c r="W5511" s="3"/>
      <c r="X5511" s="3"/>
      <c r="Y5511" s="4"/>
      <c r="Z5511"/>
      <c r="AA5511"/>
    </row>
    <row r="5512" spans="1:27" s="37" customFormat="1" x14ac:dyDescent="0.15">
      <c r="A5512" s="70"/>
      <c r="B5512" s="118"/>
      <c r="C5512" s="121"/>
      <c r="D5512" s="121"/>
      <c r="E5512" s="121"/>
      <c r="F5512" s="121"/>
      <c r="G5512" s="121"/>
      <c r="H5512" s="85"/>
      <c r="I5512" s="122"/>
      <c r="J5512" s="150"/>
      <c r="K5512" s="69"/>
      <c r="L5512" s="49"/>
      <c r="P5512" s="3"/>
      <c r="Q5512" s="3"/>
      <c r="R5512" s="3"/>
      <c r="S5512" s="3"/>
      <c r="T5512" s="3"/>
      <c r="U5512" s="3"/>
      <c r="V5512" s="3"/>
      <c r="W5512" s="3"/>
      <c r="X5512" s="3"/>
      <c r="Y5512" s="4"/>
      <c r="Z5512"/>
      <c r="AA5512"/>
    </row>
    <row r="5513" spans="1:27" s="37" customFormat="1" x14ac:dyDescent="0.15">
      <c r="A5513" s="70"/>
      <c r="B5513" s="118"/>
      <c r="C5513" s="121"/>
      <c r="D5513" s="121"/>
      <c r="E5513" s="121"/>
      <c r="F5513" s="121"/>
      <c r="G5513" s="121"/>
      <c r="H5513" s="85"/>
      <c r="I5513" s="122"/>
      <c r="J5513" s="150"/>
      <c r="K5513" s="69"/>
      <c r="L5513" s="49"/>
      <c r="P5513" s="3"/>
      <c r="Q5513" s="3"/>
      <c r="R5513" s="3"/>
      <c r="S5513" s="3"/>
      <c r="T5513" s="3"/>
      <c r="U5513" s="3"/>
      <c r="V5513" s="3"/>
      <c r="W5513" s="3"/>
      <c r="X5513" s="3"/>
      <c r="Y5513" s="4"/>
      <c r="Z5513"/>
      <c r="AA5513"/>
    </row>
    <row r="5514" spans="1:27" s="37" customFormat="1" x14ac:dyDescent="0.15">
      <c r="A5514" s="70"/>
      <c r="B5514" s="118"/>
      <c r="C5514" s="121"/>
      <c r="D5514" s="121"/>
      <c r="E5514" s="121"/>
      <c r="F5514" s="121"/>
      <c r="G5514" s="121"/>
      <c r="H5514" s="85"/>
      <c r="I5514" s="122"/>
      <c r="J5514" s="150"/>
      <c r="K5514" s="69"/>
      <c r="L5514" s="49"/>
      <c r="P5514" s="3"/>
      <c r="Q5514" s="3"/>
      <c r="R5514" s="3"/>
      <c r="S5514" s="3"/>
      <c r="T5514" s="3"/>
      <c r="U5514" s="3"/>
      <c r="V5514" s="3"/>
      <c r="W5514" s="3"/>
      <c r="X5514" s="3"/>
      <c r="Y5514" s="4"/>
      <c r="Z5514"/>
      <c r="AA5514"/>
    </row>
    <row r="5515" spans="1:27" s="37" customFormat="1" x14ac:dyDescent="0.15">
      <c r="A5515" s="70"/>
      <c r="B5515" s="118"/>
      <c r="C5515" s="121"/>
      <c r="D5515" s="121"/>
      <c r="E5515" s="121"/>
      <c r="F5515" s="121"/>
      <c r="G5515" s="121"/>
      <c r="H5515" s="85"/>
      <c r="I5515" s="122"/>
      <c r="J5515" s="150"/>
      <c r="K5515" s="69"/>
      <c r="L5515" s="49"/>
      <c r="N5515" s="51"/>
      <c r="P5515" s="3"/>
      <c r="Q5515" s="3"/>
      <c r="R5515" s="3"/>
      <c r="S5515" s="3"/>
      <c r="T5515" s="3"/>
      <c r="U5515" s="3"/>
      <c r="V5515" s="3"/>
      <c r="W5515" s="3"/>
      <c r="X5515" s="3"/>
      <c r="Y5515" s="4"/>
      <c r="Z5515"/>
      <c r="AA5515"/>
    </row>
    <row r="5516" spans="1:27" s="37" customFormat="1" x14ac:dyDescent="0.15">
      <c r="A5516" s="70"/>
      <c r="B5516" s="118"/>
      <c r="C5516" s="121"/>
      <c r="D5516" s="121"/>
      <c r="E5516" s="121"/>
      <c r="F5516" s="121"/>
      <c r="G5516" s="121"/>
      <c r="H5516" s="85"/>
      <c r="I5516" s="122"/>
      <c r="J5516" s="150"/>
      <c r="K5516" s="69"/>
      <c r="L5516" s="49"/>
      <c r="P5516" s="3"/>
      <c r="Q5516" s="3"/>
      <c r="R5516" s="3"/>
      <c r="S5516" s="3"/>
      <c r="T5516" s="3"/>
      <c r="U5516" s="3"/>
      <c r="V5516" s="3"/>
      <c r="W5516" s="3"/>
      <c r="X5516" s="3"/>
      <c r="Y5516" s="4"/>
      <c r="Z5516"/>
      <c r="AA5516"/>
    </row>
    <row r="5517" spans="1:27" s="37" customFormat="1" x14ac:dyDescent="0.15">
      <c r="A5517" s="70"/>
      <c r="B5517" s="118"/>
      <c r="C5517" s="121"/>
      <c r="D5517" s="121"/>
      <c r="E5517" s="121"/>
      <c r="F5517" s="121"/>
      <c r="G5517" s="121"/>
      <c r="H5517" s="85"/>
      <c r="I5517" s="122"/>
      <c r="J5517" s="150"/>
      <c r="K5517" s="60"/>
      <c r="L5517" s="49"/>
      <c r="P5517" s="3"/>
      <c r="Q5517" s="3"/>
      <c r="R5517" s="3"/>
      <c r="S5517" s="3"/>
      <c r="T5517" s="3"/>
      <c r="U5517" s="3"/>
      <c r="V5517" s="3"/>
      <c r="W5517" s="3"/>
      <c r="X5517" s="3"/>
      <c r="Y5517" s="4"/>
      <c r="Z5517"/>
      <c r="AA5517"/>
    </row>
    <row r="5518" spans="1:27" s="37" customFormat="1" x14ac:dyDescent="0.15">
      <c r="A5518" s="70"/>
      <c r="B5518" s="118"/>
      <c r="C5518" s="121"/>
      <c r="D5518" s="121"/>
      <c r="E5518" s="121"/>
      <c r="F5518" s="121"/>
      <c r="G5518" s="121"/>
      <c r="H5518" s="85"/>
      <c r="I5518" s="122"/>
      <c r="J5518" s="150"/>
      <c r="K5518" s="69"/>
      <c r="L5518" s="49"/>
      <c r="P5518" s="3"/>
      <c r="Q5518" s="3"/>
      <c r="R5518" s="3"/>
      <c r="S5518" s="3"/>
      <c r="T5518" s="3"/>
      <c r="U5518" s="3"/>
      <c r="V5518" s="3"/>
      <c r="W5518" s="3"/>
      <c r="X5518" s="3"/>
      <c r="Y5518" s="4"/>
      <c r="Z5518"/>
      <c r="AA5518"/>
    </row>
    <row r="5519" spans="1:27" s="37" customFormat="1" x14ac:dyDescent="0.15">
      <c r="A5519" s="70"/>
      <c r="B5519" s="118"/>
      <c r="C5519" s="121"/>
      <c r="D5519" s="121"/>
      <c r="E5519" s="121"/>
      <c r="F5519" s="121"/>
      <c r="G5519" s="121"/>
      <c r="H5519" s="85"/>
      <c r="I5519" s="122"/>
      <c r="J5519" s="150"/>
      <c r="K5519" s="69"/>
      <c r="L5519" s="49"/>
      <c r="P5519" s="3"/>
      <c r="Q5519" s="3"/>
      <c r="R5519" s="3"/>
      <c r="S5519" s="3"/>
      <c r="T5519" s="3"/>
      <c r="U5519" s="3"/>
      <c r="V5519" s="3"/>
      <c r="W5519" s="3"/>
      <c r="X5519" s="3"/>
      <c r="Y5519" s="4"/>
      <c r="Z5519"/>
      <c r="AA5519"/>
    </row>
    <row r="5520" spans="1:27" s="37" customFormat="1" x14ac:dyDescent="0.15">
      <c r="A5520" s="70"/>
      <c r="B5520" s="118"/>
      <c r="C5520" s="121"/>
      <c r="D5520" s="121"/>
      <c r="E5520" s="121"/>
      <c r="F5520" s="121"/>
      <c r="G5520" s="121"/>
      <c r="H5520" s="85"/>
      <c r="I5520" s="122"/>
      <c r="J5520" s="150"/>
      <c r="K5520" s="69"/>
      <c r="L5520" s="49"/>
      <c r="P5520" s="3"/>
      <c r="Q5520" s="3"/>
      <c r="R5520" s="3"/>
      <c r="S5520" s="3"/>
      <c r="T5520" s="3"/>
      <c r="U5520" s="3"/>
      <c r="V5520" s="3"/>
      <c r="W5520" s="3"/>
      <c r="X5520" s="3"/>
      <c r="Y5520" s="4"/>
      <c r="Z5520"/>
      <c r="AA5520"/>
    </row>
    <row r="5521" spans="1:27" s="37" customFormat="1" x14ac:dyDescent="0.15">
      <c r="A5521" s="70"/>
      <c r="B5521" s="118"/>
      <c r="C5521" s="121"/>
      <c r="D5521" s="121"/>
      <c r="E5521" s="121"/>
      <c r="F5521" s="121"/>
      <c r="G5521" s="121"/>
      <c r="H5521" s="85"/>
      <c r="I5521" s="122"/>
      <c r="J5521" s="150"/>
      <c r="K5521" s="69"/>
      <c r="L5521" s="49"/>
      <c r="P5521" s="3"/>
      <c r="Q5521" s="3"/>
      <c r="R5521" s="3"/>
      <c r="S5521" s="3"/>
      <c r="T5521" s="3"/>
      <c r="U5521" s="3"/>
      <c r="V5521" s="3"/>
      <c r="W5521" s="3"/>
      <c r="X5521" s="3"/>
      <c r="Y5521" s="4"/>
      <c r="Z5521"/>
      <c r="AA5521"/>
    </row>
    <row r="5522" spans="1:27" s="37" customFormat="1" x14ac:dyDescent="0.15">
      <c r="A5522" s="70"/>
      <c r="B5522" s="118"/>
      <c r="C5522" s="121"/>
      <c r="D5522" s="121"/>
      <c r="E5522" s="121"/>
      <c r="F5522" s="121"/>
      <c r="G5522" s="121"/>
      <c r="H5522" s="85"/>
      <c r="I5522" s="122"/>
      <c r="J5522" s="150"/>
      <c r="K5522" s="69"/>
      <c r="L5522" s="49"/>
      <c r="P5522" s="3"/>
      <c r="Q5522" s="3"/>
      <c r="R5522" s="3"/>
      <c r="S5522" s="3"/>
      <c r="T5522" s="3"/>
      <c r="U5522" s="3"/>
      <c r="V5522" s="3"/>
      <c r="W5522" s="3"/>
      <c r="X5522" s="3"/>
      <c r="Y5522" s="4"/>
      <c r="Z5522"/>
      <c r="AA5522"/>
    </row>
    <row r="5523" spans="1:27" s="37" customFormat="1" x14ac:dyDescent="0.15">
      <c r="A5523" s="70"/>
      <c r="B5523" s="118"/>
      <c r="C5523" s="121"/>
      <c r="D5523" s="121"/>
      <c r="E5523" s="121"/>
      <c r="F5523" s="121"/>
      <c r="G5523" s="121"/>
      <c r="H5523" s="85"/>
      <c r="I5523" s="122"/>
      <c r="J5523" s="150"/>
      <c r="K5523" s="69"/>
      <c r="L5523" s="49"/>
      <c r="P5523" s="3"/>
      <c r="Q5523" s="3"/>
      <c r="R5523" s="3"/>
      <c r="S5523" s="3"/>
      <c r="T5523" s="3"/>
      <c r="U5523" s="3"/>
      <c r="V5523" s="3"/>
      <c r="W5523" s="3"/>
      <c r="X5523" s="3"/>
      <c r="Y5523" s="4"/>
      <c r="Z5523"/>
      <c r="AA5523"/>
    </row>
    <row r="5524" spans="1:27" s="37" customFormat="1" x14ac:dyDescent="0.15">
      <c r="A5524" s="70"/>
      <c r="B5524" s="118"/>
      <c r="C5524" s="121"/>
      <c r="D5524" s="121"/>
      <c r="E5524" s="121"/>
      <c r="F5524" s="121"/>
      <c r="G5524" s="121"/>
      <c r="H5524" s="85"/>
      <c r="I5524" s="122"/>
      <c r="J5524" s="150"/>
      <c r="K5524" s="69"/>
      <c r="L5524" s="49"/>
      <c r="N5524" s="51"/>
      <c r="P5524" s="3"/>
      <c r="Q5524" s="3"/>
      <c r="R5524" s="3"/>
      <c r="S5524" s="3"/>
      <c r="T5524" s="3"/>
      <c r="U5524" s="3"/>
      <c r="V5524" s="3"/>
      <c r="W5524" s="3"/>
      <c r="X5524" s="3"/>
      <c r="Y5524" s="4"/>
      <c r="Z5524"/>
      <c r="AA5524"/>
    </row>
    <row r="5525" spans="1:27" s="37" customFormat="1" x14ac:dyDescent="0.15">
      <c r="A5525" s="70"/>
      <c r="B5525" s="118"/>
      <c r="C5525" s="121"/>
      <c r="D5525" s="121"/>
      <c r="E5525" s="121"/>
      <c r="F5525" s="121"/>
      <c r="G5525" s="121"/>
      <c r="H5525" s="85"/>
      <c r="I5525" s="122"/>
      <c r="J5525" s="150"/>
      <c r="K5525" s="69"/>
      <c r="L5525" s="49"/>
      <c r="P5525" s="3"/>
      <c r="Q5525" s="3"/>
      <c r="R5525" s="3"/>
      <c r="S5525" s="3"/>
      <c r="T5525" s="3"/>
      <c r="U5525" s="3"/>
      <c r="V5525" s="3"/>
      <c r="W5525" s="3"/>
      <c r="X5525" s="3"/>
      <c r="Y5525" s="4"/>
      <c r="Z5525"/>
      <c r="AA5525"/>
    </row>
    <row r="5526" spans="1:27" s="37" customFormat="1" x14ac:dyDescent="0.15">
      <c r="A5526" s="70"/>
      <c r="B5526" s="118"/>
      <c r="C5526" s="121"/>
      <c r="D5526" s="121"/>
      <c r="E5526" s="121"/>
      <c r="F5526" s="121"/>
      <c r="G5526" s="121"/>
      <c r="H5526" s="85"/>
      <c r="I5526" s="122"/>
      <c r="J5526" s="150"/>
      <c r="K5526" s="69"/>
      <c r="L5526" s="49"/>
      <c r="P5526" s="3"/>
      <c r="Q5526" s="3"/>
      <c r="R5526" s="3"/>
      <c r="S5526" s="3"/>
      <c r="T5526" s="3"/>
      <c r="U5526" s="3"/>
      <c r="V5526" s="3"/>
      <c r="W5526" s="3"/>
      <c r="X5526" s="3"/>
      <c r="Y5526" s="4"/>
      <c r="Z5526"/>
      <c r="AA5526"/>
    </row>
    <row r="5527" spans="1:27" s="37" customFormat="1" x14ac:dyDescent="0.15">
      <c r="A5527" s="70"/>
      <c r="B5527" s="118"/>
      <c r="C5527" s="121"/>
      <c r="D5527" s="121"/>
      <c r="E5527" s="121"/>
      <c r="F5527" s="121"/>
      <c r="G5527" s="121"/>
      <c r="H5527" s="85"/>
      <c r="I5527" s="122"/>
      <c r="J5527" s="150"/>
      <c r="K5527" s="60"/>
      <c r="L5527" s="49"/>
      <c r="P5527" s="3"/>
      <c r="Q5527" s="3"/>
      <c r="R5527" s="3"/>
      <c r="S5527" s="3"/>
      <c r="T5527" s="3"/>
      <c r="U5527" s="3"/>
      <c r="V5527" s="3"/>
      <c r="W5527" s="3"/>
      <c r="X5527" s="3"/>
      <c r="Y5527" s="4"/>
      <c r="Z5527"/>
      <c r="AA5527"/>
    </row>
    <row r="5528" spans="1:27" s="37" customFormat="1" x14ac:dyDescent="0.15">
      <c r="A5528" s="70"/>
      <c r="B5528" s="118"/>
      <c r="C5528" s="121"/>
      <c r="D5528" s="121"/>
      <c r="E5528" s="121"/>
      <c r="F5528" s="121"/>
      <c r="G5528" s="121"/>
      <c r="H5528" s="85"/>
      <c r="I5528" s="122"/>
      <c r="J5528" s="150"/>
      <c r="K5528" s="60"/>
      <c r="L5528" s="49"/>
      <c r="P5528" s="3"/>
      <c r="Q5528" s="3"/>
      <c r="R5528" s="3"/>
      <c r="S5528" s="3"/>
      <c r="T5528" s="3"/>
      <c r="U5528" s="3"/>
      <c r="V5528" s="3"/>
      <c r="W5528" s="3"/>
      <c r="X5528" s="3"/>
      <c r="Y5528" s="4"/>
      <c r="Z5528"/>
      <c r="AA5528"/>
    </row>
    <row r="5529" spans="1:27" s="37" customFormat="1" ht="16" x14ac:dyDescent="0.2">
      <c r="A5529" s="70"/>
      <c r="B5529" s="118"/>
      <c r="C5529" s="121"/>
      <c r="D5529" s="121"/>
      <c r="E5529" s="121"/>
      <c r="F5529" s="121"/>
      <c r="G5529" s="121"/>
      <c r="H5529" s="85"/>
      <c r="I5529" s="122"/>
      <c r="J5529" s="150"/>
      <c r="K5529" s="60"/>
      <c r="L5529" s="49"/>
      <c r="M5529" s="48"/>
      <c r="P5529" s="3"/>
      <c r="Q5529" s="3"/>
      <c r="R5529" s="3"/>
      <c r="S5529" s="3"/>
      <c r="T5529" s="3"/>
      <c r="U5529" s="3"/>
      <c r="V5529" s="3"/>
      <c r="W5529" s="3"/>
      <c r="X5529" s="3"/>
      <c r="Y5529" s="4"/>
      <c r="Z5529"/>
      <c r="AA5529"/>
    </row>
    <row r="5530" spans="1:27" s="37" customFormat="1" x14ac:dyDescent="0.15">
      <c r="A5530" s="70"/>
      <c r="B5530" s="118"/>
      <c r="C5530" s="121"/>
      <c r="D5530" s="121"/>
      <c r="E5530" s="121"/>
      <c r="F5530" s="121"/>
      <c r="G5530" s="121"/>
      <c r="H5530" s="85"/>
      <c r="I5530" s="122"/>
      <c r="J5530" s="150"/>
      <c r="K5530" s="69"/>
      <c r="L5530" s="49"/>
      <c r="P5530" s="3"/>
      <c r="Q5530" s="3"/>
      <c r="R5530" s="3"/>
      <c r="S5530" s="3"/>
      <c r="T5530" s="3"/>
      <c r="U5530" s="3"/>
      <c r="V5530" s="3"/>
      <c r="W5530" s="3"/>
      <c r="X5530" s="3"/>
      <c r="Y5530" s="4"/>
      <c r="Z5530"/>
      <c r="AA5530"/>
    </row>
    <row r="5531" spans="1:27" s="37" customFormat="1" x14ac:dyDescent="0.15">
      <c r="A5531" s="70"/>
      <c r="B5531" s="118"/>
      <c r="C5531" s="121"/>
      <c r="D5531" s="121"/>
      <c r="E5531" s="121"/>
      <c r="F5531" s="121"/>
      <c r="G5531" s="121"/>
      <c r="H5531" s="85"/>
      <c r="I5531" s="122"/>
      <c r="J5531" s="150"/>
      <c r="K5531" s="69"/>
      <c r="L5531" s="49"/>
      <c r="P5531" s="3"/>
      <c r="Q5531" s="3"/>
      <c r="R5531" s="3"/>
      <c r="S5531" s="3"/>
      <c r="T5531" s="3"/>
      <c r="U5531" s="3"/>
      <c r="V5531" s="3"/>
      <c r="W5531" s="3"/>
      <c r="X5531" s="3"/>
      <c r="Y5531" s="4"/>
      <c r="Z5531"/>
      <c r="AA5531"/>
    </row>
    <row r="5532" spans="1:27" s="37" customFormat="1" x14ac:dyDescent="0.15">
      <c r="A5532" s="70"/>
      <c r="B5532" s="118"/>
      <c r="C5532" s="121"/>
      <c r="D5532" s="121"/>
      <c r="E5532" s="121"/>
      <c r="F5532" s="121"/>
      <c r="G5532" s="121"/>
      <c r="H5532" s="85"/>
      <c r="I5532" s="122"/>
      <c r="J5532" s="150"/>
      <c r="K5532" s="69"/>
      <c r="L5532" s="49"/>
      <c r="P5532" s="3"/>
      <c r="Q5532" s="3"/>
      <c r="R5532" s="3"/>
      <c r="S5532" s="3"/>
      <c r="T5532" s="3"/>
      <c r="U5532" s="3"/>
      <c r="V5532" s="3"/>
      <c r="W5532" s="3"/>
      <c r="X5532" s="3"/>
      <c r="Y5532" s="4"/>
      <c r="Z5532"/>
      <c r="AA5532"/>
    </row>
    <row r="5533" spans="1:27" s="37" customFormat="1" x14ac:dyDescent="0.15">
      <c r="A5533" s="70"/>
      <c r="B5533" s="118"/>
      <c r="C5533" s="121"/>
      <c r="D5533" s="121"/>
      <c r="E5533" s="121"/>
      <c r="F5533" s="121"/>
      <c r="G5533" s="121"/>
      <c r="H5533" s="85"/>
      <c r="I5533" s="122"/>
      <c r="J5533" s="150"/>
      <c r="K5533" s="60"/>
      <c r="L5533" s="50"/>
      <c r="N5533" s="51"/>
      <c r="P5533" s="3"/>
      <c r="Q5533" s="3"/>
      <c r="R5533" s="3"/>
      <c r="S5533" s="3"/>
      <c r="T5533" s="3"/>
      <c r="U5533" s="3"/>
      <c r="V5533" s="3"/>
      <c r="W5533" s="3"/>
      <c r="X5533" s="3"/>
      <c r="Y5533" s="4"/>
      <c r="Z5533"/>
      <c r="AA5533"/>
    </row>
    <row r="5534" spans="1:27" s="37" customFormat="1" x14ac:dyDescent="0.15">
      <c r="A5534" s="70"/>
      <c r="B5534" s="118"/>
      <c r="C5534" s="121"/>
      <c r="D5534" s="121"/>
      <c r="E5534" s="121"/>
      <c r="F5534" s="121"/>
      <c r="G5534" s="121"/>
      <c r="H5534" s="85"/>
      <c r="I5534" s="122"/>
      <c r="J5534" s="150"/>
      <c r="K5534" s="69"/>
      <c r="L5534" s="50"/>
      <c r="P5534" s="3"/>
      <c r="Q5534" s="3"/>
      <c r="R5534" s="3"/>
      <c r="S5534" s="3"/>
      <c r="T5534" s="3"/>
      <c r="U5534" s="3"/>
      <c r="V5534" s="3"/>
      <c r="W5534" s="3"/>
      <c r="X5534" s="3"/>
      <c r="Y5534" s="4"/>
      <c r="Z5534"/>
      <c r="AA5534"/>
    </row>
    <row r="5535" spans="1:27" s="37" customFormat="1" x14ac:dyDescent="0.15">
      <c r="A5535" s="70"/>
      <c r="B5535" s="118"/>
      <c r="C5535" s="121"/>
      <c r="D5535" s="121"/>
      <c r="E5535" s="121"/>
      <c r="F5535" s="121"/>
      <c r="G5535" s="121"/>
      <c r="H5535" s="85"/>
      <c r="I5535" s="122"/>
      <c r="J5535" s="150"/>
      <c r="K5535" s="60"/>
      <c r="L5535" s="50"/>
      <c r="P5535" s="3"/>
      <c r="Q5535" s="3"/>
      <c r="R5535" s="3"/>
      <c r="S5535" s="3"/>
      <c r="T5535" s="3"/>
      <c r="U5535" s="3"/>
      <c r="V5535" s="3"/>
      <c r="W5535" s="3"/>
      <c r="X5535" s="3"/>
      <c r="Y5535" s="4"/>
      <c r="Z5535"/>
      <c r="AA5535"/>
    </row>
    <row r="5536" spans="1:27" s="37" customFormat="1" x14ac:dyDescent="0.15">
      <c r="A5536" s="70"/>
      <c r="B5536" s="118"/>
      <c r="C5536" s="121"/>
      <c r="D5536" s="121"/>
      <c r="E5536" s="121"/>
      <c r="F5536" s="121"/>
      <c r="G5536" s="121"/>
      <c r="H5536" s="85"/>
      <c r="I5536" s="122"/>
      <c r="J5536" s="150"/>
      <c r="K5536" s="69"/>
      <c r="L5536" s="50"/>
      <c r="P5536" s="3"/>
      <c r="Q5536" s="3"/>
      <c r="R5536" s="3"/>
      <c r="S5536" s="3"/>
      <c r="T5536" s="3"/>
      <c r="U5536" s="3"/>
      <c r="V5536" s="3"/>
      <c r="W5536" s="3"/>
      <c r="X5536" s="3"/>
      <c r="Y5536" s="4"/>
      <c r="Z5536"/>
      <c r="AA5536"/>
    </row>
    <row r="5537" spans="1:27" s="37" customFormat="1" x14ac:dyDescent="0.15">
      <c r="A5537" s="70"/>
      <c r="B5537" s="118"/>
      <c r="C5537" s="121"/>
      <c r="D5537" s="121"/>
      <c r="E5537" s="121"/>
      <c r="F5537" s="121"/>
      <c r="G5537" s="121"/>
      <c r="H5537" s="85"/>
      <c r="I5537" s="122"/>
      <c r="J5537" s="150"/>
      <c r="K5537" s="69"/>
      <c r="L5537" s="50"/>
      <c r="P5537" s="3"/>
      <c r="Q5537" s="3"/>
      <c r="R5537" s="3"/>
      <c r="S5537" s="3"/>
      <c r="T5537" s="3"/>
      <c r="U5537" s="3"/>
      <c r="V5537" s="3"/>
      <c r="W5537" s="3"/>
      <c r="X5537" s="3"/>
      <c r="Y5537" s="4"/>
      <c r="Z5537"/>
      <c r="AA5537"/>
    </row>
    <row r="5538" spans="1:27" s="37" customFormat="1" x14ac:dyDescent="0.15">
      <c r="A5538" s="70"/>
      <c r="B5538" s="118"/>
      <c r="C5538" s="121"/>
      <c r="D5538" s="121"/>
      <c r="E5538" s="121"/>
      <c r="F5538" s="121"/>
      <c r="G5538" s="121"/>
      <c r="H5538" s="85"/>
      <c r="I5538" s="122"/>
      <c r="J5538" s="150"/>
      <c r="K5538" s="69"/>
      <c r="L5538" s="50"/>
      <c r="P5538" s="3"/>
      <c r="Q5538" s="3"/>
      <c r="R5538" s="3"/>
      <c r="S5538" s="3"/>
      <c r="T5538" s="3"/>
      <c r="U5538" s="3"/>
      <c r="V5538" s="3"/>
      <c r="W5538" s="3"/>
      <c r="X5538" s="3"/>
      <c r="Y5538" s="4"/>
      <c r="Z5538"/>
      <c r="AA5538"/>
    </row>
    <row r="5539" spans="1:27" s="37" customFormat="1" x14ac:dyDescent="0.15">
      <c r="A5539" s="70"/>
      <c r="B5539" s="118"/>
      <c r="C5539" s="121"/>
      <c r="D5539" s="121"/>
      <c r="E5539" s="121"/>
      <c r="F5539" s="121"/>
      <c r="G5539" s="121"/>
      <c r="H5539" s="85"/>
      <c r="I5539" s="122"/>
      <c r="J5539" s="150"/>
      <c r="K5539" s="69"/>
      <c r="L5539" s="50"/>
      <c r="P5539" s="3"/>
      <c r="Q5539" s="3"/>
      <c r="R5539" s="3"/>
      <c r="S5539" s="3"/>
      <c r="T5539" s="3"/>
      <c r="U5539" s="3"/>
      <c r="V5539" s="3"/>
      <c r="W5539" s="3"/>
      <c r="X5539" s="3"/>
      <c r="Y5539" s="4"/>
      <c r="Z5539"/>
      <c r="AA5539"/>
    </row>
    <row r="5540" spans="1:27" s="37" customFormat="1" x14ac:dyDescent="0.15">
      <c r="A5540" s="70"/>
      <c r="B5540" s="118"/>
      <c r="C5540" s="121"/>
      <c r="D5540" s="121"/>
      <c r="E5540" s="121"/>
      <c r="F5540" s="121"/>
      <c r="G5540" s="121"/>
      <c r="H5540" s="85"/>
      <c r="I5540" s="122"/>
      <c r="J5540" s="150"/>
      <c r="K5540" s="69"/>
      <c r="L5540" s="50"/>
      <c r="P5540" s="3"/>
      <c r="Q5540" s="3"/>
      <c r="R5540" s="3"/>
      <c r="S5540" s="3"/>
      <c r="T5540" s="3"/>
      <c r="U5540" s="3"/>
      <c r="V5540" s="3"/>
      <c r="W5540" s="3"/>
      <c r="X5540" s="3"/>
      <c r="Y5540" s="4"/>
      <c r="Z5540"/>
      <c r="AA5540"/>
    </row>
    <row r="5541" spans="1:27" s="37" customFormat="1" x14ac:dyDescent="0.15">
      <c r="A5541" s="70"/>
      <c r="B5541" s="118"/>
      <c r="C5541" s="121"/>
      <c r="D5541" s="121"/>
      <c r="E5541" s="121"/>
      <c r="F5541" s="121"/>
      <c r="G5541" s="121"/>
      <c r="H5541" s="85"/>
      <c r="I5541" s="122"/>
      <c r="J5541" s="150"/>
      <c r="K5541" s="69"/>
      <c r="L5541" s="50"/>
      <c r="P5541" s="3"/>
      <c r="Q5541" s="3"/>
      <c r="R5541" s="3"/>
      <c r="S5541" s="3"/>
      <c r="T5541" s="3"/>
      <c r="U5541" s="3"/>
      <c r="V5541" s="3"/>
      <c r="W5541" s="3"/>
      <c r="X5541" s="3"/>
      <c r="Y5541" s="4"/>
      <c r="Z5541"/>
      <c r="AA5541"/>
    </row>
    <row r="5542" spans="1:27" s="37" customFormat="1" x14ac:dyDescent="0.15">
      <c r="A5542" s="70"/>
      <c r="B5542" s="118"/>
      <c r="C5542" s="121"/>
      <c r="D5542" s="121"/>
      <c r="E5542" s="121"/>
      <c r="F5542" s="121"/>
      <c r="G5542" s="121"/>
      <c r="H5542" s="85"/>
      <c r="I5542" s="122"/>
      <c r="J5542" s="150"/>
      <c r="K5542" s="60"/>
      <c r="L5542" s="50"/>
      <c r="P5542" s="3"/>
      <c r="Q5542" s="3"/>
      <c r="R5542" s="3"/>
      <c r="S5542" s="3"/>
      <c r="T5542" s="3"/>
      <c r="U5542" s="3"/>
      <c r="V5542" s="3"/>
      <c r="W5542" s="3"/>
      <c r="X5542" s="3"/>
      <c r="Y5542" s="4"/>
      <c r="Z5542"/>
      <c r="AA5542"/>
    </row>
    <row r="5543" spans="1:27" s="37" customFormat="1" x14ac:dyDescent="0.15">
      <c r="A5543" s="73"/>
      <c r="B5543" s="118"/>
      <c r="C5543" s="121"/>
      <c r="D5543" s="121"/>
      <c r="E5543" s="121"/>
      <c r="F5543" s="121"/>
      <c r="G5543" s="121"/>
      <c r="H5543" s="85"/>
      <c r="I5543" s="122"/>
      <c r="J5543" s="150"/>
      <c r="K5543" s="69"/>
      <c r="L5543" s="50"/>
      <c r="P5543" s="3"/>
      <c r="Q5543" s="3"/>
      <c r="R5543" s="3"/>
      <c r="S5543" s="3"/>
      <c r="T5543" s="3"/>
      <c r="U5543" s="3"/>
      <c r="V5543" s="3"/>
      <c r="W5543" s="3"/>
      <c r="X5543" s="3"/>
      <c r="Y5543" s="4"/>
      <c r="Z5543"/>
      <c r="AA5543"/>
    </row>
    <row r="5544" spans="1:27" s="37" customFormat="1" x14ac:dyDescent="0.15">
      <c r="A5544" s="70"/>
      <c r="B5544" s="118"/>
      <c r="C5544" s="121"/>
      <c r="D5544" s="121"/>
      <c r="E5544" s="121"/>
      <c r="F5544" s="121"/>
      <c r="G5544" s="121"/>
      <c r="H5544" s="85"/>
      <c r="I5544" s="122"/>
      <c r="J5544" s="150"/>
      <c r="K5544" s="69"/>
      <c r="L5544" s="50"/>
      <c r="P5544" s="3"/>
      <c r="Q5544" s="3"/>
      <c r="R5544" s="3"/>
      <c r="S5544" s="3"/>
      <c r="T5544" s="3"/>
      <c r="U5544" s="3"/>
      <c r="V5544" s="3"/>
      <c r="W5544" s="3"/>
      <c r="X5544" s="3"/>
      <c r="Y5544" s="4"/>
      <c r="Z5544"/>
      <c r="AA5544"/>
    </row>
    <row r="5545" spans="1:27" s="37" customFormat="1" x14ac:dyDescent="0.15">
      <c r="A5545" s="70"/>
      <c r="B5545" s="118"/>
      <c r="C5545" s="121"/>
      <c r="D5545" s="121"/>
      <c r="E5545" s="121"/>
      <c r="F5545" s="121"/>
      <c r="G5545" s="121"/>
      <c r="H5545" s="85"/>
      <c r="I5545" s="122"/>
      <c r="J5545" s="150"/>
      <c r="K5545" s="69"/>
      <c r="L5545" s="50"/>
      <c r="P5545" s="3"/>
      <c r="Q5545" s="3"/>
      <c r="R5545" s="3"/>
      <c r="S5545" s="3"/>
      <c r="T5545" s="3"/>
      <c r="U5545" s="3"/>
      <c r="V5545" s="3"/>
      <c r="W5545" s="3"/>
      <c r="X5545" s="3"/>
      <c r="Y5545" s="4"/>
      <c r="Z5545"/>
      <c r="AA5545"/>
    </row>
    <row r="5546" spans="1:27" s="37" customFormat="1" x14ac:dyDescent="0.15">
      <c r="A5546" s="73"/>
      <c r="B5546" s="118"/>
      <c r="C5546" s="121"/>
      <c r="D5546" s="121"/>
      <c r="E5546" s="121"/>
      <c r="F5546" s="121"/>
      <c r="G5546" s="121"/>
      <c r="H5546" s="85"/>
      <c r="I5546" s="122"/>
      <c r="J5546" s="150"/>
      <c r="K5546" s="69"/>
      <c r="L5546" s="50"/>
      <c r="P5546" s="3"/>
      <c r="Q5546" s="3"/>
      <c r="R5546" s="3"/>
      <c r="S5546" s="3"/>
      <c r="T5546" s="3"/>
      <c r="U5546" s="3"/>
      <c r="V5546" s="3"/>
      <c r="W5546" s="3"/>
      <c r="X5546" s="3"/>
      <c r="Y5546" s="4"/>
      <c r="Z5546"/>
      <c r="AA5546"/>
    </row>
    <row r="5547" spans="1:27" s="37" customFormat="1" x14ac:dyDescent="0.15">
      <c r="A5547" s="70"/>
      <c r="B5547" s="118"/>
      <c r="C5547" s="121"/>
      <c r="D5547" s="121"/>
      <c r="E5547" s="121"/>
      <c r="F5547" s="121"/>
      <c r="G5547" s="121"/>
      <c r="H5547" s="85"/>
      <c r="I5547" s="122"/>
      <c r="J5547" s="150"/>
      <c r="K5547" s="69"/>
      <c r="L5547" s="50"/>
      <c r="P5547" s="3"/>
      <c r="Q5547" s="3"/>
      <c r="R5547" s="3"/>
      <c r="S5547" s="3"/>
      <c r="T5547" s="3"/>
      <c r="U5547" s="3"/>
      <c r="V5547" s="3"/>
      <c r="W5547" s="3"/>
      <c r="X5547" s="3"/>
      <c r="Y5547" s="4"/>
      <c r="Z5547"/>
      <c r="AA5547"/>
    </row>
    <row r="5548" spans="1:27" s="37" customFormat="1" x14ac:dyDescent="0.15">
      <c r="A5548" s="73"/>
      <c r="B5548" s="118"/>
      <c r="C5548" s="121"/>
      <c r="D5548" s="121"/>
      <c r="E5548" s="121"/>
      <c r="F5548" s="121"/>
      <c r="G5548" s="121"/>
      <c r="H5548" s="85"/>
      <c r="I5548" s="122"/>
      <c r="J5548" s="150"/>
      <c r="K5548" s="69"/>
      <c r="L5548" s="50"/>
      <c r="P5548" s="3"/>
      <c r="Q5548" s="3"/>
      <c r="R5548" s="3"/>
      <c r="S5548" s="3"/>
      <c r="T5548" s="3"/>
      <c r="U5548" s="3"/>
      <c r="V5548" s="3"/>
      <c r="W5548" s="3"/>
      <c r="X5548" s="3"/>
      <c r="Y5548" s="4"/>
      <c r="Z5548"/>
      <c r="AA5548"/>
    </row>
    <row r="5549" spans="1:27" s="37" customFormat="1" x14ac:dyDescent="0.15">
      <c r="A5549" s="70"/>
      <c r="B5549" s="118"/>
      <c r="C5549" s="121"/>
      <c r="D5549" s="121"/>
      <c r="E5549" s="121"/>
      <c r="F5549" s="121"/>
      <c r="G5549" s="121"/>
      <c r="H5549" s="85"/>
      <c r="I5549" s="122"/>
      <c r="J5549" s="150"/>
      <c r="K5549" s="69"/>
      <c r="L5549" s="50"/>
      <c r="P5549" s="3"/>
      <c r="Q5549" s="3"/>
      <c r="R5549" s="3"/>
      <c r="S5549" s="3"/>
      <c r="T5549" s="3"/>
      <c r="U5549" s="3"/>
      <c r="V5549" s="3"/>
      <c r="W5549" s="3"/>
      <c r="X5549" s="3"/>
      <c r="Y5549" s="4"/>
      <c r="Z5549"/>
      <c r="AA5549"/>
    </row>
    <row r="5550" spans="1:27" s="37" customFormat="1" x14ac:dyDescent="0.15">
      <c r="A5550" s="70"/>
      <c r="B5550" s="118"/>
      <c r="C5550" s="121"/>
      <c r="D5550" s="121"/>
      <c r="E5550" s="121"/>
      <c r="F5550" s="121"/>
      <c r="G5550" s="121"/>
      <c r="H5550" s="85"/>
      <c r="I5550" s="122"/>
      <c r="J5550" s="150"/>
      <c r="K5550" s="69"/>
      <c r="L5550" s="50"/>
      <c r="P5550" s="3"/>
      <c r="Q5550" s="3"/>
      <c r="R5550" s="3"/>
      <c r="S5550" s="3"/>
      <c r="T5550" s="3"/>
      <c r="U5550" s="3"/>
      <c r="V5550" s="3"/>
      <c r="W5550" s="3"/>
      <c r="X5550" s="3"/>
      <c r="Y5550" s="4"/>
      <c r="Z5550"/>
      <c r="AA5550"/>
    </row>
    <row r="5551" spans="1:27" s="37" customFormat="1" x14ac:dyDescent="0.15">
      <c r="A5551" s="70"/>
      <c r="B5551" s="118"/>
      <c r="C5551" s="121"/>
      <c r="D5551" s="121"/>
      <c r="E5551" s="121"/>
      <c r="F5551" s="121"/>
      <c r="G5551" s="121"/>
      <c r="H5551" s="85"/>
      <c r="I5551" s="122"/>
      <c r="J5551" s="150"/>
      <c r="K5551" s="69"/>
      <c r="L5551" s="50"/>
      <c r="P5551" s="3"/>
      <c r="Q5551" s="3"/>
      <c r="R5551" s="3"/>
      <c r="S5551" s="3"/>
      <c r="T5551" s="3"/>
      <c r="U5551" s="3"/>
      <c r="V5551" s="3"/>
      <c r="W5551" s="3"/>
      <c r="X5551" s="3"/>
      <c r="Y5551" s="4"/>
      <c r="Z5551"/>
      <c r="AA5551"/>
    </row>
    <row r="5552" spans="1:27" s="37" customFormat="1" x14ac:dyDescent="0.15">
      <c r="A5552" s="70"/>
      <c r="B5552" s="118"/>
      <c r="C5552" s="121"/>
      <c r="D5552" s="121"/>
      <c r="E5552" s="121"/>
      <c r="F5552" s="121"/>
      <c r="G5552" s="121"/>
      <c r="H5552" s="85"/>
      <c r="I5552" s="122"/>
      <c r="J5552" s="150"/>
      <c r="K5552" s="69"/>
      <c r="L5552" s="50"/>
      <c r="P5552" s="3"/>
      <c r="Q5552" s="3"/>
      <c r="R5552" s="3"/>
      <c r="S5552" s="3"/>
      <c r="T5552" s="3"/>
      <c r="U5552" s="3"/>
      <c r="V5552" s="3"/>
      <c r="W5552" s="3"/>
      <c r="X5552" s="3"/>
      <c r="Y5552" s="4"/>
      <c r="Z5552"/>
      <c r="AA5552"/>
    </row>
    <row r="5553" spans="1:27" s="37" customFormat="1" x14ac:dyDescent="0.15">
      <c r="A5553" s="70"/>
      <c r="B5553" s="118"/>
      <c r="C5553" s="121"/>
      <c r="D5553" s="121"/>
      <c r="E5553" s="121"/>
      <c r="F5553" s="121"/>
      <c r="G5553" s="121"/>
      <c r="H5553" s="85"/>
      <c r="I5553" s="122"/>
      <c r="J5553" s="150"/>
      <c r="K5553" s="69"/>
      <c r="L5553" s="50"/>
      <c r="P5553" s="3"/>
      <c r="Q5553" s="3"/>
      <c r="R5553" s="3"/>
      <c r="S5553" s="3"/>
      <c r="T5553" s="3"/>
      <c r="U5553" s="3"/>
      <c r="V5553" s="3"/>
      <c r="W5553" s="3"/>
      <c r="X5553" s="3"/>
      <c r="Y5553" s="4"/>
      <c r="Z5553"/>
      <c r="AA5553"/>
    </row>
    <row r="5554" spans="1:27" s="37" customFormat="1" x14ac:dyDescent="0.15">
      <c r="A5554" s="70"/>
      <c r="B5554" s="118"/>
      <c r="C5554" s="121"/>
      <c r="D5554" s="121"/>
      <c r="E5554" s="121"/>
      <c r="F5554" s="121"/>
      <c r="G5554" s="121"/>
      <c r="H5554" s="85"/>
      <c r="I5554" s="122"/>
      <c r="J5554" s="150"/>
      <c r="K5554" s="69"/>
      <c r="L5554" s="50"/>
      <c r="P5554" s="3"/>
      <c r="Q5554" s="3"/>
      <c r="R5554" s="3"/>
      <c r="S5554" s="3"/>
      <c r="T5554" s="3"/>
      <c r="U5554" s="3"/>
      <c r="V5554" s="3"/>
      <c r="W5554" s="3"/>
      <c r="X5554" s="3"/>
      <c r="Y5554" s="4"/>
      <c r="Z5554"/>
      <c r="AA5554"/>
    </row>
    <row r="5555" spans="1:27" s="37" customFormat="1" x14ac:dyDescent="0.15">
      <c r="A5555" s="70"/>
      <c r="B5555" s="118"/>
      <c r="C5555" s="121"/>
      <c r="D5555" s="121"/>
      <c r="E5555" s="121"/>
      <c r="F5555" s="121"/>
      <c r="G5555" s="121"/>
      <c r="H5555" s="85"/>
      <c r="I5555" s="122"/>
      <c r="J5555" s="150"/>
      <c r="K5555" s="69"/>
      <c r="L5555" s="50"/>
      <c r="P5555" s="3"/>
      <c r="Q5555" s="3"/>
      <c r="R5555" s="3"/>
      <c r="S5555" s="3"/>
      <c r="T5555" s="3"/>
      <c r="U5555" s="3"/>
      <c r="V5555" s="3"/>
      <c r="W5555" s="3"/>
      <c r="X5555" s="3"/>
      <c r="Y5555" s="4"/>
      <c r="Z5555"/>
      <c r="AA5555"/>
    </row>
    <row r="5556" spans="1:27" s="37" customFormat="1" x14ac:dyDescent="0.15">
      <c r="A5556" s="70"/>
      <c r="B5556" s="117"/>
      <c r="C5556" s="121"/>
      <c r="D5556" s="121"/>
      <c r="E5556" s="121"/>
      <c r="F5556" s="121"/>
      <c r="G5556" s="121"/>
      <c r="H5556" s="85"/>
      <c r="I5556" s="122"/>
      <c r="J5556" s="150"/>
      <c r="K5556" s="60"/>
      <c r="L5556" s="33"/>
      <c r="P5556" s="3"/>
      <c r="Q5556" s="3"/>
      <c r="R5556" s="3"/>
      <c r="S5556" s="3"/>
      <c r="T5556" s="3"/>
      <c r="U5556" s="3"/>
      <c r="V5556" s="3"/>
      <c r="W5556" s="3"/>
      <c r="X5556" s="3"/>
      <c r="Y5556" s="4"/>
      <c r="Z5556"/>
      <c r="AA5556"/>
    </row>
    <row r="5557" spans="1:27" s="37" customFormat="1" x14ac:dyDescent="0.15">
      <c r="A5557" s="70"/>
      <c r="B5557" s="118"/>
      <c r="C5557" s="121"/>
      <c r="D5557" s="121"/>
      <c r="E5557" s="121"/>
      <c r="F5557" s="121"/>
      <c r="G5557" s="121"/>
      <c r="H5557" s="85"/>
      <c r="I5557" s="122"/>
      <c r="J5557" s="150"/>
      <c r="K5557" s="60"/>
      <c r="L5557" s="50"/>
      <c r="P5557" s="3"/>
      <c r="Q5557" s="3"/>
      <c r="R5557" s="3"/>
      <c r="S5557" s="3"/>
      <c r="T5557" s="3"/>
      <c r="U5557" s="3"/>
      <c r="V5557" s="3"/>
      <c r="W5557" s="3"/>
      <c r="X5557" s="3"/>
      <c r="Y5557" s="4"/>
      <c r="Z5557"/>
      <c r="AA5557"/>
    </row>
    <row r="5558" spans="1:27" s="37" customFormat="1" x14ac:dyDescent="0.15">
      <c r="A5558" s="70"/>
      <c r="B5558" s="118"/>
      <c r="C5558" s="121"/>
      <c r="D5558" s="121"/>
      <c r="E5558" s="121"/>
      <c r="F5558" s="121"/>
      <c r="G5558" s="121"/>
      <c r="H5558" s="85"/>
      <c r="I5558" s="122"/>
      <c r="J5558" s="150"/>
      <c r="K5558" s="60"/>
      <c r="L5558" s="50"/>
      <c r="P5558" s="3"/>
      <c r="Q5558" s="3"/>
      <c r="R5558" s="3"/>
      <c r="S5558" s="3"/>
      <c r="T5558" s="3"/>
      <c r="U5558" s="3"/>
      <c r="V5558" s="3"/>
      <c r="W5558" s="3"/>
      <c r="X5558" s="3"/>
      <c r="Y5558" s="4"/>
      <c r="Z5558"/>
      <c r="AA5558"/>
    </row>
    <row r="5559" spans="1:27" s="37" customFormat="1" x14ac:dyDescent="0.15">
      <c r="A5559" s="70"/>
      <c r="B5559" s="118"/>
      <c r="C5559" s="121"/>
      <c r="D5559" s="121"/>
      <c r="E5559" s="121"/>
      <c r="F5559" s="121"/>
      <c r="G5559" s="121"/>
      <c r="H5559" s="85"/>
      <c r="I5559" s="122"/>
      <c r="J5559" s="150"/>
      <c r="K5559" s="69"/>
      <c r="L5559" s="50"/>
      <c r="P5559" s="3"/>
      <c r="Q5559" s="3"/>
      <c r="R5559" s="3"/>
      <c r="S5559" s="3"/>
      <c r="T5559" s="3"/>
      <c r="U5559" s="3"/>
      <c r="V5559" s="3"/>
      <c r="W5559" s="3"/>
      <c r="X5559" s="3"/>
      <c r="Y5559" s="4"/>
      <c r="Z5559"/>
      <c r="AA5559"/>
    </row>
    <row r="5560" spans="1:27" s="37" customFormat="1" x14ac:dyDescent="0.15">
      <c r="A5560" s="70"/>
      <c r="B5560" s="117"/>
      <c r="C5560" s="121"/>
      <c r="D5560" s="121"/>
      <c r="E5560" s="121"/>
      <c r="F5560" s="121"/>
      <c r="G5560" s="121"/>
      <c r="H5560" s="85"/>
      <c r="I5560" s="122"/>
      <c r="J5560" s="150"/>
      <c r="K5560" s="60"/>
      <c r="L5560" s="33"/>
      <c r="P5560" s="3"/>
      <c r="Q5560" s="3"/>
      <c r="R5560" s="3"/>
      <c r="S5560" s="3"/>
      <c r="T5560" s="3"/>
      <c r="U5560" s="3"/>
      <c r="V5560" s="3"/>
      <c r="W5560" s="3"/>
      <c r="X5560" s="3"/>
      <c r="Y5560" s="4"/>
      <c r="Z5560"/>
      <c r="AA5560"/>
    </row>
    <row r="5561" spans="1:27" s="37" customFormat="1" ht="16" x14ac:dyDescent="0.2">
      <c r="A5561" s="70"/>
      <c r="B5561" s="118"/>
      <c r="C5561" s="121"/>
      <c r="D5561" s="121"/>
      <c r="E5561" s="121"/>
      <c r="F5561" s="121"/>
      <c r="G5561" s="121"/>
      <c r="H5561" s="85"/>
      <c r="I5561" s="122"/>
      <c r="J5561" s="150"/>
      <c r="K5561" s="69"/>
      <c r="L5561" s="50"/>
      <c r="M5561" s="48"/>
      <c r="P5561" s="3"/>
      <c r="Q5561" s="3"/>
      <c r="R5561" s="3"/>
      <c r="S5561" s="3"/>
      <c r="T5561" s="3"/>
      <c r="U5561" s="3"/>
      <c r="V5561" s="3"/>
      <c r="W5561" s="3"/>
      <c r="X5561" s="3"/>
      <c r="Y5561" s="4"/>
      <c r="Z5561"/>
      <c r="AA5561"/>
    </row>
    <row r="5562" spans="1:27" s="37" customFormat="1" x14ac:dyDescent="0.15">
      <c r="A5562" s="70"/>
      <c r="B5562" s="118"/>
      <c r="C5562" s="121"/>
      <c r="D5562" s="121"/>
      <c r="E5562" s="121"/>
      <c r="F5562" s="121"/>
      <c r="G5562" s="121"/>
      <c r="H5562" s="85"/>
      <c r="I5562" s="122"/>
      <c r="J5562" s="150"/>
      <c r="K5562" s="69"/>
      <c r="L5562" s="50"/>
      <c r="P5562" s="3"/>
      <c r="Q5562" s="3"/>
      <c r="R5562" s="3"/>
      <c r="S5562" s="3"/>
      <c r="T5562" s="3"/>
      <c r="U5562" s="3"/>
      <c r="V5562" s="3"/>
      <c r="W5562" s="3"/>
      <c r="X5562" s="3"/>
      <c r="Y5562" s="4"/>
      <c r="Z5562"/>
      <c r="AA5562"/>
    </row>
    <row r="5563" spans="1:27" s="37" customFormat="1" x14ac:dyDescent="0.15">
      <c r="A5563" s="70"/>
      <c r="B5563" s="118"/>
      <c r="C5563" s="121"/>
      <c r="D5563" s="121"/>
      <c r="E5563" s="121"/>
      <c r="F5563" s="121"/>
      <c r="G5563" s="121"/>
      <c r="H5563" s="85"/>
      <c r="I5563" s="122"/>
      <c r="J5563" s="150"/>
      <c r="K5563" s="69"/>
      <c r="L5563" s="50"/>
      <c r="P5563" s="3"/>
      <c r="Q5563" s="3"/>
      <c r="R5563" s="3"/>
      <c r="S5563" s="3"/>
      <c r="T5563" s="3"/>
      <c r="U5563" s="3"/>
      <c r="V5563" s="3"/>
      <c r="W5563" s="3"/>
      <c r="X5563" s="3"/>
      <c r="Y5563" s="4"/>
      <c r="Z5563"/>
      <c r="AA5563"/>
    </row>
    <row r="5564" spans="1:27" s="37" customFormat="1" x14ac:dyDescent="0.15">
      <c r="A5564" s="70"/>
      <c r="B5564" s="118"/>
      <c r="C5564" s="121"/>
      <c r="D5564" s="121"/>
      <c r="E5564" s="121"/>
      <c r="F5564" s="121"/>
      <c r="G5564" s="121"/>
      <c r="H5564" s="85"/>
      <c r="I5564" s="122"/>
      <c r="J5564" s="150"/>
      <c r="K5564" s="69"/>
      <c r="L5564" s="50"/>
      <c r="P5564" s="3"/>
      <c r="Q5564" s="3"/>
      <c r="R5564" s="3"/>
      <c r="S5564" s="3"/>
      <c r="T5564" s="3"/>
      <c r="U5564" s="3"/>
      <c r="V5564" s="3"/>
      <c r="W5564" s="3"/>
      <c r="X5564" s="3"/>
      <c r="Y5564" s="4"/>
      <c r="Z5564"/>
      <c r="AA5564"/>
    </row>
    <row r="5565" spans="1:27" s="37" customFormat="1" x14ac:dyDescent="0.15">
      <c r="A5565" s="73"/>
      <c r="B5565" s="118"/>
      <c r="C5565" s="121"/>
      <c r="D5565" s="121"/>
      <c r="E5565" s="121"/>
      <c r="F5565" s="121"/>
      <c r="G5565" s="121"/>
      <c r="H5565" s="85"/>
      <c r="I5565" s="122"/>
      <c r="J5565" s="150"/>
      <c r="K5565" s="69"/>
      <c r="L5565" s="50"/>
      <c r="P5565" s="3"/>
      <c r="Q5565" s="3"/>
      <c r="R5565" s="3"/>
      <c r="S5565" s="3"/>
      <c r="T5565" s="3"/>
      <c r="U5565" s="3"/>
      <c r="V5565" s="3"/>
      <c r="W5565" s="3"/>
      <c r="X5565" s="3"/>
      <c r="Y5565" s="4"/>
      <c r="Z5565"/>
      <c r="AA5565"/>
    </row>
    <row r="5566" spans="1:27" s="37" customFormat="1" x14ac:dyDescent="0.15">
      <c r="A5566" s="70"/>
      <c r="B5566" s="118"/>
      <c r="C5566" s="121"/>
      <c r="D5566" s="121"/>
      <c r="E5566" s="121"/>
      <c r="F5566" s="121"/>
      <c r="G5566" s="121"/>
      <c r="H5566" s="85"/>
      <c r="I5566" s="122"/>
      <c r="J5566" s="150"/>
      <c r="K5566" s="69"/>
      <c r="L5566" s="50"/>
      <c r="P5566" s="3"/>
      <c r="Q5566" s="3"/>
      <c r="R5566" s="3"/>
      <c r="S5566" s="3"/>
      <c r="T5566" s="3"/>
      <c r="U5566" s="3"/>
      <c r="V5566" s="3"/>
      <c r="W5566" s="3"/>
      <c r="X5566" s="3"/>
      <c r="Y5566" s="4"/>
      <c r="Z5566"/>
      <c r="AA5566"/>
    </row>
    <row r="5567" spans="1:27" s="37" customFormat="1" x14ac:dyDescent="0.15">
      <c r="A5567" s="70"/>
      <c r="B5567" s="118"/>
      <c r="C5567" s="121"/>
      <c r="D5567" s="121"/>
      <c r="E5567" s="121"/>
      <c r="F5567" s="121"/>
      <c r="G5567" s="121"/>
      <c r="H5567" s="85"/>
      <c r="I5567" s="122"/>
      <c r="J5567" s="150"/>
      <c r="K5567" s="69"/>
      <c r="L5567" s="50"/>
      <c r="P5567" s="3"/>
      <c r="Q5567" s="3"/>
      <c r="R5567" s="3"/>
      <c r="S5567" s="3"/>
      <c r="T5567" s="3"/>
      <c r="U5567" s="3"/>
      <c r="V5567" s="3"/>
      <c r="W5567" s="3"/>
      <c r="X5567" s="3"/>
      <c r="Y5567" s="4"/>
      <c r="Z5567"/>
      <c r="AA5567"/>
    </row>
    <row r="5568" spans="1:27" s="37" customFormat="1" x14ac:dyDescent="0.15">
      <c r="A5568" s="70"/>
      <c r="B5568" s="118"/>
      <c r="C5568" s="121"/>
      <c r="D5568" s="121"/>
      <c r="E5568" s="121"/>
      <c r="F5568" s="121"/>
      <c r="G5568" s="121"/>
      <c r="H5568" s="85"/>
      <c r="I5568" s="122"/>
      <c r="J5568" s="150"/>
      <c r="K5568" s="69"/>
      <c r="L5568" s="50"/>
      <c r="P5568" s="3"/>
      <c r="Q5568" s="3"/>
      <c r="R5568" s="3"/>
      <c r="S5568" s="3"/>
      <c r="T5568" s="3"/>
      <c r="U5568" s="3"/>
      <c r="V5568" s="3"/>
      <c r="W5568" s="3"/>
      <c r="X5568" s="3"/>
      <c r="Y5568" s="4"/>
      <c r="Z5568"/>
      <c r="AA5568"/>
    </row>
    <row r="5569" spans="1:27" s="37" customFormat="1" x14ac:dyDescent="0.15">
      <c r="A5569" s="70"/>
      <c r="B5569" s="118"/>
      <c r="C5569" s="121"/>
      <c r="D5569" s="121"/>
      <c r="E5569" s="121"/>
      <c r="F5569" s="121"/>
      <c r="G5569" s="121"/>
      <c r="H5569" s="85"/>
      <c r="I5569" s="122"/>
      <c r="J5569" s="150"/>
      <c r="K5569" s="69"/>
      <c r="L5569" s="50"/>
      <c r="P5569" s="3"/>
      <c r="Q5569" s="3"/>
      <c r="R5569" s="3"/>
      <c r="S5569" s="3"/>
      <c r="T5569" s="3"/>
      <c r="U5569" s="3"/>
      <c r="V5569" s="3"/>
      <c r="W5569" s="3"/>
      <c r="X5569" s="3"/>
      <c r="Y5569" s="4"/>
      <c r="Z5569"/>
      <c r="AA5569"/>
    </row>
    <row r="5570" spans="1:27" s="37" customFormat="1" x14ac:dyDescent="0.15">
      <c r="A5570" s="70"/>
      <c r="B5570" s="118"/>
      <c r="C5570" s="121"/>
      <c r="D5570" s="121"/>
      <c r="E5570" s="121"/>
      <c r="F5570" s="121"/>
      <c r="G5570" s="121"/>
      <c r="H5570" s="85"/>
      <c r="I5570" s="122"/>
      <c r="J5570" s="150"/>
      <c r="K5570" s="69"/>
      <c r="L5570" s="50"/>
      <c r="P5570" s="3"/>
      <c r="Q5570" s="3"/>
      <c r="R5570" s="3"/>
      <c r="S5570" s="3"/>
      <c r="T5570" s="3"/>
      <c r="U5570" s="3"/>
      <c r="V5570" s="3"/>
      <c r="W5570" s="3"/>
      <c r="X5570" s="3"/>
      <c r="Y5570" s="4"/>
      <c r="Z5570"/>
      <c r="AA5570"/>
    </row>
    <row r="5571" spans="1:27" s="37" customFormat="1" x14ac:dyDescent="0.15">
      <c r="A5571" s="70"/>
      <c r="B5571" s="118"/>
      <c r="C5571" s="121"/>
      <c r="D5571" s="121"/>
      <c r="E5571" s="121"/>
      <c r="F5571" s="121"/>
      <c r="G5571" s="121"/>
      <c r="H5571" s="85"/>
      <c r="I5571" s="122"/>
      <c r="J5571" s="150"/>
      <c r="K5571" s="69"/>
      <c r="L5571" s="50"/>
      <c r="P5571" s="3"/>
      <c r="Q5571" s="3"/>
      <c r="R5571" s="3"/>
      <c r="S5571" s="3"/>
      <c r="T5571" s="3"/>
      <c r="U5571" s="3"/>
      <c r="V5571" s="3"/>
      <c r="W5571" s="3"/>
      <c r="X5571" s="3"/>
      <c r="Y5571" s="4"/>
      <c r="Z5571"/>
      <c r="AA5571"/>
    </row>
    <row r="5572" spans="1:27" s="37" customFormat="1" x14ac:dyDescent="0.15">
      <c r="A5572" s="70"/>
      <c r="B5572" s="118"/>
      <c r="C5572" s="121"/>
      <c r="D5572" s="121"/>
      <c r="E5572" s="121"/>
      <c r="F5572" s="121"/>
      <c r="G5572" s="121"/>
      <c r="H5572" s="85"/>
      <c r="I5572" s="122"/>
      <c r="J5572" s="150"/>
      <c r="K5572" s="69"/>
      <c r="L5572" s="50"/>
      <c r="P5572" s="3"/>
      <c r="Q5572" s="3"/>
      <c r="R5572" s="3"/>
      <c r="S5572" s="3"/>
      <c r="T5572" s="3"/>
      <c r="U5572" s="3"/>
      <c r="V5572" s="3"/>
      <c r="W5572" s="3"/>
      <c r="X5572" s="3"/>
      <c r="Y5572" s="4"/>
      <c r="Z5572"/>
      <c r="AA5572"/>
    </row>
    <row r="5573" spans="1:27" s="37" customFormat="1" x14ac:dyDescent="0.15">
      <c r="A5573" s="70"/>
      <c r="B5573" s="118"/>
      <c r="C5573" s="121"/>
      <c r="D5573" s="121"/>
      <c r="E5573" s="121"/>
      <c r="F5573" s="121"/>
      <c r="G5573" s="121"/>
      <c r="H5573" s="85"/>
      <c r="I5573" s="122"/>
      <c r="J5573" s="150"/>
      <c r="K5573" s="69"/>
      <c r="L5573" s="50"/>
      <c r="P5573" s="3"/>
      <c r="Q5573" s="3"/>
      <c r="R5573" s="3"/>
      <c r="S5573" s="3"/>
      <c r="T5573" s="3"/>
      <c r="U5573" s="3"/>
      <c r="V5573" s="3"/>
      <c r="W5573" s="3"/>
      <c r="X5573" s="3"/>
      <c r="Y5573" s="4"/>
      <c r="Z5573"/>
      <c r="AA5573"/>
    </row>
    <row r="5574" spans="1:27" s="37" customFormat="1" x14ac:dyDescent="0.15">
      <c r="A5574" s="73"/>
      <c r="B5574" s="118"/>
      <c r="C5574" s="121"/>
      <c r="D5574" s="121"/>
      <c r="E5574" s="121"/>
      <c r="F5574" s="121"/>
      <c r="G5574" s="121"/>
      <c r="H5574" s="85"/>
      <c r="I5574" s="122"/>
      <c r="J5574" s="150"/>
      <c r="K5574" s="69"/>
      <c r="L5574" s="50"/>
      <c r="P5574" s="3"/>
      <c r="Q5574" s="3"/>
      <c r="R5574" s="3"/>
      <c r="S5574" s="3"/>
      <c r="T5574" s="3"/>
      <c r="U5574" s="3"/>
      <c r="V5574" s="3"/>
      <c r="W5574" s="3"/>
      <c r="X5574" s="3"/>
      <c r="Y5574" s="4"/>
      <c r="Z5574"/>
      <c r="AA5574"/>
    </row>
    <row r="5575" spans="1:27" s="37" customFormat="1" x14ac:dyDescent="0.15">
      <c r="A5575" s="70"/>
      <c r="B5575" s="118"/>
      <c r="C5575" s="121"/>
      <c r="D5575" s="121"/>
      <c r="E5575" s="121"/>
      <c r="F5575" s="121"/>
      <c r="G5575" s="121"/>
      <c r="H5575" s="85"/>
      <c r="I5575" s="122"/>
      <c r="J5575" s="150"/>
      <c r="K5575" s="69"/>
      <c r="L5575" s="50"/>
      <c r="P5575" s="3"/>
      <c r="Q5575" s="3"/>
      <c r="R5575" s="3"/>
      <c r="S5575" s="3"/>
      <c r="T5575" s="3"/>
      <c r="U5575" s="3"/>
      <c r="V5575" s="3"/>
      <c r="W5575" s="3"/>
      <c r="X5575" s="3"/>
      <c r="Y5575" s="4"/>
      <c r="Z5575"/>
      <c r="AA5575"/>
    </row>
    <row r="5576" spans="1:27" s="37" customFormat="1" x14ac:dyDescent="0.15">
      <c r="A5576" s="70"/>
      <c r="B5576" s="118"/>
      <c r="C5576" s="121"/>
      <c r="D5576" s="121"/>
      <c r="E5576" s="121"/>
      <c r="F5576" s="121"/>
      <c r="G5576" s="121"/>
      <c r="H5576" s="85"/>
      <c r="I5576" s="122"/>
      <c r="J5576" s="150"/>
      <c r="K5576" s="69"/>
      <c r="L5576" s="50"/>
      <c r="P5576" s="3"/>
      <c r="Q5576" s="3"/>
      <c r="R5576" s="3"/>
      <c r="S5576" s="3"/>
      <c r="T5576" s="3"/>
      <c r="U5576" s="3"/>
      <c r="V5576" s="3"/>
      <c r="W5576" s="3"/>
      <c r="X5576" s="3"/>
      <c r="Y5576" s="4"/>
      <c r="Z5576"/>
      <c r="AA5576"/>
    </row>
    <row r="5577" spans="1:27" s="37" customFormat="1" x14ac:dyDescent="0.15">
      <c r="A5577" s="73"/>
      <c r="B5577" s="118"/>
      <c r="C5577" s="121"/>
      <c r="D5577" s="121"/>
      <c r="E5577" s="121"/>
      <c r="F5577" s="121"/>
      <c r="G5577" s="121"/>
      <c r="H5577" s="85"/>
      <c r="I5577" s="122"/>
      <c r="J5577" s="150"/>
      <c r="K5577" s="69"/>
      <c r="L5577" s="50"/>
      <c r="N5577" s="51"/>
      <c r="P5577" s="3"/>
      <c r="Q5577" s="3"/>
      <c r="R5577" s="3"/>
      <c r="S5577" s="3"/>
      <c r="T5577" s="3"/>
      <c r="U5577" s="3"/>
      <c r="V5577" s="3"/>
      <c r="W5577" s="3"/>
      <c r="X5577" s="3"/>
      <c r="Y5577" s="4"/>
      <c r="Z5577"/>
      <c r="AA5577"/>
    </row>
    <row r="5578" spans="1:27" s="37" customFormat="1" x14ac:dyDescent="0.15">
      <c r="A5578" s="70"/>
      <c r="B5578" s="118"/>
      <c r="C5578" s="121"/>
      <c r="D5578" s="121"/>
      <c r="E5578" s="121"/>
      <c r="F5578" s="121"/>
      <c r="G5578" s="121"/>
      <c r="H5578" s="85"/>
      <c r="I5578" s="122"/>
      <c r="J5578" s="150"/>
      <c r="K5578" s="69"/>
      <c r="L5578" s="50"/>
      <c r="N5578" s="51"/>
      <c r="P5578" s="3"/>
      <c r="Q5578" s="3"/>
      <c r="R5578" s="3"/>
      <c r="S5578" s="3"/>
      <c r="T5578" s="3"/>
      <c r="U5578" s="3"/>
      <c r="V5578" s="3"/>
      <c r="W5578" s="3"/>
      <c r="X5578" s="3"/>
      <c r="Y5578" s="4"/>
      <c r="Z5578"/>
      <c r="AA5578"/>
    </row>
    <row r="5579" spans="1:27" s="37" customFormat="1" x14ac:dyDescent="0.15">
      <c r="A5579" s="70"/>
      <c r="B5579" s="118"/>
      <c r="C5579" s="121"/>
      <c r="D5579" s="121"/>
      <c r="E5579" s="121"/>
      <c r="F5579" s="121"/>
      <c r="G5579" s="121"/>
      <c r="H5579" s="85"/>
      <c r="I5579" s="122"/>
      <c r="J5579" s="150"/>
      <c r="K5579" s="69"/>
      <c r="L5579" s="50"/>
      <c r="N5579" s="51"/>
      <c r="P5579" s="3"/>
      <c r="Q5579" s="3"/>
      <c r="R5579" s="3"/>
      <c r="S5579" s="3"/>
      <c r="T5579" s="3"/>
      <c r="U5579" s="3"/>
      <c r="V5579" s="3"/>
      <c r="W5579" s="3"/>
      <c r="X5579" s="3"/>
      <c r="Y5579" s="4"/>
      <c r="Z5579"/>
      <c r="AA5579"/>
    </row>
    <row r="5580" spans="1:27" s="37" customFormat="1" x14ac:dyDescent="0.15">
      <c r="A5580" s="70"/>
      <c r="B5580" s="118"/>
      <c r="C5580" s="121"/>
      <c r="D5580" s="121"/>
      <c r="E5580" s="121"/>
      <c r="F5580" s="121"/>
      <c r="G5580" s="121"/>
      <c r="H5580" s="85"/>
      <c r="I5580" s="122"/>
      <c r="J5580" s="150"/>
      <c r="K5580" s="69"/>
      <c r="L5580" s="50"/>
      <c r="N5580" s="51"/>
      <c r="P5580" s="3"/>
      <c r="Q5580" s="3"/>
      <c r="R5580" s="3"/>
      <c r="S5580" s="3"/>
      <c r="T5580" s="3"/>
      <c r="U5580" s="3"/>
      <c r="V5580" s="3"/>
      <c r="W5580" s="3"/>
      <c r="X5580" s="3"/>
      <c r="Y5580" s="4"/>
      <c r="Z5580"/>
      <c r="AA5580"/>
    </row>
    <row r="5581" spans="1:27" s="37" customFormat="1" x14ac:dyDescent="0.15">
      <c r="A5581" s="70"/>
      <c r="B5581" s="118"/>
      <c r="C5581" s="121"/>
      <c r="D5581" s="121"/>
      <c r="E5581" s="121"/>
      <c r="F5581" s="121"/>
      <c r="G5581" s="121"/>
      <c r="H5581" s="85"/>
      <c r="I5581" s="122"/>
      <c r="J5581" s="150"/>
      <c r="K5581" s="69"/>
      <c r="L5581" s="50"/>
      <c r="N5581" s="51"/>
      <c r="P5581" s="3"/>
      <c r="Q5581" s="3"/>
      <c r="R5581" s="3"/>
      <c r="S5581" s="3"/>
      <c r="T5581" s="3"/>
      <c r="U5581" s="3"/>
      <c r="V5581" s="3"/>
      <c r="W5581" s="3"/>
      <c r="X5581" s="3"/>
      <c r="Y5581" s="4"/>
      <c r="Z5581"/>
      <c r="AA5581"/>
    </row>
    <row r="5582" spans="1:27" s="37" customFormat="1" x14ac:dyDescent="0.15">
      <c r="A5582" s="70"/>
      <c r="B5582" s="118"/>
      <c r="C5582" s="121"/>
      <c r="D5582" s="121"/>
      <c r="E5582" s="121"/>
      <c r="F5582" s="121"/>
      <c r="G5582" s="121"/>
      <c r="H5582" s="85"/>
      <c r="I5582" s="122"/>
      <c r="J5582" s="150"/>
      <c r="K5582" s="69"/>
      <c r="L5582" s="50"/>
      <c r="N5582" s="51"/>
      <c r="P5582" s="3"/>
      <c r="Q5582" s="3"/>
      <c r="R5582" s="3"/>
      <c r="S5582" s="3"/>
      <c r="T5582" s="3"/>
      <c r="U5582" s="3"/>
      <c r="V5582" s="3"/>
      <c r="W5582" s="3"/>
      <c r="X5582" s="3"/>
      <c r="Y5582" s="4"/>
      <c r="Z5582"/>
      <c r="AA5582"/>
    </row>
    <row r="5583" spans="1:27" s="37" customFormat="1" x14ac:dyDescent="0.15">
      <c r="A5583" s="70"/>
      <c r="B5583" s="118"/>
      <c r="C5583" s="121"/>
      <c r="D5583" s="121"/>
      <c r="E5583" s="121"/>
      <c r="F5583" s="121"/>
      <c r="G5583" s="121"/>
      <c r="H5583" s="85"/>
      <c r="I5583" s="122"/>
      <c r="J5583" s="150"/>
      <c r="K5583" s="69"/>
      <c r="L5583" s="50"/>
      <c r="N5583" s="51"/>
      <c r="P5583" s="3"/>
      <c r="Q5583" s="3"/>
      <c r="R5583" s="3"/>
      <c r="S5583" s="3"/>
      <c r="T5583" s="3"/>
      <c r="U5583" s="3"/>
      <c r="V5583" s="3"/>
      <c r="W5583" s="3"/>
      <c r="X5583" s="3"/>
      <c r="Y5583" s="4"/>
      <c r="Z5583"/>
      <c r="AA5583"/>
    </row>
    <row r="5584" spans="1:27" s="37" customFormat="1" x14ac:dyDescent="0.15">
      <c r="A5584" s="73"/>
      <c r="B5584" s="118"/>
      <c r="C5584" s="121"/>
      <c r="D5584" s="121"/>
      <c r="E5584" s="121"/>
      <c r="F5584" s="121"/>
      <c r="G5584" s="121"/>
      <c r="H5584" s="85"/>
      <c r="I5584" s="122"/>
      <c r="J5584" s="150"/>
      <c r="K5584" s="69"/>
      <c r="L5584" s="50"/>
      <c r="N5584" s="51"/>
      <c r="P5584" s="3"/>
      <c r="Q5584" s="3"/>
      <c r="R5584" s="3"/>
      <c r="S5584" s="3"/>
      <c r="T5584" s="3"/>
      <c r="U5584" s="3"/>
      <c r="V5584" s="3"/>
      <c r="W5584" s="3"/>
      <c r="X5584" s="3"/>
      <c r="Y5584" s="4"/>
      <c r="Z5584"/>
      <c r="AA5584"/>
    </row>
    <row r="5585" spans="1:27" s="37" customFormat="1" x14ac:dyDescent="0.15">
      <c r="A5585" s="70"/>
      <c r="B5585" s="118"/>
      <c r="C5585" s="121"/>
      <c r="D5585" s="121"/>
      <c r="E5585" s="121"/>
      <c r="F5585" s="121"/>
      <c r="G5585" s="121"/>
      <c r="H5585" s="85"/>
      <c r="I5585" s="122"/>
      <c r="J5585" s="150"/>
      <c r="K5585" s="69"/>
      <c r="L5585" s="50"/>
      <c r="P5585" s="3"/>
      <c r="Q5585" s="3"/>
      <c r="R5585" s="3"/>
      <c r="S5585" s="3"/>
      <c r="T5585" s="3"/>
      <c r="U5585" s="3"/>
      <c r="V5585" s="3"/>
      <c r="W5585" s="3"/>
      <c r="X5585" s="3"/>
      <c r="Y5585" s="4"/>
      <c r="Z5585"/>
      <c r="AA5585"/>
    </row>
    <row r="5586" spans="1:27" s="37" customFormat="1" x14ac:dyDescent="0.15">
      <c r="A5586" s="70"/>
      <c r="B5586" s="118"/>
      <c r="C5586" s="121"/>
      <c r="D5586" s="121"/>
      <c r="E5586" s="121"/>
      <c r="F5586" s="121"/>
      <c r="G5586" s="121"/>
      <c r="H5586" s="85"/>
      <c r="I5586" s="122"/>
      <c r="J5586" s="150"/>
      <c r="K5586" s="60"/>
      <c r="L5586" s="50"/>
      <c r="P5586" s="3"/>
      <c r="Q5586" s="3"/>
      <c r="R5586" s="3"/>
      <c r="S5586" s="3"/>
      <c r="T5586" s="3"/>
      <c r="U5586" s="3"/>
      <c r="V5586" s="3"/>
      <c r="W5586" s="3"/>
      <c r="X5586" s="3"/>
      <c r="Y5586" s="4"/>
      <c r="Z5586"/>
      <c r="AA5586"/>
    </row>
    <row r="5587" spans="1:27" s="37" customFormat="1" x14ac:dyDescent="0.15">
      <c r="A5587" s="70"/>
      <c r="B5587" s="118"/>
      <c r="C5587" s="121"/>
      <c r="D5587" s="121"/>
      <c r="E5587" s="121"/>
      <c r="F5587" s="121"/>
      <c r="G5587" s="121"/>
      <c r="H5587" s="85"/>
      <c r="I5587" s="122"/>
      <c r="J5587" s="150"/>
      <c r="K5587" s="69"/>
      <c r="L5587" s="50"/>
      <c r="P5587" s="3"/>
      <c r="Q5587" s="3"/>
      <c r="R5587" s="3"/>
      <c r="S5587" s="3"/>
      <c r="T5587" s="3"/>
      <c r="U5587" s="3"/>
      <c r="V5587" s="3"/>
      <c r="W5587" s="3"/>
      <c r="X5587" s="3"/>
      <c r="Y5587" s="4"/>
      <c r="Z5587"/>
      <c r="AA5587"/>
    </row>
    <row r="5588" spans="1:27" s="37" customFormat="1" x14ac:dyDescent="0.15">
      <c r="A5588" s="70"/>
      <c r="B5588" s="118"/>
      <c r="C5588" s="121"/>
      <c r="D5588" s="121"/>
      <c r="E5588" s="121"/>
      <c r="F5588" s="121"/>
      <c r="G5588" s="121"/>
      <c r="H5588" s="85"/>
      <c r="I5588" s="122"/>
      <c r="J5588" s="150"/>
      <c r="K5588" s="69"/>
      <c r="L5588" s="50"/>
      <c r="P5588" s="3"/>
      <c r="Q5588" s="3"/>
      <c r="R5588" s="3"/>
      <c r="S5588" s="3"/>
      <c r="T5588" s="3"/>
      <c r="U5588" s="3"/>
      <c r="V5588" s="3"/>
      <c r="W5588" s="3"/>
      <c r="X5588" s="3"/>
      <c r="Y5588" s="4"/>
      <c r="Z5588"/>
      <c r="AA5588"/>
    </row>
    <row r="5589" spans="1:27" s="37" customFormat="1" x14ac:dyDescent="0.15">
      <c r="A5589" s="70"/>
      <c r="B5589" s="118"/>
      <c r="C5589" s="121"/>
      <c r="D5589" s="121"/>
      <c r="E5589" s="121"/>
      <c r="F5589" s="121"/>
      <c r="G5589" s="121"/>
      <c r="H5589" s="85"/>
      <c r="I5589" s="122"/>
      <c r="J5589" s="150"/>
      <c r="K5589" s="69"/>
      <c r="L5589" s="50"/>
      <c r="N5589" s="51"/>
      <c r="P5589" s="3"/>
      <c r="Q5589" s="3"/>
      <c r="R5589" s="3"/>
      <c r="S5589" s="3"/>
      <c r="T5589" s="3"/>
      <c r="U5589" s="3"/>
      <c r="V5589" s="3"/>
      <c r="W5589" s="3"/>
      <c r="X5589" s="3"/>
      <c r="Y5589" s="4"/>
      <c r="Z5589"/>
      <c r="AA5589"/>
    </row>
    <row r="5590" spans="1:27" s="37" customFormat="1" x14ac:dyDescent="0.15">
      <c r="A5590" s="70"/>
      <c r="B5590" s="118"/>
      <c r="C5590" s="121"/>
      <c r="D5590" s="121"/>
      <c r="E5590" s="121"/>
      <c r="F5590" s="121"/>
      <c r="G5590" s="121"/>
      <c r="H5590" s="85"/>
      <c r="I5590" s="122"/>
      <c r="J5590" s="150"/>
      <c r="K5590" s="69"/>
      <c r="L5590" s="50"/>
      <c r="P5590" s="3"/>
      <c r="Q5590" s="3"/>
      <c r="R5590" s="3"/>
      <c r="S5590" s="3"/>
      <c r="T5590" s="3"/>
      <c r="U5590" s="3"/>
      <c r="V5590" s="3"/>
      <c r="W5590" s="3"/>
      <c r="X5590" s="3"/>
      <c r="Y5590" s="4"/>
      <c r="Z5590"/>
      <c r="AA5590"/>
    </row>
    <row r="5591" spans="1:27" s="37" customFormat="1" x14ac:dyDescent="0.15">
      <c r="A5591" s="70"/>
      <c r="B5591" s="118"/>
      <c r="C5591" s="121"/>
      <c r="D5591" s="121"/>
      <c r="E5591" s="121"/>
      <c r="F5591" s="121"/>
      <c r="G5591" s="121"/>
      <c r="H5591" s="85"/>
      <c r="I5591" s="122"/>
      <c r="J5591" s="150"/>
      <c r="K5591" s="69"/>
      <c r="L5591" s="50"/>
      <c r="P5591" s="3"/>
      <c r="Q5591" s="3"/>
      <c r="R5591" s="3"/>
      <c r="S5591" s="3"/>
      <c r="T5591" s="3"/>
      <c r="U5591" s="3"/>
      <c r="V5591" s="3"/>
      <c r="W5591" s="3"/>
      <c r="X5591" s="3"/>
      <c r="Y5591" s="4"/>
      <c r="Z5591"/>
      <c r="AA5591"/>
    </row>
    <row r="5592" spans="1:27" s="37" customFormat="1" x14ac:dyDescent="0.15">
      <c r="A5592" s="70"/>
      <c r="B5592" s="118"/>
      <c r="C5592" s="121"/>
      <c r="D5592" s="121"/>
      <c r="E5592" s="121"/>
      <c r="F5592" s="121"/>
      <c r="G5592" s="121"/>
      <c r="H5592" s="85"/>
      <c r="I5592" s="122"/>
      <c r="J5592" s="150"/>
      <c r="K5592" s="60"/>
      <c r="L5592" s="50"/>
      <c r="P5592" s="3"/>
      <c r="Q5592" s="3"/>
      <c r="R5592" s="3"/>
      <c r="S5592" s="3"/>
      <c r="T5592" s="3"/>
      <c r="U5592" s="3"/>
      <c r="V5592" s="3"/>
      <c r="W5592" s="3"/>
      <c r="X5592" s="3"/>
      <c r="Y5592" s="4"/>
      <c r="Z5592"/>
      <c r="AA5592"/>
    </row>
    <row r="5593" spans="1:27" s="37" customFormat="1" x14ac:dyDescent="0.15">
      <c r="A5593" s="70"/>
      <c r="B5593" s="118"/>
      <c r="C5593" s="121"/>
      <c r="D5593" s="121"/>
      <c r="E5593" s="121"/>
      <c r="F5593" s="121"/>
      <c r="G5593" s="121"/>
      <c r="H5593" s="85"/>
      <c r="I5593" s="122"/>
      <c r="J5593" s="150"/>
      <c r="K5593" s="60"/>
      <c r="L5593" s="50"/>
      <c r="N5593" s="51"/>
      <c r="P5593" s="3"/>
      <c r="Q5593" s="3"/>
      <c r="R5593" s="3"/>
      <c r="S5593" s="3"/>
      <c r="T5593" s="3"/>
      <c r="U5593" s="3"/>
      <c r="V5593" s="3"/>
      <c r="W5593" s="3"/>
      <c r="X5593" s="3"/>
      <c r="Y5593" s="4"/>
      <c r="Z5593"/>
      <c r="AA5593"/>
    </row>
    <row r="5594" spans="1:27" s="37" customFormat="1" x14ac:dyDescent="0.15">
      <c r="A5594" s="73"/>
      <c r="B5594" s="118"/>
      <c r="C5594" s="121"/>
      <c r="D5594" s="121"/>
      <c r="E5594" s="121"/>
      <c r="F5594" s="121"/>
      <c r="G5594" s="121"/>
      <c r="H5594" s="85"/>
      <c r="I5594" s="122"/>
      <c r="J5594" s="150"/>
      <c r="K5594" s="60"/>
      <c r="L5594" s="49"/>
      <c r="N5594" s="51"/>
      <c r="P5594" s="3"/>
      <c r="Q5594" s="3"/>
      <c r="R5594" s="3"/>
      <c r="S5594" s="3"/>
      <c r="T5594" s="3"/>
      <c r="U5594" s="3"/>
      <c r="V5594" s="3"/>
      <c r="W5594" s="3"/>
      <c r="X5594" s="3"/>
      <c r="Y5594" s="4"/>
      <c r="Z5594"/>
      <c r="AA5594"/>
    </row>
    <row r="5595" spans="1:27" s="37" customFormat="1" x14ac:dyDescent="0.15">
      <c r="A5595" s="70"/>
      <c r="B5595" s="118"/>
      <c r="C5595" s="121"/>
      <c r="D5595" s="121"/>
      <c r="E5595" s="121"/>
      <c r="F5595" s="121"/>
      <c r="G5595" s="121"/>
      <c r="H5595" s="85"/>
      <c r="I5595" s="122"/>
      <c r="J5595" s="150"/>
      <c r="K5595" s="60"/>
      <c r="L5595" s="49"/>
      <c r="P5595" s="3"/>
      <c r="Q5595" s="3"/>
      <c r="R5595" s="3"/>
      <c r="S5595" s="3"/>
      <c r="T5595" s="3"/>
      <c r="U5595" s="3"/>
      <c r="V5595" s="3"/>
      <c r="W5595" s="3"/>
      <c r="X5595" s="3"/>
      <c r="Y5595" s="4"/>
      <c r="Z5595"/>
      <c r="AA5595"/>
    </row>
    <row r="5596" spans="1:27" s="37" customFormat="1" x14ac:dyDescent="0.15">
      <c r="A5596" s="73"/>
      <c r="B5596" s="118"/>
      <c r="C5596" s="121"/>
      <c r="D5596" s="121"/>
      <c r="E5596" s="121"/>
      <c r="F5596" s="121"/>
      <c r="G5596" s="121"/>
      <c r="H5596" s="85"/>
      <c r="I5596" s="122"/>
      <c r="J5596" s="150"/>
      <c r="K5596" s="60"/>
      <c r="L5596" s="49"/>
      <c r="P5596" s="3"/>
      <c r="Q5596" s="3"/>
      <c r="R5596" s="3"/>
      <c r="S5596" s="3"/>
      <c r="T5596" s="3"/>
      <c r="U5596" s="3"/>
      <c r="V5596" s="3"/>
      <c r="W5596" s="3"/>
      <c r="X5596" s="3"/>
      <c r="Y5596" s="4"/>
      <c r="Z5596"/>
      <c r="AA5596"/>
    </row>
    <row r="5597" spans="1:27" s="37" customFormat="1" x14ac:dyDescent="0.15">
      <c r="A5597" s="73"/>
      <c r="B5597" s="118"/>
      <c r="C5597" s="121"/>
      <c r="D5597" s="121"/>
      <c r="E5597" s="121"/>
      <c r="F5597" s="121"/>
      <c r="G5597" s="121"/>
      <c r="H5597" s="85"/>
      <c r="I5597" s="122"/>
      <c r="J5597" s="150"/>
      <c r="K5597" s="60"/>
      <c r="L5597" s="49"/>
      <c r="P5597" s="3"/>
      <c r="Q5597" s="3"/>
      <c r="R5597" s="3"/>
      <c r="S5597" s="3"/>
      <c r="T5597" s="3"/>
      <c r="U5597" s="3"/>
      <c r="V5597" s="3"/>
      <c r="W5597" s="3"/>
      <c r="X5597" s="3"/>
      <c r="Y5597" s="4"/>
      <c r="Z5597"/>
      <c r="AA5597"/>
    </row>
    <row r="5598" spans="1:27" s="37" customFormat="1" x14ac:dyDescent="0.15">
      <c r="A5598" s="70"/>
      <c r="B5598" s="118"/>
      <c r="C5598" s="121"/>
      <c r="D5598" s="121"/>
      <c r="E5598" s="121"/>
      <c r="F5598" s="121"/>
      <c r="G5598" s="121"/>
      <c r="H5598" s="85"/>
      <c r="I5598" s="122"/>
      <c r="J5598" s="150"/>
      <c r="K5598" s="60"/>
      <c r="L5598" s="49"/>
      <c r="P5598" s="3"/>
      <c r="Q5598" s="3"/>
      <c r="R5598" s="3"/>
      <c r="S5598" s="3"/>
      <c r="T5598" s="3"/>
      <c r="U5598" s="3"/>
      <c r="V5598" s="3"/>
      <c r="W5598" s="3"/>
      <c r="X5598" s="3"/>
      <c r="Y5598" s="4"/>
      <c r="Z5598"/>
      <c r="AA5598"/>
    </row>
    <row r="5599" spans="1:27" s="37" customFormat="1" x14ac:dyDescent="0.15">
      <c r="A5599" s="70"/>
      <c r="B5599" s="118"/>
      <c r="C5599" s="121"/>
      <c r="D5599" s="121"/>
      <c r="E5599" s="121"/>
      <c r="F5599" s="121"/>
      <c r="G5599" s="121"/>
      <c r="H5599" s="85"/>
      <c r="I5599" s="122"/>
      <c r="J5599" s="150"/>
      <c r="K5599" s="69"/>
      <c r="L5599" s="49"/>
      <c r="P5599" s="3"/>
      <c r="Q5599" s="3"/>
      <c r="R5599" s="3"/>
      <c r="S5599" s="3"/>
      <c r="T5599" s="3"/>
      <c r="U5599" s="3"/>
      <c r="V5599" s="3"/>
      <c r="W5599" s="3"/>
      <c r="X5599" s="3"/>
      <c r="Y5599" s="4"/>
      <c r="Z5599"/>
      <c r="AA5599"/>
    </row>
    <row r="5600" spans="1:27" s="37" customFormat="1" x14ac:dyDescent="0.15">
      <c r="A5600" s="70"/>
      <c r="B5600" s="118"/>
      <c r="C5600" s="121"/>
      <c r="D5600" s="121"/>
      <c r="E5600" s="121"/>
      <c r="F5600" s="121"/>
      <c r="G5600" s="121"/>
      <c r="H5600" s="85"/>
      <c r="I5600" s="122"/>
      <c r="J5600" s="150"/>
      <c r="K5600" s="60"/>
      <c r="L5600" s="49"/>
      <c r="P5600" s="3"/>
      <c r="Q5600" s="3"/>
      <c r="R5600" s="3"/>
      <c r="S5600" s="3"/>
      <c r="T5600" s="3"/>
      <c r="U5600" s="3"/>
      <c r="V5600" s="3"/>
      <c r="W5600" s="3"/>
      <c r="X5600" s="3"/>
      <c r="Y5600" s="4"/>
      <c r="Z5600"/>
      <c r="AA5600"/>
    </row>
    <row r="5601" spans="1:27" s="37" customFormat="1" x14ac:dyDescent="0.15">
      <c r="A5601" s="70"/>
      <c r="B5601" s="118"/>
      <c r="C5601" s="121"/>
      <c r="D5601" s="121"/>
      <c r="E5601" s="121"/>
      <c r="F5601" s="121"/>
      <c r="G5601" s="121"/>
      <c r="H5601" s="85"/>
      <c r="I5601" s="122"/>
      <c r="J5601" s="150"/>
      <c r="K5601" s="69"/>
      <c r="L5601" s="49"/>
      <c r="P5601" s="3"/>
      <c r="Q5601" s="3"/>
      <c r="R5601" s="3"/>
      <c r="S5601" s="3"/>
      <c r="T5601" s="3"/>
      <c r="U5601" s="3"/>
      <c r="V5601" s="3"/>
      <c r="W5601" s="3"/>
      <c r="X5601" s="3"/>
      <c r="Y5601" s="4"/>
      <c r="Z5601"/>
      <c r="AA5601"/>
    </row>
    <row r="5602" spans="1:27" s="37" customFormat="1" x14ac:dyDescent="0.15">
      <c r="A5602" s="70"/>
      <c r="B5602" s="118"/>
      <c r="C5602" s="121"/>
      <c r="D5602" s="121"/>
      <c r="E5602" s="121"/>
      <c r="F5602" s="121"/>
      <c r="G5602" s="121"/>
      <c r="H5602" s="85"/>
      <c r="I5602" s="122"/>
      <c r="J5602" s="150"/>
      <c r="K5602" s="60"/>
      <c r="L5602" s="50"/>
      <c r="P5602" s="3"/>
      <c r="Q5602" s="3"/>
      <c r="R5602" s="3"/>
      <c r="S5602" s="3"/>
      <c r="T5602" s="3"/>
      <c r="U5602" s="3"/>
      <c r="V5602" s="3"/>
      <c r="W5602" s="3"/>
      <c r="X5602" s="3"/>
      <c r="Y5602" s="4"/>
      <c r="Z5602"/>
      <c r="AA5602"/>
    </row>
    <row r="5603" spans="1:27" s="37" customFormat="1" x14ac:dyDescent="0.15">
      <c r="A5603" s="70"/>
      <c r="B5603" s="118"/>
      <c r="C5603" s="121"/>
      <c r="D5603" s="121"/>
      <c r="E5603" s="121"/>
      <c r="F5603" s="121"/>
      <c r="G5603" s="121"/>
      <c r="H5603" s="85"/>
      <c r="I5603" s="122"/>
      <c r="J5603" s="150"/>
      <c r="K5603" s="69"/>
      <c r="L5603" s="50"/>
      <c r="P5603" s="3"/>
      <c r="Q5603" s="3"/>
      <c r="R5603" s="3"/>
      <c r="S5603" s="3"/>
      <c r="T5603" s="3"/>
      <c r="U5603" s="3"/>
      <c r="V5603" s="3"/>
      <c r="W5603" s="3"/>
      <c r="X5603" s="3"/>
      <c r="Y5603" s="4"/>
      <c r="Z5603"/>
      <c r="AA5603"/>
    </row>
    <row r="5604" spans="1:27" s="37" customFormat="1" x14ac:dyDescent="0.15">
      <c r="A5604" s="70"/>
      <c r="B5604" s="118"/>
      <c r="C5604" s="121"/>
      <c r="D5604" s="121"/>
      <c r="E5604" s="121"/>
      <c r="F5604" s="121"/>
      <c r="G5604" s="121"/>
      <c r="H5604" s="85"/>
      <c r="I5604" s="122"/>
      <c r="J5604" s="150"/>
      <c r="K5604" s="69"/>
      <c r="L5604" s="49"/>
      <c r="P5604" s="3"/>
      <c r="Q5604" s="3"/>
      <c r="R5604" s="3"/>
      <c r="S5604" s="3"/>
      <c r="T5604" s="3"/>
      <c r="U5604" s="3"/>
      <c r="V5604" s="3"/>
      <c r="W5604" s="3"/>
      <c r="X5604" s="3"/>
      <c r="Y5604" s="4"/>
      <c r="Z5604"/>
      <c r="AA5604"/>
    </row>
    <row r="5605" spans="1:27" s="37" customFormat="1" x14ac:dyDescent="0.15">
      <c r="A5605" s="70"/>
      <c r="B5605" s="118"/>
      <c r="C5605" s="121"/>
      <c r="D5605" s="121"/>
      <c r="E5605" s="121"/>
      <c r="F5605" s="121"/>
      <c r="G5605" s="121"/>
      <c r="H5605" s="85"/>
      <c r="I5605" s="122"/>
      <c r="J5605" s="150"/>
      <c r="K5605" s="69"/>
      <c r="L5605" s="49"/>
      <c r="P5605" s="3"/>
      <c r="Q5605" s="3"/>
      <c r="R5605" s="3"/>
      <c r="S5605" s="3"/>
      <c r="T5605" s="3"/>
      <c r="U5605" s="3"/>
      <c r="V5605" s="3"/>
      <c r="W5605" s="3"/>
      <c r="X5605" s="3"/>
      <c r="Y5605" s="4"/>
      <c r="Z5605"/>
      <c r="AA5605"/>
    </row>
    <row r="5606" spans="1:27" s="37" customFormat="1" x14ac:dyDescent="0.15">
      <c r="A5606" s="70"/>
      <c r="B5606" s="118"/>
      <c r="C5606" s="121"/>
      <c r="D5606" s="121"/>
      <c r="E5606" s="121"/>
      <c r="F5606" s="121"/>
      <c r="G5606" s="121"/>
      <c r="H5606" s="85"/>
      <c r="I5606" s="122"/>
      <c r="J5606" s="150"/>
      <c r="K5606" s="69"/>
      <c r="L5606" s="49"/>
      <c r="P5606" s="3"/>
      <c r="Q5606" s="3"/>
      <c r="R5606" s="3"/>
      <c r="S5606" s="3"/>
      <c r="T5606" s="3"/>
      <c r="U5606" s="3"/>
      <c r="V5606" s="3"/>
      <c r="W5606" s="3"/>
      <c r="X5606" s="3"/>
      <c r="Y5606" s="4"/>
      <c r="Z5606"/>
      <c r="AA5606"/>
    </row>
    <row r="5607" spans="1:27" s="37" customFormat="1" x14ac:dyDescent="0.15">
      <c r="A5607" s="70"/>
      <c r="B5607" s="118"/>
      <c r="C5607" s="121"/>
      <c r="D5607" s="121"/>
      <c r="E5607" s="121"/>
      <c r="F5607" s="121"/>
      <c r="G5607" s="121"/>
      <c r="H5607" s="85"/>
      <c r="I5607" s="122"/>
      <c r="J5607" s="150"/>
      <c r="K5607" s="69"/>
      <c r="L5607" s="49"/>
      <c r="P5607" s="3"/>
      <c r="Q5607" s="3"/>
      <c r="R5607" s="3"/>
      <c r="S5607" s="3"/>
      <c r="T5607" s="3"/>
      <c r="U5607" s="3"/>
      <c r="V5607" s="3"/>
      <c r="W5607" s="3"/>
      <c r="X5607" s="3"/>
      <c r="Y5607" s="4"/>
      <c r="Z5607"/>
      <c r="AA5607"/>
    </row>
    <row r="5608" spans="1:27" s="37" customFormat="1" x14ac:dyDescent="0.15">
      <c r="A5608" s="70"/>
      <c r="B5608" s="118"/>
      <c r="C5608" s="121"/>
      <c r="D5608" s="121"/>
      <c r="E5608" s="121"/>
      <c r="F5608" s="121"/>
      <c r="G5608" s="121"/>
      <c r="H5608" s="85"/>
      <c r="I5608" s="122"/>
      <c r="J5608" s="150"/>
      <c r="K5608" s="69"/>
      <c r="L5608" s="50"/>
      <c r="P5608" s="3"/>
      <c r="Q5608" s="3"/>
      <c r="R5608" s="3"/>
      <c r="S5608" s="3"/>
      <c r="T5608" s="3"/>
      <c r="U5608" s="3"/>
      <c r="V5608" s="3"/>
      <c r="W5608" s="3"/>
      <c r="X5608" s="3"/>
      <c r="Y5608" s="4"/>
      <c r="Z5608"/>
      <c r="AA5608"/>
    </row>
    <row r="5609" spans="1:27" s="37" customFormat="1" x14ac:dyDescent="0.15">
      <c r="A5609" s="70"/>
      <c r="B5609" s="118"/>
      <c r="C5609" s="121"/>
      <c r="D5609" s="121"/>
      <c r="E5609" s="121"/>
      <c r="F5609" s="121"/>
      <c r="G5609" s="121"/>
      <c r="H5609" s="85"/>
      <c r="I5609" s="122"/>
      <c r="J5609" s="150"/>
      <c r="K5609" s="69"/>
      <c r="L5609" s="50"/>
      <c r="P5609" s="3"/>
      <c r="Q5609" s="3"/>
      <c r="R5609" s="3"/>
      <c r="S5609" s="3"/>
      <c r="T5609" s="3"/>
      <c r="U5609" s="3"/>
      <c r="V5609" s="3"/>
      <c r="W5609" s="3"/>
      <c r="X5609" s="3"/>
      <c r="Y5609" s="4"/>
      <c r="Z5609"/>
      <c r="AA5609"/>
    </row>
    <row r="5610" spans="1:27" s="37" customFormat="1" x14ac:dyDescent="0.15">
      <c r="A5610" s="70"/>
      <c r="B5610" s="118"/>
      <c r="C5610" s="121"/>
      <c r="D5610" s="121"/>
      <c r="E5610" s="121"/>
      <c r="F5610" s="121"/>
      <c r="G5610" s="121"/>
      <c r="H5610" s="85"/>
      <c r="I5610" s="122"/>
      <c r="J5610" s="150"/>
      <c r="K5610" s="69"/>
      <c r="L5610" s="50"/>
      <c r="P5610" s="3"/>
      <c r="Q5610" s="3"/>
      <c r="R5610" s="3"/>
      <c r="S5610" s="3"/>
      <c r="T5610" s="3"/>
      <c r="U5610" s="3"/>
      <c r="V5610" s="3"/>
      <c r="W5610" s="3"/>
      <c r="X5610" s="3"/>
      <c r="Y5610" s="4"/>
      <c r="Z5610"/>
      <c r="AA5610"/>
    </row>
    <row r="5611" spans="1:27" s="37" customFormat="1" x14ac:dyDescent="0.15">
      <c r="A5611" s="70"/>
      <c r="B5611" s="118"/>
      <c r="C5611" s="121"/>
      <c r="D5611" s="121"/>
      <c r="E5611" s="121"/>
      <c r="F5611" s="121"/>
      <c r="G5611" s="121"/>
      <c r="H5611" s="85"/>
      <c r="I5611" s="122"/>
      <c r="J5611" s="150"/>
      <c r="K5611" s="69"/>
      <c r="L5611" s="50"/>
      <c r="P5611" s="3"/>
      <c r="Q5611" s="3"/>
      <c r="R5611" s="3"/>
      <c r="S5611" s="3"/>
      <c r="T5611" s="3"/>
      <c r="U5611" s="3"/>
      <c r="V5611" s="3"/>
      <c r="W5611" s="3"/>
      <c r="X5611" s="3"/>
      <c r="Y5611" s="4"/>
      <c r="Z5611"/>
      <c r="AA5611"/>
    </row>
    <row r="5612" spans="1:27" s="37" customFormat="1" x14ac:dyDescent="0.15">
      <c r="A5612" s="70"/>
      <c r="B5612" s="118"/>
      <c r="C5612" s="121"/>
      <c r="D5612" s="121"/>
      <c r="E5612" s="121"/>
      <c r="F5612" s="121"/>
      <c r="G5612" s="121"/>
      <c r="H5612" s="85"/>
      <c r="I5612" s="122"/>
      <c r="J5612" s="150"/>
      <c r="K5612" s="60"/>
      <c r="L5612" s="50"/>
      <c r="P5612" s="3"/>
      <c r="Q5612" s="3"/>
      <c r="R5612" s="3"/>
      <c r="S5612" s="3"/>
      <c r="T5612" s="3"/>
      <c r="U5612" s="3"/>
      <c r="V5612" s="3"/>
      <c r="W5612" s="3"/>
      <c r="X5612" s="3"/>
      <c r="Y5612" s="4"/>
      <c r="Z5612"/>
      <c r="AA5612"/>
    </row>
    <row r="5613" spans="1:27" s="37" customFormat="1" x14ac:dyDescent="0.15">
      <c r="A5613" s="70"/>
      <c r="B5613" s="118"/>
      <c r="C5613" s="121"/>
      <c r="D5613" s="121"/>
      <c r="E5613" s="121"/>
      <c r="F5613" s="121"/>
      <c r="G5613" s="121"/>
      <c r="H5613" s="85"/>
      <c r="I5613" s="122"/>
      <c r="J5613" s="150"/>
      <c r="K5613" s="60"/>
      <c r="L5613" s="50"/>
      <c r="P5613" s="3"/>
      <c r="Q5613" s="3"/>
      <c r="R5613" s="3"/>
      <c r="S5613" s="3"/>
      <c r="T5613" s="3"/>
      <c r="U5613" s="3"/>
      <c r="V5613" s="3"/>
      <c r="W5613" s="3"/>
      <c r="X5613" s="3"/>
      <c r="Y5613" s="4"/>
      <c r="Z5613"/>
      <c r="AA5613"/>
    </row>
    <row r="5614" spans="1:27" s="37" customFormat="1" x14ac:dyDescent="0.15">
      <c r="A5614" s="70"/>
      <c r="B5614" s="118"/>
      <c r="C5614" s="121"/>
      <c r="D5614" s="121"/>
      <c r="E5614" s="121"/>
      <c r="F5614" s="121"/>
      <c r="G5614" s="121"/>
      <c r="H5614" s="85"/>
      <c r="I5614" s="122"/>
      <c r="J5614" s="150"/>
      <c r="K5614" s="69"/>
      <c r="L5614" s="50"/>
      <c r="P5614" s="3"/>
      <c r="Q5614" s="3"/>
      <c r="R5614" s="3"/>
      <c r="S5614" s="3"/>
      <c r="T5614" s="3"/>
      <c r="U5614" s="3"/>
      <c r="V5614" s="3"/>
      <c r="W5614" s="3"/>
      <c r="X5614" s="3"/>
      <c r="Y5614" s="4"/>
      <c r="Z5614"/>
      <c r="AA5614"/>
    </row>
    <row r="5615" spans="1:27" s="37" customFormat="1" x14ac:dyDescent="0.15">
      <c r="A5615" s="73"/>
      <c r="B5615" s="118"/>
      <c r="C5615" s="121"/>
      <c r="D5615" s="121"/>
      <c r="E5615" s="121"/>
      <c r="F5615" s="121"/>
      <c r="G5615" s="121"/>
      <c r="H5615" s="85"/>
      <c r="I5615" s="122"/>
      <c r="J5615" s="150"/>
      <c r="K5615" s="69"/>
      <c r="L5615" s="50"/>
      <c r="P5615" s="3"/>
      <c r="Q5615" s="3"/>
      <c r="R5615" s="3"/>
      <c r="S5615" s="3"/>
      <c r="T5615" s="3"/>
      <c r="U5615" s="3"/>
      <c r="V5615" s="3"/>
      <c r="W5615" s="3"/>
      <c r="X5615" s="3"/>
      <c r="Y5615" s="4"/>
      <c r="Z5615"/>
      <c r="AA5615"/>
    </row>
    <row r="5616" spans="1:27" s="37" customFormat="1" x14ac:dyDescent="0.15">
      <c r="A5616" s="73"/>
      <c r="B5616" s="118"/>
      <c r="C5616" s="121"/>
      <c r="D5616" s="121"/>
      <c r="E5616" s="121"/>
      <c r="F5616" s="121"/>
      <c r="G5616" s="121"/>
      <c r="H5616" s="85"/>
      <c r="I5616" s="122"/>
      <c r="J5616" s="150"/>
      <c r="K5616" s="69"/>
      <c r="L5616" s="50"/>
      <c r="P5616" s="3"/>
      <c r="Q5616" s="3"/>
      <c r="R5616" s="3"/>
      <c r="S5616" s="3"/>
      <c r="T5616" s="3"/>
      <c r="U5616" s="3"/>
      <c r="V5616" s="3"/>
      <c r="W5616" s="3"/>
      <c r="X5616" s="3"/>
      <c r="Y5616" s="4"/>
      <c r="Z5616"/>
      <c r="AA5616"/>
    </row>
    <row r="5617" spans="1:27" s="37" customFormat="1" x14ac:dyDescent="0.15">
      <c r="A5617" s="73"/>
      <c r="B5617" s="118"/>
      <c r="C5617" s="121"/>
      <c r="D5617" s="121"/>
      <c r="E5617" s="121"/>
      <c r="F5617" s="121"/>
      <c r="G5617" s="121"/>
      <c r="H5617" s="85"/>
      <c r="I5617" s="122"/>
      <c r="J5617" s="150"/>
      <c r="K5617" s="69"/>
      <c r="L5617" s="50"/>
      <c r="P5617" s="3"/>
      <c r="Q5617" s="3"/>
      <c r="R5617" s="3"/>
      <c r="S5617" s="3"/>
      <c r="T5617" s="3"/>
      <c r="U5617" s="3"/>
      <c r="V5617" s="3"/>
      <c r="W5617" s="3"/>
      <c r="X5617" s="3"/>
      <c r="Y5617" s="4"/>
      <c r="Z5617"/>
      <c r="AA5617"/>
    </row>
    <row r="5618" spans="1:27" s="37" customFormat="1" x14ac:dyDescent="0.15">
      <c r="A5618" s="70"/>
      <c r="B5618" s="118"/>
      <c r="C5618" s="121"/>
      <c r="D5618" s="121"/>
      <c r="E5618" s="121"/>
      <c r="F5618" s="121"/>
      <c r="G5618" s="121"/>
      <c r="H5618" s="85"/>
      <c r="I5618" s="122"/>
      <c r="J5618" s="150"/>
      <c r="K5618" s="69"/>
      <c r="L5618" s="50"/>
      <c r="P5618" s="3"/>
      <c r="Q5618" s="3"/>
      <c r="R5618" s="3"/>
      <c r="S5618" s="3"/>
      <c r="T5618" s="3"/>
      <c r="U5618" s="3"/>
      <c r="V5618" s="3"/>
      <c r="W5618" s="3"/>
      <c r="X5618" s="3"/>
      <c r="Y5618" s="4"/>
      <c r="Z5618"/>
      <c r="AA5618"/>
    </row>
    <row r="5619" spans="1:27" s="37" customFormat="1" x14ac:dyDescent="0.15">
      <c r="A5619" s="70"/>
      <c r="B5619" s="118"/>
      <c r="C5619" s="121"/>
      <c r="D5619" s="121"/>
      <c r="E5619" s="121"/>
      <c r="F5619" s="121"/>
      <c r="G5619" s="121"/>
      <c r="H5619" s="85"/>
      <c r="I5619" s="122"/>
      <c r="J5619" s="150"/>
      <c r="K5619" s="69"/>
      <c r="L5619" s="50"/>
      <c r="N5619" s="51"/>
      <c r="P5619" s="3"/>
      <c r="Q5619" s="3"/>
      <c r="R5619" s="3"/>
      <c r="S5619" s="3"/>
      <c r="T5619" s="3"/>
      <c r="U5619" s="3"/>
      <c r="V5619" s="3"/>
      <c r="W5619" s="3"/>
      <c r="X5619" s="3"/>
      <c r="Y5619" s="4"/>
      <c r="Z5619"/>
      <c r="AA5619"/>
    </row>
    <row r="5620" spans="1:27" s="37" customFormat="1" x14ac:dyDescent="0.15">
      <c r="A5620" s="70"/>
      <c r="B5620" s="117"/>
      <c r="C5620" s="121"/>
      <c r="D5620" s="121"/>
      <c r="E5620" s="121"/>
      <c r="F5620" s="121"/>
      <c r="G5620" s="121"/>
      <c r="H5620" s="85"/>
      <c r="I5620" s="123"/>
      <c r="J5620" s="150"/>
      <c r="K5620" s="66"/>
      <c r="L5620" s="33"/>
      <c r="P5620" s="3"/>
      <c r="Q5620" s="3"/>
      <c r="R5620" s="3"/>
      <c r="S5620" s="3"/>
      <c r="T5620" s="3"/>
      <c r="U5620" s="3"/>
      <c r="V5620" s="3"/>
      <c r="W5620" s="3"/>
      <c r="X5620" s="3"/>
      <c r="Y5620" s="4"/>
      <c r="Z5620"/>
      <c r="AA5620"/>
    </row>
    <row r="5621" spans="1:27" s="37" customFormat="1" x14ac:dyDescent="0.15">
      <c r="A5621" s="70"/>
      <c r="B5621" s="118"/>
      <c r="C5621" s="121"/>
      <c r="D5621" s="121"/>
      <c r="E5621" s="121"/>
      <c r="F5621" s="121"/>
      <c r="G5621" s="121"/>
      <c r="H5621" s="85"/>
      <c r="I5621" s="122"/>
      <c r="J5621" s="150"/>
      <c r="K5621" s="60"/>
      <c r="L5621" s="33"/>
      <c r="P5621" s="3"/>
      <c r="Q5621" s="3"/>
      <c r="R5621" s="3"/>
      <c r="S5621" s="3"/>
      <c r="T5621" s="3"/>
      <c r="U5621" s="3"/>
      <c r="V5621" s="3"/>
      <c r="W5621" s="3"/>
      <c r="X5621" s="3"/>
      <c r="Y5621" s="4"/>
      <c r="Z5621"/>
      <c r="AA5621"/>
    </row>
    <row r="5622" spans="1:27" s="37" customFormat="1" x14ac:dyDescent="0.15">
      <c r="A5622" s="70"/>
      <c r="B5622" s="118"/>
      <c r="C5622" s="121"/>
      <c r="D5622" s="121"/>
      <c r="E5622" s="121"/>
      <c r="F5622" s="121"/>
      <c r="G5622" s="121"/>
      <c r="H5622" s="85"/>
      <c r="I5622" s="122"/>
      <c r="J5622" s="150"/>
      <c r="K5622" s="75"/>
      <c r="L5622" s="49"/>
      <c r="P5622" s="3"/>
      <c r="Q5622" s="3"/>
      <c r="R5622" s="3"/>
      <c r="S5622" s="3"/>
      <c r="T5622" s="3"/>
      <c r="U5622" s="3"/>
      <c r="V5622" s="3"/>
      <c r="W5622" s="3"/>
      <c r="X5622" s="3"/>
      <c r="Y5622" s="4"/>
      <c r="Z5622"/>
      <c r="AA5622"/>
    </row>
    <row r="5623" spans="1:27" s="37" customFormat="1" x14ac:dyDescent="0.15">
      <c r="A5623" s="70"/>
      <c r="B5623" s="117"/>
      <c r="C5623" s="121"/>
      <c r="D5623" s="121"/>
      <c r="E5623" s="121"/>
      <c r="F5623" s="121"/>
      <c r="G5623" s="121"/>
      <c r="H5623" s="85"/>
      <c r="I5623" s="122"/>
      <c r="J5623" s="150"/>
      <c r="K5623" s="75"/>
      <c r="L5623" s="33"/>
      <c r="P5623" s="3"/>
      <c r="Q5623" s="3"/>
      <c r="R5623" s="3"/>
      <c r="S5623" s="3"/>
      <c r="T5623" s="3"/>
      <c r="U5623" s="3"/>
      <c r="V5623" s="3"/>
      <c r="W5623" s="3"/>
      <c r="X5623" s="3"/>
      <c r="Y5623" s="4"/>
      <c r="Z5623"/>
      <c r="AA5623"/>
    </row>
    <row r="5624" spans="1:27" s="37" customFormat="1" x14ac:dyDescent="0.15">
      <c r="A5624" s="70"/>
      <c r="B5624" s="118"/>
      <c r="C5624" s="121"/>
      <c r="D5624" s="121"/>
      <c r="E5624" s="121"/>
      <c r="F5624" s="121"/>
      <c r="G5624" s="121"/>
      <c r="H5624" s="85"/>
      <c r="I5624" s="122"/>
      <c r="J5624" s="150"/>
      <c r="K5624" s="75"/>
      <c r="L5624" s="49"/>
      <c r="N5624" s="35"/>
      <c r="P5624" s="3"/>
      <c r="Q5624" s="3"/>
      <c r="R5624" s="3"/>
      <c r="S5624" s="3"/>
      <c r="T5624" s="3"/>
      <c r="U5624" s="3"/>
      <c r="V5624" s="3"/>
      <c r="W5624" s="3"/>
      <c r="X5624" s="3"/>
      <c r="Y5624" s="4"/>
      <c r="Z5624"/>
      <c r="AA5624"/>
    </row>
    <row r="5625" spans="1:27" s="37" customFormat="1" x14ac:dyDescent="0.15">
      <c r="A5625" s="70"/>
      <c r="B5625" s="117"/>
      <c r="C5625" s="121"/>
      <c r="D5625" s="121"/>
      <c r="E5625" s="121"/>
      <c r="F5625" s="121"/>
      <c r="G5625" s="121"/>
      <c r="H5625" s="85"/>
      <c r="I5625" s="122"/>
      <c r="J5625" s="150"/>
      <c r="K5625" s="75"/>
      <c r="L5625" s="49"/>
      <c r="P5625" s="3"/>
      <c r="Q5625" s="3"/>
      <c r="R5625" s="3"/>
      <c r="S5625" s="3"/>
      <c r="T5625" s="3"/>
      <c r="U5625" s="3"/>
      <c r="V5625" s="3"/>
      <c r="W5625" s="3"/>
      <c r="X5625" s="3"/>
      <c r="Y5625" s="4"/>
      <c r="Z5625"/>
      <c r="AA5625"/>
    </row>
    <row r="5626" spans="1:27" s="37" customFormat="1" x14ac:dyDescent="0.15">
      <c r="A5626" s="70"/>
      <c r="B5626" s="117"/>
      <c r="C5626" s="121"/>
      <c r="D5626" s="121"/>
      <c r="E5626" s="121"/>
      <c r="F5626" s="121"/>
      <c r="G5626" s="121"/>
      <c r="H5626" s="85"/>
      <c r="I5626" s="122"/>
      <c r="J5626" s="150"/>
      <c r="K5626" s="75"/>
      <c r="L5626" s="53"/>
      <c r="P5626" s="3"/>
      <c r="Q5626" s="3"/>
      <c r="R5626" s="3"/>
      <c r="S5626" s="3"/>
      <c r="T5626" s="3"/>
      <c r="U5626" s="3"/>
      <c r="V5626" s="3"/>
      <c r="W5626" s="3"/>
      <c r="X5626" s="3"/>
      <c r="Y5626" s="4"/>
      <c r="Z5626"/>
      <c r="AA5626"/>
    </row>
    <row r="5627" spans="1:27" s="37" customFormat="1" x14ac:dyDescent="0.15">
      <c r="A5627" s="70"/>
      <c r="B5627" s="118"/>
      <c r="C5627" s="121"/>
      <c r="D5627" s="121"/>
      <c r="E5627" s="121"/>
      <c r="F5627" s="121"/>
      <c r="G5627" s="121"/>
      <c r="H5627" s="85"/>
      <c r="I5627" s="122"/>
      <c r="J5627" s="150"/>
      <c r="K5627" s="75"/>
      <c r="L5627" s="33"/>
      <c r="P5627" s="3"/>
      <c r="Q5627" s="3"/>
      <c r="R5627" s="3"/>
      <c r="S5627" s="3"/>
      <c r="T5627" s="3"/>
      <c r="U5627" s="3"/>
      <c r="V5627" s="3"/>
      <c r="W5627" s="3"/>
      <c r="X5627" s="3"/>
      <c r="Y5627" s="4"/>
      <c r="Z5627"/>
      <c r="AA5627"/>
    </row>
    <row r="5628" spans="1:27" s="37" customFormat="1" x14ac:dyDescent="0.15">
      <c r="A5628" s="70"/>
      <c r="B5628" s="117"/>
      <c r="C5628" s="121"/>
      <c r="D5628" s="121"/>
      <c r="E5628" s="121"/>
      <c r="F5628" s="121"/>
      <c r="G5628" s="121"/>
      <c r="H5628" s="85"/>
      <c r="I5628" s="122"/>
      <c r="J5628" s="150"/>
      <c r="K5628" s="75"/>
      <c r="L5628" s="33"/>
      <c r="P5628" s="3"/>
      <c r="Q5628" s="3"/>
      <c r="R5628" s="3"/>
      <c r="S5628" s="3"/>
      <c r="T5628" s="3"/>
      <c r="U5628" s="3"/>
      <c r="V5628" s="3"/>
      <c r="W5628" s="3"/>
      <c r="X5628" s="3"/>
      <c r="Y5628" s="4"/>
      <c r="Z5628"/>
      <c r="AA5628"/>
    </row>
    <row r="5629" spans="1:27" s="37" customFormat="1" x14ac:dyDescent="0.15">
      <c r="A5629" s="70"/>
      <c r="B5629" s="117"/>
      <c r="C5629" s="121"/>
      <c r="D5629" s="121"/>
      <c r="E5629" s="121"/>
      <c r="F5629" s="121"/>
      <c r="G5629" s="121"/>
      <c r="H5629" s="85"/>
      <c r="I5629" s="122"/>
      <c r="J5629" s="150"/>
      <c r="K5629" s="75"/>
      <c r="L5629" s="33"/>
      <c r="P5629" s="3"/>
      <c r="Q5629" s="3"/>
      <c r="R5629" s="3"/>
      <c r="S5629" s="3"/>
      <c r="T5629" s="3"/>
      <c r="U5629" s="3"/>
      <c r="V5629" s="3"/>
      <c r="W5629" s="3"/>
      <c r="X5629" s="3"/>
      <c r="Y5629" s="4"/>
      <c r="Z5629"/>
      <c r="AA5629"/>
    </row>
    <row r="5630" spans="1:27" s="37" customFormat="1" x14ac:dyDescent="0.15">
      <c r="A5630" s="70"/>
      <c r="B5630" s="117"/>
      <c r="C5630" s="121"/>
      <c r="D5630" s="121"/>
      <c r="E5630" s="121"/>
      <c r="F5630" s="121"/>
      <c r="G5630" s="121"/>
      <c r="H5630" s="85"/>
      <c r="I5630" s="122"/>
      <c r="J5630" s="150"/>
      <c r="K5630" s="75"/>
      <c r="L5630" s="33"/>
      <c r="P5630" s="3"/>
      <c r="Q5630" s="3"/>
      <c r="R5630" s="3"/>
      <c r="S5630" s="3"/>
      <c r="T5630" s="3"/>
      <c r="U5630" s="3"/>
      <c r="V5630" s="3"/>
      <c r="W5630" s="3"/>
      <c r="X5630" s="3"/>
      <c r="Y5630" s="4"/>
      <c r="Z5630"/>
      <c r="AA5630"/>
    </row>
    <row r="5631" spans="1:27" s="37" customFormat="1" x14ac:dyDescent="0.15">
      <c r="A5631" s="62"/>
      <c r="B5631" s="119"/>
      <c r="C5631" s="121"/>
      <c r="D5631" s="121"/>
      <c r="E5631" s="121"/>
      <c r="F5631" s="121"/>
      <c r="G5631" s="121"/>
      <c r="H5631" s="85"/>
      <c r="I5631" s="122"/>
      <c r="J5631" s="150"/>
      <c r="K5631" s="75"/>
      <c r="L5631" s="33"/>
      <c r="P5631" s="3"/>
      <c r="Q5631" s="3"/>
      <c r="R5631" s="3"/>
      <c r="S5631" s="3"/>
      <c r="T5631" s="3"/>
      <c r="U5631" s="3"/>
      <c r="V5631" s="3"/>
      <c r="W5631" s="3"/>
      <c r="X5631" s="3"/>
      <c r="Y5631" s="4"/>
      <c r="Z5631"/>
      <c r="AA5631"/>
    </row>
    <row r="5632" spans="1:27" s="37" customFormat="1" x14ac:dyDescent="0.15">
      <c r="A5632" s="70"/>
      <c r="B5632" s="117"/>
      <c r="C5632" s="121"/>
      <c r="D5632" s="121"/>
      <c r="E5632" s="121"/>
      <c r="F5632" s="121"/>
      <c r="G5632" s="121"/>
      <c r="H5632" s="85"/>
      <c r="I5632" s="122"/>
      <c r="J5632" s="150"/>
      <c r="K5632" s="75"/>
      <c r="L5632" s="33"/>
      <c r="P5632" s="3"/>
      <c r="Q5632" s="3"/>
      <c r="R5632" s="3"/>
      <c r="S5632" s="3"/>
      <c r="T5632" s="3"/>
      <c r="U5632" s="3"/>
      <c r="V5632" s="3"/>
      <c r="W5632" s="3"/>
      <c r="X5632" s="3"/>
      <c r="Y5632" s="4"/>
      <c r="Z5632"/>
      <c r="AA5632"/>
    </row>
    <row r="5633" spans="1:27" s="37" customFormat="1" x14ac:dyDescent="0.15">
      <c r="A5633" s="70"/>
      <c r="B5633" s="117"/>
      <c r="C5633" s="121"/>
      <c r="D5633" s="121"/>
      <c r="E5633" s="121"/>
      <c r="F5633" s="121"/>
      <c r="G5633" s="121"/>
      <c r="H5633" s="85"/>
      <c r="I5633" s="122"/>
      <c r="J5633" s="150"/>
      <c r="K5633" s="75"/>
      <c r="L5633" s="33"/>
      <c r="P5633" s="3"/>
      <c r="Q5633" s="3"/>
      <c r="R5633" s="3"/>
      <c r="S5633" s="3"/>
      <c r="T5633" s="3"/>
      <c r="U5633" s="3"/>
      <c r="V5633" s="3"/>
      <c r="W5633" s="3"/>
      <c r="X5633" s="3"/>
      <c r="Y5633" s="4"/>
      <c r="Z5633"/>
      <c r="AA5633"/>
    </row>
    <row r="5634" spans="1:27" s="37" customFormat="1" x14ac:dyDescent="0.15">
      <c r="A5634" s="70"/>
      <c r="B5634" s="117"/>
      <c r="C5634" s="121"/>
      <c r="D5634" s="121"/>
      <c r="E5634" s="121"/>
      <c r="F5634" s="121"/>
      <c r="G5634" s="121"/>
      <c r="H5634" s="85"/>
      <c r="I5634" s="122"/>
      <c r="J5634" s="150"/>
      <c r="K5634" s="75"/>
      <c r="L5634" s="33"/>
      <c r="P5634" s="3"/>
      <c r="Q5634" s="3"/>
      <c r="R5634" s="3"/>
      <c r="S5634" s="3"/>
      <c r="T5634" s="3"/>
      <c r="U5634" s="3"/>
      <c r="V5634" s="3"/>
      <c r="W5634" s="3"/>
      <c r="X5634" s="3"/>
      <c r="Y5634" s="4"/>
      <c r="Z5634"/>
      <c r="AA5634"/>
    </row>
    <row r="5635" spans="1:27" s="37" customFormat="1" x14ac:dyDescent="0.15">
      <c r="A5635" s="70"/>
      <c r="B5635" s="117"/>
      <c r="C5635" s="121"/>
      <c r="D5635" s="121"/>
      <c r="E5635" s="121"/>
      <c r="F5635" s="121"/>
      <c r="G5635" s="121"/>
      <c r="H5635" s="85"/>
      <c r="I5635" s="122"/>
      <c r="J5635" s="235"/>
      <c r="K5635" s="75"/>
      <c r="L5635" s="33"/>
      <c r="P5635" s="3"/>
      <c r="Q5635" s="3"/>
      <c r="R5635" s="3"/>
      <c r="S5635" s="3"/>
      <c r="T5635" s="3"/>
      <c r="U5635" s="3"/>
      <c r="V5635" s="3"/>
      <c r="W5635" s="3"/>
      <c r="X5635" s="3"/>
      <c r="Y5635" s="4"/>
      <c r="Z5635"/>
      <c r="AA5635"/>
    </row>
    <row r="5636" spans="1:27" s="37" customFormat="1" x14ac:dyDescent="0.15">
      <c r="A5636" s="70"/>
      <c r="B5636" s="118"/>
      <c r="C5636" s="121"/>
      <c r="D5636" s="121"/>
      <c r="E5636" s="121"/>
      <c r="F5636" s="121"/>
      <c r="G5636" s="121"/>
      <c r="H5636" s="85"/>
      <c r="I5636" s="122"/>
      <c r="J5636" s="150"/>
      <c r="K5636" s="75"/>
      <c r="L5636" s="33"/>
      <c r="P5636" s="3"/>
      <c r="Q5636" s="3"/>
      <c r="R5636" s="3"/>
      <c r="S5636" s="3"/>
      <c r="T5636" s="3"/>
      <c r="U5636" s="3"/>
      <c r="V5636" s="3"/>
      <c r="W5636" s="3"/>
      <c r="X5636" s="3"/>
      <c r="Y5636" s="4"/>
      <c r="Z5636"/>
      <c r="AA5636"/>
    </row>
    <row r="5637" spans="1:27" s="37" customFormat="1" x14ac:dyDescent="0.15">
      <c r="A5637" s="70"/>
      <c r="B5637" s="118"/>
      <c r="C5637" s="121"/>
      <c r="D5637" s="121"/>
      <c r="E5637" s="121"/>
      <c r="F5637" s="121"/>
      <c r="G5637" s="121"/>
      <c r="H5637" s="85"/>
      <c r="I5637" s="122"/>
      <c r="J5637" s="150"/>
      <c r="K5637" s="75"/>
      <c r="L5637" s="33"/>
      <c r="P5637" s="3"/>
      <c r="Q5637" s="3"/>
      <c r="R5637" s="3"/>
      <c r="S5637" s="3"/>
      <c r="T5637" s="3"/>
      <c r="U5637" s="3"/>
      <c r="V5637" s="3"/>
      <c r="W5637" s="3"/>
      <c r="X5637" s="3"/>
      <c r="Y5637" s="4"/>
      <c r="Z5637"/>
      <c r="AA5637"/>
    </row>
    <row r="5638" spans="1:27" s="37" customFormat="1" x14ac:dyDescent="0.15">
      <c r="A5638" s="70"/>
      <c r="B5638" s="117"/>
      <c r="C5638" s="121"/>
      <c r="D5638" s="121"/>
      <c r="E5638" s="121"/>
      <c r="F5638" s="121"/>
      <c r="G5638" s="121"/>
      <c r="H5638" s="85"/>
      <c r="I5638" s="122"/>
      <c r="J5638" s="150"/>
      <c r="K5638" s="75"/>
      <c r="L5638" s="33"/>
      <c r="P5638" s="3"/>
      <c r="Q5638" s="3"/>
      <c r="R5638" s="3"/>
      <c r="S5638" s="3"/>
      <c r="T5638" s="3"/>
      <c r="U5638" s="3"/>
      <c r="V5638" s="3"/>
      <c r="W5638" s="3"/>
      <c r="X5638" s="3"/>
      <c r="Y5638" s="4"/>
      <c r="Z5638"/>
      <c r="AA5638"/>
    </row>
    <row r="5639" spans="1:27" s="37" customFormat="1" x14ac:dyDescent="0.15">
      <c r="A5639" s="70"/>
      <c r="B5639" s="117"/>
      <c r="C5639" s="121"/>
      <c r="D5639" s="121"/>
      <c r="E5639" s="121"/>
      <c r="F5639" s="121"/>
      <c r="G5639" s="121"/>
      <c r="H5639" s="85"/>
      <c r="I5639" s="122"/>
      <c r="J5639" s="150"/>
      <c r="K5639" s="75"/>
      <c r="L5639" s="49"/>
      <c r="P5639" s="3"/>
      <c r="Q5639" s="3"/>
      <c r="R5639" s="3"/>
      <c r="S5639" s="3"/>
      <c r="T5639" s="3"/>
      <c r="U5639" s="3"/>
      <c r="V5639" s="3"/>
      <c r="W5639" s="3"/>
      <c r="X5639" s="3"/>
      <c r="Y5639" s="4"/>
      <c r="Z5639"/>
      <c r="AA5639"/>
    </row>
    <row r="5640" spans="1:27" s="37" customFormat="1" x14ac:dyDescent="0.15">
      <c r="A5640" s="70"/>
      <c r="B5640" s="117"/>
      <c r="C5640" s="121"/>
      <c r="D5640" s="121"/>
      <c r="E5640" s="121"/>
      <c r="F5640" s="121"/>
      <c r="G5640" s="121"/>
      <c r="H5640" s="85"/>
      <c r="I5640" s="122"/>
      <c r="J5640" s="150"/>
      <c r="K5640" s="75"/>
      <c r="L5640" s="33"/>
      <c r="P5640" s="3"/>
      <c r="Q5640" s="3"/>
      <c r="R5640" s="3"/>
      <c r="S5640" s="3"/>
      <c r="T5640" s="3"/>
      <c r="U5640" s="3"/>
      <c r="V5640" s="3"/>
      <c r="W5640" s="3"/>
      <c r="X5640" s="3"/>
      <c r="Y5640" s="4"/>
      <c r="Z5640"/>
      <c r="AA5640"/>
    </row>
    <row r="5641" spans="1:27" s="37" customFormat="1" ht="16" x14ac:dyDescent="0.2">
      <c r="A5641" s="70"/>
      <c r="B5641" s="117"/>
      <c r="C5641" s="121"/>
      <c r="D5641" s="121"/>
      <c r="E5641" s="121"/>
      <c r="F5641" s="121"/>
      <c r="G5641" s="121"/>
      <c r="H5641" s="85"/>
      <c r="I5641" s="122"/>
      <c r="J5641" s="150"/>
      <c r="K5641" s="75"/>
      <c r="L5641" s="47"/>
      <c r="P5641" s="3"/>
      <c r="Q5641" s="3"/>
      <c r="R5641" s="3"/>
      <c r="S5641" s="3"/>
      <c r="T5641" s="3"/>
      <c r="U5641" s="3"/>
      <c r="V5641" s="3"/>
      <c r="W5641" s="3"/>
      <c r="X5641" s="3"/>
      <c r="Y5641" s="4"/>
      <c r="Z5641"/>
      <c r="AA5641"/>
    </row>
    <row r="5642" spans="1:27" s="37" customFormat="1" x14ac:dyDescent="0.15">
      <c r="A5642" s="70"/>
      <c r="B5642" s="117"/>
      <c r="C5642" s="121"/>
      <c r="D5642" s="121"/>
      <c r="E5642" s="121"/>
      <c r="F5642" s="121"/>
      <c r="G5642" s="121"/>
      <c r="H5642" s="85"/>
      <c r="I5642" s="122"/>
      <c r="J5642" s="150"/>
      <c r="K5642" s="75"/>
      <c r="L5642" s="33"/>
      <c r="P5642" s="3"/>
      <c r="Q5642" s="3"/>
      <c r="R5642" s="3"/>
      <c r="S5642" s="3"/>
      <c r="T5642" s="3"/>
      <c r="U5642" s="3"/>
      <c r="V5642" s="3"/>
      <c r="W5642" s="3"/>
      <c r="X5642" s="3"/>
      <c r="Y5642" s="4"/>
      <c r="Z5642"/>
      <c r="AA5642"/>
    </row>
    <row r="5643" spans="1:27" s="37" customFormat="1" x14ac:dyDescent="0.15">
      <c r="A5643" s="70"/>
      <c r="B5643" s="118"/>
      <c r="C5643" s="121"/>
      <c r="D5643" s="121"/>
      <c r="E5643" s="121"/>
      <c r="F5643" s="121"/>
      <c r="G5643" s="121"/>
      <c r="H5643" s="85"/>
      <c r="I5643" s="122"/>
      <c r="J5643" s="150"/>
      <c r="K5643" s="75"/>
      <c r="L5643" s="49"/>
      <c r="P5643" s="3"/>
      <c r="Q5643" s="3"/>
      <c r="R5643" s="3"/>
      <c r="S5643" s="3"/>
      <c r="T5643" s="3"/>
      <c r="U5643" s="3"/>
      <c r="V5643" s="3"/>
      <c r="W5643" s="3"/>
      <c r="X5643" s="3"/>
      <c r="Y5643" s="4"/>
      <c r="Z5643"/>
      <c r="AA5643"/>
    </row>
    <row r="5644" spans="1:27" s="37" customFormat="1" x14ac:dyDescent="0.15">
      <c r="A5644" s="70"/>
      <c r="B5644" s="118"/>
      <c r="C5644" s="121"/>
      <c r="D5644" s="121"/>
      <c r="E5644" s="121"/>
      <c r="F5644" s="121"/>
      <c r="G5644" s="121"/>
      <c r="H5644" s="85"/>
      <c r="I5644" s="122"/>
      <c r="J5644" s="150"/>
      <c r="K5644" s="75"/>
      <c r="L5644" s="49"/>
      <c r="P5644" s="3"/>
      <c r="Q5644" s="3"/>
      <c r="R5644" s="3"/>
      <c r="S5644" s="3"/>
      <c r="T5644" s="3"/>
      <c r="U5644" s="3"/>
      <c r="V5644" s="3"/>
      <c r="W5644" s="3"/>
      <c r="X5644" s="3"/>
      <c r="Y5644" s="4"/>
      <c r="Z5644"/>
      <c r="AA5644"/>
    </row>
    <row r="5645" spans="1:27" s="37" customFormat="1" x14ac:dyDescent="0.15">
      <c r="A5645" s="70"/>
      <c r="B5645" s="118"/>
      <c r="C5645" s="121"/>
      <c r="D5645" s="121"/>
      <c r="E5645" s="121"/>
      <c r="F5645" s="121"/>
      <c r="G5645" s="121"/>
      <c r="H5645" s="85"/>
      <c r="I5645" s="122"/>
      <c r="J5645" s="150"/>
      <c r="K5645" s="75"/>
      <c r="L5645" s="33"/>
      <c r="P5645" s="3"/>
      <c r="Q5645" s="3"/>
      <c r="R5645" s="3"/>
      <c r="S5645" s="3"/>
      <c r="T5645" s="3"/>
      <c r="U5645" s="3"/>
      <c r="V5645" s="3"/>
      <c r="W5645" s="3"/>
      <c r="X5645" s="3"/>
      <c r="Y5645" s="4"/>
      <c r="Z5645"/>
      <c r="AA5645"/>
    </row>
    <row r="5646" spans="1:27" s="37" customFormat="1" x14ac:dyDescent="0.15">
      <c r="A5646" s="70"/>
      <c r="B5646" s="118"/>
      <c r="C5646" s="121"/>
      <c r="D5646" s="121"/>
      <c r="E5646" s="121"/>
      <c r="F5646" s="121"/>
      <c r="G5646" s="121"/>
      <c r="H5646" s="85"/>
      <c r="I5646" s="122"/>
      <c r="J5646" s="150"/>
      <c r="K5646" s="75"/>
      <c r="L5646" s="49"/>
      <c r="P5646" s="3"/>
      <c r="Q5646" s="3"/>
      <c r="R5646" s="3"/>
      <c r="S5646" s="3"/>
      <c r="T5646" s="3"/>
      <c r="U5646" s="3"/>
      <c r="V5646" s="3"/>
      <c r="W5646" s="3"/>
      <c r="X5646" s="3"/>
      <c r="Y5646" s="4"/>
      <c r="Z5646"/>
      <c r="AA5646"/>
    </row>
    <row r="5647" spans="1:27" s="37" customFormat="1" x14ac:dyDescent="0.15">
      <c r="A5647" s="70"/>
      <c r="B5647" s="118"/>
      <c r="C5647" s="121"/>
      <c r="D5647" s="121"/>
      <c r="E5647" s="121"/>
      <c r="F5647" s="121"/>
      <c r="G5647" s="121"/>
      <c r="H5647" s="85"/>
      <c r="I5647" s="122"/>
      <c r="J5647" s="150"/>
      <c r="K5647" s="75"/>
      <c r="L5647" s="50"/>
      <c r="P5647" s="3"/>
      <c r="Q5647" s="3"/>
      <c r="R5647" s="3"/>
      <c r="S5647" s="3"/>
      <c r="T5647" s="3"/>
      <c r="U5647" s="3"/>
      <c r="V5647" s="3"/>
      <c r="W5647" s="3"/>
      <c r="X5647" s="3"/>
      <c r="Y5647" s="4"/>
      <c r="Z5647"/>
      <c r="AA5647"/>
    </row>
    <row r="5648" spans="1:27" s="37" customFormat="1" x14ac:dyDescent="0.15">
      <c r="A5648" s="70"/>
      <c r="B5648" s="118"/>
      <c r="C5648" s="121"/>
      <c r="D5648" s="121"/>
      <c r="E5648" s="121"/>
      <c r="F5648" s="121"/>
      <c r="G5648" s="121"/>
      <c r="H5648" s="85"/>
      <c r="I5648" s="122"/>
      <c r="J5648" s="150"/>
      <c r="K5648" s="75"/>
      <c r="L5648" s="49"/>
      <c r="P5648" s="3"/>
      <c r="Q5648" s="3"/>
      <c r="R5648" s="3"/>
      <c r="S5648" s="3"/>
      <c r="T5648" s="3"/>
      <c r="U5648" s="3"/>
      <c r="V5648" s="3"/>
      <c r="W5648" s="3"/>
      <c r="X5648" s="3"/>
      <c r="Y5648" s="4"/>
      <c r="Z5648"/>
      <c r="AA5648"/>
    </row>
    <row r="5649" spans="1:27" s="37" customFormat="1" x14ac:dyDescent="0.15">
      <c r="A5649" s="86"/>
      <c r="B5649" s="230"/>
      <c r="C5649" s="231"/>
      <c r="D5649" s="232"/>
      <c r="E5649" s="232"/>
      <c r="F5649" s="232"/>
      <c r="G5649" s="232"/>
      <c r="H5649" s="85"/>
      <c r="I5649" s="233"/>
      <c r="J5649" s="234"/>
      <c r="K5649" s="77"/>
      <c r="L5649" s="49"/>
      <c r="P5649" s="3"/>
      <c r="Q5649" s="3"/>
      <c r="R5649" s="3"/>
      <c r="S5649" s="3"/>
      <c r="T5649" s="3"/>
      <c r="U5649" s="3"/>
      <c r="V5649" s="3"/>
      <c r="W5649" s="3"/>
      <c r="X5649" s="3"/>
      <c r="Y5649" s="4"/>
      <c r="Z5649"/>
      <c r="AA5649"/>
    </row>
    <row r="5650" spans="1:27" s="37" customFormat="1" x14ac:dyDescent="0.15">
      <c r="A5650" s="86"/>
      <c r="B5650" s="230"/>
      <c r="C5650" s="231"/>
      <c r="D5650" s="232"/>
      <c r="E5650" s="232"/>
      <c r="F5650" s="232"/>
      <c r="G5650" s="232"/>
      <c r="H5650" s="85"/>
      <c r="I5650" s="233"/>
      <c r="J5650" s="234"/>
      <c r="K5650" s="77"/>
      <c r="L5650" s="49"/>
      <c r="P5650" s="3"/>
      <c r="Q5650" s="3"/>
      <c r="R5650" s="3"/>
      <c r="S5650" s="3"/>
      <c r="T5650" s="3"/>
      <c r="U5650" s="3"/>
      <c r="V5650" s="3"/>
      <c r="W5650" s="3"/>
      <c r="X5650" s="3"/>
      <c r="Y5650" s="4"/>
      <c r="Z5650"/>
      <c r="AA5650"/>
    </row>
    <row r="5651" spans="1:27" s="37" customFormat="1" x14ac:dyDescent="0.15">
      <c r="A5651" s="86"/>
      <c r="B5651" s="230"/>
      <c r="C5651" s="231"/>
      <c r="D5651" s="232"/>
      <c r="E5651" s="232"/>
      <c r="F5651" s="232"/>
      <c r="G5651" s="232"/>
      <c r="H5651" s="85"/>
      <c r="I5651" s="233"/>
      <c r="J5651" s="234"/>
      <c r="K5651" s="77"/>
      <c r="L5651" s="49"/>
      <c r="P5651" s="3"/>
      <c r="Q5651" s="3"/>
      <c r="R5651" s="3"/>
      <c r="S5651" s="3"/>
      <c r="T5651" s="3"/>
      <c r="U5651" s="3"/>
      <c r="V5651" s="3"/>
      <c r="W5651" s="3"/>
      <c r="X5651" s="3"/>
      <c r="Y5651" s="4"/>
      <c r="Z5651"/>
      <c r="AA5651"/>
    </row>
    <row r="5652" spans="1:27" s="37" customFormat="1" x14ac:dyDescent="0.15">
      <c r="A5652" s="86"/>
      <c r="B5652" s="230"/>
      <c r="C5652" s="231"/>
      <c r="D5652" s="232"/>
      <c r="E5652" s="232"/>
      <c r="F5652" s="232"/>
      <c r="G5652" s="232"/>
      <c r="H5652" s="85"/>
      <c r="I5652" s="233"/>
      <c r="J5652" s="234"/>
      <c r="K5652" s="77"/>
      <c r="L5652" s="49"/>
      <c r="P5652" s="3"/>
      <c r="Q5652" s="3"/>
      <c r="R5652" s="3"/>
      <c r="S5652" s="3"/>
      <c r="T5652" s="3"/>
      <c r="U5652" s="3"/>
      <c r="V5652" s="3"/>
      <c r="W5652" s="3"/>
      <c r="X5652" s="3"/>
      <c r="Y5652" s="4"/>
      <c r="Z5652"/>
      <c r="AA5652"/>
    </row>
    <row r="5653" spans="1:27" s="37" customFormat="1" x14ac:dyDescent="0.15">
      <c r="A5653" s="86"/>
      <c r="B5653" s="230"/>
      <c r="C5653" s="231"/>
      <c r="D5653" s="232"/>
      <c r="E5653" s="232"/>
      <c r="F5653" s="232"/>
      <c r="G5653" s="232"/>
      <c r="H5653" s="85"/>
      <c r="I5653" s="233"/>
      <c r="J5653" s="234"/>
      <c r="K5653" s="77"/>
      <c r="L5653" s="49"/>
      <c r="P5653" s="3"/>
      <c r="Q5653" s="3"/>
      <c r="R5653" s="3"/>
      <c r="S5653" s="3"/>
      <c r="T5653" s="3"/>
      <c r="U5653" s="3"/>
      <c r="V5653" s="3"/>
      <c r="W5653" s="3"/>
      <c r="X5653" s="3"/>
      <c r="Y5653" s="4"/>
      <c r="Z5653"/>
      <c r="AA5653"/>
    </row>
    <row r="5654" spans="1:27" s="37" customFormat="1" x14ac:dyDescent="0.15">
      <c r="A5654" s="86"/>
      <c r="B5654" s="230"/>
      <c r="C5654" s="231"/>
      <c r="D5654" s="232"/>
      <c r="E5654" s="232"/>
      <c r="F5654" s="232"/>
      <c r="G5654" s="232"/>
      <c r="H5654" s="85"/>
      <c r="I5654" s="233"/>
      <c r="J5654" s="234"/>
      <c r="K5654" s="77"/>
      <c r="L5654" s="49"/>
      <c r="P5654" s="3"/>
      <c r="Q5654" s="3"/>
      <c r="R5654" s="3"/>
      <c r="S5654" s="3"/>
      <c r="T5654" s="3"/>
      <c r="U5654" s="3"/>
      <c r="V5654" s="3"/>
      <c r="W5654" s="3"/>
      <c r="X5654" s="3"/>
      <c r="Y5654" s="4"/>
      <c r="Z5654"/>
      <c r="AA5654"/>
    </row>
    <row r="5655" spans="1:27" s="37" customFormat="1" x14ac:dyDescent="0.15">
      <c r="A5655" s="86"/>
      <c r="B5655" s="230"/>
      <c r="C5655" s="231"/>
      <c r="D5655" s="232"/>
      <c r="E5655" s="232"/>
      <c r="F5655" s="232"/>
      <c r="G5655" s="232"/>
      <c r="H5655" s="85"/>
      <c r="I5655" s="233"/>
      <c r="J5655" s="234"/>
      <c r="K5655" s="77"/>
      <c r="L5655" s="49"/>
      <c r="P5655" s="3"/>
      <c r="Q5655" s="3"/>
      <c r="R5655" s="3"/>
      <c r="S5655" s="3"/>
      <c r="T5655" s="3"/>
      <c r="U5655" s="3"/>
      <c r="V5655" s="3"/>
      <c r="W5655" s="3"/>
      <c r="X5655" s="3"/>
      <c r="Y5655" s="4"/>
      <c r="Z5655"/>
      <c r="AA5655"/>
    </row>
    <row r="5656" spans="1:27" s="37" customFormat="1" x14ac:dyDescent="0.15">
      <c r="A5656" s="86"/>
      <c r="B5656" s="230"/>
      <c r="C5656" s="231"/>
      <c r="D5656" s="232"/>
      <c r="E5656" s="232"/>
      <c r="F5656" s="232"/>
      <c r="G5656" s="232"/>
      <c r="H5656" s="85"/>
      <c r="I5656" s="233"/>
      <c r="J5656" s="234"/>
      <c r="K5656" s="77"/>
      <c r="L5656" s="49"/>
      <c r="P5656" s="3"/>
      <c r="Q5656" s="3"/>
      <c r="R5656" s="3"/>
      <c r="S5656" s="3"/>
      <c r="T5656" s="3"/>
      <c r="U5656" s="3"/>
      <c r="V5656" s="3"/>
      <c r="W5656" s="3"/>
      <c r="X5656" s="3"/>
      <c r="Y5656" s="4"/>
      <c r="Z5656"/>
      <c r="AA5656"/>
    </row>
    <row r="5657" spans="1:27" s="37" customFormat="1" x14ac:dyDescent="0.15">
      <c r="A5657" s="86"/>
      <c r="B5657" s="230"/>
      <c r="C5657" s="231"/>
      <c r="D5657" s="232"/>
      <c r="E5657" s="232"/>
      <c r="F5657" s="232"/>
      <c r="G5657" s="232"/>
      <c r="H5657" s="85"/>
      <c r="I5657" s="233"/>
      <c r="J5657" s="234"/>
      <c r="K5657" s="77"/>
      <c r="L5657" s="49"/>
      <c r="P5657" s="3"/>
      <c r="Q5657" s="3"/>
      <c r="R5657" s="3"/>
      <c r="S5657" s="3"/>
      <c r="T5657" s="3"/>
      <c r="U5657" s="3"/>
      <c r="V5657" s="3"/>
      <c r="W5657" s="3"/>
      <c r="X5657" s="3"/>
      <c r="Y5657" s="4"/>
      <c r="Z5657"/>
      <c r="AA5657"/>
    </row>
    <row r="5658" spans="1:27" s="37" customFormat="1" x14ac:dyDescent="0.15">
      <c r="A5658" s="86"/>
      <c r="B5658" s="230"/>
      <c r="C5658" s="231"/>
      <c r="D5658" s="232"/>
      <c r="E5658" s="232"/>
      <c r="F5658" s="232"/>
      <c r="G5658" s="232"/>
      <c r="H5658" s="85"/>
      <c r="I5658" s="233"/>
      <c r="J5658" s="234"/>
      <c r="K5658" s="77"/>
      <c r="L5658" s="49"/>
      <c r="P5658" s="3"/>
      <c r="Q5658" s="3"/>
      <c r="R5658" s="3"/>
      <c r="S5658" s="3"/>
      <c r="T5658" s="3"/>
      <c r="U5658" s="3"/>
      <c r="V5658" s="3"/>
      <c r="W5658" s="3"/>
      <c r="X5658" s="3"/>
      <c r="Y5658" s="4"/>
      <c r="Z5658"/>
      <c r="AA5658"/>
    </row>
    <row r="5659" spans="1:27" s="37" customFormat="1" x14ac:dyDescent="0.15">
      <c r="A5659" s="86"/>
      <c r="B5659" s="230"/>
      <c r="C5659" s="231"/>
      <c r="D5659" s="232"/>
      <c r="E5659" s="232"/>
      <c r="F5659" s="232"/>
      <c r="G5659" s="232"/>
      <c r="H5659" s="85"/>
      <c r="I5659" s="233"/>
      <c r="J5659" s="234"/>
      <c r="K5659" s="77"/>
      <c r="L5659" s="49"/>
      <c r="P5659" s="3"/>
      <c r="Q5659" s="3"/>
      <c r="R5659" s="3"/>
      <c r="S5659" s="3"/>
      <c r="T5659" s="3"/>
      <c r="U5659" s="3"/>
      <c r="V5659" s="3"/>
      <c r="W5659" s="3"/>
      <c r="X5659" s="3"/>
      <c r="Y5659" s="4"/>
      <c r="Z5659"/>
      <c r="AA5659"/>
    </row>
    <row r="5660" spans="1:27" s="37" customFormat="1" x14ac:dyDescent="0.15">
      <c r="A5660" s="86"/>
      <c r="B5660" s="230"/>
      <c r="C5660" s="231"/>
      <c r="D5660" s="232"/>
      <c r="E5660" s="232"/>
      <c r="F5660" s="232"/>
      <c r="G5660" s="232"/>
      <c r="H5660" s="85"/>
      <c r="I5660" s="233"/>
      <c r="J5660" s="234"/>
      <c r="K5660" s="77"/>
      <c r="L5660" s="50"/>
      <c r="P5660" s="3"/>
      <c r="Q5660" s="3"/>
      <c r="R5660" s="3"/>
      <c r="S5660" s="3"/>
      <c r="T5660" s="3"/>
      <c r="U5660" s="3"/>
      <c r="V5660" s="3"/>
      <c r="W5660" s="3"/>
      <c r="X5660" s="3"/>
      <c r="Y5660" s="4"/>
      <c r="Z5660"/>
      <c r="AA5660"/>
    </row>
    <row r="5661" spans="1:27" s="37" customFormat="1" x14ac:dyDescent="0.15">
      <c r="A5661" s="86"/>
      <c r="B5661" s="230"/>
      <c r="C5661" s="231"/>
      <c r="D5661" s="232"/>
      <c r="E5661" s="232"/>
      <c r="F5661" s="232"/>
      <c r="G5661" s="232"/>
      <c r="H5661" s="85"/>
      <c r="I5661" s="233"/>
      <c r="J5661" s="234"/>
      <c r="K5661" s="77"/>
      <c r="L5661" s="50"/>
      <c r="P5661" s="3"/>
      <c r="Q5661" s="3"/>
      <c r="R5661" s="3"/>
      <c r="S5661" s="3"/>
      <c r="T5661" s="3"/>
      <c r="U5661" s="3"/>
      <c r="V5661" s="3"/>
      <c r="W5661" s="3"/>
      <c r="X5661" s="3"/>
      <c r="Y5661" s="4"/>
      <c r="Z5661"/>
      <c r="AA5661"/>
    </row>
    <row r="5662" spans="1:27" s="37" customFormat="1" x14ac:dyDescent="0.15">
      <c r="A5662" s="86"/>
      <c r="B5662" s="230"/>
      <c r="C5662" s="231"/>
      <c r="D5662" s="232"/>
      <c r="E5662" s="232"/>
      <c r="F5662" s="232"/>
      <c r="G5662" s="232"/>
      <c r="H5662" s="85"/>
      <c r="I5662" s="233"/>
      <c r="J5662" s="234"/>
      <c r="K5662" s="77"/>
      <c r="L5662" s="50"/>
      <c r="P5662" s="3"/>
      <c r="Q5662" s="3"/>
      <c r="R5662" s="3"/>
      <c r="S5662" s="3"/>
      <c r="T5662" s="3"/>
      <c r="U5662" s="3"/>
      <c r="V5662" s="3"/>
      <c r="W5662" s="3"/>
      <c r="X5662" s="3"/>
      <c r="Y5662" s="4"/>
      <c r="Z5662"/>
      <c r="AA5662"/>
    </row>
    <row r="5663" spans="1:27" s="37" customFormat="1" x14ac:dyDescent="0.15">
      <c r="A5663" s="86"/>
      <c r="B5663" s="230"/>
      <c r="C5663" s="231"/>
      <c r="D5663" s="232"/>
      <c r="E5663" s="232"/>
      <c r="F5663" s="232"/>
      <c r="G5663" s="232"/>
      <c r="H5663" s="85"/>
      <c r="I5663" s="233"/>
      <c r="J5663" s="234"/>
      <c r="K5663" s="77"/>
      <c r="L5663" s="49"/>
      <c r="P5663" s="3"/>
      <c r="Q5663" s="3"/>
      <c r="R5663" s="3"/>
      <c r="S5663" s="3"/>
      <c r="T5663" s="3"/>
      <c r="U5663" s="3"/>
      <c r="V5663" s="3"/>
      <c r="W5663" s="3"/>
      <c r="X5663" s="3"/>
      <c r="Y5663" s="4"/>
      <c r="Z5663"/>
      <c r="AA5663"/>
    </row>
    <row r="5664" spans="1:27" s="37" customFormat="1" x14ac:dyDescent="0.15">
      <c r="A5664" s="86"/>
      <c r="B5664" s="230"/>
      <c r="C5664" s="231"/>
      <c r="D5664" s="232"/>
      <c r="E5664" s="232"/>
      <c r="F5664" s="232"/>
      <c r="G5664" s="232"/>
      <c r="H5664" s="85"/>
      <c r="I5664" s="233"/>
      <c r="J5664" s="234"/>
      <c r="K5664" s="77"/>
      <c r="L5664" s="49"/>
      <c r="P5664" s="3"/>
      <c r="Q5664" s="3"/>
      <c r="R5664" s="3"/>
      <c r="S5664" s="3"/>
      <c r="T5664" s="3"/>
      <c r="U5664" s="3"/>
      <c r="V5664" s="3"/>
      <c r="W5664" s="3"/>
      <c r="X5664" s="3"/>
      <c r="Y5664" s="4"/>
      <c r="Z5664"/>
      <c r="AA5664"/>
    </row>
    <row r="5665" spans="1:27" s="37" customFormat="1" x14ac:dyDescent="0.15">
      <c r="A5665" s="86"/>
      <c r="B5665" s="230"/>
      <c r="C5665" s="231"/>
      <c r="D5665" s="232"/>
      <c r="E5665" s="232"/>
      <c r="F5665" s="232"/>
      <c r="G5665" s="232"/>
      <c r="H5665" s="85"/>
      <c r="I5665" s="233"/>
      <c r="J5665" s="234"/>
      <c r="K5665" s="77"/>
      <c r="L5665" s="49"/>
      <c r="P5665" s="3"/>
      <c r="Q5665" s="3"/>
      <c r="R5665" s="3"/>
      <c r="S5665" s="3"/>
      <c r="T5665" s="3"/>
      <c r="U5665" s="3"/>
      <c r="V5665" s="3"/>
      <c r="W5665" s="3"/>
      <c r="X5665" s="3"/>
      <c r="Y5665" s="4"/>
      <c r="Z5665"/>
      <c r="AA5665"/>
    </row>
    <row r="5666" spans="1:27" s="37" customFormat="1" x14ac:dyDescent="0.15">
      <c r="A5666" s="86"/>
      <c r="B5666" s="230"/>
      <c r="C5666" s="231"/>
      <c r="D5666" s="232"/>
      <c r="E5666" s="232"/>
      <c r="F5666" s="232"/>
      <c r="G5666" s="232"/>
      <c r="H5666" s="85"/>
      <c r="I5666" s="233"/>
      <c r="J5666" s="234"/>
      <c r="K5666" s="77"/>
      <c r="L5666" s="49"/>
      <c r="P5666" s="3"/>
      <c r="Q5666" s="3"/>
      <c r="R5666" s="3"/>
      <c r="S5666" s="3"/>
      <c r="T5666" s="3"/>
      <c r="U5666" s="3"/>
      <c r="V5666" s="3"/>
      <c r="W5666" s="3"/>
      <c r="X5666" s="3"/>
      <c r="Y5666" s="4"/>
      <c r="Z5666"/>
      <c r="AA5666"/>
    </row>
    <row r="5667" spans="1:27" s="37" customFormat="1" x14ac:dyDescent="0.15">
      <c r="A5667" s="86"/>
      <c r="B5667" s="230"/>
      <c r="C5667" s="231"/>
      <c r="D5667" s="232"/>
      <c r="E5667" s="232"/>
      <c r="F5667" s="232"/>
      <c r="G5667" s="232"/>
      <c r="H5667" s="85"/>
      <c r="I5667" s="233"/>
      <c r="J5667" s="234"/>
      <c r="K5667" s="77"/>
      <c r="L5667" s="49"/>
      <c r="P5667" s="3"/>
      <c r="Q5667" s="3"/>
      <c r="R5667" s="3"/>
      <c r="S5667" s="3"/>
      <c r="T5667" s="3"/>
      <c r="U5667" s="3"/>
      <c r="V5667" s="3"/>
      <c r="W5667" s="3"/>
      <c r="X5667" s="3"/>
      <c r="Y5667" s="4"/>
      <c r="Z5667"/>
      <c r="AA5667"/>
    </row>
    <row r="5668" spans="1:27" s="37" customFormat="1" x14ac:dyDescent="0.15">
      <c r="A5668" s="86"/>
      <c r="B5668" s="230"/>
      <c r="C5668" s="231"/>
      <c r="D5668" s="232"/>
      <c r="E5668" s="232"/>
      <c r="F5668" s="232"/>
      <c r="G5668" s="232"/>
      <c r="H5668" s="85"/>
      <c r="I5668" s="233"/>
      <c r="J5668" s="234"/>
      <c r="K5668" s="77"/>
      <c r="L5668" s="49"/>
      <c r="P5668" s="3"/>
      <c r="Q5668" s="3"/>
      <c r="R5668" s="3"/>
      <c r="S5668" s="3"/>
      <c r="T5668" s="3"/>
      <c r="U5668" s="3"/>
      <c r="V5668" s="3"/>
      <c r="W5668" s="3"/>
      <c r="X5668" s="3"/>
      <c r="Y5668" s="4"/>
      <c r="Z5668"/>
      <c r="AA5668"/>
    </row>
    <row r="5669" spans="1:27" s="37" customFormat="1" x14ac:dyDescent="0.15">
      <c r="A5669" s="86"/>
      <c r="B5669" s="230"/>
      <c r="C5669" s="231"/>
      <c r="D5669" s="232"/>
      <c r="E5669" s="232"/>
      <c r="F5669" s="232"/>
      <c r="G5669" s="232"/>
      <c r="H5669" s="85"/>
      <c r="I5669" s="233"/>
      <c r="J5669" s="234"/>
      <c r="K5669" s="77"/>
      <c r="L5669" s="50"/>
      <c r="P5669" s="3"/>
      <c r="Q5669" s="3"/>
      <c r="R5669" s="3"/>
      <c r="S5669" s="3"/>
      <c r="T5669" s="3"/>
      <c r="U5669" s="3"/>
      <c r="V5669" s="3"/>
      <c r="W5669" s="3"/>
      <c r="X5669" s="3"/>
      <c r="Y5669" s="4"/>
      <c r="Z5669"/>
      <c r="AA5669"/>
    </row>
    <row r="5670" spans="1:27" s="37" customFormat="1" x14ac:dyDescent="0.15">
      <c r="A5670" s="86"/>
      <c r="B5670" s="230"/>
      <c r="C5670" s="231"/>
      <c r="D5670" s="232"/>
      <c r="E5670" s="232"/>
      <c r="F5670" s="232"/>
      <c r="G5670" s="232"/>
      <c r="H5670" s="85"/>
      <c r="I5670" s="233"/>
      <c r="J5670" s="234"/>
      <c r="K5670" s="77"/>
      <c r="L5670" s="50"/>
      <c r="P5670" s="3"/>
      <c r="Q5670" s="3"/>
      <c r="R5670" s="3"/>
      <c r="S5670" s="3"/>
      <c r="T5670" s="3"/>
      <c r="U5670" s="3"/>
      <c r="V5670" s="3"/>
      <c r="W5670" s="3"/>
      <c r="X5670" s="3"/>
      <c r="Y5670" s="4"/>
      <c r="Z5670"/>
      <c r="AA5670"/>
    </row>
    <row r="5671" spans="1:27" s="37" customFormat="1" x14ac:dyDescent="0.15">
      <c r="A5671" s="86"/>
      <c r="B5671" s="230"/>
      <c r="C5671" s="231"/>
      <c r="D5671" s="232"/>
      <c r="E5671" s="232"/>
      <c r="F5671" s="232"/>
      <c r="G5671" s="232"/>
      <c r="H5671" s="85"/>
      <c r="I5671" s="233"/>
      <c r="J5671" s="234"/>
      <c r="K5671" s="77"/>
      <c r="L5671" s="50"/>
      <c r="P5671" s="3"/>
      <c r="Q5671" s="3"/>
      <c r="R5671" s="3"/>
      <c r="S5671" s="3"/>
      <c r="T5671" s="3"/>
      <c r="U5671" s="3"/>
      <c r="V5671" s="3"/>
      <c r="W5671" s="3"/>
      <c r="X5671" s="3"/>
      <c r="Y5671" s="4"/>
      <c r="Z5671"/>
      <c r="AA5671"/>
    </row>
    <row r="5672" spans="1:27" s="37" customFormat="1" x14ac:dyDescent="0.15">
      <c r="A5672" s="86"/>
      <c r="B5672" s="230"/>
      <c r="C5672" s="231"/>
      <c r="D5672" s="232"/>
      <c r="E5672" s="232"/>
      <c r="F5672" s="232"/>
      <c r="G5672" s="232"/>
      <c r="H5672" s="85"/>
      <c r="I5672" s="233"/>
      <c r="J5672" s="234"/>
      <c r="K5672" s="77"/>
      <c r="L5672" s="50"/>
      <c r="P5672" s="3"/>
      <c r="Q5672" s="3"/>
      <c r="R5672" s="3"/>
      <c r="S5672" s="3"/>
      <c r="T5672" s="3"/>
      <c r="U5672" s="3"/>
      <c r="V5672" s="3"/>
      <c r="W5672" s="3"/>
      <c r="X5672" s="3"/>
      <c r="Y5672" s="4"/>
      <c r="Z5672"/>
      <c r="AA5672"/>
    </row>
    <row r="5673" spans="1:27" s="37" customFormat="1" x14ac:dyDescent="0.15">
      <c r="A5673" s="86"/>
      <c r="B5673" s="230"/>
      <c r="C5673" s="231"/>
      <c r="D5673" s="232"/>
      <c r="E5673" s="232"/>
      <c r="F5673" s="232"/>
      <c r="G5673" s="232"/>
      <c r="H5673" s="85"/>
      <c r="I5673" s="233"/>
      <c r="J5673" s="234"/>
      <c r="K5673" s="77"/>
      <c r="L5673" s="50"/>
      <c r="P5673" s="3"/>
      <c r="Q5673" s="3"/>
      <c r="R5673" s="3"/>
      <c r="S5673" s="3"/>
      <c r="T5673" s="3"/>
      <c r="U5673" s="3"/>
      <c r="V5673" s="3"/>
      <c r="W5673" s="3"/>
      <c r="X5673" s="3"/>
      <c r="Y5673" s="4"/>
      <c r="Z5673"/>
      <c r="AA5673"/>
    </row>
    <row r="5674" spans="1:27" s="37" customFormat="1" x14ac:dyDescent="0.15">
      <c r="A5674" s="86"/>
      <c r="B5674" s="230"/>
      <c r="C5674" s="231"/>
      <c r="D5674" s="232"/>
      <c r="E5674" s="232"/>
      <c r="F5674" s="232"/>
      <c r="G5674" s="232"/>
      <c r="H5674" s="85"/>
      <c r="I5674" s="233"/>
      <c r="J5674" s="234"/>
      <c r="K5674" s="77"/>
      <c r="L5674" s="49"/>
      <c r="P5674" s="3"/>
      <c r="Q5674" s="3"/>
      <c r="R5674" s="3"/>
      <c r="S5674" s="3"/>
      <c r="T5674" s="3"/>
      <c r="U5674" s="3"/>
      <c r="V5674" s="3"/>
      <c r="W5674" s="3"/>
      <c r="X5674" s="3"/>
      <c r="Y5674" s="4"/>
      <c r="Z5674"/>
      <c r="AA5674"/>
    </row>
    <row r="5675" spans="1:27" s="37" customFormat="1" x14ac:dyDescent="0.15">
      <c r="A5675" s="86"/>
      <c r="B5675" s="230"/>
      <c r="C5675" s="231"/>
      <c r="D5675" s="232"/>
      <c r="E5675" s="232"/>
      <c r="F5675" s="232"/>
      <c r="G5675" s="232"/>
      <c r="H5675" s="85"/>
      <c r="I5675" s="233"/>
      <c r="J5675" s="234"/>
      <c r="K5675" s="77"/>
      <c r="L5675" s="50"/>
      <c r="P5675" s="3"/>
      <c r="Q5675" s="3"/>
      <c r="R5675" s="3"/>
      <c r="S5675" s="3"/>
      <c r="T5675" s="3"/>
      <c r="U5675" s="3"/>
      <c r="V5675" s="3"/>
      <c r="W5675" s="3"/>
      <c r="X5675" s="3"/>
      <c r="Y5675" s="4"/>
      <c r="Z5675"/>
      <c r="AA5675"/>
    </row>
    <row r="5676" spans="1:27" s="37" customFormat="1" x14ac:dyDescent="0.15">
      <c r="A5676" s="86"/>
      <c r="B5676" s="230"/>
      <c r="C5676" s="231"/>
      <c r="D5676" s="232"/>
      <c r="E5676" s="232"/>
      <c r="F5676" s="232"/>
      <c r="G5676" s="232"/>
      <c r="H5676" s="85"/>
      <c r="I5676" s="233"/>
      <c r="J5676" s="234"/>
      <c r="K5676" s="77"/>
      <c r="L5676" s="50"/>
      <c r="N5676" s="51"/>
      <c r="P5676" s="3"/>
      <c r="Q5676" s="3"/>
      <c r="R5676" s="3"/>
      <c r="S5676" s="3"/>
      <c r="T5676" s="3"/>
      <c r="U5676" s="3"/>
      <c r="V5676" s="3"/>
      <c r="W5676" s="3"/>
      <c r="X5676" s="3"/>
      <c r="Y5676" s="4"/>
      <c r="Z5676"/>
      <c r="AA5676"/>
    </row>
    <row r="5677" spans="1:27" s="37" customFormat="1" x14ac:dyDescent="0.15">
      <c r="A5677" s="86"/>
      <c r="B5677" s="230"/>
      <c r="C5677" s="231"/>
      <c r="D5677" s="232"/>
      <c r="E5677" s="232"/>
      <c r="F5677" s="232"/>
      <c r="G5677" s="232"/>
      <c r="H5677" s="85"/>
      <c r="I5677" s="233"/>
      <c r="J5677" s="234"/>
      <c r="K5677" s="77"/>
      <c r="L5677" s="50"/>
      <c r="P5677" s="3"/>
      <c r="Q5677" s="3"/>
      <c r="R5677" s="3"/>
      <c r="S5677" s="3"/>
      <c r="T5677" s="3"/>
      <c r="U5677" s="3"/>
      <c r="V5677" s="3"/>
      <c r="W5677" s="3"/>
      <c r="X5677" s="3"/>
      <c r="Y5677" s="4"/>
      <c r="Z5677"/>
      <c r="AA5677"/>
    </row>
    <row r="5678" spans="1:27" s="37" customFormat="1" x14ac:dyDescent="0.15">
      <c r="A5678" s="86"/>
      <c r="B5678" s="230"/>
      <c r="C5678" s="231"/>
      <c r="D5678" s="232"/>
      <c r="E5678" s="232"/>
      <c r="F5678" s="232"/>
      <c r="G5678" s="232"/>
      <c r="H5678" s="85"/>
      <c r="I5678" s="233"/>
      <c r="J5678" s="234"/>
      <c r="K5678" s="77"/>
      <c r="L5678" s="50"/>
      <c r="P5678" s="3"/>
      <c r="Q5678" s="3"/>
      <c r="R5678" s="3"/>
      <c r="S5678" s="3"/>
      <c r="T5678" s="3"/>
      <c r="U5678" s="3"/>
      <c r="V5678" s="3"/>
      <c r="W5678" s="3"/>
      <c r="X5678" s="3"/>
      <c r="Y5678" s="4"/>
      <c r="Z5678"/>
      <c r="AA5678"/>
    </row>
    <row r="5679" spans="1:27" s="37" customFormat="1" x14ac:dyDescent="0.15">
      <c r="A5679" s="86"/>
      <c r="B5679" s="230"/>
      <c r="C5679" s="231"/>
      <c r="D5679" s="232"/>
      <c r="E5679" s="232"/>
      <c r="F5679" s="232"/>
      <c r="G5679" s="232"/>
      <c r="H5679" s="85"/>
      <c r="I5679" s="233"/>
      <c r="J5679" s="234"/>
      <c r="K5679" s="77"/>
      <c r="L5679" s="49"/>
      <c r="P5679" s="3"/>
      <c r="Q5679" s="3"/>
      <c r="R5679" s="3"/>
      <c r="S5679" s="3"/>
      <c r="T5679" s="3"/>
      <c r="U5679" s="3"/>
      <c r="V5679" s="3"/>
      <c r="W5679" s="3"/>
      <c r="X5679" s="3"/>
      <c r="Y5679" s="4"/>
      <c r="Z5679"/>
      <c r="AA5679"/>
    </row>
    <row r="5680" spans="1:27" s="37" customFormat="1" x14ac:dyDescent="0.15">
      <c r="A5680" s="86"/>
      <c r="B5680" s="230"/>
      <c r="C5680" s="231"/>
      <c r="D5680" s="232"/>
      <c r="E5680" s="232"/>
      <c r="F5680" s="232"/>
      <c r="G5680" s="232"/>
      <c r="H5680" s="85"/>
      <c r="I5680" s="233"/>
      <c r="J5680" s="234"/>
      <c r="K5680" s="77"/>
      <c r="L5680" s="49"/>
      <c r="P5680" s="3"/>
      <c r="Q5680" s="3"/>
      <c r="R5680" s="3"/>
      <c r="S5680" s="3"/>
      <c r="T5680" s="3"/>
      <c r="U5680" s="3"/>
      <c r="V5680" s="3"/>
      <c r="W5680" s="3"/>
      <c r="X5680" s="3"/>
      <c r="Y5680" s="4"/>
      <c r="Z5680"/>
      <c r="AA5680"/>
    </row>
    <row r="5681" spans="1:27" s="37" customFormat="1" x14ac:dyDescent="0.15">
      <c r="A5681" s="86"/>
      <c r="B5681" s="230"/>
      <c r="C5681" s="231"/>
      <c r="D5681" s="232"/>
      <c r="E5681" s="232"/>
      <c r="F5681" s="232"/>
      <c r="G5681" s="232"/>
      <c r="H5681" s="85"/>
      <c r="I5681" s="233"/>
      <c r="J5681" s="234"/>
      <c r="K5681" s="77"/>
      <c r="L5681" s="49"/>
      <c r="P5681" s="3"/>
      <c r="Q5681" s="3"/>
      <c r="R5681" s="3"/>
      <c r="S5681" s="3"/>
      <c r="T5681" s="3"/>
      <c r="U5681" s="3"/>
      <c r="V5681" s="3"/>
      <c r="W5681" s="3"/>
      <c r="X5681" s="3"/>
      <c r="Y5681" s="4"/>
      <c r="Z5681"/>
      <c r="AA5681"/>
    </row>
    <row r="5682" spans="1:27" s="37" customFormat="1" x14ac:dyDescent="0.15">
      <c r="A5682" s="86"/>
      <c r="B5682" s="230"/>
      <c r="C5682" s="231"/>
      <c r="D5682" s="232"/>
      <c r="E5682" s="232"/>
      <c r="F5682" s="232"/>
      <c r="G5682" s="232"/>
      <c r="H5682" s="85"/>
      <c r="I5682" s="233"/>
      <c r="J5682" s="234"/>
      <c r="K5682" s="77"/>
      <c r="L5682" s="50"/>
      <c r="P5682" s="3"/>
      <c r="Q5682" s="3"/>
      <c r="R5682" s="3"/>
      <c r="S5682" s="3"/>
      <c r="T5682" s="3"/>
      <c r="U5682" s="3"/>
      <c r="V5682" s="3"/>
      <c r="W5682" s="3"/>
      <c r="X5682" s="3"/>
      <c r="Y5682" s="4"/>
      <c r="Z5682"/>
      <c r="AA5682"/>
    </row>
    <row r="5683" spans="1:27" s="37" customFormat="1" x14ac:dyDescent="0.15">
      <c r="A5683" s="86"/>
      <c r="B5683" s="230"/>
      <c r="C5683" s="231"/>
      <c r="D5683" s="232"/>
      <c r="E5683" s="232"/>
      <c r="F5683" s="232"/>
      <c r="G5683" s="232"/>
      <c r="H5683" s="85"/>
      <c r="I5683" s="233"/>
      <c r="J5683" s="234"/>
      <c r="K5683" s="77"/>
      <c r="L5683" s="49"/>
      <c r="P5683" s="3"/>
      <c r="Q5683" s="3"/>
      <c r="R5683" s="3"/>
      <c r="S5683" s="3"/>
      <c r="T5683" s="3"/>
      <c r="U5683" s="3"/>
      <c r="V5683" s="3"/>
      <c r="W5683" s="3"/>
      <c r="X5683" s="3"/>
      <c r="Y5683" s="4"/>
      <c r="Z5683"/>
      <c r="AA5683"/>
    </row>
    <row r="5684" spans="1:27" s="37" customFormat="1" x14ac:dyDescent="0.15">
      <c r="A5684" s="86"/>
      <c r="B5684" s="230"/>
      <c r="C5684" s="231"/>
      <c r="D5684" s="232"/>
      <c r="E5684" s="232"/>
      <c r="F5684" s="232"/>
      <c r="G5684" s="232"/>
      <c r="H5684" s="85"/>
      <c r="I5684" s="233"/>
      <c r="J5684" s="234"/>
      <c r="K5684" s="77"/>
      <c r="L5684" s="49"/>
      <c r="P5684" s="3"/>
      <c r="Q5684" s="3"/>
      <c r="R5684" s="3"/>
      <c r="S5684" s="3"/>
      <c r="T5684" s="3"/>
      <c r="U5684" s="3"/>
      <c r="V5684" s="3"/>
      <c r="W5684" s="3"/>
      <c r="X5684" s="3"/>
      <c r="Y5684" s="4"/>
      <c r="Z5684"/>
      <c r="AA5684"/>
    </row>
    <row r="5685" spans="1:27" s="37" customFormat="1" x14ac:dyDescent="0.15">
      <c r="A5685" s="86"/>
      <c r="B5685" s="230"/>
      <c r="C5685" s="231"/>
      <c r="D5685" s="232"/>
      <c r="E5685" s="232"/>
      <c r="F5685" s="232"/>
      <c r="G5685" s="232"/>
      <c r="H5685" s="85"/>
      <c r="I5685" s="233"/>
      <c r="J5685" s="234"/>
      <c r="K5685" s="77"/>
      <c r="L5685" s="49"/>
      <c r="P5685" s="3"/>
      <c r="Q5685" s="3"/>
      <c r="R5685" s="3"/>
      <c r="S5685" s="3"/>
      <c r="T5685" s="3"/>
      <c r="U5685" s="3"/>
      <c r="V5685" s="3"/>
      <c r="W5685" s="3"/>
      <c r="X5685" s="3"/>
      <c r="Y5685" s="4"/>
      <c r="Z5685"/>
      <c r="AA5685"/>
    </row>
    <row r="5686" spans="1:27" s="37" customFormat="1" x14ac:dyDescent="0.15">
      <c r="A5686" s="86"/>
      <c r="B5686" s="230"/>
      <c r="C5686" s="231"/>
      <c r="D5686" s="232"/>
      <c r="E5686" s="232"/>
      <c r="F5686" s="232"/>
      <c r="G5686" s="232"/>
      <c r="H5686" s="85"/>
      <c r="I5686" s="233"/>
      <c r="J5686" s="234"/>
      <c r="K5686" s="77"/>
      <c r="L5686" s="49"/>
      <c r="P5686" s="3"/>
      <c r="Q5686" s="3"/>
      <c r="R5686" s="3"/>
      <c r="S5686" s="3"/>
      <c r="T5686" s="3"/>
      <c r="U5686" s="3"/>
      <c r="V5686" s="3"/>
      <c r="W5686" s="3"/>
      <c r="X5686" s="3"/>
      <c r="Y5686" s="4"/>
      <c r="Z5686"/>
      <c r="AA5686"/>
    </row>
    <row r="5687" spans="1:27" s="37" customFormat="1" x14ac:dyDescent="0.15">
      <c r="A5687" s="86"/>
      <c r="B5687" s="230"/>
      <c r="C5687" s="231"/>
      <c r="D5687" s="232"/>
      <c r="E5687" s="232"/>
      <c r="F5687" s="232"/>
      <c r="G5687" s="232"/>
      <c r="H5687" s="85"/>
      <c r="I5687" s="233"/>
      <c r="J5687" s="234"/>
      <c r="K5687" s="77"/>
      <c r="L5687" s="50"/>
      <c r="P5687" s="3"/>
      <c r="Q5687" s="3"/>
      <c r="R5687" s="3"/>
      <c r="S5687" s="3"/>
      <c r="T5687" s="3"/>
      <c r="U5687" s="3"/>
      <c r="V5687" s="3"/>
      <c r="W5687" s="3"/>
      <c r="X5687" s="3"/>
      <c r="Y5687" s="4"/>
      <c r="Z5687"/>
      <c r="AA5687"/>
    </row>
    <row r="5688" spans="1:27" s="37" customFormat="1" x14ac:dyDescent="0.15">
      <c r="A5688" s="86"/>
      <c r="B5688" s="230"/>
      <c r="C5688" s="231"/>
      <c r="D5688" s="232"/>
      <c r="E5688" s="232"/>
      <c r="F5688" s="232"/>
      <c r="G5688" s="232"/>
      <c r="H5688" s="85"/>
      <c r="I5688" s="233"/>
      <c r="J5688" s="234"/>
      <c r="K5688" s="77"/>
      <c r="L5688" s="50"/>
      <c r="P5688" s="3"/>
      <c r="Q5688" s="3"/>
      <c r="R5688" s="3"/>
      <c r="S5688" s="3"/>
      <c r="T5688" s="3"/>
      <c r="U5688" s="3"/>
      <c r="V5688" s="3"/>
      <c r="W5688" s="3"/>
      <c r="X5688" s="3"/>
      <c r="Y5688" s="4"/>
      <c r="Z5688"/>
      <c r="AA5688"/>
    </row>
    <row r="5689" spans="1:27" s="37" customFormat="1" x14ac:dyDescent="0.15">
      <c r="A5689" s="73"/>
      <c r="B5689" s="118"/>
      <c r="C5689" s="121"/>
      <c r="D5689" s="121"/>
      <c r="E5689" s="121"/>
      <c r="F5689" s="121"/>
      <c r="G5689" s="121"/>
      <c r="H5689" s="85"/>
      <c r="I5689" s="122"/>
      <c r="J5689" s="150"/>
      <c r="K5689" s="75"/>
      <c r="L5689" s="50"/>
      <c r="P5689" s="3"/>
      <c r="Q5689" s="3"/>
      <c r="R5689" s="3"/>
      <c r="S5689" s="3"/>
      <c r="T5689" s="3"/>
      <c r="U5689" s="3"/>
      <c r="V5689" s="3"/>
      <c r="W5689" s="3"/>
      <c r="X5689" s="3"/>
      <c r="Y5689" s="4"/>
      <c r="Z5689"/>
      <c r="AA5689"/>
    </row>
    <row r="5690" spans="1:27" s="37" customFormat="1" x14ac:dyDescent="0.15">
      <c r="A5690" s="70"/>
      <c r="B5690" s="118"/>
      <c r="C5690" s="121"/>
      <c r="D5690" s="121"/>
      <c r="E5690" s="121"/>
      <c r="F5690" s="121"/>
      <c r="G5690" s="121"/>
      <c r="H5690" s="85"/>
      <c r="I5690" s="122"/>
      <c r="J5690" s="150"/>
      <c r="K5690" s="75"/>
      <c r="L5690" s="49"/>
      <c r="P5690" s="3"/>
      <c r="Q5690" s="3"/>
      <c r="R5690" s="3"/>
      <c r="S5690" s="3"/>
      <c r="T5690" s="3"/>
      <c r="U5690" s="3"/>
      <c r="V5690" s="3"/>
      <c r="W5690" s="3"/>
      <c r="X5690" s="3"/>
      <c r="Y5690" s="4"/>
      <c r="Z5690"/>
      <c r="AA5690"/>
    </row>
    <row r="5691" spans="1:27" s="37" customFormat="1" x14ac:dyDescent="0.15">
      <c r="A5691" s="70"/>
      <c r="B5691" s="118"/>
      <c r="C5691" s="121"/>
      <c r="D5691" s="121"/>
      <c r="E5691" s="121"/>
      <c r="F5691" s="121"/>
      <c r="G5691" s="121"/>
      <c r="H5691" s="85"/>
      <c r="I5691" s="122"/>
      <c r="J5691" s="150"/>
      <c r="K5691" s="75"/>
      <c r="L5691" s="49"/>
      <c r="P5691" s="3"/>
      <c r="Q5691" s="3"/>
      <c r="R5691" s="3"/>
      <c r="S5691" s="3"/>
      <c r="T5691" s="3"/>
      <c r="U5691" s="3"/>
      <c r="V5691" s="3"/>
      <c r="W5691" s="3"/>
      <c r="X5691" s="3"/>
      <c r="Y5691" s="4"/>
      <c r="Z5691"/>
      <c r="AA5691"/>
    </row>
    <row r="5692" spans="1:27" s="37" customFormat="1" x14ac:dyDescent="0.15">
      <c r="A5692" s="70"/>
      <c r="B5692" s="118"/>
      <c r="C5692" s="121"/>
      <c r="D5692" s="121"/>
      <c r="E5692" s="121"/>
      <c r="F5692" s="121"/>
      <c r="G5692" s="121"/>
      <c r="H5692" s="85"/>
      <c r="I5692" s="122"/>
      <c r="J5692" s="150"/>
      <c r="K5692" s="75"/>
      <c r="L5692" s="50"/>
      <c r="P5692" s="3"/>
      <c r="Q5692" s="3"/>
      <c r="R5692" s="3"/>
      <c r="S5692" s="3"/>
      <c r="T5692" s="3"/>
      <c r="U5692" s="3"/>
      <c r="V5692" s="3"/>
      <c r="W5692" s="3"/>
      <c r="X5692" s="3"/>
      <c r="Y5692" s="4"/>
      <c r="Z5692"/>
      <c r="AA5692"/>
    </row>
    <row r="5693" spans="1:27" s="37" customFormat="1" x14ac:dyDescent="0.15">
      <c r="A5693" s="70"/>
      <c r="B5693" s="118"/>
      <c r="C5693" s="121"/>
      <c r="D5693" s="121"/>
      <c r="E5693" s="121"/>
      <c r="F5693" s="121"/>
      <c r="G5693" s="121"/>
      <c r="H5693" s="85"/>
      <c r="I5693" s="122"/>
      <c r="J5693" s="150"/>
      <c r="K5693" s="75"/>
      <c r="L5693" s="49"/>
      <c r="P5693" s="3"/>
      <c r="Q5693" s="3"/>
      <c r="R5693" s="3"/>
      <c r="S5693" s="3"/>
      <c r="T5693" s="3"/>
      <c r="U5693" s="3"/>
      <c r="V5693" s="3"/>
      <c r="W5693" s="3"/>
      <c r="X5693" s="3"/>
      <c r="Y5693" s="4"/>
      <c r="Z5693"/>
      <c r="AA5693"/>
    </row>
    <row r="5694" spans="1:27" s="37" customFormat="1" x14ac:dyDescent="0.15">
      <c r="A5694" s="70"/>
      <c r="B5694" s="118"/>
      <c r="C5694" s="121"/>
      <c r="D5694" s="121"/>
      <c r="E5694" s="121"/>
      <c r="F5694" s="121"/>
      <c r="G5694" s="121"/>
      <c r="H5694" s="85"/>
      <c r="I5694" s="122"/>
      <c r="J5694" s="150"/>
      <c r="K5694" s="75"/>
      <c r="L5694" s="49"/>
      <c r="P5694" s="3"/>
      <c r="Q5694" s="3"/>
      <c r="R5694" s="3"/>
      <c r="S5694" s="3"/>
      <c r="T5694" s="3"/>
      <c r="U5694" s="3"/>
      <c r="V5694" s="3"/>
      <c r="W5694" s="3"/>
      <c r="X5694" s="3"/>
      <c r="Y5694" s="4"/>
      <c r="Z5694"/>
      <c r="AA5694"/>
    </row>
    <row r="5695" spans="1:27" s="37" customFormat="1" x14ac:dyDescent="0.15">
      <c r="A5695" s="70"/>
      <c r="B5695" s="118"/>
      <c r="C5695" s="121"/>
      <c r="D5695" s="121"/>
      <c r="E5695" s="121"/>
      <c r="F5695" s="121"/>
      <c r="G5695" s="121"/>
      <c r="H5695" s="85"/>
      <c r="I5695" s="122"/>
      <c r="J5695" s="150"/>
      <c r="K5695" s="75"/>
      <c r="L5695" s="49"/>
      <c r="P5695" s="3"/>
      <c r="Q5695" s="3"/>
      <c r="R5695" s="3"/>
      <c r="S5695" s="3"/>
      <c r="T5695" s="3"/>
      <c r="U5695" s="3"/>
      <c r="V5695" s="3"/>
      <c r="W5695" s="3"/>
      <c r="X5695" s="3"/>
      <c r="Y5695" s="4"/>
      <c r="Z5695"/>
      <c r="AA5695"/>
    </row>
    <row r="5696" spans="1:27" s="37" customFormat="1" x14ac:dyDescent="0.15">
      <c r="A5696" s="70"/>
      <c r="B5696" s="118"/>
      <c r="C5696" s="121"/>
      <c r="D5696" s="121"/>
      <c r="E5696" s="121"/>
      <c r="F5696" s="121"/>
      <c r="G5696" s="121"/>
      <c r="H5696" s="85"/>
      <c r="I5696" s="122"/>
      <c r="J5696" s="150"/>
      <c r="K5696" s="75"/>
      <c r="L5696" s="50"/>
      <c r="P5696" s="3"/>
      <c r="Q5696" s="3"/>
      <c r="R5696" s="3"/>
      <c r="S5696" s="3"/>
      <c r="T5696" s="3"/>
      <c r="U5696" s="3"/>
      <c r="V5696" s="3"/>
      <c r="W5696" s="3"/>
      <c r="X5696" s="3"/>
      <c r="Y5696" s="4"/>
      <c r="Z5696"/>
      <c r="AA5696"/>
    </row>
    <row r="5697" spans="1:27" s="37" customFormat="1" x14ac:dyDescent="0.15">
      <c r="A5697" s="70"/>
      <c r="B5697" s="118"/>
      <c r="C5697" s="121"/>
      <c r="D5697" s="121"/>
      <c r="E5697" s="121"/>
      <c r="F5697" s="121"/>
      <c r="G5697" s="121"/>
      <c r="H5697" s="85"/>
      <c r="I5697" s="122"/>
      <c r="J5697" s="150"/>
      <c r="K5697" s="75"/>
      <c r="L5697" s="50"/>
      <c r="P5697" s="3"/>
      <c r="Q5697" s="3"/>
      <c r="R5697" s="3"/>
      <c r="S5697" s="3"/>
      <c r="T5697" s="3"/>
      <c r="U5697" s="3"/>
      <c r="V5697" s="3"/>
      <c r="W5697" s="3"/>
      <c r="X5697" s="3"/>
      <c r="Y5697" s="4"/>
      <c r="Z5697"/>
      <c r="AA5697"/>
    </row>
    <row r="5698" spans="1:27" s="37" customFormat="1" x14ac:dyDescent="0.15">
      <c r="A5698" s="70"/>
      <c r="B5698" s="118"/>
      <c r="C5698" s="121"/>
      <c r="D5698" s="121"/>
      <c r="E5698" s="121"/>
      <c r="F5698" s="121"/>
      <c r="G5698" s="121"/>
      <c r="H5698" s="85"/>
      <c r="I5698" s="122"/>
      <c r="J5698" s="150"/>
      <c r="K5698" s="75"/>
      <c r="L5698" s="50"/>
      <c r="P5698" s="3"/>
      <c r="Q5698" s="3"/>
      <c r="R5698" s="3"/>
      <c r="S5698" s="3"/>
      <c r="T5698" s="3"/>
      <c r="U5698" s="3"/>
      <c r="V5698" s="3"/>
      <c r="W5698" s="3"/>
      <c r="X5698" s="3"/>
      <c r="Y5698" s="4"/>
      <c r="Z5698"/>
      <c r="AA5698"/>
    </row>
    <row r="5699" spans="1:27" s="37" customFormat="1" x14ac:dyDescent="0.15">
      <c r="A5699" s="70"/>
      <c r="B5699" s="118"/>
      <c r="C5699" s="121"/>
      <c r="D5699" s="121"/>
      <c r="E5699" s="121"/>
      <c r="F5699" s="121"/>
      <c r="G5699" s="121"/>
      <c r="H5699" s="85"/>
      <c r="I5699" s="122"/>
      <c r="J5699" s="150"/>
      <c r="K5699" s="75"/>
      <c r="L5699" s="50"/>
      <c r="P5699" s="3"/>
      <c r="Q5699" s="3"/>
      <c r="R5699" s="3"/>
      <c r="S5699" s="3"/>
      <c r="T5699" s="3"/>
      <c r="U5699" s="3"/>
      <c r="V5699" s="3"/>
      <c r="W5699" s="3"/>
      <c r="X5699" s="3"/>
      <c r="Y5699" s="4"/>
      <c r="Z5699"/>
      <c r="AA5699"/>
    </row>
    <row r="5700" spans="1:27" s="37" customFormat="1" x14ac:dyDescent="0.15">
      <c r="A5700" s="70"/>
      <c r="B5700" s="118"/>
      <c r="C5700" s="121"/>
      <c r="D5700" s="121"/>
      <c r="E5700" s="121"/>
      <c r="F5700" s="121"/>
      <c r="G5700" s="121"/>
      <c r="H5700" s="85"/>
      <c r="I5700" s="122"/>
      <c r="J5700" s="150"/>
      <c r="K5700" s="75"/>
      <c r="L5700" s="50"/>
      <c r="P5700" s="3"/>
      <c r="Q5700" s="3"/>
      <c r="R5700" s="3"/>
      <c r="S5700" s="3"/>
      <c r="T5700" s="3"/>
      <c r="U5700" s="3"/>
      <c r="V5700" s="3"/>
      <c r="W5700" s="3"/>
      <c r="X5700" s="3"/>
      <c r="Y5700" s="4"/>
      <c r="Z5700"/>
      <c r="AA5700"/>
    </row>
    <row r="5701" spans="1:27" s="37" customFormat="1" x14ac:dyDescent="0.15">
      <c r="A5701" s="70"/>
      <c r="B5701" s="118"/>
      <c r="C5701" s="121"/>
      <c r="D5701" s="121"/>
      <c r="E5701" s="121"/>
      <c r="F5701" s="121"/>
      <c r="G5701" s="121"/>
      <c r="H5701" s="85"/>
      <c r="I5701" s="122"/>
      <c r="J5701" s="150"/>
      <c r="K5701" s="75"/>
      <c r="L5701" s="50"/>
      <c r="P5701" s="3"/>
      <c r="Q5701" s="3"/>
      <c r="R5701" s="3"/>
      <c r="S5701" s="3"/>
      <c r="T5701" s="3"/>
      <c r="U5701" s="3"/>
      <c r="V5701" s="3"/>
      <c r="W5701" s="3"/>
      <c r="X5701" s="3"/>
      <c r="Y5701" s="4"/>
      <c r="Z5701"/>
      <c r="AA5701"/>
    </row>
    <row r="5702" spans="1:27" s="37" customFormat="1" x14ac:dyDescent="0.15">
      <c r="A5702" s="70"/>
      <c r="B5702" s="118"/>
      <c r="C5702" s="121"/>
      <c r="D5702" s="121"/>
      <c r="E5702" s="121"/>
      <c r="F5702" s="121"/>
      <c r="G5702" s="121"/>
      <c r="H5702" s="85"/>
      <c r="I5702" s="122"/>
      <c r="J5702" s="150"/>
      <c r="K5702" s="75"/>
      <c r="L5702" s="50"/>
      <c r="P5702" s="3"/>
      <c r="Q5702" s="3"/>
      <c r="R5702" s="3"/>
      <c r="S5702" s="3"/>
      <c r="T5702" s="3"/>
      <c r="U5702" s="3"/>
      <c r="V5702" s="3"/>
      <c r="W5702" s="3"/>
      <c r="X5702" s="3"/>
      <c r="Y5702" s="4"/>
      <c r="Z5702"/>
      <c r="AA5702"/>
    </row>
    <row r="5703" spans="1:27" s="37" customFormat="1" x14ac:dyDescent="0.15">
      <c r="A5703" s="70"/>
      <c r="B5703" s="118"/>
      <c r="C5703" s="121"/>
      <c r="D5703" s="121"/>
      <c r="E5703" s="121"/>
      <c r="F5703" s="121"/>
      <c r="G5703" s="121"/>
      <c r="H5703" s="85"/>
      <c r="I5703" s="122"/>
      <c r="J5703" s="150"/>
      <c r="K5703" s="75"/>
      <c r="L5703" s="50"/>
      <c r="P5703" s="3"/>
      <c r="Q5703" s="3"/>
      <c r="R5703" s="3"/>
      <c r="S5703" s="3"/>
      <c r="T5703" s="3"/>
      <c r="U5703" s="3"/>
      <c r="V5703" s="3"/>
      <c r="W5703" s="3"/>
      <c r="X5703" s="3"/>
      <c r="Y5703" s="4"/>
      <c r="Z5703"/>
      <c r="AA5703"/>
    </row>
    <row r="5704" spans="1:27" s="37" customFormat="1" x14ac:dyDescent="0.15">
      <c r="A5704" s="70"/>
      <c r="B5704" s="118"/>
      <c r="C5704" s="121"/>
      <c r="D5704" s="121"/>
      <c r="E5704" s="121"/>
      <c r="F5704" s="121"/>
      <c r="G5704" s="121"/>
      <c r="H5704" s="85"/>
      <c r="I5704" s="122"/>
      <c r="J5704" s="150"/>
      <c r="K5704" s="75"/>
      <c r="L5704" s="50"/>
      <c r="P5704" s="3"/>
      <c r="Q5704" s="3"/>
      <c r="R5704" s="3"/>
      <c r="S5704" s="3"/>
      <c r="T5704" s="3"/>
      <c r="U5704" s="3"/>
      <c r="V5704" s="3"/>
      <c r="W5704" s="3"/>
      <c r="X5704" s="3"/>
      <c r="Y5704" s="4"/>
      <c r="Z5704"/>
      <c r="AA5704"/>
    </row>
    <row r="5705" spans="1:27" s="37" customFormat="1" x14ac:dyDescent="0.15">
      <c r="A5705" s="73"/>
      <c r="B5705" s="118"/>
      <c r="C5705" s="121"/>
      <c r="D5705" s="121"/>
      <c r="E5705" s="121"/>
      <c r="F5705" s="121"/>
      <c r="G5705" s="121"/>
      <c r="H5705" s="85"/>
      <c r="I5705" s="122"/>
      <c r="J5705" s="150"/>
      <c r="K5705" s="75"/>
      <c r="L5705" s="50"/>
      <c r="P5705" s="3"/>
      <c r="Q5705" s="3"/>
      <c r="R5705" s="3"/>
      <c r="S5705" s="3"/>
      <c r="T5705" s="3"/>
      <c r="U5705" s="3"/>
      <c r="V5705" s="3"/>
      <c r="W5705" s="3"/>
      <c r="X5705" s="3"/>
      <c r="Y5705" s="4"/>
      <c r="Z5705"/>
      <c r="AA5705"/>
    </row>
    <row r="5706" spans="1:27" s="37" customFormat="1" x14ac:dyDescent="0.15">
      <c r="A5706" s="70"/>
      <c r="B5706" s="118"/>
      <c r="C5706" s="121"/>
      <c r="D5706" s="121"/>
      <c r="E5706" s="121"/>
      <c r="F5706" s="121"/>
      <c r="G5706" s="121"/>
      <c r="H5706" s="85"/>
      <c r="I5706" s="122"/>
      <c r="J5706" s="150"/>
      <c r="K5706" s="75"/>
      <c r="L5706" s="50"/>
      <c r="P5706" s="3"/>
      <c r="Q5706" s="3"/>
      <c r="R5706" s="3"/>
      <c r="S5706" s="3"/>
      <c r="T5706" s="3"/>
      <c r="U5706" s="3"/>
      <c r="V5706" s="3"/>
      <c r="W5706" s="3"/>
      <c r="X5706" s="3"/>
      <c r="Y5706" s="4"/>
      <c r="Z5706"/>
      <c r="AA5706"/>
    </row>
    <row r="5707" spans="1:27" s="37" customFormat="1" x14ac:dyDescent="0.15">
      <c r="A5707" s="70"/>
      <c r="B5707" s="118"/>
      <c r="C5707" s="121"/>
      <c r="D5707" s="121"/>
      <c r="E5707" s="121"/>
      <c r="F5707" s="121"/>
      <c r="G5707" s="121"/>
      <c r="H5707" s="85"/>
      <c r="I5707" s="85"/>
      <c r="J5707" s="150"/>
      <c r="K5707" s="75"/>
      <c r="L5707" s="50"/>
      <c r="P5707" s="3"/>
      <c r="Q5707" s="3"/>
      <c r="R5707" s="3"/>
      <c r="S5707" s="3"/>
      <c r="T5707" s="3"/>
      <c r="U5707" s="3"/>
      <c r="V5707" s="3"/>
      <c r="W5707" s="3"/>
      <c r="X5707" s="3"/>
      <c r="Y5707" s="4"/>
      <c r="Z5707"/>
      <c r="AA5707"/>
    </row>
    <row r="5708" spans="1:27" s="37" customFormat="1" x14ac:dyDescent="0.15">
      <c r="A5708" s="70"/>
      <c r="B5708" s="118"/>
      <c r="C5708" s="121"/>
      <c r="D5708" s="121"/>
      <c r="E5708" s="121"/>
      <c r="F5708" s="121"/>
      <c r="G5708" s="121"/>
      <c r="H5708" s="85"/>
      <c r="I5708" s="85"/>
      <c r="J5708" s="150"/>
      <c r="K5708" s="75"/>
      <c r="L5708" s="50"/>
      <c r="N5708" s="51"/>
      <c r="P5708" s="3"/>
      <c r="Q5708" s="3"/>
      <c r="R5708" s="3"/>
      <c r="S5708" s="3"/>
      <c r="T5708" s="3"/>
      <c r="U5708" s="3"/>
      <c r="V5708" s="3"/>
      <c r="W5708" s="3"/>
      <c r="X5708" s="3"/>
      <c r="Y5708" s="4"/>
      <c r="Z5708"/>
      <c r="AA5708"/>
    </row>
    <row r="5709" spans="1:27" s="37" customFormat="1" x14ac:dyDescent="0.15">
      <c r="A5709" s="70"/>
      <c r="B5709" s="118"/>
      <c r="C5709" s="121"/>
      <c r="D5709" s="121"/>
      <c r="E5709" s="121"/>
      <c r="F5709" s="121"/>
      <c r="G5709" s="121"/>
      <c r="H5709" s="85"/>
      <c r="I5709" s="85"/>
      <c r="J5709" s="150"/>
      <c r="K5709" s="76"/>
      <c r="L5709" s="50"/>
      <c r="P5709" s="3"/>
      <c r="Q5709" s="3"/>
      <c r="R5709" s="3"/>
      <c r="S5709" s="3"/>
      <c r="T5709" s="3"/>
      <c r="U5709" s="3"/>
      <c r="V5709" s="3"/>
      <c r="W5709" s="3"/>
      <c r="X5709" s="3"/>
      <c r="Y5709" s="4"/>
      <c r="Z5709"/>
      <c r="AA5709"/>
    </row>
    <row r="5710" spans="1:27" s="37" customFormat="1" x14ac:dyDescent="0.15">
      <c r="A5710" s="70"/>
      <c r="B5710" s="118"/>
      <c r="C5710" s="121"/>
      <c r="D5710" s="121"/>
      <c r="E5710" s="121"/>
      <c r="F5710" s="121"/>
      <c r="G5710" s="121"/>
      <c r="H5710" s="85"/>
      <c r="I5710" s="85"/>
      <c r="J5710" s="150"/>
      <c r="K5710" s="76"/>
      <c r="L5710" s="50"/>
      <c r="P5710" s="3"/>
      <c r="Q5710" s="3"/>
      <c r="R5710" s="3"/>
      <c r="S5710" s="3"/>
      <c r="T5710" s="3"/>
      <c r="U5710" s="3"/>
      <c r="V5710" s="3"/>
      <c r="W5710" s="3"/>
      <c r="X5710" s="3"/>
      <c r="Y5710" s="4"/>
      <c r="Z5710"/>
      <c r="AA5710"/>
    </row>
    <row r="5711" spans="1:27" s="37" customFormat="1" x14ac:dyDescent="0.15">
      <c r="A5711" s="70"/>
      <c r="B5711" s="118"/>
      <c r="C5711" s="121"/>
      <c r="D5711" s="121"/>
      <c r="E5711" s="121"/>
      <c r="F5711" s="121"/>
      <c r="G5711" s="121"/>
      <c r="H5711" s="85"/>
      <c r="I5711" s="85"/>
      <c r="J5711" s="150"/>
      <c r="K5711" s="75"/>
      <c r="L5711" s="50"/>
      <c r="P5711" s="3"/>
      <c r="Q5711" s="3"/>
      <c r="R5711" s="3"/>
      <c r="S5711" s="3"/>
      <c r="T5711" s="3"/>
      <c r="U5711" s="3"/>
      <c r="V5711" s="3"/>
      <c r="W5711" s="3"/>
      <c r="X5711" s="3"/>
      <c r="Y5711" s="4"/>
      <c r="Z5711"/>
      <c r="AA5711"/>
    </row>
    <row r="5712" spans="1:27" s="37" customFormat="1" x14ac:dyDescent="0.15">
      <c r="A5712" s="70"/>
      <c r="B5712" s="118"/>
      <c r="C5712" s="121"/>
      <c r="D5712" s="121"/>
      <c r="E5712" s="121"/>
      <c r="F5712" s="121"/>
      <c r="G5712" s="121"/>
      <c r="H5712" s="85"/>
      <c r="I5712" s="85"/>
      <c r="J5712" s="150"/>
      <c r="K5712" s="76"/>
      <c r="L5712" s="50"/>
      <c r="P5712" s="3"/>
      <c r="Q5712" s="3"/>
      <c r="R5712" s="3"/>
      <c r="S5712" s="3"/>
      <c r="T5712" s="3"/>
      <c r="U5712" s="3"/>
      <c r="V5712" s="3"/>
      <c r="W5712" s="3"/>
      <c r="X5712" s="3"/>
      <c r="Y5712" s="4"/>
      <c r="Z5712"/>
      <c r="AA5712"/>
    </row>
    <row r="5713" spans="1:27" s="37" customFormat="1" x14ac:dyDescent="0.15">
      <c r="A5713" s="70"/>
      <c r="B5713" s="118"/>
      <c r="C5713" s="121"/>
      <c r="D5713" s="121"/>
      <c r="E5713" s="121"/>
      <c r="F5713" s="121"/>
      <c r="G5713" s="121"/>
      <c r="H5713" s="85"/>
      <c r="I5713" s="85"/>
      <c r="J5713" s="150"/>
      <c r="K5713" s="76"/>
      <c r="L5713" s="50"/>
      <c r="P5713" s="3"/>
      <c r="Q5713" s="3"/>
      <c r="R5713" s="3"/>
      <c r="S5713" s="3"/>
      <c r="T5713" s="3"/>
      <c r="U5713" s="3"/>
      <c r="V5713" s="3"/>
      <c r="W5713" s="3"/>
      <c r="X5713" s="3"/>
      <c r="Y5713" s="4"/>
      <c r="Z5713"/>
      <c r="AA5713"/>
    </row>
    <row r="5714" spans="1:27" s="37" customFormat="1" x14ac:dyDescent="0.15">
      <c r="A5714" s="70"/>
      <c r="B5714" s="118"/>
      <c r="C5714" s="121"/>
      <c r="D5714" s="121"/>
      <c r="E5714" s="121"/>
      <c r="F5714" s="121"/>
      <c r="G5714" s="121"/>
      <c r="H5714" s="85"/>
      <c r="I5714" s="85"/>
      <c r="J5714" s="150"/>
      <c r="K5714" s="75"/>
      <c r="L5714" s="50"/>
      <c r="P5714" s="3"/>
      <c r="Q5714" s="3"/>
      <c r="R5714" s="3"/>
      <c r="S5714" s="3"/>
      <c r="T5714" s="3"/>
      <c r="U5714" s="3"/>
      <c r="V5714" s="3"/>
      <c r="W5714" s="3"/>
      <c r="X5714" s="3"/>
      <c r="Y5714" s="4"/>
      <c r="Z5714"/>
      <c r="AA5714"/>
    </row>
    <row r="5715" spans="1:27" s="37" customFormat="1" x14ac:dyDescent="0.15">
      <c r="A5715" s="70"/>
      <c r="B5715" s="118"/>
      <c r="C5715" s="121"/>
      <c r="D5715" s="121"/>
      <c r="E5715" s="121"/>
      <c r="F5715" s="121"/>
      <c r="G5715" s="121"/>
      <c r="H5715" s="85"/>
      <c r="I5715" s="85"/>
      <c r="J5715" s="150"/>
      <c r="K5715" s="75"/>
      <c r="L5715" s="50"/>
      <c r="P5715" s="3"/>
      <c r="Q5715" s="3"/>
      <c r="R5715" s="3"/>
      <c r="S5715" s="3"/>
      <c r="T5715" s="3"/>
      <c r="U5715" s="3"/>
      <c r="V5715" s="3"/>
      <c r="W5715" s="3"/>
      <c r="X5715" s="3"/>
      <c r="Y5715" s="4"/>
      <c r="Z5715"/>
      <c r="AA5715"/>
    </row>
    <row r="5716" spans="1:27" s="37" customFormat="1" x14ac:dyDescent="0.15">
      <c r="A5716" s="73"/>
      <c r="B5716" s="118"/>
      <c r="C5716" s="121"/>
      <c r="D5716" s="121"/>
      <c r="E5716" s="121"/>
      <c r="F5716" s="121"/>
      <c r="G5716" s="121"/>
      <c r="H5716" s="85"/>
      <c r="I5716" s="85"/>
      <c r="J5716" s="150"/>
      <c r="K5716" s="75"/>
      <c r="L5716" s="50"/>
      <c r="N5716" s="51"/>
      <c r="P5716" s="3"/>
      <c r="Q5716" s="3"/>
      <c r="R5716" s="3"/>
      <c r="S5716" s="3"/>
      <c r="T5716" s="3"/>
      <c r="U5716" s="3"/>
      <c r="V5716" s="3"/>
      <c r="W5716" s="3"/>
      <c r="X5716" s="3"/>
      <c r="Y5716" s="4"/>
      <c r="Z5716"/>
      <c r="AA5716"/>
    </row>
    <row r="5717" spans="1:27" s="37" customFormat="1" x14ac:dyDescent="0.15">
      <c r="A5717" s="70"/>
      <c r="B5717" s="118"/>
      <c r="C5717" s="121"/>
      <c r="D5717" s="121"/>
      <c r="E5717" s="121"/>
      <c r="F5717" s="121"/>
      <c r="G5717" s="121"/>
      <c r="H5717" s="85"/>
      <c r="I5717" s="95"/>
      <c r="J5717" s="150"/>
      <c r="K5717" s="76"/>
      <c r="L5717" s="50"/>
      <c r="P5717" s="3"/>
      <c r="Q5717" s="3"/>
      <c r="R5717" s="3"/>
      <c r="S5717" s="3"/>
      <c r="T5717" s="3"/>
      <c r="U5717" s="3"/>
      <c r="V5717" s="3"/>
      <c r="W5717" s="3"/>
      <c r="X5717" s="3"/>
      <c r="Y5717" s="4"/>
      <c r="Z5717"/>
      <c r="AA5717"/>
    </row>
    <row r="5718" spans="1:27" s="37" customFormat="1" x14ac:dyDescent="0.15">
      <c r="A5718" s="70"/>
      <c r="B5718" s="118"/>
      <c r="C5718" s="121"/>
      <c r="D5718" s="121"/>
      <c r="E5718" s="121"/>
      <c r="F5718" s="121"/>
      <c r="G5718" s="121"/>
      <c r="H5718" s="85"/>
      <c r="I5718" s="85"/>
      <c r="J5718" s="150"/>
      <c r="K5718" s="76"/>
      <c r="L5718" s="50"/>
      <c r="N5718" s="51"/>
      <c r="P5718" s="3"/>
      <c r="Q5718" s="3"/>
      <c r="R5718" s="3"/>
      <c r="S5718" s="3"/>
      <c r="T5718" s="3"/>
      <c r="U5718" s="3"/>
      <c r="V5718" s="3"/>
      <c r="W5718" s="3"/>
      <c r="X5718" s="3"/>
      <c r="Y5718" s="4"/>
      <c r="Z5718"/>
      <c r="AA5718"/>
    </row>
    <row r="5719" spans="1:27" s="37" customFormat="1" x14ac:dyDescent="0.15">
      <c r="A5719" s="70"/>
      <c r="B5719" s="118"/>
      <c r="C5719" s="121"/>
      <c r="D5719" s="121"/>
      <c r="E5719" s="121"/>
      <c r="F5719" s="121"/>
      <c r="G5719" s="121"/>
      <c r="H5719" s="85"/>
      <c r="I5719" s="85"/>
      <c r="J5719" s="150"/>
      <c r="K5719" s="75"/>
      <c r="L5719" s="50"/>
      <c r="P5719" s="3"/>
      <c r="Q5719" s="3"/>
      <c r="R5719" s="3"/>
      <c r="S5719" s="3"/>
      <c r="T5719" s="3"/>
      <c r="U5719" s="3"/>
      <c r="V5719" s="3"/>
      <c r="W5719" s="3"/>
      <c r="X5719" s="3"/>
      <c r="Y5719" s="4"/>
      <c r="Z5719"/>
      <c r="AA5719"/>
    </row>
    <row r="5720" spans="1:27" s="37" customFormat="1" x14ac:dyDescent="0.15">
      <c r="A5720" s="70"/>
      <c r="B5720" s="118"/>
      <c r="C5720" s="121"/>
      <c r="D5720" s="121"/>
      <c r="E5720" s="121"/>
      <c r="F5720" s="121"/>
      <c r="G5720" s="121"/>
      <c r="H5720" s="85"/>
      <c r="I5720" s="85"/>
      <c r="J5720" s="150"/>
      <c r="K5720" s="75"/>
      <c r="L5720" s="50"/>
      <c r="P5720" s="3"/>
      <c r="Q5720" s="3"/>
      <c r="R5720" s="3"/>
      <c r="S5720" s="3"/>
      <c r="T5720" s="3"/>
      <c r="U5720" s="3"/>
      <c r="V5720" s="3"/>
      <c r="W5720" s="3"/>
      <c r="X5720" s="3"/>
      <c r="Y5720" s="4"/>
      <c r="Z5720"/>
      <c r="AA5720"/>
    </row>
    <row r="5721" spans="1:27" s="37" customFormat="1" x14ac:dyDescent="0.15">
      <c r="A5721" s="70"/>
      <c r="B5721" s="118"/>
      <c r="C5721" s="121"/>
      <c r="D5721" s="121"/>
      <c r="E5721" s="121"/>
      <c r="F5721" s="121"/>
      <c r="G5721" s="121"/>
      <c r="H5721" s="85"/>
      <c r="I5721" s="85"/>
      <c r="J5721" s="150"/>
      <c r="K5721" s="75"/>
      <c r="L5721" s="50"/>
      <c r="P5721" s="3"/>
      <c r="Q5721" s="3"/>
      <c r="R5721" s="3"/>
      <c r="S5721" s="3"/>
      <c r="T5721" s="3"/>
      <c r="U5721" s="3"/>
      <c r="V5721" s="3"/>
      <c r="W5721" s="3"/>
      <c r="X5721" s="3"/>
      <c r="Y5721" s="4"/>
      <c r="Z5721"/>
      <c r="AA5721"/>
    </row>
    <row r="5722" spans="1:27" s="37" customFormat="1" x14ac:dyDescent="0.15">
      <c r="A5722" s="73"/>
      <c r="B5722" s="118"/>
      <c r="C5722" s="121"/>
      <c r="D5722" s="121"/>
      <c r="E5722" s="121"/>
      <c r="F5722" s="121"/>
      <c r="G5722" s="121"/>
      <c r="H5722" s="85"/>
      <c r="I5722" s="85"/>
      <c r="J5722" s="150"/>
      <c r="K5722" s="75"/>
      <c r="L5722" s="50"/>
      <c r="P5722" s="3"/>
      <c r="Q5722" s="3"/>
      <c r="R5722" s="3"/>
      <c r="S5722" s="3"/>
      <c r="T5722" s="3"/>
      <c r="U5722" s="3"/>
      <c r="V5722" s="3"/>
      <c r="W5722" s="3"/>
      <c r="X5722" s="3"/>
      <c r="Y5722" s="4"/>
      <c r="Z5722"/>
      <c r="AA5722"/>
    </row>
    <row r="5723" spans="1:27" s="37" customFormat="1" x14ac:dyDescent="0.15">
      <c r="A5723" s="70"/>
      <c r="B5723" s="118"/>
      <c r="C5723" s="121"/>
      <c r="D5723" s="121"/>
      <c r="E5723" s="121"/>
      <c r="F5723" s="121"/>
      <c r="G5723" s="121"/>
      <c r="H5723" s="85"/>
      <c r="I5723" s="85"/>
      <c r="J5723" s="150"/>
      <c r="K5723" s="75"/>
      <c r="L5723" s="50"/>
      <c r="P5723" s="3"/>
      <c r="Q5723" s="3"/>
      <c r="R5723" s="3"/>
      <c r="S5723" s="3"/>
      <c r="T5723" s="3"/>
      <c r="U5723" s="3"/>
      <c r="V5723" s="3"/>
      <c r="W5723" s="3"/>
      <c r="X5723" s="3"/>
      <c r="Y5723" s="4"/>
      <c r="Z5723"/>
      <c r="AA5723"/>
    </row>
    <row r="5724" spans="1:27" s="37" customFormat="1" x14ac:dyDescent="0.15">
      <c r="A5724" s="70"/>
      <c r="B5724" s="118"/>
      <c r="C5724" s="121"/>
      <c r="D5724" s="121"/>
      <c r="E5724" s="121"/>
      <c r="F5724" s="121"/>
      <c r="G5724" s="121"/>
      <c r="H5724" s="85"/>
      <c r="I5724" s="122"/>
      <c r="J5724" s="150"/>
      <c r="K5724" s="75"/>
      <c r="L5724" s="50"/>
      <c r="P5724" s="3"/>
      <c r="Q5724" s="3"/>
      <c r="R5724" s="3"/>
      <c r="S5724" s="3"/>
      <c r="T5724" s="3"/>
      <c r="U5724" s="3"/>
      <c r="V5724" s="3"/>
      <c r="W5724" s="3"/>
      <c r="X5724" s="3"/>
      <c r="Y5724" s="4"/>
      <c r="Z5724"/>
      <c r="AA5724"/>
    </row>
  </sheetData>
  <dataConsolidate/>
  <pageMargins left="0.5" right="0.5" top="0.75" bottom="0.5" header="0.5" footer="0.5"/>
  <pageSetup scale="75" fitToHeight="400" orientation="landscape" horizontalDpi="4294967292" verticalDpi="4294967292" r:id="rId1"/>
  <headerFooter alignWithMargins="0">
    <oddHeader>&amp;F&amp;RPage &amp;P</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5723"/>
  <sheetViews>
    <sheetView workbookViewId="0">
      <selection activeCell="H4" sqref="H4:H210"/>
    </sheetView>
  </sheetViews>
  <sheetFormatPr baseColWidth="10" defaultColWidth="11.5" defaultRowHeight="13" x14ac:dyDescent="0.15"/>
  <cols>
    <col min="1" max="1" width="9.1640625" style="171" customWidth="1"/>
    <col min="2" max="2" width="23.33203125" style="126" customWidth="1"/>
    <col min="3" max="3" width="10.83203125" style="127" customWidth="1"/>
    <col min="4" max="5" width="13.6640625" style="127" customWidth="1"/>
    <col min="6" max="6" width="15.33203125" style="127" customWidth="1"/>
    <col min="7" max="7" width="14.83203125" style="127" customWidth="1"/>
    <col min="8" max="8" width="19.6640625" style="126" bestFit="1" customWidth="1"/>
    <col min="9" max="9" width="9" style="94" bestFit="1" customWidth="1"/>
    <col min="10" max="10" width="18.5" style="94" customWidth="1"/>
    <col min="11" max="11" width="22.1640625" style="138" customWidth="1"/>
    <col min="12" max="12" width="16.1640625" style="71" customWidth="1"/>
    <col min="13" max="13" width="9" style="49" customWidth="1"/>
    <col min="14" max="14" width="12.5" style="37" customWidth="1"/>
    <col min="15" max="16" width="9" style="37" customWidth="1"/>
    <col min="17" max="25" width="8.83203125" style="3" customWidth="1"/>
    <col min="26" max="26" width="10.83203125" style="4" customWidth="1"/>
  </cols>
  <sheetData>
    <row r="1" spans="1:26" s="26" customFormat="1" ht="20" customHeight="1" x14ac:dyDescent="0.2">
      <c r="A1" s="223" t="s">
        <v>122</v>
      </c>
      <c r="B1" s="78"/>
      <c r="C1" s="79"/>
      <c r="D1" s="79"/>
      <c r="E1" s="79"/>
      <c r="F1" s="79"/>
      <c r="G1" s="79"/>
      <c r="H1" s="78"/>
      <c r="I1" s="80"/>
      <c r="J1" s="80"/>
      <c r="K1" s="129"/>
      <c r="L1" s="59"/>
      <c r="M1" s="45"/>
      <c r="N1" s="45"/>
      <c r="O1" s="45"/>
      <c r="P1" s="45"/>
      <c r="Q1" s="27"/>
      <c r="R1" s="27"/>
      <c r="S1" s="27"/>
      <c r="T1" s="27"/>
      <c r="U1" s="27"/>
      <c r="V1" s="27"/>
      <c r="W1" s="27"/>
      <c r="X1" s="27"/>
      <c r="Y1" s="27"/>
      <c r="Z1" s="27"/>
    </row>
    <row r="2" spans="1:26" s="5" customFormat="1" ht="55" customHeight="1" x14ac:dyDescent="0.15">
      <c r="A2" s="310" t="s">
        <v>8050</v>
      </c>
      <c r="B2" s="310"/>
      <c r="C2" s="310"/>
      <c r="D2" s="310"/>
      <c r="E2" s="310"/>
      <c r="F2" s="310"/>
      <c r="G2" s="310"/>
      <c r="H2" s="310"/>
      <c r="I2" s="310"/>
      <c r="J2" s="310"/>
      <c r="K2" s="130"/>
      <c r="L2" s="60"/>
      <c r="M2" s="46"/>
      <c r="N2" s="46"/>
      <c r="O2" s="46"/>
      <c r="P2" s="46"/>
      <c r="Q2" s="7"/>
      <c r="R2" s="7"/>
      <c r="S2" s="7"/>
      <c r="T2" s="7"/>
      <c r="U2" s="7"/>
      <c r="V2" s="7"/>
      <c r="W2" s="7"/>
      <c r="X2" s="7"/>
      <c r="Y2" s="7"/>
      <c r="Z2" s="7"/>
    </row>
    <row r="3" spans="1:26" s="44" customFormat="1" ht="34" x14ac:dyDescent="0.15">
      <c r="A3" s="163" t="s">
        <v>3407</v>
      </c>
      <c r="B3" s="39" t="s">
        <v>4858</v>
      </c>
      <c r="C3" s="40" t="s">
        <v>4250</v>
      </c>
      <c r="D3" s="40" t="s">
        <v>4041</v>
      </c>
      <c r="E3" s="40" t="s">
        <v>4904</v>
      </c>
      <c r="F3" s="40" t="s">
        <v>3409</v>
      </c>
      <c r="G3" s="40" t="s">
        <v>4299</v>
      </c>
      <c r="H3" s="174" t="s">
        <v>8063</v>
      </c>
      <c r="I3" s="41" t="s">
        <v>3174</v>
      </c>
      <c r="J3" s="42" t="s">
        <v>3419</v>
      </c>
      <c r="K3" s="39" t="s">
        <v>3634</v>
      </c>
      <c r="L3" s="38" t="s">
        <v>5012</v>
      </c>
      <c r="M3" s="39" t="s">
        <v>6711</v>
      </c>
      <c r="N3" s="39" t="s">
        <v>8051</v>
      </c>
      <c r="O3" s="58"/>
      <c r="P3" s="58"/>
      <c r="Q3" s="58"/>
      <c r="R3" s="58"/>
      <c r="S3" s="43"/>
      <c r="T3" s="43"/>
      <c r="U3" s="43"/>
      <c r="V3" s="43"/>
      <c r="W3" s="43"/>
      <c r="X3" s="43"/>
      <c r="Y3" s="43"/>
      <c r="Z3" s="43"/>
    </row>
    <row r="4" spans="1:26" ht="14" x14ac:dyDescent="0.15">
      <c r="A4" s="70" t="s">
        <v>2633</v>
      </c>
      <c r="B4" s="82"/>
      <c r="C4" s="70" t="s">
        <v>3636</v>
      </c>
      <c r="D4" s="70" t="s">
        <v>2837</v>
      </c>
      <c r="E4" s="70" t="s">
        <v>3178</v>
      </c>
      <c r="F4" s="70" t="s">
        <v>3179</v>
      </c>
      <c r="G4" s="70" t="s">
        <v>3180</v>
      </c>
      <c r="H4" s="300" t="str">
        <f>_xlfn.TEXTJOIN(" ",TRUE,F4,G4)</f>
        <v>Addax nasomaculatus</v>
      </c>
      <c r="I4" s="85">
        <f t="shared" ref="I4:I62" si="0">LOG(J4)</f>
        <v>4.8451000000000004</v>
      </c>
      <c r="J4" s="85">
        <v>70000.315913089813</v>
      </c>
      <c r="K4" s="131" t="s">
        <v>6522</v>
      </c>
      <c r="L4" s="60">
        <v>60</v>
      </c>
      <c r="M4" s="49" t="s">
        <v>6809</v>
      </c>
    </row>
    <row r="5" spans="1:26" ht="28" x14ac:dyDescent="0.15">
      <c r="A5" s="70" t="s">
        <v>2633</v>
      </c>
      <c r="B5" s="82"/>
      <c r="C5" s="70" t="s">
        <v>3636</v>
      </c>
      <c r="D5" s="70" t="s">
        <v>2837</v>
      </c>
      <c r="E5" s="70" t="s">
        <v>3178</v>
      </c>
      <c r="F5" s="70" t="s">
        <v>3181</v>
      </c>
      <c r="G5" s="70" t="s">
        <v>3182</v>
      </c>
      <c r="H5" s="300" t="str">
        <f t="shared" ref="H5:H68" si="1">_xlfn.TEXTJOIN(" ",TRUE,F5,G5)</f>
        <v>Aepyceros melampus</v>
      </c>
      <c r="I5" s="85">
        <f t="shared" si="0"/>
        <v>4.7201600000000008</v>
      </c>
      <c r="J5" s="85">
        <v>52500.084208338223</v>
      </c>
      <c r="K5" s="131" t="s">
        <v>7885</v>
      </c>
      <c r="L5" s="60" t="s">
        <v>2686</v>
      </c>
      <c r="M5" s="49" t="s">
        <v>6392</v>
      </c>
    </row>
    <row r="6" spans="1:26" ht="42" x14ac:dyDescent="0.15">
      <c r="A6" s="70" t="s">
        <v>2633</v>
      </c>
      <c r="B6" s="82"/>
      <c r="C6" s="70" t="s">
        <v>3636</v>
      </c>
      <c r="D6" s="70" t="s">
        <v>2837</v>
      </c>
      <c r="E6" s="70" t="s">
        <v>3178</v>
      </c>
      <c r="F6" s="70" t="s">
        <v>3450</v>
      </c>
      <c r="G6" s="70" t="s">
        <v>3860</v>
      </c>
      <c r="H6" s="300" t="str">
        <f t="shared" si="1"/>
        <v>Alcelaphus buselaphus</v>
      </c>
      <c r="I6" s="85">
        <f t="shared" si="0"/>
        <v>5.2329999999999997</v>
      </c>
      <c r="J6" s="85">
        <v>171001.53150902878</v>
      </c>
      <c r="K6" s="131" t="s">
        <v>6726</v>
      </c>
      <c r="L6" s="60" t="s">
        <v>2686</v>
      </c>
      <c r="M6" s="49" t="s">
        <v>6392</v>
      </c>
    </row>
    <row r="7" spans="1:26" ht="14" x14ac:dyDescent="0.15">
      <c r="A7" s="285" t="s">
        <v>8052</v>
      </c>
      <c r="B7" s="82"/>
      <c r="C7" s="285" t="s">
        <v>3636</v>
      </c>
      <c r="D7" s="285" t="s">
        <v>2837</v>
      </c>
      <c r="E7" s="285" t="s">
        <v>3724</v>
      </c>
      <c r="F7" s="285" t="s">
        <v>4136</v>
      </c>
      <c r="G7" s="285" t="s">
        <v>4151</v>
      </c>
      <c r="H7" s="300" t="str">
        <f t="shared" si="1"/>
        <v>Alces alces</v>
      </c>
      <c r="I7" s="85">
        <v>5.5526591765275475</v>
      </c>
      <c r="J7" s="85">
        <v>356998.16134961008</v>
      </c>
      <c r="K7" s="131"/>
      <c r="L7" s="60">
        <v>60111</v>
      </c>
    </row>
    <row r="8" spans="1:26" ht="14" x14ac:dyDescent="0.15">
      <c r="A8" s="70" t="s">
        <v>2633</v>
      </c>
      <c r="B8" s="82"/>
      <c r="C8" s="70" t="s">
        <v>3636</v>
      </c>
      <c r="D8" s="70" t="s">
        <v>2837</v>
      </c>
      <c r="E8" s="70" t="s">
        <v>3178</v>
      </c>
      <c r="F8" s="70" t="s">
        <v>3861</v>
      </c>
      <c r="G8" s="70" t="s">
        <v>3862</v>
      </c>
      <c r="H8" s="300" t="str">
        <f t="shared" si="1"/>
        <v>Ammodorcas clarkei</v>
      </c>
      <c r="I8" s="85">
        <f t="shared" si="0"/>
        <v>4.4479300000000004</v>
      </c>
      <c r="J8" s="85">
        <v>28049.814919141725</v>
      </c>
      <c r="K8" s="131" t="s">
        <v>6818</v>
      </c>
      <c r="L8" s="60">
        <v>60</v>
      </c>
      <c r="M8" s="49" t="s">
        <v>6728</v>
      </c>
    </row>
    <row r="9" spans="1:26" ht="14" x14ac:dyDescent="0.15">
      <c r="A9" s="70" t="s">
        <v>2633</v>
      </c>
      <c r="B9" s="82"/>
      <c r="C9" s="70" t="s">
        <v>3636</v>
      </c>
      <c r="D9" s="70" t="s">
        <v>2837</v>
      </c>
      <c r="E9" s="70" t="s">
        <v>3178</v>
      </c>
      <c r="F9" s="70" t="s">
        <v>3454</v>
      </c>
      <c r="G9" s="70" t="s">
        <v>3191</v>
      </c>
      <c r="H9" s="300" t="str">
        <f t="shared" si="1"/>
        <v>Ammotragus lervia</v>
      </c>
      <c r="I9" s="85">
        <f t="shared" si="0"/>
        <v>4.6812412373755876</v>
      </c>
      <c r="J9" s="85">
        <v>48000</v>
      </c>
      <c r="K9" s="131" t="s">
        <v>6817</v>
      </c>
      <c r="L9" s="60">
        <v>75</v>
      </c>
      <c r="M9" s="49" t="s">
        <v>6728</v>
      </c>
    </row>
    <row r="10" spans="1:26" ht="28" x14ac:dyDescent="0.15">
      <c r="A10" s="70" t="s">
        <v>2633</v>
      </c>
      <c r="B10" s="82"/>
      <c r="C10" s="70" t="s">
        <v>3636</v>
      </c>
      <c r="D10" s="70" t="s">
        <v>2837</v>
      </c>
      <c r="E10" s="70" t="s">
        <v>3178</v>
      </c>
      <c r="F10" s="70" t="s">
        <v>3192</v>
      </c>
      <c r="G10" s="70" t="s">
        <v>2996</v>
      </c>
      <c r="H10" s="300" t="str">
        <f t="shared" si="1"/>
        <v>Antidorcas marsupialis</v>
      </c>
      <c r="I10" s="85">
        <f t="shared" si="0"/>
        <v>4.4983105537896009</v>
      </c>
      <c r="J10" s="85">
        <f>AVERAGE(32000, 31000)</f>
        <v>31500</v>
      </c>
      <c r="K10" s="131" t="s">
        <v>6819</v>
      </c>
      <c r="L10" s="60">
        <v>236</v>
      </c>
      <c r="M10" s="49" t="s">
        <v>6392</v>
      </c>
      <c r="P10" s="49"/>
    </row>
    <row r="11" spans="1:26" ht="14" x14ac:dyDescent="0.15">
      <c r="A11" s="70" t="s">
        <v>3635</v>
      </c>
      <c r="B11" s="82"/>
      <c r="C11" s="70" t="s">
        <v>3636</v>
      </c>
      <c r="D11" s="70" t="s">
        <v>2837</v>
      </c>
      <c r="E11" s="70" t="s">
        <v>3022</v>
      </c>
      <c r="F11" s="70" t="s">
        <v>3023</v>
      </c>
      <c r="G11" s="70" t="s">
        <v>3176</v>
      </c>
      <c r="H11" s="300" t="str">
        <f t="shared" si="1"/>
        <v>Antilocapra americana</v>
      </c>
      <c r="I11" s="85">
        <f t="shared" si="0"/>
        <v>4.6635400000000011</v>
      </c>
      <c r="J11" s="85">
        <v>46082.921067455376</v>
      </c>
      <c r="K11" s="131" t="s">
        <v>3177</v>
      </c>
      <c r="L11" s="60">
        <v>60</v>
      </c>
    </row>
    <row r="12" spans="1:26" ht="14" x14ac:dyDescent="0.15">
      <c r="A12" s="70" t="s">
        <v>2479</v>
      </c>
      <c r="B12" s="82"/>
      <c r="C12" s="70" t="s">
        <v>3636</v>
      </c>
      <c r="D12" s="70" t="s">
        <v>2837</v>
      </c>
      <c r="E12" s="73" t="s">
        <v>3178</v>
      </c>
      <c r="F12" s="70" t="s">
        <v>6301</v>
      </c>
      <c r="G12" s="70" t="s">
        <v>6302</v>
      </c>
      <c r="H12" s="300" t="str">
        <f t="shared" si="1"/>
        <v>Antilope cervicapra</v>
      </c>
      <c r="I12" s="85">
        <f t="shared" si="0"/>
        <v>4.5740312677277188</v>
      </c>
      <c r="J12" s="85">
        <v>37500</v>
      </c>
      <c r="K12" s="131" t="s">
        <v>6485</v>
      </c>
      <c r="L12" s="60">
        <v>68</v>
      </c>
      <c r="M12" s="49" t="s">
        <v>6728</v>
      </c>
    </row>
    <row r="13" spans="1:26" ht="14" x14ac:dyDescent="0.15">
      <c r="A13" s="285" t="s">
        <v>8057</v>
      </c>
      <c r="B13" s="302" t="s">
        <v>2330</v>
      </c>
      <c r="C13" s="285" t="s">
        <v>3636</v>
      </c>
      <c r="D13" s="285" t="s">
        <v>2837</v>
      </c>
      <c r="E13" s="296" t="s">
        <v>3724</v>
      </c>
      <c r="F13" s="285" t="s">
        <v>3683</v>
      </c>
      <c r="G13" s="285" t="s">
        <v>3727</v>
      </c>
      <c r="H13" s="300" t="str">
        <f t="shared" si="1"/>
        <v>Axis axis</v>
      </c>
      <c r="I13" s="85">
        <v>4.8199517502823781</v>
      </c>
      <c r="J13" s="85">
        <v>66172.774999999994</v>
      </c>
      <c r="K13" s="131"/>
      <c r="L13" s="301" t="s">
        <v>8062</v>
      </c>
    </row>
    <row r="14" spans="1:26" ht="28" x14ac:dyDescent="0.15">
      <c r="A14" s="62" t="s">
        <v>2481</v>
      </c>
      <c r="B14" s="97" t="s">
        <v>5852</v>
      </c>
      <c r="C14" s="70" t="s">
        <v>3636</v>
      </c>
      <c r="D14" s="70" t="s">
        <v>2837</v>
      </c>
      <c r="E14" s="70" t="s">
        <v>3724</v>
      </c>
      <c r="F14" s="70" t="s">
        <v>3683</v>
      </c>
      <c r="G14" s="70" t="s">
        <v>5248</v>
      </c>
      <c r="H14" s="300" t="str">
        <f t="shared" si="1"/>
        <v>Axis calamianensis</v>
      </c>
      <c r="I14" s="85">
        <f t="shared" si="0"/>
        <v>4.6074550232146683</v>
      </c>
      <c r="J14" s="85">
        <f>AVERAGE(36000, 45000)</f>
        <v>40500</v>
      </c>
      <c r="K14" s="131" t="s">
        <v>6665</v>
      </c>
      <c r="L14" s="60">
        <v>141</v>
      </c>
      <c r="M14" s="33" t="s">
        <v>6392</v>
      </c>
    </row>
    <row r="15" spans="1:26" ht="28" x14ac:dyDescent="0.15">
      <c r="A15" s="70" t="s">
        <v>2481</v>
      </c>
      <c r="B15" s="82" t="s">
        <v>2487</v>
      </c>
      <c r="C15" s="70" t="s">
        <v>3636</v>
      </c>
      <c r="D15" s="70" t="s">
        <v>2837</v>
      </c>
      <c r="E15" s="70" t="s">
        <v>3724</v>
      </c>
      <c r="F15" s="70" t="s">
        <v>3683</v>
      </c>
      <c r="G15" s="70" t="s">
        <v>4464</v>
      </c>
      <c r="H15" s="300" t="str">
        <f t="shared" si="1"/>
        <v>Axis kuhlii</v>
      </c>
      <c r="I15" s="85">
        <f t="shared" si="0"/>
        <v>4.7403626894942441</v>
      </c>
      <c r="J15" s="85">
        <v>55000</v>
      </c>
      <c r="K15" s="131" t="s">
        <v>6665</v>
      </c>
      <c r="L15" s="60">
        <v>147</v>
      </c>
      <c r="M15" s="33" t="s">
        <v>6390</v>
      </c>
    </row>
    <row r="16" spans="1:26" ht="14" x14ac:dyDescent="0.15">
      <c r="A16" s="285" t="s">
        <v>8057</v>
      </c>
      <c r="B16" s="302" t="s">
        <v>8061</v>
      </c>
      <c r="C16" s="285" t="s">
        <v>3636</v>
      </c>
      <c r="D16" s="285" t="s">
        <v>2837</v>
      </c>
      <c r="E16" s="285" t="s">
        <v>3724</v>
      </c>
      <c r="F16" s="285" t="s">
        <v>3683</v>
      </c>
      <c r="G16" s="285" t="s">
        <v>3684</v>
      </c>
      <c r="H16" s="300" t="str">
        <f t="shared" si="1"/>
        <v>Axis porcinus</v>
      </c>
      <c r="I16" s="85">
        <v>4.5329657631167635</v>
      </c>
      <c r="J16" s="85">
        <v>34127.75</v>
      </c>
      <c r="K16" s="131"/>
      <c r="L16" s="60">
        <v>59117132</v>
      </c>
      <c r="M16" s="33"/>
    </row>
    <row r="17" spans="1:28" ht="28" x14ac:dyDescent="0.15">
      <c r="A17" s="70" t="s">
        <v>2481</v>
      </c>
      <c r="B17" s="93" t="s">
        <v>2428</v>
      </c>
      <c r="C17" s="70" t="s">
        <v>3636</v>
      </c>
      <c r="D17" s="70" t="s">
        <v>2837</v>
      </c>
      <c r="E17" s="70" t="s">
        <v>3088</v>
      </c>
      <c r="F17" s="70" t="s">
        <v>5886</v>
      </c>
      <c r="G17" s="70" t="s">
        <v>5575</v>
      </c>
      <c r="H17" s="300" t="str">
        <f t="shared" si="1"/>
        <v>Babyrousa babyrussa</v>
      </c>
      <c r="I17" s="85">
        <f t="shared" si="0"/>
        <v>5</v>
      </c>
      <c r="J17" s="85">
        <v>100000</v>
      </c>
      <c r="K17" s="131" t="s">
        <v>6629</v>
      </c>
      <c r="L17" s="60">
        <v>68</v>
      </c>
      <c r="M17" s="49" t="s">
        <v>6728</v>
      </c>
      <c r="S17" s="245"/>
      <c r="T17" s="245"/>
      <c r="U17" s="245"/>
      <c r="V17" s="245"/>
      <c r="W17" s="245"/>
      <c r="X17" s="245"/>
      <c r="Y17" s="245"/>
      <c r="Z17" s="246"/>
      <c r="AA17" s="243"/>
      <c r="AB17" s="243"/>
    </row>
    <row r="18" spans="1:28" ht="14" x14ac:dyDescent="0.15">
      <c r="A18" s="70" t="s">
        <v>3635</v>
      </c>
      <c r="B18" s="82"/>
      <c r="C18" s="70" t="s">
        <v>3636</v>
      </c>
      <c r="D18" s="70" t="s">
        <v>2837</v>
      </c>
      <c r="E18" s="70" t="s">
        <v>3178</v>
      </c>
      <c r="F18" s="70" t="s">
        <v>7191</v>
      </c>
      <c r="G18" s="70" t="s">
        <v>7192</v>
      </c>
      <c r="H18" s="300" t="str">
        <f t="shared" si="1"/>
        <v>Bison bison</v>
      </c>
      <c r="I18" s="85">
        <f t="shared" si="0"/>
        <v>5.7628700000000013</v>
      </c>
      <c r="J18" s="85">
        <v>579255.2784790505</v>
      </c>
      <c r="K18" s="131" t="s">
        <v>3177</v>
      </c>
      <c r="L18" s="63">
        <v>60</v>
      </c>
      <c r="M18" s="49" t="s">
        <v>6392</v>
      </c>
    </row>
    <row r="19" spans="1:28" s="189" customFormat="1" ht="14" x14ac:dyDescent="0.15">
      <c r="A19" s="70" t="s">
        <v>2479</v>
      </c>
      <c r="B19" s="82"/>
      <c r="C19" s="70" t="s">
        <v>3636</v>
      </c>
      <c r="D19" s="70" t="s">
        <v>2837</v>
      </c>
      <c r="E19" s="70" t="s">
        <v>3178</v>
      </c>
      <c r="F19" s="70" t="s">
        <v>7191</v>
      </c>
      <c r="G19" s="70" t="s">
        <v>7806</v>
      </c>
      <c r="H19" s="300" t="str">
        <f t="shared" si="1"/>
        <v>Bison bonasus</v>
      </c>
      <c r="I19" s="85">
        <f t="shared" si="0"/>
        <v>5.6989700043360187</v>
      </c>
      <c r="J19" s="85">
        <v>500000</v>
      </c>
      <c r="K19" s="131" t="s">
        <v>6485</v>
      </c>
      <c r="L19" s="60">
        <v>68</v>
      </c>
      <c r="M19" s="49" t="s">
        <v>6390</v>
      </c>
      <c r="N19" s="37"/>
      <c r="O19" s="37"/>
      <c r="P19" s="37"/>
      <c r="Q19" s="3"/>
      <c r="R19" s="3"/>
      <c r="S19" s="3"/>
      <c r="T19" s="3"/>
      <c r="U19" s="3"/>
      <c r="V19" s="3"/>
      <c r="W19" s="3"/>
      <c r="X19" s="3"/>
      <c r="Y19" s="3"/>
      <c r="Z19" s="4"/>
      <c r="AA19"/>
      <c r="AB19"/>
    </row>
    <row r="20" spans="1:28" ht="28" x14ac:dyDescent="0.2">
      <c r="A20" s="70" t="s">
        <v>7029</v>
      </c>
      <c r="B20" s="82"/>
      <c r="C20" s="70" t="s">
        <v>3636</v>
      </c>
      <c r="D20" s="70" t="s">
        <v>2837</v>
      </c>
      <c r="E20" s="70" t="s">
        <v>3724</v>
      </c>
      <c r="F20" s="70" t="s">
        <v>3496</v>
      </c>
      <c r="G20" s="70" t="s">
        <v>4207</v>
      </c>
      <c r="H20" s="300" t="str">
        <f t="shared" si="1"/>
        <v>Blastocerus dichotomus</v>
      </c>
      <c r="I20" s="85">
        <f t="shared" si="0"/>
        <v>4.937850000000001</v>
      </c>
      <c r="J20" s="85">
        <v>86666.248943968283</v>
      </c>
      <c r="K20" s="131" t="s">
        <v>6737</v>
      </c>
      <c r="L20" s="60">
        <v>60</v>
      </c>
      <c r="M20" s="47" t="s">
        <v>6728</v>
      </c>
    </row>
    <row r="21" spans="1:28" ht="28" x14ac:dyDescent="0.15">
      <c r="A21" s="70" t="s">
        <v>2479</v>
      </c>
      <c r="B21" s="82"/>
      <c r="C21" s="70" t="s">
        <v>3636</v>
      </c>
      <c r="D21" s="70" t="s">
        <v>2837</v>
      </c>
      <c r="E21" s="70" t="s">
        <v>3178</v>
      </c>
      <c r="F21" s="70" t="s">
        <v>3885</v>
      </c>
      <c r="G21" s="70" t="s">
        <v>7417</v>
      </c>
      <c r="H21" s="300" t="str">
        <f t="shared" si="1"/>
        <v>Bos frontalis</v>
      </c>
      <c r="I21" s="85">
        <f t="shared" si="0"/>
        <v>5.9030899869919438</v>
      </c>
      <c r="J21" s="85">
        <v>800000</v>
      </c>
      <c r="K21" s="131" t="s">
        <v>6629</v>
      </c>
      <c r="L21" s="60">
        <v>68</v>
      </c>
      <c r="M21" s="33" t="s">
        <v>6728</v>
      </c>
    </row>
    <row r="22" spans="1:28" ht="42" x14ac:dyDescent="0.15">
      <c r="A22" s="70" t="s">
        <v>2479</v>
      </c>
      <c r="B22" s="82"/>
      <c r="C22" s="70" t="s">
        <v>3636</v>
      </c>
      <c r="D22" s="70" t="s">
        <v>2837</v>
      </c>
      <c r="E22" s="70" t="s">
        <v>3178</v>
      </c>
      <c r="F22" s="70" t="s">
        <v>3885</v>
      </c>
      <c r="G22" s="70" t="s">
        <v>7809</v>
      </c>
      <c r="H22" s="300" t="str">
        <f t="shared" si="1"/>
        <v>Bos grunniens</v>
      </c>
      <c r="I22" s="85">
        <f t="shared" si="0"/>
        <v>5.5224442335063202</v>
      </c>
      <c r="J22" s="85">
        <v>333000</v>
      </c>
      <c r="K22" s="131" t="s">
        <v>1335</v>
      </c>
      <c r="L22" s="60">
        <v>68</v>
      </c>
      <c r="M22" s="33" t="s">
        <v>6728</v>
      </c>
    </row>
    <row r="23" spans="1:28" ht="42" x14ac:dyDescent="0.15">
      <c r="A23" s="91" t="s">
        <v>2479</v>
      </c>
      <c r="B23" s="90"/>
      <c r="C23" s="91" t="s">
        <v>3636</v>
      </c>
      <c r="D23" s="91" t="s">
        <v>2837</v>
      </c>
      <c r="E23" s="91" t="s">
        <v>3178</v>
      </c>
      <c r="F23" s="91" t="s">
        <v>3885</v>
      </c>
      <c r="G23" s="91" t="s">
        <v>7202</v>
      </c>
      <c r="H23" s="300" t="str">
        <f t="shared" si="1"/>
        <v>Bos javanicus</v>
      </c>
      <c r="I23" s="85">
        <f t="shared" si="0"/>
        <v>5.8450980400142569</v>
      </c>
      <c r="J23" s="92">
        <v>700000</v>
      </c>
      <c r="K23" s="131" t="s">
        <v>1335</v>
      </c>
      <c r="L23" s="65">
        <v>75</v>
      </c>
      <c r="M23" s="33" t="s">
        <v>6390</v>
      </c>
    </row>
    <row r="24" spans="1:28" s="13" customFormat="1" ht="28" x14ac:dyDescent="0.15">
      <c r="A24" s="70" t="s">
        <v>2479</v>
      </c>
      <c r="B24" s="82"/>
      <c r="C24" s="70" t="s">
        <v>3636</v>
      </c>
      <c r="D24" s="70" t="s">
        <v>2837</v>
      </c>
      <c r="E24" s="70" t="s">
        <v>3178</v>
      </c>
      <c r="F24" s="70" t="s">
        <v>3885</v>
      </c>
      <c r="G24" s="70" t="s">
        <v>5719</v>
      </c>
      <c r="H24" s="300" t="str">
        <f t="shared" si="1"/>
        <v>Bos sauveli</v>
      </c>
      <c r="I24" s="85">
        <f t="shared" si="0"/>
        <v>5.9030899869919438</v>
      </c>
      <c r="J24" s="85">
        <v>800000</v>
      </c>
      <c r="K24" s="134" t="s">
        <v>6710</v>
      </c>
      <c r="L24" s="60">
        <v>136</v>
      </c>
      <c r="M24" s="33" t="s">
        <v>6809</v>
      </c>
      <c r="N24" s="37"/>
      <c r="O24" s="37"/>
      <c r="P24" s="37"/>
      <c r="Q24" s="3"/>
      <c r="R24" s="3"/>
      <c r="S24" s="3"/>
      <c r="T24" s="3"/>
      <c r="U24" s="3"/>
      <c r="V24" s="3"/>
      <c r="W24" s="3"/>
      <c r="X24" s="3"/>
      <c r="Y24" s="3"/>
      <c r="Z24" s="4"/>
      <c r="AA24"/>
      <c r="AB24"/>
    </row>
    <row r="25" spans="1:28" ht="14" x14ac:dyDescent="0.15">
      <c r="A25" s="70" t="s">
        <v>2479</v>
      </c>
      <c r="B25" s="82"/>
      <c r="C25" s="70" t="s">
        <v>44</v>
      </c>
      <c r="D25" s="70" t="s">
        <v>2837</v>
      </c>
      <c r="E25" s="70" t="s">
        <v>3178</v>
      </c>
      <c r="F25" s="70" t="s">
        <v>3885</v>
      </c>
      <c r="G25" s="70" t="s">
        <v>7810</v>
      </c>
      <c r="H25" s="300" t="str">
        <f t="shared" si="1"/>
        <v>Bos taurus</v>
      </c>
      <c r="I25" s="85">
        <f t="shared" si="0"/>
        <v>5.9542425094393252</v>
      </c>
      <c r="J25" s="85">
        <v>900000</v>
      </c>
      <c r="K25" s="131" t="s">
        <v>1305</v>
      </c>
      <c r="L25" s="60">
        <v>114</v>
      </c>
    </row>
    <row r="26" spans="1:28" s="11" customFormat="1" ht="28" x14ac:dyDescent="0.15">
      <c r="A26" s="70" t="s">
        <v>2479</v>
      </c>
      <c r="B26" s="82"/>
      <c r="C26" s="70" t="s">
        <v>3636</v>
      </c>
      <c r="D26" s="70" t="s">
        <v>2837</v>
      </c>
      <c r="E26" s="70" t="s">
        <v>3178</v>
      </c>
      <c r="F26" s="70" t="s">
        <v>5407</v>
      </c>
      <c r="G26" s="70" t="s">
        <v>5408</v>
      </c>
      <c r="H26" s="300" t="str">
        <f t="shared" si="1"/>
        <v>Boselaphus tragocamelus</v>
      </c>
      <c r="I26" s="85">
        <f t="shared" si="0"/>
        <v>5.2278867046136739</v>
      </c>
      <c r="J26" s="85">
        <v>169000</v>
      </c>
      <c r="K26" s="131" t="s">
        <v>6485</v>
      </c>
      <c r="L26" s="63">
        <v>68</v>
      </c>
      <c r="M26" s="49" t="s">
        <v>6392</v>
      </c>
      <c r="N26" s="37"/>
      <c r="O26" s="37"/>
      <c r="P26" s="37"/>
      <c r="Q26" s="3"/>
      <c r="R26" s="3"/>
      <c r="S26" s="3"/>
      <c r="T26" s="3"/>
      <c r="U26" s="3"/>
      <c r="V26" s="3"/>
      <c r="W26" s="3"/>
      <c r="X26" s="3"/>
      <c r="Y26" s="3"/>
      <c r="Z26" s="4"/>
      <c r="AA26"/>
      <c r="AB26"/>
    </row>
    <row r="27" spans="1:28" s="13" customFormat="1" ht="70" x14ac:dyDescent="0.2">
      <c r="A27" s="70" t="s">
        <v>2479</v>
      </c>
      <c r="B27" s="82"/>
      <c r="C27" s="70" t="s">
        <v>3636</v>
      </c>
      <c r="D27" s="70" t="s">
        <v>2837</v>
      </c>
      <c r="E27" s="70" t="s">
        <v>3178</v>
      </c>
      <c r="F27" s="70" t="s">
        <v>7189</v>
      </c>
      <c r="G27" s="70" t="s">
        <v>7190</v>
      </c>
      <c r="H27" s="300" t="str">
        <f t="shared" si="1"/>
        <v>Bubalus bubalis</v>
      </c>
      <c r="I27" s="85">
        <f t="shared" si="0"/>
        <v>4.5740312677277188</v>
      </c>
      <c r="J27" s="85">
        <f>AVERAGE(25000, 50000)</f>
        <v>37500</v>
      </c>
      <c r="K27" s="131" t="s">
        <v>1399</v>
      </c>
      <c r="L27" s="60">
        <v>111</v>
      </c>
      <c r="M27" s="47" t="s">
        <v>6390</v>
      </c>
      <c r="N27" s="37"/>
      <c r="O27" s="37"/>
      <c r="P27" s="37"/>
      <c r="Q27" s="3"/>
      <c r="R27" s="3"/>
      <c r="S27" s="3"/>
      <c r="T27" s="3"/>
      <c r="U27" s="3"/>
      <c r="V27" s="3"/>
      <c r="W27" s="3"/>
      <c r="X27" s="3"/>
      <c r="Y27" s="3"/>
      <c r="Z27" s="4"/>
      <c r="AA27"/>
      <c r="AB27"/>
    </row>
    <row r="28" spans="1:28" ht="28" x14ac:dyDescent="0.15">
      <c r="A28" s="70" t="s">
        <v>2481</v>
      </c>
      <c r="B28" s="93" t="s">
        <v>2428</v>
      </c>
      <c r="C28" s="70" t="s">
        <v>3636</v>
      </c>
      <c r="D28" s="70" t="s">
        <v>2837</v>
      </c>
      <c r="E28" s="70" t="s">
        <v>3178</v>
      </c>
      <c r="F28" s="70" t="s">
        <v>7189</v>
      </c>
      <c r="G28" s="70" t="s">
        <v>5850</v>
      </c>
      <c r="H28" s="300" t="str">
        <f t="shared" si="1"/>
        <v>Bubalus depressicornis</v>
      </c>
      <c r="I28" s="85">
        <f t="shared" si="0"/>
        <v>5.4771212547196626</v>
      </c>
      <c r="J28" s="85">
        <v>300000</v>
      </c>
      <c r="K28" s="131" t="s">
        <v>6629</v>
      </c>
      <c r="L28" s="63">
        <v>136</v>
      </c>
      <c r="M28" s="33" t="s">
        <v>6390</v>
      </c>
      <c r="Q28" s="12"/>
      <c r="R28" s="12"/>
    </row>
    <row r="29" spans="1:28" ht="41" customHeight="1" x14ac:dyDescent="0.15">
      <c r="A29" s="70" t="s">
        <v>2481</v>
      </c>
      <c r="B29" s="93" t="s">
        <v>5852</v>
      </c>
      <c r="C29" s="70" t="s">
        <v>3636</v>
      </c>
      <c r="D29" s="70" t="s">
        <v>2837</v>
      </c>
      <c r="E29" s="70" t="s">
        <v>3178</v>
      </c>
      <c r="F29" s="70" t="s">
        <v>7189</v>
      </c>
      <c r="G29" s="70" t="s">
        <v>5683</v>
      </c>
      <c r="H29" s="300" t="str">
        <f t="shared" si="1"/>
        <v>Bubalus mindorensis</v>
      </c>
      <c r="I29" s="85">
        <f t="shared" si="0"/>
        <v>5.3679767852945943</v>
      </c>
      <c r="J29" s="85">
        <f>AVERAGE(180000, 220000, 300000)</f>
        <v>233333.33333333334</v>
      </c>
      <c r="K29" s="131" t="s">
        <v>6629</v>
      </c>
      <c r="L29" s="60">
        <v>92</v>
      </c>
      <c r="M29" s="33" t="s">
        <v>6809</v>
      </c>
      <c r="N29" s="32"/>
      <c r="Q29" s="12"/>
      <c r="R29" s="12"/>
    </row>
    <row r="30" spans="1:28" s="13" customFormat="1" ht="28" x14ac:dyDescent="0.15">
      <c r="A30" s="70" t="s">
        <v>2481</v>
      </c>
      <c r="B30" s="93" t="s">
        <v>2428</v>
      </c>
      <c r="C30" s="70" t="s">
        <v>3636</v>
      </c>
      <c r="D30" s="70" t="s">
        <v>2837</v>
      </c>
      <c r="E30" s="70" t="s">
        <v>3178</v>
      </c>
      <c r="F30" s="70" t="s">
        <v>7189</v>
      </c>
      <c r="G30" s="70" t="s">
        <v>5725</v>
      </c>
      <c r="H30" s="300" t="str">
        <f t="shared" si="1"/>
        <v>Bubalus quarlesi</v>
      </c>
      <c r="I30" s="85">
        <f t="shared" si="0"/>
        <v>5.1760912590556813</v>
      </c>
      <c r="J30" s="85">
        <v>150000</v>
      </c>
      <c r="K30" s="131" t="s">
        <v>6629</v>
      </c>
      <c r="L30" s="60">
        <v>136</v>
      </c>
      <c r="M30" s="33" t="s">
        <v>6390</v>
      </c>
      <c r="N30" s="37"/>
      <c r="O30" s="37"/>
      <c r="P30" s="37"/>
      <c r="Q30" s="3"/>
      <c r="R30" s="3"/>
      <c r="S30" s="3"/>
      <c r="T30" s="3"/>
      <c r="U30" s="3"/>
      <c r="V30" s="3"/>
      <c r="W30" s="3"/>
      <c r="X30" s="3"/>
      <c r="Y30" s="3"/>
      <c r="Z30" s="4"/>
      <c r="AA30"/>
      <c r="AB30"/>
    </row>
    <row r="31" spans="1:28" ht="56" x14ac:dyDescent="0.15">
      <c r="A31" s="70" t="s">
        <v>2479</v>
      </c>
      <c r="B31" s="82"/>
      <c r="C31" s="70" t="s">
        <v>3636</v>
      </c>
      <c r="D31" s="70" t="s">
        <v>2837</v>
      </c>
      <c r="E31" s="70" t="s">
        <v>3178</v>
      </c>
      <c r="F31" s="70" t="s">
        <v>5409</v>
      </c>
      <c r="G31" s="70" t="s">
        <v>5410</v>
      </c>
      <c r="H31" s="300" t="str">
        <f t="shared" si="1"/>
        <v>Budorcas taxicolor</v>
      </c>
      <c r="I31" s="85">
        <f t="shared" si="0"/>
        <v>5.480006942957151</v>
      </c>
      <c r="J31" s="85">
        <v>302000</v>
      </c>
      <c r="K31" s="131" t="s">
        <v>1227</v>
      </c>
      <c r="L31" s="63">
        <v>68</v>
      </c>
      <c r="M31" s="49" t="s">
        <v>6728</v>
      </c>
    </row>
    <row r="32" spans="1:28" ht="31" customHeight="1" x14ac:dyDescent="0.15">
      <c r="A32" s="91" t="s">
        <v>2479</v>
      </c>
      <c r="B32" s="90"/>
      <c r="C32" s="91" t="s">
        <v>3636</v>
      </c>
      <c r="D32" s="91" t="s">
        <v>2837</v>
      </c>
      <c r="E32" s="91" t="s">
        <v>7198</v>
      </c>
      <c r="F32" s="91" t="s">
        <v>7199</v>
      </c>
      <c r="G32" s="91" t="s">
        <v>7200</v>
      </c>
      <c r="H32" s="300" t="str">
        <f t="shared" si="1"/>
        <v>Camelus dromedarius</v>
      </c>
      <c r="I32" s="85">
        <f t="shared" si="0"/>
        <v>5.6042260530844699</v>
      </c>
      <c r="J32" s="92">
        <v>402000</v>
      </c>
      <c r="K32" s="133"/>
      <c r="L32" s="64">
        <v>75</v>
      </c>
    </row>
    <row r="33" spans="1:28" ht="24" customHeight="1" x14ac:dyDescent="0.2">
      <c r="A33" s="70" t="s">
        <v>2479</v>
      </c>
      <c r="B33" s="82"/>
      <c r="C33" s="70" t="s">
        <v>3636</v>
      </c>
      <c r="D33" s="70" t="s">
        <v>2837</v>
      </c>
      <c r="E33" s="70" t="s">
        <v>3178</v>
      </c>
      <c r="F33" s="70" t="s">
        <v>2997</v>
      </c>
      <c r="G33" s="70" t="s">
        <v>5411</v>
      </c>
      <c r="H33" s="300" t="str">
        <f t="shared" si="1"/>
        <v>Capra caucasica</v>
      </c>
      <c r="I33" s="85">
        <f t="shared" si="0"/>
        <v>4.7403626894942441</v>
      </c>
      <c r="J33" s="85">
        <v>55000</v>
      </c>
      <c r="K33" s="131" t="s">
        <v>1132</v>
      </c>
      <c r="L33" s="60">
        <v>68</v>
      </c>
      <c r="M33" s="47" t="s">
        <v>6390</v>
      </c>
    </row>
    <row r="34" spans="1:28" ht="14" x14ac:dyDescent="0.15">
      <c r="A34" s="70" t="s">
        <v>2479</v>
      </c>
      <c r="B34" s="82"/>
      <c r="C34" s="70" t="s">
        <v>3636</v>
      </c>
      <c r="D34" s="70" t="s">
        <v>2837</v>
      </c>
      <c r="E34" s="70" t="s">
        <v>3178</v>
      </c>
      <c r="F34" s="70" t="s">
        <v>2997</v>
      </c>
      <c r="G34" s="70" t="s">
        <v>5347</v>
      </c>
      <c r="H34" s="300" t="str">
        <f t="shared" si="1"/>
        <v>Capra cylindricornis</v>
      </c>
      <c r="I34" s="85">
        <f t="shared" si="0"/>
        <v>4.6989700043360187</v>
      </c>
      <c r="J34" s="85">
        <v>50000</v>
      </c>
      <c r="K34" s="131" t="s">
        <v>5966</v>
      </c>
      <c r="L34" s="60">
        <v>68</v>
      </c>
      <c r="M34" s="49" t="s">
        <v>6728</v>
      </c>
    </row>
    <row r="35" spans="1:28" ht="42" x14ac:dyDescent="0.15">
      <c r="A35" s="70" t="s">
        <v>2479</v>
      </c>
      <c r="B35" s="82"/>
      <c r="C35" s="70" t="s">
        <v>3636</v>
      </c>
      <c r="D35" s="70" t="s">
        <v>2837</v>
      </c>
      <c r="E35" s="70" t="s">
        <v>3178</v>
      </c>
      <c r="F35" s="70" t="s">
        <v>2997</v>
      </c>
      <c r="G35" s="70" t="s">
        <v>5348</v>
      </c>
      <c r="H35" s="300" t="str">
        <f t="shared" si="1"/>
        <v>Capra falconeri</v>
      </c>
      <c r="I35" s="85">
        <f t="shared" si="0"/>
        <v>4.6127838567197355</v>
      </c>
      <c r="J35" s="85">
        <v>41000</v>
      </c>
      <c r="K35" s="131" t="s">
        <v>1413</v>
      </c>
      <c r="L35" s="60">
        <v>68</v>
      </c>
      <c r="M35" s="49" t="s">
        <v>6390</v>
      </c>
      <c r="Q35" s="12"/>
      <c r="R35" s="12"/>
    </row>
    <row r="36" spans="1:28" ht="56" x14ac:dyDescent="0.2">
      <c r="A36" s="70" t="s">
        <v>2479</v>
      </c>
      <c r="B36" s="82"/>
      <c r="C36" s="70" t="s">
        <v>3636</v>
      </c>
      <c r="D36" s="70" t="s">
        <v>2837</v>
      </c>
      <c r="E36" s="70" t="s">
        <v>3178</v>
      </c>
      <c r="F36" s="70" t="s">
        <v>2997</v>
      </c>
      <c r="G36" s="70" t="s">
        <v>3884</v>
      </c>
      <c r="H36" s="300" t="str">
        <f t="shared" si="1"/>
        <v>Capra hircus</v>
      </c>
      <c r="I36" s="85">
        <f t="shared" si="0"/>
        <v>4.8750612633917001</v>
      </c>
      <c r="J36" s="85">
        <f>AVERAGE(97500, 52500)</f>
        <v>75000</v>
      </c>
      <c r="K36" s="131" t="s">
        <v>1416</v>
      </c>
      <c r="L36" s="60">
        <v>111</v>
      </c>
      <c r="M36" s="47" t="s">
        <v>6728</v>
      </c>
    </row>
    <row r="37" spans="1:28" ht="16" x14ac:dyDescent="0.2">
      <c r="A37" s="285" t="s">
        <v>8058</v>
      </c>
      <c r="B37" s="82"/>
      <c r="C37" s="285" t="s">
        <v>3636</v>
      </c>
      <c r="D37" s="285" t="s">
        <v>2837</v>
      </c>
      <c r="E37" s="285" t="s">
        <v>3178</v>
      </c>
      <c r="F37" s="285" t="s">
        <v>2997</v>
      </c>
      <c r="G37" s="285" t="s">
        <v>2998</v>
      </c>
      <c r="H37" s="300" t="str">
        <f t="shared" si="1"/>
        <v>Capra ibex</v>
      </c>
      <c r="I37" s="85">
        <v>4.9226310401215496</v>
      </c>
      <c r="J37" s="85">
        <v>85166.506922721979</v>
      </c>
      <c r="K37" s="131"/>
      <c r="L37" s="60">
        <v>65114115</v>
      </c>
      <c r="M37" s="47"/>
    </row>
    <row r="38" spans="1:28" s="4" customFormat="1" ht="14" x14ac:dyDescent="0.15">
      <c r="A38" s="285" t="s">
        <v>8058</v>
      </c>
      <c r="B38" s="93"/>
      <c r="C38" s="285" t="s">
        <v>3636</v>
      </c>
      <c r="D38" s="285" t="s">
        <v>2837</v>
      </c>
      <c r="E38" s="285" t="s">
        <v>3178</v>
      </c>
      <c r="F38" s="285" t="s">
        <v>2997</v>
      </c>
      <c r="G38" s="285" t="s">
        <v>7976</v>
      </c>
      <c r="H38" s="300" t="str">
        <f t="shared" si="1"/>
        <v>Capra nubiana</v>
      </c>
      <c r="I38" s="85">
        <v>4.7813685360048481</v>
      </c>
      <c r="J38" s="85">
        <v>62624.840256055322</v>
      </c>
      <c r="K38" s="131"/>
      <c r="L38" s="60">
        <v>70136</v>
      </c>
      <c r="M38" s="33"/>
      <c r="N38" s="37"/>
      <c r="O38" s="37"/>
      <c r="P38" s="37"/>
      <c r="Q38" s="3"/>
      <c r="R38" s="3"/>
      <c r="S38" s="3"/>
      <c r="T38" s="3"/>
      <c r="U38" s="3"/>
      <c r="V38" s="3"/>
      <c r="W38" s="3"/>
      <c r="X38" s="3"/>
      <c r="Y38" s="3"/>
    </row>
    <row r="39" spans="1:28" ht="16" x14ac:dyDescent="0.2">
      <c r="A39" s="70" t="s">
        <v>2479</v>
      </c>
      <c r="B39" s="82" t="s">
        <v>5853</v>
      </c>
      <c r="C39" s="70" t="s">
        <v>3636</v>
      </c>
      <c r="D39" s="70" t="s">
        <v>2837</v>
      </c>
      <c r="E39" s="70" t="s">
        <v>3178</v>
      </c>
      <c r="F39" s="70" t="s">
        <v>2997</v>
      </c>
      <c r="G39" s="70" t="s">
        <v>7785</v>
      </c>
      <c r="H39" s="300" t="str">
        <f t="shared" si="1"/>
        <v>Capra pyrenaica</v>
      </c>
      <c r="I39" s="85">
        <f t="shared" si="0"/>
        <v>4.6989700043360187</v>
      </c>
      <c r="J39" s="85">
        <v>50000</v>
      </c>
      <c r="K39" s="131" t="s">
        <v>6592</v>
      </c>
      <c r="L39" s="60">
        <v>134</v>
      </c>
      <c r="M39" s="33" t="s">
        <v>6392</v>
      </c>
      <c r="N39" s="47"/>
      <c r="Q39" s="12"/>
      <c r="R39" s="12"/>
    </row>
    <row r="40" spans="1:28" ht="14" x14ac:dyDescent="0.15">
      <c r="A40" s="70" t="s">
        <v>2479</v>
      </c>
      <c r="B40" s="82"/>
      <c r="C40" s="70" t="s">
        <v>3636</v>
      </c>
      <c r="D40" s="70" t="s">
        <v>2837</v>
      </c>
      <c r="E40" s="70" t="s">
        <v>3178</v>
      </c>
      <c r="F40" s="70" t="s">
        <v>2997</v>
      </c>
      <c r="G40" s="70" t="s">
        <v>7949</v>
      </c>
      <c r="H40" s="300" t="str">
        <f t="shared" si="1"/>
        <v>Capra sibirica</v>
      </c>
      <c r="I40" s="85">
        <f t="shared" si="0"/>
        <v>5.1139433523068369</v>
      </c>
      <c r="J40" s="85">
        <v>130000</v>
      </c>
      <c r="K40" s="131" t="s">
        <v>3177</v>
      </c>
      <c r="L40" s="63">
        <v>104</v>
      </c>
    </row>
    <row r="41" spans="1:28" ht="14" x14ac:dyDescent="0.15">
      <c r="A41" s="70" t="s">
        <v>2479</v>
      </c>
      <c r="B41" s="82"/>
      <c r="C41" s="70" t="s">
        <v>3636</v>
      </c>
      <c r="D41" s="70" t="s">
        <v>2837</v>
      </c>
      <c r="E41" s="70" t="s">
        <v>3724</v>
      </c>
      <c r="F41" s="70" t="s">
        <v>5765</v>
      </c>
      <c r="G41" s="70" t="s">
        <v>6957</v>
      </c>
      <c r="H41" s="300" t="str">
        <f t="shared" si="1"/>
        <v>Capreolus capreolus</v>
      </c>
      <c r="I41" s="85">
        <f t="shared" si="0"/>
        <v>4.3521825181113627</v>
      </c>
      <c r="J41" s="85">
        <v>22500</v>
      </c>
      <c r="K41" s="131" t="s">
        <v>6485</v>
      </c>
      <c r="L41" s="60">
        <v>68</v>
      </c>
    </row>
    <row r="42" spans="1:28" s="189" customFormat="1" ht="14" x14ac:dyDescent="0.15">
      <c r="A42" s="83" t="s">
        <v>2479</v>
      </c>
      <c r="B42" s="82"/>
      <c r="C42" s="70" t="s">
        <v>3636</v>
      </c>
      <c r="D42" s="70" t="s">
        <v>2837</v>
      </c>
      <c r="E42" s="70" t="s">
        <v>3724</v>
      </c>
      <c r="F42" s="70" t="s">
        <v>5765</v>
      </c>
      <c r="G42" s="70" t="s">
        <v>1911</v>
      </c>
      <c r="H42" s="300" t="str">
        <f t="shared" si="1"/>
        <v>Capreolus pygargus</v>
      </c>
      <c r="I42" s="85">
        <f t="shared" si="0"/>
        <v>4.641</v>
      </c>
      <c r="J42" s="85">
        <v>43752.210515825202</v>
      </c>
      <c r="K42" s="131" t="s">
        <v>3177</v>
      </c>
      <c r="L42" s="60">
        <v>165</v>
      </c>
      <c r="M42" s="33"/>
      <c r="N42" s="37"/>
      <c r="O42" s="37"/>
      <c r="P42" s="37"/>
      <c r="Q42" s="3"/>
      <c r="R42" s="3"/>
      <c r="S42" s="3"/>
      <c r="T42" s="3"/>
      <c r="U42" s="3"/>
      <c r="V42" s="3"/>
      <c r="W42" s="3"/>
      <c r="X42" s="3"/>
      <c r="Y42" s="3"/>
      <c r="Z42" s="4"/>
      <c r="AA42"/>
      <c r="AB42"/>
    </row>
    <row r="43" spans="1:28" s="189" customFormat="1" ht="28" x14ac:dyDescent="0.15">
      <c r="A43" s="70" t="s">
        <v>7029</v>
      </c>
      <c r="B43" s="82"/>
      <c r="C43" s="70" t="s">
        <v>3636</v>
      </c>
      <c r="D43" s="70" t="s">
        <v>2837</v>
      </c>
      <c r="E43" s="70" t="s">
        <v>4379</v>
      </c>
      <c r="F43" s="70" t="s">
        <v>4215</v>
      </c>
      <c r="G43" s="70" t="s">
        <v>4216</v>
      </c>
      <c r="H43" s="300" t="str">
        <f t="shared" si="1"/>
        <v>Catagonus wagneri</v>
      </c>
      <c r="I43" s="85">
        <f t="shared" si="0"/>
        <v>4.5510400000000004</v>
      </c>
      <c r="J43" s="85">
        <v>35566.407493235864</v>
      </c>
      <c r="K43" s="131" t="s">
        <v>6676</v>
      </c>
      <c r="L43" s="63">
        <v>60</v>
      </c>
      <c r="M43" s="49" t="s">
        <v>6390</v>
      </c>
      <c r="N43" s="37"/>
      <c r="O43" s="37"/>
      <c r="P43" s="37"/>
      <c r="Q43" s="3"/>
      <c r="R43" s="3"/>
      <c r="S43" s="3"/>
      <c r="T43" s="3"/>
      <c r="U43" s="3"/>
      <c r="V43" s="3"/>
      <c r="W43" s="3"/>
      <c r="X43" s="3"/>
      <c r="Y43" s="3"/>
      <c r="Z43" s="4"/>
      <c r="AA43"/>
      <c r="AB43"/>
    </row>
    <row r="44" spans="1:28" ht="14" x14ac:dyDescent="0.15">
      <c r="A44" s="70" t="s">
        <v>2633</v>
      </c>
      <c r="B44" s="82"/>
      <c r="C44" s="70" t="s">
        <v>3636</v>
      </c>
      <c r="D44" s="70" t="s">
        <v>2837</v>
      </c>
      <c r="E44" s="70" t="s">
        <v>3178</v>
      </c>
      <c r="F44" s="70" t="s">
        <v>2999</v>
      </c>
      <c r="G44" s="70" t="s">
        <v>3000</v>
      </c>
      <c r="H44" s="300" t="str">
        <f t="shared" si="1"/>
        <v>Cephalophus adersi</v>
      </c>
      <c r="I44" s="85">
        <f t="shared" si="0"/>
        <v>3.9661400000000011</v>
      </c>
      <c r="J44" s="85">
        <v>9249.9630946172765</v>
      </c>
      <c r="K44" s="131" t="s">
        <v>6817</v>
      </c>
      <c r="L44" s="60" t="s">
        <v>2686</v>
      </c>
      <c r="M44" s="49" t="s">
        <v>6390</v>
      </c>
    </row>
    <row r="45" spans="1:28" ht="14" x14ac:dyDescent="0.15">
      <c r="A45" s="70" t="s">
        <v>2633</v>
      </c>
      <c r="B45" s="82"/>
      <c r="C45" s="70" t="s">
        <v>3636</v>
      </c>
      <c r="D45" s="70" t="s">
        <v>2837</v>
      </c>
      <c r="E45" s="70" t="s">
        <v>3178</v>
      </c>
      <c r="F45" s="70" t="s">
        <v>2999</v>
      </c>
      <c r="G45" s="70" t="s">
        <v>3448</v>
      </c>
      <c r="H45" s="300" t="str">
        <f t="shared" si="1"/>
        <v>Cephalophus callipygus</v>
      </c>
      <c r="I45" s="85">
        <f t="shared" si="0"/>
        <v>4.26126</v>
      </c>
      <c r="J45" s="85">
        <v>18249.879447489526</v>
      </c>
      <c r="K45" s="131" t="s">
        <v>6817</v>
      </c>
      <c r="L45" s="60" t="s">
        <v>2686</v>
      </c>
      <c r="M45" s="49" t="s">
        <v>6392</v>
      </c>
    </row>
    <row r="46" spans="1:28" ht="14" x14ac:dyDescent="0.15">
      <c r="A46" s="70" t="s">
        <v>2633</v>
      </c>
      <c r="B46" s="82"/>
      <c r="C46" s="70" t="s">
        <v>3636</v>
      </c>
      <c r="D46" s="70" t="s">
        <v>2837</v>
      </c>
      <c r="E46" s="70" t="s">
        <v>3178</v>
      </c>
      <c r="F46" s="70" t="s">
        <v>2999</v>
      </c>
      <c r="G46" s="70" t="s">
        <v>3449</v>
      </c>
      <c r="H46" s="300" t="str">
        <f t="shared" si="1"/>
        <v>Cephalophus dorsalis</v>
      </c>
      <c r="I46" s="85">
        <f t="shared" si="0"/>
        <v>4.3010300000000008</v>
      </c>
      <c r="J46" s="85">
        <v>20000.000199681075</v>
      </c>
      <c r="K46" s="131" t="s">
        <v>6817</v>
      </c>
      <c r="L46" s="60">
        <v>60</v>
      </c>
      <c r="M46" s="49" t="s">
        <v>6392</v>
      </c>
    </row>
    <row r="47" spans="1:28" ht="14" x14ac:dyDescent="0.15">
      <c r="A47" s="70" t="s">
        <v>2633</v>
      </c>
      <c r="B47" s="82"/>
      <c r="C47" s="70" t="s">
        <v>3636</v>
      </c>
      <c r="D47" s="70" t="s">
        <v>2837</v>
      </c>
      <c r="E47" s="70" t="s">
        <v>3178</v>
      </c>
      <c r="F47" s="70" t="s">
        <v>2999</v>
      </c>
      <c r="G47" s="70" t="s">
        <v>4118</v>
      </c>
      <c r="H47" s="300" t="str">
        <f t="shared" si="1"/>
        <v>Cephalophus harveyi</v>
      </c>
      <c r="I47" s="85">
        <f t="shared" si="0"/>
        <v>4.1613700000000007</v>
      </c>
      <c r="J47" s="85">
        <v>14500.066700500938</v>
      </c>
      <c r="K47" s="131" t="s">
        <v>6817</v>
      </c>
      <c r="L47" s="60" t="s">
        <v>2686</v>
      </c>
      <c r="M47" s="49" t="s">
        <v>6392</v>
      </c>
    </row>
    <row r="48" spans="1:28" ht="14" x14ac:dyDescent="0.15">
      <c r="A48" s="70" t="s">
        <v>2633</v>
      </c>
      <c r="B48" s="82"/>
      <c r="C48" s="70" t="s">
        <v>3636</v>
      </c>
      <c r="D48" s="70" t="s">
        <v>2837</v>
      </c>
      <c r="E48" s="70" t="s">
        <v>3178</v>
      </c>
      <c r="F48" s="70" t="s">
        <v>2999</v>
      </c>
      <c r="G48" s="70" t="s">
        <v>3863</v>
      </c>
      <c r="H48" s="300" t="str">
        <f t="shared" si="1"/>
        <v>Cephalophus jentinki</v>
      </c>
      <c r="I48" s="85">
        <f t="shared" si="0"/>
        <v>4.8451000000000004</v>
      </c>
      <c r="J48" s="85">
        <v>70000.315913089813</v>
      </c>
      <c r="K48" s="131" t="s">
        <v>6817</v>
      </c>
      <c r="L48" s="60">
        <v>65</v>
      </c>
      <c r="M48" s="49" t="s">
        <v>6728</v>
      </c>
    </row>
    <row r="49" spans="1:28" ht="28" x14ac:dyDescent="0.15">
      <c r="A49" s="70" t="s">
        <v>2633</v>
      </c>
      <c r="B49" s="82"/>
      <c r="C49" s="70" t="s">
        <v>3636</v>
      </c>
      <c r="D49" s="70" t="s">
        <v>2837</v>
      </c>
      <c r="E49" s="70" t="s">
        <v>3178</v>
      </c>
      <c r="F49" s="70" t="s">
        <v>2999</v>
      </c>
      <c r="G49" s="70" t="s">
        <v>3864</v>
      </c>
      <c r="H49" s="300" t="str">
        <f t="shared" si="1"/>
        <v>Cephalophus leucogaster</v>
      </c>
      <c r="I49" s="85">
        <f t="shared" si="0"/>
        <v>4.1038000000000006</v>
      </c>
      <c r="J49" s="85">
        <v>12699.891189181128</v>
      </c>
      <c r="K49" s="131" t="s">
        <v>6817</v>
      </c>
      <c r="L49" s="60">
        <v>60</v>
      </c>
      <c r="M49" s="49" t="s">
        <v>6392</v>
      </c>
    </row>
    <row r="50" spans="1:28" ht="14" x14ac:dyDescent="0.15">
      <c r="A50" s="70" t="s">
        <v>2633</v>
      </c>
      <c r="B50" s="82"/>
      <c r="C50" s="70" t="s">
        <v>3636</v>
      </c>
      <c r="D50" s="70" t="s">
        <v>2837</v>
      </c>
      <c r="E50" s="70" t="s">
        <v>3178</v>
      </c>
      <c r="F50" s="70" t="s">
        <v>2999</v>
      </c>
      <c r="G50" s="70" t="s">
        <v>3865</v>
      </c>
      <c r="H50" s="300" t="str">
        <f t="shared" si="1"/>
        <v>Cephalophus maxwellii</v>
      </c>
      <c r="I50" s="85">
        <f t="shared" si="0"/>
        <v>4.0791800000000009</v>
      </c>
      <c r="J50" s="85">
        <v>11999.965570481174</v>
      </c>
      <c r="K50" s="131" t="s">
        <v>6522</v>
      </c>
      <c r="L50" s="60" t="s">
        <v>2686</v>
      </c>
      <c r="M50" s="49" t="s">
        <v>6392</v>
      </c>
    </row>
    <row r="51" spans="1:28" s="13" customFormat="1" ht="14" x14ac:dyDescent="0.15">
      <c r="A51" s="70" t="s">
        <v>2633</v>
      </c>
      <c r="B51" s="82"/>
      <c r="C51" s="70" t="s">
        <v>3636</v>
      </c>
      <c r="D51" s="70" t="s">
        <v>2837</v>
      </c>
      <c r="E51" s="70" t="s">
        <v>3178</v>
      </c>
      <c r="F51" s="70" t="s">
        <v>2999</v>
      </c>
      <c r="G51" s="70" t="s">
        <v>3866</v>
      </c>
      <c r="H51" s="300" t="str">
        <f t="shared" si="1"/>
        <v>Cephalophus monticola</v>
      </c>
      <c r="I51" s="85">
        <f t="shared" si="0"/>
        <v>3.7958799999999999</v>
      </c>
      <c r="J51" s="85">
        <v>6249.9997503986979</v>
      </c>
      <c r="K51" s="131" t="s">
        <v>3177</v>
      </c>
      <c r="L51" s="60">
        <v>60</v>
      </c>
      <c r="M51" s="49"/>
      <c r="N51" s="37"/>
      <c r="O51" s="37"/>
      <c r="P51" s="37"/>
      <c r="Q51" s="3"/>
      <c r="R51" s="3"/>
      <c r="S51" s="3"/>
      <c r="T51" s="3"/>
      <c r="U51" s="3"/>
      <c r="V51" s="3"/>
      <c r="W51" s="3"/>
      <c r="X51" s="3"/>
      <c r="Y51" s="3"/>
      <c r="Z51" s="4"/>
      <c r="AA51"/>
      <c r="AB51"/>
    </row>
    <row r="52" spans="1:28" ht="28" x14ac:dyDescent="0.15">
      <c r="A52" s="70" t="s">
        <v>2633</v>
      </c>
      <c r="B52" s="82"/>
      <c r="C52" s="70" t="s">
        <v>3636</v>
      </c>
      <c r="D52" s="70" t="s">
        <v>2837</v>
      </c>
      <c r="E52" s="70" t="s">
        <v>3178</v>
      </c>
      <c r="F52" s="70" t="s">
        <v>2999</v>
      </c>
      <c r="G52" s="70" t="s">
        <v>3455</v>
      </c>
      <c r="H52" s="300" t="str">
        <f t="shared" si="1"/>
        <v>Cephalophus natalensis</v>
      </c>
      <c r="I52" s="85">
        <f t="shared" si="0"/>
        <v>4.0791800000000009</v>
      </c>
      <c r="J52" s="85">
        <v>11999.965570481174</v>
      </c>
      <c r="K52" s="131" t="s">
        <v>6817</v>
      </c>
      <c r="L52" s="60">
        <v>60</v>
      </c>
      <c r="M52" s="49" t="s">
        <v>6392</v>
      </c>
    </row>
    <row r="53" spans="1:28" s="13" customFormat="1" ht="14" x14ac:dyDescent="0.15">
      <c r="A53" s="70" t="s">
        <v>2633</v>
      </c>
      <c r="B53" s="82"/>
      <c r="C53" s="70" t="s">
        <v>3636</v>
      </c>
      <c r="D53" s="70" t="s">
        <v>2837</v>
      </c>
      <c r="E53" s="70" t="s">
        <v>3178</v>
      </c>
      <c r="F53" s="70" t="s">
        <v>2999</v>
      </c>
      <c r="G53" s="70" t="s">
        <v>3656</v>
      </c>
      <c r="H53" s="300" t="str">
        <f t="shared" si="1"/>
        <v>Cephalophus niger</v>
      </c>
      <c r="I53" s="85">
        <f t="shared" si="0"/>
        <v>4.3096300000000012</v>
      </c>
      <c r="J53" s="85">
        <v>20399.992135549033</v>
      </c>
      <c r="K53" s="131" t="s">
        <v>6522</v>
      </c>
      <c r="L53" s="60">
        <v>60</v>
      </c>
      <c r="M53" s="49" t="s">
        <v>6392</v>
      </c>
      <c r="N53" s="37"/>
      <c r="O53" s="37"/>
      <c r="P53" s="37"/>
      <c r="Q53" s="3"/>
      <c r="R53" s="3"/>
      <c r="S53" s="3"/>
      <c r="T53" s="3"/>
      <c r="U53" s="3"/>
      <c r="V53" s="3"/>
      <c r="W53" s="3"/>
      <c r="X53" s="3"/>
      <c r="Y53" s="3"/>
      <c r="Z53" s="4"/>
      <c r="AA53"/>
      <c r="AB53"/>
    </row>
    <row r="54" spans="1:28" ht="14" x14ac:dyDescent="0.15">
      <c r="A54" s="70" t="s">
        <v>2633</v>
      </c>
      <c r="B54" s="82"/>
      <c r="C54" s="70" t="s">
        <v>3636</v>
      </c>
      <c r="D54" s="70" t="s">
        <v>2837</v>
      </c>
      <c r="E54" s="70" t="s">
        <v>3178</v>
      </c>
      <c r="F54" s="70" t="s">
        <v>2999</v>
      </c>
      <c r="G54" s="70" t="s">
        <v>3657</v>
      </c>
      <c r="H54" s="300" t="str">
        <f t="shared" si="1"/>
        <v>Cephalophus nigrifrons</v>
      </c>
      <c r="I54" s="85">
        <f t="shared" si="0"/>
        <v>4.1430100000000003</v>
      </c>
      <c r="J54" s="85">
        <v>13899.846364239125</v>
      </c>
      <c r="K54" s="131" t="s">
        <v>6817</v>
      </c>
      <c r="L54" s="60">
        <v>60</v>
      </c>
      <c r="M54" s="49" t="s">
        <v>6392</v>
      </c>
    </row>
    <row r="55" spans="1:28" ht="14" x14ac:dyDescent="0.15">
      <c r="A55" s="70" t="s">
        <v>2633</v>
      </c>
      <c r="B55" s="82"/>
      <c r="C55" s="70" t="s">
        <v>3636</v>
      </c>
      <c r="D55" s="70" t="s">
        <v>2837</v>
      </c>
      <c r="E55" s="70" t="s">
        <v>3178</v>
      </c>
      <c r="F55" s="70" t="s">
        <v>2999</v>
      </c>
      <c r="G55" s="70" t="s">
        <v>3658</v>
      </c>
      <c r="H55" s="300" t="str">
        <f t="shared" si="1"/>
        <v>Cephalophus ogilbyi</v>
      </c>
      <c r="I55" s="85">
        <f t="shared" si="0"/>
        <v>4.3010300000000008</v>
      </c>
      <c r="J55" s="85">
        <v>20000.000199681075</v>
      </c>
      <c r="K55" s="131" t="s">
        <v>6817</v>
      </c>
      <c r="L55" s="60" t="s">
        <v>2686</v>
      </c>
      <c r="M55" s="49" t="s">
        <v>6392</v>
      </c>
    </row>
    <row r="56" spans="1:28" ht="14" x14ac:dyDescent="0.15">
      <c r="A56" s="70" t="s">
        <v>2633</v>
      </c>
      <c r="B56" s="82"/>
      <c r="C56" s="70" t="s">
        <v>3636</v>
      </c>
      <c r="D56" s="70" t="s">
        <v>2837</v>
      </c>
      <c r="E56" s="70" t="s">
        <v>3178</v>
      </c>
      <c r="F56" s="70" t="s">
        <v>2999</v>
      </c>
      <c r="G56" s="70" t="s">
        <v>3420</v>
      </c>
      <c r="H56" s="300" t="str">
        <f t="shared" si="1"/>
        <v>Cephalophus rubidus</v>
      </c>
      <c r="I56" s="85">
        <f t="shared" si="0"/>
        <v>4.1760900000000003</v>
      </c>
      <c r="J56" s="85">
        <v>14999.956513820405</v>
      </c>
      <c r="K56" s="131" t="s">
        <v>3177</v>
      </c>
      <c r="L56" s="60">
        <v>60</v>
      </c>
    </row>
    <row r="57" spans="1:28" ht="14" x14ac:dyDescent="0.15">
      <c r="A57" s="70" t="s">
        <v>2633</v>
      </c>
      <c r="B57" s="82"/>
      <c r="C57" s="70" t="s">
        <v>3636</v>
      </c>
      <c r="D57" s="70" t="s">
        <v>2837</v>
      </c>
      <c r="E57" s="70" t="s">
        <v>3178</v>
      </c>
      <c r="F57" s="70" t="s">
        <v>2999</v>
      </c>
      <c r="G57" s="70" t="s">
        <v>3894</v>
      </c>
      <c r="H57" s="300" t="str">
        <f t="shared" si="1"/>
        <v>Cephalophus rufilatus</v>
      </c>
      <c r="I57" s="85">
        <f t="shared" si="0"/>
        <v>4.0791800000000009</v>
      </c>
      <c r="J57" s="85">
        <v>11999.965570481174</v>
      </c>
      <c r="K57" s="131" t="s">
        <v>6522</v>
      </c>
      <c r="L57" s="60" t="s">
        <v>2686</v>
      </c>
      <c r="M57" s="49" t="s">
        <v>6392</v>
      </c>
    </row>
    <row r="58" spans="1:28" ht="14" x14ac:dyDescent="0.15">
      <c r="A58" s="70" t="s">
        <v>2633</v>
      </c>
      <c r="B58" s="82"/>
      <c r="C58" s="70" t="s">
        <v>3636</v>
      </c>
      <c r="D58" s="70" t="s">
        <v>2837</v>
      </c>
      <c r="E58" s="70" t="s">
        <v>3178</v>
      </c>
      <c r="F58" s="70" t="s">
        <v>2999</v>
      </c>
      <c r="G58" s="70" t="s">
        <v>3895</v>
      </c>
      <c r="H58" s="300" t="str">
        <f t="shared" si="1"/>
        <v>Cephalophus silvicultor</v>
      </c>
      <c r="I58" s="85">
        <f t="shared" si="0"/>
        <v>4.8603399999999999</v>
      </c>
      <c r="J58" s="85">
        <v>72500.332778657481</v>
      </c>
      <c r="K58" s="131" t="s">
        <v>6817</v>
      </c>
      <c r="L58" s="60">
        <v>60</v>
      </c>
      <c r="M58" s="49" t="s">
        <v>6392</v>
      </c>
    </row>
    <row r="59" spans="1:28" ht="28" x14ac:dyDescent="0.15">
      <c r="A59" s="70" t="s">
        <v>2633</v>
      </c>
      <c r="B59" s="82"/>
      <c r="C59" s="70" t="s">
        <v>3636</v>
      </c>
      <c r="D59" s="70" t="s">
        <v>2837</v>
      </c>
      <c r="E59" s="70" t="s">
        <v>3178</v>
      </c>
      <c r="F59" s="70" t="s">
        <v>2999</v>
      </c>
      <c r="G59" s="70" t="s">
        <v>3896</v>
      </c>
      <c r="H59" s="300" t="str">
        <f t="shared" si="1"/>
        <v>Cephalophus spadix</v>
      </c>
      <c r="I59" s="85">
        <f t="shared" si="0"/>
        <v>4.748190000000001</v>
      </c>
      <c r="J59" s="85">
        <v>56000.254407800254</v>
      </c>
      <c r="K59" s="131" t="s">
        <v>6853</v>
      </c>
      <c r="L59" s="60" t="s">
        <v>2686</v>
      </c>
      <c r="M59" s="49" t="s">
        <v>6392</v>
      </c>
    </row>
    <row r="60" spans="1:28" ht="14" x14ac:dyDescent="0.15">
      <c r="A60" s="70" t="s">
        <v>2633</v>
      </c>
      <c r="B60" s="93" t="s">
        <v>5854</v>
      </c>
      <c r="C60" s="70" t="s">
        <v>3636</v>
      </c>
      <c r="D60" s="70" t="s">
        <v>2837</v>
      </c>
      <c r="E60" s="70" t="s">
        <v>3178</v>
      </c>
      <c r="F60" s="70" t="s">
        <v>2999</v>
      </c>
      <c r="G60" s="70" t="s">
        <v>5948</v>
      </c>
      <c r="H60" s="300" t="str">
        <f t="shared" si="1"/>
        <v>Cephalophus weynsi</v>
      </c>
      <c r="I60" s="94">
        <f t="shared" si="0"/>
        <v>4.2304489213782741</v>
      </c>
      <c r="J60" s="85">
        <f>AVERAGE(15000,19000)</f>
        <v>17000</v>
      </c>
      <c r="K60" s="131" t="s">
        <v>6817</v>
      </c>
      <c r="L60" s="60">
        <v>164</v>
      </c>
      <c r="M60" s="33" t="s">
        <v>6392</v>
      </c>
    </row>
    <row r="61" spans="1:28" ht="14" x14ac:dyDescent="0.15">
      <c r="A61" s="70" t="s">
        <v>2633</v>
      </c>
      <c r="B61" s="82"/>
      <c r="C61" s="70" t="s">
        <v>3636</v>
      </c>
      <c r="D61" s="70" t="s">
        <v>2837</v>
      </c>
      <c r="E61" s="70" t="s">
        <v>3178</v>
      </c>
      <c r="F61" s="70" t="s">
        <v>2999</v>
      </c>
      <c r="G61" s="70" t="s">
        <v>3897</v>
      </c>
      <c r="H61" s="300" t="str">
        <f t="shared" si="1"/>
        <v>Cephalophus zebra</v>
      </c>
      <c r="I61" s="85">
        <f t="shared" si="0"/>
        <v>4.2430400000000006</v>
      </c>
      <c r="J61" s="85">
        <v>17500.078628829033</v>
      </c>
      <c r="K61" s="131" t="s">
        <v>6817</v>
      </c>
      <c r="L61" s="60">
        <v>65</v>
      </c>
      <c r="M61" s="49" t="s">
        <v>6728</v>
      </c>
    </row>
    <row r="62" spans="1:28" ht="28" x14ac:dyDescent="0.15">
      <c r="A62" s="70" t="s">
        <v>2479</v>
      </c>
      <c r="B62" s="82"/>
      <c r="C62" s="70" t="s">
        <v>3636</v>
      </c>
      <c r="D62" s="70" t="s">
        <v>2837</v>
      </c>
      <c r="E62" s="70" t="s">
        <v>3724</v>
      </c>
      <c r="F62" s="70" t="s">
        <v>3725</v>
      </c>
      <c r="G62" s="70" t="s">
        <v>5766</v>
      </c>
      <c r="H62" s="300" t="str">
        <f t="shared" si="1"/>
        <v>Cervus albirostris</v>
      </c>
      <c r="I62" s="85">
        <f t="shared" si="0"/>
        <v>5.0969100130080562</v>
      </c>
      <c r="J62" s="85">
        <v>125000</v>
      </c>
      <c r="K62" s="131" t="s">
        <v>1231</v>
      </c>
      <c r="L62" s="63">
        <v>68</v>
      </c>
      <c r="M62" s="49" t="s">
        <v>6728</v>
      </c>
    </row>
    <row r="63" spans="1:28" ht="14" x14ac:dyDescent="0.15">
      <c r="A63" s="62" t="s">
        <v>2481</v>
      </c>
      <c r="B63" s="97" t="s">
        <v>5852</v>
      </c>
      <c r="C63" s="70" t="s">
        <v>3636</v>
      </c>
      <c r="D63" s="70" t="s">
        <v>2837</v>
      </c>
      <c r="E63" s="70" t="s">
        <v>3724</v>
      </c>
      <c r="F63" s="70" t="s">
        <v>3725</v>
      </c>
      <c r="G63" s="70" t="s">
        <v>5249</v>
      </c>
      <c r="H63" s="300" t="str">
        <f t="shared" si="1"/>
        <v>Cervus alfredi</v>
      </c>
      <c r="I63" s="85">
        <f t="shared" ref="I63:I121" si="2">LOG(J63)</f>
        <v>4.6766936096248664</v>
      </c>
      <c r="J63" s="85">
        <f>AVERAGE(36000, 59000)</f>
        <v>47500</v>
      </c>
      <c r="K63" s="131" t="s">
        <v>3177</v>
      </c>
      <c r="L63" s="60">
        <v>202</v>
      </c>
      <c r="M63" s="33" t="s">
        <v>6390</v>
      </c>
    </row>
    <row r="64" spans="1:28" ht="14" x14ac:dyDescent="0.15">
      <c r="A64" s="70" t="s">
        <v>2479</v>
      </c>
      <c r="B64" s="82"/>
      <c r="C64" s="70" t="s">
        <v>3636</v>
      </c>
      <c r="D64" s="70" t="s">
        <v>2837</v>
      </c>
      <c r="E64" s="70" t="s">
        <v>3724</v>
      </c>
      <c r="F64" s="70" t="s">
        <v>3725</v>
      </c>
      <c r="G64" s="70" t="s">
        <v>5882</v>
      </c>
      <c r="H64" s="300" t="str">
        <f t="shared" si="1"/>
        <v>Cervus duvaucelii</v>
      </c>
      <c r="I64" s="85">
        <f t="shared" si="2"/>
        <v>5.1553360374650614</v>
      </c>
      <c r="J64" s="85">
        <v>143000</v>
      </c>
      <c r="K64" s="131" t="s">
        <v>6817</v>
      </c>
      <c r="L64" s="63">
        <v>68</v>
      </c>
      <c r="M64" s="49" t="s">
        <v>6728</v>
      </c>
    </row>
    <row r="65" spans="1:28" ht="14" x14ac:dyDescent="0.15">
      <c r="A65" s="285" t="s">
        <v>8059</v>
      </c>
      <c r="B65" s="82"/>
      <c r="C65" s="285" t="s">
        <v>3636</v>
      </c>
      <c r="D65" s="285" t="s">
        <v>2837</v>
      </c>
      <c r="E65" s="285" t="s">
        <v>3724</v>
      </c>
      <c r="F65" s="285" t="s">
        <v>3725</v>
      </c>
      <c r="G65" s="285" t="s">
        <v>3682</v>
      </c>
      <c r="H65" s="300" t="str">
        <f t="shared" si="1"/>
        <v>Cervus elaphus</v>
      </c>
      <c r="I65" s="85">
        <v>5.2511190769022225</v>
      </c>
      <c r="J65" s="85">
        <v>180187.80378356134</v>
      </c>
      <c r="K65" s="131"/>
      <c r="L65" s="298" t="s">
        <v>8060</v>
      </c>
    </row>
    <row r="66" spans="1:28" ht="14" x14ac:dyDescent="0.15">
      <c r="A66" s="70" t="s">
        <v>2479</v>
      </c>
      <c r="B66" s="82"/>
      <c r="C66" s="70" t="s">
        <v>3636</v>
      </c>
      <c r="D66" s="70" t="s">
        <v>2837</v>
      </c>
      <c r="E66" s="70" t="s">
        <v>3724</v>
      </c>
      <c r="F66" s="70" t="s">
        <v>3725</v>
      </c>
      <c r="G66" s="70" t="s">
        <v>5767</v>
      </c>
      <c r="H66" s="300" t="str">
        <f t="shared" si="1"/>
        <v>Cervus eldii</v>
      </c>
      <c r="I66" s="85">
        <f t="shared" si="2"/>
        <v>4.8633228601204559</v>
      </c>
      <c r="J66" s="85">
        <v>73000</v>
      </c>
      <c r="K66" s="131" t="s">
        <v>6817</v>
      </c>
      <c r="L66" s="60">
        <v>68</v>
      </c>
      <c r="M66" s="33" t="s">
        <v>6728</v>
      </c>
    </row>
    <row r="67" spans="1:28" ht="14" x14ac:dyDescent="0.15">
      <c r="A67" s="62" t="s">
        <v>2481</v>
      </c>
      <c r="B67" s="97" t="s">
        <v>5852</v>
      </c>
      <c r="C67" s="70" t="s">
        <v>3636</v>
      </c>
      <c r="D67" s="70" t="s">
        <v>2837</v>
      </c>
      <c r="E67" s="70" t="s">
        <v>3724</v>
      </c>
      <c r="F67" s="70" t="s">
        <v>3725</v>
      </c>
      <c r="G67" s="70" t="s">
        <v>5250</v>
      </c>
      <c r="H67" s="300" t="str">
        <f t="shared" si="1"/>
        <v>Cervus mariannus</v>
      </c>
      <c r="I67" s="85">
        <f t="shared" si="2"/>
        <v>4.6989700043360187</v>
      </c>
      <c r="J67" s="85">
        <v>50000</v>
      </c>
      <c r="K67" s="131" t="s">
        <v>6522</v>
      </c>
      <c r="L67" s="60">
        <v>136</v>
      </c>
      <c r="M67" s="33" t="s">
        <v>6727</v>
      </c>
    </row>
    <row r="68" spans="1:28" ht="14" x14ac:dyDescent="0.15">
      <c r="A68" s="70" t="s">
        <v>2479</v>
      </c>
      <c r="B68" s="82"/>
      <c r="C68" s="70" t="s">
        <v>3636</v>
      </c>
      <c r="D68" s="70" t="s">
        <v>2837</v>
      </c>
      <c r="E68" s="70" t="s">
        <v>3724</v>
      </c>
      <c r="F68" s="70" t="s">
        <v>3725</v>
      </c>
      <c r="G68" s="70" t="s">
        <v>5768</v>
      </c>
      <c r="H68" s="300" t="str">
        <f t="shared" si="1"/>
        <v>Cervus nippon</v>
      </c>
      <c r="I68" s="85">
        <f t="shared" si="2"/>
        <v>4.7242758696007892</v>
      </c>
      <c r="J68" s="85">
        <v>53000</v>
      </c>
      <c r="K68" s="131" t="s">
        <v>6485</v>
      </c>
      <c r="L68" s="60">
        <v>68</v>
      </c>
    </row>
    <row r="69" spans="1:28" ht="14" x14ac:dyDescent="0.15">
      <c r="A69" s="70" t="s">
        <v>2481</v>
      </c>
      <c r="B69" s="82" t="s">
        <v>2018</v>
      </c>
      <c r="C69" s="70" t="s">
        <v>3636</v>
      </c>
      <c r="D69" s="70" t="s">
        <v>2837</v>
      </c>
      <c r="E69" s="70" t="s">
        <v>3724</v>
      </c>
      <c r="F69" s="70" t="s">
        <v>3725</v>
      </c>
      <c r="G69" s="70" t="s">
        <v>3728</v>
      </c>
      <c r="H69" s="300" t="str">
        <f t="shared" ref="H69:H132" si="3">_xlfn.TEXTJOIN(" ",TRUE,F69,G69)</f>
        <v>Cervus timorensis</v>
      </c>
      <c r="I69" s="85">
        <f t="shared" si="2"/>
        <v>4.7993405494535821</v>
      </c>
      <c r="J69" s="85">
        <v>63000</v>
      </c>
      <c r="K69" s="131"/>
      <c r="L69" s="60" t="s">
        <v>1611</v>
      </c>
      <c r="M69" s="33"/>
    </row>
    <row r="70" spans="1:28" ht="14" x14ac:dyDescent="0.15">
      <c r="A70" s="285" t="s">
        <v>8057</v>
      </c>
      <c r="B70" s="302" t="s">
        <v>8055</v>
      </c>
      <c r="C70" s="285" t="s">
        <v>3636</v>
      </c>
      <c r="D70" s="285" t="s">
        <v>2837</v>
      </c>
      <c r="E70" s="285" t="s">
        <v>3724</v>
      </c>
      <c r="F70" s="285" t="s">
        <v>3725</v>
      </c>
      <c r="G70" s="285" t="s">
        <v>3471</v>
      </c>
      <c r="H70" s="300" t="str">
        <f t="shared" si="3"/>
        <v>Cervus unicolor</v>
      </c>
      <c r="I70" s="85">
        <v>5.2528946260223401</v>
      </c>
      <c r="J70" s="85">
        <v>180344.44444444447</v>
      </c>
      <c r="K70" s="131"/>
      <c r="L70" s="60">
        <v>59118132133</v>
      </c>
      <c r="M70" s="33"/>
    </row>
    <row r="71" spans="1:28" ht="14" x14ac:dyDescent="0.15">
      <c r="A71" s="70" t="s">
        <v>2633</v>
      </c>
      <c r="B71" s="82"/>
      <c r="C71" s="70" t="s">
        <v>3636</v>
      </c>
      <c r="D71" s="70" t="s">
        <v>2837</v>
      </c>
      <c r="E71" s="70" t="s">
        <v>3178</v>
      </c>
      <c r="F71" s="70" t="s">
        <v>4434</v>
      </c>
      <c r="G71" s="70" t="s">
        <v>6952</v>
      </c>
      <c r="H71" s="300" t="str">
        <f t="shared" si="3"/>
        <v>Connochaetes gnou</v>
      </c>
      <c r="I71" s="85">
        <f t="shared" si="2"/>
        <v>5.2552700000000012</v>
      </c>
      <c r="J71" s="85">
        <v>179998.96172455972</v>
      </c>
      <c r="K71" s="131" t="s">
        <v>6709</v>
      </c>
      <c r="L71" s="60">
        <v>60</v>
      </c>
      <c r="M71" s="49" t="s">
        <v>6392</v>
      </c>
    </row>
    <row r="72" spans="1:28" ht="28" x14ac:dyDescent="0.15">
      <c r="A72" s="70" t="s">
        <v>2633</v>
      </c>
      <c r="B72" s="82"/>
      <c r="C72" s="70" t="s">
        <v>3636</v>
      </c>
      <c r="D72" s="70" t="s">
        <v>2837</v>
      </c>
      <c r="E72" s="70" t="s">
        <v>3178</v>
      </c>
      <c r="F72" s="70" t="s">
        <v>4434</v>
      </c>
      <c r="G72" s="70" t="s">
        <v>6953</v>
      </c>
      <c r="H72" s="300" t="str">
        <f t="shared" si="3"/>
        <v>Connochaetes taurinus</v>
      </c>
      <c r="I72" s="85">
        <f t="shared" si="2"/>
        <v>5.2552700000000012</v>
      </c>
      <c r="J72" s="85">
        <v>179998.96172455972</v>
      </c>
      <c r="K72" s="131" t="s">
        <v>6710</v>
      </c>
      <c r="L72" s="60" t="s">
        <v>2686</v>
      </c>
      <c r="M72" s="49" t="s">
        <v>6392</v>
      </c>
      <c r="Q72" s="12"/>
      <c r="R72" s="12"/>
    </row>
    <row r="73" spans="1:28" ht="14" x14ac:dyDescent="0.15">
      <c r="A73" s="70" t="s">
        <v>2479</v>
      </c>
      <c r="B73" s="82"/>
      <c r="C73" s="70" t="s">
        <v>3636</v>
      </c>
      <c r="D73" s="70" t="s">
        <v>2837</v>
      </c>
      <c r="E73" s="70" t="s">
        <v>3724</v>
      </c>
      <c r="F73" s="70" t="s">
        <v>3685</v>
      </c>
      <c r="G73" s="70" t="s">
        <v>4708</v>
      </c>
      <c r="H73" s="300" t="str">
        <f t="shared" si="3"/>
        <v>Dama dama</v>
      </c>
      <c r="I73" s="85">
        <f t="shared" si="2"/>
        <v>4.7501225267834002</v>
      </c>
      <c r="J73" s="85">
        <f>AVERAGE(72500, 40000)</f>
        <v>56250</v>
      </c>
      <c r="K73" s="131"/>
      <c r="L73" s="63">
        <v>111</v>
      </c>
      <c r="M73" s="33"/>
    </row>
    <row r="74" spans="1:28" ht="14" x14ac:dyDescent="0.15">
      <c r="A74" s="275" t="s">
        <v>2479</v>
      </c>
      <c r="B74" s="276"/>
      <c r="C74" s="275" t="s">
        <v>3636</v>
      </c>
      <c r="D74" s="275" t="s">
        <v>2837</v>
      </c>
      <c r="E74" s="275" t="s">
        <v>3724</v>
      </c>
      <c r="F74" s="275" t="s">
        <v>3685</v>
      </c>
      <c r="G74" s="275" t="s">
        <v>5684</v>
      </c>
      <c r="H74" s="300" t="str">
        <f t="shared" si="3"/>
        <v>Dama mesopotamica</v>
      </c>
      <c r="I74" s="277">
        <f t="shared" si="2"/>
        <v>4.860338006570994</v>
      </c>
      <c r="J74" s="277">
        <f>AVERAGE(50000, 95000)</f>
        <v>72500</v>
      </c>
      <c r="K74" s="278" t="s">
        <v>3177</v>
      </c>
      <c r="L74" s="279" t="s">
        <v>207</v>
      </c>
      <c r="M74" s="280"/>
      <c r="N74" s="281"/>
      <c r="O74" s="281"/>
      <c r="P74" s="281"/>
      <c r="Q74" s="282"/>
      <c r="R74" s="282"/>
      <c r="S74" s="282"/>
      <c r="T74" s="282"/>
      <c r="U74" s="282"/>
      <c r="V74" s="282"/>
      <c r="W74" s="282"/>
      <c r="X74" s="282"/>
      <c r="Y74" s="282"/>
      <c r="Z74" s="283"/>
      <c r="AA74" s="283"/>
      <c r="AB74" s="283"/>
    </row>
    <row r="75" spans="1:28" ht="42" x14ac:dyDescent="0.15">
      <c r="A75" s="70" t="s">
        <v>2633</v>
      </c>
      <c r="B75" s="82"/>
      <c r="C75" s="70" t="s">
        <v>3636</v>
      </c>
      <c r="D75" s="70" t="s">
        <v>2837</v>
      </c>
      <c r="E75" s="70" t="s">
        <v>3178</v>
      </c>
      <c r="F75" s="70" t="s">
        <v>6964</v>
      </c>
      <c r="G75" s="70" t="s">
        <v>6965</v>
      </c>
      <c r="H75" s="300" t="str">
        <f t="shared" si="3"/>
        <v>Damaliscus hunteri</v>
      </c>
      <c r="I75" s="85">
        <f t="shared" si="2"/>
        <v>4.9030900000000006</v>
      </c>
      <c r="J75" s="85">
        <v>80000.00239617264</v>
      </c>
      <c r="K75" s="131" t="s">
        <v>6726</v>
      </c>
      <c r="L75" s="60" t="s">
        <v>2686</v>
      </c>
      <c r="M75" s="49" t="s">
        <v>6809</v>
      </c>
    </row>
    <row r="76" spans="1:28" ht="56" x14ac:dyDescent="0.15">
      <c r="A76" s="70" t="s">
        <v>2633</v>
      </c>
      <c r="B76" s="82"/>
      <c r="C76" s="70" t="s">
        <v>3636</v>
      </c>
      <c r="D76" s="70" t="s">
        <v>2837</v>
      </c>
      <c r="E76" s="70" t="s">
        <v>3178</v>
      </c>
      <c r="F76" s="70" t="s">
        <v>6964</v>
      </c>
      <c r="G76" s="70" t="s">
        <v>4438</v>
      </c>
      <c r="H76" s="300" t="str">
        <f t="shared" si="3"/>
        <v>Damaliscus lunatus</v>
      </c>
      <c r="I76" s="85">
        <f t="shared" si="2"/>
        <v>5.1335400000000009</v>
      </c>
      <c r="J76" s="85">
        <v>136000.34184601295</v>
      </c>
      <c r="K76" s="131" t="s">
        <v>7291</v>
      </c>
      <c r="L76" s="60" t="s">
        <v>2686</v>
      </c>
      <c r="M76" s="49" t="s">
        <v>6392</v>
      </c>
    </row>
    <row r="77" spans="1:28" ht="28" x14ac:dyDescent="0.15">
      <c r="A77" s="70" t="s">
        <v>2633</v>
      </c>
      <c r="B77" s="82"/>
      <c r="C77" s="70" t="s">
        <v>3636</v>
      </c>
      <c r="D77" s="70" t="s">
        <v>2837</v>
      </c>
      <c r="E77" s="70" t="s">
        <v>3178</v>
      </c>
      <c r="F77" s="70" t="s">
        <v>6964</v>
      </c>
      <c r="G77" s="70" t="s">
        <v>1911</v>
      </c>
      <c r="H77" s="300" t="str">
        <f t="shared" si="3"/>
        <v>Damaliscus pygargus</v>
      </c>
      <c r="I77" s="85">
        <f t="shared" si="2"/>
        <v>5.008600171761918</v>
      </c>
      <c r="J77" s="85">
        <v>102000</v>
      </c>
      <c r="K77" s="131" t="s">
        <v>7292</v>
      </c>
      <c r="L77" s="66">
        <v>75</v>
      </c>
      <c r="M77" s="49" t="s">
        <v>6392</v>
      </c>
      <c r="Q77" s="12"/>
      <c r="R77" s="12"/>
    </row>
    <row r="78" spans="1:28" ht="14" x14ac:dyDescent="0.15">
      <c r="A78" s="70" t="s">
        <v>2633</v>
      </c>
      <c r="B78" s="82"/>
      <c r="C78" s="70" t="s">
        <v>3636</v>
      </c>
      <c r="D78" s="70" t="s">
        <v>2837</v>
      </c>
      <c r="E78" s="70" t="s">
        <v>3178</v>
      </c>
      <c r="F78" s="70" t="s">
        <v>1912</v>
      </c>
      <c r="G78" s="70" t="s">
        <v>1913</v>
      </c>
      <c r="H78" s="300" t="str">
        <f t="shared" si="3"/>
        <v>Dorcatragus megalotis</v>
      </c>
      <c r="I78" s="85">
        <f t="shared" si="2"/>
        <v>4.010720000000001</v>
      </c>
      <c r="J78" s="85">
        <v>10249.908771372877</v>
      </c>
      <c r="K78" s="131" t="s">
        <v>6391</v>
      </c>
      <c r="L78" s="60">
        <v>65</v>
      </c>
      <c r="M78" s="49" t="s">
        <v>6728</v>
      </c>
    </row>
    <row r="79" spans="1:28" ht="28" x14ac:dyDescent="0.15">
      <c r="A79" s="70" t="s">
        <v>2479</v>
      </c>
      <c r="B79" s="82"/>
      <c r="C79" s="70" t="s">
        <v>3636</v>
      </c>
      <c r="D79" s="70" t="s">
        <v>2837</v>
      </c>
      <c r="E79" s="70" t="s">
        <v>3724</v>
      </c>
      <c r="F79" s="70" t="s">
        <v>5884</v>
      </c>
      <c r="G79" s="70" t="s">
        <v>4908</v>
      </c>
      <c r="H79" s="300" t="str">
        <f t="shared" si="3"/>
        <v>Elaphodus cephalophus</v>
      </c>
      <c r="I79" s="85">
        <f t="shared" si="2"/>
        <v>4.5250448070368456</v>
      </c>
      <c r="J79" s="85">
        <v>33500</v>
      </c>
      <c r="K79" s="131" t="s">
        <v>6522</v>
      </c>
      <c r="L79" s="60">
        <v>68</v>
      </c>
      <c r="M79" s="33" t="s">
        <v>6727</v>
      </c>
    </row>
    <row r="80" spans="1:28" ht="14" x14ac:dyDescent="0.15">
      <c r="A80" s="70" t="s">
        <v>2479</v>
      </c>
      <c r="B80" s="82"/>
      <c r="C80" s="70" t="s">
        <v>3636</v>
      </c>
      <c r="D80" s="70" t="s">
        <v>2837</v>
      </c>
      <c r="E80" s="70" t="s">
        <v>3724</v>
      </c>
      <c r="F80" s="70" t="s">
        <v>4909</v>
      </c>
      <c r="G80" s="70" t="s">
        <v>4910</v>
      </c>
      <c r="H80" s="300" t="str">
        <f t="shared" si="3"/>
        <v>Elaphurus davidianus</v>
      </c>
      <c r="I80" s="85">
        <f t="shared" si="2"/>
        <v>5.173186268412274</v>
      </c>
      <c r="J80" s="85">
        <v>149000</v>
      </c>
      <c r="K80" s="131" t="s">
        <v>6485</v>
      </c>
      <c r="L80" s="60">
        <v>68</v>
      </c>
      <c r="M80" s="33" t="s">
        <v>6809</v>
      </c>
      <c r="S80" s="245"/>
      <c r="T80" s="245"/>
      <c r="U80" s="245"/>
      <c r="V80" s="245"/>
      <c r="W80" s="245"/>
      <c r="X80" s="245"/>
      <c r="Y80" s="245"/>
      <c r="Z80" s="246"/>
      <c r="AA80" s="244"/>
      <c r="AB80" s="244"/>
    </row>
    <row r="81" spans="1:28" ht="14" x14ac:dyDescent="0.15">
      <c r="A81" s="70" t="s">
        <v>2479</v>
      </c>
      <c r="B81" s="93" t="s">
        <v>5856</v>
      </c>
      <c r="C81" s="70" t="s">
        <v>3636</v>
      </c>
      <c r="D81" s="70" t="s">
        <v>2837</v>
      </c>
      <c r="E81" s="70" t="s">
        <v>3178</v>
      </c>
      <c r="F81" s="70" t="s">
        <v>1914</v>
      </c>
      <c r="G81" s="70" t="s">
        <v>5544</v>
      </c>
      <c r="H81" s="300" t="str">
        <f t="shared" si="3"/>
        <v>Gazella bennettii</v>
      </c>
      <c r="I81" s="85">
        <f t="shared" si="2"/>
        <v>4.2768446111454983</v>
      </c>
      <c r="J81" s="85">
        <f>AVERAGE((50*454), (35*454), (40*454))</f>
        <v>18916.666666666668</v>
      </c>
      <c r="K81" s="131" t="s">
        <v>6817</v>
      </c>
      <c r="L81" s="60">
        <v>133</v>
      </c>
      <c r="M81" s="33" t="s">
        <v>6392</v>
      </c>
    </row>
    <row r="82" spans="1:28" ht="14" x14ac:dyDescent="0.15">
      <c r="A82" s="70" t="s">
        <v>2633</v>
      </c>
      <c r="B82" s="82"/>
      <c r="C82" s="70" t="s">
        <v>3636</v>
      </c>
      <c r="D82" s="70" t="s">
        <v>2837</v>
      </c>
      <c r="E82" s="70" t="s">
        <v>3178</v>
      </c>
      <c r="F82" s="70" t="s">
        <v>1914</v>
      </c>
      <c r="G82" s="70" t="s">
        <v>4708</v>
      </c>
      <c r="H82" s="300" t="str">
        <f t="shared" si="3"/>
        <v>Gazella dama</v>
      </c>
      <c r="I82" s="85">
        <f t="shared" si="2"/>
        <v>4.8633199999999999</v>
      </c>
      <c r="J82" s="85">
        <v>72999.519247620075</v>
      </c>
      <c r="K82" s="131" t="s">
        <v>6817</v>
      </c>
      <c r="L82" s="60">
        <v>60</v>
      </c>
      <c r="M82" s="49" t="s">
        <v>6390</v>
      </c>
    </row>
    <row r="83" spans="1:28" ht="14" x14ac:dyDescent="0.15">
      <c r="A83" s="70" t="s">
        <v>2633</v>
      </c>
      <c r="B83" s="82"/>
      <c r="C83" s="70" t="s">
        <v>3636</v>
      </c>
      <c r="D83" s="70" t="s">
        <v>2837</v>
      </c>
      <c r="E83" s="70" t="s">
        <v>3178</v>
      </c>
      <c r="F83" s="70" t="s">
        <v>1914</v>
      </c>
      <c r="G83" s="70" t="s">
        <v>1907</v>
      </c>
      <c r="H83" s="300" t="str">
        <f t="shared" si="3"/>
        <v>Gazella dorcas</v>
      </c>
      <c r="I83" s="85">
        <f t="shared" si="2"/>
        <v>4.3617299999999997</v>
      </c>
      <c r="J83" s="85">
        <v>23000.114603619051</v>
      </c>
      <c r="K83" s="131" t="s">
        <v>6817</v>
      </c>
      <c r="L83" s="60">
        <v>65</v>
      </c>
      <c r="M83" s="49" t="s">
        <v>6728</v>
      </c>
      <c r="P83" s="49"/>
      <c r="S83" s="245"/>
      <c r="T83" s="245"/>
      <c r="U83" s="245"/>
      <c r="V83" s="245"/>
      <c r="W83" s="245"/>
      <c r="X83" s="245"/>
      <c r="Y83" s="245"/>
      <c r="Z83" s="246"/>
      <c r="AA83" s="246"/>
      <c r="AB83" s="246"/>
    </row>
    <row r="84" spans="1:28" ht="14" x14ac:dyDescent="0.15">
      <c r="A84" s="285" t="s">
        <v>8058</v>
      </c>
      <c r="B84" s="82"/>
      <c r="C84" s="285" t="s">
        <v>3636</v>
      </c>
      <c r="D84" s="285" t="s">
        <v>2837</v>
      </c>
      <c r="E84" s="285" t="s">
        <v>3178</v>
      </c>
      <c r="F84" s="285" t="s">
        <v>1914</v>
      </c>
      <c r="G84" s="285" t="s">
        <v>7014</v>
      </c>
      <c r="H84" s="300" t="str">
        <f t="shared" si="3"/>
        <v>Gazella gazella</v>
      </c>
      <c r="I84" s="85">
        <v>4.3569539180087968</v>
      </c>
      <c r="J84" s="85">
        <v>22749.934770825148</v>
      </c>
      <c r="K84" s="131"/>
      <c r="L84" s="301" t="s">
        <v>8053</v>
      </c>
      <c r="P84" s="49"/>
      <c r="S84" s="245"/>
      <c r="T84" s="245"/>
      <c r="U84" s="245"/>
      <c r="V84" s="245"/>
      <c r="W84" s="245"/>
      <c r="X84" s="245"/>
      <c r="Y84" s="245"/>
      <c r="Z84" s="246"/>
      <c r="AA84" s="246"/>
      <c r="AB84" s="246"/>
    </row>
    <row r="85" spans="1:28" ht="17" x14ac:dyDescent="0.2">
      <c r="A85" s="70" t="s">
        <v>2633</v>
      </c>
      <c r="B85" s="82"/>
      <c r="C85" s="70" t="s">
        <v>3636</v>
      </c>
      <c r="D85" s="70" t="s">
        <v>2837</v>
      </c>
      <c r="E85" s="70" t="s">
        <v>3178</v>
      </c>
      <c r="F85" s="70" t="s">
        <v>1914</v>
      </c>
      <c r="G85" s="70" t="s">
        <v>7015</v>
      </c>
      <c r="H85" s="300" t="str">
        <f t="shared" si="3"/>
        <v>Gazella granti</v>
      </c>
      <c r="I85" s="85">
        <f t="shared" si="2"/>
        <v>4.7403600000000008</v>
      </c>
      <c r="J85" s="85">
        <v>54999.659397640258</v>
      </c>
      <c r="K85" s="131" t="s">
        <v>6817</v>
      </c>
      <c r="L85" s="60" t="s">
        <v>2686</v>
      </c>
      <c r="M85" s="47" t="s">
        <v>6392</v>
      </c>
      <c r="S85" s="245"/>
      <c r="T85" s="245"/>
      <c r="U85" s="245"/>
      <c r="V85" s="245"/>
      <c r="W85" s="245"/>
      <c r="X85" s="245"/>
      <c r="Y85" s="245"/>
      <c r="Z85" s="246"/>
      <c r="AA85" s="246"/>
      <c r="AB85" s="246"/>
    </row>
    <row r="86" spans="1:28" ht="14" x14ac:dyDescent="0.15">
      <c r="A86" s="70" t="s">
        <v>2633</v>
      </c>
      <c r="B86" s="82"/>
      <c r="C86" s="70" t="s">
        <v>3636</v>
      </c>
      <c r="D86" s="70" t="s">
        <v>2837</v>
      </c>
      <c r="E86" s="70" t="s">
        <v>3178</v>
      </c>
      <c r="F86" s="70" t="s">
        <v>1914</v>
      </c>
      <c r="G86" s="70" t="s">
        <v>5533</v>
      </c>
      <c r="H86" s="300" t="str">
        <f t="shared" si="3"/>
        <v>Gazella leptoceros</v>
      </c>
      <c r="I86" s="85">
        <f t="shared" si="2"/>
        <v>4.3463529744506388</v>
      </c>
      <c r="J86" s="85">
        <v>22200</v>
      </c>
      <c r="K86" s="131" t="s">
        <v>6080</v>
      </c>
      <c r="L86" s="60">
        <v>75</v>
      </c>
      <c r="M86" s="49" t="s">
        <v>6390</v>
      </c>
    </row>
    <row r="87" spans="1:28" ht="14" x14ac:dyDescent="0.15">
      <c r="A87" s="70" t="s">
        <v>2633</v>
      </c>
      <c r="B87" s="82"/>
      <c r="C87" s="73" t="s">
        <v>3636</v>
      </c>
      <c r="D87" s="73" t="s">
        <v>2837</v>
      </c>
      <c r="E87" s="70" t="s">
        <v>3178</v>
      </c>
      <c r="F87" s="73" t="s">
        <v>1914</v>
      </c>
      <c r="G87" s="73" t="s">
        <v>1918</v>
      </c>
      <c r="H87" s="300" t="str">
        <f t="shared" si="3"/>
        <v>Gazella rufifrons</v>
      </c>
      <c r="I87" s="85">
        <f t="shared" si="2"/>
        <v>4.4313599999999997</v>
      </c>
      <c r="J87" s="95">
        <v>26999.76598401209</v>
      </c>
      <c r="K87" s="131" t="s">
        <v>6817</v>
      </c>
      <c r="L87" s="60">
        <v>60</v>
      </c>
      <c r="M87" s="49" t="s">
        <v>6728</v>
      </c>
      <c r="S87" s="187"/>
      <c r="T87" s="187"/>
      <c r="U87" s="187"/>
      <c r="V87" s="187"/>
      <c r="W87" s="187"/>
      <c r="X87" s="187"/>
      <c r="Y87" s="187"/>
      <c r="Z87" s="188"/>
      <c r="AA87" s="189"/>
      <c r="AB87" s="189"/>
    </row>
    <row r="88" spans="1:28" ht="28" x14ac:dyDescent="0.15">
      <c r="A88" s="70" t="s">
        <v>2479</v>
      </c>
      <c r="B88" s="93" t="s">
        <v>2417</v>
      </c>
      <c r="C88" s="70" t="s">
        <v>3636</v>
      </c>
      <c r="D88" s="70" t="s">
        <v>2837</v>
      </c>
      <c r="E88" s="70" t="s">
        <v>3178</v>
      </c>
      <c r="F88" s="70" t="s">
        <v>1914</v>
      </c>
      <c r="G88" s="70" t="s">
        <v>5534</v>
      </c>
      <c r="H88" s="300" t="str">
        <f t="shared" si="3"/>
        <v>Gazella saudiya</v>
      </c>
      <c r="I88" s="85">
        <f t="shared" si="2"/>
        <v>4.204119982655925</v>
      </c>
      <c r="J88" s="85">
        <v>16000</v>
      </c>
      <c r="K88" s="131" t="s">
        <v>3177</v>
      </c>
      <c r="L88" s="60">
        <v>143</v>
      </c>
      <c r="M88" s="49" t="s">
        <v>6748</v>
      </c>
      <c r="S88" s="245"/>
      <c r="T88" s="245"/>
      <c r="U88" s="245"/>
      <c r="V88" s="245"/>
      <c r="W88" s="245"/>
      <c r="X88" s="245"/>
      <c r="Y88" s="245"/>
      <c r="Z88" s="246"/>
      <c r="AA88" s="244"/>
      <c r="AB88" s="244"/>
    </row>
    <row r="89" spans="1:28" ht="14" x14ac:dyDescent="0.15">
      <c r="A89" s="70" t="s">
        <v>2633</v>
      </c>
      <c r="B89" s="82"/>
      <c r="C89" s="70" t="s">
        <v>3636</v>
      </c>
      <c r="D89" s="70" t="s">
        <v>2837</v>
      </c>
      <c r="E89" s="70" t="s">
        <v>3178</v>
      </c>
      <c r="F89" s="70" t="s">
        <v>1914</v>
      </c>
      <c r="G89" s="70" t="s">
        <v>4558</v>
      </c>
      <c r="H89" s="300" t="str">
        <f t="shared" si="3"/>
        <v>Gazella soemmerringii</v>
      </c>
      <c r="I89" s="85">
        <f t="shared" si="2"/>
        <v>4.6020599999999998</v>
      </c>
      <c r="J89" s="85">
        <v>40000.000798724192</v>
      </c>
      <c r="K89" s="131" t="s">
        <v>6817</v>
      </c>
      <c r="L89" s="60" t="s">
        <v>2686</v>
      </c>
      <c r="M89" s="49" t="s">
        <v>6728</v>
      </c>
    </row>
    <row r="90" spans="1:28" ht="14" x14ac:dyDescent="0.15">
      <c r="A90" s="70" t="s">
        <v>2633</v>
      </c>
      <c r="B90" s="82"/>
      <c r="C90" s="70" t="s">
        <v>3636</v>
      </c>
      <c r="D90" s="70" t="s">
        <v>2837</v>
      </c>
      <c r="E90" s="70" t="s">
        <v>3178</v>
      </c>
      <c r="F90" s="70" t="s">
        <v>1914</v>
      </c>
      <c r="G90" s="70" t="s">
        <v>4559</v>
      </c>
      <c r="H90" s="300" t="str">
        <f t="shared" si="3"/>
        <v>Gazella spekei</v>
      </c>
      <c r="I90" s="85">
        <f t="shared" si="2"/>
        <v>4.3010300000000008</v>
      </c>
      <c r="J90" s="85">
        <v>20000.000199681075</v>
      </c>
      <c r="K90" s="131" t="s">
        <v>6391</v>
      </c>
      <c r="L90" s="60">
        <v>65</v>
      </c>
      <c r="M90" s="49" t="s">
        <v>6728</v>
      </c>
      <c r="S90" s="245"/>
      <c r="T90" s="245"/>
      <c r="U90" s="245"/>
      <c r="V90" s="245"/>
      <c r="W90" s="245"/>
      <c r="X90" s="245"/>
      <c r="Y90" s="245"/>
      <c r="Z90" s="246"/>
      <c r="AA90" s="243"/>
      <c r="AB90" s="243"/>
    </row>
    <row r="91" spans="1:28" ht="14" x14ac:dyDescent="0.15">
      <c r="A91" s="70" t="s">
        <v>2479</v>
      </c>
      <c r="B91" s="82"/>
      <c r="C91" s="70" t="s">
        <v>3636</v>
      </c>
      <c r="D91" s="70" t="s">
        <v>2837</v>
      </c>
      <c r="E91" s="70" t="s">
        <v>3178</v>
      </c>
      <c r="F91" s="70" t="s">
        <v>1914</v>
      </c>
      <c r="G91" s="70" t="s">
        <v>5535</v>
      </c>
      <c r="H91" s="300" t="str">
        <f t="shared" si="3"/>
        <v>Gazella subgutturosa</v>
      </c>
      <c r="I91" s="85">
        <f t="shared" si="2"/>
        <v>4.4548448600085102</v>
      </c>
      <c r="J91" s="85">
        <f>AVERAGE(25500, 31500)</f>
        <v>28500</v>
      </c>
      <c r="K91" s="131" t="s">
        <v>6817</v>
      </c>
      <c r="L91" s="60">
        <v>91</v>
      </c>
      <c r="M91" s="49" t="s">
        <v>6392</v>
      </c>
      <c r="N91" s="32"/>
    </row>
    <row r="92" spans="1:28" ht="14" x14ac:dyDescent="0.15">
      <c r="A92" s="70" t="s">
        <v>2633</v>
      </c>
      <c r="B92" s="82"/>
      <c r="C92" s="70" t="s">
        <v>3636</v>
      </c>
      <c r="D92" s="70" t="s">
        <v>2837</v>
      </c>
      <c r="E92" s="70" t="s">
        <v>3178</v>
      </c>
      <c r="F92" s="70" t="s">
        <v>1914</v>
      </c>
      <c r="G92" s="70" t="s">
        <v>4560</v>
      </c>
      <c r="H92" s="300" t="str">
        <f t="shared" si="3"/>
        <v>Gazella thomsonii</v>
      </c>
      <c r="I92" s="85">
        <f t="shared" si="2"/>
        <v>4.31175</v>
      </c>
      <c r="J92" s="85">
        <v>20499.817747416979</v>
      </c>
      <c r="K92" s="131" t="s">
        <v>6522</v>
      </c>
      <c r="L92" s="60" t="s">
        <v>2686</v>
      </c>
      <c r="M92" s="49" t="s">
        <v>6392</v>
      </c>
    </row>
    <row r="93" spans="1:28" ht="14" x14ac:dyDescent="0.15">
      <c r="A93" s="70" t="s">
        <v>2633</v>
      </c>
      <c r="B93" s="82"/>
      <c r="C93" s="70" t="s">
        <v>3636</v>
      </c>
      <c r="D93" s="70" t="s">
        <v>2837</v>
      </c>
      <c r="E93" s="70" t="s">
        <v>3543</v>
      </c>
      <c r="F93" s="70" t="s">
        <v>3544</v>
      </c>
      <c r="G93" s="70" t="s">
        <v>3545</v>
      </c>
      <c r="H93" s="300" t="str">
        <f t="shared" si="3"/>
        <v>Giraffa camelopardalis</v>
      </c>
      <c r="I93" s="85">
        <f t="shared" si="2"/>
        <v>5.9542400000000013</v>
      </c>
      <c r="J93" s="85">
        <v>899994.79963720404</v>
      </c>
      <c r="K93" s="131" t="s">
        <v>6391</v>
      </c>
      <c r="L93" s="63" t="s">
        <v>2686</v>
      </c>
      <c r="M93" s="49" t="s">
        <v>6392</v>
      </c>
      <c r="S93" s="245"/>
      <c r="T93" s="245"/>
      <c r="U93" s="245"/>
      <c r="V93" s="245"/>
      <c r="W93" s="245"/>
      <c r="X93" s="245"/>
      <c r="Y93" s="245"/>
      <c r="Z93" s="246"/>
      <c r="AA93" s="246"/>
      <c r="AB93" s="246"/>
    </row>
    <row r="94" spans="1:28" ht="14" x14ac:dyDescent="0.15">
      <c r="A94" s="70" t="s">
        <v>2479</v>
      </c>
      <c r="B94" s="93" t="s">
        <v>2418</v>
      </c>
      <c r="C94" s="70" t="s">
        <v>3636</v>
      </c>
      <c r="D94" s="70" t="s">
        <v>2837</v>
      </c>
      <c r="E94" s="70" t="s">
        <v>3178</v>
      </c>
      <c r="F94" s="70" t="s">
        <v>5203</v>
      </c>
      <c r="G94" s="70" t="s">
        <v>7783</v>
      </c>
      <c r="H94" s="300" t="str">
        <f t="shared" si="3"/>
        <v>Hemitragus hylocrius</v>
      </c>
      <c r="I94" s="85">
        <f t="shared" si="2"/>
        <v>4.8750612633917001</v>
      </c>
      <c r="J94" s="85">
        <v>75000</v>
      </c>
      <c r="K94" s="131" t="s">
        <v>6817</v>
      </c>
      <c r="L94" s="60">
        <v>136</v>
      </c>
      <c r="M94" s="31" t="s">
        <v>6390</v>
      </c>
      <c r="S94" s="245"/>
      <c r="T94" s="245"/>
      <c r="U94" s="245"/>
      <c r="V94" s="245"/>
      <c r="W94" s="245"/>
      <c r="X94" s="245"/>
      <c r="Y94" s="245"/>
      <c r="Z94" s="246"/>
      <c r="AA94" s="244"/>
      <c r="AB94" s="244"/>
    </row>
    <row r="95" spans="1:28" ht="56" x14ac:dyDescent="0.2">
      <c r="A95" s="70" t="s">
        <v>2479</v>
      </c>
      <c r="B95" s="93" t="s">
        <v>2248</v>
      </c>
      <c r="C95" s="70" t="s">
        <v>3636</v>
      </c>
      <c r="D95" s="70" t="s">
        <v>2837</v>
      </c>
      <c r="E95" s="70" t="s">
        <v>3178</v>
      </c>
      <c r="F95" s="70" t="s">
        <v>5203</v>
      </c>
      <c r="G95" s="70" t="s">
        <v>7784</v>
      </c>
      <c r="H95" s="300" t="str">
        <f t="shared" si="3"/>
        <v>Hemitragus jayakari</v>
      </c>
      <c r="I95" s="85">
        <f t="shared" si="2"/>
        <v>4.3617278360175931</v>
      </c>
      <c r="J95" s="85">
        <v>23000</v>
      </c>
      <c r="K95" s="131" t="s">
        <v>4256</v>
      </c>
      <c r="L95" s="60">
        <v>136</v>
      </c>
      <c r="M95" s="47" t="s">
        <v>6390</v>
      </c>
      <c r="N95" s="32"/>
    </row>
    <row r="96" spans="1:28" ht="42" x14ac:dyDescent="0.15">
      <c r="A96" s="70" t="s">
        <v>2479</v>
      </c>
      <c r="B96" s="82"/>
      <c r="C96" s="70" t="s">
        <v>3636</v>
      </c>
      <c r="D96" s="70" t="s">
        <v>2837</v>
      </c>
      <c r="E96" s="70" t="s">
        <v>3178</v>
      </c>
      <c r="F96" s="70" t="s">
        <v>5203</v>
      </c>
      <c r="G96" s="70" t="s">
        <v>6097</v>
      </c>
      <c r="H96" s="300" t="str">
        <f t="shared" si="3"/>
        <v>Hemitragus jemlahicus</v>
      </c>
      <c r="I96" s="85">
        <f t="shared" si="2"/>
        <v>4.5465426634781307</v>
      </c>
      <c r="J96" s="85">
        <v>35200</v>
      </c>
      <c r="K96" s="131" t="s">
        <v>1413</v>
      </c>
      <c r="L96" s="60">
        <v>68</v>
      </c>
      <c r="M96" s="33" t="s">
        <v>6728</v>
      </c>
    </row>
    <row r="97" spans="1:28" ht="28" x14ac:dyDescent="0.15">
      <c r="A97" s="70" t="s">
        <v>2633</v>
      </c>
      <c r="B97" s="82"/>
      <c r="C97" s="70" t="s">
        <v>3636</v>
      </c>
      <c r="D97" s="70" t="s">
        <v>2837</v>
      </c>
      <c r="E97" s="70" t="s">
        <v>3538</v>
      </c>
      <c r="F97" s="70" t="s">
        <v>3539</v>
      </c>
      <c r="G97" s="70" t="s">
        <v>3540</v>
      </c>
      <c r="H97" s="300" t="str">
        <f t="shared" si="3"/>
        <v>Hexaprotodon liberiensis</v>
      </c>
      <c r="I97" s="85">
        <f t="shared" si="2"/>
        <v>5.3710700000000005</v>
      </c>
      <c r="J97" s="85">
        <v>235001.15674363667</v>
      </c>
      <c r="K97" s="131" t="s">
        <v>6817</v>
      </c>
      <c r="L97" s="60">
        <v>60</v>
      </c>
      <c r="M97" s="49" t="s">
        <v>6728</v>
      </c>
      <c r="S97" s="245"/>
      <c r="T97" s="245"/>
      <c r="U97" s="245"/>
      <c r="V97" s="245"/>
      <c r="W97" s="245"/>
      <c r="X97" s="245"/>
      <c r="Y97" s="245"/>
      <c r="Z97" s="246"/>
      <c r="AA97" s="244"/>
      <c r="AB97" s="244"/>
    </row>
    <row r="98" spans="1:28" ht="42" x14ac:dyDescent="0.2">
      <c r="A98" s="70" t="s">
        <v>7029</v>
      </c>
      <c r="B98" s="82"/>
      <c r="C98" s="70" t="s">
        <v>3636</v>
      </c>
      <c r="D98" s="70" t="s">
        <v>2837</v>
      </c>
      <c r="E98" s="70" t="s">
        <v>3724</v>
      </c>
      <c r="F98" s="70" t="s">
        <v>3499</v>
      </c>
      <c r="G98" s="70" t="s">
        <v>4181</v>
      </c>
      <c r="H98" s="300" t="str">
        <f t="shared" si="3"/>
        <v>Hippocamelus antisensis</v>
      </c>
      <c r="I98" s="85">
        <f t="shared" si="2"/>
        <v>4.8363200000000006</v>
      </c>
      <c r="J98" s="85">
        <v>68599.349897000575</v>
      </c>
      <c r="K98" s="131" t="s">
        <v>7741</v>
      </c>
      <c r="L98" s="69">
        <v>61</v>
      </c>
      <c r="M98" s="47" t="s">
        <v>6727</v>
      </c>
      <c r="S98" s="245"/>
      <c r="T98" s="245"/>
      <c r="U98" s="245"/>
      <c r="V98" s="245"/>
      <c r="W98" s="245"/>
      <c r="X98" s="245"/>
      <c r="Y98" s="245"/>
      <c r="Z98" s="246"/>
      <c r="AA98" s="244"/>
      <c r="AB98" s="244"/>
    </row>
    <row r="99" spans="1:28" ht="42" x14ac:dyDescent="0.15">
      <c r="A99" s="73" t="s">
        <v>7029</v>
      </c>
      <c r="B99" s="82"/>
      <c r="C99" s="70" t="s">
        <v>3636</v>
      </c>
      <c r="D99" s="70" t="s">
        <v>2837</v>
      </c>
      <c r="E99" s="70" t="s">
        <v>3724</v>
      </c>
      <c r="F99" s="70" t="s">
        <v>3499</v>
      </c>
      <c r="G99" s="70" t="s">
        <v>3498</v>
      </c>
      <c r="H99" s="300" t="str">
        <f t="shared" si="3"/>
        <v>Hippocamelus bisulcus</v>
      </c>
      <c r="I99" s="85">
        <f t="shared" si="2"/>
        <v>4.8451000000000004</v>
      </c>
      <c r="J99" s="85">
        <v>70000.315913089813</v>
      </c>
      <c r="K99" s="131" t="s">
        <v>7741</v>
      </c>
      <c r="L99" s="69">
        <v>61</v>
      </c>
      <c r="M99" s="49" t="s">
        <v>6390</v>
      </c>
    </row>
    <row r="100" spans="1:28" ht="28" x14ac:dyDescent="0.15">
      <c r="A100" s="70" t="s">
        <v>2633</v>
      </c>
      <c r="B100" s="82"/>
      <c r="C100" s="70" t="s">
        <v>3636</v>
      </c>
      <c r="D100" s="70" t="s">
        <v>2837</v>
      </c>
      <c r="E100" s="70" t="s">
        <v>3538</v>
      </c>
      <c r="F100" s="70" t="s">
        <v>3541</v>
      </c>
      <c r="G100" s="70" t="s">
        <v>3542</v>
      </c>
      <c r="H100" s="300" t="str">
        <f t="shared" si="3"/>
        <v>Hippopotamus amphibius</v>
      </c>
      <c r="I100" s="85">
        <f t="shared" si="2"/>
        <v>6.1515199999999997</v>
      </c>
      <c r="J100" s="85">
        <v>1417489.98776606</v>
      </c>
      <c r="K100" s="131" t="s">
        <v>3177</v>
      </c>
      <c r="L100" s="60" t="s">
        <v>2686</v>
      </c>
      <c r="S100" s="245"/>
      <c r="T100" s="245"/>
      <c r="U100" s="245"/>
      <c r="V100" s="245"/>
      <c r="W100" s="245"/>
      <c r="X100" s="245"/>
      <c r="Y100" s="245"/>
      <c r="Z100" s="246"/>
      <c r="AA100" s="244"/>
      <c r="AB100" s="244"/>
    </row>
    <row r="101" spans="1:28" ht="14" x14ac:dyDescent="0.15">
      <c r="A101" s="70" t="s">
        <v>2633</v>
      </c>
      <c r="B101" s="82"/>
      <c r="C101" s="70" t="s">
        <v>3636</v>
      </c>
      <c r="D101" s="70" t="s">
        <v>2837</v>
      </c>
      <c r="E101" s="70" t="s">
        <v>3178</v>
      </c>
      <c r="F101" s="70" t="s">
        <v>4562</v>
      </c>
      <c r="G101" s="70" t="s">
        <v>2143</v>
      </c>
      <c r="H101" s="300" t="str">
        <f t="shared" si="3"/>
        <v>Hippotragus equinus</v>
      </c>
      <c r="I101" s="85">
        <f t="shared" si="2"/>
        <v>5.4313600000000006</v>
      </c>
      <c r="J101" s="85">
        <v>269997.65984012122</v>
      </c>
      <c r="K101" s="131" t="s">
        <v>6817</v>
      </c>
      <c r="L101" s="60" t="s">
        <v>2686</v>
      </c>
      <c r="M101" s="49" t="s">
        <v>6392</v>
      </c>
    </row>
    <row r="102" spans="1:28" s="3" customFormat="1" ht="14" x14ac:dyDescent="0.15">
      <c r="A102" s="70" t="s">
        <v>2633</v>
      </c>
      <c r="B102" s="82"/>
      <c r="C102" s="70" t="s">
        <v>3636</v>
      </c>
      <c r="D102" s="70" t="s">
        <v>2837</v>
      </c>
      <c r="E102" s="70" t="s">
        <v>3178</v>
      </c>
      <c r="F102" s="70" t="s">
        <v>4562</v>
      </c>
      <c r="G102" s="70" t="s">
        <v>3656</v>
      </c>
      <c r="H102" s="300" t="str">
        <f t="shared" si="3"/>
        <v>Hippotragus niger</v>
      </c>
      <c r="I102" s="85">
        <f t="shared" si="2"/>
        <v>5.356980000000001</v>
      </c>
      <c r="J102" s="85">
        <v>227499.26610759203</v>
      </c>
      <c r="K102" s="131" t="s">
        <v>6817</v>
      </c>
      <c r="L102" s="60" t="s">
        <v>2686</v>
      </c>
      <c r="M102" s="49" t="s">
        <v>6392</v>
      </c>
      <c r="N102" s="37"/>
      <c r="O102" s="37"/>
      <c r="P102" s="37"/>
      <c r="Z102" s="4"/>
      <c r="AA102"/>
      <c r="AB102"/>
    </row>
    <row r="103" spans="1:28" s="3" customFormat="1" ht="14" x14ac:dyDescent="0.15">
      <c r="A103" s="70" t="s">
        <v>2479</v>
      </c>
      <c r="B103" s="82"/>
      <c r="C103" s="70" t="s">
        <v>3636</v>
      </c>
      <c r="D103" s="70" t="s">
        <v>2837</v>
      </c>
      <c r="E103" s="70" t="s">
        <v>3724</v>
      </c>
      <c r="F103" s="70" t="s">
        <v>4990</v>
      </c>
      <c r="G103" s="70" t="s">
        <v>5570</v>
      </c>
      <c r="H103" s="300" t="str">
        <f t="shared" si="3"/>
        <v>Hydropotes inermis</v>
      </c>
      <c r="I103" s="85">
        <f t="shared" si="2"/>
        <v>4.1461280356782382</v>
      </c>
      <c r="J103" s="85">
        <v>14000</v>
      </c>
      <c r="K103" s="131" t="s">
        <v>6485</v>
      </c>
      <c r="L103" s="60">
        <v>68</v>
      </c>
      <c r="M103" s="49" t="s">
        <v>6392</v>
      </c>
      <c r="N103" s="37"/>
      <c r="O103" s="33"/>
      <c r="P103" s="37"/>
      <c r="Z103" s="4"/>
      <c r="AA103"/>
      <c r="AB103"/>
    </row>
    <row r="104" spans="1:28" s="3" customFormat="1" ht="14" x14ac:dyDescent="0.15">
      <c r="A104" s="70" t="s">
        <v>2633</v>
      </c>
      <c r="B104" s="82"/>
      <c r="C104" s="70" t="s">
        <v>3636</v>
      </c>
      <c r="D104" s="70" t="s">
        <v>2837</v>
      </c>
      <c r="E104" s="70" t="s">
        <v>3770</v>
      </c>
      <c r="F104" s="70" t="s">
        <v>3771</v>
      </c>
      <c r="G104" s="70" t="s">
        <v>3772</v>
      </c>
      <c r="H104" s="300" t="str">
        <f t="shared" si="3"/>
        <v>Hyemoschus aquaticus</v>
      </c>
      <c r="I104" s="85">
        <f t="shared" si="2"/>
        <v>4.0354299999999999</v>
      </c>
      <c r="J104" s="85">
        <v>10850.006540950035</v>
      </c>
      <c r="K104" s="131" t="s">
        <v>6817</v>
      </c>
      <c r="L104" s="60">
        <v>60</v>
      </c>
      <c r="M104" s="49" t="s">
        <v>6727</v>
      </c>
      <c r="N104" s="37"/>
      <c r="O104" s="37"/>
      <c r="P104" s="37"/>
      <c r="S104" s="245"/>
      <c r="T104" s="245"/>
      <c r="U104" s="245"/>
      <c r="V104" s="245"/>
      <c r="W104" s="245"/>
      <c r="X104" s="245"/>
      <c r="Y104" s="245"/>
      <c r="Z104" s="246"/>
      <c r="AA104" s="243"/>
      <c r="AB104" s="243"/>
    </row>
    <row r="105" spans="1:28" s="3" customFormat="1" ht="28" x14ac:dyDescent="0.15">
      <c r="A105" s="70" t="s">
        <v>2633</v>
      </c>
      <c r="B105" s="82"/>
      <c r="C105" s="70" t="s">
        <v>3636</v>
      </c>
      <c r="D105" s="70" t="s">
        <v>2837</v>
      </c>
      <c r="E105" s="70" t="s">
        <v>3088</v>
      </c>
      <c r="F105" s="70" t="s">
        <v>2899</v>
      </c>
      <c r="G105" s="70" t="s">
        <v>3299</v>
      </c>
      <c r="H105" s="300" t="str">
        <f t="shared" si="3"/>
        <v>Hylochoerus meinertzhageni</v>
      </c>
      <c r="I105" s="85">
        <f t="shared" si="2"/>
        <v>5.2753113545418113</v>
      </c>
      <c r="J105" s="85">
        <f>AVERAGE(145000, 275000, 130000, 204000)</f>
        <v>188500</v>
      </c>
      <c r="K105" s="131" t="s">
        <v>3177</v>
      </c>
      <c r="L105" s="60">
        <v>116</v>
      </c>
      <c r="M105" s="49"/>
      <c r="N105" s="37"/>
      <c r="O105" s="37"/>
      <c r="P105" s="37"/>
      <c r="S105" s="245"/>
      <c r="T105" s="245"/>
      <c r="U105" s="245"/>
      <c r="V105" s="245"/>
      <c r="W105" s="245"/>
      <c r="X105" s="245"/>
      <c r="Y105" s="245"/>
      <c r="Z105" s="246"/>
      <c r="AA105" s="243"/>
      <c r="AB105" s="243"/>
    </row>
    <row r="106" spans="1:28" s="3" customFormat="1" ht="14" x14ac:dyDescent="0.15">
      <c r="A106" s="73" t="s">
        <v>2633</v>
      </c>
      <c r="B106" s="82"/>
      <c r="C106" s="70" t="s">
        <v>3636</v>
      </c>
      <c r="D106" s="70" t="s">
        <v>2837</v>
      </c>
      <c r="E106" s="70" t="s">
        <v>3178</v>
      </c>
      <c r="F106" s="70" t="s">
        <v>2144</v>
      </c>
      <c r="G106" s="70" t="s">
        <v>6981</v>
      </c>
      <c r="H106" s="300" t="str">
        <f t="shared" si="3"/>
        <v>Kobus ellipsiprymnus</v>
      </c>
      <c r="I106" s="85">
        <f t="shared" si="2"/>
        <v>5.3222200000000006</v>
      </c>
      <c r="J106" s="85">
        <v>210000.34102666145</v>
      </c>
      <c r="K106" s="131" t="s">
        <v>6817</v>
      </c>
      <c r="L106" s="60" t="s">
        <v>2686</v>
      </c>
      <c r="M106" s="49" t="s">
        <v>6392</v>
      </c>
      <c r="N106" s="37"/>
      <c r="O106" s="37"/>
      <c r="P106" s="37"/>
      <c r="Z106" s="4"/>
      <c r="AA106"/>
      <c r="AB106"/>
    </row>
    <row r="107" spans="1:28" s="3" customFormat="1" ht="14" x14ac:dyDescent="0.15">
      <c r="A107" s="70" t="s">
        <v>2633</v>
      </c>
      <c r="B107" s="82"/>
      <c r="C107" s="70" t="s">
        <v>3636</v>
      </c>
      <c r="D107" s="70" t="s">
        <v>2837</v>
      </c>
      <c r="E107" s="70" t="s">
        <v>3178</v>
      </c>
      <c r="F107" s="70" t="s">
        <v>2144</v>
      </c>
      <c r="G107" s="70" t="s">
        <v>6982</v>
      </c>
      <c r="H107" s="300" t="str">
        <f t="shared" si="3"/>
        <v>Kobus kob</v>
      </c>
      <c r="I107" s="85">
        <f t="shared" si="2"/>
        <v>4.8948700000000009</v>
      </c>
      <c r="J107" s="85">
        <v>78500.062044325954</v>
      </c>
      <c r="K107" s="131" t="s">
        <v>6818</v>
      </c>
      <c r="L107" s="60" t="s">
        <v>2686</v>
      </c>
      <c r="M107" s="49" t="s">
        <v>6392</v>
      </c>
      <c r="N107" s="37"/>
      <c r="O107" s="49"/>
      <c r="P107" s="37"/>
      <c r="Z107" s="4"/>
      <c r="AA107"/>
      <c r="AB107"/>
    </row>
    <row r="108" spans="1:28" s="3" customFormat="1" ht="14" x14ac:dyDescent="0.15">
      <c r="A108" s="70" t="s">
        <v>2633</v>
      </c>
      <c r="B108" s="82"/>
      <c r="C108" s="70" t="s">
        <v>3636</v>
      </c>
      <c r="D108" s="70" t="s">
        <v>2837</v>
      </c>
      <c r="E108" s="70" t="s">
        <v>3178</v>
      </c>
      <c r="F108" s="70" t="s">
        <v>2144</v>
      </c>
      <c r="G108" s="70" t="s">
        <v>4718</v>
      </c>
      <c r="H108" s="300" t="str">
        <f t="shared" si="3"/>
        <v>Kobus leche</v>
      </c>
      <c r="I108" s="85">
        <f t="shared" si="2"/>
        <v>5.04434</v>
      </c>
      <c r="J108" s="85">
        <v>110749.04756364247</v>
      </c>
      <c r="K108" s="131" t="s">
        <v>6817</v>
      </c>
      <c r="L108" s="63">
        <v>60</v>
      </c>
      <c r="M108" s="49" t="s">
        <v>6392</v>
      </c>
      <c r="N108" s="37"/>
      <c r="O108" s="37"/>
      <c r="P108" s="49"/>
      <c r="S108" s="245"/>
      <c r="T108" s="245"/>
      <c r="U108" s="245"/>
      <c r="V108" s="245"/>
      <c r="W108" s="245"/>
      <c r="X108" s="245"/>
      <c r="Y108" s="245"/>
      <c r="Z108" s="246"/>
      <c r="AA108" s="244"/>
      <c r="AB108" s="244"/>
    </row>
    <row r="109" spans="1:28" s="3" customFormat="1" ht="28" x14ac:dyDescent="0.15">
      <c r="A109" s="70" t="s">
        <v>2633</v>
      </c>
      <c r="B109" s="82"/>
      <c r="C109" s="70" t="s">
        <v>3636</v>
      </c>
      <c r="D109" s="70" t="s">
        <v>2837</v>
      </c>
      <c r="E109" s="70" t="s">
        <v>3178</v>
      </c>
      <c r="F109" s="70" t="s">
        <v>2144</v>
      </c>
      <c r="G109" s="70" t="s">
        <v>4719</v>
      </c>
      <c r="H109" s="300" t="str">
        <f t="shared" si="3"/>
        <v>Kobus megaceros</v>
      </c>
      <c r="I109" s="85">
        <f t="shared" si="2"/>
        <v>4.9420100000000007</v>
      </c>
      <c r="J109" s="85">
        <v>87500.392270536715</v>
      </c>
      <c r="K109" s="131" t="s">
        <v>6460</v>
      </c>
      <c r="L109" s="60">
        <v>65</v>
      </c>
      <c r="M109" s="49" t="s">
        <v>6392</v>
      </c>
      <c r="N109" s="37"/>
      <c r="O109" s="37"/>
      <c r="P109" s="37"/>
      <c r="Z109" s="4"/>
      <c r="AA109"/>
      <c r="AB109"/>
    </row>
    <row r="110" spans="1:28" s="3" customFormat="1" ht="14" x14ac:dyDescent="0.15">
      <c r="A110" s="70" t="s">
        <v>2633</v>
      </c>
      <c r="B110" s="82"/>
      <c r="C110" s="70" t="s">
        <v>3636</v>
      </c>
      <c r="D110" s="70" t="s">
        <v>2837</v>
      </c>
      <c r="E110" s="70" t="s">
        <v>3178</v>
      </c>
      <c r="F110" s="70" t="s">
        <v>2144</v>
      </c>
      <c r="G110" s="70" t="s">
        <v>4720</v>
      </c>
      <c r="H110" s="300" t="str">
        <f t="shared" si="3"/>
        <v>Kobus vardonii</v>
      </c>
      <c r="I110" s="85">
        <f t="shared" si="2"/>
        <v>4.8543099999999999</v>
      </c>
      <c r="J110" s="85">
        <v>71500.651660392279</v>
      </c>
      <c r="K110" s="131" t="s">
        <v>6080</v>
      </c>
      <c r="L110" s="60" t="s">
        <v>2686</v>
      </c>
      <c r="M110" s="49" t="s">
        <v>6392</v>
      </c>
      <c r="N110" s="37"/>
      <c r="O110" s="37"/>
      <c r="P110" s="37"/>
      <c r="Z110" s="4"/>
      <c r="AA110"/>
      <c r="AB110"/>
    </row>
    <row r="111" spans="1:28" s="3" customFormat="1" ht="28" x14ac:dyDescent="0.15">
      <c r="A111" s="70" t="s">
        <v>7029</v>
      </c>
      <c r="B111" s="82" t="s">
        <v>2486</v>
      </c>
      <c r="C111" s="70" t="s">
        <v>3636</v>
      </c>
      <c r="D111" s="70" t="s">
        <v>2837</v>
      </c>
      <c r="E111" s="70" t="s">
        <v>7198</v>
      </c>
      <c r="F111" s="70" t="s">
        <v>3982</v>
      </c>
      <c r="G111" s="70" t="s">
        <v>7897</v>
      </c>
      <c r="H111" s="300" t="str">
        <f t="shared" si="3"/>
        <v>Lama glama</v>
      </c>
      <c r="I111" s="85">
        <f t="shared" si="2"/>
        <v>5.153814864344529</v>
      </c>
      <c r="J111" s="85">
        <f>AVERAGE(130000, 155000)</f>
        <v>142500</v>
      </c>
      <c r="K111" s="131" t="s">
        <v>1326</v>
      </c>
      <c r="L111" s="60" t="s">
        <v>1387</v>
      </c>
      <c r="M111" s="33"/>
      <c r="N111" s="37"/>
      <c r="O111" s="37"/>
      <c r="P111" s="37"/>
      <c r="Z111" s="4"/>
      <c r="AA111"/>
      <c r="AB111"/>
    </row>
    <row r="112" spans="1:28" s="3" customFormat="1" ht="14" x14ac:dyDescent="0.15">
      <c r="A112" s="70" t="s">
        <v>7029</v>
      </c>
      <c r="B112" s="82"/>
      <c r="C112" s="70" t="s">
        <v>3636</v>
      </c>
      <c r="D112" s="70" t="s">
        <v>2837</v>
      </c>
      <c r="E112" s="70" t="s">
        <v>7198</v>
      </c>
      <c r="F112" s="70" t="s">
        <v>3982</v>
      </c>
      <c r="G112" s="70" t="s">
        <v>3688</v>
      </c>
      <c r="H112" s="300" t="str">
        <f t="shared" si="3"/>
        <v>Lama guanicoe</v>
      </c>
      <c r="I112" s="85">
        <f t="shared" si="2"/>
        <v>5.0791812460476251</v>
      </c>
      <c r="J112" s="85">
        <v>120000</v>
      </c>
      <c r="K112" s="131" t="s">
        <v>3177</v>
      </c>
      <c r="L112" s="69">
        <v>61</v>
      </c>
      <c r="M112" s="50"/>
      <c r="N112" s="37"/>
      <c r="O112" s="37"/>
      <c r="P112" s="37"/>
      <c r="Z112" s="4"/>
      <c r="AA112"/>
      <c r="AB112"/>
    </row>
    <row r="113" spans="1:28" s="3" customFormat="1" ht="14" x14ac:dyDescent="0.15">
      <c r="A113" s="70" t="s">
        <v>7029</v>
      </c>
      <c r="B113" s="82"/>
      <c r="C113" s="70" t="s">
        <v>3636</v>
      </c>
      <c r="D113" s="70" t="s">
        <v>2837</v>
      </c>
      <c r="E113" s="70" t="s">
        <v>7198</v>
      </c>
      <c r="F113" s="70" t="s">
        <v>3982</v>
      </c>
      <c r="G113" s="70" t="s">
        <v>5569</v>
      </c>
      <c r="H113" s="300" t="str">
        <f t="shared" si="3"/>
        <v>Lama pacos</v>
      </c>
      <c r="I113" s="85">
        <f t="shared" si="2"/>
        <v>4.7781512503836439</v>
      </c>
      <c r="J113" s="85">
        <v>60000</v>
      </c>
      <c r="K113" s="131" t="s">
        <v>6485</v>
      </c>
      <c r="L113" s="63">
        <v>68</v>
      </c>
      <c r="M113" s="49"/>
      <c r="N113" s="37"/>
      <c r="O113" s="37"/>
      <c r="P113" s="37"/>
      <c r="Z113" s="4"/>
      <c r="AA113"/>
      <c r="AB113"/>
    </row>
    <row r="114" spans="1:28" s="3" customFormat="1" ht="14" x14ac:dyDescent="0.15">
      <c r="A114" s="73" t="s">
        <v>2633</v>
      </c>
      <c r="B114" s="82"/>
      <c r="C114" s="70" t="s">
        <v>3636</v>
      </c>
      <c r="D114" s="70" t="s">
        <v>2837</v>
      </c>
      <c r="E114" s="70" t="s">
        <v>3178</v>
      </c>
      <c r="F114" s="70" t="s">
        <v>4721</v>
      </c>
      <c r="G114" s="70" t="s">
        <v>3710</v>
      </c>
      <c r="H114" s="300" t="str">
        <f t="shared" si="3"/>
        <v>Litocranius walleri</v>
      </c>
      <c r="I114" s="85">
        <f t="shared" si="2"/>
        <v>4.5797800000000013</v>
      </c>
      <c r="J114" s="85">
        <v>37999.685303685583</v>
      </c>
      <c r="K114" s="131" t="s">
        <v>6817</v>
      </c>
      <c r="L114" s="60" t="s">
        <v>2686</v>
      </c>
      <c r="M114" s="49" t="s">
        <v>6392</v>
      </c>
      <c r="N114" s="37"/>
      <c r="O114" s="49"/>
      <c r="P114" s="37"/>
      <c r="Z114" s="4"/>
      <c r="AA114"/>
      <c r="AB114"/>
    </row>
    <row r="115" spans="1:28" s="3" customFormat="1" ht="14" x14ac:dyDescent="0.15">
      <c r="A115" s="70" t="s">
        <v>2633</v>
      </c>
      <c r="B115" s="82"/>
      <c r="C115" s="70" t="s">
        <v>3636</v>
      </c>
      <c r="D115" s="70" t="s">
        <v>2837</v>
      </c>
      <c r="E115" s="70" t="s">
        <v>3178</v>
      </c>
      <c r="F115" s="70" t="s">
        <v>3711</v>
      </c>
      <c r="G115" s="70" t="s">
        <v>3714</v>
      </c>
      <c r="H115" s="300" t="str">
        <f t="shared" si="3"/>
        <v>Madoqua guentheri</v>
      </c>
      <c r="I115" s="85">
        <f t="shared" si="2"/>
        <v>3.8750599999999999</v>
      </c>
      <c r="J115" s="85">
        <v>7499.9781820300241</v>
      </c>
      <c r="K115" s="131" t="s">
        <v>3177</v>
      </c>
      <c r="L115" s="60" t="s">
        <v>2686</v>
      </c>
      <c r="M115" s="49"/>
      <c r="N115" s="37"/>
      <c r="O115" s="37"/>
      <c r="P115" s="37"/>
      <c r="Z115" s="4"/>
      <c r="AA115"/>
      <c r="AB115"/>
    </row>
    <row r="116" spans="1:28" s="3" customFormat="1" ht="14" x14ac:dyDescent="0.15">
      <c r="A116" s="70" t="s">
        <v>2633</v>
      </c>
      <c r="B116" s="82"/>
      <c r="C116" s="70" t="s">
        <v>3636</v>
      </c>
      <c r="D116" s="70" t="s">
        <v>2837</v>
      </c>
      <c r="E116" s="70" t="s">
        <v>3178</v>
      </c>
      <c r="F116" s="70" t="s">
        <v>3711</v>
      </c>
      <c r="G116" s="70" t="s">
        <v>3715</v>
      </c>
      <c r="H116" s="300" t="str">
        <f t="shared" si="3"/>
        <v>Madoqua kirkii</v>
      </c>
      <c r="I116" s="85">
        <f t="shared" si="2"/>
        <v>3.7242800000000007</v>
      </c>
      <c r="J116" s="85">
        <v>5300.0504063966555</v>
      </c>
      <c r="K116" s="131" t="s">
        <v>3177</v>
      </c>
      <c r="L116" s="60" t="s">
        <v>2686</v>
      </c>
      <c r="M116" s="49"/>
      <c r="N116" s="37"/>
      <c r="O116" s="37"/>
      <c r="P116" s="37"/>
      <c r="Z116" s="4"/>
      <c r="AA116"/>
      <c r="AB116"/>
    </row>
    <row r="117" spans="1:28" s="3" customFormat="1" ht="14" x14ac:dyDescent="0.15">
      <c r="A117" s="70" t="s">
        <v>2633</v>
      </c>
      <c r="B117" s="93" t="s">
        <v>2497</v>
      </c>
      <c r="C117" s="70" t="s">
        <v>3636</v>
      </c>
      <c r="D117" s="70" t="s">
        <v>2837</v>
      </c>
      <c r="E117" s="70" t="s">
        <v>3178</v>
      </c>
      <c r="F117" s="70" t="s">
        <v>3711</v>
      </c>
      <c r="G117" s="70" t="s">
        <v>5536</v>
      </c>
      <c r="H117" s="300" t="str">
        <f t="shared" si="3"/>
        <v>Madoqua piacentinii</v>
      </c>
      <c r="I117" s="85">
        <f t="shared" si="2"/>
        <v>3.3979400086720375</v>
      </c>
      <c r="J117" s="85">
        <v>2500</v>
      </c>
      <c r="K117" s="131" t="s">
        <v>6817</v>
      </c>
      <c r="L117" s="60">
        <v>70</v>
      </c>
      <c r="M117" s="49" t="s">
        <v>6728</v>
      </c>
      <c r="N117" s="37"/>
      <c r="O117" s="37"/>
      <c r="P117" s="37"/>
      <c r="Z117" s="4"/>
      <c r="AA117"/>
      <c r="AB117"/>
    </row>
    <row r="118" spans="1:28" ht="14" x14ac:dyDescent="0.15">
      <c r="A118" s="70" t="s">
        <v>2633</v>
      </c>
      <c r="B118" s="82"/>
      <c r="C118" s="70" t="s">
        <v>3636</v>
      </c>
      <c r="D118" s="70" t="s">
        <v>2837</v>
      </c>
      <c r="E118" s="70" t="s">
        <v>3178</v>
      </c>
      <c r="F118" s="70" t="s">
        <v>3711</v>
      </c>
      <c r="G118" s="70" t="s">
        <v>3662</v>
      </c>
      <c r="H118" s="300" t="str">
        <f t="shared" si="3"/>
        <v>Madoqua saltiana</v>
      </c>
      <c r="I118" s="85">
        <f t="shared" si="2"/>
        <v>3.5118800000000006</v>
      </c>
      <c r="J118" s="85">
        <v>3249.9748485428022</v>
      </c>
      <c r="K118" s="131" t="s">
        <v>3177</v>
      </c>
      <c r="L118" s="60">
        <v>65</v>
      </c>
    </row>
    <row r="119" spans="1:28" ht="14" x14ac:dyDescent="0.15">
      <c r="A119" s="70" t="s">
        <v>3635</v>
      </c>
      <c r="B119" s="82"/>
      <c r="C119" s="70" t="s">
        <v>3636</v>
      </c>
      <c r="D119" s="70" t="s">
        <v>2837</v>
      </c>
      <c r="E119" s="70" t="s">
        <v>3724</v>
      </c>
      <c r="F119" s="70" t="s">
        <v>4152</v>
      </c>
      <c r="G119" s="70" t="s">
        <v>3176</v>
      </c>
      <c r="H119" s="300" t="str">
        <f t="shared" si="3"/>
        <v>Mazama americana</v>
      </c>
      <c r="I119" s="85">
        <f t="shared" si="2"/>
        <v>4.3579300000000005</v>
      </c>
      <c r="J119" s="85">
        <v>22799.7455390334</v>
      </c>
      <c r="K119" s="131" t="s">
        <v>3177</v>
      </c>
      <c r="L119" s="60">
        <v>60</v>
      </c>
      <c r="M119" s="49" t="s">
        <v>6727</v>
      </c>
    </row>
    <row r="120" spans="1:28" ht="14" x14ac:dyDescent="0.15">
      <c r="A120" s="70" t="s">
        <v>7029</v>
      </c>
      <c r="B120" s="82"/>
      <c r="C120" s="70" t="s">
        <v>3636</v>
      </c>
      <c r="D120" s="70" t="s">
        <v>2837</v>
      </c>
      <c r="E120" s="70" t="s">
        <v>3724</v>
      </c>
      <c r="F120" s="70" t="s">
        <v>4152</v>
      </c>
      <c r="G120" s="70" t="s">
        <v>3742</v>
      </c>
      <c r="H120" s="300" t="str">
        <f t="shared" si="3"/>
        <v>Mazama bricenii</v>
      </c>
      <c r="I120" s="85">
        <f t="shared" si="2"/>
        <v>4.2174800000000001</v>
      </c>
      <c r="J120" s="95">
        <v>16499.850149526093</v>
      </c>
      <c r="K120" s="131" t="s">
        <v>3177</v>
      </c>
      <c r="L120" s="69">
        <v>61</v>
      </c>
      <c r="M120" s="50"/>
    </row>
    <row r="121" spans="1:28" ht="14" x14ac:dyDescent="0.15">
      <c r="A121" s="70" t="s">
        <v>7029</v>
      </c>
      <c r="B121" s="82"/>
      <c r="C121" s="70" t="s">
        <v>3636</v>
      </c>
      <c r="D121" s="70" t="s">
        <v>2837</v>
      </c>
      <c r="E121" s="70" t="s">
        <v>3724</v>
      </c>
      <c r="F121" s="70" t="s">
        <v>4152</v>
      </c>
      <c r="G121" s="70" t="s">
        <v>3743</v>
      </c>
      <c r="H121" s="300" t="str">
        <f t="shared" si="3"/>
        <v>Mazama chunyi</v>
      </c>
      <c r="I121" s="85">
        <f t="shared" si="2"/>
        <v>4.2174800000000001</v>
      </c>
      <c r="J121" s="85">
        <v>16499.850149526093</v>
      </c>
      <c r="K121" s="131" t="s">
        <v>6522</v>
      </c>
      <c r="L121" s="69">
        <v>61</v>
      </c>
      <c r="M121" s="49" t="s">
        <v>6727</v>
      </c>
    </row>
    <row r="122" spans="1:28" ht="14" x14ac:dyDescent="0.15">
      <c r="A122" s="70" t="s">
        <v>7029</v>
      </c>
      <c r="B122" s="82"/>
      <c r="C122" s="70" t="s">
        <v>3636</v>
      </c>
      <c r="D122" s="70" t="s">
        <v>2837</v>
      </c>
      <c r="E122" s="70" t="s">
        <v>3724</v>
      </c>
      <c r="F122" s="70" t="s">
        <v>4152</v>
      </c>
      <c r="G122" s="70" t="s">
        <v>3323</v>
      </c>
      <c r="H122" s="300" t="str">
        <f t="shared" si="3"/>
        <v>Mazama gouazoupira</v>
      </c>
      <c r="I122" s="85">
        <f t="shared" ref="I122:I181" si="4">LOG(J122)</f>
        <v>4.2121899999999997</v>
      </c>
      <c r="J122" s="85">
        <v>16300.089912086862</v>
      </c>
      <c r="K122" s="131" t="s">
        <v>3177</v>
      </c>
      <c r="L122" s="69">
        <v>61</v>
      </c>
      <c r="M122" s="50" t="s">
        <v>6727</v>
      </c>
    </row>
    <row r="123" spans="1:28" ht="14" x14ac:dyDescent="0.15">
      <c r="A123" s="73" t="s">
        <v>7029</v>
      </c>
      <c r="B123" s="82"/>
      <c r="C123" s="70" t="s">
        <v>3636</v>
      </c>
      <c r="D123" s="70" t="s">
        <v>2837</v>
      </c>
      <c r="E123" s="70" t="s">
        <v>3724</v>
      </c>
      <c r="F123" s="70" t="s">
        <v>4152</v>
      </c>
      <c r="G123" s="70" t="s">
        <v>3324</v>
      </c>
      <c r="H123" s="300" t="str">
        <f t="shared" si="3"/>
        <v>Mazama nana</v>
      </c>
      <c r="I123" s="85">
        <f t="shared" si="4"/>
        <v>4.2174800000000001</v>
      </c>
      <c r="J123" s="85">
        <v>16499.850149526093</v>
      </c>
      <c r="K123" s="131" t="s">
        <v>3177</v>
      </c>
      <c r="L123" s="69">
        <v>61</v>
      </c>
      <c r="M123" s="50" t="s">
        <v>6727</v>
      </c>
    </row>
    <row r="124" spans="1:28" s="246" customFormat="1" ht="14" x14ac:dyDescent="0.15">
      <c r="A124" s="70" t="s">
        <v>7029</v>
      </c>
      <c r="B124" s="82"/>
      <c r="C124" s="70" t="s">
        <v>3636</v>
      </c>
      <c r="D124" s="70" t="s">
        <v>2837</v>
      </c>
      <c r="E124" s="70" t="s">
        <v>3724</v>
      </c>
      <c r="F124" s="70" t="s">
        <v>4152</v>
      </c>
      <c r="G124" s="70" t="s">
        <v>3524</v>
      </c>
      <c r="H124" s="300" t="str">
        <f t="shared" si="3"/>
        <v>Mazama rufina</v>
      </c>
      <c r="I124" s="85">
        <f t="shared" si="4"/>
        <v>4.4149700000000003</v>
      </c>
      <c r="J124" s="85">
        <v>25999.799567092476</v>
      </c>
      <c r="K124" s="131" t="s">
        <v>3177</v>
      </c>
      <c r="L124" s="60">
        <v>60</v>
      </c>
      <c r="M124" s="50" t="s">
        <v>6392</v>
      </c>
      <c r="N124" s="37"/>
      <c r="O124" s="37"/>
      <c r="P124" s="37"/>
      <c r="Q124" s="3"/>
      <c r="R124" s="3"/>
      <c r="S124" s="3"/>
      <c r="T124" s="3"/>
      <c r="U124" s="3"/>
      <c r="V124" s="3"/>
      <c r="W124" s="3"/>
      <c r="X124" s="3"/>
      <c r="Y124" s="3"/>
      <c r="Z124" s="4"/>
      <c r="AA124"/>
      <c r="AB124"/>
    </row>
    <row r="125" spans="1:28" s="246" customFormat="1" ht="14" x14ac:dyDescent="0.15">
      <c r="A125" s="285" t="s">
        <v>8057</v>
      </c>
      <c r="B125" s="302" t="s">
        <v>8055</v>
      </c>
      <c r="C125" s="285" t="s">
        <v>3636</v>
      </c>
      <c r="D125" s="285" t="s">
        <v>2837</v>
      </c>
      <c r="E125" s="285" t="s">
        <v>3770</v>
      </c>
      <c r="F125" s="285" t="s">
        <v>5576</v>
      </c>
      <c r="G125" s="285" t="s">
        <v>7993</v>
      </c>
      <c r="H125" s="300" t="str">
        <f t="shared" si="3"/>
        <v>Moschiola meminna</v>
      </c>
      <c r="I125" s="85">
        <v>3.4619945469946307</v>
      </c>
      <c r="J125" s="300">
        <v>2938.140625</v>
      </c>
      <c r="K125" s="131"/>
      <c r="L125" s="301" t="s">
        <v>8053</v>
      </c>
      <c r="M125" s="50"/>
      <c r="N125" s="37"/>
      <c r="O125" s="37"/>
      <c r="P125" s="37"/>
      <c r="Q125" s="3"/>
      <c r="R125" s="3"/>
      <c r="S125" s="3"/>
      <c r="T125" s="3"/>
      <c r="U125" s="3"/>
      <c r="V125" s="3"/>
      <c r="W125" s="3"/>
      <c r="X125" s="3"/>
      <c r="Y125" s="3"/>
      <c r="Z125" s="4"/>
      <c r="AA125"/>
      <c r="AB125"/>
    </row>
    <row r="126" spans="1:28" s="246" customFormat="1" ht="28" x14ac:dyDescent="0.15">
      <c r="A126" s="70" t="s">
        <v>2479</v>
      </c>
      <c r="B126" s="93" t="s">
        <v>4485</v>
      </c>
      <c r="C126" s="70" t="s">
        <v>3636</v>
      </c>
      <c r="D126" s="70" t="s">
        <v>2837</v>
      </c>
      <c r="E126" s="70" t="s">
        <v>3162</v>
      </c>
      <c r="F126" s="70" t="s">
        <v>6541</v>
      </c>
      <c r="G126" s="70" t="s">
        <v>5247</v>
      </c>
      <c r="H126" s="300" t="str">
        <f t="shared" si="3"/>
        <v>Moschus berezovskii</v>
      </c>
      <c r="I126" s="85">
        <f t="shared" si="4"/>
        <v>3.9542425094393248</v>
      </c>
      <c r="J126" s="85">
        <v>9000</v>
      </c>
      <c r="K126" s="131" t="s">
        <v>3177</v>
      </c>
      <c r="L126" s="60">
        <v>172</v>
      </c>
      <c r="M126" s="33" t="s">
        <v>6392</v>
      </c>
      <c r="N126" s="37"/>
      <c r="O126" s="37"/>
      <c r="P126" s="37"/>
      <c r="Q126" s="3"/>
      <c r="R126" s="3"/>
      <c r="S126" s="3"/>
      <c r="T126" s="3"/>
      <c r="U126" s="3"/>
      <c r="V126" s="3"/>
      <c r="W126" s="3"/>
      <c r="X126" s="3"/>
      <c r="Y126" s="3"/>
      <c r="Z126" s="4"/>
      <c r="AA126"/>
      <c r="AB126"/>
    </row>
    <row r="127" spans="1:28" s="246" customFormat="1" ht="56" x14ac:dyDescent="0.15">
      <c r="A127" s="70" t="s">
        <v>2479</v>
      </c>
      <c r="B127" s="93" t="s">
        <v>2597</v>
      </c>
      <c r="C127" s="70" t="s">
        <v>3636</v>
      </c>
      <c r="D127" s="70" t="s">
        <v>2837</v>
      </c>
      <c r="E127" s="70" t="s">
        <v>3162</v>
      </c>
      <c r="F127" s="70" t="s">
        <v>6541</v>
      </c>
      <c r="G127" s="70" t="s">
        <v>4095</v>
      </c>
      <c r="H127" s="300" t="str">
        <f t="shared" si="3"/>
        <v>Moschus chrysogaster</v>
      </c>
      <c r="I127" s="85">
        <f t="shared" si="4"/>
        <v>4.1613680022349753</v>
      </c>
      <c r="J127" s="85">
        <f>AVERAGE(11000, 18000)</f>
        <v>14500</v>
      </c>
      <c r="K127" s="131" t="s">
        <v>3177</v>
      </c>
      <c r="L127" s="60">
        <v>147</v>
      </c>
      <c r="M127" s="31" t="s">
        <v>6392</v>
      </c>
      <c r="N127" s="37"/>
      <c r="O127" s="37"/>
      <c r="P127" s="37"/>
      <c r="Q127" s="3"/>
      <c r="R127" s="3"/>
      <c r="S127" s="3"/>
      <c r="T127" s="3"/>
      <c r="U127" s="3"/>
      <c r="V127" s="3"/>
      <c r="W127" s="3"/>
      <c r="X127" s="3"/>
      <c r="Y127" s="3"/>
      <c r="Z127" s="4"/>
      <c r="AA127"/>
      <c r="AB127"/>
    </row>
    <row r="128" spans="1:28" s="246" customFormat="1" ht="28" x14ac:dyDescent="0.15">
      <c r="A128" s="275" t="s">
        <v>2479</v>
      </c>
      <c r="B128" s="276" t="s">
        <v>1968</v>
      </c>
      <c r="C128" s="275" t="s">
        <v>3636</v>
      </c>
      <c r="D128" s="275" t="s">
        <v>2837</v>
      </c>
      <c r="E128" s="275" t="s">
        <v>3162</v>
      </c>
      <c r="F128" s="275" t="s">
        <v>6541</v>
      </c>
      <c r="G128" s="275" t="s">
        <v>4664</v>
      </c>
      <c r="H128" s="300" t="str">
        <f t="shared" si="3"/>
        <v>Moschus fuscus</v>
      </c>
      <c r="I128" s="277">
        <f t="shared" si="4"/>
        <v>1.0969100130080565</v>
      </c>
      <c r="J128" s="277">
        <f>AVERAGE(10,15)</f>
        <v>12.5</v>
      </c>
      <c r="K128" s="278" t="s">
        <v>3177</v>
      </c>
      <c r="L128" s="279" t="s">
        <v>168</v>
      </c>
      <c r="M128" s="280" t="s">
        <v>6392</v>
      </c>
      <c r="N128" s="281"/>
      <c r="O128" s="281"/>
      <c r="P128" s="281"/>
      <c r="Q128" s="282"/>
      <c r="R128" s="282"/>
      <c r="S128" s="282"/>
      <c r="T128" s="282"/>
      <c r="U128" s="282"/>
      <c r="V128" s="282"/>
      <c r="W128" s="282"/>
      <c r="X128" s="282"/>
      <c r="Y128" s="282"/>
      <c r="Z128" s="283"/>
      <c r="AA128" s="283"/>
      <c r="AB128" s="283"/>
    </row>
    <row r="129" spans="1:28" s="246" customFormat="1" ht="14" x14ac:dyDescent="0.15">
      <c r="A129" s="70" t="s">
        <v>2479</v>
      </c>
      <c r="B129" s="82"/>
      <c r="C129" s="70" t="s">
        <v>3636</v>
      </c>
      <c r="D129" s="70" t="s">
        <v>2837</v>
      </c>
      <c r="E129" s="70" t="s">
        <v>3162</v>
      </c>
      <c r="F129" s="70" t="s">
        <v>6541</v>
      </c>
      <c r="G129" s="70" t="s">
        <v>5887</v>
      </c>
      <c r="H129" s="300" t="str">
        <f t="shared" si="3"/>
        <v>Moschus moschiferus</v>
      </c>
      <c r="I129" s="85">
        <f t="shared" si="4"/>
        <v>4.1139433523068369</v>
      </c>
      <c r="J129" s="85">
        <v>13000</v>
      </c>
      <c r="K129" s="131" t="s">
        <v>6522</v>
      </c>
      <c r="L129" s="60">
        <v>68</v>
      </c>
      <c r="M129" s="33" t="s">
        <v>6728</v>
      </c>
      <c r="N129" s="37"/>
      <c r="O129" s="33"/>
      <c r="P129" s="37"/>
      <c r="Q129" s="3"/>
      <c r="R129" s="3"/>
      <c r="S129" s="3"/>
      <c r="T129" s="3"/>
      <c r="U129" s="3"/>
      <c r="V129" s="3"/>
      <c r="W129" s="3"/>
      <c r="X129" s="3"/>
      <c r="Y129" s="3"/>
      <c r="Z129" s="4"/>
      <c r="AA129"/>
      <c r="AB129"/>
    </row>
    <row r="130" spans="1:28" s="246" customFormat="1" ht="16" x14ac:dyDescent="0.2">
      <c r="A130" s="70" t="s">
        <v>2481</v>
      </c>
      <c r="B130" s="93" t="s">
        <v>2018</v>
      </c>
      <c r="C130" s="70" t="s">
        <v>3636</v>
      </c>
      <c r="D130" s="70" t="s">
        <v>2837</v>
      </c>
      <c r="E130" s="70" t="s">
        <v>3724</v>
      </c>
      <c r="F130" s="70" t="s">
        <v>5712</v>
      </c>
      <c r="G130" s="70" t="s">
        <v>5849</v>
      </c>
      <c r="H130" s="300" t="str">
        <f t="shared" si="3"/>
        <v>Muntiacus atherodes</v>
      </c>
      <c r="I130" s="85">
        <f t="shared" si="4"/>
        <v>4.1931245983544612</v>
      </c>
      <c r="J130" s="85">
        <f>AVERAGE(13500, 17700)</f>
        <v>15600</v>
      </c>
      <c r="K130" s="131" t="s">
        <v>3177</v>
      </c>
      <c r="L130" s="60">
        <v>118</v>
      </c>
      <c r="M130" s="33"/>
      <c r="N130" s="48"/>
      <c r="O130" s="37"/>
      <c r="P130" s="37"/>
      <c r="Q130" s="3"/>
      <c r="R130" s="3"/>
      <c r="S130" s="3"/>
      <c r="T130" s="3"/>
      <c r="U130" s="3"/>
      <c r="V130" s="3"/>
      <c r="W130" s="3"/>
      <c r="X130" s="3"/>
      <c r="Y130" s="3"/>
      <c r="Z130" s="4"/>
      <c r="AA130"/>
      <c r="AB130"/>
    </row>
    <row r="131" spans="1:28" s="246" customFormat="1" ht="14" x14ac:dyDescent="0.15">
      <c r="A131" s="70" t="s">
        <v>2479</v>
      </c>
      <c r="B131" s="93" t="s">
        <v>2488</v>
      </c>
      <c r="C131" s="70" t="s">
        <v>3636</v>
      </c>
      <c r="D131" s="70" t="s">
        <v>2837</v>
      </c>
      <c r="E131" s="70" t="s">
        <v>3724</v>
      </c>
      <c r="F131" s="70" t="s">
        <v>5712</v>
      </c>
      <c r="G131" s="70" t="s">
        <v>7764</v>
      </c>
      <c r="H131" s="300" t="str">
        <f t="shared" si="3"/>
        <v>Muntiacus crinifrons</v>
      </c>
      <c r="I131" s="85">
        <f t="shared" si="4"/>
        <v>4.5579999999999998</v>
      </c>
      <c r="J131" s="95">
        <v>36140.986263961298</v>
      </c>
      <c r="K131" s="131" t="s">
        <v>6522</v>
      </c>
      <c r="L131" s="60">
        <v>165</v>
      </c>
      <c r="M131" s="33" t="s">
        <v>6728</v>
      </c>
      <c r="N131" s="37"/>
      <c r="O131" s="37"/>
      <c r="P131" s="37"/>
      <c r="Q131" s="3"/>
      <c r="R131" s="3"/>
      <c r="S131" s="3"/>
      <c r="T131" s="3"/>
      <c r="U131" s="3"/>
      <c r="V131" s="3"/>
      <c r="W131" s="3"/>
      <c r="X131" s="3"/>
      <c r="Y131" s="3"/>
      <c r="Z131" s="4"/>
      <c r="AA131"/>
      <c r="AB131"/>
    </row>
    <row r="132" spans="1:28" s="246" customFormat="1" ht="28" x14ac:dyDescent="0.2">
      <c r="A132" s="70" t="s">
        <v>2479</v>
      </c>
      <c r="B132" s="93" t="s">
        <v>2068</v>
      </c>
      <c r="C132" s="70" t="s">
        <v>3636</v>
      </c>
      <c r="D132" s="70" t="s">
        <v>2837</v>
      </c>
      <c r="E132" s="70" t="s">
        <v>3724</v>
      </c>
      <c r="F132" s="70" t="s">
        <v>5712</v>
      </c>
      <c r="G132" s="70" t="s">
        <v>7765</v>
      </c>
      <c r="H132" s="300" t="str">
        <f t="shared" si="3"/>
        <v>Muntiacus feae</v>
      </c>
      <c r="I132" s="85">
        <f t="shared" si="4"/>
        <v>4.3424226808222066</v>
      </c>
      <c r="J132" s="85">
        <v>22000</v>
      </c>
      <c r="K132" s="131" t="s">
        <v>3177</v>
      </c>
      <c r="L132" s="60" t="s">
        <v>7641</v>
      </c>
      <c r="M132" s="33" t="s">
        <v>6727</v>
      </c>
      <c r="N132" s="48"/>
      <c r="O132" s="37"/>
      <c r="P132" s="37"/>
      <c r="Q132" s="3"/>
      <c r="R132" s="3"/>
      <c r="S132" s="3"/>
      <c r="T132" s="3"/>
      <c r="U132" s="3"/>
      <c r="V132" s="3"/>
      <c r="W132" s="3"/>
      <c r="X132" s="3"/>
      <c r="Y132" s="3"/>
      <c r="Z132" s="4"/>
      <c r="AA132"/>
      <c r="AB132"/>
    </row>
    <row r="133" spans="1:28" s="244" customFormat="1" ht="28" x14ac:dyDescent="0.15">
      <c r="A133" s="70" t="s">
        <v>2479</v>
      </c>
      <c r="B133" s="93" t="s">
        <v>2069</v>
      </c>
      <c r="C133" s="70" t="s">
        <v>3636</v>
      </c>
      <c r="D133" s="70" t="s">
        <v>2837</v>
      </c>
      <c r="E133" s="70" t="s">
        <v>3724</v>
      </c>
      <c r="F133" s="70" t="s">
        <v>5712</v>
      </c>
      <c r="G133" s="70" t="s">
        <v>5312</v>
      </c>
      <c r="H133" s="300" t="str">
        <f t="shared" ref="H133:H196" si="5">_xlfn.TEXTJOIN(" ",TRUE,F133,G133)</f>
        <v>Muntiacus gongshanensis</v>
      </c>
      <c r="I133" s="85">
        <f t="shared" si="4"/>
        <v>4.2990000000000004</v>
      </c>
      <c r="J133" s="85">
        <v>19906.733389871901</v>
      </c>
      <c r="K133" s="131" t="s">
        <v>6522</v>
      </c>
      <c r="L133" s="60">
        <v>165</v>
      </c>
      <c r="M133" s="33" t="s">
        <v>6727</v>
      </c>
      <c r="N133" s="37"/>
      <c r="O133" s="37"/>
      <c r="P133" s="37"/>
      <c r="Q133" s="3"/>
      <c r="R133" s="3"/>
      <c r="S133" s="245"/>
      <c r="T133" s="245"/>
      <c r="U133" s="245"/>
      <c r="V133" s="245"/>
      <c r="W133" s="245"/>
      <c r="X133" s="245"/>
      <c r="Y133" s="245"/>
      <c r="Z133" s="246"/>
      <c r="AA133" s="246"/>
      <c r="AB133" s="246"/>
    </row>
    <row r="134" spans="1:28" s="244" customFormat="1" ht="14" x14ac:dyDescent="0.15">
      <c r="A134" s="285" t="s">
        <v>8054</v>
      </c>
      <c r="B134" s="299" t="s">
        <v>8055</v>
      </c>
      <c r="C134" s="285" t="s">
        <v>3636</v>
      </c>
      <c r="D134" s="285" t="s">
        <v>2837</v>
      </c>
      <c r="E134" s="285" t="s">
        <v>3724</v>
      </c>
      <c r="F134" s="285" t="s">
        <v>5712</v>
      </c>
      <c r="G134" s="285" t="s">
        <v>6540</v>
      </c>
      <c r="H134" s="300" t="str">
        <f t="shared" si="5"/>
        <v>Muntiacus muntjak</v>
      </c>
      <c r="I134" s="85">
        <v>4.1961415732185552</v>
      </c>
      <c r="J134" s="85">
        <v>15925.791666666666</v>
      </c>
      <c r="K134" s="131"/>
      <c r="L134" s="301" t="s">
        <v>8056</v>
      </c>
      <c r="M134" s="33"/>
      <c r="N134" s="37"/>
      <c r="O134" s="37"/>
      <c r="P134" s="37"/>
      <c r="Q134" s="3"/>
      <c r="R134" s="3"/>
      <c r="S134" s="245"/>
      <c r="T134" s="245"/>
      <c r="U134" s="245"/>
      <c r="V134" s="245"/>
      <c r="W134" s="245"/>
      <c r="X134" s="245"/>
      <c r="Y134" s="245"/>
      <c r="Z134" s="246"/>
      <c r="AA134" s="246"/>
      <c r="AB134" s="246"/>
    </row>
    <row r="135" spans="1:28" s="244" customFormat="1" ht="34" x14ac:dyDescent="0.2">
      <c r="A135" s="70" t="s">
        <v>2479</v>
      </c>
      <c r="B135" s="93" t="s">
        <v>1902</v>
      </c>
      <c r="C135" s="70" t="s">
        <v>3636</v>
      </c>
      <c r="D135" s="70" t="s">
        <v>2837</v>
      </c>
      <c r="E135" s="70" t="s">
        <v>3724</v>
      </c>
      <c r="F135" s="70" t="s">
        <v>5712</v>
      </c>
      <c r="G135" s="70" t="s">
        <v>5542</v>
      </c>
      <c r="H135" s="300" t="str">
        <f t="shared" si="5"/>
        <v>Muntiacus reevesi</v>
      </c>
      <c r="I135" s="85">
        <f t="shared" si="4"/>
        <v>4.1303337684950066</v>
      </c>
      <c r="J135" s="85">
        <f>13.5*1000</f>
        <v>13500</v>
      </c>
      <c r="K135" s="131" t="s">
        <v>3177</v>
      </c>
      <c r="L135" s="60">
        <v>134</v>
      </c>
      <c r="M135" s="47" t="s">
        <v>7609</v>
      </c>
      <c r="N135" s="50"/>
      <c r="O135" s="37"/>
      <c r="P135" s="37"/>
      <c r="Q135" s="3"/>
      <c r="R135" s="3"/>
      <c r="S135" s="245"/>
      <c r="T135" s="245"/>
      <c r="U135" s="245"/>
      <c r="V135" s="245"/>
      <c r="W135" s="245"/>
      <c r="X135" s="245"/>
      <c r="Y135" s="245"/>
      <c r="Z135" s="246"/>
      <c r="AA135" s="246"/>
      <c r="AB135" s="246"/>
    </row>
    <row r="136" spans="1:28" ht="14" x14ac:dyDescent="0.15">
      <c r="A136" s="70" t="s">
        <v>2481</v>
      </c>
      <c r="B136" s="93" t="s">
        <v>1856</v>
      </c>
      <c r="C136" s="70" t="s">
        <v>3636</v>
      </c>
      <c r="D136" s="70" t="s">
        <v>2837</v>
      </c>
      <c r="E136" s="70" t="s">
        <v>3724</v>
      </c>
      <c r="F136" s="70" t="s">
        <v>5712</v>
      </c>
      <c r="G136" s="70" t="s">
        <v>5542</v>
      </c>
      <c r="H136" s="300" t="str">
        <f t="shared" si="5"/>
        <v>Muntiacus reevesi</v>
      </c>
      <c r="I136" s="85">
        <f t="shared" si="4"/>
        <v>4.1303337684950066</v>
      </c>
      <c r="J136" s="85">
        <f>AVERAGE(11000, 16000)</f>
        <v>13500</v>
      </c>
      <c r="K136" s="131" t="s">
        <v>3177</v>
      </c>
      <c r="L136" s="60">
        <v>136</v>
      </c>
      <c r="M136" s="33"/>
    </row>
    <row r="137" spans="1:28" ht="14" x14ac:dyDescent="0.15">
      <c r="A137" s="70" t="s">
        <v>2479</v>
      </c>
      <c r="B137" s="82" t="s">
        <v>2498</v>
      </c>
      <c r="C137" s="70" t="s">
        <v>3636</v>
      </c>
      <c r="D137" s="70" t="s">
        <v>2837</v>
      </c>
      <c r="E137" s="70" t="s">
        <v>3178</v>
      </c>
      <c r="F137" s="70" t="s">
        <v>6098</v>
      </c>
      <c r="G137" s="70" t="s">
        <v>2164</v>
      </c>
      <c r="H137" s="300" t="str">
        <f t="shared" si="5"/>
        <v>Naemorhedus baileyi</v>
      </c>
      <c r="I137" s="85">
        <f t="shared" si="4"/>
        <v>4.439135242368847</v>
      </c>
      <c r="J137" s="85">
        <f>AVERAGE(24993, 29982)</f>
        <v>27487.5</v>
      </c>
      <c r="K137" s="131" t="s">
        <v>6817</v>
      </c>
      <c r="L137" s="60">
        <v>215</v>
      </c>
      <c r="M137" s="49" t="s">
        <v>6728</v>
      </c>
      <c r="N137" s="35"/>
    </row>
    <row r="138" spans="1:28" ht="28" x14ac:dyDescent="0.2">
      <c r="A138" s="70" t="s">
        <v>2479</v>
      </c>
      <c r="B138" s="82" t="s">
        <v>2020</v>
      </c>
      <c r="C138" s="70" t="s">
        <v>3636</v>
      </c>
      <c r="D138" s="70" t="s">
        <v>2837</v>
      </c>
      <c r="E138" s="70" t="s">
        <v>3178</v>
      </c>
      <c r="F138" s="70" t="s">
        <v>6098</v>
      </c>
      <c r="G138" s="70" t="s">
        <v>2086</v>
      </c>
      <c r="H138" s="300" t="str">
        <f t="shared" si="5"/>
        <v>Naemorhedus caudatus</v>
      </c>
      <c r="I138" s="85">
        <f t="shared" si="4"/>
        <v>4.4313637641589869</v>
      </c>
      <c r="J138" s="85">
        <f>AVERAGE(22000, 32000)</f>
        <v>27000</v>
      </c>
      <c r="K138" s="131" t="s">
        <v>1132</v>
      </c>
      <c r="L138" s="60">
        <v>144</v>
      </c>
      <c r="M138" s="49" t="s">
        <v>6728</v>
      </c>
      <c r="N138" s="48"/>
    </row>
    <row r="139" spans="1:28" ht="14" x14ac:dyDescent="0.15">
      <c r="A139" s="70" t="s">
        <v>2481</v>
      </c>
      <c r="B139" s="82" t="s">
        <v>5797</v>
      </c>
      <c r="C139" s="70" t="s">
        <v>3636</v>
      </c>
      <c r="D139" s="70" t="s">
        <v>2837</v>
      </c>
      <c r="E139" s="70" t="s">
        <v>3178</v>
      </c>
      <c r="F139" s="70" t="s">
        <v>6098</v>
      </c>
      <c r="G139" s="70" t="s">
        <v>5581</v>
      </c>
      <c r="H139" s="300" t="str">
        <f t="shared" si="5"/>
        <v>Naemorhedus crispus</v>
      </c>
      <c r="I139" s="85">
        <f t="shared" si="4"/>
        <v>4.5700757053216039</v>
      </c>
      <c r="J139" s="85">
        <f>AVERAGE(35890, 38430)</f>
        <v>37160</v>
      </c>
      <c r="K139" s="131" t="s">
        <v>6630</v>
      </c>
      <c r="L139" s="60">
        <v>233</v>
      </c>
      <c r="M139" s="33" t="s">
        <v>6392</v>
      </c>
    </row>
    <row r="140" spans="1:28" ht="17" x14ac:dyDescent="0.2">
      <c r="A140" s="70" t="s">
        <v>2479</v>
      </c>
      <c r="B140" s="82"/>
      <c r="C140" s="70" t="s">
        <v>3636</v>
      </c>
      <c r="D140" s="70" t="s">
        <v>2837</v>
      </c>
      <c r="E140" s="70" t="s">
        <v>3178</v>
      </c>
      <c r="F140" s="70" t="s">
        <v>6098</v>
      </c>
      <c r="G140" s="70" t="s">
        <v>6099</v>
      </c>
      <c r="H140" s="300" t="str">
        <f t="shared" si="5"/>
        <v>Naemorhedus goral</v>
      </c>
      <c r="I140" s="85">
        <f t="shared" si="4"/>
        <v>4.4548448600085102</v>
      </c>
      <c r="J140" s="85">
        <v>28500</v>
      </c>
      <c r="K140" s="131" t="s">
        <v>6820</v>
      </c>
      <c r="L140" s="63">
        <v>68</v>
      </c>
      <c r="M140" s="47" t="s">
        <v>6392</v>
      </c>
    </row>
    <row r="141" spans="1:28" ht="28" x14ac:dyDescent="0.2">
      <c r="A141" s="70" t="s">
        <v>2479</v>
      </c>
      <c r="B141" s="82"/>
      <c r="C141" s="70" t="s">
        <v>3636</v>
      </c>
      <c r="D141" s="70" t="s">
        <v>2837</v>
      </c>
      <c r="E141" s="70" t="s">
        <v>3178</v>
      </c>
      <c r="F141" s="70" t="s">
        <v>6098</v>
      </c>
      <c r="G141" s="70" t="s">
        <v>6100</v>
      </c>
      <c r="H141" s="300" t="str">
        <f t="shared" si="5"/>
        <v>Naemorhedus sumatraensis</v>
      </c>
      <c r="I141" s="85">
        <f t="shared" si="4"/>
        <v>4.9420080530223132</v>
      </c>
      <c r="J141" s="85">
        <v>87500</v>
      </c>
      <c r="K141" s="131" t="s">
        <v>6817</v>
      </c>
      <c r="L141" s="60">
        <v>68</v>
      </c>
      <c r="M141" s="47" t="s">
        <v>6728</v>
      </c>
    </row>
    <row r="142" spans="1:28" ht="28" x14ac:dyDescent="0.15">
      <c r="A142" s="70" t="s">
        <v>2481</v>
      </c>
      <c r="B142" s="93" t="s">
        <v>2021</v>
      </c>
      <c r="C142" s="70" t="s">
        <v>3636</v>
      </c>
      <c r="D142" s="70" t="s">
        <v>2837</v>
      </c>
      <c r="E142" s="70" t="s">
        <v>3178</v>
      </c>
      <c r="F142" s="70" t="s">
        <v>6098</v>
      </c>
      <c r="G142" s="70" t="s">
        <v>5582</v>
      </c>
      <c r="H142" s="300" t="str">
        <f t="shared" si="5"/>
        <v>Naemorhedus swinhoei</v>
      </c>
      <c r="I142" s="85">
        <f t="shared" si="4"/>
        <v>4.3222192947339195</v>
      </c>
      <c r="J142" s="85">
        <f>AVERAGE(25000, 18000, 20000)</f>
        <v>21000</v>
      </c>
      <c r="K142" s="131" t="s">
        <v>1132</v>
      </c>
      <c r="L142" s="60" t="s">
        <v>1790</v>
      </c>
      <c r="M142" s="33" t="s">
        <v>6728</v>
      </c>
    </row>
    <row r="143" spans="1:28" ht="14" x14ac:dyDescent="0.15">
      <c r="A143" s="70" t="s">
        <v>2633</v>
      </c>
      <c r="B143" s="82"/>
      <c r="C143" s="70" t="s">
        <v>3636</v>
      </c>
      <c r="D143" s="70" t="s">
        <v>2837</v>
      </c>
      <c r="E143" s="70" t="s">
        <v>3178</v>
      </c>
      <c r="F143" s="70" t="s">
        <v>4592</v>
      </c>
      <c r="G143" s="70" t="s">
        <v>6955</v>
      </c>
      <c r="H143" s="300" t="str">
        <f t="shared" si="5"/>
        <v>Neotragus batesi</v>
      </c>
      <c r="I143" s="85">
        <f t="shared" si="4"/>
        <v>3.4771200000000007</v>
      </c>
      <c r="J143" s="85">
        <v>2999.9913327161544</v>
      </c>
      <c r="K143" s="131" t="s">
        <v>6817</v>
      </c>
      <c r="L143" s="60">
        <v>60</v>
      </c>
      <c r="M143" s="49" t="s">
        <v>6392</v>
      </c>
      <c r="S143" s="14"/>
      <c r="T143" s="14"/>
      <c r="U143" s="14"/>
      <c r="V143" s="14"/>
      <c r="W143" s="14"/>
      <c r="X143" s="14"/>
      <c r="Y143" s="14"/>
      <c r="Z143" s="17"/>
      <c r="AA143" s="15"/>
      <c r="AB143" s="15"/>
    </row>
    <row r="144" spans="1:28" ht="14" x14ac:dyDescent="0.15">
      <c r="A144" s="70" t="s">
        <v>2633</v>
      </c>
      <c r="B144" s="82"/>
      <c r="C144" s="70" t="s">
        <v>3636</v>
      </c>
      <c r="D144" s="70" t="s">
        <v>2837</v>
      </c>
      <c r="E144" s="70" t="s">
        <v>3178</v>
      </c>
      <c r="F144" s="70" t="s">
        <v>4592</v>
      </c>
      <c r="G144" s="70" t="s">
        <v>6966</v>
      </c>
      <c r="H144" s="300" t="str">
        <f t="shared" si="5"/>
        <v>Neotragus moschatus</v>
      </c>
      <c r="I144" s="85">
        <f t="shared" si="4"/>
        <v>3.81291</v>
      </c>
      <c r="J144" s="85">
        <v>6499.9497619814347</v>
      </c>
      <c r="K144" s="131" t="s">
        <v>6391</v>
      </c>
      <c r="L144" s="60" t="s">
        <v>2686</v>
      </c>
      <c r="M144" s="49" t="s">
        <v>6392</v>
      </c>
      <c r="S144" s="14"/>
      <c r="T144" s="14"/>
      <c r="U144" s="14"/>
      <c r="V144" s="14"/>
      <c r="W144" s="14"/>
      <c r="X144" s="14"/>
      <c r="Y144" s="14"/>
      <c r="Z144" s="17"/>
      <c r="AA144" s="15"/>
      <c r="AB144" s="15"/>
    </row>
    <row r="145" spans="1:28" ht="14" x14ac:dyDescent="0.15">
      <c r="A145" s="70" t="s">
        <v>2633</v>
      </c>
      <c r="B145" s="82"/>
      <c r="C145" s="70" t="s">
        <v>3636</v>
      </c>
      <c r="D145" s="70" t="s">
        <v>2837</v>
      </c>
      <c r="E145" s="70" t="s">
        <v>3178</v>
      </c>
      <c r="F145" s="70" t="s">
        <v>4592</v>
      </c>
      <c r="G145" s="70" t="s">
        <v>6967</v>
      </c>
      <c r="H145" s="300" t="str">
        <f t="shared" si="5"/>
        <v>Neotragus pygmaeus</v>
      </c>
      <c r="I145" s="85">
        <f t="shared" si="4"/>
        <v>3.6020600000000003</v>
      </c>
      <c r="J145" s="85">
        <v>4000.0000798724222</v>
      </c>
      <c r="K145" s="131" t="s">
        <v>6817</v>
      </c>
      <c r="L145" s="63">
        <v>60</v>
      </c>
      <c r="M145" s="49" t="s">
        <v>6392</v>
      </c>
    </row>
    <row r="146" spans="1:28" ht="14" x14ac:dyDescent="0.15">
      <c r="A146" s="70" t="s">
        <v>3635</v>
      </c>
      <c r="B146" s="82"/>
      <c r="C146" s="70" t="s">
        <v>3636</v>
      </c>
      <c r="D146" s="70" t="s">
        <v>2837</v>
      </c>
      <c r="E146" s="70" t="s">
        <v>3724</v>
      </c>
      <c r="F146" s="70" t="s">
        <v>4153</v>
      </c>
      <c r="G146" s="70" t="s">
        <v>4154</v>
      </c>
      <c r="H146" s="300" t="str">
        <f t="shared" si="5"/>
        <v>Odocoileus hemionus</v>
      </c>
      <c r="I146" s="85">
        <f t="shared" si="4"/>
        <v>4.7340999999999998</v>
      </c>
      <c r="J146" s="85">
        <v>54212.570508795718</v>
      </c>
      <c r="K146" s="131" t="s">
        <v>3177</v>
      </c>
      <c r="L146" s="63">
        <v>60</v>
      </c>
    </row>
    <row r="147" spans="1:28" ht="14" x14ac:dyDescent="0.15">
      <c r="A147" s="70" t="s">
        <v>3635</v>
      </c>
      <c r="B147" s="82"/>
      <c r="C147" s="70" t="s">
        <v>3636</v>
      </c>
      <c r="D147" s="70" t="s">
        <v>2837</v>
      </c>
      <c r="E147" s="70" t="s">
        <v>3724</v>
      </c>
      <c r="F147" s="70" t="s">
        <v>4153</v>
      </c>
      <c r="G147" s="70" t="s">
        <v>3932</v>
      </c>
      <c r="H147" s="300" t="str">
        <f t="shared" si="5"/>
        <v>Odocoileus virginianus</v>
      </c>
      <c r="I147" s="85">
        <f t="shared" si="4"/>
        <v>4.7443600000000012</v>
      </c>
      <c r="J147" s="85">
        <v>55508.564980303127</v>
      </c>
      <c r="K147" s="131" t="s">
        <v>3177</v>
      </c>
      <c r="L147" s="63">
        <v>60</v>
      </c>
    </row>
    <row r="148" spans="1:28" ht="14" x14ac:dyDescent="0.15">
      <c r="A148" s="70" t="s">
        <v>2633</v>
      </c>
      <c r="B148" s="82"/>
      <c r="C148" s="70" t="s">
        <v>3636</v>
      </c>
      <c r="D148" s="70" t="s">
        <v>2837</v>
      </c>
      <c r="E148" s="70" t="s">
        <v>3543</v>
      </c>
      <c r="F148" s="70" t="s">
        <v>3296</v>
      </c>
      <c r="G148" s="70" t="s">
        <v>3537</v>
      </c>
      <c r="H148" s="300" t="str">
        <f t="shared" si="5"/>
        <v>Okapia johnstoni</v>
      </c>
      <c r="I148" s="85">
        <f t="shared" si="4"/>
        <v>5.3617300000000006</v>
      </c>
      <c r="J148" s="85">
        <v>230001.14603619074</v>
      </c>
      <c r="K148" s="131" t="s">
        <v>6817</v>
      </c>
      <c r="L148" s="60" t="s">
        <v>2686</v>
      </c>
      <c r="M148" s="49" t="s">
        <v>6392</v>
      </c>
      <c r="S148" s="245"/>
      <c r="T148" s="245"/>
      <c r="U148" s="245"/>
      <c r="V148" s="245"/>
      <c r="W148" s="245"/>
      <c r="X148" s="245"/>
      <c r="Y148" s="245"/>
      <c r="Z148" s="246"/>
      <c r="AA148" s="244"/>
      <c r="AB148" s="244"/>
    </row>
    <row r="149" spans="1:28" s="244" customFormat="1" ht="14" x14ac:dyDescent="0.15">
      <c r="A149" s="70" t="s">
        <v>3635</v>
      </c>
      <c r="B149" s="82"/>
      <c r="C149" s="70" t="s">
        <v>3636</v>
      </c>
      <c r="D149" s="70" t="s">
        <v>2837</v>
      </c>
      <c r="E149" s="70" t="s">
        <v>3178</v>
      </c>
      <c r="F149" s="70" t="s">
        <v>7193</v>
      </c>
      <c r="G149" s="70" t="s">
        <v>7194</v>
      </c>
      <c r="H149" s="300" t="str">
        <f t="shared" si="5"/>
        <v>Oreamnos americanus</v>
      </c>
      <c r="I149" s="85">
        <f t="shared" si="4"/>
        <v>4.8603399999999999</v>
      </c>
      <c r="J149" s="85">
        <v>72500.332778657481</v>
      </c>
      <c r="K149" s="131" t="s">
        <v>3177</v>
      </c>
      <c r="L149" s="63">
        <v>60</v>
      </c>
      <c r="M149" s="49"/>
      <c r="N149" s="37"/>
      <c r="O149" s="37"/>
      <c r="P149" s="37"/>
      <c r="Q149" s="3"/>
      <c r="R149" s="3"/>
      <c r="S149" s="3"/>
      <c r="T149" s="3"/>
      <c r="U149" s="3"/>
      <c r="V149" s="3"/>
      <c r="W149" s="3"/>
      <c r="X149" s="3"/>
      <c r="Y149" s="3"/>
      <c r="Z149" s="4"/>
      <c r="AA149"/>
      <c r="AB149"/>
    </row>
    <row r="150" spans="1:28" s="244" customFormat="1" ht="28" x14ac:dyDescent="0.15">
      <c r="A150" s="70" t="s">
        <v>2633</v>
      </c>
      <c r="B150" s="82"/>
      <c r="C150" s="70" t="s">
        <v>3636</v>
      </c>
      <c r="D150" s="70" t="s">
        <v>2837</v>
      </c>
      <c r="E150" s="70" t="s">
        <v>3178</v>
      </c>
      <c r="F150" s="70" t="s">
        <v>6956</v>
      </c>
      <c r="G150" s="70" t="s">
        <v>7171</v>
      </c>
      <c r="H150" s="300" t="str">
        <f t="shared" si="5"/>
        <v>Oreotragus oreotragus</v>
      </c>
      <c r="I150" s="85">
        <f t="shared" si="4"/>
        <v>4.1139400000000013</v>
      </c>
      <c r="J150" s="85">
        <v>12999.899653754575</v>
      </c>
      <c r="K150" s="131" t="s">
        <v>6758</v>
      </c>
      <c r="L150" s="60" t="s">
        <v>2686</v>
      </c>
      <c r="M150" s="49" t="s">
        <v>6392</v>
      </c>
      <c r="N150" s="37"/>
      <c r="O150" s="37"/>
      <c r="P150" s="37"/>
      <c r="Q150" s="3"/>
      <c r="R150" s="3"/>
      <c r="S150" s="3"/>
      <c r="T150" s="3"/>
      <c r="U150" s="3"/>
      <c r="V150" s="3"/>
      <c r="W150" s="3"/>
      <c r="X150" s="3"/>
      <c r="Y150" s="3"/>
      <c r="Z150" s="4"/>
      <c r="AA150"/>
      <c r="AB150"/>
    </row>
    <row r="151" spans="1:28" s="244" customFormat="1" ht="14" x14ac:dyDescent="0.15">
      <c r="A151" s="70" t="s">
        <v>2633</v>
      </c>
      <c r="B151" s="82"/>
      <c r="C151" s="70" t="s">
        <v>3636</v>
      </c>
      <c r="D151" s="70" t="s">
        <v>2837</v>
      </c>
      <c r="E151" s="70" t="s">
        <v>3178</v>
      </c>
      <c r="F151" s="70" t="s">
        <v>7172</v>
      </c>
      <c r="G151" s="70" t="s">
        <v>7173</v>
      </c>
      <c r="H151" s="300" t="str">
        <f t="shared" si="5"/>
        <v>Oryx dammah</v>
      </c>
      <c r="I151" s="85">
        <f t="shared" si="4"/>
        <v>5.3010299999999999</v>
      </c>
      <c r="J151" s="85">
        <v>200000.00199681061</v>
      </c>
      <c r="K151" s="131" t="s">
        <v>6817</v>
      </c>
      <c r="L151" s="60">
        <v>60</v>
      </c>
      <c r="M151" s="49" t="s">
        <v>6748</v>
      </c>
      <c r="N151" s="37"/>
      <c r="O151" s="37"/>
      <c r="P151" s="37"/>
      <c r="Q151" s="3"/>
      <c r="R151" s="3"/>
      <c r="S151" s="3"/>
      <c r="T151" s="3"/>
      <c r="U151" s="3"/>
      <c r="V151" s="3"/>
      <c r="W151" s="3"/>
      <c r="X151" s="3"/>
      <c r="Y151" s="3"/>
      <c r="Z151" s="4"/>
      <c r="AA151"/>
      <c r="AB151"/>
    </row>
    <row r="152" spans="1:28" s="244" customFormat="1" ht="28" x14ac:dyDescent="0.15">
      <c r="A152" s="73" t="s">
        <v>2633</v>
      </c>
      <c r="B152" s="82"/>
      <c r="C152" s="70" t="s">
        <v>3636</v>
      </c>
      <c r="D152" s="70" t="s">
        <v>2837</v>
      </c>
      <c r="E152" s="70" t="s">
        <v>3178</v>
      </c>
      <c r="F152" s="70" t="s">
        <v>7172</v>
      </c>
      <c r="G152" s="70" t="s">
        <v>7014</v>
      </c>
      <c r="H152" s="300" t="str">
        <f t="shared" si="5"/>
        <v>Oryx gazella</v>
      </c>
      <c r="I152" s="85">
        <f t="shared" si="4"/>
        <v>5.2278900000000013</v>
      </c>
      <c r="J152" s="85">
        <v>169001.2823612215</v>
      </c>
      <c r="K152" s="131" t="s">
        <v>6759</v>
      </c>
      <c r="L152" s="60" t="s">
        <v>2686</v>
      </c>
      <c r="M152" s="49" t="s">
        <v>6392</v>
      </c>
      <c r="N152" s="37"/>
      <c r="O152" s="37"/>
      <c r="P152" s="37"/>
      <c r="Q152" s="3"/>
      <c r="R152" s="3"/>
      <c r="S152" s="3"/>
      <c r="T152" s="3"/>
      <c r="U152" s="3"/>
      <c r="V152" s="3"/>
      <c r="W152" s="3"/>
      <c r="X152" s="3"/>
      <c r="Y152" s="3"/>
      <c r="Z152" s="4"/>
      <c r="AA152"/>
      <c r="AB152"/>
    </row>
    <row r="153" spans="1:28" s="244" customFormat="1" ht="28" x14ac:dyDescent="0.2">
      <c r="A153" s="70" t="s">
        <v>2479</v>
      </c>
      <c r="B153" s="82"/>
      <c r="C153" s="70" t="s">
        <v>3636</v>
      </c>
      <c r="D153" s="70" t="s">
        <v>2837</v>
      </c>
      <c r="E153" s="70" t="s">
        <v>3178</v>
      </c>
      <c r="F153" s="70" t="s">
        <v>7172</v>
      </c>
      <c r="G153" s="70" t="s">
        <v>6101</v>
      </c>
      <c r="H153" s="300" t="str">
        <f t="shared" si="5"/>
        <v>Oryx leucoryx</v>
      </c>
      <c r="I153" s="85">
        <f t="shared" si="4"/>
        <v>4.9429995933660402</v>
      </c>
      <c r="J153" s="85">
        <v>87700</v>
      </c>
      <c r="K153" s="131" t="s">
        <v>7673</v>
      </c>
      <c r="L153" s="60">
        <v>68</v>
      </c>
      <c r="M153" s="47" t="s">
        <v>6390</v>
      </c>
      <c r="N153" s="37"/>
      <c r="O153" s="37"/>
      <c r="P153" s="37"/>
      <c r="Q153" s="3"/>
      <c r="R153" s="3"/>
      <c r="S153" s="3"/>
      <c r="T153" s="3"/>
      <c r="U153" s="3"/>
      <c r="V153" s="3"/>
      <c r="W153" s="3"/>
      <c r="X153" s="3"/>
      <c r="Y153" s="3"/>
      <c r="Z153" s="4"/>
      <c r="AA153"/>
      <c r="AB153"/>
    </row>
    <row r="154" spans="1:28" s="244" customFormat="1" ht="14" x14ac:dyDescent="0.15">
      <c r="A154" s="73" t="s">
        <v>2633</v>
      </c>
      <c r="B154" s="82"/>
      <c r="C154" s="70" t="s">
        <v>3636</v>
      </c>
      <c r="D154" s="70" t="s">
        <v>2837</v>
      </c>
      <c r="E154" s="70" t="s">
        <v>3178</v>
      </c>
      <c r="F154" s="70" t="s">
        <v>7174</v>
      </c>
      <c r="G154" s="70" t="s">
        <v>7175</v>
      </c>
      <c r="H154" s="300" t="str">
        <f t="shared" si="5"/>
        <v>Ourebia ourebi</v>
      </c>
      <c r="I154" s="85">
        <f t="shared" si="4"/>
        <v>4.2367900000000001</v>
      </c>
      <c r="J154" s="85">
        <v>17250.035771133316</v>
      </c>
      <c r="K154" s="131" t="s">
        <v>6817</v>
      </c>
      <c r="L154" s="63" t="s">
        <v>2686</v>
      </c>
      <c r="M154" s="49" t="s">
        <v>6392</v>
      </c>
      <c r="N154" s="37"/>
      <c r="O154" s="37"/>
      <c r="P154" s="37"/>
      <c r="Q154" s="3"/>
      <c r="R154" s="3"/>
      <c r="S154" s="3"/>
      <c r="T154" s="3"/>
      <c r="U154" s="3"/>
      <c r="V154" s="3"/>
      <c r="W154" s="3"/>
      <c r="X154" s="3"/>
      <c r="Y154" s="3"/>
      <c r="Z154" s="4"/>
      <c r="AA154"/>
      <c r="AB154"/>
    </row>
    <row r="155" spans="1:28" s="244" customFormat="1" ht="14" x14ac:dyDescent="0.15">
      <c r="A155" s="296" t="s">
        <v>8052</v>
      </c>
      <c r="B155" s="82"/>
      <c r="C155" s="297">
        <v>42698</v>
      </c>
      <c r="D155" s="297">
        <v>42698</v>
      </c>
      <c r="E155" s="297">
        <v>42698</v>
      </c>
      <c r="F155" s="285" t="s">
        <v>7195</v>
      </c>
      <c r="G155" s="285" t="s">
        <v>6966</v>
      </c>
      <c r="H155" s="300" t="str">
        <f t="shared" si="5"/>
        <v>Ovibos moschatus</v>
      </c>
      <c r="I155" s="244">
        <v>5.5306450108400469</v>
      </c>
      <c r="J155" s="85">
        <v>340501.06394258211</v>
      </c>
      <c r="K155" s="131"/>
      <c r="L155" s="298" t="s">
        <v>8053</v>
      </c>
      <c r="M155" s="49"/>
      <c r="N155" s="37"/>
      <c r="O155" s="37"/>
      <c r="P155" s="37"/>
      <c r="Q155" s="3"/>
      <c r="R155" s="3"/>
      <c r="S155" s="3"/>
      <c r="T155" s="3"/>
      <c r="U155" s="3"/>
      <c r="V155" s="3"/>
      <c r="W155" s="3"/>
      <c r="X155" s="3"/>
      <c r="Y155" s="3"/>
      <c r="Z155" s="4"/>
      <c r="AA155"/>
      <c r="AB155"/>
    </row>
    <row r="156" spans="1:28" s="244" customFormat="1" ht="56" x14ac:dyDescent="0.2">
      <c r="A156" s="70" t="s">
        <v>2479</v>
      </c>
      <c r="B156" s="96"/>
      <c r="C156" s="70" t="s">
        <v>3636</v>
      </c>
      <c r="D156" s="70" t="s">
        <v>2837</v>
      </c>
      <c r="E156" s="70" t="s">
        <v>3178</v>
      </c>
      <c r="F156" s="70" t="s">
        <v>3938</v>
      </c>
      <c r="G156" s="70" t="s">
        <v>7786</v>
      </c>
      <c r="H156" s="300" t="str">
        <f t="shared" si="5"/>
        <v>Ovis ammon</v>
      </c>
      <c r="I156" s="85">
        <f t="shared" si="4"/>
        <v>5.2552725051033065</v>
      </c>
      <c r="J156" s="85">
        <v>180000</v>
      </c>
      <c r="K156" s="131" t="s">
        <v>1188</v>
      </c>
      <c r="L156" s="60">
        <v>68</v>
      </c>
      <c r="M156" s="47" t="s">
        <v>6728</v>
      </c>
      <c r="N156" s="37"/>
      <c r="O156" s="37"/>
      <c r="P156" s="37"/>
      <c r="Q156" s="3"/>
      <c r="R156" s="3"/>
      <c r="S156" s="3"/>
      <c r="T156" s="3"/>
      <c r="U156" s="3"/>
      <c r="V156" s="3"/>
      <c r="W156" s="3"/>
      <c r="X156" s="3"/>
      <c r="Y156" s="3"/>
      <c r="Z156" s="4"/>
      <c r="AA156"/>
      <c r="AB156"/>
    </row>
    <row r="157" spans="1:28" ht="16" x14ac:dyDescent="0.2">
      <c r="A157" s="70" t="s">
        <v>2479</v>
      </c>
      <c r="B157" s="82"/>
      <c r="C157" s="70" t="s">
        <v>3636</v>
      </c>
      <c r="D157" s="70" t="s">
        <v>2837</v>
      </c>
      <c r="E157" s="70" t="s">
        <v>3178</v>
      </c>
      <c r="F157" s="70" t="s">
        <v>3938</v>
      </c>
      <c r="G157" s="70" t="s">
        <v>5512</v>
      </c>
      <c r="H157" s="300" t="str">
        <f t="shared" si="5"/>
        <v>Ovis aries</v>
      </c>
      <c r="I157" s="85">
        <f t="shared" si="4"/>
        <v>4.6989700043360187</v>
      </c>
      <c r="J157" s="85">
        <v>50000</v>
      </c>
      <c r="K157" s="131" t="s">
        <v>6485</v>
      </c>
      <c r="L157" s="60">
        <v>68</v>
      </c>
      <c r="M157" s="47"/>
    </row>
    <row r="158" spans="1:28" ht="42" x14ac:dyDescent="0.2">
      <c r="A158" s="70" t="s">
        <v>3635</v>
      </c>
      <c r="B158" s="82"/>
      <c r="C158" s="70" t="s">
        <v>3636</v>
      </c>
      <c r="D158" s="70" t="s">
        <v>2837</v>
      </c>
      <c r="E158" s="70" t="s">
        <v>3178</v>
      </c>
      <c r="F158" s="70" t="s">
        <v>3938</v>
      </c>
      <c r="G158" s="70" t="s">
        <v>3939</v>
      </c>
      <c r="H158" s="300" t="str">
        <f t="shared" si="5"/>
        <v>Ovis canadensis</v>
      </c>
      <c r="I158" s="85">
        <f t="shared" si="4"/>
        <v>4.8730000000000011</v>
      </c>
      <c r="J158" s="85">
        <v>74644.875841006782</v>
      </c>
      <c r="K158" s="131" t="s">
        <v>6724</v>
      </c>
      <c r="L158" s="63">
        <v>60</v>
      </c>
      <c r="M158" s="47" t="s">
        <v>6392</v>
      </c>
    </row>
    <row r="159" spans="1:28" ht="14" x14ac:dyDescent="0.15">
      <c r="A159" s="70" t="s">
        <v>3635</v>
      </c>
      <c r="B159" s="82"/>
      <c r="C159" s="70" t="s">
        <v>3636</v>
      </c>
      <c r="D159" s="70" t="s">
        <v>2837</v>
      </c>
      <c r="E159" s="70" t="s">
        <v>3178</v>
      </c>
      <c r="F159" s="70" t="s">
        <v>3938</v>
      </c>
      <c r="G159" s="70" t="s">
        <v>7197</v>
      </c>
      <c r="H159" s="300" t="str">
        <f t="shared" si="5"/>
        <v>Ovis dalli</v>
      </c>
      <c r="I159" s="85">
        <f t="shared" si="4"/>
        <v>4.745470000000001</v>
      </c>
      <c r="J159" s="85">
        <v>55650.619084470993</v>
      </c>
      <c r="K159" s="131" t="s">
        <v>3177</v>
      </c>
      <c r="L159" s="60">
        <v>60</v>
      </c>
    </row>
    <row r="160" spans="1:28" ht="28" x14ac:dyDescent="0.2">
      <c r="A160" s="70" t="s">
        <v>2479</v>
      </c>
      <c r="B160" s="93" t="s">
        <v>2885</v>
      </c>
      <c r="C160" s="70" t="s">
        <v>3636</v>
      </c>
      <c r="D160" s="70" t="s">
        <v>2837</v>
      </c>
      <c r="E160" s="70" t="s">
        <v>3178</v>
      </c>
      <c r="F160" s="70" t="s">
        <v>3938</v>
      </c>
      <c r="G160" s="70" t="s">
        <v>5583</v>
      </c>
      <c r="H160" s="300" t="str">
        <f t="shared" si="5"/>
        <v>Ovis nivicola</v>
      </c>
      <c r="I160" s="85">
        <f t="shared" si="4"/>
        <v>4.9542425094393252</v>
      </c>
      <c r="J160" s="85">
        <v>90000</v>
      </c>
      <c r="K160" s="131" t="s">
        <v>6758</v>
      </c>
      <c r="L160" s="60">
        <v>135</v>
      </c>
      <c r="M160" s="47" t="s">
        <v>6392</v>
      </c>
      <c r="N160" s="32"/>
    </row>
    <row r="161" spans="1:28" ht="42" x14ac:dyDescent="0.15">
      <c r="A161" s="70" t="s">
        <v>2479</v>
      </c>
      <c r="B161" s="93" t="s">
        <v>7395</v>
      </c>
      <c r="C161" s="70" t="s">
        <v>3636</v>
      </c>
      <c r="D161" s="70" t="s">
        <v>2837</v>
      </c>
      <c r="E161" s="70" t="s">
        <v>3178</v>
      </c>
      <c r="F161" s="70" t="s">
        <v>3938</v>
      </c>
      <c r="G161" s="70" t="s">
        <v>5510</v>
      </c>
      <c r="H161" s="300" t="str">
        <f t="shared" si="5"/>
        <v>Ovis vignei</v>
      </c>
      <c r="I161" s="85">
        <f t="shared" si="4"/>
        <v>4.7781512503836439</v>
      </c>
      <c r="J161" s="85">
        <v>60000</v>
      </c>
      <c r="K161" s="131" t="s">
        <v>3177</v>
      </c>
      <c r="L161" s="60">
        <v>56</v>
      </c>
      <c r="M161" s="33"/>
    </row>
    <row r="162" spans="1:28" ht="42" x14ac:dyDescent="0.15">
      <c r="A162" s="70" t="s">
        <v>7029</v>
      </c>
      <c r="B162" s="82"/>
      <c r="C162" s="70" t="s">
        <v>3636</v>
      </c>
      <c r="D162" s="70" t="s">
        <v>2837</v>
      </c>
      <c r="E162" s="70" t="s">
        <v>3724</v>
      </c>
      <c r="F162" s="70" t="s">
        <v>3755</v>
      </c>
      <c r="G162" s="70" t="s">
        <v>3756</v>
      </c>
      <c r="H162" s="300" t="str">
        <f t="shared" si="5"/>
        <v>Ozotoceros bezoarticus</v>
      </c>
      <c r="I162" s="85">
        <f t="shared" si="4"/>
        <v>4.6020599999999998</v>
      </c>
      <c r="J162" s="85">
        <v>40000.000798724192</v>
      </c>
      <c r="K162" s="131" t="s">
        <v>6729</v>
      </c>
      <c r="L162" s="60">
        <v>60</v>
      </c>
      <c r="M162" s="49" t="s">
        <v>6725</v>
      </c>
      <c r="S162" s="245"/>
      <c r="T162" s="245"/>
      <c r="U162" s="245"/>
      <c r="V162" s="245"/>
      <c r="W162" s="245"/>
      <c r="X162" s="245"/>
      <c r="Y162" s="245"/>
      <c r="Z162" s="246"/>
      <c r="AA162" s="246"/>
      <c r="AB162" s="246"/>
    </row>
    <row r="163" spans="1:28" s="295" customFormat="1" ht="28" x14ac:dyDescent="0.2">
      <c r="A163" s="166" t="s">
        <v>2479</v>
      </c>
      <c r="B163" s="82"/>
      <c r="C163" s="70" t="s">
        <v>3636</v>
      </c>
      <c r="D163" s="70" t="s">
        <v>2837</v>
      </c>
      <c r="E163" s="70" t="s">
        <v>3178</v>
      </c>
      <c r="F163" s="70" t="s">
        <v>5749</v>
      </c>
      <c r="G163" s="70" t="s">
        <v>5577</v>
      </c>
      <c r="H163" s="300" t="str">
        <f t="shared" si="5"/>
        <v>Pantholops hodgsonii</v>
      </c>
      <c r="I163" s="85">
        <f t="shared" si="4"/>
        <v>4.4393326938302629</v>
      </c>
      <c r="J163" s="85">
        <v>27500</v>
      </c>
      <c r="K163" s="131" t="s">
        <v>6759</v>
      </c>
      <c r="L163" s="60">
        <v>68</v>
      </c>
      <c r="M163" s="47" t="s">
        <v>6390</v>
      </c>
      <c r="N163" s="37"/>
      <c r="O163" s="37"/>
      <c r="P163" s="37"/>
      <c r="Q163" s="3"/>
      <c r="R163" s="3"/>
      <c r="S163" s="3"/>
      <c r="T163" s="3"/>
      <c r="U163" s="3"/>
      <c r="V163" s="3"/>
      <c r="W163" s="3"/>
      <c r="X163" s="3"/>
      <c r="Y163" s="3"/>
      <c r="Z163" s="4"/>
      <c r="AA163"/>
      <c r="AB163"/>
    </row>
    <row r="164" spans="1:28" s="295" customFormat="1" ht="14" x14ac:dyDescent="0.15">
      <c r="A164" s="285" t="s">
        <v>3635</v>
      </c>
      <c r="B164" s="82"/>
      <c r="C164" s="70" t="s">
        <v>3636</v>
      </c>
      <c r="D164" s="70" t="s">
        <v>2837</v>
      </c>
      <c r="E164" s="70" t="s">
        <v>4379</v>
      </c>
      <c r="F164" s="70" t="s">
        <v>3768</v>
      </c>
      <c r="G164" s="70" t="s">
        <v>3769</v>
      </c>
      <c r="H164" s="300" t="str">
        <f t="shared" si="5"/>
        <v>Pecari tajacu</v>
      </c>
      <c r="I164" s="85">
        <f t="shared" si="4"/>
        <v>4.327700000000001</v>
      </c>
      <c r="J164" s="85">
        <v>21266.694872358308</v>
      </c>
      <c r="K164" s="131" t="s">
        <v>3177</v>
      </c>
      <c r="L164" s="60">
        <v>60</v>
      </c>
      <c r="M164" s="49"/>
      <c r="N164" s="37"/>
      <c r="O164" s="37"/>
      <c r="P164" s="37"/>
      <c r="Q164" s="3"/>
      <c r="R164" s="3"/>
      <c r="S164" s="3"/>
      <c r="T164" s="3"/>
      <c r="U164" s="3"/>
      <c r="V164" s="3"/>
      <c r="W164" s="3"/>
      <c r="X164" s="3"/>
      <c r="Y164" s="3"/>
      <c r="Z164" s="4"/>
      <c r="AA164"/>
      <c r="AB164"/>
    </row>
    <row r="165" spans="1:28" ht="14" x14ac:dyDescent="0.15">
      <c r="A165" s="70" t="s">
        <v>2633</v>
      </c>
      <c r="B165" s="82"/>
      <c r="C165" s="70" t="s">
        <v>3636</v>
      </c>
      <c r="D165" s="70" t="s">
        <v>2837</v>
      </c>
      <c r="E165" s="70" t="s">
        <v>3178</v>
      </c>
      <c r="F165" s="70" t="s">
        <v>7176</v>
      </c>
      <c r="G165" s="70" t="s">
        <v>6957</v>
      </c>
      <c r="H165" s="300" t="str">
        <f t="shared" si="5"/>
        <v>Pelea capreolus</v>
      </c>
      <c r="I165" s="85">
        <f t="shared" si="4"/>
        <v>4.3010300000000008</v>
      </c>
      <c r="J165" s="85">
        <v>20000.000199681075</v>
      </c>
      <c r="K165" s="131" t="s">
        <v>6522</v>
      </c>
      <c r="L165" s="60">
        <v>60</v>
      </c>
      <c r="M165" s="49" t="s">
        <v>6392</v>
      </c>
    </row>
    <row r="166" spans="1:28" ht="28" x14ac:dyDescent="0.15">
      <c r="A166" s="70" t="s">
        <v>2633</v>
      </c>
      <c r="B166" s="82"/>
      <c r="C166" s="70" t="s">
        <v>3636</v>
      </c>
      <c r="D166" s="70" t="s">
        <v>2837</v>
      </c>
      <c r="E166" s="70" t="s">
        <v>3088</v>
      </c>
      <c r="F166" s="70" t="s">
        <v>3300</v>
      </c>
      <c r="G166" s="70" t="s">
        <v>3301</v>
      </c>
      <c r="H166" s="300" t="str">
        <f t="shared" si="5"/>
        <v>Phacochoerus aethiopicus</v>
      </c>
      <c r="I166" s="85">
        <f t="shared" si="4"/>
        <v>4.8512599999999999</v>
      </c>
      <c r="J166" s="85">
        <v>71000.269957767028</v>
      </c>
      <c r="K166" s="131" t="s">
        <v>3177</v>
      </c>
      <c r="L166" s="60" t="s">
        <v>2686</v>
      </c>
      <c r="S166" s="245"/>
      <c r="T166" s="245"/>
      <c r="U166" s="245"/>
      <c r="V166" s="245"/>
      <c r="W166" s="245"/>
      <c r="X166" s="245"/>
      <c r="Y166" s="245"/>
      <c r="Z166" s="246"/>
      <c r="AA166" s="243"/>
      <c r="AB166" s="243"/>
    </row>
    <row r="167" spans="1:28" ht="42" x14ac:dyDescent="0.15">
      <c r="A167" s="73" t="s">
        <v>2633</v>
      </c>
      <c r="B167" s="93" t="s">
        <v>4551</v>
      </c>
      <c r="C167" s="70" t="s">
        <v>3636</v>
      </c>
      <c r="D167" s="70" t="s">
        <v>2837</v>
      </c>
      <c r="E167" s="70" t="s">
        <v>3088</v>
      </c>
      <c r="F167" s="70" t="s">
        <v>3300</v>
      </c>
      <c r="G167" s="70" t="s">
        <v>6975</v>
      </c>
      <c r="H167" s="300" t="str">
        <f t="shared" si="5"/>
        <v>Phacochoerus africanus</v>
      </c>
      <c r="I167" s="85">
        <f t="shared" si="4"/>
        <v>4.9164539485499255</v>
      </c>
      <c r="J167" s="85">
        <f>AVERAGE(60000, 105000)</f>
        <v>82500</v>
      </c>
      <c r="K167" s="131" t="s">
        <v>6690</v>
      </c>
      <c r="L167" s="63">
        <v>70</v>
      </c>
      <c r="M167" s="35"/>
    </row>
    <row r="168" spans="1:28" ht="42" x14ac:dyDescent="0.15">
      <c r="A168" s="70" t="s">
        <v>2633</v>
      </c>
      <c r="B168" s="93" t="s">
        <v>7233</v>
      </c>
      <c r="C168" s="70" t="s">
        <v>3636</v>
      </c>
      <c r="D168" s="70" t="s">
        <v>2837</v>
      </c>
      <c r="E168" s="70" t="s">
        <v>3088</v>
      </c>
      <c r="F168" s="70" t="s">
        <v>3302</v>
      </c>
      <c r="G168" s="70" t="s">
        <v>5630</v>
      </c>
      <c r="H168" s="300" t="str">
        <f t="shared" si="5"/>
        <v>Potamochoerus larvatus</v>
      </c>
      <c r="I168" s="85">
        <f t="shared" si="4"/>
        <v>4.989004615698537</v>
      </c>
      <c r="J168" s="85">
        <f>AVERAGE(45000, 150000)</f>
        <v>97500</v>
      </c>
      <c r="K168" s="131" t="s">
        <v>3177</v>
      </c>
      <c r="L168" s="60">
        <v>70</v>
      </c>
    </row>
    <row r="169" spans="1:28" ht="28" x14ac:dyDescent="0.15">
      <c r="A169" s="70" t="s">
        <v>2481</v>
      </c>
      <c r="B169" s="93" t="s">
        <v>2480</v>
      </c>
      <c r="C169" s="70" t="s">
        <v>3636</v>
      </c>
      <c r="D169" s="70" t="s">
        <v>2837</v>
      </c>
      <c r="E169" s="70" t="s">
        <v>3088</v>
      </c>
      <c r="F169" s="70" t="s">
        <v>3302</v>
      </c>
      <c r="G169" s="70" t="s">
        <v>5630</v>
      </c>
      <c r="H169" s="300" t="str">
        <f t="shared" si="5"/>
        <v>Potamochoerus larvatus</v>
      </c>
      <c r="I169" s="85">
        <f t="shared" si="4"/>
        <v>1.7958800173440752</v>
      </c>
      <c r="J169" s="85">
        <v>62.5</v>
      </c>
      <c r="L169" s="60">
        <v>150</v>
      </c>
      <c r="M169" s="37"/>
      <c r="N169" s="32"/>
      <c r="S169" s="245"/>
      <c r="T169" s="245"/>
      <c r="U169" s="245"/>
      <c r="V169" s="245"/>
      <c r="W169" s="245"/>
      <c r="X169" s="245"/>
      <c r="Y169" s="245"/>
      <c r="Z169" s="246"/>
      <c r="AA169" s="244"/>
      <c r="AB169" s="244"/>
    </row>
    <row r="170" spans="1:28" s="222" customFormat="1" ht="14" x14ac:dyDescent="0.15">
      <c r="A170" s="70" t="s">
        <v>2633</v>
      </c>
      <c r="B170" s="82"/>
      <c r="C170" s="70" t="s">
        <v>3636</v>
      </c>
      <c r="D170" s="70" t="s">
        <v>2837</v>
      </c>
      <c r="E170" s="70" t="s">
        <v>3088</v>
      </c>
      <c r="F170" s="70" t="s">
        <v>3302</v>
      </c>
      <c r="G170" s="70" t="s">
        <v>3303</v>
      </c>
      <c r="H170" s="300" t="str">
        <f t="shared" si="5"/>
        <v>Potamochoerus porcus</v>
      </c>
      <c r="I170" s="85">
        <f t="shared" si="4"/>
        <v>4.8451000000000004</v>
      </c>
      <c r="J170" s="85">
        <v>70000.315913089813</v>
      </c>
      <c r="K170" s="131" t="s">
        <v>3177</v>
      </c>
      <c r="L170" s="60" t="s">
        <v>2686</v>
      </c>
      <c r="M170" s="49"/>
      <c r="N170" s="37"/>
      <c r="O170" s="37"/>
      <c r="P170" s="37"/>
      <c r="Q170" s="3"/>
      <c r="R170" s="3"/>
      <c r="S170" s="245"/>
      <c r="T170" s="245"/>
      <c r="U170" s="245"/>
      <c r="V170" s="245"/>
      <c r="W170" s="245"/>
      <c r="X170" s="245"/>
      <c r="Y170" s="245"/>
      <c r="Z170" s="246"/>
      <c r="AA170" s="244"/>
      <c r="AB170" s="244"/>
    </row>
    <row r="171" spans="1:28" ht="14" x14ac:dyDescent="0.15">
      <c r="A171" s="70" t="s">
        <v>2479</v>
      </c>
      <c r="B171" s="93" t="s">
        <v>4838</v>
      </c>
      <c r="C171" s="70" t="s">
        <v>3636</v>
      </c>
      <c r="D171" s="70" t="s">
        <v>2837</v>
      </c>
      <c r="E171" s="70" t="s">
        <v>3178</v>
      </c>
      <c r="F171" s="70" t="s">
        <v>5537</v>
      </c>
      <c r="G171" s="70" t="s">
        <v>5538</v>
      </c>
      <c r="H171" s="300" t="str">
        <f t="shared" si="5"/>
        <v>Procapra gutturosa</v>
      </c>
      <c r="I171" s="85">
        <f t="shared" si="4"/>
        <v>4.4432629874586951</v>
      </c>
      <c r="J171" s="85">
        <f>AVERAGE(24000, 31500)</f>
        <v>27750</v>
      </c>
      <c r="K171" s="131" t="s">
        <v>1551</v>
      </c>
      <c r="L171" s="60">
        <v>95</v>
      </c>
      <c r="M171" s="49" t="s">
        <v>6392</v>
      </c>
      <c r="N171" s="32"/>
    </row>
    <row r="172" spans="1:28" ht="14" x14ac:dyDescent="0.15">
      <c r="A172" s="70" t="s">
        <v>2479</v>
      </c>
      <c r="B172" s="93" t="s">
        <v>7317</v>
      </c>
      <c r="C172" s="70" t="s">
        <v>3636</v>
      </c>
      <c r="D172" s="70" t="s">
        <v>2837</v>
      </c>
      <c r="E172" s="70" t="s">
        <v>3178</v>
      </c>
      <c r="F172" s="70" t="s">
        <v>5537</v>
      </c>
      <c r="G172" s="70" t="s">
        <v>5527</v>
      </c>
      <c r="H172" s="300" t="str">
        <f t="shared" si="5"/>
        <v>Procapra picticaudata</v>
      </c>
      <c r="I172" s="85">
        <f t="shared" si="4"/>
        <v>4.3010299956639813</v>
      </c>
      <c r="J172" s="85">
        <v>20000</v>
      </c>
      <c r="K172" s="131" t="s">
        <v>1551</v>
      </c>
      <c r="L172" s="60">
        <v>136</v>
      </c>
      <c r="M172" s="49" t="s">
        <v>6392</v>
      </c>
    </row>
    <row r="173" spans="1:28" ht="42" x14ac:dyDescent="0.2">
      <c r="A173" s="70" t="s">
        <v>2479</v>
      </c>
      <c r="B173" s="93" t="s">
        <v>7242</v>
      </c>
      <c r="C173" s="70" t="s">
        <v>3636</v>
      </c>
      <c r="D173" s="70" t="s">
        <v>2837</v>
      </c>
      <c r="E173" s="70" t="s">
        <v>3178</v>
      </c>
      <c r="F173" s="70" t="s">
        <v>5537</v>
      </c>
      <c r="G173" s="70" t="s">
        <v>5718</v>
      </c>
      <c r="H173" s="300" t="str">
        <f t="shared" si="5"/>
        <v>Procapra przewalskii</v>
      </c>
      <c r="I173" s="85">
        <f t="shared" si="4"/>
        <v>4.4393326938302629</v>
      </c>
      <c r="J173" s="85">
        <f>AVERAGE(20000, 35000)</f>
        <v>27500</v>
      </c>
      <c r="K173" s="131" t="s">
        <v>1386</v>
      </c>
      <c r="L173" s="60">
        <v>141</v>
      </c>
      <c r="M173" s="47" t="s">
        <v>6809</v>
      </c>
      <c r="S173" s="12"/>
      <c r="T173" s="12"/>
      <c r="U173" s="12"/>
      <c r="V173" s="12"/>
      <c r="W173" s="12"/>
      <c r="X173" s="12"/>
      <c r="Y173" s="12"/>
      <c r="Z173" s="16"/>
      <c r="AA173" s="13"/>
      <c r="AB173" s="13"/>
    </row>
    <row r="174" spans="1:28" ht="17" x14ac:dyDescent="0.2">
      <c r="A174" s="70" t="s">
        <v>2479</v>
      </c>
      <c r="B174" s="82"/>
      <c r="C174" s="70" t="s">
        <v>3636</v>
      </c>
      <c r="D174" s="70" t="s">
        <v>2837</v>
      </c>
      <c r="E174" s="70" t="s">
        <v>3178</v>
      </c>
      <c r="F174" s="70" t="s">
        <v>5578</v>
      </c>
      <c r="G174" s="70" t="s">
        <v>5579</v>
      </c>
      <c r="H174" s="300" t="str">
        <f t="shared" si="5"/>
        <v>Pseudois nayaur</v>
      </c>
      <c r="I174" s="85">
        <f t="shared" si="4"/>
        <v>4.653212513775344</v>
      </c>
      <c r="J174" s="85">
        <v>45000</v>
      </c>
      <c r="K174" s="131" t="s">
        <v>6817</v>
      </c>
      <c r="L174" s="60">
        <v>68</v>
      </c>
      <c r="M174" s="47" t="s">
        <v>6392</v>
      </c>
    </row>
    <row r="175" spans="1:28" ht="14" x14ac:dyDescent="0.15">
      <c r="A175" s="70" t="s">
        <v>2479</v>
      </c>
      <c r="B175" s="93" t="s">
        <v>1902</v>
      </c>
      <c r="C175" s="70" t="s">
        <v>3636</v>
      </c>
      <c r="D175" s="70" t="s">
        <v>2837</v>
      </c>
      <c r="E175" s="70" t="s">
        <v>3178</v>
      </c>
      <c r="F175" s="70" t="s">
        <v>5578</v>
      </c>
      <c r="G175" s="70" t="s">
        <v>5344</v>
      </c>
      <c r="H175" s="300" t="str">
        <f t="shared" si="5"/>
        <v>Pseudois schaeferi</v>
      </c>
      <c r="I175" s="85">
        <f t="shared" si="4"/>
        <v>4.4661258704181996</v>
      </c>
      <c r="J175" s="85">
        <f>AVERAGE(33500, 25000)</f>
        <v>29250</v>
      </c>
      <c r="K175" s="131" t="s">
        <v>6522</v>
      </c>
      <c r="L175" s="60">
        <v>80</v>
      </c>
      <c r="M175" s="33" t="s">
        <v>6390</v>
      </c>
      <c r="N175" s="32"/>
    </row>
    <row r="176" spans="1:28" ht="28" x14ac:dyDescent="0.15">
      <c r="A176" s="70" t="s">
        <v>7029</v>
      </c>
      <c r="B176" s="82"/>
      <c r="C176" s="70" t="s">
        <v>3636</v>
      </c>
      <c r="D176" s="70" t="s">
        <v>2837</v>
      </c>
      <c r="E176" s="70" t="s">
        <v>3724</v>
      </c>
      <c r="F176" s="70" t="s">
        <v>3330</v>
      </c>
      <c r="G176" s="70" t="s">
        <v>2918</v>
      </c>
      <c r="H176" s="300" t="str">
        <f t="shared" si="5"/>
        <v>Pudu mephistophiles</v>
      </c>
      <c r="I176" s="85">
        <f t="shared" si="4"/>
        <v>3.9822700000000006</v>
      </c>
      <c r="J176" s="85">
        <v>9599.9727439248272</v>
      </c>
      <c r="K176" s="131" t="s">
        <v>6658</v>
      </c>
      <c r="L176" s="69">
        <v>61</v>
      </c>
      <c r="M176" s="49" t="s">
        <v>6392</v>
      </c>
      <c r="S176" s="245"/>
      <c r="T176" s="245"/>
      <c r="U176" s="245"/>
      <c r="V176" s="245"/>
      <c r="W176" s="245"/>
      <c r="X176" s="245"/>
      <c r="Y176" s="245"/>
      <c r="Z176" s="246"/>
      <c r="AA176" s="246"/>
      <c r="AB176" s="246"/>
    </row>
    <row r="177" spans="1:28" ht="14" x14ac:dyDescent="0.15">
      <c r="A177" s="70" t="s">
        <v>7029</v>
      </c>
      <c r="B177" s="82"/>
      <c r="C177" s="70" t="s">
        <v>3636</v>
      </c>
      <c r="D177" s="70" t="s">
        <v>2837</v>
      </c>
      <c r="E177" s="70" t="s">
        <v>3724</v>
      </c>
      <c r="F177" s="70" t="s">
        <v>3330</v>
      </c>
      <c r="G177" s="70" t="s">
        <v>4191</v>
      </c>
      <c r="H177" s="300" t="str">
        <f t="shared" si="5"/>
        <v>Pudu puda</v>
      </c>
      <c r="I177" s="85">
        <f t="shared" si="4"/>
        <v>3.9890000000000003</v>
      </c>
      <c r="J177" s="85">
        <v>9749.8963771738727</v>
      </c>
      <c r="K177" s="131" t="s">
        <v>6670</v>
      </c>
      <c r="L177" s="69">
        <v>61</v>
      </c>
      <c r="M177" s="49" t="s">
        <v>6728</v>
      </c>
      <c r="S177" s="245"/>
      <c r="T177" s="245"/>
      <c r="U177" s="245"/>
      <c r="V177" s="245"/>
      <c r="W177" s="245"/>
      <c r="X177" s="245"/>
      <c r="Y177" s="245"/>
      <c r="Z177" s="246"/>
      <c r="AA177" s="246"/>
      <c r="AB177" s="246"/>
    </row>
    <row r="178" spans="1:28" ht="14" x14ac:dyDescent="0.15">
      <c r="A178" s="70" t="s">
        <v>3635</v>
      </c>
      <c r="B178" s="82"/>
      <c r="C178" s="70" t="s">
        <v>3636</v>
      </c>
      <c r="D178" s="70" t="s">
        <v>2837</v>
      </c>
      <c r="E178" s="70" t="s">
        <v>3724</v>
      </c>
      <c r="F178" s="70" t="s">
        <v>3933</v>
      </c>
      <c r="G178" s="70" t="s">
        <v>3495</v>
      </c>
      <c r="H178" s="300" t="str">
        <f t="shared" si="5"/>
        <v>Rangifer tarandus</v>
      </c>
      <c r="I178" s="85">
        <f t="shared" si="4"/>
        <v>4.9346699999999997</v>
      </c>
      <c r="J178" s="85">
        <v>86033.977192547318</v>
      </c>
      <c r="K178" s="131" t="s">
        <v>3177</v>
      </c>
      <c r="L178" s="60">
        <v>60</v>
      </c>
      <c r="S178" s="245"/>
      <c r="T178" s="245"/>
      <c r="U178" s="245"/>
      <c r="V178" s="245"/>
      <c r="W178" s="245"/>
      <c r="X178" s="245"/>
      <c r="Y178" s="245"/>
      <c r="Z178" s="246"/>
      <c r="AA178" s="246"/>
      <c r="AB178" s="246"/>
    </row>
    <row r="179" spans="1:28" ht="14" x14ac:dyDescent="0.15">
      <c r="A179" s="70" t="s">
        <v>2633</v>
      </c>
      <c r="B179" s="82"/>
      <c r="C179" s="70" t="s">
        <v>3636</v>
      </c>
      <c r="D179" s="70" t="s">
        <v>2837</v>
      </c>
      <c r="E179" s="70" t="s">
        <v>3178</v>
      </c>
      <c r="F179" s="70" t="s">
        <v>6968</v>
      </c>
      <c r="G179" s="70" t="s">
        <v>3447</v>
      </c>
      <c r="H179" s="300" t="str">
        <f t="shared" si="5"/>
        <v>Raphicerus campestris</v>
      </c>
      <c r="I179" s="85">
        <f t="shared" si="4"/>
        <v>4.0211900000000007</v>
      </c>
      <c r="J179" s="85">
        <v>10500.016946500356</v>
      </c>
      <c r="K179" s="131" t="s">
        <v>3177</v>
      </c>
      <c r="L179" s="60" t="s">
        <v>2686</v>
      </c>
    </row>
    <row r="180" spans="1:28" ht="14" x14ac:dyDescent="0.15">
      <c r="A180" s="70" t="s">
        <v>2633</v>
      </c>
      <c r="B180" s="82"/>
      <c r="C180" s="70" t="s">
        <v>3636</v>
      </c>
      <c r="D180" s="70" t="s">
        <v>2837</v>
      </c>
      <c r="E180" s="70" t="s">
        <v>3178</v>
      </c>
      <c r="F180" s="70" t="s">
        <v>6968</v>
      </c>
      <c r="G180" s="70" t="s">
        <v>4451</v>
      </c>
      <c r="H180" s="300" t="str">
        <f t="shared" si="5"/>
        <v>Raphicerus melanotis</v>
      </c>
      <c r="I180" s="85">
        <f t="shared" si="4"/>
        <v>4.010720000000001</v>
      </c>
      <c r="J180" s="85">
        <v>10249.908771372877</v>
      </c>
      <c r="K180" s="131" t="s">
        <v>6816</v>
      </c>
      <c r="L180" s="60">
        <v>60</v>
      </c>
      <c r="M180" s="49" t="s">
        <v>6392</v>
      </c>
    </row>
    <row r="181" spans="1:28" s="222" customFormat="1" ht="14" x14ac:dyDescent="0.15">
      <c r="A181" s="73" t="s">
        <v>2633</v>
      </c>
      <c r="B181" s="82"/>
      <c r="C181" s="70" t="s">
        <v>3636</v>
      </c>
      <c r="D181" s="70" t="s">
        <v>2837</v>
      </c>
      <c r="E181" s="70" t="s">
        <v>3178</v>
      </c>
      <c r="F181" s="70" t="s">
        <v>6968</v>
      </c>
      <c r="G181" s="70" t="s">
        <v>6958</v>
      </c>
      <c r="H181" s="300" t="str">
        <f t="shared" si="5"/>
        <v>Raphicerus sharpei</v>
      </c>
      <c r="I181" s="85">
        <f t="shared" si="4"/>
        <v>3.9777200000000006</v>
      </c>
      <c r="J181" s="85">
        <v>9499.9211362259666</v>
      </c>
      <c r="K181" s="131" t="s">
        <v>6817</v>
      </c>
      <c r="L181" s="63" t="s">
        <v>2686</v>
      </c>
      <c r="M181" s="49" t="s">
        <v>6392</v>
      </c>
      <c r="N181" s="37"/>
      <c r="O181" s="37"/>
      <c r="P181" s="37"/>
      <c r="Q181" s="3"/>
      <c r="R181" s="3"/>
      <c r="S181" s="3"/>
      <c r="T181" s="3"/>
      <c r="U181" s="3"/>
      <c r="V181" s="3"/>
      <c r="W181" s="3"/>
      <c r="X181" s="3"/>
      <c r="Y181" s="3"/>
      <c r="Z181" s="4"/>
      <c r="AA181"/>
      <c r="AB181"/>
    </row>
    <row r="182" spans="1:28" ht="14" x14ac:dyDescent="0.15">
      <c r="A182" s="70" t="s">
        <v>2633</v>
      </c>
      <c r="B182" s="82"/>
      <c r="C182" s="70" t="s">
        <v>3636</v>
      </c>
      <c r="D182" s="70" t="s">
        <v>2837</v>
      </c>
      <c r="E182" s="70" t="s">
        <v>3178</v>
      </c>
      <c r="F182" s="70" t="s">
        <v>6960</v>
      </c>
      <c r="G182" s="70" t="s">
        <v>7184</v>
      </c>
      <c r="H182" s="300" t="str">
        <f t="shared" si="5"/>
        <v>Redunca arundinum</v>
      </c>
      <c r="I182" s="85">
        <f t="shared" ref="I182:I210" si="6">LOG(J182)</f>
        <v>4.7634300000000005</v>
      </c>
      <c r="J182" s="85">
        <v>58000.267960159108</v>
      </c>
      <c r="K182" s="131" t="s">
        <v>6391</v>
      </c>
      <c r="L182" s="60" t="s">
        <v>2686</v>
      </c>
      <c r="M182" s="49" t="s">
        <v>6392</v>
      </c>
    </row>
    <row r="183" spans="1:28" ht="14" x14ac:dyDescent="0.15">
      <c r="A183" s="70" t="s">
        <v>2633</v>
      </c>
      <c r="B183" s="82"/>
      <c r="C183" s="70" t="s">
        <v>3636</v>
      </c>
      <c r="D183" s="70" t="s">
        <v>2837</v>
      </c>
      <c r="E183" s="70" t="s">
        <v>3178</v>
      </c>
      <c r="F183" s="70" t="s">
        <v>6960</v>
      </c>
      <c r="G183" s="70" t="s">
        <v>2183</v>
      </c>
      <c r="H183" s="300" t="str">
        <f t="shared" si="5"/>
        <v>Redunca fulvorufula</v>
      </c>
      <c r="I183" s="85">
        <f t="shared" si="6"/>
        <v>4.4698200000000003</v>
      </c>
      <c r="J183" s="85">
        <v>29499.863062460532</v>
      </c>
      <c r="K183" s="131" t="s">
        <v>7661</v>
      </c>
      <c r="L183" s="63" t="s">
        <v>2686</v>
      </c>
      <c r="M183" s="49" t="s">
        <v>6392</v>
      </c>
      <c r="P183" s="49"/>
    </row>
    <row r="184" spans="1:28" ht="14" x14ac:dyDescent="0.15">
      <c r="A184" s="70" t="s">
        <v>2633</v>
      </c>
      <c r="B184" s="82"/>
      <c r="C184" s="73" t="s">
        <v>3636</v>
      </c>
      <c r="D184" s="73" t="s">
        <v>2837</v>
      </c>
      <c r="E184" s="73" t="s">
        <v>3178</v>
      </c>
      <c r="F184" s="73" t="s">
        <v>6960</v>
      </c>
      <c r="G184" s="73" t="s">
        <v>7187</v>
      </c>
      <c r="H184" s="300" t="str">
        <f t="shared" si="5"/>
        <v>Redunca redunca</v>
      </c>
      <c r="I184" s="85">
        <f t="shared" si="6"/>
        <v>4.6439500000000011</v>
      </c>
      <c r="J184" s="95">
        <v>44050.414567309555</v>
      </c>
      <c r="K184" s="131" t="s">
        <v>6817</v>
      </c>
      <c r="L184" s="60" t="s">
        <v>2686</v>
      </c>
      <c r="M184" s="49" t="s">
        <v>6392</v>
      </c>
    </row>
    <row r="185" spans="1:28" ht="14" x14ac:dyDescent="0.15">
      <c r="A185" s="70" t="s">
        <v>2479</v>
      </c>
      <c r="B185" s="93" t="s">
        <v>5031</v>
      </c>
      <c r="C185" s="70" t="s">
        <v>3636</v>
      </c>
      <c r="D185" s="70" t="s">
        <v>2837</v>
      </c>
      <c r="E185" s="70" t="s">
        <v>3178</v>
      </c>
      <c r="F185" s="70" t="s">
        <v>5567</v>
      </c>
      <c r="G185" s="70" t="s">
        <v>7785</v>
      </c>
      <c r="H185" s="300" t="str">
        <f t="shared" si="5"/>
        <v>Rupicapra pyrenaica</v>
      </c>
      <c r="I185" s="85">
        <f t="shared" si="6"/>
        <v>4.4771212547196626</v>
      </c>
      <c r="J185" s="85">
        <v>30000</v>
      </c>
      <c r="K185" s="131" t="s">
        <v>3177</v>
      </c>
      <c r="L185" s="60">
        <v>141</v>
      </c>
      <c r="M185" s="33" t="s">
        <v>6392</v>
      </c>
      <c r="Q185"/>
      <c r="R185"/>
    </row>
    <row r="186" spans="1:28" ht="16" x14ac:dyDescent="0.2">
      <c r="A186" s="70" t="s">
        <v>2479</v>
      </c>
      <c r="B186" s="82"/>
      <c r="C186" s="70" t="s">
        <v>3636</v>
      </c>
      <c r="D186" s="70" t="s">
        <v>2837</v>
      </c>
      <c r="E186" s="70" t="s">
        <v>3178</v>
      </c>
      <c r="F186" s="70" t="s">
        <v>5567</v>
      </c>
      <c r="G186" s="70" t="s">
        <v>5571</v>
      </c>
      <c r="H186" s="300" t="str">
        <f t="shared" si="5"/>
        <v>Rupicapra rupicapra</v>
      </c>
      <c r="I186" s="85">
        <f t="shared" si="6"/>
        <v>4.4166405073382808</v>
      </c>
      <c r="J186" s="85">
        <v>26100</v>
      </c>
      <c r="K186" s="131" t="s">
        <v>6485</v>
      </c>
      <c r="L186" s="60">
        <v>68</v>
      </c>
      <c r="M186" s="47"/>
      <c r="Q186"/>
      <c r="R186"/>
    </row>
    <row r="187" spans="1:28" ht="42" x14ac:dyDescent="0.2">
      <c r="A187" s="70" t="s">
        <v>2479</v>
      </c>
      <c r="B187" s="82"/>
      <c r="C187" s="70" t="s">
        <v>3636</v>
      </c>
      <c r="D187" s="70" t="s">
        <v>2837</v>
      </c>
      <c r="E187" s="70" t="s">
        <v>3178</v>
      </c>
      <c r="F187" s="70" t="s">
        <v>5897</v>
      </c>
      <c r="G187" s="70" t="s">
        <v>4700</v>
      </c>
      <c r="H187" s="300" t="str">
        <f t="shared" si="5"/>
        <v>Saiga tatarica</v>
      </c>
      <c r="I187" s="85">
        <f t="shared" si="6"/>
        <v>4.4623979978989565</v>
      </c>
      <c r="J187" s="85">
        <v>29000</v>
      </c>
      <c r="K187" s="131" t="s">
        <v>1333</v>
      </c>
      <c r="L187" s="60">
        <v>68</v>
      </c>
      <c r="M187" s="47" t="s">
        <v>6809</v>
      </c>
    </row>
    <row r="188" spans="1:28" ht="28" x14ac:dyDescent="0.15">
      <c r="A188" s="73" t="s">
        <v>2633</v>
      </c>
      <c r="B188" s="82"/>
      <c r="C188" s="70" t="s">
        <v>3636</v>
      </c>
      <c r="D188" s="70" t="s">
        <v>2837</v>
      </c>
      <c r="E188" s="70" t="s">
        <v>3178</v>
      </c>
      <c r="F188" s="70" t="s">
        <v>7412</v>
      </c>
      <c r="G188" s="70" t="s">
        <v>4603</v>
      </c>
      <c r="H188" s="300" t="str">
        <f t="shared" si="5"/>
        <v>Sigmoceros lichtensteinii</v>
      </c>
      <c r="I188" s="85">
        <f t="shared" si="6"/>
        <v>5.2342600000000008</v>
      </c>
      <c r="J188" s="85">
        <v>171498.37131800401</v>
      </c>
      <c r="K188" s="131" t="s">
        <v>6817</v>
      </c>
      <c r="L188" s="60">
        <v>60</v>
      </c>
      <c r="M188" s="49" t="s">
        <v>6392</v>
      </c>
    </row>
    <row r="189" spans="1:28" ht="14" x14ac:dyDescent="0.15">
      <c r="A189" s="70" t="s">
        <v>2479</v>
      </c>
      <c r="B189" s="93" t="s">
        <v>2367</v>
      </c>
      <c r="C189" s="70" t="s">
        <v>3636</v>
      </c>
      <c r="D189" s="70" t="s">
        <v>2837</v>
      </c>
      <c r="E189" s="70" t="s">
        <v>3088</v>
      </c>
      <c r="F189" s="70" t="s">
        <v>3304</v>
      </c>
      <c r="G189" s="70" t="s">
        <v>6011</v>
      </c>
      <c r="H189" s="300" t="str">
        <f t="shared" si="5"/>
        <v>Sus barbatus</v>
      </c>
      <c r="I189" s="85">
        <f t="shared" si="6"/>
        <v>4.9852767431792939</v>
      </c>
      <c r="J189" s="85">
        <f>AVERAGE(57000, 83000, 150000)</f>
        <v>96666.666666666672</v>
      </c>
      <c r="K189" s="131" t="s">
        <v>3177</v>
      </c>
      <c r="L189" s="60" t="s">
        <v>1474</v>
      </c>
      <c r="M189" s="33"/>
    </row>
    <row r="190" spans="1:28" ht="14" x14ac:dyDescent="0.15">
      <c r="A190" s="70" t="s">
        <v>2481</v>
      </c>
      <c r="B190" s="93" t="s">
        <v>7383</v>
      </c>
      <c r="C190" s="70" t="s">
        <v>3636</v>
      </c>
      <c r="D190" s="70" t="s">
        <v>2837</v>
      </c>
      <c r="E190" s="70" t="s">
        <v>3088</v>
      </c>
      <c r="F190" s="70" t="s">
        <v>3304</v>
      </c>
      <c r="G190" s="70" t="s">
        <v>6011</v>
      </c>
      <c r="H190" s="300" t="str">
        <f t="shared" si="5"/>
        <v>Sus barbatus</v>
      </c>
      <c r="I190" s="85">
        <f t="shared" si="6"/>
        <v>4.9852767431792939</v>
      </c>
      <c r="J190" s="85">
        <f>AVERAGE(57000, 83000, 150000)</f>
        <v>96666.666666666672</v>
      </c>
      <c r="K190" s="131" t="s">
        <v>3177</v>
      </c>
      <c r="L190" s="60" t="s">
        <v>1474</v>
      </c>
      <c r="M190" s="33"/>
    </row>
    <row r="191" spans="1:28" ht="14" x14ac:dyDescent="0.15">
      <c r="A191" s="275" t="s">
        <v>2481</v>
      </c>
      <c r="B191" s="276" t="s">
        <v>2487</v>
      </c>
      <c r="C191" s="275" t="s">
        <v>3636</v>
      </c>
      <c r="D191" s="275" t="s">
        <v>2837</v>
      </c>
      <c r="E191" s="275" t="s">
        <v>3088</v>
      </c>
      <c r="F191" s="275" t="s">
        <v>3304</v>
      </c>
      <c r="G191" s="275" t="s">
        <v>6242</v>
      </c>
      <c r="H191" s="300" t="str">
        <f t="shared" si="5"/>
        <v>Sus celebensis</v>
      </c>
      <c r="I191" s="277">
        <f t="shared" si="6"/>
        <v>4.7403626894942441</v>
      </c>
      <c r="J191" s="277">
        <f>AVERAGE(40000, 70000)</f>
        <v>55000</v>
      </c>
      <c r="K191" s="278" t="s">
        <v>3177</v>
      </c>
      <c r="L191" s="279" t="s">
        <v>7664</v>
      </c>
      <c r="M191" s="280"/>
      <c r="N191" s="281"/>
      <c r="O191" s="281"/>
      <c r="P191" s="281"/>
      <c r="Q191" s="282"/>
      <c r="R191" s="282"/>
      <c r="S191" s="282"/>
      <c r="T191" s="282"/>
      <c r="U191" s="282"/>
      <c r="V191" s="282"/>
      <c r="W191" s="282"/>
      <c r="X191" s="282"/>
      <c r="Y191" s="282"/>
      <c r="Z191" s="283"/>
      <c r="AA191" s="281"/>
      <c r="AB191" s="281"/>
    </row>
    <row r="192" spans="1:28" ht="14" x14ac:dyDescent="0.15">
      <c r="A192" s="70" t="s">
        <v>2479</v>
      </c>
      <c r="B192" s="93" t="s">
        <v>7385</v>
      </c>
      <c r="C192" s="70" t="s">
        <v>3636</v>
      </c>
      <c r="D192" s="70" t="s">
        <v>2837</v>
      </c>
      <c r="E192" s="70" t="s">
        <v>3088</v>
      </c>
      <c r="F192" s="70" t="s">
        <v>3304</v>
      </c>
      <c r="G192" s="70" t="s">
        <v>2829</v>
      </c>
      <c r="H192" s="300" t="str">
        <f t="shared" si="5"/>
        <v>Sus salvanius</v>
      </c>
      <c r="I192" s="85">
        <f t="shared" si="6"/>
        <v>3.8875047742353779</v>
      </c>
      <c r="J192" s="85">
        <f>17*454</f>
        <v>7718</v>
      </c>
      <c r="K192" s="131" t="s">
        <v>6817</v>
      </c>
      <c r="L192" s="60">
        <v>133</v>
      </c>
      <c r="M192" s="31" t="s">
        <v>6809</v>
      </c>
    </row>
    <row r="193" spans="1:28" s="295" customFormat="1" ht="14" x14ac:dyDescent="0.15">
      <c r="A193" s="286" t="s">
        <v>2479</v>
      </c>
      <c r="B193" s="287"/>
      <c r="C193" s="288" t="s">
        <v>3636</v>
      </c>
      <c r="D193" s="288" t="s">
        <v>2837</v>
      </c>
      <c r="E193" s="288" t="s">
        <v>3088</v>
      </c>
      <c r="F193" s="288" t="s">
        <v>3304</v>
      </c>
      <c r="G193" s="288" t="s">
        <v>3305</v>
      </c>
      <c r="H193" s="300" t="str">
        <f t="shared" si="5"/>
        <v>Sus scrofa</v>
      </c>
      <c r="I193" s="289">
        <f t="shared" si="6"/>
        <v>5.0692451171051838</v>
      </c>
      <c r="J193" s="289">
        <f>AVERAGE(112500, 92500, 60000, 153000, 45000, 128000, 230000)</f>
        <v>117285.71428571429</v>
      </c>
      <c r="K193" s="290"/>
      <c r="L193" s="291" t="s">
        <v>1329</v>
      </c>
      <c r="M193" s="292"/>
      <c r="N193" s="293"/>
      <c r="O193" s="293"/>
      <c r="P193" s="293"/>
      <c r="Q193" s="294"/>
      <c r="R193" s="294"/>
      <c r="S193" s="294"/>
      <c r="T193" s="294"/>
      <c r="U193" s="294"/>
      <c r="V193" s="294"/>
      <c r="W193" s="294"/>
      <c r="X193" s="294"/>
      <c r="Y193" s="294"/>
    </row>
    <row r="194" spans="1:28" ht="14" x14ac:dyDescent="0.15">
      <c r="A194" s="70" t="s">
        <v>2481</v>
      </c>
      <c r="B194" s="93" t="s">
        <v>2426</v>
      </c>
      <c r="C194" s="70" t="s">
        <v>3636</v>
      </c>
      <c r="D194" s="70" t="s">
        <v>2837</v>
      </c>
      <c r="E194" s="70" t="s">
        <v>3088</v>
      </c>
      <c r="F194" s="70" t="s">
        <v>3304</v>
      </c>
      <c r="G194" s="70" t="s">
        <v>7895</v>
      </c>
      <c r="H194" s="300" t="str">
        <f t="shared" si="5"/>
        <v>Sus verrucosus</v>
      </c>
      <c r="I194" s="85">
        <f t="shared" si="6"/>
        <v>4.9098233696509119</v>
      </c>
      <c r="J194" s="85">
        <f>AVERAGE(47500, 115000)</f>
        <v>81250</v>
      </c>
      <c r="K194" s="131" t="s">
        <v>3177</v>
      </c>
      <c r="L194" s="60">
        <v>136</v>
      </c>
      <c r="M194" s="33" t="s">
        <v>6390</v>
      </c>
    </row>
    <row r="195" spans="1:28" ht="14" x14ac:dyDescent="0.15">
      <c r="A195" s="70" t="s">
        <v>2633</v>
      </c>
      <c r="B195" s="82"/>
      <c r="C195" s="70" t="s">
        <v>3636</v>
      </c>
      <c r="D195" s="70" t="s">
        <v>2837</v>
      </c>
      <c r="E195" s="70" t="s">
        <v>3178</v>
      </c>
      <c r="F195" s="70" t="s">
        <v>3707</v>
      </c>
      <c r="G195" s="70" t="s">
        <v>3708</v>
      </c>
      <c r="H195" s="300" t="str">
        <f t="shared" si="5"/>
        <v>Sylvicapra grimmia</v>
      </c>
      <c r="I195" s="85">
        <f t="shared" si="6"/>
        <v>4.2900300000000007</v>
      </c>
      <c r="J195" s="85">
        <v>19499.792949034705</v>
      </c>
      <c r="K195" s="131" t="s">
        <v>3177</v>
      </c>
      <c r="L195" s="60" t="s">
        <v>2686</v>
      </c>
    </row>
    <row r="196" spans="1:28" ht="42" x14ac:dyDescent="0.15">
      <c r="A196" s="70" t="s">
        <v>2633</v>
      </c>
      <c r="B196" s="82"/>
      <c r="C196" s="70" t="s">
        <v>3636</v>
      </c>
      <c r="D196" s="70" t="s">
        <v>2837</v>
      </c>
      <c r="E196" s="70" t="s">
        <v>3178</v>
      </c>
      <c r="F196" s="70" t="s">
        <v>4120</v>
      </c>
      <c r="G196" s="70" t="s">
        <v>6270</v>
      </c>
      <c r="H196" s="300" t="str">
        <f t="shared" si="5"/>
        <v>Syncerus caffer</v>
      </c>
      <c r="I196" s="85">
        <f t="shared" si="6"/>
        <v>5.7634299999999996</v>
      </c>
      <c r="J196" s="85">
        <v>580002.67960159073</v>
      </c>
      <c r="K196" s="131" t="s">
        <v>6478</v>
      </c>
      <c r="L196" s="60" t="s">
        <v>2686</v>
      </c>
      <c r="M196" s="49" t="s">
        <v>6392</v>
      </c>
    </row>
    <row r="197" spans="1:28" ht="14" x14ac:dyDescent="0.15">
      <c r="A197" s="70" t="s">
        <v>2633</v>
      </c>
      <c r="B197" s="82"/>
      <c r="C197" s="70" t="s">
        <v>3636</v>
      </c>
      <c r="D197" s="70" t="s">
        <v>2837</v>
      </c>
      <c r="E197" s="70" t="s">
        <v>3178</v>
      </c>
      <c r="F197" s="70" t="s">
        <v>3235</v>
      </c>
      <c r="G197" s="70" t="s">
        <v>2897</v>
      </c>
      <c r="H197" s="300" t="str">
        <f t="shared" ref="H197:H210" si="7">_xlfn.TEXTJOIN(" ",TRUE,F197,G197)</f>
        <v>Taurotragus derbianus</v>
      </c>
      <c r="I197" s="85">
        <f t="shared" si="6"/>
        <v>5.8325089127062366</v>
      </c>
      <c r="J197" s="85">
        <v>680000</v>
      </c>
      <c r="K197" s="131" t="s">
        <v>6485</v>
      </c>
      <c r="L197" s="63">
        <v>68</v>
      </c>
      <c r="M197" s="49" t="s">
        <v>6392</v>
      </c>
    </row>
    <row r="198" spans="1:28" ht="14" x14ac:dyDescent="0.15">
      <c r="A198" s="70" t="s">
        <v>2633</v>
      </c>
      <c r="B198" s="82"/>
      <c r="C198" s="70" t="s">
        <v>3636</v>
      </c>
      <c r="D198" s="70" t="s">
        <v>2837</v>
      </c>
      <c r="E198" s="70" t="s">
        <v>3178</v>
      </c>
      <c r="F198" s="70" t="s">
        <v>3235</v>
      </c>
      <c r="G198" s="70" t="s">
        <v>3718</v>
      </c>
      <c r="H198" s="300" t="str">
        <f t="shared" si="7"/>
        <v>Taurotragus oryx</v>
      </c>
      <c r="I198" s="85">
        <f t="shared" si="6"/>
        <v>5.7558700000000007</v>
      </c>
      <c r="J198" s="85">
        <v>569993.62709414295</v>
      </c>
      <c r="K198" s="131" t="s">
        <v>3177</v>
      </c>
      <c r="L198" s="60" t="s">
        <v>2686</v>
      </c>
    </row>
    <row r="199" spans="1:28" ht="14" x14ac:dyDescent="0.15">
      <c r="A199" s="70" t="s">
        <v>7029</v>
      </c>
      <c r="B199" s="82"/>
      <c r="C199" s="70" t="s">
        <v>3636</v>
      </c>
      <c r="D199" s="70" t="s">
        <v>2837</v>
      </c>
      <c r="E199" s="70" t="s">
        <v>4379</v>
      </c>
      <c r="F199" s="70" t="s">
        <v>4380</v>
      </c>
      <c r="G199" s="70" t="s">
        <v>4381</v>
      </c>
      <c r="H199" s="300" t="str">
        <f t="shared" si="7"/>
        <v>Tayassu pecari</v>
      </c>
      <c r="I199" s="85">
        <f t="shared" si="6"/>
        <v>4.5083100000000007</v>
      </c>
      <c r="J199" s="85">
        <v>32233.688154104955</v>
      </c>
      <c r="K199" s="131" t="s">
        <v>3177</v>
      </c>
      <c r="L199" s="63">
        <v>60</v>
      </c>
      <c r="S199" s="245"/>
      <c r="T199" s="245"/>
      <c r="U199" s="245"/>
      <c r="V199" s="245"/>
      <c r="W199" s="245"/>
      <c r="X199" s="245"/>
      <c r="Y199" s="245"/>
      <c r="Z199" s="246"/>
      <c r="AA199" s="243"/>
      <c r="AB199" s="243"/>
    </row>
    <row r="200" spans="1:28" ht="17" x14ac:dyDescent="0.2">
      <c r="A200" s="70" t="s">
        <v>2479</v>
      </c>
      <c r="B200" s="82"/>
      <c r="C200" s="70" t="s">
        <v>3636</v>
      </c>
      <c r="D200" s="70" t="s">
        <v>2837</v>
      </c>
      <c r="E200" s="70" t="s">
        <v>3178</v>
      </c>
      <c r="F200" s="70" t="s">
        <v>7439</v>
      </c>
      <c r="G200" s="70" t="s">
        <v>5240</v>
      </c>
      <c r="H200" s="300" t="str">
        <f t="shared" si="7"/>
        <v>Tetracerus quadricornis</v>
      </c>
      <c r="I200" s="85">
        <f t="shared" si="6"/>
        <v>4.2787536009528289</v>
      </c>
      <c r="J200" s="85">
        <v>19000</v>
      </c>
      <c r="K200" s="134" t="s">
        <v>6817</v>
      </c>
      <c r="L200" s="63">
        <v>68</v>
      </c>
      <c r="M200" s="47" t="s">
        <v>6728</v>
      </c>
    </row>
    <row r="201" spans="1:28" ht="14" x14ac:dyDescent="0.15">
      <c r="A201" s="70" t="s">
        <v>2633</v>
      </c>
      <c r="B201" s="82"/>
      <c r="C201" s="73" t="s">
        <v>3636</v>
      </c>
      <c r="D201" s="73" t="s">
        <v>2837</v>
      </c>
      <c r="E201" s="70" t="s">
        <v>3178</v>
      </c>
      <c r="F201" s="73" t="s">
        <v>3719</v>
      </c>
      <c r="G201" s="73" t="s">
        <v>3720</v>
      </c>
      <c r="H201" s="300" t="str">
        <f t="shared" si="7"/>
        <v>Tragelaphus angasii</v>
      </c>
      <c r="I201" s="85">
        <f t="shared" si="6"/>
        <v>4.9375200000000001</v>
      </c>
      <c r="J201" s="85">
        <v>86600.420340917175</v>
      </c>
      <c r="K201" s="131" t="s">
        <v>3177</v>
      </c>
      <c r="L201" s="60">
        <v>60</v>
      </c>
      <c r="M201" s="49" t="s">
        <v>6392</v>
      </c>
    </row>
    <row r="202" spans="1:28" ht="14" x14ac:dyDescent="0.15">
      <c r="A202" s="70" t="s">
        <v>2633</v>
      </c>
      <c r="B202" s="82"/>
      <c r="C202" s="70" t="s">
        <v>3636</v>
      </c>
      <c r="D202" s="70" t="s">
        <v>2837</v>
      </c>
      <c r="E202" s="70" t="s">
        <v>3178</v>
      </c>
      <c r="F202" s="70" t="s">
        <v>3719</v>
      </c>
      <c r="G202" s="70" t="s">
        <v>3702</v>
      </c>
      <c r="H202" s="300" t="str">
        <f t="shared" si="7"/>
        <v>Tragelaphus buxtoni</v>
      </c>
      <c r="I202" s="85">
        <f t="shared" si="6"/>
        <v>5.3324400000000001</v>
      </c>
      <c r="J202" s="85">
        <v>215000.76242905634</v>
      </c>
      <c r="K202" s="131" t="s">
        <v>6816</v>
      </c>
      <c r="L202" s="60">
        <v>65</v>
      </c>
      <c r="M202" s="49" t="s">
        <v>6390</v>
      </c>
      <c r="S202" s="245"/>
      <c r="T202" s="245"/>
      <c r="U202" s="245"/>
      <c r="V202" s="245"/>
      <c r="W202" s="245"/>
      <c r="X202" s="245"/>
      <c r="Y202" s="245"/>
      <c r="Z202" s="246"/>
      <c r="AA202" s="246"/>
      <c r="AB202" s="246"/>
    </row>
    <row r="203" spans="1:28" ht="14" x14ac:dyDescent="0.15">
      <c r="A203" s="70" t="s">
        <v>2633</v>
      </c>
      <c r="B203" s="82"/>
      <c r="C203" s="70" t="s">
        <v>3636</v>
      </c>
      <c r="D203" s="70" t="s">
        <v>2837</v>
      </c>
      <c r="E203" s="70" t="s">
        <v>3178</v>
      </c>
      <c r="F203" s="70" t="s">
        <v>3719</v>
      </c>
      <c r="G203" s="70" t="s">
        <v>3236</v>
      </c>
      <c r="H203" s="300" t="str">
        <f t="shared" si="7"/>
        <v>Tragelaphus eurycerus</v>
      </c>
      <c r="I203" s="85">
        <f t="shared" si="6"/>
        <v>5.5171999999999999</v>
      </c>
      <c r="J203" s="85">
        <v>329003.10752470582</v>
      </c>
      <c r="K203" s="131" t="s">
        <v>6817</v>
      </c>
      <c r="L203" s="60">
        <v>60</v>
      </c>
      <c r="M203" s="49" t="s">
        <v>6392</v>
      </c>
      <c r="S203" s="245"/>
      <c r="T203" s="245"/>
      <c r="U203" s="245"/>
      <c r="V203" s="245"/>
      <c r="W203" s="245"/>
      <c r="X203" s="245"/>
      <c r="Y203" s="245"/>
      <c r="Z203" s="246"/>
      <c r="AA203" s="246"/>
      <c r="AB203" s="246"/>
    </row>
    <row r="204" spans="1:28" ht="28" x14ac:dyDescent="0.15">
      <c r="A204" s="70" t="s">
        <v>2633</v>
      </c>
      <c r="B204" s="82"/>
      <c r="C204" s="70" t="s">
        <v>3636</v>
      </c>
      <c r="D204" s="70" t="s">
        <v>2837</v>
      </c>
      <c r="E204" s="70" t="s">
        <v>3178</v>
      </c>
      <c r="F204" s="70" t="s">
        <v>3719</v>
      </c>
      <c r="G204" s="70" t="s">
        <v>3237</v>
      </c>
      <c r="H204" s="300" t="str">
        <f t="shared" si="7"/>
        <v>Tragelaphus imberbis</v>
      </c>
      <c r="I204" s="85">
        <f t="shared" si="6"/>
        <v>4.9115600000000006</v>
      </c>
      <c r="J204" s="85">
        <v>81575.548013253661</v>
      </c>
      <c r="K204" s="131" t="s">
        <v>6412</v>
      </c>
      <c r="L204" s="60" t="s">
        <v>2686</v>
      </c>
      <c r="M204" s="49" t="s">
        <v>6392</v>
      </c>
    </row>
    <row r="205" spans="1:28" ht="14" x14ac:dyDescent="0.15">
      <c r="A205" s="70" t="s">
        <v>2633</v>
      </c>
      <c r="B205" s="82"/>
      <c r="C205" s="70" t="s">
        <v>3636</v>
      </c>
      <c r="D205" s="70" t="s">
        <v>2837</v>
      </c>
      <c r="E205" s="70" t="s">
        <v>3178</v>
      </c>
      <c r="F205" s="70" t="s">
        <v>3719</v>
      </c>
      <c r="G205" s="70" t="s">
        <v>4315</v>
      </c>
      <c r="H205" s="300" t="str">
        <f t="shared" si="7"/>
        <v>Tragelaphus scriptus</v>
      </c>
      <c r="I205" s="85">
        <f t="shared" si="6"/>
        <v>4.6359899999999996</v>
      </c>
      <c r="J205" s="85">
        <v>43250.387215066643</v>
      </c>
      <c r="K205" s="131" t="s">
        <v>3177</v>
      </c>
      <c r="L205" s="60" t="s">
        <v>2686</v>
      </c>
    </row>
    <row r="206" spans="1:28" ht="14" x14ac:dyDescent="0.15">
      <c r="A206" s="70" t="s">
        <v>2633</v>
      </c>
      <c r="B206" s="82"/>
      <c r="C206" s="70" t="s">
        <v>3636</v>
      </c>
      <c r="D206" s="70" t="s">
        <v>2837</v>
      </c>
      <c r="E206" s="70" t="s">
        <v>3178</v>
      </c>
      <c r="F206" s="70" t="s">
        <v>3719</v>
      </c>
      <c r="G206" s="70" t="s">
        <v>3882</v>
      </c>
      <c r="H206" s="300" t="str">
        <f t="shared" si="7"/>
        <v>Tragelaphus spekii</v>
      </c>
      <c r="I206" s="85">
        <f t="shared" si="6"/>
        <v>4.8920899999999996</v>
      </c>
      <c r="J206" s="85">
        <v>77999.173353634396</v>
      </c>
      <c r="K206" s="131" t="s">
        <v>6817</v>
      </c>
      <c r="L206" s="60" t="s">
        <v>2686</v>
      </c>
      <c r="M206" s="49" t="s">
        <v>6392</v>
      </c>
    </row>
    <row r="207" spans="1:28" ht="28" x14ac:dyDescent="0.15">
      <c r="A207" s="73" t="s">
        <v>2633</v>
      </c>
      <c r="B207" s="82"/>
      <c r="C207" s="70" t="s">
        <v>3636</v>
      </c>
      <c r="D207" s="70" t="s">
        <v>2837</v>
      </c>
      <c r="E207" s="70" t="s">
        <v>3178</v>
      </c>
      <c r="F207" s="70" t="s">
        <v>3719</v>
      </c>
      <c r="G207" s="70" t="s">
        <v>3883</v>
      </c>
      <c r="H207" s="300" t="str">
        <f t="shared" si="7"/>
        <v>Tragelaphus strepsiceros</v>
      </c>
      <c r="I207" s="85">
        <f t="shared" si="6"/>
        <v>5.3293999999999997</v>
      </c>
      <c r="J207" s="85">
        <v>213501.04251272275</v>
      </c>
      <c r="K207" s="131" t="s">
        <v>3177</v>
      </c>
      <c r="L207" s="60" t="s">
        <v>2686</v>
      </c>
      <c r="M207" s="49" t="s">
        <v>6392</v>
      </c>
    </row>
    <row r="208" spans="1:28" ht="14" x14ac:dyDescent="0.15">
      <c r="A208" s="303" t="s">
        <v>8057</v>
      </c>
      <c r="B208" s="82"/>
      <c r="C208" s="70" t="s">
        <v>3636</v>
      </c>
      <c r="D208" s="70" t="s">
        <v>2837</v>
      </c>
      <c r="E208" s="70" t="s">
        <v>3770</v>
      </c>
      <c r="F208" s="70" t="s">
        <v>7994</v>
      </c>
      <c r="G208" s="70" t="s">
        <v>7202</v>
      </c>
      <c r="H208" s="300" t="str">
        <f t="shared" si="7"/>
        <v>Tragulus javanicus</v>
      </c>
      <c r="I208" s="85">
        <f t="shared" si="6"/>
        <v>3.4432629874586951</v>
      </c>
      <c r="J208" s="85">
        <v>2775</v>
      </c>
      <c r="K208" s="131" t="s">
        <v>6485</v>
      </c>
      <c r="L208" s="60">
        <v>68</v>
      </c>
    </row>
    <row r="209" spans="1:28" s="284" customFormat="1" ht="14" x14ac:dyDescent="0.15">
      <c r="A209" s="303" t="s">
        <v>8057</v>
      </c>
      <c r="B209" s="82"/>
      <c r="C209" s="70" t="s">
        <v>3636</v>
      </c>
      <c r="D209" s="70" t="s">
        <v>2837</v>
      </c>
      <c r="E209" s="70" t="s">
        <v>3770</v>
      </c>
      <c r="F209" s="70" t="s">
        <v>7994</v>
      </c>
      <c r="G209" s="70" t="s">
        <v>5885</v>
      </c>
      <c r="H209" s="300" t="str">
        <f t="shared" si="7"/>
        <v>Tragulus napu</v>
      </c>
      <c r="I209" s="85">
        <f t="shared" si="6"/>
        <v>3.6946051989335689</v>
      </c>
      <c r="J209" s="85">
        <v>4950</v>
      </c>
      <c r="K209" s="131" t="s">
        <v>6485</v>
      </c>
      <c r="L209" s="304" t="s">
        <v>5705</v>
      </c>
      <c r="M209" s="49"/>
      <c r="N209" s="37"/>
      <c r="O209" s="37"/>
      <c r="P209" s="37"/>
      <c r="Q209" s="3"/>
      <c r="R209" s="3"/>
      <c r="S209" s="3"/>
      <c r="T209" s="3"/>
      <c r="U209" s="3"/>
      <c r="V209" s="3"/>
      <c r="W209" s="3"/>
      <c r="X209" s="3"/>
      <c r="Y209" s="3"/>
      <c r="Z209" s="4"/>
      <c r="AA209"/>
      <c r="AB209"/>
    </row>
    <row r="210" spans="1:28" s="284" customFormat="1" ht="14" x14ac:dyDescent="0.15">
      <c r="A210" s="70" t="s">
        <v>7029</v>
      </c>
      <c r="B210" s="82"/>
      <c r="C210" s="70" t="s">
        <v>3636</v>
      </c>
      <c r="D210" s="70" t="s">
        <v>2837</v>
      </c>
      <c r="E210" s="70" t="s">
        <v>7198</v>
      </c>
      <c r="F210" s="70" t="s">
        <v>3689</v>
      </c>
      <c r="G210" s="70" t="s">
        <v>3687</v>
      </c>
      <c r="H210" s="300" t="str">
        <f t="shared" si="7"/>
        <v>Vicugna vicugna</v>
      </c>
      <c r="I210" s="85">
        <f t="shared" si="6"/>
        <v>4.6766899999999998</v>
      </c>
      <c r="J210" s="85">
        <v>47499.605206891225</v>
      </c>
      <c r="K210" s="131" t="s">
        <v>3177</v>
      </c>
      <c r="L210" s="60">
        <v>60</v>
      </c>
      <c r="M210" s="49" t="s">
        <v>6392</v>
      </c>
      <c r="N210" s="37"/>
      <c r="O210" s="37"/>
      <c r="P210" s="37"/>
      <c r="Q210" s="3"/>
      <c r="R210" s="3"/>
      <c r="S210" s="3"/>
      <c r="T210" s="3"/>
      <c r="U210" s="3"/>
      <c r="V210" s="3"/>
      <c r="W210" s="3"/>
      <c r="X210" s="3"/>
      <c r="Y210" s="3"/>
      <c r="Z210" s="4"/>
      <c r="AA210"/>
      <c r="AB210"/>
    </row>
    <row r="211" spans="1:28" s="49" customFormat="1" x14ac:dyDescent="0.15">
      <c r="A211" s="262"/>
      <c r="B211" s="263"/>
      <c r="C211" s="264"/>
      <c r="D211" s="262"/>
      <c r="E211" s="262"/>
      <c r="F211" s="262"/>
      <c r="G211" s="262"/>
      <c r="H211" s="263"/>
      <c r="I211" s="85"/>
      <c r="J211" s="265"/>
      <c r="K211" s="146"/>
      <c r="L211" s="99"/>
      <c r="N211" s="37"/>
      <c r="O211" s="37"/>
      <c r="P211" s="37"/>
      <c r="Q211" s="3"/>
      <c r="R211" s="3"/>
      <c r="S211" s="3"/>
      <c r="T211" s="3"/>
      <c r="U211" s="3"/>
      <c r="V211" s="3"/>
      <c r="W211" s="3"/>
      <c r="X211" s="3"/>
      <c r="Y211" s="3"/>
      <c r="Z211" s="4"/>
      <c r="AA211" s="4"/>
      <c r="AB211" s="4"/>
    </row>
    <row r="212" spans="1:28" s="49" customFormat="1" x14ac:dyDescent="0.15">
      <c r="A212" s="262"/>
      <c r="B212" s="263"/>
      <c r="C212" s="264"/>
      <c r="D212" s="262"/>
      <c r="E212" s="262"/>
      <c r="F212" s="262"/>
      <c r="G212" s="262"/>
      <c r="H212" s="263"/>
      <c r="I212" s="85"/>
      <c r="J212" s="265"/>
      <c r="K212" s="146"/>
      <c r="L212" s="99"/>
      <c r="N212" s="37"/>
      <c r="O212" s="37"/>
      <c r="P212" s="37"/>
      <c r="Q212" s="3"/>
      <c r="R212" s="3"/>
      <c r="S212" s="3"/>
      <c r="T212" s="3"/>
      <c r="U212" s="3"/>
      <c r="V212" s="3"/>
      <c r="W212" s="3"/>
      <c r="X212" s="3"/>
      <c r="Y212" s="3"/>
      <c r="Z212" s="4"/>
      <c r="AA212" s="4"/>
      <c r="AB212" s="4"/>
    </row>
    <row r="213" spans="1:28" s="4" customFormat="1" x14ac:dyDescent="0.15">
      <c r="A213" s="180"/>
      <c r="B213" s="182"/>
      <c r="C213" s="180"/>
      <c r="D213" s="180"/>
      <c r="E213" s="180"/>
      <c r="F213" s="180"/>
      <c r="G213" s="180"/>
      <c r="H213" s="182"/>
      <c r="I213" s="183"/>
      <c r="J213" s="183"/>
      <c r="K213" s="184"/>
      <c r="L213" s="185"/>
      <c r="M213" s="186"/>
      <c r="N213" s="186"/>
      <c r="O213" s="186"/>
      <c r="P213" s="186"/>
      <c r="Q213" s="187"/>
      <c r="R213" s="187"/>
      <c r="S213" s="3"/>
      <c r="T213" s="3"/>
      <c r="U213" s="3"/>
      <c r="V213" s="3"/>
      <c r="W213" s="3"/>
      <c r="X213" s="3"/>
      <c r="Y213" s="3"/>
    </row>
    <row r="214" spans="1:28" s="4" customFormat="1" x14ac:dyDescent="0.15">
      <c r="A214" s="70"/>
      <c r="B214" s="93"/>
      <c r="C214" s="70"/>
      <c r="D214" s="70"/>
      <c r="E214" s="70"/>
      <c r="F214" s="70"/>
      <c r="G214" s="70"/>
      <c r="H214" s="93"/>
      <c r="I214" s="85"/>
      <c r="J214" s="85"/>
      <c r="K214" s="131"/>
      <c r="L214" s="261"/>
      <c r="M214" s="49"/>
      <c r="N214" s="32"/>
      <c r="O214" s="37"/>
      <c r="P214" s="37"/>
      <c r="Q214" s="3"/>
      <c r="R214" s="3"/>
      <c r="S214" s="3"/>
      <c r="T214" s="3"/>
      <c r="U214" s="3"/>
      <c r="V214" s="3"/>
      <c r="W214" s="3"/>
      <c r="X214" s="3"/>
      <c r="Y214" s="3"/>
    </row>
    <row r="215" spans="1:28" s="4" customFormat="1" x14ac:dyDescent="0.15">
      <c r="A215" s="70"/>
      <c r="B215" s="93"/>
      <c r="C215" s="70"/>
      <c r="D215" s="70"/>
      <c r="E215" s="70"/>
      <c r="F215" s="70"/>
      <c r="G215" s="70"/>
      <c r="H215" s="93"/>
      <c r="I215" s="85"/>
      <c r="J215" s="85"/>
      <c r="K215" s="131"/>
      <c r="L215" s="60"/>
      <c r="M215" s="37"/>
      <c r="N215" s="37"/>
      <c r="O215" s="37"/>
      <c r="P215" s="37"/>
      <c r="Q215" s="3"/>
      <c r="R215" s="3"/>
      <c r="S215" s="3"/>
      <c r="T215" s="3"/>
      <c r="U215" s="3"/>
      <c r="V215" s="3"/>
      <c r="W215" s="3"/>
      <c r="X215" s="3"/>
      <c r="Y215" s="3"/>
      <c r="AA215" s="37"/>
      <c r="AB215" s="37"/>
    </row>
    <row r="216" spans="1:28" s="49" customFormat="1" x14ac:dyDescent="0.15">
      <c r="A216" s="262"/>
      <c r="B216" s="263"/>
      <c r="C216" s="264"/>
      <c r="D216" s="262"/>
      <c r="E216" s="262"/>
      <c r="F216" s="262"/>
      <c r="G216" s="262"/>
      <c r="H216" s="263"/>
      <c r="I216" s="85"/>
      <c r="J216" s="265"/>
      <c r="K216" s="146"/>
      <c r="L216" s="99"/>
      <c r="N216" s="37"/>
      <c r="O216" s="37"/>
      <c r="P216" s="37"/>
      <c r="Q216" s="3"/>
      <c r="R216" s="3"/>
      <c r="S216" s="3"/>
      <c r="T216" s="3"/>
      <c r="U216" s="3"/>
      <c r="V216" s="3"/>
      <c r="W216" s="3"/>
      <c r="X216" s="3"/>
      <c r="Y216" s="3"/>
      <c r="Z216" s="4"/>
      <c r="AA216" s="4"/>
      <c r="AB216" s="4"/>
    </row>
    <row r="217" spans="1:28" s="49" customFormat="1" x14ac:dyDescent="0.15">
      <c r="A217" s="262"/>
      <c r="B217" s="263"/>
      <c r="C217" s="264"/>
      <c r="D217" s="262"/>
      <c r="E217" s="262"/>
      <c r="F217" s="262"/>
      <c r="G217" s="262"/>
      <c r="H217" s="263"/>
      <c r="I217" s="85"/>
      <c r="J217" s="265"/>
      <c r="K217" s="146"/>
      <c r="L217" s="99"/>
      <c r="N217" s="37"/>
      <c r="O217" s="37"/>
      <c r="P217" s="37"/>
      <c r="Q217" s="3"/>
      <c r="R217" s="3"/>
      <c r="S217" s="3"/>
      <c r="T217" s="3"/>
      <c r="U217" s="3"/>
      <c r="V217" s="3"/>
      <c r="W217" s="3"/>
      <c r="X217" s="3"/>
      <c r="Y217" s="3"/>
      <c r="Z217" s="4"/>
      <c r="AA217" s="4"/>
      <c r="AB217" s="4"/>
    </row>
    <row r="218" spans="1:28" s="49" customFormat="1" x14ac:dyDescent="0.15">
      <c r="A218" s="262"/>
      <c r="B218" s="263"/>
      <c r="C218" s="264"/>
      <c r="D218" s="262"/>
      <c r="E218" s="262"/>
      <c r="F218" s="262"/>
      <c r="G218" s="262"/>
      <c r="H218" s="263"/>
      <c r="I218" s="85"/>
      <c r="J218" s="265"/>
      <c r="K218" s="146"/>
      <c r="L218" s="266"/>
      <c r="N218" s="37"/>
      <c r="O218" s="37"/>
      <c r="P218" s="37"/>
      <c r="Q218" s="3"/>
      <c r="R218" s="3"/>
      <c r="S218" s="3"/>
      <c r="T218" s="3"/>
      <c r="U218" s="3"/>
      <c r="V218" s="3"/>
      <c r="W218" s="3"/>
      <c r="X218" s="3"/>
      <c r="Y218" s="3"/>
      <c r="Z218" s="4"/>
      <c r="AA218" s="4"/>
      <c r="AB218" s="4"/>
    </row>
    <row r="219" spans="1:28" s="4" customFormat="1" x14ac:dyDescent="0.15">
      <c r="A219" s="262"/>
      <c r="B219" s="263"/>
      <c r="C219" s="264"/>
      <c r="D219" s="262"/>
      <c r="E219" s="262"/>
      <c r="F219" s="262"/>
      <c r="G219" s="262"/>
      <c r="H219" s="263"/>
      <c r="I219" s="85"/>
      <c r="J219" s="265"/>
      <c r="K219" s="146"/>
      <c r="L219" s="266"/>
      <c r="M219" s="49"/>
      <c r="N219" s="37"/>
      <c r="O219" s="37"/>
      <c r="P219" s="37"/>
      <c r="Q219" s="3"/>
      <c r="R219" s="3"/>
      <c r="S219" s="3"/>
      <c r="T219" s="3"/>
      <c r="U219" s="3"/>
      <c r="V219" s="3"/>
      <c r="W219" s="3"/>
      <c r="X219" s="3"/>
      <c r="Y219" s="3"/>
    </row>
    <row r="220" spans="1:28" s="4" customFormat="1" x14ac:dyDescent="0.15">
      <c r="A220" s="262"/>
      <c r="B220" s="263"/>
      <c r="C220" s="264"/>
      <c r="D220" s="262"/>
      <c r="E220" s="262"/>
      <c r="F220" s="262"/>
      <c r="G220" s="262"/>
      <c r="H220" s="263"/>
      <c r="I220" s="85"/>
      <c r="J220" s="265"/>
      <c r="K220" s="146"/>
      <c r="L220" s="266"/>
      <c r="M220" s="49"/>
      <c r="N220" s="37"/>
      <c r="O220" s="37"/>
      <c r="P220" s="37"/>
      <c r="Q220" s="3"/>
      <c r="R220" s="3"/>
      <c r="S220" s="3"/>
      <c r="T220" s="3"/>
      <c r="U220" s="3"/>
      <c r="V220" s="3"/>
      <c r="W220" s="3"/>
      <c r="X220" s="3"/>
      <c r="Y220" s="3"/>
    </row>
    <row r="221" spans="1:28" s="4" customFormat="1" x14ac:dyDescent="0.15">
      <c r="A221" s="262"/>
      <c r="B221" s="263"/>
      <c r="C221" s="264"/>
      <c r="D221" s="262"/>
      <c r="E221" s="262"/>
      <c r="F221" s="262"/>
      <c r="G221" s="262"/>
      <c r="H221" s="263"/>
      <c r="I221" s="85"/>
      <c r="J221" s="265"/>
      <c r="K221" s="146"/>
      <c r="L221" s="266"/>
      <c r="M221" s="49"/>
      <c r="N221" s="37"/>
      <c r="O221" s="37"/>
      <c r="P221" s="37"/>
      <c r="Q221" s="3"/>
      <c r="R221" s="3"/>
      <c r="S221" s="3"/>
      <c r="T221" s="3"/>
      <c r="U221" s="3"/>
      <c r="V221" s="3"/>
      <c r="W221" s="3"/>
      <c r="X221" s="3"/>
      <c r="Y221" s="3"/>
    </row>
    <row r="222" spans="1:28" s="4" customFormat="1" x14ac:dyDescent="0.15">
      <c r="A222" s="262"/>
      <c r="B222" s="263"/>
      <c r="C222" s="264"/>
      <c r="D222" s="262"/>
      <c r="E222" s="262"/>
      <c r="F222" s="262"/>
      <c r="G222" s="262"/>
      <c r="H222" s="263"/>
      <c r="I222" s="85"/>
      <c r="J222" s="265"/>
      <c r="K222" s="146"/>
      <c r="L222" s="266"/>
      <c r="M222" s="49"/>
      <c r="N222" s="37"/>
      <c r="O222" s="37"/>
      <c r="P222" s="37"/>
      <c r="Q222" s="3"/>
      <c r="R222" s="3"/>
      <c r="S222" s="3"/>
      <c r="T222" s="3"/>
      <c r="U222" s="3"/>
      <c r="V222" s="3"/>
      <c r="W222" s="3"/>
      <c r="X222" s="3"/>
      <c r="Y222" s="3"/>
    </row>
    <row r="223" spans="1:28" s="4" customFormat="1" x14ac:dyDescent="0.15">
      <c r="A223" s="262"/>
      <c r="B223" s="263"/>
      <c r="C223" s="264"/>
      <c r="D223" s="262"/>
      <c r="E223" s="262"/>
      <c r="F223" s="262"/>
      <c r="G223" s="262"/>
      <c r="H223" s="263"/>
      <c r="I223" s="85"/>
      <c r="J223" s="265"/>
      <c r="K223" s="146"/>
      <c r="L223" s="266"/>
      <c r="M223" s="49"/>
      <c r="N223" s="37"/>
      <c r="O223" s="37"/>
      <c r="P223" s="37"/>
      <c r="Q223" s="3"/>
      <c r="R223" s="3"/>
      <c r="S223" s="3"/>
      <c r="T223" s="3"/>
      <c r="U223" s="3"/>
      <c r="V223" s="3"/>
      <c r="W223" s="3"/>
      <c r="X223" s="3"/>
      <c r="Y223" s="3"/>
    </row>
    <row r="224" spans="1:28" s="4" customFormat="1" x14ac:dyDescent="0.15">
      <c r="A224" s="262"/>
      <c r="B224" s="263"/>
      <c r="C224" s="264"/>
      <c r="D224" s="262"/>
      <c r="E224" s="262"/>
      <c r="F224" s="262"/>
      <c r="G224" s="262"/>
      <c r="H224" s="263"/>
      <c r="I224" s="85"/>
      <c r="J224" s="265"/>
      <c r="K224" s="146"/>
      <c r="L224" s="99"/>
      <c r="M224" s="49"/>
      <c r="N224" s="37"/>
      <c r="O224" s="37"/>
      <c r="P224" s="37"/>
      <c r="Q224" s="3"/>
      <c r="R224" s="3"/>
      <c r="S224" s="3"/>
      <c r="T224" s="3"/>
      <c r="U224" s="3"/>
      <c r="V224" s="3"/>
      <c r="W224" s="3"/>
      <c r="X224" s="3"/>
      <c r="Y224" s="3"/>
    </row>
    <row r="225" spans="1:28" s="4" customFormat="1" x14ac:dyDescent="0.15">
      <c r="A225" s="262"/>
      <c r="B225" s="263"/>
      <c r="C225" s="264"/>
      <c r="D225" s="262"/>
      <c r="E225" s="262"/>
      <c r="F225" s="262"/>
      <c r="G225" s="262"/>
      <c r="H225" s="263"/>
      <c r="I225" s="85"/>
      <c r="J225" s="265"/>
      <c r="K225" s="146"/>
      <c r="L225" s="266"/>
      <c r="M225" s="49"/>
      <c r="N225" s="37"/>
      <c r="O225" s="37"/>
      <c r="P225" s="37"/>
      <c r="Q225" s="3"/>
      <c r="R225" s="3"/>
      <c r="S225" s="3"/>
      <c r="T225" s="3"/>
      <c r="U225" s="3"/>
      <c r="V225" s="3"/>
      <c r="W225" s="3"/>
      <c r="X225" s="3"/>
      <c r="Y225" s="3"/>
    </row>
    <row r="226" spans="1:28" s="4" customFormat="1" x14ac:dyDescent="0.15">
      <c r="A226" s="262"/>
      <c r="B226" s="263"/>
      <c r="C226" s="264"/>
      <c r="D226" s="262"/>
      <c r="E226" s="262"/>
      <c r="F226" s="262"/>
      <c r="G226" s="262"/>
      <c r="H226" s="263"/>
      <c r="I226" s="85"/>
      <c r="J226" s="265"/>
      <c r="K226" s="146"/>
      <c r="L226" s="266"/>
      <c r="M226" s="49"/>
      <c r="N226" s="37"/>
      <c r="O226" s="37"/>
      <c r="P226" s="37"/>
      <c r="Q226" s="3"/>
      <c r="R226" s="3"/>
      <c r="S226" s="3"/>
      <c r="T226" s="3"/>
      <c r="U226" s="3"/>
      <c r="V226" s="3"/>
      <c r="W226" s="3"/>
      <c r="X226" s="3"/>
      <c r="Y226" s="3"/>
    </row>
    <row r="227" spans="1:28" s="4" customFormat="1" x14ac:dyDescent="0.15">
      <c r="A227" s="262"/>
      <c r="B227" s="263"/>
      <c r="C227" s="264"/>
      <c r="D227" s="262"/>
      <c r="E227" s="262"/>
      <c r="F227" s="262"/>
      <c r="G227" s="262"/>
      <c r="H227" s="263"/>
      <c r="I227" s="85"/>
      <c r="J227" s="265"/>
      <c r="K227" s="146"/>
      <c r="L227" s="99"/>
      <c r="M227" s="49"/>
      <c r="N227" s="37"/>
      <c r="O227" s="37"/>
      <c r="P227" s="37"/>
      <c r="Q227" s="3"/>
      <c r="R227" s="3"/>
      <c r="S227" s="3"/>
      <c r="T227" s="3"/>
      <c r="U227" s="3"/>
      <c r="V227" s="3"/>
      <c r="W227" s="3"/>
      <c r="X227" s="3"/>
      <c r="Y227" s="3"/>
    </row>
    <row r="228" spans="1:28" s="37" customFormat="1" x14ac:dyDescent="0.15">
      <c r="A228" s="262"/>
      <c r="B228" s="263"/>
      <c r="C228" s="264"/>
      <c r="D228" s="262"/>
      <c r="E228" s="262"/>
      <c r="F228" s="262"/>
      <c r="G228" s="262"/>
      <c r="H228" s="263"/>
      <c r="I228" s="85"/>
      <c r="J228" s="265"/>
      <c r="K228" s="146"/>
      <c r="L228" s="266"/>
      <c r="M228" s="49"/>
      <c r="Q228" s="3"/>
      <c r="R228" s="3"/>
      <c r="S228" s="3"/>
      <c r="T228" s="3"/>
      <c r="U228" s="3"/>
      <c r="V228" s="3"/>
      <c r="W228" s="3"/>
      <c r="X228" s="3"/>
      <c r="Y228" s="3"/>
      <c r="Z228" s="4"/>
      <c r="AA228" s="4"/>
      <c r="AB228" s="4"/>
    </row>
    <row r="229" spans="1:28" s="4" customFormat="1" x14ac:dyDescent="0.15">
      <c r="A229" s="70"/>
      <c r="B229" s="93"/>
      <c r="C229" s="70"/>
      <c r="D229" s="70"/>
      <c r="E229" s="70"/>
      <c r="F229" s="70"/>
      <c r="G229" s="70"/>
      <c r="H229" s="93"/>
      <c r="I229" s="85"/>
      <c r="J229" s="85"/>
      <c r="K229" s="131"/>
      <c r="L229" s="60"/>
      <c r="M229" s="50"/>
      <c r="N229" s="37"/>
      <c r="O229" s="37"/>
      <c r="P229" s="37"/>
      <c r="Q229" s="3"/>
      <c r="R229" s="3"/>
      <c r="S229" s="3"/>
      <c r="T229" s="3"/>
      <c r="U229" s="3"/>
      <c r="V229" s="3"/>
      <c r="W229" s="3"/>
      <c r="X229" s="3"/>
      <c r="Y229" s="3"/>
    </row>
    <row r="230" spans="1:28" s="4" customFormat="1" x14ac:dyDescent="0.15">
      <c r="A230" s="262"/>
      <c r="B230" s="263"/>
      <c r="C230" s="264"/>
      <c r="D230" s="262"/>
      <c r="E230" s="262"/>
      <c r="F230" s="262"/>
      <c r="G230" s="262"/>
      <c r="H230" s="263"/>
      <c r="I230" s="85"/>
      <c r="J230" s="265"/>
      <c r="K230" s="146"/>
      <c r="L230" s="266"/>
      <c r="M230" s="49"/>
      <c r="N230" s="37"/>
      <c r="O230" s="37"/>
      <c r="P230" s="37"/>
      <c r="Q230" s="3"/>
      <c r="R230" s="3"/>
      <c r="S230" s="3"/>
      <c r="T230" s="3"/>
      <c r="U230" s="3"/>
      <c r="V230" s="3"/>
      <c r="W230" s="3"/>
      <c r="X230" s="3"/>
      <c r="Y230" s="3"/>
    </row>
    <row r="231" spans="1:28" s="37" customFormat="1" x14ac:dyDescent="0.15">
      <c r="A231" s="262"/>
      <c r="B231" s="263"/>
      <c r="C231" s="264"/>
      <c r="D231" s="262"/>
      <c r="E231" s="262"/>
      <c r="F231" s="262"/>
      <c r="G231" s="262"/>
      <c r="H231" s="263"/>
      <c r="I231" s="85"/>
      <c r="J231" s="265"/>
      <c r="K231" s="146"/>
      <c r="L231" s="266"/>
      <c r="M231" s="49"/>
      <c r="Q231" s="3"/>
      <c r="R231" s="3"/>
      <c r="S231" s="3"/>
      <c r="T231" s="3"/>
      <c r="U231" s="3"/>
      <c r="V231" s="3"/>
      <c r="W231" s="3"/>
      <c r="X231" s="3"/>
      <c r="Y231" s="3"/>
      <c r="Z231" s="4"/>
    </row>
    <row r="232" spans="1:28" s="37" customFormat="1" x14ac:dyDescent="0.15">
      <c r="A232" s="262"/>
      <c r="B232" s="263"/>
      <c r="C232" s="264"/>
      <c r="D232" s="262"/>
      <c r="E232" s="262"/>
      <c r="F232" s="262"/>
      <c r="G232" s="262"/>
      <c r="H232" s="263"/>
      <c r="I232" s="85"/>
      <c r="J232" s="265"/>
      <c r="K232" s="146"/>
      <c r="L232" s="99"/>
      <c r="M232" s="49"/>
      <c r="Q232" s="3"/>
      <c r="R232" s="3"/>
      <c r="S232" s="3"/>
      <c r="T232" s="3"/>
      <c r="U232" s="3"/>
      <c r="V232" s="3"/>
      <c r="W232" s="3"/>
      <c r="X232" s="3"/>
      <c r="Y232" s="3"/>
      <c r="Z232" s="4"/>
      <c r="AA232" s="4"/>
      <c r="AB232" s="4"/>
    </row>
    <row r="233" spans="1:28" s="4" customFormat="1" x14ac:dyDescent="0.15">
      <c r="A233" s="91"/>
      <c r="B233" s="176"/>
      <c r="C233" s="91"/>
      <c r="D233" s="91"/>
      <c r="E233" s="91"/>
      <c r="F233" s="91"/>
      <c r="G233" s="91"/>
      <c r="H233" s="176"/>
      <c r="I233" s="85"/>
      <c r="J233" s="92"/>
      <c r="K233" s="133"/>
      <c r="L233" s="65"/>
      <c r="M233" s="49"/>
      <c r="N233" s="37"/>
      <c r="O233" s="37"/>
      <c r="P233" s="37"/>
      <c r="Q233" s="3"/>
      <c r="R233" s="3"/>
      <c r="S233" s="3"/>
      <c r="T233" s="3"/>
      <c r="U233" s="3"/>
      <c r="V233" s="3"/>
      <c r="W233" s="3"/>
      <c r="X233" s="3"/>
      <c r="Y233" s="3"/>
    </row>
    <row r="234" spans="1:28" s="4" customFormat="1" x14ac:dyDescent="0.15">
      <c r="A234" s="262"/>
      <c r="B234" s="263"/>
      <c r="C234" s="264"/>
      <c r="D234" s="262"/>
      <c r="E234" s="262"/>
      <c r="F234" s="262"/>
      <c r="G234" s="262"/>
      <c r="H234" s="263"/>
      <c r="I234" s="85"/>
      <c r="J234" s="265"/>
      <c r="K234" s="146"/>
      <c r="L234" s="266"/>
      <c r="M234" s="49"/>
      <c r="N234" s="37"/>
      <c r="O234" s="37"/>
      <c r="P234" s="37"/>
      <c r="Q234" s="3"/>
      <c r="R234" s="3"/>
      <c r="S234" s="3"/>
      <c r="T234" s="3"/>
      <c r="U234" s="3"/>
      <c r="V234" s="3"/>
      <c r="W234" s="3"/>
      <c r="X234" s="3"/>
      <c r="Y234" s="3"/>
    </row>
    <row r="235" spans="1:28" s="4" customFormat="1" x14ac:dyDescent="0.15">
      <c r="A235" s="262"/>
      <c r="B235" s="263"/>
      <c r="C235" s="264"/>
      <c r="D235" s="262"/>
      <c r="E235" s="262"/>
      <c r="F235" s="262"/>
      <c r="G235" s="262"/>
      <c r="H235" s="263"/>
      <c r="I235" s="85"/>
      <c r="J235" s="265"/>
      <c r="K235" s="146"/>
      <c r="L235" s="266"/>
      <c r="M235" s="50"/>
      <c r="N235" s="37"/>
      <c r="O235" s="37"/>
      <c r="P235" s="37"/>
      <c r="Q235" s="3"/>
      <c r="R235" s="3"/>
      <c r="S235" s="3"/>
      <c r="T235" s="3"/>
      <c r="U235" s="3"/>
      <c r="V235" s="3"/>
      <c r="W235" s="3"/>
      <c r="X235" s="3"/>
      <c r="Y235" s="3"/>
    </row>
    <row r="236" spans="1:28" s="4" customFormat="1" x14ac:dyDescent="0.15">
      <c r="A236" s="262"/>
      <c r="B236" s="263"/>
      <c r="C236" s="264"/>
      <c r="D236" s="262"/>
      <c r="E236" s="262"/>
      <c r="F236" s="262"/>
      <c r="G236" s="262"/>
      <c r="H236" s="263"/>
      <c r="I236" s="85"/>
      <c r="J236" s="265"/>
      <c r="K236" s="146"/>
      <c r="L236" s="266"/>
      <c r="M236" s="49"/>
      <c r="N236" s="37"/>
      <c r="O236" s="37"/>
      <c r="P236" s="37"/>
      <c r="Q236" s="3"/>
      <c r="R236" s="3"/>
      <c r="S236" s="3"/>
      <c r="T236" s="3"/>
      <c r="U236" s="3"/>
      <c r="V236" s="3"/>
      <c r="W236" s="3"/>
      <c r="X236" s="3"/>
      <c r="Y236" s="3"/>
    </row>
    <row r="237" spans="1:28" s="4" customFormat="1" x14ac:dyDescent="0.15">
      <c r="A237" s="262"/>
      <c r="B237" s="263"/>
      <c r="C237" s="264"/>
      <c r="D237" s="262"/>
      <c r="E237" s="262"/>
      <c r="F237" s="262"/>
      <c r="G237" s="262"/>
      <c r="H237" s="263"/>
      <c r="I237" s="85"/>
      <c r="J237" s="265"/>
      <c r="K237" s="146"/>
      <c r="L237" s="266"/>
      <c r="M237" s="50"/>
      <c r="N237" s="37"/>
      <c r="O237" s="37"/>
      <c r="P237" s="37"/>
      <c r="Q237" s="3"/>
      <c r="R237" s="3"/>
      <c r="S237" s="3"/>
      <c r="T237" s="3"/>
      <c r="U237" s="3"/>
      <c r="V237" s="3"/>
      <c r="W237" s="3"/>
      <c r="X237" s="3"/>
      <c r="Y237" s="3"/>
    </row>
    <row r="238" spans="1:28" s="4" customFormat="1" x14ac:dyDescent="0.15">
      <c r="A238" s="262"/>
      <c r="B238" s="263"/>
      <c r="C238" s="264"/>
      <c r="D238" s="262"/>
      <c r="E238" s="262"/>
      <c r="F238" s="262"/>
      <c r="G238" s="262"/>
      <c r="H238" s="263"/>
      <c r="I238" s="85"/>
      <c r="J238" s="265"/>
      <c r="K238" s="146"/>
      <c r="L238" s="99"/>
      <c r="M238" s="49"/>
      <c r="N238" s="37"/>
      <c r="O238" s="37"/>
      <c r="P238" s="37"/>
      <c r="Q238" s="3"/>
      <c r="R238" s="3"/>
      <c r="S238" s="3"/>
      <c r="T238" s="3"/>
      <c r="U238" s="3"/>
      <c r="V238" s="3"/>
      <c r="W238" s="3"/>
      <c r="X238" s="3"/>
      <c r="Y238" s="3"/>
    </row>
    <row r="239" spans="1:28" s="4" customFormat="1" x14ac:dyDescent="0.15">
      <c r="A239" s="262"/>
      <c r="B239" s="263"/>
      <c r="C239" s="264"/>
      <c r="D239" s="262"/>
      <c r="E239" s="262"/>
      <c r="F239" s="262"/>
      <c r="G239" s="262"/>
      <c r="H239" s="263"/>
      <c r="I239" s="85"/>
      <c r="J239" s="265"/>
      <c r="K239" s="146"/>
      <c r="L239" s="266"/>
      <c r="M239" s="50"/>
      <c r="N239" s="37"/>
      <c r="O239" s="37"/>
      <c r="P239" s="37"/>
      <c r="Q239" s="3"/>
      <c r="R239" s="3"/>
      <c r="S239" s="3"/>
      <c r="T239" s="3"/>
      <c r="U239" s="3"/>
      <c r="V239" s="3"/>
      <c r="W239" s="3"/>
      <c r="X239" s="3"/>
      <c r="Y239" s="3"/>
    </row>
    <row r="240" spans="1:28" s="4" customFormat="1" x14ac:dyDescent="0.15">
      <c r="A240" s="262"/>
      <c r="B240" s="263"/>
      <c r="C240" s="264"/>
      <c r="D240" s="262"/>
      <c r="E240" s="262"/>
      <c r="F240" s="262"/>
      <c r="G240" s="262"/>
      <c r="H240" s="263"/>
      <c r="I240" s="85"/>
      <c r="J240" s="265"/>
      <c r="K240" s="146"/>
      <c r="L240" s="99"/>
      <c r="M240" s="50"/>
      <c r="N240" s="37"/>
      <c r="O240" s="37"/>
      <c r="P240" s="37"/>
      <c r="Q240" s="3"/>
      <c r="R240" s="3"/>
      <c r="S240" s="3"/>
      <c r="T240" s="3"/>
      <c r="U240" s="3"/>
      <c r="V240" s="3"/>
      <c r="W240" s="3"/>
      <c r="X240" s="3"/>
      <c r="Y240" s="3"/>
    </row>
    <row r="241" spans="1:28" s="4" customFormat="1" x14ac:dyDescent="0.15">
      <c r="A241" s="262"/>
      <c r="B241" s="263"/>
      <c r="C241" s="264"/>
      <c r="D241" s="262"/>
      <c r="E241" s="262"/>
      <c r="F241" s="262"/>
      <c r="G241" s="262"/>
      <c r="H241" s="263"/>
      <c r="I241" s="85"/>
      <c r="J241" s="265"/>
      <c r="K241" s="146"/>
      <c r="L241" s="266"/>
      <c r="M241" s="49"/>
      <c r="N241" s="37"/>
      <c r="O241" s="37"/>
      <c r="P241" s="37"/>
      <c r="Q241" s="3"/>
      <c r="R241" s="3"/>
      <c r="S241" s="3"/>
      <c r="T241" s="3"/>
      <c r="U241" s="3"/>
      <c r="V241" s="3"/>
      <c r="W241" s="3"/>
      <c r="X241" s="3"/>
      <c r="Y241" s="3"/>
    </row>
    <row r="242" spans="1:28" s="4" customFormat="1" x14ac:dyDescent="0.15">
      <c r="A242" s="262"/>
      <c r="B242" s="263"/>
      <c r="C242" s="264"/>
      <c r="D242" s="262"/>
      <c r="E242" s="262"/>
      <c r="F242" s="262"/>
      <c r="G242" s="262"/>
      <c r="H242" s="263"/>
      <c r="I242" s="85"/>
      <c r="J242" s="265"/>
      <c r="K242" s="146"/>
      <c r="L242" s="266"/>
      <c r="M242" s="49"/>
      <c r="N242" s="37"/>
      <c r="O242" s="37"/>
      <c r="P242" s="37"/>
      <c r="Q242" s="3"/>
      <c r="R242" s="3"/>
      <c r="S242" s="3"/>
      <c r="T242" s="3"/>
      <c r="U242" s="3"/>
      <c r="V242" s="3"/>
      <c r="W242" s="3"/>
      <c r="X242" s="3"/>
      <c r="Y242" s="3"/>
    </row>
    <row r="243" spans="1:28" s="4" customFormat="1" x14ac:dyDescent="0.15">
      <c r="A243" s="262"/>
      <c r="B243" s="263"/>
      <c r="C243" s="264"/>
      <c r="D243" s="262"/>
      <c r="E243" s="262"/>
      <c r="F243" s="262"/>
      <c r="G243" s="262"/>
      <c r="H243" s="263"/>
      <c r="I243" s="85"/>
      <c r="J243" s="265"/>
      <c r="K243" s="146"/>
      <c r="L243" s="266"/>
      <c r="M243" s="50"/>
      <c r="N243" s="37"/>
      <c r="O243" s="37"/>
      <c r="P243" s="37"/>
      <c r="Q243" s="3"/>
      <c r="R243" s="3"/>
      <c r="S243" s="3"/>
      <c r="T243" s="3"/>
      <c r="U243" s="3"/>
      <c r="V243" s="3"/>
      <c r="W243" s="3"/>
      <c r="X243" s="3"/>
      <c r="Y243" s="3"/>
    </row>
    <row r="244" spans="1:28" s="4" customFormat="1" x14ac:dyDescent="0.15">
      <c r="A244" s="262"/>
      <c r="B244" s="263"/>
      <c r="C244" s="264"/>
      <c r="D244" s="262"/>
      <c r="E244" s="262"/>
      <c r="F244" s="262"/>
      <c r="G244" s="262"/>
      <c r="H244" s="263"/>
      <c r="I244" s="85"/>
      <c r="J244" s="265"/>
      <c r="K244" s="146"/>
      <c r="L244" s="266"/>
      <c r="M244" s="49"/>
      <c r="N244" s="37"/>
      <c r="O244" s="37"/>
      <c r="P244" s="37"/>
      <c r="Q244" s="3"/>
      <c r="R244" s="3"/>
      <c r="S244" s="3"/>
      <c r="T244" s="3"/>
      <c r="U244" s="3"/>
      <c r="V244" s="3"/>
      <c r="W244" s="3"/>
      <c r="X244" s="3"/>
      <c r="Y244" s="3"/>
    </row>
    <row r="245" spans="1:28" s="4" customFormat="1" x14ac:dyDescent="0.15">
      <c r="A245" s="262"/>
      <c r="B245" s="263"/>
      <c r="C245" s="264"/>
      <c r="D245" s="262"/>
      <c r="E245" s="262"/>
      <c r="F245" s="262"/>
      <c r="G245" s="262"/>
      <c r="H245" s="263"/>
      <c r="I245" s="85"/>
      <c r="J245" s="265"/>
      <c r="K245" s="146"/>
      <c r="L245" s="266"/>
      <c r="M245" s="49"/>
      <c r="N245" s="37"/>
      <c r="O245" s="37"/>
      <c r="P245" s="37"/>
      <c r="Q245" s="3"/>
      <c r="R245" s="3"/>
      <c r="S245" s="3"/>
      <c r="T245" s="3"/>
      <c r="U245" s="3"/>
      <c r="V245" s="3"/>
      <c r="W245" s="3"/>
      <c r="X245" s="3"/>
      <c r="Y245" s="3"/>
    </row>
    <row r="246" spans="1:28" s="4" customFormat="1" x14ac:dyDescent="0.15">
      <c r="A246" s="262"/>
      <c r="B246" s="263"/>
      <c r="C246" s="264"/>
      <c r="D246" s="262"/>
      <c r="E246" s="262"/>
      <c r="F246" s="262"/>
      <c r="G246" s="262"/>
      <c r="H246" s="263"/>
      <c r="I246" s="85"/>
      <c r="J246" s="265"/>
      <c r="K246" s="146"/>
      <c r="L246" s="99"/>
      <c r="M246" s="50"/>
      <c r="N246" s="37"/>
      <c r="O246" s="37"/>
      <c r="P246" s="37"/>
      <c r="Q246" s="3"/>
      <c r="R246" s="3"/>
      <c r="S246" s="3"/>
      <c r="T246" s="3"/>
      <c r="U246" s="3"/>
      <c r="V246" s="3"/>
      <c r="W246" s="3"/>
      <c r="X246" s="3"/>
      <c r="Y246" s="3"/>
    </row>
    <row r="247" spans="1:28" s="4" customFormat="1" x14ac:dyDescent="0.15">
      <c r="A247" s="262"/>
      <c r="B247" s="263"/>
      <c r="C247" s="264"/>
      <c r="D247" s="262"/>
      <c r="E247" s="262"/>
      <c r="F247" s="262"/>
      <c r="G247" s="262"/>
      <c r="H247" s="263"/>
      <c r="I247" s="85"/>
      <c r="J247" s="265"/>
      <c r="K247" s="146"/>
      <c r="L247" s="266"/>
      <c r="M247" s="50"/>
      <c r="N247" s="37"/>
      <c r="O247" s="37"/>
      <c r="P247" s="37"/>
      <c r="Q247" s="3"/>
      <c r="R247" s="3"/>
      <c r="S247" s="3"/>
      <c r="T247" s="3"/>
      <c r="U247" s="3"/>
      <c r="V247" s="3"/>
      <c r="W247" s="3"/>
      <c r="X247" s="3"/>
      <c r="Y247" s="3"/>
    </row>
    <row r="248" spans="1:28" s="4" customFormat="1" x14ac:dyDescent="0.15">
      <c r="A248" s="262"/>
      <c r="B248" s="263"/>
      <c r="C248" s="264"/>
      <c r="D248" s="262"/>
      <c r="E248" s="262"/>
      <c r="F248" s="262"/>
      <c r="G248" s="262"/>
      <c r="H248" s="263"/>
      <c r="I248" s="85"/>
      <c r="J248" s="265"/>
      <c r="K248" s="146"/>
      <c r="L248" s="266"/>
      <c r="M248" s="49"/>
      <c r="N248" s="37"/>
      <c r="O248" s="37"/>
      <c r="P248" s="37"/>
      <c r="Q248" s="3"/>
      <c r="R248" s="3"/>
      <c r="S248" s="3"/>
      <c r="T248" s="3"/>
      <c r="U248" s="3"/>
      <c r="V248" s="3"/>
      <c r="W248" s="3"/>
      <c r="X248" s="3"/>
      <c r="Y248" s="3"/>
    </row>
    <row r="249" spans="1:28" s="4" customFormat="1" x14ac:dyDescent="0.15">
      <c r="A249" s="262"/>
      <c r="B249" s="263"/>
      <c r="C249" s="264"/>
      <c r="D249" s="262"/>
      <c r="E249" s="262"/>
      <c r="F249" s="262"/>
      <c r="G249" s="262"/>
      <c r="H249" s="263"/>
      <c r="I249" s="85"/>
      <c r="J249" s="265"/>
      <c r="K249" s="146"/>
      <c r="L249" s="266"/>
      <c r="M249" s="50"/>
      <c r="N249" s="37"/>
      <c r="O249" s="37"/>
      <c r="P249" s="37"/>
      <c r="Q249" s="3"/>
      <c r="R249" s="3"/>
      <c r="S249" s="3"/>
      <c r="T249" s="3"/>
      <c r="U249" s="3"/>
      <c r="V249" s="3"/>
      <c r="W249" s="3"/>
      <c r="X249" s="3"/>
      <c r="Y249" s="3"/>
    </row>
    <row r="250" spans="1:28" s="4" customFormat="1" x14ac:dyDescent="0.15">
      <c r="A250" s="262"/>
      <c r="B250" s="263"/>
      <c r="C250" s="264"/>
      <c r="D250" s="262"/>
      <c r="E250" s="262"/>
      <c r="F250" s="262"/>
      <c r="G250" s="262"/>
      <c r="H250" s="263"/>
      <c r="I250" s="85"/>
      <c r="J250" s="265"/>
      <c r="K250" s="146"/>
      <c r="L250" s="266"/>
      <c r="M250" s="49"/>
      <c r="N250" s="37"/>
      <c r="O250" s="37"/>
      <c r="P250" s="37"/>
      <c r="Q250" s="3"/>
      <c r="R250" s="3"/>
      <c r="S250" s="3"/>
      <c r="T250" s="3"/>
      <c r="U250" s="3"/>
      <c r="V250" s="3"/>
      <c r="W250" s="3"/>
      <c r="X250" s="3"/>
      <c r="Y250" s="3"/>
    </row>
    <row r="251" spans="1:28" s="4" customFormat="1" x14ac:dyDescent="0.15">
      <c r="A251" s="262"/>
      <c r="B251" s="263"/>
      <c r="C251" s="264"/>
      <c r="D251" s="262"/>
      <c r="E251" s="262"/>
      <c r="F251" s="262"/>
      <c r="G251" s="262"/>
      <c r="H251" s="263"/>
      <c r="I251" s="85"/>
      <c r="J251" s="265"/>
      <c r="K251" s="146"/>
      <c r="L251" s="266"/>
      <c r="M251" s="49"/>
      <c r="N251" s="37"/>
      <c r="O251" s="37"/>
      <c r="P251" s="37"/>
      <c r="Q251" s="3"/>
      <c r="R251" s="3"/>
      <c r="S251" s="3"/>
      <c r="T251" s="3"/>
      <c r="U251" s="3"/>
      <c r="V251" s="3"/>
      <c r="W251" s="3"/>
      <c r="X251" s="3"/>
      <c r="Y251" s="3"/>
    </row>
    <row r="252" spans="1:28" s="4" customFormat="1" x14ac:dyDescent="0.15">
      <c r="A252" s="70"/>
      <c r="B252" s="93"/>
      <c r="C252" s="264"/>
      <c r="D252" s="70"/>
      <c r="E252" s="70"/>
      <c r="F252" s="70"/>
      <c r="G252" s="70"/>
      <c r="H252" s="93"/>
      <c r="I252" s="85"/>
      <c r="J252" s="267"/>
      <c r="K252" s="131"/>
      <c r="L252" s="266"/>
      <c r="M252" s="37"/>
      <c r="N252" s="37"/>
      <c r="O252" s="37"/>
      <c r="P252" s="37"/>
      <c r="Q252" s="3"/>
      <c r="R252" s="3"/>
      <c r="S252" s="3"/>
      <c r="T252" s="3"/>
      <c r="U252" s="3"/>
      <c r="V252" s="3"/>
      <c r="W252" s="3"/>
      <c r="X252" s="3"/>
      <c r="Y252" s="3"/>
    </row>
    <row r="253" spans="1:28" s="4" customFormat="1" x14ac:dyDescent="0.15">
      <c r="A253" s="73"/>
      <c r="B253" s="93"/>
      <c r="C253" s="264"/>
      <c r="D253" s="70"/>
      <c r="E253" s="70"/>
      <c r="F253" s="70"/>
      <c r="G253" s="70"/>
      <c r="H253" s="93"/>
      <c r="I253" s="85"/>
      <c r="J253" s="85"/>
      <c r="K253" s="131"/>
      <c r="L253" s="266"/>
      <c r="M253" s="37"/>
      <c r="N253" s="37"/>
      <c r="O253" s="37"/>
      <c r="P253" s="37"/>
      <c r="Q253" s="3"/>
      <c r="R253" s="3"/>
      <c r="S253" s="3"/>
      <c r="T253" s="3"/>
      <c r="U253" s="3"/>
      <c r="V253" s="3"/>
      <c r="W253" s="3"/>
      <c r="X253" s="3"/>
      <c r="Y253" s="3"/>
    </row>
    <row r="254" spans="1:28" s="4" customFormat="1" x14ac:dyDescent="0.15">
      <c r="A254" s="262"/>
      <c r="B254" s="263"/>
      <c r="C254" s="264"/>
      <c r="D254" s="262"/>
      <c r="E254" s="262"/>
      <c r="F254" s="262"/>
      <c r="G254" s="262"/>
      <c r="H254" s="263"/>
      <c r="I254" s="85"/>
      <c r="J254" s="265"/>
      <c r="K254" s="146"/>
      <c r="L254" s="266"/>
      <c r="M254" s="49"/>
      <c r="N254" s="37"/>
      <c r="O254" s="37"/>
      <c r="P254" s="37"/>
      <c r="Q254" s="3"/>
      <c r="R254" s="3"/>
      <c r="S254" s="3"/>
      <c r="T254" s="3"/>
      <c r="U254" s="3"/>
      <c r="V254" s="3"/>
      <c r="W254" s="3"/>
      <c r="X254" s="3"/>
      <c r="Y254" s="3"/>
      <c r="AA254" s="49"/>
      <c r="AB254" s="49"/>
    </row>
    <row r="255" spans="1:28" s="4" customFormat="1" x14ac:dyDescent="0.15">
      <c r="A255" s="262"/>
      <c r="B255" s="263"/>
      <c r="C255" s="264"/>
      <c r="D255" s="262"/>
      <c r="E255" s="262"/>
      <c r="F255" s="262"/>
      <c r="G255" s="262"/>
      <c r="H255" s="263"/>
      <c r="I255" s="85"/>
      <c r="J255" s="265"/>
      <c r="K255" s="146"/>
      <c r="L255" s="99"/>
      <c r="M255" s="49"/>
      <c r="N255" s="37"/>
      <c r="O255" s="37"/>
      <c r="P255" s="37"/>
      <c r="Q255" s="3"/>
      <c r="R255" s="3"/>
      <c r="S255" s="3"/>
      <c r="T255" s="3"/>
      <c r="U255" s="3"/>
      <c r="V255" s="3"/>
      <c r="W255" s="3"/>
      <c r="X255" s="3"/>
      <c r="Y255" s="3"/>
    </row>
    <row r="256" spans="1:28" s="4" customFormat="1" x14ac:dyDescent="0.15">
      <c r="A256" s="262"/>
      <c r="B256" s="263"/>
      <c r="C256" s="264"/>
      <c r="D256" s="262"/>
      <c r="E256" s="262"/>
      <c r="F256" s="262"/>
      <c r="G256" s="262"/>
      <c r="H256" s="263"/>
      <c r="I256" s="85"/>
      <c r="J256" s="265"/>
      <c r="K256" s="146"/>
      <c r="L256" s="266"/>
      <c r="M256" s="49"/>
      <c r="N256" s="37"/>
      <c r="O256" s="37"/>
      <c r="P256" s="37"/>
      <c r="Q256" s="3"/>
      <c r="R256" s="3"/>
      <c r="S256" s="3"/>
      <c r="T256" s="3"/>
      <c r="U256" s="3"/>
      <c r="V256" s="3"/>
      <c r="W256" s="3"/>
      <c r="X256" s="3"/>
      <c r="Y256" s="3"/>
    </row>
    <row r="257" spans="1:28" s="4" customFormat="1" x14ac:dyDescent="0.15">
      <c r="A257" s="262"/>
      <c r="B257" s="263"/>
      <c r="C257" s="264"/>
      <c r="D257" s="262"/>
      <c r="E257" s="262"/>
      <c r="F257" s="262"/>
      <c r="G257" s="262"/>
      <c r="H257" s="263"/>
      <c r="I257" s="85"/>
      <c r="J257" s="265"/>
      <c r="K257" s="146"/>
      <c r="L257" s="99"/>
      <c r="M257" s="50"/>
      <c r="N257" s="37"/>
      <c r="O257" s="51"/>
      <c r="P257" s="37"/>
      <c r="Q257" s="3"/>
      <c r="R257" s="3"/>
      <c r="S257" s="3"/>
      <c r="T257" s="3"/>
      <c r="U257" s="3"/>
      <c r="V257" s="3"/>
      <c r="W257" s="3"/>
      <c r="X257" s="3"/>
      <c r="Y257" s="3"/>
    </row>
    <row r="258" spans="1:28" s="37" customFormat="1" x14ac:dyDescent="0.15">
      <c r="A258" s="268"/>
      <c r="B258" s="269"/>
      <c r="C258" s="270"/>
      <c r="D258" s="268"/>
      <c r="E258" s="268"/>
      <c r="F258" s="268"/>
      <c r="G258" s="268"/>
      <c r="H258" s="269"/>
      <c r="I258" s="183"/>
      <c r="J258" s="271"/>
      <c r="K258" s="272"/>
      <c r="L258" s="273"/>
      <c r="M258" s="186"/>
      <c r="N258" s="186"/>
      <c r="O258" s="186"/>
      <c r="P258" s="186"/>
      <c r="Q258" s="187"/>
      <c r="R258" s="187"/>
      <c r="S258" s="3"/>
      <c r="T258" s="3"/>
      <c r="U258" s="3"/>
      <c r="V258" s="3"/>
      <c r="W258" s="3"/>
      <c r="X258" s="3"/>
      <c r="Y258" s="3"/>
      <c r="Z258" s="4"/>
      <c r="AA258" s="4"/>
      <c r="AB258" s="4"/>
    </row>
    <row r="259" spans="1:28" s="4" customFormat="1" x14ac:dyDescent="0.15">
      <c r="A259" s="70"/>
      <c r="B259" s="93"/>
      <c r="C259" s="70"/>
      <c r="D259" s="70"/>
      <c r="E259" s="70"/>
      <c r="F259" s="70"/>
      <c r="G259" s="70"/>
      <c r="H259" s="93"/>
      <c r="I259" s="85"/>
      <c r="J259" s="85"/>
      <c r="K259" s="131"/>
      <c r="L259" s="60"/>
      <c r="M259" s="33"/>
      <c r="N259" s="37"/>
      <c r="O259" s="37"/>
      <c r="P259" s="37"/>
      <c r="Q259" s="3"/>
      <c r="R259" s="3"/>
      <c r="S259" s="3"/>
      <c r="T259" s="3"/>
      <c r="U259" s="3"/>
      <c r="V259" s="3"/>
      <c r="W259" s="3"/>
      <c r="X259" s="3"/>
      <c r="Y259" s="3"/>
    </row>
    <row r="260" spans="1:28" s="4" customFormat="1" x14ac:dyDescent="0.15">
      <c r="A260" s="180"/>
      <c r="B260" s="182"/>
      <c r="C260" s="180"/>
      <c r="D260" s="180"/>
      <c r="E260" s="180"/>
      <c r="F260" s="180"/>
      <c r="G260" s="180"/>
      <c r="H260" s="182"/>
      <c r="I260" s="183"/>
      <c r="J260" s="183"/>
      <c r="K260" s="184"/>
      <c r="L260" s="185"/>
      <c r="M260" s="186"/>
      <c r="N260" s="186"/>
      <c r="O260" s="186"/>
      <c r="P260" s="186"/>
      <c r="Q260" s="187"/>
      <c r="R260" s="187"/>
      <c r="S260" s="3"/>
      <c r="T260" s="3"/>
      <c r="U260" s="3"/>
      <c r="V260" s="3"/>
      <c r="W260" s="3"/>
      <c r="X260" s="3"/>
      <c r="Y260" s="3"/>
    </row>
    <row r="261" spans="1:28" s="4" customFormat="1" x14ac:dyDescent="0.15">
      <c r="A261" s="262"/>
      <c r="B261" s="263"/>
      <c r="C261" s="264"/>
      <c r="D261" s="262"/>
      <c r="E261" s="262"/>
      <c r="F261" s="262"/>
      <c r="G261" s="262"/>
      <c r="H261" s="263"/>
      <c r="I261" s="85"/>
      <c r="J261" s="265"/>
      <c r="K261" s="146"/>
      <c r="L261" s="274"/>
      <c r="M261" s="49"/>
      <c r="N261" s="37"/>
      <c r="O261" s="37"/>
      <c r="P261" s="49"/>
      <c r="Q261" s="3"/>
      <c r="R261" s="3"/>
      <c r="S261" s="3"/>
      <c r="T261" s="3"/>
      <c r="U261" s="3"/>
      <c r="V261" s="3"/>
      <c r="W261" s="3"/>
      <c r="X261" s="3"/>
      <c r="Y261" s="3"/>
    </row>
    <row r="262" spans="1:28" s="4" customFormat="1" x14ac:dyDescent="0.15">
      <c r="A262" s="70"/>
      <c r="B262" s="93"/>
      <c r="C262" s="70"/>
      <c r="D262" s="70"/>
      <c r="E262" s="70"/>
      <c r="F262" s="70"/>
      <c r="G262" s="70"/>
      <c r="H262" s="93"/>
      <c r="I262" s="85"/>
      <c r="J262" s="85"/>
      <c r="K262" s="131"/>
      <c r="L262" s="261"/>
      <c r="M262" s="49"/>
      <c r="N262" s="32"/>
      <c r="O262" s="37"/>
      <c r="P262" s="37"/>
      <c r="Q262" s="3"/>
      <c r="R262" s="3"/>
      <c r="S262" s="3"/>
      <c r="T262" s="3"/>
      <c r="U262" s="3"/>
      <c r="V262" s="3"/>
      <c r="W262" s="3"/>
      <c r="X262" s="3"/>
      <c r="Y262" s="3"/>
    </row>
    <row r="263" spans="1:28" s="4" customFormat="1" x14ac:dyDescent="0.15">
      <c r="A263" s="70"/>
      <c r="B263" s="93"/>
      <c r="C263" s="70"/>
      <c r="D263" s="70"/>
      <c r="E263" s="70"/>
      <c r="F263" s="70"/>
      <c r="G263" s="70"/>
      <c r="H263" s="93"/>
      <c r="I263" s="85"/>
      <c r="J263" s="85"/>
      <c r="K263" s="131"/>
      <c r="L263" s="60"/>
      <c r="M263" s="37"/>
      <c r="N263" s="37"/>
      <c r="O263" s="37"/>
      <c r="P263" s="37"/>
      <c r="Q263" s="3"/>
      <c r="R263" s="3"/>
      <c r="S263" s="3"/>
      <c r="T263" s="3"/>
      <c r="U263" s="3"/>
      <c r="V263" s="3"/>
      <c r="W263" s="3"/>
      <c r="X263" s="3"/>
      <c r="Y263" s="3"/>
      <c r="AA263" s="37"/>
      <c r="AB263" s="37"/>
    </row>
    <row r="264" spans="1:28" s="4" customFormat="1" x14ac:dyDescent="0.15">
      <c r="A264" s="164"/>
      <c r="B264" s="176"/>
      <c r="C264" s="70"/>
      <c r="D264" s="91"/>
      <c r="E264" s="91"/>
      <c r="F264" s="91"/>
      <c r="G264" s="91"/>
      <c r="H264" s="176"/>
      <c r="I264" s="85"/>
      <c r="J264" s="92"/>
      <c r="K264" s="133"/>
      <c r="L264" s="65"/>
      <c r="M264" s="49"/>
      <c r="N264" s="37"/>
      <c r="O264" s="37"/>
      <c r="P264" s="37"/>
      <c r="Q264" s="3"/>
      <c r="R264" s="3"/>
      <c r="S264" s="3"/>
      <c r="T264" s="3"/>
      <c r="U264" s="3"/>
      <c r="V264" s="3"/>
      <c r="W264" s="3"/>
      <c r="X264" s="3"/>
      <c r="Y264" s="3"/>
    </row>
    <row r="265" spans="1:28" s="37" customFormat="1" ht="16" x14ac:dyDescent="0.2">
      <c r="A265" s="164"/>
      <c r="B265" s="176"/>
      <c r="C265" s="70"/>
      <c r="D265" s="91"/>
      <c r="E265" s="91"/>
      <c r="F265" s="91"/>
      <c r="G265" s="91"/>
      <c r="H265" s="176"/>
      <c r="I265" s="85"/>
      <c r="J265" s="92"/>
      <c r="K265" s="133"/>
      <c r="L265" s="64"/>
      <c r="M265" s="47"/>
      <c r="Q265" s="3"/>
      <c r="R265" s="3"/>
      <c r="S265" s="3"/>
      <c r="T265" s="3"/>
      <c r="U265" s="3"/>
      <c r="V265" s="3"/>
      <c r="W265" s="3"/>
      <c r="X265" s="3"/>
      <c r="Y265" s="3"/>
      <c r="Z265" s="4"/>
      <c r="AA265" s="4"/>
      <c r="AB265" s="4"/>
    </row>
    <row r="266" spans="1:28" s="37" customFormat="1" ht="16" x14ac:dyDescent="0.2">
      <c r="A266" s="91"/>
      <c r="B266" s="176"/>
      <c r="C266" s="70"/>
      <c r="D266" s="91"/>
      <c r="E266" s="91"/>
      <c r="F266" s="91"/>
      <c r="G266" s="91"/>
      <c r="H266" s="176"/>
      <c r="I266" s="85"/>
      <c r="J266" s="92"/>
      <c r="K266" s="133"/>
      <c r="L266" s="64"/>
      <c r="M266" s="47"/>
      <c r="Q266" s="3"/>
      <c r="R266" s="3"/>
      <c r="S266" s="3"/>
      <c r="T266" s="3"/>
      <c r="U266" s="3"/>
      <c r="V266" s="3"/>
      <c r="W266" s="3"/>
      <c r="X266" s="3"/>
      <c r="Y266" s="3"/>
      <c r="Z266" s="4"/>
      <c r="AA266" s="4"/>
      <c r="AB266" s="4"/>
    </row>
    <row r="267" spans="1:28" s="37" customFormat="1" x14ac:dyDescent="0.15">
      <c r="A267" s="91"/>
      <c r="B267" s="176"/>
      <c r="C267" s="70"/>
      <c r="D267" s="91"/>
      <c r="E267" s="91"/>
      <c r="F267" s="91"/>
      <c r="G267" s="91"/>
      <c r="H267" s="176"/>
      <c r="I267" s="85"/>
      <c r="J267" s="92"/>
      <c r="K267" s="133"/>
      <c r="L267" s="64"/>
      <c r="M267" s="49"/>
      <c r="Q267" s="3"/>
      <c r="R267" s="3"/>
      <c r="S267" s="3"/>
      <c r="T267" s="3"/>
      <c r="U267" s="3"/>
      <c r="V267" s="3"/>
      <c r="W267" s="3"/>
      <c r="X267" s="3"/>
      <c r="Y267" s="3"/>
      <c r="Z267" s="4"/>
      <c r="AA267" s="4"/>
      <c r="AB267" s="4"/>
    </row>
    <row r="268" spans="1:28" s="4" customFormat="1" x14ac:dyDescent="0.15">
      <c r="A268" s="91"/>
      <c r="B268" s="176"/>
      <c r="C268" s="73"/>
      <c r="D268" s="164"/>
      <c r="E268" s="91"/>
      <c r="F268" s="164"/>
      <c r="G268" s="164"/>
      <c r="H268" s="196"/>
      <c r="I268" s="85"/>
      <c r="J268" s="92"/>
      <c r="K268" s="133"/>
      <c r="L268" s="65"/>
      <c r="M268" s="49"/>
      <c r="N268" s="37"/>
      <c r="O268" s="37"/>
      <c r="P268" s="37"/>
      <c r="Q268" s="3"/>
      <c r="R268" s="3"/>
      <c r="S268" s="3"/>
      <c r="T268" s="3"/>
      <c r="U268" s="3"/>
      <c r="V268" s="3"/>
      <c r="W268" s="3"/>
      <c r="X268" s="3"/>
      <c r="Y268" s="3"/>
      <c r="AA268" s="49"/>
      <c r="AB268" s="49"/>
    </row>
    <row r="269" spans="1:28" s="4" customFormat="1" ht="16" x14ac:dyDescent="0.2">
      <c r="A269" s="91"/>
      <c r="B269" s="176"/>
      <c r="C269" s="70"/>
      <c r="D269" s="91"/>
      <c r="E269" s="91"/>
      <c r="F269" s="91"/>
      <c r="G269" s="91"/>
      <c r="H269" s="176"/>
      <c r="I269" s="85"/>
      <c r="J269" s="92"/>
      <c r="K269" s="133"/>
      <c r="L269" s="65"/>
      <c r="M269" s="47"/>
      <c r="N269" s="37"/>
      <c r="O269" s="37"/>
      <c r="P269" s="37"/>
      <c r="Q269" s="3"/>
      <c r="R269" s="3"/>
      <c r="S269" s="3"/>
      <c r="T269" s="3"/>
      <c r="U269" s="3"/>
      <c r="V269" s="3"/>
      <c r="W269" s="3"/>
      <c r="X269" s="3"/>
      <c r="Y269" s="3"/>
    </row>
    <row r="270" spans="1:28" s="4" customFormat="1" x14ac:dyDescent="0.15">
      <c r="A270" s="91"/>
      <c r="B270" s="176"/>
      <c r="C270" s="70"/>
      <c r="D270" s="91"/>
      <c r="E270" s="91"/>
      <c r="F270" s="91"/>
      <c r="G270" s="91"/>
      <c r="H270" s="176"/>
      <c r="I270" s="85"/>
      <c r="J270" s="92"/>
      <c r="K270" s="133"/>
      <c r="L270" s="64"/>
      <c r="M270" s="49"/>
      <c r="N270" s="37"/>
      <c r="O270" s="37"/>
      <c r="P270" s="37"/>
      <c r="Q270" s="3"/>
      <c r="R270" s="3"/>
      <c r="S270" s="3"/>
      <c r="T270" s="3"/>
      <c r="U270" s="3"/>
      <c r="V270" s="3"/>
      <c r="W270" s="3"/>
      <c r="X270" s="3"/>
      <c r="Y270" s="3"/>
    </row>
    <row r="271" spans="1:28" s="4" customFormat="1" x14ac:dyDescent="0.15">
      <c r="A271" s="91"/>
      <c r="B271" s="176"/>
      <c r="C271" s="70"/>
      <c r="D271" s="91"/>
      <c r="E271" s="91"/>
      <c r="F271" s="91"/>
      <c r="G271" s="91"/>
      <c r="H271" s="176"/>
      <c r="I271" s="85"/>
      <c r="J271" s="92"/>
      <c r="K271" s="133"/>
      <c r="L271" s="65"/>
      <c r="M271" s="49"/>
      <c r="N271" s="37"/>
      <c r="O271" s="37"/>
      <c r="P271" s="37"/>
      <c r="Q271" s="3"/>
      <c r="R271" s="3"/>
      <c r="S271" s="3"/>
      <c r="T271" s="3"/>
      <c r="U271" s="3"/>
      <c r="V271" s="3"/>
      <c r="W271" s="3"/>
      <c r="X271" s="3"/>
      <c r="Y271" s="3"/>
    </row>
    <row r="272" spans="1:28" s="4" customFormat="1" x14ac:dyDescent="0.15">
      <c r="A272" s="164"/>
      <c r="B272" s="176"/>
      <c r="C272" s="70"/>
      <c r="D272" s="91"/>
      <c r="E272" s="91"/>
      <c r="F272" s="91"/>
      <c r="G272" s="91"/>
      <c r="H272" s="176"/>
      <c r="I272" s="85"/>
      <c r="J272" s="92"/>
      <c r="K272" s="133"/>
      <c r="L272" s="64"/>
      <c r="M272" s="49"/>
      <c r="N272" s="37"/>
      <c r="O272" s="37"/>
      <c r="P272" s="37"/>
      <c r="Q272" s="3"/>
      <c r="R272" s="3"/>
      <c r="S272" s="3"/>
      <c r="T272" s="3"/>
      <c r="U272" s="3"/>
      <c r="V272" s="3"/>
      <c r="W272" s="3"/>
      <c r="X272" s="3"/>
      <c r="Y272" s="3"/>
    </row>
    <row r="273" spans="1:28" s="4" customFormat="1" x14ac:dyDescent="0.15">
      <c r="A273" s="91"/>
      <c r="B273" s="176"/>
      <c r="C273" s="70"/>
      <c r="D273" s="91"/>
      <c r="E273" s="91"/>
      <c r="F273" s="91"/>
      <c r="G273" s="91"/>
      <c r="H273" s="176"/>
      <c r="I273" s="85"/>
      <c r="J273" s="92"/>
      <c r="K273" s="133"/>
      <c r="L273" s="64"/>
      <c r="M273" s="49"/>
      <c r="N273" s="37"/>
      <c r="O273" s="37"/>
      <c r="P273" s="37"/>
      <c r="Q273" s="3"/>
      <c r="R273" s="3"/>
      <c r="S273" s="3"/>
      <c r="T273" s="3"/>
      <c r="U273" s="3"/>
      <c r="V273" s="3"/>
      <c r="W273" s="3"/>
      <c r="X273" s="3"/>
      <c r="Y273" s="3"/>
    </row>
    <row r="274" spans="1:28" s="4" customFormat="1" x14ac:dyDescent="0.15">
      <c r="A274" s="91"/>
      <c r="B274" s="176"/>
      <c r="C274" s="70"/>
      <c r="D274" s="91"/>
      <c r="E274" s="91"/>
      <c r="F274" s="91"/>
      <c r="G274" s="91"/>
      <c r="H274" s="176"/>
      <c r="I274" s="85"/>
      <c r="J274" s="92"/>
      <c r="K274" s="133"/>
      <c r="L274" s="64"/>
      <c r="M274" s="49"/>
      <c r="N274" s="37"/>
      <c r="O274" s="37"/>
      <c r="P274" s="37"/>
      <c r="Q274" s="3"/>
      <c r="R274" s="3"/>
      <c r="S274" s="3"/>
      <c r="T274" s="3"/>
      <c r="U274" s="3"/>
      <c r="V274" s="3"/>
      <c r="W274" s="3"/>
      <c r="X274" s="3"/>
      <c r="Y274" s="3"/>
    </row>
    <row r="275" spans="1:28" x14ac:dyDescent="0.15">
      <c r="A275" s="70"/>
      <c r="B275" s="93"/>
      <c r="C275" s="88"/>
      <c r="D275" s="70"/>
      <c r="E275" s="70"/>
      <c r="F275" s="70"/>
      <c r="G275" s="70"/>
      <c r="H275" s="93"/>
      <c r="I275" s="85"/>
      <c r="J275" s="98"/>
      <c r="K275" s="131"/>
      <c r="L275" s="62"/>
      <c r="M275" s="35"/>
    </row>
    <row r="276" spans="1:28" x14ac:dyDescent="0.15">
      <c r="A276" s="70"/>
      <c r="B276" s="93"/>
      <c r="C276" s="88"/>
      <c r="D276" s="70"/>
      <c r="E276" s="62"/>
      <c r="F276" s="70"/>
      <c r="G276" s="70"/>
      <c r="H276" s="93"/>
      <c r="I276" s="85"/>
      <c r="J276" s="98"/>
      <c r="K276" s="131"/>
      <c r="L276" s="62"/>
      <c r="M276" s="35"/>
    </row>
    <row r="277" spans="1:28" x14ac:dyDescent="0.15">
      <c r="A277" s="70"/>
      <c r="B277" s="82"/>
      <c r="C277" s="70">
        <f>COUNTIF(C4:C274, "extant")</f>
        <v>206</v>
      </c>
      <c r="D277" s="70"/>
      <c r="E277" s="70"/>
      <c r="F277" s="70"/>
      <c r="G277" s="70"/>
      <c r="H277" s="93"/>
      <c r="I277" s="85"/>
      <c r="J277" s="85"/>
      <c r="K277" s="131"/>
      <c r="L277" s="63"/>
    </row>
    <row r="278" spans="1:28" x14ac:dyDescent="0.15">
      <c r="A278" s="70"/>
      <c r="B278" s="82"/>
      <c r="C278" s="70"/>
      <c r="D278" s="70"/>
      <c r="E278" s="70"/>
      <c r="F278" s="70"/>
      <c r="G278" s="70"/>
      <c r="H278" s="93"/>
      <c r="I278" s="85"/>
      <c r="J278" s="95"/>
      <c r="K278" s="131"/>
      <c r="L278" s="63"/>
    </row>
    <row r="279" spans="1:28" ht="16" x14ac:dyDescent="0.2">
      <c r="A279" s="70"/>
      <c r="B279" s="93"/>
      <c r="C279" s="70"/>
      <c r="D279" s="70"/>
      <c r="E279" s="70"/>
      <c r="F279" s="70"/>
      <c r="G279" s="70"/>
      <c r="H279" s="93"/>
      <c r="I279" s="85"/>
      <c r="J279" s="85"/>
      <c r="K279" s="131"/>
      <c r="L279" s="60"/>
      <c r="M279" s="47"/>
    </row>
    <row r="280" spans="1:28" x14ac:dyDescent="0.15">
      <c r="A280" s="180"/>
      <c r="B280" s="181"/>
      <c r="C280" s="180"/>
      <c r="D280" s="180"/>
      <c r="E280" s="180"/>
      <c r="F280" s="180"/>
      <c r="G280" s="180"/>
      <c r="H280" s="182"/>
      <c r="I280" s="183"/>
      <c r="J280" s="183"/>
      <c r="K280" s="184"/>
      <c r="L280" s="185"/>
      <c r="M280" s="186"/>
      <c r="N280" s="186"/>
      <c r="O280" s="186"/>
      <c r="P280" s="186"/>
      <c r="Q280" s="187"/>
      <c r="R280" s="187"/>
    </row>
    <row r="281" spans="1:28" x14ac:dyDescent="0.15">
      <c r="A281" s="73"/>
      <c r="B281" s="93"/>
      <c r="C281" s="70"/>
      <c r="D281" s="70"/>
      <c r="E281" s="70"/>
      <c r="F281" s="70"/>
      <c r="G281" s="70"/>
      <c r="H281" s="93"/>
      <c r="I281" s="85"/>
      <c r="J281" s="85"/>
      <c r="K281" s="131"/>
      <c r="L281" s="60"/>
      <c r="M281" s="33"/>
    </row>
    <row r="282" spans="1:28" x14ac:dyDescent="0.15">
      <c r="A282" s="70"/>
      <c r="B282" s="82"/>
      <c r="C282" s="70"/>
      <c r="D282" s="70"/>
      <c r="E282" s="70"/>
      <c r="F282" s="70"/>
      <c r="G282" s="70"/>
      <c r="H282" s="93"/>
      <c r="I282" s="85"/>
      <c r="J282" s="85"/>
      <c r="K282" s="131"/>
      <c r="L282" s="60"/>
      <c r="M282" s="33"/>
    </row>
    <row r="283" spans="1:28" x14ac:dyDescent="0.15">
      <c r="A283" s="166"/>
      <c r="B283" s="82"/>
      <c r="C283" s="70"/>
      <c r="D283" s="70"/>
      <c r="E283" s="70"/>
      <c r="F283" s="70"/>
      <c r="G283" s="70"/>
      <c r="H283" s="93"/>
      <c r="I283" s="85"/>
      <c r="J283" s="85"/>
      <c r="K283" s="131"/>
      <c r="L283" s="60"/>
    </row>
    <row r="284" spans="1:28" x14ac:dyDescent="0.15">
      <c r="A284" s="167"/>
      <c r="B284" s="87"/>
      <c r="C284" s="88"/>
      <c r="D284" s="86"/>
      <c r="E284" s="86"/>
      <c r="F284" s="86"/>
      <c r="G284" s="86"/>
      <c r="H284" s="87"/>
      <c r="I284" s="85"/>
      <c r="J284" s="89"/>
      <c r="K284" s="132"/>
      <c r="L284" s="61"/>
    </row>
    <row r="285" spans="1:28" x14ac:dyDescent="0.15">
      <c r="A285" s="228"/>
      <c r="B285" s="212"/>
      <c r="C285" s="213"/>
      <c r="D285" s="211"/>
      <c r="E285" s="211"/>
      <c r="F285" s="211"/>
      <c r="G285" s="211"/>
      <c r="H285" s="212"/>
      <c r="I285" s="214"/>
      <c r="J285" s="215"/>
      <c r="K285" s="216"/>
      <c r="L285" s="217"/>
      <c r="M285" s="218"/>
      <c r="N285" s="218"/>
      <c r="O285" s="218"/>
      <c r="P285" s="218"/>
      <c r="Q285" s="220"/>
      <c r="R285" s="220"/>
      <c r="S285" s="220"/>
      <c r="T285" s="220"/>
      <c r="U285" s="220"/>
      <c r="V285" s="220"/>
      <c r="W285" s="220"/>
      <c r="X285" s="220"/>
      <c r="Y285" s="220"/>
      <c r="Z285" s="221"/>
      <c r="AA285" s="222"/>
      <c r="AB285" s="222"/>
    </row>
    <row r="286" spans="1:28" s="37" customFormat="1" x14ac:dyDescent="0.15">
      <c r="A286" s="167"/>
      <c r="B286" s="87"/>
      <c r="C286" s="88"/>
      <c r="D286" s="86"/>
      <c r="E286" s="86"/>
      <c r="F286" s="86"/>
      <c r="G286" s="86"/>
      <c r="H286" s="87"/>
      <c r="I286" s="85"/>
      <c r="J286" s="89"/>
      <c r="K286" s="132"/>
      <c r="L286" s="61"/>
      <c r="M286" s="49"/>
      <c r="Q286" s="3"/>
      <c r="R286" s="3"/>
      <c r="S286" s="3"/>
      <c r="T286" s="3"/>
      <c r="U286" s="3"/>
      <c r="V286" s="3"/>
      <c r="W286" s="3"/>
      <c r="X286" s="3"/>
      <c r="Y286" s="3"/>
      <c r="Z286" s="4"/>
      <c r="AA286"/>
      <c r="AB286"/>
    </row>
    <row r="287" spans="1:28" s="37" customFormat="1" x14ac:dyDescent="0.15">
      <c r="A287" s="167"/>
      <c r="B287" s="87"/>
      <c r="C287" s="88"/>
      <c r="D287" s="86"/>
      <c r="E287" s="86"/>
      <c r="F287" s="86"/>
      <c r="G287" s="86"/>
      <c r="H287" s="87"/>
      <c r="I287" s="85"/>
      <c r="J287" s="89"/>
      <c r="K287" s="132"/>
      <c r="L287" s="61"/>
      <c r="M287" s="49"/>
      <c r="Q287" s="3"/>
      <c r="R287" s="3"/>
      <c r="S287" s="3"/>
      <c r="T287" s="3"/>
      <c r="U287" s="3"/>
      <c r="V287" s="3"/>
      <c r="W287" s="3"/>
      <c r="X287" s="3"/>
      <c r="Y287" s="3"/>
      <c r="Z287" s="4"/>
      <c r="AA287"/>
      <c r="AB287"/>
    </row>
    <row r="288" spans="1:28" s="37" customFormat="1" x14ac:dyDescent="0.15">
      <c r="A288" s="167"/>
      <c r="B288" s="87"/>
      <c r="C288" s="88"/>
      <c r="D288" s="86"/>
      <c r="E288" s="86"/>
      <c r="F288" s="86"/>
      <c r="G288" s="86"/>
      <c r="H288" s="87"/>
      <c r="I288" s="85"/>
      <c r="J288" s="89"/>
      <c r="K288" s="132"/>
      <c r="L288" s="61"/>
      <c r="M288" s="49"/>
      <c r="Q288" s="3"/>
      <c r="R288" s="3"/>
      <c r="S288" s="3"/>
      <c r="T288" s="3"/>
      <c r="U288" s="3"/>
      <c r="V288" s="3"/>
      <c r="W288" s="3"/>
      <c r="X288" s="3"/>
      <c r="Y288" s="3"/>
      <c r="Z288" s="4"/>
      <c r="AA288"/>
      <c r="AB288"/>
    </row>
    <row r="289" spans="1:28" s="37" customFormat="1" x14ac:dyDescent="0.15">
      <c r="A289" s="167"/>
      <c r="B289" s="87"/>
      <c r="C289" s="88"/>
      <c r="D289" s="86"/>
      <c r="E289" s="86"/>
      <c r="F289" s="86"/>
      <c r="G289" s="86"/>
      <c r="H289" s="87"/>
      <c r="I289" s="85"/>
      <c r="J289" s="89"/>
      <c r="K289" s="132"/>
      <c r="L289" s="61"/>
      <c r="M289" s="49"/>
      <c r="Q289" s="3"/>
      <c r="R289" s="3"/>
      <c r="S289" s="3"/>
      <c r="T289" s="3"/>
      <c r="U289" s="3"/>
      <c r="V289" s="3"/>
      <c r="W289" s="3"/>
      <c r="X289" s="3"/>
      <c r="Y289" s="3"/>
      <c r="Z289" s="4"/>
      <c r="AA289"/>
      <c r="AB289"/>
    </row>
    <row r="290" spans="1:28" s="37" customFormat="1" x14ac:dyDescent="0.15">
      <c r="A290" s="167"/>
      <c r="B290" s="87"/>
      <c r="C290" s="88"/>
      <c r="D290" s="86"/>
      <c r="E290" s="86"/>
      <c r="F290" s="86"/>
      <c r="G290" s="86"/>
      <c r="H290" s="87"/>
      <c r="I290" s="85"/>
      <c r="J290" s="89"/>
      <c r="K290" s="132"/>
      <c r="L290" s="61"/>
      <c r="M290" s="49"/>
      <c r="Q290" s="3"/>
      <c r="R290" s="3"/>
      <c r="S290" s="3"/>
      <c r="T290" s="3"/>
      <c r="U290" s="3"/>
      <c r="V290" s="3"/>
      <c r="W290" s="3"/>
      <c r="X290" s="3"/>
      <c r="Y290" s="3"/>
      <c r="Z290" s="4"/>
      <c r="AA290"/>
      <c r="AB290"/>
    </row>
    <row r="291" spans="1:28" s="37" customFormat="1" x14ac:dyDescent="0.15">
      <c r="A291" s="167"/>
      <c r="B291" s="87"/>
      <c r="C291" s="88"/>
      <c r="D291" s="86"/>
      <c r="E291" s="86"/>
      <c r="F291" s="86"/>
      <c r="G291" s="86"/>
      <c r="H291" s="87"/>
      <c r="I291" s="85"/>
      <c r="J291" s="89"/>
      <c r="K291" s="132"/>
      <c r="L291" s="61"/>
      <c r="M291" s="49"/>
      <c r="Q291" s="3"/>
      <c r="R291" s="3"/>
      <c r="S291" s="3"/>
      <c r="T291" s="3"/>
      <c r="U291" s="3"/>
      <c r="V291" s="3"/>
      <c r="W291" s="3"/>
      <c r="X291" s="3"/>
      <c r="Y291" s="3"/>
      <c r="Z291" s="4"/>
      <c r="AA291"/>
      <c r="AB291"/>
    </row>
    <row r="292" spans="1:28" s="37" customFormat="1" x14ac:dyDescent="0.15">
      <c r="A292" s="167"/>
      <c r="B292" s="87"/>
      <c r="C292" s="88"/>
      <c r="D292" s="86"/>
      <c r="E292" s="86"/>
      <c r="F292" s="86"/>
      <c r="G292" s="86"/>
      <c r="H292" s="87"/>
      <c r="I292" s="85"/>
      <c r="J292" s="89"/>
      <c r="K292" s="132"/>
      <c r="L292" s="61"/>
      <c r="M292" s="49"/>
      <c r="Q292" s="3"/>
      <c r="R292" s="3"/>
      <c r="S292" s="3"/>
      <c r="T292" s="3"/>
      <c r="U292" s="3"/>
      <c r="V292" s="3"/>
      <c r="W292" s="3"/>
      <c r="X292" s="3"/>
      <c r="Y292" s="3"/>
      <c r="Z292" s="4"/>
      <c r="AA292"/>
      <c r="AB292"/>
    </row>
    <row r="293" spans="1:28" s="37" customFormat="1" x14ac:dyDescent="0.15">
      <c r="A293" s="167"/>
      <c r="B293" s="87"/>
      <c r="C293" s="88"/>
      <c r="D293" s="86"/>
      <c r="E293" s="86"/>
      <c r="F293" s="86"/>
      <c r="G293" s="86"/>
      <c r="H293" s="87"/>
      <c r="I293" s="85"/>
      <c r="J293" s="89"/>
      <c r="K293" s="132"/>
      <c r="L293" s="61"/>
      <c r="M293" s="49"/>
      <c r="Q293" s="3"/>
      <c r="R293" s="3"/>
      <c r="S293" s="3"/>
      <c r="T293" s="3"/>
      <c r="U293" s="3"/>
      <c r="V293" s="3"/>
      <c r="W293" s="3"/>
      <c r="X293" s="3"/>
      <c r="Y293" s="3"/>
      <c r="Z293" s="4"/>
      <c r="AA293"/>
      <c r="AB293"/>
    </row>
    <row r="294" spans="1:28" s="37" customFormat="1" x14ac:dyDescent="0.15">
      <c r="A294" s="167"/>
      <c r="B294" s="87"/>
      <c r="C294" s="88"/>
      <c r="D294" s="86"/>
      <c r="E294" s="86"/>
      <c r="F294" s="86"/>
      <c r="G294" s="86"/>
      <c r="H294" s="87"/>
      <c r="I294" s="85"/>
      <c r="J294" s="89"/>
      <c r="K294" s="132"/>
      <c r="L294" s="61"/>
      <c r="M294" s="49"/>
      <c r="Q294" s="3"/>
      <c r="R294" s="3"/>
      <c r="S294" s="3"/>
      <c r="T294" s="3"/>
      <c r="U294" s="3"/>
      <c r="V294" s="3"/>
      <c r="W294" s="3"/>
      <c r="X294" s="3"/>
      <c r="Y294" s="3"/>
      <c r="Z294" s="4"/>
      <c r="AA294"/>
      <c r="AB294"/>
    </row>
    <row r="295" spans="1:28" s="37" customFormat="1" x14ac:dyDescent="0.15">
      <c r="A295" s="86"/>
      <c r="B295" s="87"/>
      <c r="C295" s="88"/>
      <c r="D295" s="86"/>
      <c r="E295" s="86"/>
      <c r="F295" s="86"/>
      <c r="G295" s="86"/>
      <c r="H295" s="87"/>
      <c r="I295" s="85"/>
      <c r="J295" s="89"/>
      <c r="K295" s="132"/>
      <c r="L295" s="61"/>
      <c r="M295" s="49"/>
      <c r="Q295" s="3"/>
      <c r="R295" s="3"/>
      <c r="S295" s="3"/>
      <c r="T295" s="3"/>
      <c r="U295" s="3"/>
      <c r="V295" s="3"/>
      <c r="W295" s="3"/>
      <c r="X295" s="3"/>
      <c r="Y295" s="3"/>
      <c r="Z295" s="4"/>
      <c r="AA295"/>
      <c r="AB295"/>
    </row>
    <row r="296" spans="1:28" s="37" customFormat="1" x14ac:dyDescent="0.15">
      <c r="A296" s="167"/>
      <c r="B296" s="87"/>
      <c r="C296" s="88"/>
      <c r="D296" s="86"/>
      <c r="E296" s="86"/>
      <c r="F296" s="86"/>
      <c r="G296" s="86"/>
      <c r="H296" s="87"/>
      <c r="I296" s="85"/>
      <c r="J296" s="89"/>
      <c r="K296" s="132"/>
      <c r="L296" s="61"/>
      <c r="M296" s="49"/>
      <c r="O296" s="36"/>
      <c r="Q296" s="3"/>
      <c r="R296" s="3"/>
      <c r="S296" s="3"/>
      <c r="T296" s="3"/>
      <c r="U296" s="3"/>
      <c r="V296" s="3"/>
      <c r="W296" s="3"/>
      <c r="X296" s="3"/>
      <c r="Y296" s="3"/>
      <c r="Z296" s="4"/>
      <c r="AA296"/>
      <c r="AB296"/>
    </row>
    <row r="297" spans="1:28" s="37" customFormat="1" x14ac:dyDescent="0.15">
      <c r="A297" s="167"/>
      <c r="B297" s="87"/>
      <c r="C297" s="88"/>
      <c r="D297" s="86"/>
      <c r="E297" s="86"/>
      <c r="F297" s="86"/>
      <c r="G297" s="86"/>
      <c r="H297" s="87"/>
      <c r="I297" s="85"/>
      <c r="J297" s="89"/>
      <c r="K297" s="132"/>
      <c r="L297" s="61"/>
      <c r="M297" s="50"/>
      <c r="Q297" s="3"/>
      <c r="R297" s="3"/>
      <c r="S297" s="3"/>
      <c r="T297" s="3"/>
      <c r="U297" s="3"/>
      <c r="V297" s="3"/>
      <c r="W297" s="3"/>
      <c r="X297" s="3"/>
      <c r="Y297" s="3"/>
      <c r="Z297" s="4"/>
      <c r="AA297"/>
      <c r="AB297"/>
    </row>
    <row r="298" spans="1:28" s="37" customFormat="1" x14ac:dyDescent="0.15">
      <c r="A298" s="167"/>
      <c r="B298" s="87"/>
      <c r="C298" s="88"/>
      <c r="D298" s="86"/>
      <c r="E298" s="86"/>
      <c r="F298" s="86"/>
      <c r="G298" s="86"/>
      <c r="H298" s="87"/>
      <c r="I298" s="85"/>
      <c r="J298" s="89"/>
      <c r="K298" s="132"/>
      <c r="L298" s="62"/>
      <c r="M298" s="50"/>
      <c r="Q298" s="3"/>
      <c r="R298" s="3"/>
      <c r="S298" s="3"/>
      <c r="T298" s="3"/>
      <c r="U298" s="3"/>
      <c r="V298" s="3"/>
      <c r="W298" s="3"/>
      <c r="X298" s="3"/>
      <c r="Y298" s="3"/>
      <c r="Z298" s="4"/>
      <c r="AA298"/>
      <c r="AB298"/>
    </row>
    <row r="299" spans="1:28" s="37" customFormat="1" x14ac:dyDescent="0.15">
      <c r="A299" s="167"/>
      <c r="B299" s="87"/>
      <c r="C299" s="88"/>
      <c r="D299" s="86"/>
      <c r="E299" s="86"/>
      <c r="F299" s="86"/>
      <c r="G299" s="86"/>
      <c r="H299" s="87"/>
      <c r="I299" s="85"/>
      <c r="J299" s="89"/>
      <c r="K299" s="132"/>
      <c r="L299" s="61"/>
      <c r="M299" s="50"/>
      <c r="Q299" s="3"/>
      <c r="R299" s="3"/>
      <c r="S299" s="3"/>
      <c r="T299" s="3"/>
      <c r="U299" s="3"/>
      <c r="V299" s="3"/>
      <c r="W299" s="3"/>
      <c r="X299" s="3"/>
      <c r="Y299" s="3"/>
      <c r="Z299" s="4"/>
      <c r="AA299"/>
      <c r="AB299"/>
    </row>
    <row r="300" spans="1:28" s="37" customFormat="1" x14ac:dyDescent="0.15">
      <c r="A300" s="167"/>
      <c r="B300" s="87"/>
      <c r="C300" s="88"/>
      <c r="D300" s="86"/>
      <c r="E300" s="86"/>
      <c r="F300" s="86"/>
      <c r="G300" s="86"/>
      <c r="H300" s="87"/>
      <c r="I300" s="85"/>
      <c r="J300" s="89"/>
      <c r="K300" s="132"/>
      <c r="L300" s="61"/>
      <c r="M300" s="49"/>
      <c r="Q300" s="3"/>
      <c r="R300" s="3"/>
      <c r="S300" s="3"/>
      <c r="T300" s="3"/>
      <c r="U300" s="3"/>
      <c r="V300" s="3"/>
      <c r="W300" s="3"/>
      <c r="X300" s="3"/>
      <c r="Y300" s="3"/>
      <c r="Z300" s="4"/>
      <c r="AA300"/>
      <c r="AB300"/>
    </row>
    <row r="301" spans="1:28" s="37" customFormat="1" x14ac:dyDescent="0.15">
      <c r="A301" s="167"/>
      <c r="B301" s="87"/>
      <c r="C301" s="88"/>
      <c r="D301" s="86"/>
      <c r="E301" s="86"/>
      <c r="F301" s="86"/>
      <c r="G301" s="86"/>
      <c r="H301" s="87"/>
      <c r="I301" s="85"/>
      <c r="J301" s="89"/>
      <c r="K301" s="132"/>
      <c r="L301" s="62"/>
      <c r="M301" s="50"/>
      <c r="Q301" s="3"/>
      <c r="R301" s="3"/>
      <c r="S301" s="3"/>
      <c r="T301" s="3"/>
      <c r="U301" s="3"/>
      <c r="V301" s="3"/>
      <c r="W301" s="3"/>
      <c r="X301" s="3"/>
      <c r="Y301" s="3"/>
      <c r="Z301" s="4"/>
      <c r="AA301"/>
      <c r="AB301"/>
    </row>
    <row r="302" spans="1:28" s="37" customFormat="1" x14ac:dyDescent="0.15">
      <c r="A302" s="167"/>
      <c r="B302" s="87"/>
      <c r="C302" s="88"/>
      <c r="D302" s="86"/>
      <c r="E302" s="86"/>
      <c r="F302" s="86"/>
      <c r="G302" s="86"/>
      <c r="H302" s="87"/>
      <c r="I302" s="85"/>
      <c r="J302" s="89"/>
      <c r="K302" s="132"/>
      <c r="L302" s="61"/>
      <c r="M302" s="49"/>
      <c r="Q302" s="3"/>
      <c r="R302" s="3"/>
      <c r="S302" s="3"/>
      <c r="T302" s="3"/>
      <c r="U302" s="3"/>
      <c r="V302" s="3"/>
      <c r="W302" s="3"/>
      <c r="X302" s="3"/>
      <c r="Y302" s="3"/>
      <c r="Z302" s="4"/>
      <c r="AA302"/>
      <c r="AB302"/>
    </row>
    <row r="303" spans="1:28" s="37" customFormat="1" x14ac:dyDescent="0.15">
      <c r="A303" s="167"/>
      <c r="B303" s="87"/>
      <c r="C303" s="88"/>
      <c r="D303" s="86"/>
      <c r="E303" s="86"/>
      <c r="F303" s="86"/>
      <c r="G303" s="86"/>
      <c r="H303" s="87"/>
      <c r="I303" s="85"/>
      <c r="J303" s="89"/>
      <c r="K303" s="132"/>
      <c r="L303" s="62"/>
      <c r="M303" s="49"/>
      <c r="Q303" s="3"/>
      <c r="R303" s="3"/>
      <c r="S303" s="3"/>
      <c r="T303" s="3"/>
      <c r="U303" s="3"/>
      <c r="V303" s="3"/>
      <c r="W303" s="3"/>
      <c r="X303" s="3"/>
      <c r="Y303" s="3"/>
      <c r="Z303" s="4"/>
      <c r="AA303"/>
      <c r="AB303"/>
    </row>
    <row r="304" spans="1:28" s="37" customFormat="1" x14ac:dyDescent="0.15">
      <c r="A304" s="167"/>
      <c r="B304" s="87"/>
      <c r="C304" s="88"/>
      <c r="D304" s="86"/>
      <c r="E304" s="86"/>
      <c r="F304" s="86"/>
      <c r="G304" s="86"/>
      <c r="H304" s="87"/>
      <c r="I304" s="85"/>
      <c r="J304" s="89"/>
      <c r="K304" s="132"/>
      <c r="L304" s="62"/>
      <c r="M304" s="49"/>
      <c r="Q304" s="3"/>
      <c r="R304" s="3"/>
      <c r="S304" s="3"/>
      <c r="T304" s="3"/>
      <c r="U304" s="3"/>
      <c r="V304" s="3"/>
      <c r="W304" s="3"/>
      <c r="X304" s="3"/>
      <c r="Y304" s="3"/>
      <c r="Z304" s="4"/>
      <c r="AA304"/>
      <c r="AB304"/>
    </row>
    <row r="305" spans="1:28" s="37" customFormat="1" x14ac:dyDescent="0.15">
      <c r="A305" s="167"/>
      <c r="B305" s="87"/>
      <c r="C305" s="88"/>
      <c r="D305" s="86"/>
      <c r="E305" s="86"/>
      <c r="F305" s="86"/>
      <c r="G305" s="86"/>
      <c r="H305" s="87"/>
      <c r="I305" s="85"/>
      <c r="J305" s="89"/>
      <c r="K305" s="132"/>
      <c r="L305" s="62"/>
      <c r="M305" s="49"/>
      <c r="Q305" s="3"/>
      <c r="R305" s="3"/>
      <c r="S305" s="3"/>
      <c r="T305" s="3"/>
      <c r="U305" s="3"/>
      <c r="V305" s="3"/>
      <c r="W305" s="3"/>
      <c r="X305" s="3"/>
      <c r="Y305" s="3"/>
      <c r="Z305" s="4"/>
      <c r="AA305"/>
      <c r="AB305"/>
    </row>
    <row r="306" spans="1:28" s="37" customFormat="1" x14ac:dyDescent="0.15">
      <c r="A306" s="167"/>
      <c r="B306" s="87"/>
      <c r="C306" s="88"/>
      <c r="D306" s="86"/>
      <c r="E306" s="86"/>
      <c r="F306" s="86"/>
      <c r="G306" s="86"/>
      <c r="H306" s="87"/>
      <c r="I306" s="85"/>
      <c r="J306" s="89"/>
      <c r="K306" s="132"/>
      <c r="L306" s="61"/>
      <c r="M306" s="50"/>
      <c r="Q306" s="3"/>
      <c r="R306" s="3"/>
      <c r="S306" s="3"/>
      <c r="T306" s="3"/>
      <c r="U306" s="3"/>
      <c r="V306" s="3"/>
      <c r="W306" s="3"/>
      <c r="X306" s="3"/>
      <c r="Y306" s="3"/>
      <c r="Z306" s="4"/>
      <c r="AA306"/>
      <c r="AB306"/>
    </row>
    <row r="307" spans="1:28" s="37" customFormat="1" x14ac:dyDescent="0.15">
      <c r="A307" s="167"/>
      <c r="B307" s="87"/>
      <c r="C307" s="88"/>
      <c r="D307" s="86"/>
      <c r="E307" s="86"/>
      <c r="F307" s="86"/>
      <c r="G307" s="86"/>
      <c r="H307" s="87"/>
      <c r="I307" s="85"/>
      <c r="J307" s="89"/>
      <c r="K307" s="132"/>
      <c r="L307" s="62"/>
      <c r="M307" s="49"/>
      <c r="Q307" s="3"/>
      <c r="R307" s="3"/>
      <c r="S307" s="3"/>
      <c r="T307" s="3"/>
      <c r="U307" s="3"/>
      <c r="V307" s="3"/>
      <c r="W307" s="3"/>
      <c r="X307" s="3"/>
      <c r="Y307" s="3"/>
      <c r="Z307" s="4"/>
      <c r="AA307"/>
      <c r="AB307"/>
    </row>
    <row r="308" spans="1:28" s="37" customFormat="1" x14ac:dyDescent="0.15">
      <c r="A308" s="167"/>
      <c r="B308" s="87"/>
      <c r="C308" s="88"/>
      <c r="D308" s="86"/>
      <c r="E308" s="86"/>
      <c r="F308" s="86"/>
      <c r="G308" s="86"/>
      <c r="H308" s="87"/>
      <c r="I308" s="85"/>
      <c r="J308" s="89"/>
      <c r="K308" s="132"/>
      <c r="L308" s="62"/>
      <c r="M308" s="49"/>
      <c r="Q308" s="3"/>
      <c r="R308" s="3"/>
      <c r="S308" s="3"/>
      <c r="T308" s="3"/>
      <c r="U308" s="3"/>
      <c r="V308" s="3"/>
      <c r="W308" s="3"/>
      <c r="X308" s="3"/>
      <c r="Y308" s="3"/>
      <c r="Z308" s="4"/>
      <c r="AA308"/>
      <c r="AB308"/>
    </row>
    <row r="309" spans="1:28" s="37" customFormat="1" x14ac:dyDescent="0.15">
      <c r="A309" s="167"/>
      <c r="B309" s="87"/>
      <c r="C309" s="88"/>
      <c r="D309" s="86"/>
      <c r="E309" s="86"/>
      <c r="F309" s="86"/>
      <c r="G309" s="86"/>
      <c r="H309" s="87"/>
      <c r="I309" s="85"/>
      <c r="J309" s="89"/>
      <c r="K309" s="132"/>
      <c r="L309" s="62"/>
      <c r="M309" s="50"/>
      <c r="O309" s="51"/>
      <c r="Q309" s="3"/>
      <c r="R309" s="3"/>
      <c r="S309" s="3"/>
      <c r="T309" s="3"/>
      <c r="U309" s="3"/>
      <c r="V309" s="3"/>
      <c r="W309" s="3"/>
      <c r="X309" s="3"/>
      <c r="Y309" s="3"/>
      <c r="Z309" s="4"/>
      <c r="AA309"/>
      <c r="AB309"/>
    </row>
    <row r="310" spans="1:28" s="37" customFormat="1" x14ac:dyDescent="0.15">
      <c r="A310" s="166"/>
      <c r="B310" s="82"/>
      <c r="C310" s="70"/>
      <c r="D310" s="70"/>
      <c r="E310" s="70"/>
      <c r="F310" s="70"/>
      <c r="G310" s="70"/>
      <c r="H310" s="93"/>
      <c r="I310" s="85"/>
      <c r="J310" s="85"/>
      <c r="K310" s="131"/>
      <c r="L310" s="60"/>
      <c r="M310" s="49"/>
      <c r="O310" s="49"/>
      <c r="Q310" s="3"/>
      <c r="R310" s="3"/>
      <c r="S310" s="3"/>
      <c r="T310" s="3"/>
      <c r="U310" s="3"/>
      <c r="V310" s="3"/>
      <c r="W310" s="3"/>
      <c r="X310" s="3"/>
      <c r="Y310" s="3"/>
      <c r="Z310" s="4"/>
      <c r="AA310"/>
      <c r="AB310"/>
    </row>
    <row r="311" spans="1:28" s="37" customFormat="1" x14ac:dyDescent="0.15">
      <c r="A311" s="166"/>
      <c r="B311" s="82"/>
      <c r="C311" s="70"/>
      <c r="D311" s="70"/>
      <c r="E311" s="70"/>
      <c r="F311" s="70"/>
      <c r="G311" s="70"/>
      <c r="H311" s="93"/>
      <c r="I311" s="85"/>
      <c r="J311" s="85"/>
      <c r="K311" s="131"/>
      <c r="L311" s="60"/>
      <c r="M311" s="49"/>
      <c r="Q311" s="3"/>
      <c r="R311" s="3"/>
      <c r="S311" s="3"/>
      <c r="T311" s="3"/>
      <c r="U311" s="3"/>
      <c r="V311" s="3"/>
      <c r="W311" s="3"/>
      <c r="X311" s="3"/>
      <c r="Y311" s="3"/>
      <c r="Z311" s="4"/>
      <c r="AA311"/>
      <c r="AB311"/>
    </row>
    <row r="312" spans="1:28" s="37" customFormat="1" x14ac:dyDescent="0.15">
      <c r="A312" s="166"/>
      <c r="B312" s="82"/>
      <c r="C312" s="70"/>
      <c r="D312" s="70"/>
      <c r="E312" s="70"/>
      <c r="F312" s="70"/>
      <c r="G312" s="70"/>
      <c r="H312" s="93"/>
      <c r="I312" s="85"/>
      <c r="J312" s="85"/>
      <c r="K312" s="131"/>
      <c r="L312" s="60"/>
      <c r="M312" s="49"/>
      <c r="Q312" s="3"/>
      <c r="R312" s="3"/>
      <c r="S312" s="3"/>
      <c r="T312" s="3"/>
      <c r="U312" s="3"/>
      <c r="V312" s="3"/>
      <c r="W312" s="3"/>
      <c r="X312" s="3"/>
      <c r="Y312" s="3"/>
      <c r="Z312" s="4"/>
      <c r="AA312"/>
      <c r="AB312"/>
    </row>
    <row r="313" spans="1:28" s="37" customFormat="1" x14ac:dyDescent="0.15">
      <c r="A313" s="166"/>
      <c r="B313" s="82"/>
      <c r="C313" s="70"/>
      <c r="D313" s="70"/>
      <c r="E313" s="70"/>
      <c r="F313" s="70"/>
      <c r="G313" s="70"/>
      <c r="H313" s="93"/>
      <c r="I313" s="85"/>
      <c r="J313" s="85"/>
      <c r="K313" s="131"/>
      <c r="L313" s="60"/>
      <c r="M313" s="49"/>
      <c r="Q313" s="3"/>
      <c r="R313" s="3"/>
      <c r="S313" s="3"/>
      <c r="T313" s="3"/>
      <c r="U313" s="3"/>
      <c r="V313" s="3"/>
      <c r="W313" s="3"/>
      <c r="X313" s="3"/>
      <c r="Y313" s="3"/>
      <c r="Z313" s="4"/>
      <c r="AA313"/>
      <c r="AB313"/>
    </row>
    <row r="314" spans="1:28" s="37" customFormat="1" x14ac:dyDescent="0.15">
      <c r="A314" s="166"/>
      <c r="B314" s="82"/>
      <c r="C314" s="70"/>
      <c r="D314" s="70"/>
      <c r="E314" s="70"/>
      <c r="F314" s="70"/>
      <c r="G314" s="70"/>
      <c r="H314" s="93"/>
      <c r="I314" s="85"/>
      <c r="J314" s="85"/>
      <c r="K314" s="131"/>
      <c r="L314" s="60"/>
      <c r="M314" s="49"/>
      <c r="Q314" s="3"/>
      <c r="R314" s="3"/>
      <c r="S314" s="3"/>
      <c r="T314" s="3"/>
      <c r="U314" s="3"/>
      <c r="V314" s="3"/>
      <c r="W314" s="3"/>
      <c r="X314" s="3"/>
      <c r="Y314" s="3"/>
      <c r="Z314" s="4"/>
      <c r="AA314"/>
      <c r="AB314"/>
    </row>
    <row r="315" spans="1:28" s="37" customFormat="1" x14ac:dyDescent="0.15">
      <c r="A315" s="166"/>
      <c r="B315" s="82"/>
      <c r="C315" s="70"/>
      <c r="D315" s="70"/>
      <c r="E315" s="70"/>
      <c r="F315" s="70"/>
      <c r="G315" s="70"/>
      <c r="H315" s="93"/>
      <c r="I315" s="85"/>
      <c r="J315" s="85"/>
      <c r="K315" s="131"/>
      <c r="L315" s="60"/>
      <c r="M315" s="49"/>
      <c r="Q315" s="3"/>
      <c r="R315" s="3"/>
      <c r="S315" s="3"/>
      <c r="T315" s="3"/>
      <c r="U315" s="3"/>
      <c r="V315" s="3"/>
      <c r="W315" s="3"/>
      <c r="X315" s="3"/>
      <c r="Y315" s="3"/>
      <c r="Z315" s="4"/>
      <c r="AA315"/>
      <c r="AB315"/>
    </row>
    <row r="316" spans="1:28" s="37" customFormat="1" x14ac:dyDescent="0.15">
      <c r="A316" s="166"/>
      <c r="B316" s="82"/>
      <c r="C316" s="73"/>
      <c r="D316" s="73"/>
      <c r="E316" s="73"/>
      <c r="F316" s="73"/>
      <c r="G316" s="73"/>
      <c r="H316" s="108"/>
      <c r="I316" s="85"/>
      <c r="J316" s="85"/>
      <c r="K316" s="131"/>
      <c r="L316" s="66"/>
      <c r="M316" s="49"/>
      <c r="Q316" s="3"/>
      <c r="R316" s="3"/>
      <c r="S316" s="3"/>
      <c r="T316" s="3"/>
      <c r="U316" s="3"/>
      <c r="V316" s="3"/>
      <c r="W316" s="3"/>
      <c r="X316" s="3"/>
      <c r="Y316" s="3"/>
      <c r="Z316" s="4"/>
      <c r="AA316"/>
      <c r="AB316"/>
    </row>
    <row r="317" spans="1:28" s="37" customFormat="1" x14ac:dyDescent="0.15">
      <c r="A317" s="166"/>
      <c r="B317" s="82"/>
      <c r="C317" s="70"/>
      <c r="D317" s="70"/>
      <c r="E317" s="70"/>
      <c r="F317" s="70"/>
      <c r="G317" s="70"/>
      <c r="H317" s="93"/>
      <c r="I317" s="85"/>
      <c r="J317" s="85"/>
      <c r="K317" s="131"/>
      <c r="L317" s="60"/>
      <c r="M317" s="49"/>
      <c r="Q317" s="3"/>
      <c r="R317" s="3"/>
      <c r="S317" s="3"/>
      <c r="T317" s="3"/>
      <c r="U317" s="3"/>
      <c r="V317" s="3"/>
      <c r="W317" s="3"/>
      <c r="X317" s="3"/>
      <c r="Y317" s="3"/>
      <c r="Z317" s="4"/>
      <c r="AA317"/>
      <c r="AB317"/>
    </row>
    <row r="318" spans="1:28" s="49" customFormat="1" x14ac:dyDescent="0.15">
      <c r="A318" s="166"/>
      <c r="B318" s="82"/>
      <c r="C318" s="70"/>
      <c r="D318" s="70"/>
      <c r="E318" s="70"/>
      <c r="F318" s="70"/>
      <c r="G318" s="70"/>
      <c r="H318" s="93"/>
      <c r="I318" s="85"/>
      <c r="J318" s="85"/>
      <c r="K318" s="131"/>
      <c r="L318" s="60"/>
      <c r="N318" s="37"/>
      <c r="O318" s="37"/>
      <c r="P318" s="37"/>
      <c r="Q318" s="3"/>
      <c r="R318" s="3"/>
      <c r="S318" s="3"/>
      <c r="T318" s="3"/>
      <c r="U318" s="3"/>
      <c r="V318" s="3"/>
      <c r="W318" s="3"/>
      <c r="X318" s="3"/>
      <c r="Y318" s="3"/>
      <c r="Z318" s="4"/>
      <c r="AA318"/>
      <c r="AB318"/>
    </row>
    <row r="319" spans="1:28" s="49" customFormat="1" x14ac:dyDescent="0.15">
      <c r="A319" s="166"/>
      <c r="B319" s="82"/>
      <c r="C319" s="70"/>
      <c r="D319" s="70"/>
      <c r="E319" s="70"/>
      <c r="F319" s="70"/>
      <c r="G319" s="70"/>
      <c r="H319" s="93"/>
      <c r="I319" s="85"/>
      <c r="J319" s="85"/>
      <c r="K319" s="131"/>
      <c r="L319" s="60"/>
      <c r="N319" s="37"/>
      <c r="O319" s="37"/>
      <c r="P319" s="37"/>
      <c r="Q319" s="3"/>
      <c r="R319" s="3"/>
      <c r="S319" s="3"/>
      <c r="T319" s="3"/>
      <c r="U319" s="3"/>
      <c r="V319" s="3"/>
      <c r="W319" s="3"/>
      <c r="X319" s="3"/>
      <c r="Y319" s="3"/>
      <c r="Z319" s="4"/>
      <c r="AA319"/>
      <c r="AB319"/>
    </row>
    <row r="320" spans="1:28" s="49" customFormat="1" x14ac:dyDescent="0.15">
      <c r="A320" s="166"/>
      <c r="B320" s="82"/>
      <c r="C320" s="70"/>
      <c r="D320" s="70"/>
      <c r="E320" s="70"/>
      <c r="F320" s="70"/>
      <c r="G320" s="70"/>
      <c r="H320" s="93"/>
      <c r="I320" s="85"/>
      <c r="J320" s="85"/>
      <c r="K320" s="131"/>
      <c r="L320" s="63"/>
      <c r="N320" s="37"/>
      <c r="O320" s="37"/>
      <c r="P320" s="37"/>
      <c r="Q320" s="3"/>
      <c r="R320" s="3"/>
      <c r="S320" s="3"/>
      <c r="T320" s="3"/>
      <c r="U320" s="3"/>
      <c r="V320" s="3"/>
      <c r="W320" s="3"/>
      <c r="X320" s="3"/>
      <c r="Y320" s="3"/>
      <c r="Z320" s="4"/>
      <c r="AA320"/>
      <c r="AB320"/>
    </row>
    <row r="321" spans="1:28" s="49" customFormat="1" x14ac:dyDescent="0.15">
      <c r="A321" s="166"/>
      <c r="B321" s="82"/>
      <c r="C321" s="70"/>
      <c r="D321" s="70"/>
      <c r="E321" s="70"/>
      <c r="F321" s="70"/>
      <c r="G321" s="70"/>
      <c r="H321" s="93"/>
      <c r="I321" s="85"/>
      <c r="J321" s="85"/>
      <c r="K321" s="131"/>
      <c r="L321" s="60"/>
      <c r="N321" s="37"/>
      <c r="O321" s="37"/>
      <c r="P321" s="37"/>
      <c r="Q321" s="3"/>
      <c r="R321" s="3"/>
      <c r="S321" s="3"/>
      <c r="T321" s="3"/>
      <c r="U321" s="3"/>
      <c r="V321" s="3"/>
      <c r="W321" s="3"/>
      <c r="X321" s="3"/>
      <c r="Y321" s="3"/>
      <c r="Z321" s="4"/>
      <c r="AA321"/>
      <c r="AB321"/>
    </row>
    <row r="322" spans="1:28" s="49" customFormat="1" x14ac:dyDescent="0.15">
      <c r="A322" s="166"/>
      <c r="B322" s="82"/>
      <c r="C322" s="70"/>
      <c r="D322" s="70"/>
      <c r="E322" s="70"/>
      <c r="F322" s="70"/>
      <c r="G322" s="70"/>
      <c r="H322" s="93"/>
      <c r="I322" s="85"/>
      <c r="J322" s="85"/>
      <c r="K322" s="131"/>
      <c r="L322" s="60"/>
      <c r="N322" s="37"/>
      <c r="O322" s="37"/>
      <c r="P322" s="37"/>
      <c r="Q322" s="3"/>
      <c r="R322" s="3"/>
      <c r="S322" s="3"/>
      <c r="T322" s="3"/>
      <c r="U322" s="3"/>
      <c r="V322" s="3"/>
      <c r="W322" s="3"/>
      <c r="X322" s="3"/>
      <c r="Y322" s="3"/>
      <c r="Z322" s="4"/>
      <c r="AA322"/>
      <c r="AB322"/>
    </row>
    <row r="323" spans="1:28" s="49" customFormat="1" x14ac:dyDescent="0.15">
      <c r="A323" s="166"/>
      <c r="B323" s="82"/>
      <c r="C323" s="70"/>
      <c r="D323" s="70"/>
      <c r="E323" s="70"/>
      <c r="F323" s="70"/>
      <c r="G323" s="70"/>
      <c r="H323" s="93"/>
      <c r="I323" s="85"/>
      <c r="J323" s="85"/>
      <c r="K323" s="131"/>
      <c r="L323" s="60"/>
      <c r="N323" s="37"/>
      <c r="O323" s="37"/>
      <c r="P323" s="37"/>
      <c r="Q323" s="3"/>
      <c r="R323" s="3"/>
      <c r="S323" s="3"/>
      <c r="T323" s="3"/>
      <c r="U323" s="3"/>
      <c r="V323" s="3"/>
      <c r="W323" s="3"/>
      <c r="X323" s="3"/>
      <c r="Y323" s="3"/>
      <c r="Z323" s="4"/>
      <c r="AA323"/>
      <c r="AB323"/>
    </row>
    <row r="324" spans="1:28" s="49" customFormat="1" x14ac:dyDescent="0.15">
      <c r="A324" s="166"/>
      <c r="B324" s="82"/>
      <c r="C324" s="70"/>
      <c r="D324" s="70"/>
      <c r="E324" s="70"/>
      <c r="F324" s="70"/>
      <c r="G324" s="70"/>
      <c r="H324" s="93"/>
      <c r="I324" s="85"/>
      <c r="J324" s="85"/>
      <c r="K324" s="131"/>
      <c r="L324" s="60"/>
      <c r="N324" s="37"/>
      <c r="O324" s="37"/>
      <c r="P324" s="37"/>
      <c r="Q324" s="3"/>
      <c r="R324" s="3"/>
      <c r="S324" s="3"/>
      <c r="T324" s="3"/>
      <c r="U324" s="3"/>
      <c r="V324" s="3"/>
      <c r="W324" s="3"/>
      <c r="X324" s="3"/>
      <c r="Y324" s="3"/>
      <c r="Z324" s="4"/>
      <c r="AA324"/>
      <c r="AB324"/>
    </row>
    <row r="325" spans="1:28" s="49" customFormat="1" x14ac:dyDescent="0.15">
      <c r="A325" s="166"/>
      <c r="B325" s="82"/>
      <c r="C325" s="70"/>
      <c r="D325" s="70"/>
      <c r="E325" s="70"/>
      <c r="F325" s="70"/>
      <c r="G325" s="70"/>
      <c r="H325" s="93"/>
      <c r="I325" s="85"/>
      <c r="J325" s="85"/>
      <c r="K325" s="131"/>
      <c r="L325" s="60"/>
      <c r="N325" s="37"/>
      <c r="O325" s="37"/>
      <c r="P325" s="37"/>
      <c r="Q325" s="3"/>
      <c r="R325" s="3"/>
      <c r="S325" s="3"/>
      <c r="T325" s="3"/>
      <c r="U325" s="3"/>
      <c r="V325" s="3"/>
      <c r="W325" s="3"/>
      <c r="X325" s="3"/>
      <c r="Y325" s="3"/>
      <c r="Z325" s="4"/>
      <c r="AA325"/>
      <c r="AB325"/>
    </row>
    <row r="326" spans="1:28" s="49" customFormat="1" x14ac:dyDescent="0.15">
      <c r="A326" s="166"/>
      <c r="B326" s="82"/>
      <c r="C326" s="70"/>
      <c r="D326" s="70"/>
      <c r="E326" s="70"/>
      <c r="F326" s="70"/>
      <c r="G326" s="70"/>
      <c r="H326" s="93"/>
      <c r="I326" s="85"/>
      <c r="J326" s="85"/>
      <c r="K326" s="131"/>
      <c r="L326" s="60"/>
      <c r="N326" s="37"/>
      <c r="O326" s="37"/>
      <c r="P326" s="37"/>
      <c r="Q326" s="3"/>
      <c r="R326" s="3"/>
      <c r="S326" s="3"/>
      <c r="T326" s="3"/>
      <c r="U326" s="3"/>
      <c r="V326" s="3"/>
      <c r="W326" s="3"/>
      <c r="X326" s="3"/>
      <c r="Y326" s="3"/>
      <c r="Z326" s="4"/>
      <c r="AA326"/>
      <c r="AB326"/>
    </row>
    <row r="327" spans="1:28" s="49" customFormat="1" x14ac:dyDescent="0.15">
      <c r="A327" s="166"/>
      <c r="B327" s="82"/>
      <c r="C327" s="70"/>
      <c r="D327" s="70"/>
      <c r="E327" s="70"/>
      <c r="F327" s="70"/>
      <c r="G327" s="70"/>
      <c r="H327" s="93"/>
      <c r="I327" s="85"/>
      <c r="J327" s="85"/>
      <c r="K327" s="131"/>
      <c r="L327" s="60"/>
      <c r="N327" s="37"/>
      <c r="O327" s="37"/>
      <c r="P327" s="37"/>
      <c r="Q327" s="3"/>
      <c r="R327" s="3"/>
      <c r="S327" s="3"/>
      <c r="T327" s="3"/>
      <c r="U327" s="3"/>
      <c r="V327" s="3"/>
      <c r="W327" s="3"/>
      <c r="X327" s="3"/>
      <c r="Y327" s="3"/>
      <c r="Z327" s="4"/>
      <c r="AA327"/>
      <c r="AB327"/>
    </row>
    <row r="328" spans="1:28" s="49" customFormat="1" x14ac:dyDescent="0.15">
      <c r="A328" s="166"/>
      <c r="B328" s="82"/>
      <c r="C328" s="70"/>
      <c r="D328" s="70"/>
      <c r="E328" s="70"/>
      <c r="F328" s="70"/>
      <c r="G328" s="70"/>
      <c r="H328" s="93"/>
      <c r="I328" s="85"/>
      <c r="J328" s="85"/>
      <c r="K328" s="131"/>
      <c r="L328" s="60"/>
      <c r="N328" s="37"/>
      <c r="O328" s="37"/>
      <c r="P328" s="37"/>
      <c r="Q328" s="3"/>
      <c r="R328" s="3"/>
      <c r="S328" s="3"/>
      <c r="T328" s="3"/>
      <c r="U328" s="3"/>
      <c r="V328" s="3"/>
      <c r="W328" s="3"/>
      <c r="X328" s="3"/>
      <c r="Y328" s="3"/>
      <c r="Z328" s="4"/>
      <c r="AA328"/>
      <c r="AB328"/>
    </row>
    <row r="329" spans="1:28" s="49" customFormat="1" x14ac:dyDescent="0.15">
      <c r="A329" s="166"/>
      <c r="B329" s="82"/>
      <c r="C329" s="70"/>
      <c r="D329" s="70"/>
      <c r="E329" s="70"/>
      <c r="F329" s="70"/>
      <c r="G329" s="70"/>
      <c r="H329" s="93"/>
      <c r="I329" s="85"/>
      <c r="J329" s="85"/>
      <c r="K329" s="131"/>
      <c r="L329" s="60"/>
      <c r="N329" s="37"/>
      <c r="O329" s="37"/>
      <c r="P329" s="37"/>
      <c r="Q329" s="3"/>
      <c r="R329" s="3"/>
      <c r="S329" s="3"/>
      <c r="T329" s="3"/>
      <c r="U329" s="3"/>
      <c r="V329" s="3"/>
      <c r="W329" s="3"/>
      <c r="X329" s="3"/>
      <c r="Y329" s="3"/>
      <c r="Z329" s="4"/>
      <c r="AA329"/>
      <c r="AB329"/>
    </row>
    <row r="330" spans="1:28" s="49" customFormat="1" x14ac:dyDescent="0.15">
      <c r="A330" s="166"/>
      <c r="B330" s="82"/>
      <c r="C330" s="70"/>
      <c r="D330" s="70"/>
      <c r="E330" s="70"/>
      <c r="F330" s="70"/>
      <c r="G330" s="70"/>
      <c r="H330" s="93"/>
      <c r="I330" s="85"/>
      <c r="J330" s="85"/>
      <c r="K330" s="131"/>
      <c r="L330" s="60"/>
      <c r="N330" s="37"/>
      <c r="O330" s="37"/>
      <c r="P330" s="37"/>
      <c r="Q330" s="3"/>
      <c r="R330" s="3"/>
      <c r="S330" s="3"/>
      <c r="T330" s="3"/>
      <c r="U330" s="3"/>
      <c r="V330" s="3"/>
      <c r="W330" s="3"/>
      <c r="X330" s="3"/>
      <c r="Y330" s="3"/>
      <c r="Z330" s="4"/>
      <c r="AA330"/>
      <c r="AB330"/>
    </row>
    <row r="331" spans="1:28" s="49" customFormat="1" x14ac:dyDescent="0.15">
      <c r="A331" s="166"/>
      <c r="B331" s="82"/>
      <c r="C331" s="70"/>
      <c r="D331" s="70"/>
      <c r="E331" s="70"/>
      <c r="F331" s="70"/>
      <c r="G331" s="70"/>
      <c r="H331" s="93"/>
      <c r="I331" s="85"/>
      <c r="J331" s="85"/>
      <c r="K331" s="131"/>
      <c r="L331" s="60"/>
      <c r="N331" s="37"/>
      <c r="O331" s="37"/>
      <c r="P331" s="37"/>
      <c r="Q331" s="3"/>
      <c r="R331" s="3"/>
      <c r="S331" s="3"/>
      <c r="T331" s="3"/>
      <c r="U331" s="3"/>
      <c r="V331" s="3"/>
      <c r="W331" s="3"/>
      <c r="X331" s="3"/>
      <c r="Y331" s="3"/>
      <c r="Z331" s="4"/>
      <c r="AA331"/>
      <c r="AB331"/>
    </row>
    <row r="332" spans="1:28" s="49" customFormat="1" x14ac:dyDescent="0.15">
      <c r="A332" s="166"/>
      <c r="B332" s="82"/>
      <c r="C332" s="70"/>
      <c r="D332" s="70"/>
      <c r="E332" s="70"/>
      <c r="F332" s="70"/>
      <c r="G332" s="70"/>
      <c r="H332" s="93"/>
      <c r="I332" s="85"/>
      <c r="J332" s="85"/>
      <c r="K332" s="131"/>
      <c r="L332" s="60"/>
      <c r="N332" s="37"/>
      <c r="O332" s="37"/>
      <c r="P332" s="37"/>
      <c r="Q332" s="3"/>
      <c r="R332" s="3"/>
      <c r="S332" s="3"/>
      <c r="T332" s="3"/>
      <c r="U332" s="3"/>
      <c r="V332" s="3"/>
      <c r="W332" s="3"/>
      <c r="X332" s="3"/>
      <c r="Y332" s="3"/>
      <c r="Z332" s="4"/>
      <c r="AA332"/>
      <c r="AB332"/>
    </row>
    <row r="333" spans="1:28" s="49" customFormat="1" x14ac:dyDescent="0.15">
      <c r="A333" s="166"/>
      <c r="B333" s="82"/>
      <c r="C333" s="70"/>
      <c r="D333" s="70"/>
      <c r="E333" s="70"/>
      <c r="F333" s="70"/>
      <c r="G333" s="70"/>
      <c r="H333" s="93"/>
      <c r="I333" s="85"/>
      <c r="J333" s="85"/>
      <c r="K333" s="131"/>
      <c r="L333" s="60"/>
      <c r="N333" s="37"/>
      <c r="O333" s="37"/>
      <c r="P333" s="37"/>
      <c r="Q333" s="3"/>
      <c r="R333" s="3"/>
      <c r="S333" s="3"/>
      <c r="T333" s="3"/>
      <c r="U333" s="3"/>
      <c r="V333" s="3"/>
      <c r="W333" s="3"/>
      <c r="X333" s="3"/>
      <c r="Y333" s="3"/>
      <c r="Z333" s="4"/>
      <c r="AA333"/>
      <c r="AB333"/>
    </row>
    <row r="334" spans="1:28" s="3" customFormat="1" x14ac:dyDescent="0.15">
      <c r="A334" s="166"/>
      <c r="B334" s="82"/>
      <c r="C334" s="70"/>
      <c r="D334" s="70"/>
      <c r="E334" s="70"/>
      <c r="F334" s="70"/>
      <c r="G334" s="70"/>
      <c r="H334" s="93"/>
      <c r="I334" s="85"/>
      <c r="J334" s="85"/>
      <c r="K334" s="131"/>
      <c r="L334" s="60"/>
      <c r="M334" s="49"/>
      <c r="N334" s="37"/>
      <c r="O334" s="37"/>
      <c r="P334" s="37"/>
      <c r="Z334" s="4"/>
      <c r="AA334"/>
      <c r="AB334"/>
    </row>
    <row r="335" spans="1:28" s="3" customFormat="1" x14ac:dyDescent="0.15">
      <c r="A335" s="166"/>
      <c r="B335" s="82"/>
      <c r="C335" s="70"/>
      <c r="D335" s="70"/>
      <c r="E335" s="70"/>
      <c r="F335" s="70"/>
      <c r="G335" s="70"/>
      <c r="H335" s="93"/>
      <c r="I335" s="85"/>
      <c r="J335" s="85"/>
      <c r="K335" s="131"/>
      <c r="L335" s="60"/>
      <c r="M335" s="49"/>
      <c r="N335" s="37"/>
      <c r="O335" s="37"/>
      <c r="P335" s="37"/>
      <c r="Z335" s="4"/>
      <c r="AA335"/>
      <c r="AB335"/>
    </row>
    <row r="336" spans="1:28" s="3" customFormat="1" x14ac:dyDescent="0.15">
      <c r="A336" s="166"/>
      <c r="B336" s="82"/>
      <c r="C336" s="70"/>
      <c r="D336" s="70"/>
      <c r="E336" s="70"/>
      <c r="F336" s="70"/>
      <c r="G336" s="70"/>
      <c r="H336" s="93"/>
      <c r="I336" s="85"/>
      <c r="J336" s="85"/>
      <c r="K336" s="131"/>
      <c r="L336" s="60"/>
      <c r="M336" s="49"/>
      <c r="N336" s="37"/>
      <c r="O336" s="37"/>
      <c r="P336" s="37"/>
      <c r="Z336" s="4"/>
      <c r="AA336"/>
      <c r="AB336"/>
    </row>
    <row r="337" spans="1:28" s="3" customFormat="1" x14ac:dyDescent="0.15">
      <c r="A337" s="166"/>
      <c r="B337" s="82"/>
      <c r="C337" s="70"/>
      <c r="D337" s="70"/>
      <c r="E337" s="70"/>
      <c r="F337" s="70"/>
      <c r="G337" s="70"/>
      <c r="H337" s="93"/>
      <c r="I337" s="85"/>
      <c r="J337" s="85"/>
      <c r="K337" s="131"/>
      <c r="L337" s="60"/>
      <c r="M337" s="49"/>
      <c r="N337" s="37"/>
      <c r="O337" s="37"/>
      <c r="P337" s="37"/>
      <c r="Z337" s="4"/>
      <c r="AA337"/>
      <c r="AB337"/>
    </row>
    <row r="338" spans="1:28" s="3" customFormat="1" x14ac:dyDescent="0.15">
      <c r="A338" s="166"/>
      <c r="B338" s="82"/>
      <c r="C338" s="70"/>
      <c r="D338" s="70"/>
      <c r="E338" s="70"/>
      <c r="F338" s="70"/>
      <c r="G338" s="70"/>
      <c r="H338" s="93"/>
      <c r="I338" s="85"/>
      <c r="J338" s="85"/>
      <c r="K338" s="131"/>
      <c r="L338" s="60"/>
      <c r="M338" s="49"/>
      <c r="N338" s="37"/>
      <c r="O338" s="37"/>
      <c r="P338" s="37"/>
      <c r="Z338" s="4"/>
      <c r="AA338"/>
      <c r="AB338"/>
    </row>
    <row r="339" spans="1:28" s="3" customFormat="1" x14ac:dyDescent="0.15">
      <c r="A339" s="166"/>
      <c r="B339" s="82"/>
      <c r="C339" s="70"/>
      <c r="D339" s="70"/>
      <c r="E339" s="70"/>
      <c r="F339" s="70"/>
      <c r="G339" s="70"/>
      <c r="H339" s="93"/>
      <c r="I339" s="85"/>
      <c r="J339" s="85"/>
      <c r="K339" s="131"/>
      <c r="L339" s="60"/>
      <c r="M339" s="49"/>
      <c r="N339" s="37"/>
      <c r="O339" s="37"/>
      <c r="P339" s="37"/>
      <c r="Z339" s="4"/>
      <c r="AA339"/>
      <c r="AB339"/>
    </row>
    <row r="340" spans="1:28" s="3" customFormat="1" x14ac:dyDescent="0.15">
      <c r="A340" s="166"/>
      <c r="B340" s="82"/>
      <c r="C340" s="70"/>
      <c r="D340" s="70"/>
      <c r="E340" s="70"/>
      <c r="F340" s="70"/>
      <c r="G340" s="70"/>
      <c r="H340" s="93"/>
      <c r="I340" s="85"/>
      <c r="J340" s="85"/>
      <c r="K340" s="131"/>
      <c r="L340" s="60"/>
      <c r="M340" s="49"/>
      <c r="N340" s="37"/>
      <c r="O340" s="37"/>
      <c r="P340" s="37"/>
      <c r="Z340" s="4"/>
      <c r="AA340"/>
      <c r="AB340"/>
    </row>
    <row r="341" spans="1:28" s="3" customFormat="1" x14ac:dyDescent="0.15">
      <c r="A341" s="166"/>
      <c r="B341" s="93"/>
      <c r="C341" s="70"/>
      <c r="D341" s="70"/>
      <c r="E341" s="70"/>
      <c r="F341" s="70"/>
      <c r="G341" s="70"/>
      <c r="H341" s="93"/>
      <c r="I341" s="85"/>
      <c r="J341" s="85"/>
      <c r="K341" s="131"/>
      <c r="L341" s="60"/>
      <c r="M341" s="33"/>
      <c r="N341" s="37"/>
      <c r="O341" s="37"/>
      <c r="P341" s="37"/>
      <c r="Z341" s="4"/>
      <c r="AA341"/>
      <c r="AB341"/>
    </row>
    <row r="342" spans="1:28" s="3" customFormat="1" x14ac:dyDescent="0.15">
      <c r="A342" s="166"/>
      <c r="B342" s="93"/>
      <c r="C342" s="70"/>
      <c r="D342" s="70"/>
      <c r="E342" s="70"/>
      <c r="F342" s="70"/>
      <c r="G342" s="70"/>
      <c r="H342" s="93"/>
      <c r="I342" s="85"/>
      <c r="J342" s="85"/>
      <c r="K342" s="131"/>
      <c r="L342" s="60"/>
      <c r="M342" s="33"/>
      <c r="N342" s="37"/>
      <c r="O342" s="37"/>
      <c r="P342" s="37"/>
      <c r="Z342" s="4"/>
      <c r="AA342"/>
      <c r="AB342"/>
    </row>
    <row r="343" spans="1:28" s="3" customFormat="1" x14ac:dyDescent="0.15">
      <c r="A343" s="166"/>
      <c r="B343" s="82"/>
      <c r="C343" s="70"/>
      <c r="D343" s="70"/>
      <c r="E343" s="70"/>
      <c r="F343" s="70"/>
      <c r="G343" s="70"/>
      <c r="H343" s="93"/>
      <c r="I343" s="85"/>
      <c r="J343" s="85"/>
      <c r="K343" s="131"/>
      <c r="L343" s="60"/>
      <c r="M343" s="49"/>
      <c r="N343" s="37"/>
      <c r="O343" s="37"/>
      <c r="P343" s="37"/>
      <c r="Z343" s="4"/>
      <c r="AA343"/>
      <c r="AB343"/>
    </row>
    <row r="344" spans="1:28" s="3" customFormat="1" x14ac:dyDescent="0.15">
      <c r="A344" s="166"/>
      <c r="B344" s="82"/>
      <c r="C344" s="70"/>
      <c r="D344" s="70"/>
      <c r="E344" s="70"/>
      <c r="F344" s="70"/>
      <c r="G344" s="70"/>
      <c r="H344" s="93"/>
      <c r="I344" s="85"/>
      <c r="J344" s="85"/>
      <c r="K344" s="131"/>
      <c r="L344" s="60"/>
      <c r="M344" s="49"/>
      <c r="N344" s="37"/>
      <c r="O344" s="37"/>
      <c r="P344" s="37"/>
      <c r="Z344" s="4"/>
      <c r="AA344"/>
      <c r="AB344"/>
    </row>
    <row r="345" spans="1:28" s="3" customFormat="1" x14ac:dyDescent="0.15">
      <c r="A345" s="166"/>
      <c r="B345" s="82"/>
      <c r="C345" s="70"/>
      <c r="D345" s="70"/>
      <c r="E345" s="70"/>
      <c r="F345" s="70"/>
      <c r="G345" s="70"/>
      <c r="H345" s="93"/>
      <c r="I345" s="85"/>
      <c r="J345" s="85"/>
      <c r="K345" s="131"/>
      <c r="L345" s="60"/>
      <c r="M345" s="49"/>
      <c r="N345" s="37"/>
      <c r="O345" s="37"/>
      <c r="P345" s="37"/>
      <c r="Z345" s="4"/>
      <c r="AA345"/>
      <c r="AB345"/>
    </row>
    <row r="346" spans="1:28" s="3" customFormat="1" ht="16" x14ac:dyDescent="0.2">
      <c r="A346" s="166"/>
      <c r="B346" s="82"/>
      <c r="C346" s="70"/>
      <c r="D346" s="70"/>
      <c r="E346" s="70"/>
      <c r="F346" s="70"/>
      <c r="G346" s="70"/>
      <c r="H346" s="93"/>
      <c r="I346" s="85"/>
      <c r="J346" s="85"/>
      <c r="K346" s="131"/>
      <c r="L346" s="60"/>
      <c r="M346" s="47"/>
      <c r="N346" s="37"/>
      <c r="O346" s="37"/>
      <c r="P346" s="37"/>
      <c r="Z346" s="4"/>
      <c r="AA346"/>
      <c r="AB346"/>
    </row>
    <row r="347" spans="1:28" s="3" customFormat="1" x14ac:dyDescent="0.15">
      <c r="A347" s="166"/>
      <c r="B347" s="82"/>
      <c r="C347" s="73"/>
      <c r="D347" s="73"/>
      <c r="E347" s="73"/>
      <c r="F347" s="73"/>
      <c r="G347" s="73"/>
      <c r="H347" s="108"/>
      <c r="I347" s="85"/>
      <c r="J347" s="85"/>
      <c r="K347" s="131"/>
      <c r="L347" s="60"/>
      <c r="M347" s="49"/>
      <c r="N347" s="37"/>
      <c r="O347" s="37"/>
      <c r="P347" s="37"/>
      <c r="Z347" s="4"/>
      <c r="AA347"/>
      <c r="AB347"/>
    </row>
    <row r="348" spans="1:28" s="3" customFormat="1" x14ac:dyDescent="0.15">
      <c r="A348" s="166"/>
      <c r="B348" s="82"/>
      <c r="C348" s="70"/>
      <c r="D348" s="70"/>
      <c r="E348" s="70"/>
      <c r="F348" s="70"/>
      <c r="G348" s="70"/>
      <c r="H348" s="93"/>
      <c r="I348" s="85"/>
      <c r="J348" s="85"/>
      <c r="K348" s="131"/>
      <c r="L348" s="60"/>
      <c r="M348" s="49"/>
      <c r="N348" s="37"/>
      <c r="O348" s="37"/>
      <c r="P348" s="35"/>
      <c r="Z348" s="4"/>
      <c r="AA348"/>
      <c r="AB348"/>
    </row>
    <row r="349" spans="1:28" s="3" customFormat="1" x14ac:dyDescent="0.15">
      <c r="A349" s="166"/>
      <c r="B349" s="82"/>
      <c r="C349" s="73"/>
      <c r="D349" s="73"/>
      <c r="E349" s="73"/>
      <c r="F349" s="73"/>
      <c r="G349" s="73"/>
      <c r="H349" s="108"/>
      <c r="I349" s="85"/>
      <c r="J349" s="95"/>
      <c r="K349" s="131"/>
      <c r="L349" s="60"/>
      <c r="M349" s="49"/>
      <c r="N349" s="37"/>
      <c r="O349" s="37"/>
      <c r="P349" s="37"/>
      <c r="Z349" s="4"/>
      <c r="AA349"/>
      <c r="AB349"/>
    </row>
    <row r="350" spans="1:28" s="3" customFormat="1" x14ac:dyDescent="0.15">
      <c r="A350" s="166"/>
      <c r="B350" s="82"/>
      <c r="C350" s="70"/>
      <c r="D350" s="70"/>
      <c r="E350" s="70"/>
      <c r="F350" s="70"/>
      <c r="G350" s="70"/>
      <c r="H350" s="93"/>
      <c r="I350" s="85"/>
      <c r="J350" s="85"/>
      <c r="K350" s="131"/>
      <c r="L350" s="60"/>
      <c r="M350" s="49"/>
      <c r="N350" s="37"/>
      <c r="O350" s="37"/>
      <c r="P350" s="37"/>
      <c r="Z350" s="4"/>
      <c r="AA350"/>
      <c r="AB350"/>
    </row>
    <row r="351" spans="1:28" s="3" customFormat="1" x14ac:dyDescent="0.15">
      <c r="A351" s="166"/>
      <c r="B351" s="82"/>
      <c r="C351" s="70"/>
      <c r="D351" s="70"/>
      <c r="E351" s="70"/>
      <c r="F351" s="70"/>
      <c r="G351" s="70"/>
      <c r="H351" s="93"/>
      <c r="I351" s="85"/>
      <c r="J351" s="85"/>
      <c r="K351" s="131"/>
      <c r="L351" s="60"/>
      <c r="M351" s="49"/>
      <c r="N351" s="37"/>
      <c r="O351" s="37"/>
      <c r="P351" s="37"/>
      <c r="Z351" s="4"/>
      <c r="AA351"/>
      <c r="AB351"/>
    </row>
    <row r="352" spans="1:28" s="3" customFormat="1" x14ac:dyDescent="0.15">
      <c r="A352" s="166"/>
      <c r="B352" s="82"/>
      <c r="C352" s="70"/>
      <c r="D352" s="70"/>
      <c r="E352" s="70"/>
      <c r="F352" s="70"/>
      <c r="G352" s="70"/>
      <c r="H352" s="93"/>
      <c r="I352" s="85"/>
      <c r="J352" s="85"/>
      <c r="K352" s="131"/>
      <c r="L352" s="60"/>
      <c r="M352" s="49"/>
      <c r="N352" s="37"/>
      <c r="O352" s="37"/>
      <c r="P352" s="37"/>
      <c r="Z352" s="4"/>
      <c r="AA352"/>
      <c r="AB352"/>
    </row>
    <row r="353" spans="1:28" s="3" customFormat="1" x14ac:dyDescent="0.15">
      <c r="A353" s="166"/>
      <c r="B353" s="82"/>
      <c r="C353" s="70"/>
      <c r="D353" s="70"/>
      <c r="E353" s="70"/>
      <c r="F353" s="70"/>
      <c r="G353" s="70"/>
      <c r="H353" s="93"/>
      <c r="I353" s="85"/>
      <c r="J353" s="85"/>
      <c r="K353" s="131"/>
      <c r="L353" s="60"/>
      <c r="M353" s="49"/>
      <c r="N353" s="37"/>
      <c r="O353" s="37"/>
      <c r="P353" s="37"/>
      <c r="Z353" s="4"/>
      <c r="AA353"/>
      <c r="AB353"/>
    </row>
    <row r="354" spans="1:28" s="3" customFormat="1" x14ac:dyDescent="0.15">
      <c r="A354" s="166"/>
      <c r="B354" s="82"/>
      <c r="C354" s="70"/>
      <c r="D354" s="70"/>
      <c r="E354" s="70"/>
      <c r="F354" s="70"/>
      <c r="G354" s="70"/>
      <c r="H354" s="93"/>
      <c r="I354" s="85"/>
      <c r="J354" s="85"/>
      <c r="K354" s="131"/>
      <c r="L354" s="60"/>
      <c r="M354" s="49"/>
      <c r="N354" s="37"/>
      <c r="O354" s="37"/>
      <c r="P354" s="37"/>
      <c r="Z354" s="4"/>
      <c r="AA354"/>
      <c r="AB354"/>
    </row>
    <row r="355" spans="1:28" s="3" customFormat="1" x14ac:dyDescent="0.15">
      <c r="A355" s="166"/>
      <c r="B355" s="82"/>
      <c r="C355" s="70"/>
      <c r="D355" s="70"/>
      <c r="E355" s="70"/>
      <c r="F355" s="70"/>
      <c r="G355" s="70"/>
      <c r="H355" s="93"/>
      <c r="I355" s="85"/>
      <c r="J355" s="85"/>
      <c r="K355" s="131"/>
      <c r="L355" s="60"/>
      <c r="M355" s="49"/>
      <c r="N355" s="37"/>
      <c r="O355" s="37"/>
      <c r="P355" s="37"/>
      <c r="Z355" s="4"/>
      <c r="AA355"/>
      <c r="AB355"/>
    </row>
    <row r="356" spans="1:28" s="3" customFormat="1" x14ac:dyDescent="0.15">
      <c r="A356" s="166"/>
      <c r="B356" s="82"/>
      <c r="C356" s="70"/>
      <c r="D356" s="70"/>
      <c r="E356" s="70"/>
      <c r="F356" s="70"/>
      <c r="G356" s="70"/>
      <c r="H356" s="93"/>
      <c r="I356" s="85"/>
      <c r="J356" s="85"/>
      <c r="K356" s="131"/>
      <c r="L356" s="60"/>
      <c r="M356" s="49"/>
      <c r="N356" s="37"/>
      <c r="O356" s="37"/>
      <c r="P356" s="37"/>
      <c r="Z356" s="4"/>
      <c r="AA356"/>
      <c r="AB356"/>
    </row>
    <row r="357" spans="1:28" s="3" customFormat="1" x14ac:dyDescent="0.15">
      <c r="A357" s="166"/>
      <c r="B357" s="82"/>
      <c r="C357" s="70"/>
      <c r="D357" s="70"/>
      <c r="E357" s="70"/>
      <c r="F357" s="70"/>
      <c r="G357" s="70"/>
      <c r="H357" s="93"/>
      <c r="I357" s="85"/>
      <c r="J357" s="85"/>
      <c r="K357" s="131"/>
      <c r="L357" s="60"/>
      <c r="M357" s="49"/>
      <c r="N357" s="37"/>
      <c r="O357" s="37"/>
      <c r="P357" s="37"/>
      <c r="Z357" s="4"/>
      <c r="AA357"/>
      <c r="AB357"/>
    </row>
    <row r="358" spans="1:28" s="3" customFormat="1" x14ac:dyDescent="0.15">
      <c r="A358" s="166"/>
      <c r="B358" s="82"/>
      <c r="C358" s="70"/>
      <c r="D358" s="70"/>
      <c r="E358" s="70"/>
      <c r="F358" s="70"/>
      <c r="G358" s="70"/>
      <c r="H358" s="93"/>
      <c r="I358" s="85"/>
      <c r="J358" s="85"/>
      <c r="K358" s="131"/>
      <c r="L358" s="60"/>
      <c r="M358" s="49"/>
      <c r="N358" s="37"/>
      <c r="O358" s="37"/>
      <c r="P358" s="35"/>
      <c r="Z358" s="4"/>
      <c r="AA358"/>
      <c r="AB358"/>
    </row>
    <row r="359" spans="1:28" s="3" customFormat="1" x14ac:dyDescent="0.15">
      <c r="A359" s="166"/>
      <c r="B359" s="82"/>
      <c r="C359" s="70"/>
      <c r="D359" s="70"/>
      <c r="E359" s="70"/>
      <c r="F359" s="70"/>
      <c r="G359" s="70"/>
      <c r="H359" s="93"/>
      <c r="I359" s="85"/>
      <c r="J359" s="85"/>
      <c r="K359" s="131"/>
      <c r="L359" s="60"/>
      <c r="M359" s="49"/>
      <c r="N359" s="37"/>
      <c r="O359" s="37"/>
      <c r="P359" s="37"/>
      <c r="Z359" s="4"/>
      <c r="AA359"/>
      <c r="AB359"/>
    </row>
    <row r="360" spans="1:28" s="3" customFormat="1" x14ac:dyDescent="0.15">
      <c r="A360" s="166"/>
      <c r="B360" s="82"/>
      <c r="C360" s="70"/>
      <c r="D360" s="70"/>
      <c r="E360" s="70"/>
      <c r="F360" s="70"/>
      <c r="G360" s="70"/>
      <c r="H360" s="93"/>
      <c r="I360" s="85"/>
      <c r="J360" s="85"/>
      <c r="K360" s="131"/>
      <c r="L360" s="60"/>
      <c r="M360" s="49"/>
      <c r="N360" s="37"/>
      <c r="O360" s="37"/>
      <c r="P360" s="37"/>
      <c r="Z360" s="4"/>
      <c r="AA360"/>
      <c r="AB360"/>
    </row>
    <row r="361" spans="1:28" s="3" customFormat="1" x14ac:dyDescent="0.15">
      <c r="A361" s="166"/>
      <c r="B361" s="82"/>
      <c r="C361" s="70"/>
      <c r="D361" s="70"/>
      <c r="E361" s="70"/>
      <c r="F361" s="70"/>
      <c r="G361" s="70"/>
      <c r="H361" s="93"/>
      <c r="I361" s="85"/>
      <c r="J361" s="85"/>
      <c r="K361" s="131"/>
      <c r="L361" s="60"/>
      <c r="M361" s="49"/>
      <c r="N361" s="37"/>
      <c r="O361" s="37"/>
      <c r="P361" s="37"/>
      <c r="Z361" s="4"/>
      <c r="AA361"/>
      <c r="AB361"/>
    </row>
    <row r="362" spans="1:28" s="3" customFormat="1" x14ac:dyDescent="0.15">
      <c r="A362" s="166"/>
      <c r="B362" s="82"/>
      <c r="C362" s="70"/>
      <c r="D362" s="70"/>
      <c r="E362" s="70"/>
      <c r="F362" s="70"/>
      <c r="G362" s="70"/>
      <c r="H362" s="93"/>
      <c r="I362" s="85"/>
      <c r="J362" s="85"/>
      <c r="K362" s="131"/>
      <c r="L362" s="60"/>
      <c r="M362" s="49"/>
      <c r="N362" s="37"/>
      <c r="O362" s="37"/>
      <c r="P362" s="37"/>
      <c r="Z362" s="4"/>
      <c r="AA362"/>
      <c r="AB362"/>
    </row>
    <row r="363" spans="1:28" s="3" customFormat="1" x14ac:dyDescent="0.15">
      <c r="A363" s="166"/>
      <c r="B363" s="82"/>
      <c r="C363" s="70"/>
      <c r="D363" s="70"/>
      <c r="E363" s="70"/>
      <c r="F363" s="70"/>
      <c r="G363" s="70"/>
      <c r="H363" s="93"/>
      <c r="I363" s="85"/>
      <c r="J363" s="85"/>
      <c r="K363" s="131"/>
      <c r="L363" s="60"/>
      <c r="M363" s="49"/>
      <c r="N363" s="37"/>
      <c r="O363" s="37"/>
      <c r="P363" s="37"/>
      <c r="Z363" s="4"/>
      <c r="AA363"/>
      <c r="AB363"/>
    </row>
    <row r="364" spans="1:28" s="3" customFormat="1" x14ac:dyDescent="0.15">
      <c r="A364" s="166"/>
      <c r="B364" s="82"/>
      <c r="C364" s="70"/>
      <c r="D364" s="70"/>
      <c r="E364" s="70"/>
      <c r="F364" s="70"/>
      <c r="G364" s="70"/>
      <c r="H364" s="93"/>
      <c r="I364" s="85"/>
      <c r="J364" s="85"/>
      <c r="K364" s="131"/>
      <c r="L364" s="60"/>
      <c r="M364" s="49"/>
      <c r="N364" s="37"/>
      <c r="O364" s="37"/>
      <c r="P364" s="37"/>
      <c r="Z364" s="4"/>
      <c r="AA364"/>
      <c r="AB364"/>
    </row>
    <row r="365" spans="1:28" s="3" customFormat="1" x14ac:dyDescent="0.15">
      <c r="A365" s="166"/>
      <c r="B365" s="82"/>
      <c r="C365" s="70"/>
      <c r="D365" s="70"/>
      <c r="E365" s="70"/>
      <c r="F365" s="70"/>
      <c r="G365" s="70"/>
      <c r="H365" s="93"/>
      <c r="I365" s="85"/>
      <c r="J365" s="85"/>
      <c r="K365" s="131"/>
      <c r="L365" s="60"/>
      <c r="M365" s="49"/>
      <c r="N365" s="37"/>
      <c r="O365" s="37"/>
      <c r="P365" s="37"/>
      <c r="Z365" s="4"/>
      <c r="AA365"/>
      <c r="AB365"/>
    </row>
    <row r="366" spans="1:28" s="37" customFormat="1" x14ac:dyDescent="0.15">
      <c r="A366" s="166"/>
      <c r="B366" s="82"/>
      <c r="C366" s="70"/>
      <c r="D366" s="70"/>
      <c r="E366" s="70"/>
      <c r="F366" s="70"/>
      <c r="G366" s="70"/>
      <c r="H366" s="93"/>
      <c r="I366" s="85"/>
      <c r="J366" s="85"/>
      <c r="K366" s="131"/>
      <c r="L366" s="60"/>
      <c r="M366" s="49"/>
      <c r="Q366" s="3"/>
      <c r="R366" s="3"/>
      <c r="S366" s="3"/>
      <c r="T366" s="3"/>
      <c r="U366" s="3"/>
      <c r="V366" s="3"/>
      <c r="W366" s="3"/>
      <c r="X366" s="3"/>
      <c r="Y366" s="3"/>
      <c r="Z366" s="4"/>
      <c r="AA366"/>
      <c r="AB366"/>
    </row>
    <row r="367" spans="1:28" s="37" customFormat="1" x14ac:dyDescent="0.15">
      <c r="A367" s="166"/>
      <c r="B367" s="82"/>
      <c r="C367" s="70"/>
      <c r="D367" s="70"/>
      <c r="E367" s="70"/>
      <c r="F367" s="70"/>
      <c r="G367" s="70"/>
      <c r="H367" s="93"/>
      <c r="I367" s="85"/>
      <c r="J367" s="85"/>
      <c r="K367" s="131"/>
      <c r="L367" s="60"/>
      <c r="M367" s="49"/>
      <c r="Q367" s="3"/>
      <c r="R367" s="3"/>
      <c r="S367" s="3"/>
      <c r="T367" s="3"/>
      <c r="U367" s="3"/>
      <c r="V367" s="3"/>
      <c r="W367" s="3"/>
      <c r="X367" s="3"/>
      <c r="Y367" s="3"/>
      <c r="Z367" s="4"/>
      <c r="AA367"/>
      <c r="AB367"/>
    </row>
    <row r="368" spans="1:28" s="37" customFormat="1" x14ac:dyDescent="0.15">
      <c r="A368" s="70"/>
      <c r="B368" s="82"/>
      <c r="C368" s="70"/>
      <c r="D368" s="70"/>
      <c r="E368" s="70"/>
      <c r="F368" s="70"/>
      <c r="G368" s="70"/>
      <c r="H368" s="93"/>
      <c r="I368" s="85"/>
      <c r="J368" s="85"/>
      <c r="K368" s="131"/>
      <c r="L368" s="60"/>
      <c r="M368" s="49"/>
      <c r="Q368" s="3"/>
      <c r="R368" s="3"/>
      <c r="S368" s="3"/>
      <c r="T368" s="3"/>
      <c r="U368" s="3"/>
      <c r="V368" s="3"/>
      <c r="W368" s="3"/>
      <c r="X368" s="3"/>
      <c r="Y368" s="3"/>
      <c r="Z368" s="4"/>
      <c r="AA368"/>
      <c r="AB368"/>
    </row>
    <row r="369" spans="1:28" s="37" customFormat="1" x14ac:dyDescent="0.15">
      <c r="A369" s="70"/>
      <c r="B369" s="82"/>
      <c r="C369" s="70"/>
      <c r="D369" s="70"/>
      <c r="E369" s="70"/>
      <c r="F369" s="70"/>
      <c r="G369" s="70"/>
      <c r="H369" s="93"/>
      <c r="I369" s="85"/>
      <c r="J369" s="85"/>
      <c r="K369" s="131"/>
      <c r="L369" s="60"/>
      <c r="M369" s="49"/>
      <c r="Q369" s="3"/>
      <c r="R369" s="3"/>
      <c r="S369" s="3"/>
      <c r="T369" s="3"/>
      <c r="U369" s="3"/>
      <c r="V369" s="3"/>
      <c r="W369" s="3"/>
      <c r="X369" s="3"/>
      <c r="Y369" s="3"/>
      <c r="Z369" s="4"/>
      <c r="AA369"/>
      <c r="AB369"/>
    </row>
    <row r="370" spans="1:28" s="37" customFormat="1" x14ac:dyDescent="0.15">
      <c r="A370" s="70"/>
      <c r="B370" s="82"/>
      <c r="C370" s="70"/>
      <c r="D370" s="70"/>
      <c r="E370" s="70"/>
      <c r="F370" s="70"/>
      <c r="G370" s="70"/>
      <c r="H370" s="93"/>
      <c r="I370" s="85"/>
      <c r="J370" s="85"/>
      <c r="K370" s="131"/>
      <c r="L370" s="60"/>
      <c r="M370" s="49"/>
      <c r="O370" s="51"/>
      <c r="Q370" s="3"/>
      <c r="R370" s="3"/>
      <c r="S370" s="3"/>
      <c r="T370" s="3"/>
      <c r="U370" s="3"/>
      <c r="V370" s="3"/>
      <c r="W370" s="3"/>
      <c r="X370" s="3"/>
      <c r="Y370" s="3"/>
      <c r="Z370" s="4"/>
      <c r="AA370"/>
      <c r="AB370"/>
    </row>
    <row r="371" spans="1:28" s="37" customFormat="1" x14ac:dyDescent="0.15">
      <c r="A371" s="70"/>
      <c r="B371" s="82"/>
      <c r="C371" s="70"/>
      <c r="D371" s="70"/>
      <c r="E371" s="70"/>
      <c r="F371" s="70"/>
      <c r="G371" s="70"/>
      <c r="H371" s="93"/>
      <c r="I371" s="85"/>
      <c r="J371" s="85"/>
      <c r="K371" s="131"/>
      <c r="L371" s="60"/>
      <c r="M371" s="49"/>
      <c r="Q371" s="3"/>
      <c r="R371" s="3"/>
      <c r="S371" s="3"/>
      <c r="T371" s="3"/>
      <c r="U371" s="3"/>
      <c r="V371" s="3"/>
      <c r="W371" s="3"/>
      <c r="X371" s="3"/>
      <c r="Y371" s="3"/>
      <c r="Z371" s="4"/>
      <c r="AA371"/>
      <c r="AB371"/>
    </row>
    <row r="372" spans="1:28" s="37" customFormat="1" x14ac:dyDescent="0.15">
      <c r="A372" s="73"/>
      <c r="B372" s="82"/>
      <c r="C372" s="70"/>
      <c r="D372" s="70"/>
      <c r="E372" s="70"/>
      <c r="F372" s="70"/>
      <c r="G372" s="70"/>
      <c r="H372" s="93"/>
      <c r="I372" s="85"/>
      <c r="J372" s="85"/>
      <c r="K372" s="131"/>
      <c r="L372" s="60"/>
      <c r="M372" s="49"/>
      <c r="Q372" s="3"/>
      <c r="R372" s="3"/>
      <c r="S372" s="3"/>
      <c r="T372" s="3"/>
      <c r="U372" s="3"/>
      <c r="V372" s="3"/>
      <c r="W372" s="3"/>
      <c r="X372" s="3"/>
      <c r="Y372" s="3"/>
      <c r="Z372" s="4"/>
      <c r="AA372"/>
      <c r="AB372"/>
    </row>
    <row r="373" spans="1:28" s="37" customFormat="1" x14ac:dyDescent="0.15">
      <c r="A373" s="70"/>
      <c r="B373" s="82"/>
      <c r="C373" s="70"/>
      <c r="D373" s="70"/>
      <c r="E373" s="70"/>
      <c r="F373" s="70"/>
      <c r="G373" s="70"/>
      <c r="H373" s="93"/>
      <c r="I373" s="85"/>
      <c r="J373" s="85"/>
      <c r="K373" s="131"/>
      <c r="L373" s="60"/>
      <c r="M373" s="49"/>
      <c r="Q373" s="3"/>
      <c r="R373" s="3"/>
      <c r="S373" s="3"/>
      <c r="T373" s="3"/>
      <c r="U373" s="3"/>
      <c r="V373" s="3"/>
      <c r="W373" s="3"/>
      <c r="X373" s="3"/>
      <c r="Y373" s="3"/>
      <c r="Z373" s="4"/>
      <c r="AA373"/>
      <c r="AB373"/>
    </row>
    <row r="374" spans="1:28" s="37" customFormat="1" x14ac:dyDescent="0.15">
      <c r="A374" s="70"/>
      <c r="B374" s="82"/>
      <c r="C374" s="70"/>
      <c r="D374" s="70"/>
      <c r="E374" s="70"/>
      <c r="F374" s="70"/>
      <c r="G374" s="70"/>
      <c r="H374" s="93"/>
      <c r="I374" s="85"/>
      <c r="J374" s="85"/>
      <c r="K374" s="131"/>
      <c r="L374" s="60"/>
      <c r="M374" s="49"/>
      <c r="Q374" s="3"/>
      <c r="R374" s="3"/>
      <c r="S374" s="3"/>
      <c r="T374" s="3"/>
      <c r="U374" s="3"/>
      <c r="V374" s="3"/>
      <c r="W374" s="3"/>
      <c r="X374" s="3"/>
      <c r="Y374" s="3"/>
      <c r="Z374" s="4"/>
      <c r="AA374"/>
      <c r="AB374"/>
    </row>
    <row r="375" spans="1:28" s="37" customFormat="1" x14ac:dyDescent="0.15">
      <c r="A375" s="70"/>
      <c r="B375" s="82"/>
      <c r="C375" s="70"/>
      <c r="D375" s="70"/>
      <c r="E375" s="70"/>
      <c r="F375" s="70"/>
      <c r="G375" s="70"/>
      <c r="H375" s="93"/>
      <c r="I375" s="85"/>
      <c r="J375" s="85"/>
      <c r="K375" s="131"/>
      <c r="L375" s="60"/>
      <c r="M375" s="49"/>
      <c r="Q375" s="3"/>
      <c r="R375" s="3"/>
      <c r="S375" s="3"/>
      <c r="T375" s="3"/>
      <c r="U375" s="3"/>
      <c r="V375" s="3"/>
      <c r="W375" s="3"/>
      <c r="X375" s="3"/>
      <c r="Y375" s="3"/>
      <c r="Z375" s="4"/>
      <c r="AA375"/>
      <c r="AB375"/>
    </row>
    <row r="376" spans="1:28" s="37" customFormat="1" x14ac:dyDescent="0.15">
      <c r="A376" s="70"/>
      <c r="B376" s="82"/>
      <c r="C376" s="70"/>
      <c r="D376" s="70"/>
      <c r="E376" s="70"/>
      <c r="F376" s="70"/>
      <c r="G376" s="70"/>
      <c r="H376" s="93"/>
      <c r="I376" s="85"/>
      <c r="J376" s="85"/>
      <c r="K376" s="131"/>
      <c r="L376" s="60"/>
      <c r="M376" s="49"/>
      <c r="Q376" s="3"/>
      <c r="R376" s="3"/>
      <c r="S376" s="3"/>
      <c r="T376" s="3"/>
      <c r="U376" s="3"/>
      <c r="V376" s="3"/>
      <c r="W376" s="3"/>
      <c r="X376" s="3"/>
      <c r="Y376" s="3"/>
      <c r="Z376" s="4"/>
      <c r="AA376"/>
      <c r="AB376"/>
    </row>
    <row r="377" spans="1:28" s="37" customFormat="1" x14ac:dyDescent="0.15">
      <c r="A377" s="70"/>
      <c r="B377" s="82"/>
      <c r="C377" s="70"/>
      <c r="D377" s="70"/>
      <c r="E377" s="70"/>
      <c r="F377" s="70"/>
      <c r="G377" s="70"/>
      <c r="H377" s="93"/>
      <c r="I377" s="85"/>
      <c r="J377" s="85"/>
      <c r="K377" s="131"/>
      <c r="L377" s="66"/>
      <c r="M377" s="49"/>
      <c r="Q377" s="3"/>
      <c r="R377" s="3"/>
      <c r="S377" s="3"/>
      <c r="T377" s="3"/>
      <c r="U377" s="3"/>
      <c r="V377" s="3"/>
      <c r="W377" s="3"/>
      <c r="X377" s="3"/>
      <c r="Y377" s="3"/>
      <c r="Z377" s="4"/>
      <c r="AA377"/>
      <c r="AB377"/>
    </row>
    <row r="378" spans="1:28" s="37" customFormat="1" x14ac:dyDescent="0.15">
      <c r="A378" s="73"/>
      <c r="B378" s="82"/>
      <c r="C378" s="70"/>
      <c r="D378" s="70"/>
      <c r="E378" s="70"/>
      <c r="F378" s="70"/>
      <c r="G378" s="70"/>
      <c r="H378" s="93"/>
      <c r="I378" s="85"/>
      <c r="J378" s="85"/>
      <c r="K378" s="131"/>
      <c r="L378" s="60"/>
      <c r="M378" s="49"/>
      <c r="Q378" s="3"/>
      <c r="R378" s="3"/>
      <c r="S378" s="3"/>
      <c r="T378" s="3"/>
      <c r="U378" s="3"/>
      <c r="V378" s="3"/>
      <c r="W378" s="3"/>
      <c r="X378" s="3"/>
      <c r="Y378" s="3"/>
      <c r="Z378" s="4"/>
      <c r="AA378"/>
      <c r="AB378"/>
    </row>
    <row r="379" spans="1:28" s="37" customFormat="1" x14ac:dyDescent="0.15">
      <c r="A379" s="73"/>
      <c r="B379" s="82"/>
      <c r="C379" s="70"/>
      <c r="D379" s="70"/>
      <c r="E379" s="70"/>
      <c r="F379" s="70"/>
      <c r="G379" s="70"/>
      <c r="H379" s="93"/>
      <c r="I379" s="85"/>
      <c r="J379" s="85"/>
      <c r="K379" s="131"/>
      <c r="L379" s="63"/>
      <c r="M379" s="49"/>
      <c r="Q379" s="3"/>
      <c r="R379" s="3"/>
      <c r="S379" s="3"/>
      <c r="T379" s="3"/>
      <c r="U379" s="3"/>
      <c r="V379" s="3"/>
      <c r="W379" s="3"/>
      <c r="X379" s="3"/>
      <c r="Y379" s="3"/>
      <c r="Z379" s="4"/>
      <c r="AA379"/>
      <c r="AB379"/>
    </row>
    <row r="380" spans="1:28" s="37" customFormat="1" x14ac:dyDescent="0.15">
      <c r="A380" s="166"/>
      <c r="B380" s="82"/>
      <c r="C380" s="70"/>
      <c r="D380" s="70"/>
      <c r="E380" s="70"/>
      <c r="F380" s="70"/>
      <c r="G380" s="70"/>
      <c r="H380" s="93"/>
      <c r="I380" s="85"/>
      <c r="J380" s="85"/>
      <c r="K380" s="131"/>
      <c r="L380" s="60"/>
      <c r="M380" s="49"/>
      <c r="Q380" s="3"/>
      <c r="R380" s="3"/>
      <c r="S380" s="3"/>
      <c r="T380" s="3"/>
      <c r="U380" s="3"/>
      <c r="V380" s="3"/>
      <c r="W380" s="3"/>
      <c r="X380" s="3"/>
      <c r="Y380" s="3"/>
      <c r="Z380" s="4"/>
      <c r="AA380"/>
      <c r="AB380"/>
    </row>
    <row r="381" spans="1:28" s="37" customFormat="1" x14ac:dyDescent="0.15">
      <c r="A381" s="70"/>
      <c r="B381" s="82"/>
      <c r="C381" s="70"/>
      <c r="D381" s="70"/>
      <c r="E381" s="70"/>
      <c r="F381" s="70"/>
      <c r="G381" s="70"/>
      <c r="H381" s="93"/>
      <c r="I381" s="85"/>
      <c r="J381" s="85"/>
      <c r="K381" s="131"/>
      <c r="L381" s="60"/>
      <c r="M381" s="49"/>
      <c r="Q381" s="3"/>
      <c r="R381" s="3"/>
      <c r="S381" s="3"/>
      <c r="T381" s="3"/>
      <c r="U381" s="3"/>
      <c r="V381" s="3"/>
      <c r="W381" s="3"/>
      <c r="X381" s="3"/>
      <c r="Y381" s="3"/>
      <c r="Z381" s="4"/>
      <c r="AA381"/>
      <c r="AB381"/>
    </row>
    <row r="382" spans="1:28" s="37" customFormat="1" x14ac:dyDescent="0.15">
      <c r="A382" s="70"/>
      <c r="B382" s="82"/>
      <c r="C382" s="70"/>
      <c r="D382" s="70"/>
      <c r="E382" s="70"/>
      <c r="F382" s="70"/>
      <c r="G382" s="70"/>
      <c r="H382" s="93"/>
      <c r="I382" s="85"/>
      <c r="J382" s="85"/>
      <c r="K382" s="131"/>
      <c r="L382" s="60"/>
      <c r="M382" s="49"/>
      <c r="Q382" s="3"/>
      <c r="R382" s="3"/>
      <c r="S382" s="3"/>
      <c r="T382" s="3"/>
      <c r="U382" s="3"/>
      <c r="V382" s="3"/>
      <c r="W382" s="3"/>
      <c r="X382" s="3"/>
      <c r="Y382" s="3"/>
      <c r="Z382" s="4"/>
      <c r="AA382"/>
      <c r="AB382"/>
    </row>
    <row r="383" spans="1:28" s="37" customFormat="1" x14ac:dyDescent="0.15">
      <c r="A383" s="70"/>
      <c r="B383" s="82"/>
      <c r="C383" s="70"/>
      <c r="D383" s="70"/>
      <c r="E383" s="70"/>
      <c r="F383" s="70"/>
      <c r="G383" s="70"/>
      <c r="H383" s="93"/>
      <c r="I383" s="85"/>
      <c r="J383" s="85"/>
      <c r="K383" s="131"/>
      <c r="L383" s="60"/>
      <c r="M383" s="49"/>
      <c r="Q383" s="3"/>
      <c r="R383" s="3"/>
      <c r="S383" s="3"/>
      <c r="T383" s="3"/>
      <c r="U383" s="3"/>
      <c r="V383" s="3"/>
      <c r="W383" s="3"/>
      <c r="X383" s="3"/>
      <c r="Y383" s="3"/>
      <c r="Z383" s="4"/>
      <c r="AA383"/>
      <c r="AB383"/>
    </row>
    <row r="384" spans="1:28" s="37" customFormat="1" x14ac:dyDescent="0.15">
      <c r="A384" s="70"/>
      <c r="B384" s="82"/>
      <c r="C384" s="70"/>
      <c r="D384" s="70"/>
      <c r="E384" s="70"/>
      <c r="F384" s="70"/>
      <c r="G384" s="70"/>
      <c r="H384" s="93"/>
      <c r="I384" s="85"/>
      <c r="J384" s="85"/>
      <c r="K384" s="131"/>
      <c r="L384" s="60"/>
      <c r="M384" s="49"/>
      <c r="Q384" s="3"/>
      <c r="R384" s="3"/>
      <c r="S384" s="3"/>
      <c r="T384" s="3"/>
      <c r="U384" s="3"/>
      <c r="V384" s="3"/>
      <c r="W384" s="3"/>
      <c r="X384" s="3"/>
      <c r="Y384" s="3"/>
      <c r="Z384" s="4"/>
      <c r="AA384"/>
      <c r="AB384"/>
    </row>
    <row r="385" spans="1:28" s="37" customFormat="1" x14ac:dyDescent="0.15">
      <c r="A385" s="70"/>
      <c r="B385" s="82"/>
      <c r="C385" s="70"/>
      <c r="D385" s="70"/>
      <c r="E385" s="70"/>
      <c r="F385" s="70"/>
      <c r="G385" s="70"/>
      <c r="H385" s="93"/>
      <c r="I385" s="85"/>
      <c r="J385" s="85"/>
      <c r="K385" s="131"/>
      <c r="L385" s="60"/>
      <c r="M385" s="49"/>
      <c r="Q385" s="3"/>
      <c r="R385" s="3"/>
      <c r="S385" s="3"/>
      <c r="T385" s="3"/>
      <c r="U385" s="3"/>
      <c r="V385" s="3"/>
      <c r="W385" s="3"/>
      <c r="X385" s="3"/>
      <c r="Y385" s="3"/>
      <c r="Z385" s="4"/>
      <c r="AA385"/>
      <c r="AB385"/>
    </row>
    <row r="386" spans="1:28" s="37" customFormat="1" x14ac:dyDescent="0.15">
      <c r="A386" s="166"/>
      <c r="B386" s="82"/>
      <c r="C386" s="70"/>
      <c r="D386" s="70"/>
      <c r="E386" s="70"/>
      <c r="F386" s="70"/>
      <c r="G386" s="70"/>
      <c r="H386" s="93"/>
      <c r="I386" s="85"/>
      <c r="J386" s="85"/>
      <c r="K386" s="131"/>
      <c r="L386" s="60"/>
      <c r="M386" s="49"/>
      <c r="Q386" s="3"/>
      <c r="R386" s="3"/>
      <c r="S386" s="3"/>
      <c r="T386" s="3"/>
      <c r="U386" s="3"/>
      <c r="V386" s="3"/>
      <c r="W386" s="3"/>
      <c r="X386" s="3"/>
      <c r="Y386" s="3"/>
      <c r="Z386" s="4"/>
      <c r="AA386"/>
      <c r="AB386"/>
    </row>
    <row r="387" spans="1:28" s="37" customFormat="1" x14ac:dyDescent="0.15">
      <c r="A387" s="70"/>
      <c r="B387" s="82"/>
      <c r="C387" s="70"/>
      <c r="D387" s="70"/>
      <c r="E387" s="70"/>
      <c r="F387" s="70"/>
      <c r="G387" s="70"/>
      <c r="H387" s="93"/>
      <c r="I387" s="85"/>
      <c r="J387" s="85"/>
      <c r="K387" s="131"/>
      <c r="L387" s="60"/>
      <c r="M387" s="49"/>
      <c r="Q387" s="3"/>
      <c r="R387" s="3"/>
      <c r="S387" s="3"/>
      <c r="T387" s="3"/>
      <c r="U387" s="3"/>
      <c r="V387" s="3"/>
      <c r="W387" s="3"/>
      <c r="X387" s="3"/>
      <c r="Y387" s="3"/>
      <c r="Z387" s="4"/>
      <c r="AA387"/>
      <c r="AB387"/>
    </row>
    <row r="388" spans="1:28" s="37" customFormat="1" x14ac:dyDescent="0.15">
      <c r="A388" s="70"/>
      <c r="B388" s="82"/>
      <c r="C388" s="70"/>
      <c r="D388" s="70"/>
      <c r="E388" s="70"/>
      <c r="F388" s="70"/>
      <c r="G388" s="70"/>
      <c r="H388" s="93"/>
      <c r="I388" s="85"/>
      <c r="J388" s="85"/>
      <c r="K388" s="131"/>
      <c r="L388" s="60"/>
      <c r="M388" s="49"/>
      <c r="Q388" s="3"/>
      <c r="R388" s="3"/>
      <c r="S388" s="3"/>
      <c r="T388" s="3"/>
      <c r="U388" s="3"/>
      <c r="V388" s="3"/>
      <c r="W388" s="3"/>
      <c r="X388" s="3"/>
      <c r="Y388" s="3"/>
      <c r="Z388" s="4"/>
      <c r="AA388"/>
      <c r="AB388"/>
    </row>
    <row r="389" spans="1:28" s="37" customFormat="1" x14ac:dyDescent="0.15">
      <c r="A389" s="70"/>
      <c r="B389" s="82"/>
      <c r="C389" s="70"/>
      <c r="D389" s="70"/>
      <c r="E389" s="70"/>
      <c r="F389" s="70"/>
      <c r="G389" s="70"/>
      <c r="H389" s="93"/>
      <c r="I389" s="85"/>
      <c r="J389" s="85"/>
      <c r="K389" s="131"/>
      <c r="L389" s="60"/>
      <c r="M389" s="49"/>
      <c r="Q389" s="3"/>
      <c r="R389" s="3"/>
      <c r="S389" s="3"/>
      <c r="T389" s="3"/>
      <c r="U389" s="3"/>
      <c r="V389" s="3"/>
      <c r="W389" s="3"/>
      <c r="X389" s="3"/>
      <c r="Y389" s="3"/>
      <c r="Z389" s="4"/>
      <c r="AA389"/>
      <c r="AB389"/>
    </row>
    <row r="390" spans="1:28" s="37" customFormat="1" x14ac:dyDescent="0.15">
      <c r="A390" s="70"/>
      <c r="B390" s="82"/>
      <c r="C390" s="70"/>
      <c r="D390" s="70"/>
      <c r="E390" s="70"/>
      <c r="F390" s="70"/>
      <c r="G390" s="70"/>
      <c r="H390" s="93"/>
      <c r="I390" s="85"/>
      <c r="J390" s="85"/>
      <c r="K390" s="131"/>
      <c r="L390" s="60"/>
      <c r="M390" s="49"/>
      <c r="Q390" s="3"/>
      <c r="R390" s="3"/>
      <c r="S390" s="3"/>
      <c r="T390" s="3"/>
      <c r="U390" s="3"/>
      <c r="V390" s="3"/>
      <c r="W390" s="3"/>
      <c r="X390" s="3"/>
      <c r="Y390" s="3"/>
      <c r="Z390" s="4"/>
      <c r="AA390"/>
      <c r="AB390"/>
    </row>
    <row r="391" spans="1:28" s="37" customFormat="1" x14ac:dyDescent="0.15">
      <c r="A391" s="70"/>
      <c r="B391" s="82"/>
      <c r="C391" s="70"/>
      <c r="D391" s="70"/>
      <c r="E391" s="70"/>
      <c r="F391" s="70"/>
      <c r="G391" s="70"/>
      <c r="H391" s="93"/>
      <c r="I391" s="85"/>
      <c r="J391" s="85"/>
      <c r="K391" s="131"/>
      <c r="L391" s="60"/>
      <c r="M391" s="49"/>
      <c r="Q391" s="3"/>
      <c r="R391" s="3"/>
      <c r="S391" s="3"/>
      <c r="T391" s="3"/>
      <c r="U391" s="3"/>
      <c r="V391" s="3"/>
      <c r="W391" s="3"/>
      <c r="X391" s="3"/>
      <c r="Y391" s="3"/>
      <c r="Z391" s="4"/>
      <c r="AA391"/>
      <c r="AB391"/>
    </row>
    <row r="392" spans="1:28" s="37" customFormat="1" x14ac:dyDescent="0.15">
      <c r="A392" s="70"/>
      <c r="B392" s="82"/>
      <c r="C392" s="70"/>
      <c r="D392" s="70"/>
      <c r="E392" s="70"/>
      <c r="F392" s="70"/>
      <c r="G392" s="70"/>
      <c r="H392" s="93"/>
      <c r="I392" s="85"/>
      <c r="J392" s="85"/>
      <c r="K392" s="131"/>
      <c r="L392" s="60"/>
      <c r="M392" s="49"/>
      <c r="Q392" s="3"/>
      <c r="R392" s="3"/>
      <c r="S392" s="3"/>
      <c r="T392" s="3"/>
      <c r="U392" s="3"/>
      <c r="V392" s="3"/>
      <c r="W392" s="3"/>
      <c r="X392" s="3"/>
      <c r="Y392" s="3"/>
      <c r="Z392" s="4"/>
      <c r="AA392"/>
      <c r="AB392"/>
    </row>
    <row r="393" spans="1:28" s="37" customFormat="1" x14ac:dyDescent="0.15">
      <c r="A393" s="166"/>
      <c r="B393" s="82"/>
      <c r="C393" s="70"/>
      <c r="D393" s="70"/>
      <c r="E393" s="70"/>
      <c r="F393" s="70"/>
      <c r="G393" s="70"/>
      <c r="H393" s="93"/>
      <c r="I393" s="85"/>
      <c r="J393" s="85"/>
      <c r="K393" s="131"/>
      <c r="L393" s="60"/>
      <c r="M393" s="49"/>
      <c r="Q393" s="3"/>
      <c r="R393" s="3"/>
      <c r="S393" s="3"/>
      <c r="T393" s="3"/>
      <c r="U393" s="3"/>
      <c r="V393" s="3"/>
      <c r="W393" s="3"/>
      <c r="X393" s="3"/>
      <c r="Y393" s="3"/>
      <c r="Z393" s="4"/>
      <c r="AA393"/>
      <c r="AB393"/>
    </row>
    <row r="394" spans="1:28" s="37" customFormat="1" x14ac:dyDescent="0.15">
      <c r="A394" s="70"/>
      <c r="B394" s="82"/>
      <c r="C394" s="70"/>
      <c r="D394" s="70"/>
      <c r="E394" s="70"/>
      <c r="F394" s="70"/>
      <c r="G394" s="70"/>
      <c r="H394" s="93"/>
      <c r="I394" s="85"/>
      <c r="J394" s="85"/>
      <c r="K394" s="131"/>
      <c r="L394" s="60"/>
      <c r="M394" s="33"/>
      <c r="Q394" s="3"/>
      <c r="R394" s="3"/>
      <c r="S394" s="3"/>
      <c r="T394" s="3"/>
      <c r="U394" s="3"/>
      <c r="V394" s="3"/>
      <c r="W394" s="3"/>
      <c r="X394" s="3"/>
      <c r="Y394" s="3"/>
      <c r="Z394" s="4"/>
      <c r="AA394"/>
      <c r="AB394"/>
    </row>
    <row r="395" spans="1:28" s="37" customFormat="1" x14ac:dyDescent="0.15">
      <c r="A395" s="70"/>
      <c r="B395" s="82"/>
      <c r="C395" s="70"/>
      <c r="D395" s="70"/>
      <c r="E395" s="70"/>
      <c r="F395" s="70"/>
      <c r="G395" s="70"/>
      <c r="H395" s="93"/>
      <c r="I395" s="85"/>
      <c r="J395" s="85"/>
      <c r="K395" s="131"/>
      <c r="L395" s="60"/>
      <c r="M395" s="33"/>
      <c r="Q395" s="3"/>
      <c r="R395" s="3"/>
      <c r="S395" s="3"/>
      <c r="T395" s="3"/>
      <c r="U395" s="3"/>
      <c r="V395" s="3"/>
      <c r="W395" s="3"/>
      <c r="X395" s="3"/>
      <c r="Y395" s="3"/>
      <c r="Z395" s="4"/>
      <c r="AA395"/>
      <c r="AB395"/>
    </row>
    <row r="396" spans="1:28" s="37" customFormat="1" x14ac:dyDescent="0.15">
      <c r="A396" s="70"/>
      <c r="B396" s="82"/>
      <c r="C396" s="70"/>
      <c r="D396" s="70"/>
      <c r="E396" s="70"/>
      <c r="F396" s="70"/>
      <c r="G396" s="70"/>
      <c r="H396" s="93"/>
      <c r="I396" s="85"/>
      <c r="J396" s="85"/>
      <c r="K396" s="134"/>
      <c r="L396" s="63"/>
      <c r="M396" s="33"/>
      <c r="Q396" s="3"/>
      <c r="R396" s="3"/>
      <c r="S396" s="3"/>
      <c r="T396" s="3"/>
      <c r="U396" s="3"/>
      <c r="V396" s="3"/>
      <c r="W396" s="3"/>
      <c r="X396" s="3"/>
      <c r="Y396" s="3"/>
      <c r="Z396" s="4"/>
      <c r="AA396"/>
      <c r="AB396"/>
    </row>
    <row r="397" spans="1:28" s="37" customFormat="1" x14ac:dyDescent="0.15">
      <c r="A397" s="70"/>
      <c r="B397" s="82"/>
      <c r="C397" s="70"/>
      <c r="D397" s="70"/>
      <c r="E397" s="70"/>
      <c r="F397" s="70"/>
      <c r="G397" s="70"/>
      <c r="H397" s="93"/>
      <c r="I397" s="85"/>
      <c r="J397" s="95"/>
      <c r="K397" s="139"/>
      <c r="L397" s="63"/>
      <c r="M397" s="33"/>
      <c r="Q397" s="3"/>
      <c r="R397" s="3"/>
      <c r="S397" s="3"/>
      <c r="T397" s="3"/>
      <c r="U397" s="3"/>
      <c r="V397" s="3"/>
      <c r="W397" s="3"/>
      <c r="X397" s="3"/>
      <c r="Y397" s="3"/>
      <c r="Z397" s="4"/>
      <c r="AA397"/>
      <c r="AB397"/>
    </row>
    <row r="398" spans="1:28" s="37" customFormat="1" x14ac:dyDescent="0.15">
      <c r="A398" s="70"/>
      <c r="B398" s="82"/>
      <c r="C398" s="70"/>
      <c r="D398" s="70"/>
      <c r="E398" s="70"/>
      <c r="F398" s="70"/>
      <c r="G398" s="70"/>
      <c r="H398" s="93"/>
      <c r="I398" s="85"/>
      <c r="J398" s="85"/>
      <c r="K398" s="131"/>
      <c r="L398" s="60"/>
      <c r="M398" s="49"/>
      <c r="Q398" s="3"/>
      <c r="R398" s="3"/>
      <c r="S398" s="3"/>
      <c r="T398" s="3"/>
      <c r="U398" s="3"/>
      <c r="V398" s="3"/>
      <c r="W398" s="3"/>
      <c r="X398" s="3"/>
      <c r="Y398" s="3"/>
      <c r="Z398" s="4"/>
      <c r="AA398"/>
      <c r="AB398"/>
    </row>
    <row r="399" spans="1:28" s="37" customFormat="1" x14ac:dyDescent="0.15">
      <c r="A399" s="70"/>
      <c r="B399" s="82"/>
      <c r="C399" s="70"/>
      <c r="D399" s="70"/>
      <c r="E399" s="70"/>
      <c r="F399" s="70"/>
      <c r="G399" s="70"/>
      <c r="H399" s="93"/>
      <c r="I399" s="85"/>
      <c r="J399" s="85"/>
      <c r="K399" s="131"/>
      <c r="L399" s="60"/>
      <c r="M399" s="49"/>
      <c r="Q399" s="3"/>
      <c r="R399" s="3"/>
      <c r="S399" s="3"/>
      <c r="T399" s="3"/>
      <c r="U399" s="3"/>
      <c r="V399" s="3"/>
      <c r="W399" s="3"/>
      <c r="X399" s="3"/>
      <c r="Y399" s="3"/>
      <c r="Z399" s="4"/>
      <c r="AA399"/>
      <c r="AB399"/>
    </row>
    <row r="400" spans="1:28" s="37" customFormat="1" x14ac:dyDescent="0.15">
      <c r="A400" s="70"/>
      <c r="B400" s="82"/>
      <c r="C400" s="70"/>
      <c r="D400" s="70"/>
      <c r="E400" s="70"/>
      <c r="F400" s="70"/>
      <c r="G400" s="70"/>
      <c r="H400" s="93"/>
      <c r="I400" s="85"/>
      <c r="J400" s="85"/>
      <c r="K400" s="131"/>
      <c r="L400" s="60"/>
      <c r="M400" s="49"/>
      <c r="Q400" s="3"/>
      <c r="R400" s="3"/>
      <c r="S400" s="3"/>
      <c r="T400" s="3"/>
      <c r="U400" s="3"/>
      <c r="V400" s="3"/>
      <c r="W400" s="3"/>
      <c r="X400" s="3"/>
      <c r="Y400" s="3"/>
      <c r="Z400" s="4"/>
      <c r="AA400"/>
      <c r="AB400"/>
    </row>
    <row r="401" spans="1:28" s="37" customFormat="1" x14ac:dyDescent="0.15">
      <c r="A401" s="70"/>
      <c r="B401" s="82"/>
      <c r="C401" s="73"/>
      <c r="D401" s="73"/>
      <c r="E401" s="73"/>
      <c r="F401" s="73"/>
      <c r="G401" s="73"/>
      <c r="H401" s="108"/>
      <c r="I401" s="85"/>
      <c r="J401" s="85"/>
      <c r="K401" s="131"/>
      <c r="L401" s="66"/>
      <c r="M401" s="49"/>
      <c r="Q401" s="3"/>
      <c r="R401" s="3"/>
      <c r="S401" s="3"/>
      <c r="T401" s="3"/>
      <c r="U401" s="3"/>
      <c r="V401" s="3"/>
      <c r="W401" s="3"/>
      <c r="X401" s="3"/>
      <c r="Y401" s="3"/>
      <c r="Z401" s="4"/>
      <c r="AA401"/>
      <c r="AB401"/>
    </row>
    <row r="402" spans="1:28" s="37" customFormat="1" x14ac:dyDescent="0.15">
      <c r="A402" s="70"/>
      <c r="B402" s="93"/>
      <c r="C402" s="70"/>
      <c r="D402" s="70"/>
      <c r="E402" s="70"/>
      <c r="F402" s="70"/>
      <c r="G402" s="70"/>
      <c r="H402" s="93"/>
      <c r="I402" s="85"/>
      <c r="J402" s="85"/>
      <c r="K402" s="131"/>
      <c r="L402" s="60"/>
      <c r="M402" s="49"/>
      <c r="O402" s="33"/>
      <c r="Q402" s="3"/>
      <c r="R402" s="3"/>
      <c r="S402" s="3"/>
      <c r="T402" s="3"/>
      <c r="U402" s="3"/>
      <c r="V402" s="3"/>
      <c r="W402" s="3"/>
      <c r="X402" s="3"/>
      <c r="Y402" s="3"/>
      <c r="Z402" s="4"/>
      <c r="AA402"/>
      <c r="AB402"/>
    </row>
    <row r="403" spans="1:28" s="37" customFormat="1" x14ac:dyDescent="0.15">
      <c r="A403" s="70"/>
      <c r="B403" s="82"/>
      <c r="C403" s="70"/>
      <c r="D403" s="70"/>
      <c r="E403" s="70"/>
      <c r="F403" s="70"/>
      <c r="G403" s="70"/>
      <c r="H403" s="93"/>
      <c r="I403" s="85"/>
      <c r="J403" s="85"/>
      <c r="K403" s="131"/>
      <c r="L403" s="60"/>
      <c r="M403" s="33"/>
      <c r="Q403" s="3"/>
      <c r="R403" s="3"/>
      <c r="S403" s="3"/>
      <c r="T403" s="3"/>
      <c r="U403" s="3"/>
      <c r="V403" s="3"/>
      <c r="W403" s="3"/>
      <c r="X403" s="3"/>
      <c r="Y403" s="3"/>
      <c r="Z403" s="4"/>
      <c r="AA403"/>
      <c r="AB403"/>
    </row>
    <row r="404" spans="1:28" s="37" customFormat="1" x14ac:dyDescent="0.15">
      <c r="A404" s="70"/>
      <c r="B404" s="93"/>
      <c r="C404" s="70"/>
      <c r="D404" s="70"/>
      <c r="E404" s="70"/>
      <c r="F404" s="70"/>
      <c r="G404" s="70"/>
      <c r="H404" s="93"/>
      <c r="I404" s="85"/>
      <c r="J404" s="85"/>
      <c r="K404" s="131"/>
      <c r="L404" s="60"/>
      <c r="M404" s="33"/>
      <c r="Q404" s="3"/>
      <c r="R404" s="3"/>
      <c r="S404" s="3"/>
      <c r="T404" s="3"/>
      <c r="U404" s="3"/>
      <c r="V404" s="3"/>
      <c r="W404" s="3"/>
      <c r="X404" s="3"/>
      <c r="Y404" s="3"/>
      <c r="Z404" s="4"/>
      <c r="AA404"/>
      <c r="AB404"/>
    </row>
    <row r="405" spans="1:28" s="37" customFormat="1" x14ac:dyDescent="0.15">
      <c r="A405" s="70"/>
      <c r="B405" s="93"/>
      <c r="C405" s="70"/>
      <c r="D405" s="70"/>
      <c r="E405" s="70"/>
      <c r="F405" s="70"/>
      <c r="G405" s="70"/>
      <c r="H405" s="93"/>
      <c r="I405" s="85"/>
      <c r="J405" s="85"/>
      <c r="K405" s="131"/>
      <c r="L405" s="60"/>
      <c r="M405" s="33"/>
      <c r="Q405" s="3"/>
      <c r="R405" s="3"/>
      <c r="S405" s="3"/>
      <c r="T405" s="3"/>
      <c r="U405" s="3"/>
      <c r="V405" s="3"/>
      <c r="W405" s="3"/>
      <c r="X405" s="3"/>
      <c r="Y405" s="3"/>
      <c r="Z405" s="4"/>
      <c r="AA405"/>
      <c r="AB405"/>
    </row>
    <row r="406" spans="1:28" s="37" customFormat="1" x14ac:dyDescent="0.15">
      <c r="A406" s="70"/>
      <c r="B406" s="82"/>
      <c r="C406" s="70"/>
      <c r="D406" s="70"/>
      <c r="E406" s="70"/>
      <c r="F406" s="70"/>
      <c r="G406" s="70"/>
      <c r="H406" s="93"/>
      <c r="I406" s="85"/>
      <c r="J406" s="85"/>
      <c r="K406" s="131"/>
      <c r="L406" s="60"/>
      <c r="M406" s="33"/>
      <c r="Q406" s="3"/>
      <c r="R406" s="3"/>
      <c r="S406" s="3"/>
      <c r="T406" s="3"/>
      <c r="U406" s="3"/>
      <c r="V406" s="3"/>
      <c r="W406" s="3"/>
      <c r="X406" s="3"/>
      <c r="Y406" s="3"/>
      <c r="Z406" s="4"/>
      <c r="AA406"/>
      <c r="AB406"/>
    </row>
    <row r="407" spans="1:28" s="37" customFormat="1" x14ac:dyDescent="0.15">
      <c r="A407" s="70"/>
      <c r="B407" s="82"/>
      <c r="C407" s="70"/>
      <c r="D407" s="70"/>
      <c r="E407" s="70"/>
      <c r="F407" s="70"/>
      <c r="G407" s="70"/>
      <c r="H407" s="93"/>
      <c r="I407" s="85"/>
      <c r="J407" s="85"/>
      <c r="K407" s="131"/>
      <c r="L407" s="60"/>
      <c r="M407" s="33"/>
      <c r="Q407" s="3"/>
      <c r="R407" s="3"/>
      <c r="S407" s="3"/>
      <c r="T407" s="3"/>
      <c r="U407" s="3"/>
      <c r="V407" s="3"/>
      <c r="W407" s="3"/>
      <c r="X407" s="3"/>
      <c r="Y407" s="3"/>
      <c r="Z407" s="4"/>
      <c r="AA407"/>
      <c r="AB407"/>
    </row>
    <row r="408" spans="1:28" s="37" customFormat="1" x14ac:dyDescent="0.15">
      <c r="A408" s="70"/>
      <c r="B408" s="82"/>
      <c r="C408" s="70"/>
      <c r="D408" s="70"/>
      <c r="E408" s="70"/>
      <c r="F408" s="70"/>
      <c r="G408" s="70"/>
      <c r="H408" s="93"/>
      <c r="I408" s="85"/>
      <c r="J408" s="85"/>
      <c r="K408" s="131"/>
      <c r="L408" s="60"/>
      <c r="M408" s="33"/>
      <c r="Q408" s="3"/>
      <c r="R408" s="3"/>
      <c r="S408" s="3"/>
      <c r="T408" s="3"/>
      <c r="U408" s="3"/>
      <c r="V408" s="3"/>
      <c r="W408" s="3"/>
      <c r="X408" s="3"/>
      <c r="Y408" s="3"/>
      <c r="Z408" s="4"/>
      <c r="AA408"/>
      <c r="AB408"/>
    </row>
    <row r="409" spans="1:28" s="37" customFormat="1" ht="16" x14ac:dyDescent="0.2">
      <c r="A409" s="70"/>
      <c r="B409" s="96"/>
      <c r="C409" s="73"/>
      <c r="D409" s="73"/>
      <c r="E409" s="70"/>
      <c r="F409" s="73"/>
      <c r="G409" s="73"/>
      <c r="H409" s="108"/>
      <c r="I409" s="85"/>
      <c r="J409" s="95"/>
      <c r="K409" s="131"/>
      <c r="L409" s="60"/>
      <c r="M409" s="47"/>
      <c r="Q409" s="3"/>
      <c r="R409" s="3"/>
      <c r="S409" s="3"/>
      <c r="T409" s="3"/>
      <c r="U409" s="3"/>
      <c r="V409" s="3"/>
      <c r="W409" s="3"/>
      <c r="X409" s="3"/>
      <c r="Y409" s="3"/>
      <c r="Z409" s="4"/>
      <c r="AA409"/>
      <c r="AB409"/>
    </row>
    <row r="410" spans="1:28" s="37" customFormat="1" x14ac:dyDescent="0.15">
      <c r="A410" s="70"/>
      <c r="B410" s="82"/>
      <c r="C410" s="70"/>
      <c r="D410" s="70"/>
      <c r="E410" s="70"/>
      <c r="F410" s="70"/>
      <c r="G410" s="70"/>
      <c r="H410" s="93"/>
      <c r="I410" s="85"/>
      <c r="J410" s="85"/>
      <c r="K410" s="131"/>
      <c r="L410" s="60"/>
      <c r="M410" s="33"/>
      <c r="Q410" s="3"/>
      <c r="R410" s="3"/>
      <c r="S410" s="3"/>
      <c r="T410" s="3"/>
      <c r="U410" s="3"/>
      <c r="V410" s="3"/>
      <c r="W410" s="3"/>
      <c r="X410" s="3"/>
      <c r="Y410" s="3"/>
      <c r="Z410" s="4"/>
      <c r="AA410"/>
      <c r="AB410"/>
    </row>
    <row r="411" spans="1:28" s="37" customFormat="1" x14ac:dyDescent="0.15">
      <c r="A411" s="70"/>
      <c r="B411" s="93"/>
      <c r="C411" s="70"/>
      <c r="D411" s="70"/>
      <c r="E411" s="70"/>
      <c r="F411" s="70"/>
      <c r="G411" s="70"/>
      <c r="H411" s="93"/>
      <c r="I411" s="85"/>
      <c r="J411" s="85"/>
      <c r="K411" s="131"/>
      <c r="L411" s="60"/>
      <c r="M411" s="33"/>
      <c r="Q411" s="3"/>
      <c r="R411" s="3"/>
      <c r="S411" s="3"/>
      <c r="T411" s="3"/>
      <c r="U411" s="3"/>
      <c r="V411" s="3"/>
      <c r="W411" s="3"/>
      <c r="X411" s="3"/>
      <c r="Y411" s="3"/>
      <c r="Z411" s="4"/>
      <c r="AA411"/>
      <c r="AB411"/>
    </row>
    <row r="412" spans="1:28" s="37" customFormat="1" x14ac:dyDescent="0.15">
      <c r="A412" s="70"/>
      <c r="B412" s="96"/>
      <c r="C412" s="70"/>
      <c r="D412" s="70"/>
      <c r="E412" s="70"/>
      <c r="F412" s="70"/>
      <c r="G412" s="70"/>
      <c r="H412" s="93"/>
      <c r="I412" s="85"/>
      <c r="J412" s="85"/>
      <c r="K412" s="134"/>
      <c r="L412" s="63"/>
      <c r="M412" s="33"/>
      <c r="Q412" s="3"/>
      <c r="R412" s="3"/>
      <c r="S412" s="3"/>
      <c r="T412" s="3"/>
      <c r="U412" s="3"/>
      <c r="V412" s="3"/>
      <c r="W412" s="3"/>
      <c r="X412" s="3"/>
      <c r="Y412" s="3"/>
      <c r="Z412" s="4"/>
      <c r="AA412"/>
      <c r="AB412"/>
    </row>
    <row r="413" spans="1:28" s="37" customFormat="1" x14ac:dyDescent="0.15">
      <c r="A413" s="70"/>
      <c r="B413" s="82"/>
      <c r="C413" s="70"/>
      <c r="D413" s="70"/>
      <c r="E413" s="70"/>
      <c r="F413" s="70"/>
      <c r="G413" s="70"/>
      <c r="H413" s="93"/>
      <c r="I413" s="85"/>
      <c r="J413" s="85"/>
      <c r="K413" s="131"/>
      <c r="L413" s="60"/>
      <c r="M413" s="33"/>
      <c r="Q413" s="3"/>
      <c r="R413" s="3"/>
      <c r="S413" s="3"/>
      <c r="T413" s="3"/>
      <c r="U413" s="3"/>
      <c r="V413" s="3"/>
      <c r="W413" s="3"/>
      <c r="X413" s="3"/>
      <c r="Y413" s="3"/>
      <c r="Z413" s="4"/>
      <c r="AA413"/>
      <c r="AB413"/>
    </row>
    <row r="414" spans="1:28" s="37" customFormat="1" x14ac:dyDescent="0.15">
      <c r="A414" s="70"/>
      <c r="B414" s="82"/>
      <c r="C414" s="70"/>
      <c r="D414" s="70"/>
      <c r="E414" s="70"/>
      <c r="F414" s="70"/>
      <c r="G414" s="70"/>
      <c r="H414" s="93"/>
      <c r="I414" s="85"/>
      <c r="J414" s="85"/>
      <c r="K414" s="131"/>
      <c r="L414" s="60"/>
      <c r="M414" s="49"/>
      <c r="Q414" s="3"/>
      <c r="R414" s="3"/>
      <c r="S414" s="3"/>
      <c r="T414" s="3"/>
      <c r="U414" s="3"/>
      <c r="V414" s="3"/>
      <c r="W414" s="3"/>
      <c r="X414" s="3"/>
      <c r="Y414" s="3"/>
      <c r="Z414" s="4"/>
      <c r="AA414"/>
      <c r="AB414"/>
    </row>
    <row r="415" spans="1:28" s="37" customFormat="1" ht="16" x14ac:dyDescent="0.2">
      <c r="A415" s="70"/>
      <c r="B415" s="82"/>
      <c r="C415" s="70"/>
      <c r="D415" s="70"/>
      <c r="E415" s="70"/>
      <c r="F415" s="70"/>
      <c r="G415" s="70"/>
      <c r="H415" s="93"/>
      <c r="I415" s="85"/>
      <c r="J415" s="85"/>
      <c r="K415" s="131"/>
      <c r="L415" s="60"/>
      <c r="M415" s="47"/>
      <c r="Q415" s="3"/>
      <c r="R415" s="3"/>
      <c r="S415" s="3"/>
      <c r="T415" s="3"/>
      <c r="U415" s="3"/>
      <c r="V415" s="3"/>
      <c r="W415" s="3"/>
      <c r="X415" s="3"/>
      <c r="Y415" s="3"/>
      <c r="Z415" s="4"/>
      <c r="AA415"/>
      <c r="AB415"/>
    </row>
    <row r="416" spans="1:28" s="37" customFormat="1" x14ac:dyDescent="0.15">
      <c r="A416" s="166"/>
      <c r="B416" s="82"/>
      <c r="C416" s="70"/>
      <c r="D416" s="70"/>
      <c r="E416" s="70"/>
      <c r="F416" s="70"/>
      <c r="G416" s="70"/>
      <c r="H416" s="93"/>
      <c r="I416" s="85"/>
      <c r="J416" s="85"/>
      <c r="K416" s="131"/>
      <c r="L416" s="60"/>
      <c r="M416" s="49"/>
      <c r="Q416" s="3"/>
      <c r="R416" s="3"/>
      <c r="S416" s="3"/>
      <c r="T416" s="3"/>
      <c r="U416" s="3"/>
      <c r="V416" s="3"/>
      <c r="W416" s="3"/>
      <c r="X416" s="3"/>
      <c r="Y416" s="3"/>
      <c r="Z416" s="4"/>
      <c r="AA416"/>
      <c r="AB416"/>
    </row>
    <row r="417" spans="1:28" s="37" customFormat="1" x14ac:dyDescent="0.15">
      <c r="A417" s="70"/>
      <c r="B417" s="82"/>
      <c r="C417" s="70"/>
      <c r="D417" s="70"/>
      <c r="E417" s="73"/>
      <c r="F417" s="70"/>
      <c r="G417" s="70"/>
      <c r="H417" s="93"/>
      <c r="I417" s="85"/>
      <c r="J417" s="85"/>
      <c r="K417" s="131"/>
      <c r="L417" s="60"/>
      <c r="M417" s="49"/>
      <c r="Q417" s="3"/>
      <c r="R417" s="3"/>
      <c r="S417" s="3"/>
      <c r="T417" s="3"/>
      <c r="U417" s="3"/>
      <c r="V417" s="3"/>
      <c r="W417" s="3"/>
      <c r="X417" s="3"/>
      <c r="Y417" s="3"/>
      <c r="Z417" s="4"/>
      <c r="AA417"/>
      <c r="AB417"/>
    </row>
    <row r="418" spans="1:28" s="37" customFormat="1" ht="16" x14ac:dyDescent="0.2">
      <c r="A418" s="70"/>
      <c r="B418" s="82"/>
      <c r="C418" s="70"/>
      <c r="D418" s="70"/>
      <c r="E418" s="70"/>
      <c r="F418" s="70"/>
      <c r="G418" s="70"/>
      <c r="H418" s="93"/>
      <c r="I418" s="85"/>
      <c r="J418" s="85"/>
      <c r="K418" s="131"/>
      <c r="L418" s="60"/>
      <c r="M418" s="33"/>
      <c r="N418" s="48"/>
      <c r="Q418" s="3"/>
      <c r="R418" s="3"/>
      <c r="S418" s="3"/>
      <c r="T418" s="3"/>
      <c r="U418" s="3"/>
      <c r="V418" s="3"/>
      <c r="W418" s="3"/>
      <c r="X418" s="3"/>
      <c r="Y418" s="3"/>
      <c r="Z418" s="4"/>
      <c r="AA418"/>
      <c r="AB418"/>
    </row>
    <row r="419" spans="1:28" s="37" customFormat="1" x14ac:dyDescent="0.15">
      <c r="A419" s="70"/>
      <c r="B419" s="82"/>
      <c r="C419" s="70"/>
      <c r="D419" s="70"/>
      <c r="E419" s="70"/>
      <c r="F419" s="70"/>
      <c r="G419" s="70"/>
      <c r="H419" s="93"/>
      <c r="I419" s="85"/>
      <c r="J419" s="85"/>
      <c r="K419" s="131"/>
      <c r="L419" s="60"/>
      <c r="M419" s="49"/>
      <c r="Q419" s="3"/>
      <c r="R419" s="3"/>
      <c r="S419" s="3"/>
      <c r="T419" s="3"/>
      <c r="U419" s="3"/>
      <c r="V419" s="3"/>
      <c r="W419" s="3"/>
      <c r="X419" s="3"/>
      <c r="Y419" s="3"/>
      <c r="Z419" s="4"/>
      <c r="AA419"/>
      <c r="AB419"/>
    </row>
    <row r="420" spans="1:28" s="37" customFormat="1" x14ac:dyDescent="0.15">
      <c r="A420" s="70"/>
      <c r="B420" s="82"/>
      <c r="C420" s="70"/>
      <c r="D420" s="70"/>
      <c r="E420" s="70"/>
      <c r="F420" s="70"/>
      <c r="G420" s="70"/>
      <c r="H420" s="93"/>
      <c r="I420" s="85"/>
      <c r="J420" s="85"/>
      <c r="K420" s="131"/>
      <c r="L420" s="60"/>
      <c r="M420" s="33"/>
      <c r="Q420" s="3"/>
      <c r="R420" s="3"/>
      <c r="S420" s="3"/>
      <c r="T420" s="3"/>
      <c r="U420" s="3"/>
      <c r="V420" s="3"/>
      <c r="W420" s="3"/>
      <c r="X420" s="3"/>
      <c r="Y420" s="3"/>
      <c r="Z420" s="4"/>
      <c r="AA420"/>
      <c r="AB420"/>
    </row>
    <row r="421" spans="1:28" s="37" customFormat="1" x14ac:dyDescent="0.15">
      <c r="A421" s="70"/>
      <c r="B421" s="82"/>
      <c r="C421" s="70"/>
      <c r="D421" s="70"/>
      <c r="E421" s="70"/>
      <c r="F421" s="70"/>
      <c r="G421" s="70"/>
      <c r="H421" s="93"/>
      <c r="I421" s="85"/>
      <c r="J421" s="85"/>
      <c r="K421" s="131"/>
      <c r="L421" s="60"/>
      <c r="M421" s="49"/>
      <c r="Q421" s="3"/>
      <c r="R421" s="3"/>
      <c r="S421" s="3"/>
      <c r="T421" s="3"/>
      <c r="U421" s="3"/>
      <c r="V421" s="3"/>
      <c r="W421" s="3"/>
      <c r="X421" s="3"/>
      <c r="Y421" s="3"/>
      <c r="Z421" s="4"/>
      <c r="AA421"/>
      <c r="AB421"/>
    </row>
    <row r="422" spans="1:28" s="37" customFormat="1" x14ac:dyDescent="0.15">
      <c r="A422" s="70"/>
      <c r="B422" s="82"/>
      <c r="C422" s="70"/>
      <c r="D422" s="70"/>
      <c r="E422" s="70"/>
      <c r="F422" s="70"/>
      <c r="G422" s="70"/>
      <c r="H422" s="93"/>
      <c r="I422" s="85"/>
      <c r="J422" s="85"/>
      <c r="K422" s="131"/>
      <c r="L422" s="60"/>
      <c r="M422" s="49"/>
      <c r="Q422" s="3"/>
      <c r="R422" s="3"/>
      <c r="S422" s="3"/>
      <c r="T422" s="3"/>
      <c r="U422" s="3"/>
      <c r="V422" s="3"/>
      <c r="W422" s="3"/>
      <c r="X422" s="3"/>
      <c r="Y422" s="3"/>
      <c r="Z422" s="4"/>
      <c r="AA422"/>
      <c r="AB422"/>
    </row>
    <row r="423" spans="1:28" s="37" customFormat="1" ht="16" x14ac:dyDescent="0.2">
      <c r="A423" s="70"/>
      <c r="B423" s="82"/>
      <c r="C423" s="70"/>
      <c r="D423" s="70"/>
      <c r="E423" s="70"/>
      <c r="F423" s="70"/>
      <c r="G423" s="70"/>
      <c r="H423" s="93"/>
      <c r="I423" s="85"/>
      <c r="J423" s="85"/>
      <c r="K423" s="131"/>
      <c r="L423" s="60"/>
      <c r="M423" s="47"/>
      <c r="Q423" s="3"/>
      <c r="R423" s="3"/>
      <c r="S423" s="3"/>
      <c r="T423" s="3"/>
      <c r="U423" s="3"/>
      <c r="V423" s="3"/>
      <c r="W423" s="3"/>
      <c r="X423" s="3"/>
      <c r="Y423" s="3"/>
      <c r="Z423" s="4"/>
      <c r="AA423"/>
      <c r="AB423"/>
    </row>
    <row r="424" spans="1:28" s="37" customFormat="1" x14ac:dyDescent="0.15">
      <c r="A424" s="70"/>
      <c r="B424" s="82"/>
      <c r="C424" s="70"/>
      <c r="D424" s="70"/>
      <c r="E424" s="70"/>
      <c r="F424" s="70"/>
      <c r="G424" s="70"/>
      <c r="H424" s="93"/>
      <c r="I424" s="85"/>
      <c r="J424" s="85"/>
      <c r="K424" s="131"/>
      <c r="L424" s="60"/>
      <c r="M424" s="49"/>
      <c r="Q424" s="3"/>
      <c r="R424" s="3"/>
      <c r="S424" s="3"/>
      <c r="T424" s="3"/>
      <c r="U424" s="3"/>
      <c r="V424" s="3"/>
      <c r="W424" s="3"/>
      <c r="X424" s="3"/>
      <c r="Y424" s="3"/>
      <c r="Z424" s="4"/>
      <c r="AA424"/>
      <c r="AB424"/>
    </row>
    <row r="425" spans="1:28" s="37" customFormat="1" ht="16" x14ac:dyDescent="0.2">
      <c r="A425" s="70"/>
      <c r="B425" s="93"/>
      <c r="C425" s="70"/>
      <c r="D425" s="70"/>
      <c r="E425" s="70"/>
      <c r="F425" s="70"/>
      <c r="G425" s="70"/>
      <c r="H425" s="93"/>
      <c r="I425" s="85"/>
      <c r="J425" s="85"/>
      <c r="K425" s="131"/>
      <c r="L425" s="60"/>
      <c r="M425" s="47"/>
      <c r="N425" s="48"/>
      <c r="Q425" s="3"/>
      <c r="R425" s="3"/>
      <c r="S425" s="3"/>
      <c r="T425" s="3"/>
      <c r="U425" s="3"/>
      <c r="V425" s="3"/>
      <c r="W425" s="3"/>
      <c r="X425" s="3"/>
      <c r="Y425" s="3"/>
      <c r="Z425" s="4"/>
      <c r="AA425"/>
      <c r="AB425"/>
    </row>
    <row r="426" spans="1:28" s="37" customFormat="1" x14ac:dyDescent="0.15">
      <c r="A426" s="70"/>
      <c r="B426" s="82"/>
      <c r="C426" s="70"/>
      <c r="D426" s="70"/>
      <c r="E426" s="70"/>
      <c r="F426" s="70"/>
      <c r="G426" s="70"/>
      <c r="H426" s="93"/>
      <c r="I426" s="85"/>
      <c r="J426" s="85"/>
      <c r="K426" s="131"/>
      <c r="L426" s="60"/>
      <c r="M426" s="49"/>
      <c r="Q426" s="3"/>
      <c r="R426" s="3"/>
      <c r="S426" s="3"/>
      <c r="T426" s="3"/>
      <c r="U426" s="3"/>
      <c r="V426" s="3"/>
      <c r="W426" s="3"/>
      <c r="X426" s="3"/>
      <c r="Y426" s="3"/>
      <c r="Z426" s="4"/>
      <c r="AA426"/>
      <c r="AB426"/>
    </row>
    <row r="427" spans="1:28" s="37" customFormat="1" x14ac:dyDescent="0.15">
      <c r="A427" s="70"/>
      <c r="B427" s="82"/>
      <c r="C427" s="70"/>
      <c r="D427" s="70"/>
      <c r="E427" s="70"/>
      <c r="F427" s="70"/>
      <c r="G427" s="70"/>
      <c r="H427" s="93"/>
      <c r="I427" s="85"/>
      <c r="J427" s="85"/>
      <c r="K427" s="131"/>
      <c r="L427" s="60"/>
      <c r="M427" s="33"/>
      <c r="Q427" s="3"/>
      <c r="R427" s="3"/>
      <c r="S427" s="3"/>
      <c r="T427" s="3"/>
      <c r="U427" s="3"/>
      <c r="V427" s="3"/>
      <c r="W427" s="3"/>
      <c r="X427" s="3"/>
      <c r="Y427" s="3"/>
      <c r="Z427" s="4"/>
      <c r="AA427"/>
      <c r="AB427"/>
    </row>
    <row r="428" spans="1:28" s="37" customFormat="1" ht="16" x14ac:dyDescent="0.2">
      <c r="A428" s="70"/>
      <c r="B428" s="93"/>
      <c r="C428" s="70"/>
      <c r="D428" s="70"/>
      <c r="E428" s="70"/>
      <c r="F428" s="70"/>
      <c r="G428" s="70"/>
      <c r="H428" s="93"/>
      <c r="I428" s="85"/>
      <c r="J428" s="85"/>
      <c r="K428" s="131"/>
      <c r="L428" s="60"/>
      <c r="M428" s="47"/>
      <c r="N428" s="48"/>
      <c r="Q428" s="3"/>
      <c r="R428" s="3"/>
      <c r="S428" s="3"/>
      <c r="T428" s="3"/>
      <c r="U428" s="3"/>
      <c r="V428" s="3"/>
      <c r="W428" s="3"/>
      <c r="X428" s="3"/>
      <c r="Y428" s="3"/>
      <c r="Z428" s="4"/>
      <c r="AA428"/>
      <c r="AB428"/>
    </row>
    <row r="429" spans="1:28" s="37" customFormat="1" x14ac:dyDescent="0.15">
      <c r="A429" s="70"/>
      <c r="B429" s="82"/>
      <c r="C429" s="70"/>
      <c r="D429" s="70"/>
      <c r="E429" s="70"/>
      <c r="F429" s="70"/>
      <c r="G429" s="70"/>
      <c r="H429" s="93"/>
      <c r="I429" s="85"/>
      <c r="J429" s="85"/>
      <c r="K429" s="131"/>
      <c r="L429" s="60"/>
      <c r="M429" s="33"/>
      <c r="Q429" s="3"/>
      <c r="R429" s="3"/>
      <c r="S429" s="3"/>
      <c r="T429" s="3"/>
      <c r="U429" s="3"/>
      <c r="V429" s="3"/>
      <c r="W429" s="3"/>
      <c r="X429" s="3"/>
      <c r="Y429" s="3"/>
      <c r="Z429" s="4"/>
      <c r="AA429"/>
      <c r="AB429"/>
    </row>
    <row r="430" spans="1:28" x14ac:dyDescent="0.15">
      <c r="A430" s="70"/>
      <c r="B430" s="93"/>
      <c r="C430" s="70"/>
      <c r="D430" s="70"/>
      <c r="E430" s="70"/>
      <c r="F430" s="70"/>
      <c r="G430" s="70"/>
      <c r="H430" s="93"/>
      <c r="I430" s="85"/>
      <c r="J430" s="85"/>
      <c r="K430" s="131"/>
      <c r="L430" s="60"/>
      <c r="M430" s="33"/>
    </row>
    <row r="431" spans="1:28" x14ac:dyDescent="0.15">
      <c r="A431" s="70"/>
      <c r="B431" s="82"/>
      <c r="C431" s="70"/>
      <c r="D431" s="70"/>
      <c r="E431" s="70"/>
      <c r="F431" s="70"/>
      <c r="G431" s="70"/>
      <c r="H431" s="93"/>
      <c r="I431" s="85"/>
      <c r="J431" s="85"/>
      <c r="K431" s="131"/>
      <c r="L431" s="60"/>
      <c r="M431" s="33"/>
    </row>
    <row r="432" spans="1:28" ht="16" x14ac:dyDescent="0.2">
      <c r="A432" s="70"/>
      <c r="B432" s="82"/>
      <c r="C432" s="70"/>
      <c r="D432" s="70"/>
      <c r="E432" s="70"/>
      <c r="F432" s="70"/>
      <c r="G432" s="70"/>
      <c r="H432" s="93"/>
      <c r="I432" s="85"/>
      <c r="J432" s="85"/>
      <c r="K432" s="131"/>
      <c r="L432" s="60"/>
      <c r="M432" s="47"/>
    </row>
    <row r="433" spans="1:28" x14ac:dyDescent="0.15">
      <c r="A433" s="70"/>
      <c r="B433" s="82"/>
      <c r="C433" s="70"/>
      <c r="D433" s="70"/>
      <c r="E433" s="70"/>
      <c r="F433" s="70"/>
      <c r="G433" s="70"/>
      <c r="H433" s="93"/>
      <c r="I433" s="85"/>
      <c r="J433" s="85"/>
      <c r="K433" s="131"/>
      <c r="L433" s="60"/>
      <c r="P433" s="35"/>
    </row>
    <row r="434" spans="1:28" x14ac:dyDescent="0.15">
      <c r="A434" s="70"/>
      <c r="B434" s="82"/>
      <c r="C434" s="70"/>
      <c r="D434" s="70"/>
      <c r="E434" s="70"/>
      <c r="F434" s="70"/>
      <c r="G434" s="70"/>
      <c r="H434" s="93"/>
      <c r="I434" s="85"/>
      <c r="J434" s="85"/>
      <c r="K434" s="131"/>
      <c r="L434" s="60"/>
      <c r="O434" s="33"/>
    </row>
    <row r="435" spans="1:28" x14ac:dyDescent="0.15">
      <c r="A435" s="70"/>
      <c r="B435" s="82"/>
      <c r="C435" s="70"/>
      <c r="D435" s="70"/>
      <c r="E435" s="70"/>
      <c r="F435" s="70"/>
      <c r="G435" s="70"/>
      <c r="H435" s="93"/>
      <c r="I435" s="85"/>
      <c r="J435" s="85"/>
      <c r="K435" s="131"/>
      <c r="L435" s="60"/>
      <c r="M435" s="32"/>
    </row>
    <row r="436" spans="1:28" x14ac:dyDescent="0.15">
      <c r="A436" s="70"/>
      <c r="B436" s="82"/>
      <c r="C436" s="70"/>
      <c r="D436" s="70"/>
      <c r="E436" s="70"/>
      <c r="F436" s="70"/>
      <c r="G436" s="70"/>
      <c r="H436" s="93"/>
      <c r="I436" s="85"/>
      <c r="J436" s="85"/>
      <c r="K436" s="131"/>
      <c r="L436" s="60"/>
      <c r="M436" s="33"/>
    </row>
    <row r="437" spans="1:28" ht="16" x14ac:dyDescent="0.2">
      <c r="A437" s="70"/>
      <c r="B437" s="82"/>
      <c r="C437" s="70"/>
      <c r="D437" s="70"/>
      <c r="E437" s="70"/>
      <c r="F437" s="70"/>
      <c r="G437" s="70"/>
      <c r="H437" s="93"/>
      <c r="I437" s="85"/>
      <c r="J437" s="85"/>
      <c r="K437" s="131"/>
      <c r="L437" s="60"/>
      <c r="M437" s="33"/>
      <c r="N437" s="48"/>
      <c r="S437"/>
      <c r="T437"/>
      <c r="U437"/>
      <c r="V437"/>
      <c r="W437"/>
      <c r="X437"/>
      <c r="Y437"/>
      <c r="Z437"/>
    </row>
    <row r="438" spans="1:28" x14ac:dyDescent="0.15">
      <c r="A438" s="70"/>
      <c r="B438" s="82"/>
      <c r="C438" s="70"/>
      <c r="D438" s="70"/>
      <c r="E438" s="70"/>
      <c r="F438" s="70"/>
      <c r="G438" s="70"/>
      <c r="H438" s="93"/>
      <c r="I438" s="85"/>
      <c r="J438" s="85"/>
      <c r="K438" s="131"/>
      <c r="L438" s="60"/>
      <c r="M438" s="33"/>
    </row>
    <row r="439" spans="1:28" ht="16" x14ac:dyDescent="0.2">
      <c r="A439" s="70"/>
      <c r="B439" s="82"/>
      <c r="C439" s="70"/>
      <c r="D439" s="70"/>
      <c r="E439" s="70"/>
      <c r="F439" s="70"/>
      <c r="G439" s="70"/>
      <c r="H439" s="93"/>
      <c r="I439" s="85"/>
      <c r="J439" s="85"/>
      <c r="K439" s="131"/>
      <c r="L439" s="60"/>
      <c r="N439" s="48"/>
    </row>
    <row r="440" spans="1:28" x14ac:dyDescent="0.15">
      <c r="A440" s="70"/>
      <c r="B440" s="82"/>
      <c r="C440" s="70"/>
      <c r="D440" s="70"/>
      <c r="E440" s="70"/>
      <c r="F440" s="70"/>
      <c r="G440" s="70"/>
      <c r="H440" s="93"/>
      <c r="I440" s="85"/>
      <c r="J440" s="85"/>
      <c r="K440" s="131"/>
      <c r="L440" s="60"/>
    </row>
    <row r="441" spans="1:28" x14ac:dyDescent="0.15">
      <c r="A441" s="70"/>
      <c r="B441" s="82"/>
      <c r="C441" s="70"/>
      <c r="D441" s="70"/>
      <c r="E441" s="70"/>
      <c r="F441" s="70"/>
      <c r="G441" s="70"/>
      <c r="H441" s="93"/>
      <c r="I441" s="85"/>
      <c r="J441" s="85"/>
      <c r="K441" s="131"/>
      <c r="L441" s="60"/>
    </row>
    <row r="442" spans="1:28" x14ac:dyDescent="0.15">
      <c r="A442" s="70"/>
      <c r="B442" s="93"/>
      <c r="C442" s="70"/>
      <c r="D442" s="70"/>
      <c r="E442" s="70"/>
      <c r="F442" s="70"/>
      <c r="G442" s="70"/>
      <c r="H442" s="93"/>
      <c r="I442" s="85"/>
      <c r="J442" s="85"/>
      <c r="K442" s="131"/>
      <c r="L442" s="60"/>
      <c r="M442" s="33"/>
    </row>
    <row r="443" spans="1:28" x14ac:dyDescent="0.15">
      <c r="A443" s="70"/>
      <c r="B443" s="82"/>
      <c r="C443" s="70"/>
      <c r="D443" s="70"/>
      <c r="E443" s="70"/>
      <c r="F443" s="70"/>
      <c r="G443" s="70"/>
      <c r="H443" s="93"/>
      <c r="I443" s="85"/>
      <c r="J443" s="85"/>
      <c r="K443" s="131"/>
      <c r="L443" s="60"/>
    </row>
    <row r="444" spans="1:28" x14ac:dyDescent="0.15">
      <c r="A444" s="70"/>
      <c r="B444" s="82"/>
      <c r="C444" s="70"/>
      <c r="D444" s="70"/>
      <c r="E444" s="70"/>
      <c r="F444" s="70"/>
      <c r="G444" s="70"/>
      <c r="H444" s="93"/>
      <c r="I444" s="85"/>
      <c r="J444" s="85"/>
      <c r="K444" s="131"/>
      <c r="L444" s="60"/>
    </row>
    <row r="445" spans="1:28" x14ac:dyDescent="0.15">
      <c r="A445" s="70"/>
      <c r="B445" s="82"/>
      <c r="C445" s="70"/>
      <c r="D445" s="70"/>
      <c r="E445" s="70"/>
      <c r="F445" s="70"/>
      <c r="G445" s="70"/>
      <c r="H445" s="93"/>
      <c r="I445" s="85"/>
      <c r="J445" s="85"/>
      <c r="K445" s="131"/>
      <c r="L445" s="60"/>
      <c r="M445" s="33"/>
    </row>
    <row r="446" spans="1:28" s="37" customFormat="1" x14ac:dyDescent="0.15">
      <c r="A446" s="166"/>
      <c r="B446" s="82"/>
      <c r="C446" s="70"/>
      <c r="D446" s="70"/>
      <c r="E446" s="70"/>
      <c r="F446" s="70"/>
      <c r="G446" s="70"/>
      <c r="H446" s="93"/>
      <c r="I446" s="85"/>
      <c r="J446" s="85"/>
      <c r="K446" s="131"/>
      <c r="L446" s="60"/>
      <c r="M446" s="33"/>
      <c r="Q446" s="3"/>
      <c r="R446" s="3"/>
      <c r="S446" s="3"/>
      <c r="T446" s="3"/>
      <c r="U446" s="3"/>
      <c r="V446" s="3"/>
      <c r="W446" s="3"/>
      <c r="X446" s="3"/>
      <c r="Y446" s="3"/>
      <c r="Z446" s="4"/>
      <c r="AA446"/>
      <c r="AB446"/>
    </row>
    <row r="447" spans="1:28" s="37" customFormat="1" x14ac:dyDescent="0.15">
      <c r="A447" s="70"/>
      <c r="B447" s="82"/>
      <c r="C447" s="70"/>
      <c r="D447" s="70"/>
      <c r="E447" s="70"/>
      <c r="F447" s="70"/>
      <c r="G447" s="70"/>
      <c r="H447" s="93"/>
      <c r="I447" s="85"/>
      <c r="J447" s="85"/>
      <c r="K447" s="131"/>
      <c r="L447" s="60"/>
      <c r="M447" s="49"/>
      <c r="Q447" s="3"/>
      <c r="R447" s="3"/>
      <c r="S447" s="3"/>
      <c r="T447" s="3"/>
      <c r="U447" s="3"/>
      <c r="V447" s="3"/>
      <c r="W447" s="3"/>
      <c r="X447" s="3"/>
      <c r="Y447" s="3"/>
      <c r="Z447" s="4"/>
      <c r="AA447"/>
      <c r="AB447"/>
    </row>
    <row r="448" spans="1:28" s="37" customFormat="1" x14ac:dyDescent="0.15">
      <c r="A448" s="70"/>
      <c r="B448" s="82"/>
      <c r="C448" s="70"/>
      <c r="D448" s="70"/>
      <c r="E448" s="70"/>
      <c r="F448" s="70"/>
      <c r="G448" s="70"/>
      <c r="H448" s="93"/>
      <c r="I448" s="85"/>
      <c r="J448" s="85"/>
      <c r="K448" s="131"/>
      <c r="L448" s="60"/>
      <c r="M448" s="49"/>
      <c r="Q448" s="3"/>
      <c r="R448" s="3"/>
      <c r="S448" s="3"/>
      <c r="T448" s="3"/>
      <c r="U448" s="3"/>
      <c r="V448" s="3"/>
      <c r="W448" s="3"/>
      <c r="X448" s="3"/>
      <c r="Y448" s="3"/>
      <c r="Z448" s="4"/>
      <c r="AA448"/>
      <c r="AB448"/>
    </row>
    <row r="449" spans="1:28" s="37" customFormat="1" x14ac:dyDescent="0.15">
      <c r="A449" s="70"/>
      <c r="B449" s="82"/>
      <c r="C449" s="70"/>
      <c r="D449" s="70"/>
      <c r="E449" s="70"/>
      <c r="F449" s="70"/>
      <c r="G449" s="70"/>
      <c r="H449" s="93"/>
      <c r="I449" s="85"/>
      <c r="J449" s="85"/>
      <c r="K449" s="131"/>
      <c r="L449" s="60"/>
      <c r="M449" s="33"/>
      <c r="Q449" s="3"/>
      <c r="R449" s="3"/>
      <c r="S449" s="3"/>
      <c r="T449" s="3"/>
      <c r="U449" s="3"/>
      <c r="V449" s="3"/>
      <c r="W449" s="3"/>
      <c r="X449" s="3"/>
      <c r="Y449" s="3"/>
      <c r="Z449" s="4"/>
      <c r="AA449"/>
      <c r="AB449"/>
    </row>
    <row r="450" spans="1:28" s="37" customFormat="1" x14ac:dyDescent="0.15">
      <c r="A450" s="70"/>
      <c r="B450" s="82"/>
      <c r="C450" s="70"/>
      <c r="D450" s="70"/>
      <c r="E450" s="70"/>
      <c r="F450" s="70"/>
      <c r="G450" s="70"/>
      <c r="H450" s="93"/>
      <c r="I450" s="85"/>
      <c r="J450" s="85"/>
      <c r="K450" s="131"/>
      <c r="L450" s="60"/>
      <c r="M450" s="49"/>
      <c r="Q450" s="3"/>
      <c r="R450" s="3"/>
      <c r="S450" s="3"/>
      <c r="T450" s="3"/>
      <c r="U450" s="3"/>
      <c r="V450" s="3"/>
      <c r="W450" s="3"/>
      <c r="X450" s="3"/>
      <c r="Y450" s="3"/>
      <c r="Z450" s="4"/>
      <c r="AA450"/>
      <c r="AB450"/>
    </row>
    <row r="451" spans="1:28" s="37" customFormat="1" x14ac:dyDescent="0.15">
      <c r="A451" s="70"/>
      <c r="B451" s="82"/>
      <c r="C451" s="70"/>
      <c r="D451" s="70"/>
      <c r="E451" s="70"/>
      <c r="F451" s="70"/>
      <c r="G451" s="70"/>
      <c r="H451" s="93"/>
      <c r="I451" s="85"/>
      <c r="J451" s="85"/>
      <c r="K451" s="131"/>
      <c r="L451" s="60"/>
      <c r="M451" s="33"/>
      <c r="Q451" s="3"/>
      <c r="R451" s="3"/>
      <c r="S451" s="3"/>
      <c r="T451" s="3"/>
      <c r="U451" s="3"/>
      <c r="V451" s="3"/>
      <c r="W451" s="3"/>
      <c r="X451" s="3"/>
      <c r="Y451" s="3"/>
      <c r="Z451" s="4"/>
      <c r="AA451"/>
      <c r="AB451"/>
    </row>
    <row r="452" spans="1:28" s="37" customFormat="1" ht="16" x14ac:dyDescent="0.2">
      <c r="A452" s="73"/>
      <c r="B452" s="82"/>
      <c r="C452" s="70"/>
      <c r="D452" s="70"/>
      <c r="E452" s="70"/>
      <c r="F452" s="70"/>
      <c r="G452" s="70"/>
      <c r="H452" s="93"/>
      <c r="I452" s="85"/>
      <c r="J452" s="85"/>
      <c r="K452" s="131"/>
      <c r="L452" s="60"/>
      <c r="M452" s="47"/>
      <c r="Q452" s="3"/>
      <c r="R452" s="3"/>
      <c r="S452" s="3"/>
      <c r="T452" s="3"/>
      <c r="U452" s="3"/>
      <c r="V452" s="3"/>
      <c r="W452" s="3"/>
      <c r="X452" s="3"/>
      <c r="Y452" s="3"/>
      <c r="Z452" s="4"/>
      <c r="AA452"/>
      <c r="AB452"/>
    </row>
    <row r="453" spans="1:28" s="37" customFormat="1" x14ac:dyDescent="0.15">
      <c r="A453" s="70"/>
      <c r="B453" s="82"/>
      <c r="C453" s="70"/>
      <c r="D453" s="70"/>
      <c r="E453" s="70"/>
      <c r="F453" s="70"/>
      <c r="G453" s="70"/>
      <c r="H453" s="93"/>
      <c r="I453" s="85"/>
      <c r="J453" s="85"/>
      <c r="K453" s="131"/>
      <c r="L453" s="60"/>
      <c r="M453" s="33"/>
      <c r="Q453" s="3"/>
      <c r="R453" s="3"/>
      <c r="S453" s="3"/>
      <c r="T453" s="3"/>
      <c r="U453" s="3"/>
      <c r="V453" s="3"/>
      <c r="W453" s="3"/>
      <c r="X453" s="3"/>
      <c r="Y453" s="3"/>
      <c r="Z453" s="4"/>
      <c r="AA453"/>
      <c r="AB453"/>
    </row>
    <row r="454" spans="1:28" s="37" customFormat="1" x14ac:dyDescent="0.15">
      <c r="A454" s="70"/>
      <c r="B454" s="82"/>
      <c r="C454" s="70"/>
      <c r="D454" s="70"/>
      <c r="E454" s="70"/>
      <c r="F454" s="70"/>
      <c r="G454" s="70"/>
      <c r="H454" s="93"/>
      <c r="I454" s="85"/>
      <c r="J454" s="85"/>
      <c r="K454" s="131"/>
      <c r="L454" s="60"/>
      <c r="M454" s="49"/>
      <c r="Q454" s="3"/>
      <c r="R454" s="3"/>
      <c r="S454" s="3"/>
      <c r="T454" s="3"/>
      <c r="U454" s="3"/>
      <c r="V454" s="3"/>
      <c r="W454" s="3"/>
      <c r="X454" s="3"/>
      <c r="Y454" s="3"/>
      <c r="Z454" s="4"/>
      <c r="AA454"/>
      <c r="AB454"/>
    </row>
    <row r="455" spans="1:28" s="37" customFormat="1" x14ac:dyDescent="0.15">
      <c r="A455" s="70"/>
      <c r="B455" s="82"/>
      <c r="C455" s="70"/>
      <c r="D455" s="70"/>
      <c r="E455" s="70"/>
      <c r="F455" s="70"/>
      <c r="G455" s="70"/>
      <c r="H455" s="93"/>
      <c r="I455" s="85"/>
      <c r="J455" s="85"/>
      <c r="K455" s="131"/>
      <c r="L455" s="60"/>
      <c r="M455" s="33"/>
      <c r="Q455" s="3"/>
      <c r="R455" s="3"/>
      <c r="S455" s="3"/>
      <c r="T455" s="3"/>
      <c r="U455" s="3"/>
      <c r="V455" s="3"/>
      <c r="W455" s="3"/>
      <c r="X455" s="3"/>
      <c r="Y455" s="3"/>
      <c r="Z455" s="4"/>
      <c r="AA455"/>
      <c r="AB455"/>
    </row>
    <row r="456" spans="1:28" s="37" customFormat="1" ht="16" x14ac:dyDescent="0.2">
      <c r="A456" s="70"/>
      <c r="B456" s="82"/>
      <c r="C456" s="70"/>
      <c r="D456" s="70"/>
      <c r="E456" s="70"/>
      <c r="F456" s="70"/>
      <c r="G456" s="70"/>
      <c r="H456" s="93"/>
      <c r="I456" s="85"/>
      <c r="J456" s="85"/>
      <c r="K456" s="131"/>
      <c r="L456" s="60"/>
      <c r="M456" s="47"/>
      <c r="Q456" s="3"/>
      <c r="R456" s="3"/>
      <c r="S456" s="3"/>
      <c r="T456" s="3"/>
      <c r="U456" s="3"/>
      <c r="V456" s="3"/>
      <c r="W456" s="3"/>
      <c r="X456" s="3"/>
      <c r="Y456" s="3"/>
      <c r="Z456" s="4"/>
      <c r="AA456"/>
      <c r="AB456"/>
    </row>
    <row r="457" spans="1:28" s="37" customFormat="1" x14ac:dyDescent="0.15">
      <c r="A457" s="70"/>
      <c r="B457" s="82"/>
      <c r="C457" s="70"/>
      <c r="D457" s="70"/>
      <c r="E457" s="70"/>
      <c r="F457" s="70"/>
      <c r="G457" s="70"/>
      <c r="H457" s="93"/>
      <c r="I457" s="85"/>
      <c r="J457" s="85"/>
      <c r="K457" s="131"/>
      <c r="L457" s="60"/>
      <c r="M457" s="49"/>
      <c r="Q457" s="3"/>
      <c r="R457" s="3"/>
      <c r="S457" s="3"/>
      <c r="T457" s="3"/>
      <c r="U457" s="3"/>
      <c r="V457" s="3"/>
      <c r="W457" s="3"/>
      <c r="X457" s="3"/>
      <c r="Y457" s="3"/>
      <c r="Z457" s="4"/>
      <c r="AA457"/>
      <c r="AB457"/>
    </row>
    <row r="458" spans="1:28" s="37" customFormat="1" x14ac:dyDescent="0.15">
      <c r="A458" s="70"/>
      <c r="B458" s="82"/>
      <c r="C458" s="70"/>
      <c r="D458" s="70"/>
      <c r="E458" s="70"/>
      <c r="F458" s="70"/>
      <c r="G458" s="70"/>
      <c r="H458" s="93"/>
      <c r="I458" s="85"/>
      <c r="J458" s="85"/>
      <c r="K458" s="131"/>
      <c r="L458" s="60"/>
      <c r="M458" s="33"/>
      <c r="Q458" s="3"/>
      <c r="R458" s="3"/>
      <c r="S458" s="3"/>
      <c r="T458" s="3"/>
      <c r="U458" s="3"/>
      <c r="V458" s="3"/>
      <c r="W458" s="3"/>
      <c r="X458" s="3"/>
      <c r="Y458" s="3"/>
      <c r="Z458" s="4"/>
      <c r="AA458"/>
      <c r="AB458"/>
    </row>
    <row r="459" spans="1:28" s="37" customFormat="1" x14ac:dyDescent="0.15">
      <c r="A459" s="70"/>
      <c r="B459" s="82"/>
      <c r="C459" s="73"/>
      <c r="D459" s="73"/>
      <c r="E459" s="70"/>
      <c r="F459" s="73"/>
      <c r="G459" s="73"/>
      <c r="H459" s="108"/>
      <c r="I459" s="85"/>
      <c r="J459" s="95"/>
      <c r="K459" s="131"/>
      <c r="L459" s="60"/>
      <c r="M459" s="33"/>
      <c r="Q459" s="3"/>
      <c r="R459" s="3"/>
      <c r="S459" s="3"/>
      <c r="T459" s="3"/>
      <c r="U459" s="3"/>
      <c r="V459" s="3"/>
      <c r="W459" s="3"/>
      <c r="X459" s="3"/>
      <c r="Y459" s="3"/>
      <c r="Z459" s="4"/>
      <c r="AA459"/>
      <c r="AB459"/>
    </row>
    <row r="460" spans="1:28" s="37" customFormat="1" ht="16" x14ac:dyDescent="0.2">
      <c r="A460" s="70"/>
      <c r="B460" s="82"/>
      <c r="C460" s="70"/>
      <c r="D460" s="70"/>
      <c r="E460" s="73"/>
      <c r="F460" s="70"/>
      <c r="G460" s="70"/>
      <c r="H460" s="93"/>
      <c r="I460" s="85"/>
      <c r="J460" s="85"/>
      <c r="K460" s="131"/>
      <c r="L460" s="60"/>
      <c r="M460" s="47"/>
      <c r="Q460" s="3"/>
      <c r="R460" s="3"/>
      <c r="S460" s="3"/>
      <c r="T460" s="3"/>
      <c r="U460" s="3"/>
      <c r="V460" s="3"/>
      <c r="W460" s="3"/>
      <c r="X460" s="3"/>
      <c r="Y460" s="3"/>
      <c r="Z460" s="4"/>
      <c r="AA460"/>
      <c r="AB460"/>
    </row>
    <row r="461" spans="1:28" s="37" customFormat="1" x14ac:dyDescent="0.15">
      <c r="A461" s="70"/>
      <c r="B461" s="82"/>
      <c r="C461" s="70"/>
      <c r="D461" s="70"/>
      <c r="E461" s="70"/>
      <c r="F461" s="70"/>
      <c r="G461" s="70"/>
      <c r="H461" s="93"/>
      <c r="I461" s="85"/>
      <c r="J461" s="85"/>
      <c r="K461" s="131"/>
      <c r="L461" s="60"/>
      <c r="M461" s="33"/>
      <c r="Q461" s="3"/>
      <c r="R461" s="3"/>
      <c r="S461" s="3"/>
      <c r="T461" s="3"/>
      <c r="U461" s="3"/>
      <c r="V461" s="3"/>
      <c r="W461" s="3"/>
      <c r="X461" s="3"/>
      <c r="Y461" s="3"/>
      <c r="Z461" s="4"/>
      <c r="AA461"/>
      <c r="AB461"/>
    </row>
    <row r="462" spans="1:28" s="37" customFormat="1" x14ac:dyDescent="0.15">
      <c r="A462" s="70"/>
      <c r="B462" s="82"/>
      <c r="C462" s="70"/>
      <c r="D462" s="70"/>
      <c r="E462" s="70"/>
      <c r="F462" s="70"/>
      <c r="G462" s="70"/>
      <c r="H462" s="93"/>
      <c r="I462" s="85"/>
      <c r="J462" s="99"/>
      <c r="K462" s="131"/>
      <c r="L462" s="60"/>
      <c r="M462" s="49"/>
      <c r="Q462" s="3"/>
      <c r="R462" s="3"/>
      <c r="S462" s="3"/>
      <c r="T462" s="3"/>
      <c r="U462" s="3"/>
      <c r="V462" s="3"/>
      <c r="W462" s="3"/>
      <c r="X462" s="3"/>
      <c r="Y462" s="3"/>
      <c r="Z462" s="4"/>
      <c r="AA462"/>
      <c r="AB462"/>
    </row>
    <row r="463" spans="1:28" s="37" customFormat="1" x14ac:dyDescent="0.15">
      <c r="A463" s="73"/>
      <c r="B463" s="82"/>
      <c r="C463" s="70"/>
      <c r="D463" s="70"/>
      <c r="E463" s="70"/>
      <c r="F463" s="70"/>
      <c r="G463" s="70"/>
      <c r="H463" s="93"/>
      <c r="I463" s="85"/>
      <c r="J463" s="85"/>
      <c r="K463" s="131"/>
      <c r="L463" s="60"/>
      <c r="M463" s="49"/>
      <c r="Q463" s="3"/>
      <c r="R463" s="3"/>
      <c r="S463" s="3"/>
      <c r="T463" s="3"/>
      <c r="U463" s="3"/>
      <c r="V463" s="3"/>
      <c r="W463" s="3"/>
      <c r="X463" s="3"/>
      <c r="Y463" s="3"/>
      <c r="Z463" s="4"/>
      <c r="AA463"/>
      <c r="AB463"/>
    </row>
    <row r="464" spans="1:28" s="37" customFormat="1" ht="16" x14ac:dyDescent="0.2">
      <c r="A464" s="70"/>
      <c r="B464" s="82"/>
      <c r="C464" s="70"/>
      <c r="D464" s="70"/>
      <c r="E464" s="70"/>
      <c r="F464" s="70"/>
      <c r="G464" s="70"/>
      <c r="H464" s="93"/>
      <c r="I464" s="85"/>
      <c r="J464" s="85"/>
      <c r="K464" s="131"/>
      <c r="L464" s="60"/>
      <c r="M464" s="47"/>
      <c r="Q464" s="3"/>
      <c r="R464" s="3"/>
      <c r="S464" s="3"/>
      <c r="T464" s="3"/>
      <c r="U464" s="3"/>
      <c r="V464" s="3"/>
      <c r="W464" s="3"/>
      <c r="X464" s="3"/>
      <c r="Y464" s="3"/>
      <c r="Z464" s="4"/>
      <c r="AA464"/>
      <c r="AB464"/>
    </row>
    <row r="465" spans="1:28" s="37" customFormat="1" ht="16" x14ac:dyDescent="0.2">
      <c r="A465" s="70"/>
      <c r="B465" s="82"/>
      <c r="C465" s="70"/>
      <c r="D465" s="70"/>
      <c r="E465" s="70"/>
      <c r="F465" s="70"/>
      <c r="G465" s="70"/>
      <c r="H465" s="93"/>
      <c r="I465" s="85"/>
      <c r="J465" s="85"/>
      <c r="K465" s="131"/>
      <c r="L465" s="60"/>
      <c r="M465" s="47"/>
      <c r="Q465" s="3"/>
      <c r="R465" s="3"/>
      <c r="S465" s="3"/>
      <c r="T465" s="3"/>
      <c r="U465" s="3"/>
      <c r="V465" s="3"/>
      <c r="W465" s="3"/>
      <c r="X465" s="3"/>
      <c r="Y465" s="3"/>
      <c r="Z465" s="4"/>
      <c r="AA465"/>
      <c r="AB465"/>
    </row>
    <row r="466" spans="1:28" s="37" customFormat="1" x14ac:dyDescent="0.15">
      <c r="A466" s="73"/>
      <c r="B466" s="82"/>
      <c r="C466" s="70"/>
      <c r="D466" s="70"/>
      <c r="E466" s="70"/>
      <c r="F466" s="70"/>
      <c r="G466" s="70"/>
      <c r="H466" s="93"/>
      <c r="I466" s="85"/>
      <c r="J466" s="85"/>
      <c r="K466" s="131"/>
      <c r="L466" s="60"/>
      <c r="M466" s="49"/>
      <c r="Q466" s="3"/>
      <c r="R466" s="3"/>
      <c r="S466" s="3"/>
      <c r="T466" s="3"/>
      <c r="U466" s="3"/>
      <c r="V466" s="3"/>
      <c r="W466" s="3"/>
      <c r="X466" s="3"/>
      <c r="Y466" s="3"/>
      <c r="Z466" s="4"/>
      <c r="AA466"/>
      <c r="AB466"/>
    </row>
    <row r="467" spans="1:28" s="37" customFormat="1" x14ac:dyDescent="0.15">
      <c r="A467" s="70"/>
      <c r="B467" s="82"/>
      <c r="C467" s="70"/>
      <c r="D467" s="70"/>
      <c r="E467" s="70"/>
      <c r="F467" s="70"/>
      <c r="G467" s="70"/>
      <c r="H467" s="93"/>
      <c r="I467" s="85"/>
      <c r="J467" s="85"/>
      <c r="K467" s="131"/>
      <c r="L467" s="60"/>
      <c r="M467" s="49"/>
      <c r="Q467" s="3"/>
      <c r="R467" s="3"/>
      <c r="S467" s="3"/>
      <c r="T467" s="3"/>
      <c r="U467" s="3"/>
      <c r="V467" s="3"/>
      <c r="W467" s="3"/>
      <c r="X467" s="3"/>
      <c r="Y467" s="3"/>
      <c r="Z467" s="4"/>
      <c r="AA467"/>
      <c r="AB467"/>
    </row>
    <row r="468" spans="1:28" s="37" customFormat="1" x14ac:dyDescent="0.15">
      <c r="A468" s="70"/>
      <c r="B468" s="82"/>
      <c r="C468" s="70"/>
      <c r="D468" s="70"/>
      <c r="E468" s="70"/>
      <c r="F468" s="70"/>
      <c r="G468" s="70"/>
      <c r="H468" s="93"/>
      <c r="I468" s="85"/>
      <c r="J468" s="85"/>
      <c r="K468" s="131"/>
      <c r="L468" s="60"/>
      <c r="M468" s="49"/>
      <c r="Q468" s="3"/>
      <c r="R468" s="3"/>
      <c r="S468" s="3"/>
      <c r="T468" s="3"/>
      <c r="U468" s="3"/>
      <c r="V468" s="3"/>
      <c r="W468" s="3"/>
      <c r="X468" s="3"/>
      <c r="Y468" s="3"/>
      <c r="Z468" s="4"/>
      <c r="AA468"/>
      <c r="AB468"/>
    </row>
    <row r="469" spans="1:28" s="37" customFormat="1" x14ac:dyDescent="0.15">
      <c r="A469" s="70"/>
      <c r="B469" s="82"/>
      <c r="C469" s="70"/>
      <c r="D469" s="70"/>
      <c r="E469" s="70"/>
      <c r="F469" s="70"/>
      <c r="G469" s="70"/>
      <c r="H469" s="93"/>
      <c r="I469" s="85"/>
      <c r="J469" s="85"/>
      <c r="K469" s="131"/>
      <c r="L469" s="60"/>
      <c r="M469" s="49"/>
      <c r="Q469" s="3"/>
      <c r="R469" s="3"/>
      <c r="S469" s="3"/>
      <c r="T469" s="3"/>
      <c r="U469" s="3"/>
      <c r="V469" s="3"/>
      <c r="W469" s="3"/>
      <c r="X469" s="3"/>
      <c r="Y469" s="3"/>
      <c r="Z469" s="4"/>
      <c r="AA469"/>
      <c r="AB469"/>
    </row>
    <row r="470" spans="1:28" s="37" customFormat="1" x14ac:dyDescent="0.15">
      <c r="A470" s="70"/>
      <c r="B470" s="82"/>
      <c r="C470" s="70"/>
      <c r="D470" s="70"/>
      <c r="E470" s="70"/>
      <c r="F470" s="70"/>
      <c r="G470" s="70"/>
      <c r="H470" s="93"/>
      <c r="I470" s="85"/>
      <c r="J470" s="85"/>
      <c r="K470" s="131"/>
      <c r="L470" s="60"/>
      <c r="M470" s="49"/>
      <c r="Q470" s="3"/>
      <c r="R470" s="3"/>
      <c r="S470" s="3"/>
      <c r="T470" s="3"/>
      <c r="U470" s="3"/>
      <c r="V470" s="3"/>
      <c r="W470" s="3"/>
      <c r="X470" s="3"/>
      <c r="Y470" s="3"/>
      <c r="Z470" s="4"/>
      <c r="AA470"/>
      <c r="AB470"/>
    </row>
    <row r="471" spans="1:28" s="37" customFormat="1" x14ac:dyDescent="0.15">
      <c r="A471" s="70"/>
      <c r="B471" s="82"/>
      <c r="C471" s="70"/>
      <c r="D471" s="70"/>
      <c r="E471" s="70"/>
      <c r="F471" s="70"/>
      <c r="G471" s="70"/>
      <c r="H471" s="93"/>
      <c r="I471" s="85"/>
      <c r="J471" s="85"/>
      <c r="K471" s="131"/>
      <c r="L471" s="60"/>
      <c r="M471" s="49"/>
      <c r="Q471" s="3"/>
      <c r="R471" s="3"/>
      <c r="S471" s="3"/>
      <c r="T471" s="3"/>
      <c r="U471" s="3"/>
      <c r="V471" s="3"/>
      <c r="W471" s="3"/>
      <c r="X471" s="3"/>
      <c r="Y471" s="3"/>
      <c r="Z471" s="4"/>
      <c r="AA471"/>
      <c r="AB471"/>
    </row>
    <row r="472" spans="1:28" s="37" customFormat="1" x14ac:dyDescent="0.15">
      <c r="A472" s="70"/>
      <c r="B472" s="93"/>
      <c r="C472" s="70"/>
      <c r="D472" s="70"/>
      <c r="E472" s="70"/>
      <c r="F472" s="70"/>
      <c r="G472" s="70"/>
      <c r="H472" s="93"/>
      <c r="I472" s="85"/>
      <c r="J472" s="85"/>
      <c r="K472" s="131"/>
      <c r="L472" s="60"/>
      <c r="M472" s="49"/>
      <c r="Q472" s="3"/>
      <c r="R472" s="3"/>
      <c r="S472" s="3"/>
      <c r="T472" s="3"/>
      <c r="U472" s="3"/>
      <c r="V472" s="3"/>
      <c r="W472" s="3"/>
      <c r="X472" s="3"/>
      <c r="Y472" s="3"/>
      <c r="Z472" s="4"/>
      <c r="AA472"/>
      <c r="AB472"/>
    </row>
    <row r="473" spans="1:28" s="37" customFormat="1" ht="16" x14ac:dyDescent="0.2">
      <c r="A473" s="70"/>
      <c r="B473" s="82"/>
      <c r="C473" s="70"/>
      <c r="D473" s="70"/>
      <c r="E473" s="70"/>
      <c r="F473" s="70"/>
      <c r="G473" s="70"/>
      <c r="H473" s="93"/>
      <c r="I473" s="85"/>
      <c r="J473" s="85"/>
      <c r="K473" s="131"/>
      <c r="L473" s="60"/>
      <c r="M473" s="47"/>
      <c r="Q473" s="3"/>
      <c r="R473" s="3"/>
      <c r="S473" s="3"/>
      <c r="T473" s="3"/>
      <c r="U473" s="3"/>
      <c r="V473" s="3"/>
      <c r="W473" s="3"/>
      <c r="X473" s="3"/>
      <c r="Y473" s="3"/>
      <c r="Z473" s="4"/>
      <c r="AA473"/>
      <c r="AB473"/>
    </row>
    <row r="474" spans="1:28" s="37" customFormat="1" x14ac:dyDescent="0.15">
      <c r="A474" s="70"/>
      <c r="B474" s="82"/>
      <c r="C474" s="70"/>
      <c r="D474" s="70"/>
      <c r="E474" s="70"/>
      <c r="F474" s="70"/>
      <c r="G474" s="70"/>
      <c r="H474" s="93"/>
      <c r="I474" s="85"/>
      <c r="J474" s="85"/>
      <c r="K474" s="131"/>
      <c r="L474" s="60"/>
      <c r="M474" s="49"/>
      <c r="Q474" s="3"/>
      <c r="R474" s="3"/>
      <c r="S474" s="3"/>
      <c r="T474" s="3"/>
      <c r="U474" s="3"/>
      <c r="V474" s="3"/>
      <c r="W474" s="3"/>
      <c r="X474" s="3"/>
      <c r="Y474" s="3"/>
      <c r="Z474" s="4"/>
      <c r="AA474"/>
      <c r="AB474"/>
    </row>
    <row r="475" spans="1:28" s="37" customFormat="1" x14ac:dyDescent="0.15">
      <c r="A475" s="70"/>
      <c r="B475" s="93"/>
      <c r="C475" s="70"/>
      <c r="D475" s="70"/>
      <c r="E475" s="70"/>
      <c r="F475" s="70"/>
      <c r="G475" s="70"/>
      <c r="H475" s="93"/>
      <c r="I475" s="85"/>
      <c r="J475" s="85"/>
      <c r="K475" s="131"/>
      <c r="L475" s="60"/>
      <c r="M475" s="33"/>
      <c r="Q475" s="3"/>
      <c r="R475" s="3"/>
      <c r="S475" s="3"/>
      <c r="T475" s="3"/>
      <c r="U475" s="3"/>
      <c r="V475" s="3"/>
      <c r="W475" s="3"/>
      <c r="X475" s="3"/>
      <c r="Y475" s="3"/>
      <c r="Z475" s="4"/>
      <c r="AA475"/>
      <c r="AB475"/>
    </row>
    <row r="476" spans="1:28" s="37" customFormat="1" x14ac:dyDescent="0.15">
      <c r="A476" s="73"/>
      <c r="B476" s="82"/>
      <c r="C476" s="70"/>
      <c r="D476" s="70"/>
      <c r="E476" s="70"/>
      <c r="F476" s="70"/>
      <c r="G476" s="70"/>
      <c r="H476" s="93"/>
      <c r="I476" s="85"/>
      <c r="J476" s="85"/>
      <c r="K476" s="131"/>
      <c r="L476" s="60"/>
      <c r="M476" s="33"/>
      <c r="Q476" s="3"/>
      <c r="R476" s="3"/>
      <c r="S476" s="3"/>
      <c r="T476" s="3"/>
      <c r="U476" s="3"/>
      <c r="V476" s="3"/>
      <c r="W476" s="3"/>
      <c r="X476" s="3"/>
      <c r="Y476" s="3"/>
      <c r="Z476" s="4"/>
      <c r="AA476"/>
      <c r="AB476"/>
    </row>
    <row r="477" spans="1:28" s="37" customFormat="1" x14ac:dyDescent="0.15">
      <c r="A477" s="73"/>
      <c r="B477" s="96"/>
      <c r="C477" s="70"/>
      <c r="D477" s="70"/>
      <c r="E477" s="70"/>
      <c r="F477" s="70"/>
      <c r="G477" s="70"/>
      <c r="H477" s="93"/>
      <c r="I477" s="85"/>
      <c r="J477" s="85"/>
      <c r="K477" s="131"/>
      <c r="L477" s="60"/>
      <c r="M477" s="33"/>
      <c r="Q477" s="3"/>
      <c r="R477" s="3"/>
      <c r="S477" s="3"/>
      <c r="T477" s="3"/>
      <c r="U477" s="3"/>
      <c r="V477" s="3"/>
      <c r="W477" s="3"/>
      <c r="X477" s="3"/>
      <c r="Y477" s="3"/>
      <c r="Z477" s="4"/>
      <c r="AA477"/>
      <c r="AB477"/>
    </row>
    <row r="478" spans="1:28" s="37" customFormat="1" x14ac:dyDescent="0.15">
      <c r="A478" s="70"/>
      <c r="B478" s="82"/>
      <c r="C478" s="70"/>
      <c r="D478" s="70"/>
      <c r="E478" s="70"/>
      <c r="F478" s="70"/>
      <c r="G478" s="70"/>
      <c r="H478" s="93"/>
      <c r="I478" s="85"/>
      <c r="J478" s="85"/>
      <c r="K478" s="131"/>
      <c r="L478" s="60"/>
      <c r="M478" s="33"/>
      <c r="Q478" s="3"/>
      <c r="R478" s="3"/>
      <c r="S478" s="3"/>
      <c r="T478" s="3"/>
      <c r="U478" s="3"/>
      <c r="V478" s="3"/>
      <c r="W478" s="3"/>
      <c r="X478" s="3"/>
      <c r="Y478" s="3"/>
      <c r="Z478" s="4"/>
      <c r="AA478"/>
      <c r="AB478"/>
    </row>
    <row r="479" spans="1:28" s="37" customFormat="1" ht="16" x14ac:dyDescent="0.2">
      <c r="A479" s="73"/>
      <c r="B479" s="82"/>
      <c r="C479" s="70"/>
      <c r="D479" s="70"/>
      <c r="E479" s="70"/>
      <c r="F479" s="70"/>
      <c r="G479" s="70"/>
      <c r="H479" s="93"/>
      <c r="I479" s="85"/>
      <c r="J479" s="85"/>
      <c r="K479" s="131"/>
      <c r="L479" s="60"/>
      <c r="M479" s="47"/>
      <c r="Q479" s="3"/>
      <c r="R479" s="3"/>
      <c r="S479" s="3"/>
      <c r="T479" s="3"/>
      <c r="U479" s="3"/>
      <c r="V479" s="3"/>
      <c r="W479" s="3"/>
      <c r="X479" s="3"/>
      <c r="Y479" s="3"/>
      <c r="Z479" s="4"/>
      <c r="AA479"/>
      <c r="AB479"/>
    </row>
    <row r="480" spans="1:28" s="37" customFormat="1" x14ac:dyDescent="0.15">
      <c r="A480" s="70"/>
      <c r="B480" s="82"/>
      <c r="C480" s="70"/>
      <c r="D480" s="70"/>
      <c r="E480" s="70"/>
      <c r="F480" s="70"/>
      <c r="G480" s="70"/>
      <c r="H480" s="93"/>
      <c r="I480" s="85"/>
      <c r="J480" s="85"/>
      <c r="K480" s="131"/>
      <c r="L480" s="60"/>
      <c r="M480" s="33"/>
      <c r="Q480" s="3"/>
      <c r="R480" s="3"/>
      <c r="S480" s="3"/>
      <c r="T480" s="3"/>
      <c r="U480" s="3"/>
      <c r="V480" s="3"/>
      <c r="W480" s="3"/>
      <c r="X480" s="3"/>
      <c r="Y480" s="3"/>
      <c r="Z480" s="4"/>
      <c r="AA480"/>
      <c r="AB480"/>
    </row>
    <row r="481" spans="1:28" s="37" customFormat="1" x14ac:dyDescent="0.15">
      <c r="A481" s="70"/>
      <c r="B481" s="82"/>
      <c r="C481" s="70"/>
      <c r="D481" s="70"/>
      <c r="E481" s="70"/>
      <c r="F481" s="70"/>
      <c r="G481" s="70"/>
      <c r="H481" s="93"/>
      <c r="I481" s="85"/>
      <c r="J481" s="85"/>
      <c r="K481" s="131"/>
      <c r="L481" s="60"/>
      <c r="M481" s="33"/>
      <c r="Q481" s="3"/>
      <c r="R481" s="3"/>
      <c r="S481" s="3"/>
      <c r="T481" s="3"/>
      <c r="U481" s="3"/>
      <c r="V481" s="3"/>
      <c r="W481" s="3"/>
      <c r="X481" s="3"/>
      <c r="Y481" s="3"/>
      <c r="Z481" s="4"/>
      <c r="AA481"/>
      <c r="AB481"/>
    </row>
    <row r="482" spans="1:28" s="37" customFormat="1" ht="16" x14ac:dyDescent="0.2">
      <c r="A482" s="70"/>
      <c r="B482" s="82"/>
      <c r="C482" s="70"/>
      <c r="D482" s="70"/>
      <c r="E482" s="70"/>
      <c r="F482" s="70"/>
      <c r="G482" s="70"/>
      <c r="H482" s="93"/>
      <c r="I482" s="85"/>
      <c r="J482" s="85"/>
      <c r="K482" s="131"/>
      <c r="L482" s="60"/>
      <c r="M482" s="33"/>
      <c r="N482" s="48"/>
      <c r="Q482" s="3"/>
      <c r="R482" s="3"/>
      <c r="S482" s="3"/>
      <c r="T482" s="3"/>
      <c r="U482" s="3"/>
      <c r="V482" s="3"/>
      <c r="W482" s="3"/>
      <c r="X482" s="3"/>
      <c r="Y482" s="3"/>
      <c r="Z482" s="4"/>
      <c r="AA482"/>
      <c r="AB482"/>
    </row>
    <row r="483" spans="1:28" s="37" customFormat="1" x14ac:dyDescent="0.15">
      <c r="A483" s="70"/>
      <c r="B483" s="82"/>
      <c r="C483" s="70"/>
      <c r="D483" s="70"/>
      <c r="E483" s="70"/>
      <c r="F483" s="70"/>
      <c r="G483" s="70"/>
      <c r="H483" s="93"/>
      <c r="I483" s="85"/>
      <c r="J483" s="85"/>
      <c r="K483" s="131"/>
      <c r="L483" s="60"/>
      <c r="M483" s="49"/>
      <c r="O483" s="51"/>
      <c r="Q483" s="3"/>
      <c r="R483" s="3"/>
      <c r="S483" s="3"/>
      <c r="T483" s="3"/>
      <c r="U483" s="3"/>
      <c r="V483" s="3"/>
      <c r="W483" s="3"/>
      <c r="X483" s="3"/>
      <c r="Y483" s="3"/>
      <c r="Z483" s="4"/>
      <c r="AA483"/>
      <c r="AB483"/>
    </row>
    <row r="484" spans="1:28" s="37" customFormat="1" ht="16" x14ac:dyDescent="0.2">
      <c r="A484" s="70"/>
      <c r="B484" s="82"/>
      <c r="C484" s="70"/>
      <c r="D484" s="70"/>
      <c r="E484" s="70"/>
      <c r="F484" s="70"/>
      <c r="G484" s="70"/>
      <c r="H484" s="93"/>
      <c r="I484" s="85"/>
      <c r="J484" s="85"/>
      <c r="K484" s="131"/>
      <c r="L484" s="60"/>
      <c r="M484" s="47"/>
      <c r="Q484" s="3"/>
      <c r="R484" s="3"/>
      <c r="S484" s="3"/>
      <c r="T484" s="3"/>
      <c r="U484" s="3"/>
      <c r="V484" s="3"/>
      <c r="W484" s="3"/>
      <c r="X484" s="3"/>
      <c r="Y484" s="3"/>
      <c r="Z484" s="4"/>
      <c r="AA484"/>
      <c r="AB484"/>
    </row>
    <row r="485" spans="1:28" s="37" customFormat="1" x14ac:dyDescent="0.15">
      <c r="A485" s="70"/>
      <c r="B485" s="82"/>
      <c r="C485" s="70"/>
      <c r="D485" s="70"/>
      <c r="E485" s="70"/>
      <c r="F485" s="70"/>
      <c r="G485" s="70"/>
      <c r="H485" s="93"/>
      <c r="I485" s="85"/>
      <c r="J485" s="85"/>
      <c r="K485" s="131"/>
      <c r="L485" s="60"/>
      <c r="M485" s="49"/>
      <c r="Q485" s="3"/>
      <c r="R485" s="3"/>
      <c r="S485" s="3"/>
      <c r="T485" s="3"/>
      <c r="U485" s="3"/>
      <c r="V485" s="3"/>
      <c r="W485" s="3"/>
      <c r="X485" s="3"/>
      <c r="Y485" s="3"/>
      <c r="Z485" s="4"/>
      <c r="AA485"/>
      <c r="AB485"/>
    </row>
    <row r="486" spans="1:28" s="37" customFormat="1" x14ac:dyDescent="0.15">
      <c r="A486" s="70"/>
      <c r="B486" s="93"/>
      <c r="C486" s="70"/>
      <c r="D486" s="70"/>
      <c r="E486" s="70"/>
      <c r="F486" s="70"/>
      <c r="G486" s="70"/>
      <c r="H486" s="93"/>
      <c r="I486" s="85"/>
      <c r="J486" s="85"/>
      <c r="K486" s="131"/>
      <c r="L486" s="60"/>
      <c r="M486" s="49"/>
      <c r="Q486" s="3"/>
      <c r="R486" s="3"/>
      <c r="S486" s="3"/>
      <c r="T486" s="3"/>
      <c r="U486" s="3"/>
      <c r="V486" s="3"/>
      <c r="W486" s="3"/>
      <c r="X486" s="3"/>
      <c r="Y486" s="3"/>
      <c r="Z486" s="4"/>
      <c r="AA486"/>
      <c r="AB486"/>
    </row>
    <row r="487" spans="1:28" s="37" customFormat="1" x14ac:dyDescent="0.15">
      <c r="A487" s="70"/>
      <c r="B487" s="93"/>
      <c r="C487" s="70"/>
      <c r="D487" s="70"/>
      <c r="E487" s="70"/>
      <c r="F487" s="70"/>
      <c r="G487" s="70"/>
      <c r="H487" s="93"/>
      <c r="I487" s="85"/>
      <c r="J487" s="85"/>
      <c r="K487" s="131"/>
      <c r="L487" s="60"/>
      <c r="M487" s="49"/>
      <c r="Q487" s="3"/>
      <c r="R487" s="3"/>
      <c r="S487" s="3"/>
      <c r="T487" s="3"/>
      <c r="U487" s="3"/>
      <c r="V487" s="3"/>
      <c r="W487" s="3"/>
      <c r="X487" s="3"/>
      <c r="Y487" s="3"/>
      <c r="Z487" s="4"/>
      <c r="AA487"/>
      <c r="AB487"/>
    </row>
    <row r="488" spans="1:28" s="37" customFormat="1" x14ac:dyDescent="0.15">
      <c r="A488" s="70"/>
      <c r="B488" s="82"/>
      <c r="C488" s="70"/>
      <c r="D488" s="70"/>
      <c r="E488" s="70"/>
      <c r="F488" s="70"/>
      <c r="G488" s="70"/>
      <c r="H488" s="93"/>
      <c r="I488" s="85"/>
      <c r="J488" s="85"/>
      <c r="K488" s="131"/>
      <c r="L488" s="60"/>
      <c r="M488" s="33"/>
      <c r="Q488" s="3"/>
      <c r="R488" s="3"/>
      <c r="S488" s="3"/>
      <c r="T488" s="3"/>
      <c r="U488" s="3"/>
      <c r="V488" s="3"/>
      <c r="W488" s="3"/>
      <c r="X488" s="3"/>
      <c r="Y488" s="3"/>
      <c r="Z488" s="4"/>
      <c r="AA488"/>
      <c r="AB488"/>
    </row>
    <row r="489" spans="1:28" s="37" customFormat="1" x14ac:dyDescent="0.15">
      <c r="A489" s="70"/>
      <c r="B489" s="93"/>
      <c r="C489" s="70"/>
      <c r="D489" s="70"/>
      <c r="E489" s="70"/>
      <c r="F489" s="70"/>
      <c r="G489" s="70"/>
      <c r="H489" s="93"/>
      <c r="I489" s="85"/>
      <c r="J489" s="85"/>
      <c r="K489" s="131"/>
      <c r="L489" s="60"/>
      <c r="M489" s="49"/>
      <c r="Q489" s="3"/>
      <c r="R489" s="3"/>
      <c r="S489" s="3"/>
      <c r="T489" s="3"/>
      <c r="U489" s="3"/>
      <c r="V489" s="3"/>
      <c r="W489" s="3"/>
      <c r="X489" s="3"/>
      <c r="Y489" s="3"/>
      <c r="Z489" s="4"/>
      <c r="AA489"/>
      <c r="AB489"/>
    </row>
    <row r="490" spans="1:28" s="37" customFormat="1" x14ac:dyDescent="0.15">
      <c r="A490" s="70"/>
      <c r="B490" s="82"/>
      <c r="C490" s="70"/>
      <c r="D490" s="70"/>
      <c r="E490" s="70"/>
      <c r="F490" s="70"/>
      <c r="G490" s="70"/>
      <c r="H490" s="93"/>
      <c r="I490" s="85"/>
      <c r="J490" s="85"/>
      <c r="K490" s="131"/>
      <c r="L490" s="60"/>
      <c r="M490" s="49"/>
      <c r="Q490" s="3"/>
      <c r="R490" s="3"/>
      <c r="S490" s="3"/>
      <c r="T490" s="3"/>
      <c r="U490" s="3"/>
      <c r="V490" s="3"/>
      <c r="W490" s="3"/>
      <c r="X490" s="3"/>
      <c r="Y490" s="3"/>
      <c r="Z490" s="4"/>
      <c r="AA490"/>
      <c r="AB490"/>
    </row>
    <row r="491" spans="1:28" s="37" customFormat="1" x14ac:dyDescent="0.15">
      <c r="A491" s="70"/>
      <c r="B491" s="93"/>
      <c r="C491" s="70"/>
      <c r="D491" s="70"/>
      <c r="E491" s="70"/>
      <c r="F491" s="70"/>
      <c r="G491" s="70"/>
      <c r="H491" s="93"/>
      <c r="I491" s="85"/>
      <c r="J491" s="85"/>
      <c r="K491" s="131"/>
      <c r="L491" s="60"/>
      <c r="M491" s="49"/>
      <c r="O491" s="33"/>
      <c r="Q491" s="3"/>
      <c r="R491" s="3"/>
      <c r="S491" s="3"/>
      <c r="T491" s="3"/>
      <c r="U491" s="3"/>
      <c r="V491" s="3"/>
      <c r="W491" s="3"/>
      <c r="X491" s="3"/>
      <c r="Y491" s="3"/>
      <c r="Z491" s="4"/>
      <c r="AA491"/>
      <c r="AB491"/>
    </row>
    <row r="492" spans="1:28" s="37" customFormat="1" x14ac:dyDescent="0.15">
      <c r="A492" s="70"/>
      <c r="B492" s="82"/>
      <c r="C492" s="70"/>
      <c r="D492" s="70"/>
      <c r="E492" s="70"/>
      <c r="F492" s="70"/>
      <c r="G492" s="70"/>
      <c r="H492" s="93"/>
      <c r="I492" s="85"/>
      <c r="J492" s="85"/>
      <c r="K492" s="131"/>
      <c r="L492" s="60"/>
      <c r="M492" s="49"/>
      <c r="Q492" s="3"/>
      <c r="R492" s="3"/>
      <c r="S492" s="3"/>
      <c r="T492" s="3"/>
      <c r="U492" s="3"/>
      <c r="V492" s="3"/>
      <c r="W492" s="3"/>
      <c r="X492" s="3"/>
      <c r="Y492" s="3"/>
      <c r="Z492" s="4"/>
      <c r="AA492"/>
      <c r="AB492"/>
    </row>
    <row r="493" spans="1:28" s="37" customFormat="1" x14ac:dyDescent="0.15">
      <c r="A493" s="70"/>
      <c r="B493" s="93"/>
      <c r="C493" s="70"/>
      <c r="D493" s="70"/>
      <c r="E493" s="70"/>
      <c r="F493" s="70"/>
      <c r="G493" s="70"/>
      <c r="H493" s="93"/>
      <c r="I493" s="85"/>
      <c r="J493" s="85"/>
      <c r="K493" s="131"/>
      <c r="L493" s="63"/>
      <c r="M493" s="33"/>
      <c r="Q493" s="3"/>
      <c r="R493" s="3"/>
      <c r="S493" s="3"/>
      <c r="T493" s="3"/>
      <c r="U493" s="3"/>
      <c r="V493" s="3"/>
      <c r="W493" s="3"/>
      <c r="X493" s="3"/>
      <c r="Y493" s="3"/>
      <c r="Z493" s="4"/>
      <c r="AA493"/>
      <c r="AB493"/>
    </row>
    <row r="494" spans="1:28" s="37" customFormat="1" ht="16" x14ac:dyDescent="0.2">
      <c r="A494" s="70"/>
      <c r="B494" s="93"/>
      <c r="C494" s="70"/>
      <c r="D494" s="70"/>
      <c r="E494" s="70"/>
      <c r="F494" s="70"/>
      <c r="G494" s="70"/>
      <c r="H494" s="93"/>
      <c r="I494" s="85"/>
      <c r="J494" s="85"/>
      <c r="K494" s="131"/>
      <c r="L494" s="60"/>
      <c r="M494" s="47"/>
      <c r="Q494" s="3"/>
      <c r="R494" s="3"/>
      <c r="S494" s="3"/>
      <c r="T494" s="3"/>
      <c r="U494" s="3"/>
      <c r="V494" s="3"/>
      <c r="W494" s="3"/>
      <c r="X494" s="3"/>
      <c r="Y494" s="3"/>
      <c r="Z494" s="4"/>
      <c r="AA494"/>
      <c r="AB494"/>
    </row>
    <row r="495" spans="1:28" s="37" customFormat="1" x14ac:dyDescent="0.15">
      <c r="A495" s="70"/>
      <c r="B495" s="82"/>
      <c r="C495" s="70"/>
      <c r="D495" s="70"/>
      <c r="E495" s="70"/>
      <c r="F495" s="70"/>
      <c r="G495" s="70"/>
      <c r="H495" s="93"/>
      <c r="I495" s="85"/>
      <c r="J495" s="85"/>
      <c r="K495" s="131"/>
      <c r="L495" s="60"/>
      <c r="M495" s="49"/>
      <c r="Q495" s="3"/>
      <c r="R495" s="3"/>
      <c r="S495" s="3"/>
      <c r="T495" s="3"/>
      <c r="U495" s="3"/>
      <c r="V495" s="3"/>
      <c r="W495" s="3"/>
      <c r="X495" s="3"/>
      <c r="Y495" s="3"/>
      <c r="Z495" s="4"/>
      <c r="AA495"/>
      <c r="AB495"/>
    </row>
    <row r="496" spans="1:28" s="37" customFormat="1" x14ac:dyDescent="0.15">
      <c r="A496" s="70"/>
      <c r="B496" s="93"/>
      <c r="C496" s="70"/>
      <c r="D496" s="70"/>
      <c r="E496" s="70"/>
      <c r="F496" s="70"/>
      <c r="G496" s="70"/>
      <c r="H496" s="93"/>
      <c r="I496" s="85"/>
      <c r="J496" s="85"/>
      <c r="K496" s="131"/>
      <c r="L496" s="60"/>
      <c r="M496" s="33"/>
      <c r="Q496" s="3"/>
      <c r="R496" s="3"/>
      <c r="S496" s="3"/>
      <c r="T496" s="3"/>
      <c r="U496" s="3"/>
      <c r="V496" s="3"/>
      <c r="W496" s="3"/>
      <c r="X496" s="3"/>
      <c r="Y496" s="3"/>
      <c r="Z496" s="4"/>
      <c r="AA496"/>
      <c r="AB496"/>
    </row>
    <row r="497" spans="1:28" s="37" customFormat="1" x14ac:dyDescent="0.15">
      <c r="A497" s="70"/>
      <c r="B497" s="82"/>
      <c r="C497" s="70"/>
      <c r="D497" s="70"/>
      <c r="E497" s="70"/>
      <c r="F497" s="70"/>
      <c r="G497" s="70"/>
      <c r="H497" s="93"/>
      <c r="I497" s="85"/>
      <c r="J497" s="85"/>
      <c r="K497" s="131"/>
      <c r="L497" s="63"/>
      <c r="M497" s="49"/>
      <c r="Q497" s="3"/>
      <c r="R497" s="3"/>
      <c r="S497" s="3"/>
      <c r="T497" s="3"/>
      <c r="U497" s="3"/>
      <c r="V497" s="3"/>
      <c r="W497" s="3"/>
      <c r="X497" s="3"/>
      <c r="Y497" s="3"/>
      <c r="Z497" s="4"/>
      <c r="AA497"/>
      <c r="AB497"/>
    </row>
    <row r="498" spans="1:28" s="37" customFormat="1" ht="16" x14ac:dyDescent="0.2">
      <c r="A498" s="70"/>
      <c r="B498" s="93"/>
      <c r="C498" s="73"/>
      <c r="D498" s="73"/>
      <c r="E498" s="73"/>
      <c r="F498" s="73"/>
      <c r="G498" s="73"/>
      <c r="H498" s="108"/>
      <c r="I498" s="85"/>
      <c r="J498" s="95"/>
      <c r="K498" s="131"/>
      <c r="L498" s="60"/>
      <c r="M498" s="47"/>
      <c r="Q498" s="3"/>
      <c r="R498" s="3"/>
      <c r="S498" s="3"/>
      <c r="T498" s="3"/>
      <c r="U498" s="3"/>
      <c r="V498" s="3"/>
      <c r="W498" s="3"/>
      <c r="X498" s="3"/>
      <c r="Y498" s="3"/>
      <c r="Z498" s="4"/>
      <c r="AA498"/>
      <c r="AB498"/>
    </row>
    <row r="499" spans="1:28" s="37" customFormat="1" x14ac:dyDescent="0.15">
      <c r="A499" s="70"/>
      <c r="B499" s="93"/>
      <c r="C499" s="73"/>
      <c r="D499" s="73"/>
      <c r="E499" s="70"/>
      <c r="F499" s="73"/>
      <c r="G499" s="73"/>
      <c r="H499" s="108"/>
      <c r="I499" s="85"/>
      <c r="J499" s="85"/>
      <c r="K499" s="131"/>
      <c r="L499" s="60"/>
      <c r="M499" s="33"/>
      <c r="Q499" s="3"/>
      <c r="R499" s="3"/>
      <c r="S499" s="3"/>
      <c r="T499" s="3"/>
      <c r="U499" s="3"/>
      <c r="V499" s="3"/>
      <c r="W499" s="3"/>
      <c r="X499" s="3"/>
      <c r="Y499" s="3"/>
      <c r="Z499" s="4"/>
      <c r="AA499"/>
      <c r="AB499"/>
    </row>
    <row r="500" spans="1:28" s="37" customFormat="1" x14ac:dyDescent="0.15">
      <c r="A500" s="70"/>
      <c r="B500" s="82"/>
      <c r="C500" s="70"/>
      <c r="D500" s="70"/>
      <c r="E500" s="70"/>
      <c r="F500" s="70"/>
      <c r="G500" s="70"/>
      <c r="H500" s="93"/>
      <c r="I500" s="85"/>
      <c r="J500" s="85"/>
      <c r="K500" s="131"/>
      <c r="L500" s="60"/>
      <c r="M500" s="33"/>
      <c r="Q500" s="3"/>
      <c r="R500" s="3"/>
      <c r="S500" s="3"/>
      <c r="T500" s="3"/>
      <c r="U500" s="3"/>
      <c r="V500" s="3"/>
      <c r="W500" s="3"/>
      <c r="X500" s="3"/>
      <c r="Y500" s="3"/>
      <c r="Z500" s="4"/>
      <c r="AA500"/>
      <c r="AB500"/>
    </row>
    <row r="501" spans="1:28" s="37" customFormat="1" x14ac:dyDescent="0.15">
      <c r="A501" s="70"/>
      <c r="B501" s="82"/>
      <c r="C501" s="70"/>
      <c r="D501" s="70"/>
      <c r="E501" s="70"/>
      <c r="F501" s="70"/>
      <c r="G501" s="70"/>
      <c r="H501" s="93"/>
      <c r="I501" s="85"/>
      <c r="J501" s="85"/>
      <c r="K501" s="131"/>
      <c r="L501" s="60"/>
      <c r="M501" s="33"/>
      <c r="Q501" s="3"/>
      <c r="R501" s="3"/>
      <c r="S501" s="3"/>
      <c r="T501" s="3"/>
      <c r="U501" s="3"/>
      <c r="V501" s="3"/>
      <c r="W501" s="3"/>
      <c r="X501" s="3"/>
      <c r="Y501" s="3"/>
      <c r="Z501" s="4"/>
      <c r="AA501"/>
      <c r="AB501"/>
    </row>
    <row r="502" spans="1:28" s="37" customFormat="1" x14ac:dyDescent="0.15">
      <c r="A502" s="70"/>
      <c r="B502" s="93"/>
      <c r="C502" s="70"/>
      <c r="D502" s="70"/>
      <c r="E502" s="70"/>
      <c r="F502" s="70"/>
      <c r="G502" s="70"/>
      <c r="H502" s="93"/>
      <c r="I502" s="85"/>
      <c r="J502" s="85"/>
      <c r="K502" s="131"/>
      <c r="L502" s="60"/>
      <c r="M502" s="33"/>
      <c r="Q502" s="3"/>
      <c r="R502" s="3"/>
      <c r="S502" s="3"/>
      <c r="T502" s="3"/>
      <c r="U502" s="3"/>
      <c r="V502" s="3"/>
      <c r="W502" s="3"/>
      <c r="X502" s="3"/>
      <c r="Y502" s="3"/>
      <c r="Z502" s="4"/>
      <c r="AA502"/>
      <c r="AB502"/>
    </row>
    <row r="503" spans="1:28" s="37" customFormat="1" ht="16" x14ac:dyDescent="0.2">
      <c r="A503" s="166"/>
      <c r="B503" s="82"/>
      <c r="C503" s="70"/>
      <c r="D503" s="70"/>
      <c r="E503" s="70"/>
      <c r="F503" s="70"/>
      <c r="G503" s="70"/>
      <c r="H503" s="93"/>
      <c r="I503" s="85"/>
      <c r="J503" s="85"/>
      <c r="K503" s="131"/>
      <c r="L503" s="60"/>
      <c r="M503" s="47"/>
      <c r="Q503" s="3"/>
      <c r="R503" s="3"/>
      <c r="S503" s="3"/>
      <c r="T503" s="3"/>
      <c r="U503" s="3"/>
      <c r="V503" s="3"/>
      <c r="W503" s="3"/>
      <c r="X503" s="3"/>
      <c r="Y503" s="3"/>
      <c r="Z503" s="4"/>
      <c r="AA503"/>
      <c r="AB503"/>
    </row>
    <row r="504" spans="1:28" s="37" customFormat="1" x14ac:dyDescent="0.15">
      <c r="A504" s="166"/>
      <c r="B504" s="82"/>
      <c r="C504" s="70"/>
      <c r="D504" s="70"/>
      <c r="E504" s="70"/>
      <c r="F504" s="70"/>
      <c r="G504" s="70"/>
      <c r="H504" s="93"/>
      <c r="I504" s="85"/>
      <c r="J504" s="85"/>
      <c r="K504" s="131"/>
      <c r="L504" s="60"/>
      <c r="M504" s="33"/>
      <c r="Q504" s="3"/>
      <c r="R504" s="3"/>
      <c r="S504" s="3"/>
      <c r="T504" s="3"/>
      <c r="U504" s="3"/>
      <c r="V504" s="3"/>
      <c r="W504" s="3"/>
      <c r="X504" s="3"/>
      <c r="Y504" s="3"/>
      <c r="Z504" s="4"/>
      <c r="AA504"/>
      <c r="AB504"/>
    </row>
    <row r="505" spans="1:28" s="37" customFormat="1" ht="16" x14ac:dyDescent="0.2">
      <c r="A505" s="166"/>
      <c r="B505" s="82"/>
      <c r="C505" s="70"/>
      <c r="D505" s="70"/>
      <c r="E505" s="70"/>
      <c r="F505" s="70"/>
      <c r="G505" s="70"/>
      <c r="H505" s="93"/>
      <c r="I505" s="85"/>
      <c r="J505" s="85"/>
      <c r="K505" s="131"/>
      <c r="L505" s="60"/>
      <c r="M505" s="33"/>
      <c r="N505" s="48"/>
      <c r="Q505" s="3"/>
      <c r="R505" s="3"/>
      <c r="S505" s="3"/>
      <c r="T505" s="3"/>
      <c r="U505" s="3"/>
      <c r="V505" s="3"/>
      <c r="W505" s="3"/>
      <c r="X505" s="3"/>
      <c r="Y505" s="3"/>
      <c r="Z505" s="4"/>
      <c r="AA505"/>
      <c r="AB505"/>
    </row>
    <row r="506" spans="1:28" s="37" customFormat="1" x14ac:dyDescent="0.15">
      <c r="A506" s="166"/>
      <c r="B506" s="82"/>
      <c r="C506" s="70"/>
      <c r="D506" s="70"/>
      <c r="E506" s="70"/>
      <c r="F506" s="70"/>
      <c r="G506" s="70"/>
      <c r="H506" s="93"/>
      <c r="I506" s="85"/>
      <c r="J506" s="85"/>
      <c r="K506" s="131"/>
      <c r="L506" s="60"/>
      <c r="M506" s="33"/>
      <c r="Q506" s="3"/>
      <c r="R506" s="3"/>
      <c r="S506" s="3"/>
      <c r="T506" s="3"/>
      <c r="U506" s="3"/>
      <c r="V506" s="3"/>
      <c r="W506" s="3"/>
      <c r="X506" s="3"/>
      <c r="Y506" s="3"/>
      <c r="Z506" s="4"/>
      <c r="AA506"/>
      <c r="AB506"/>
    </row>
    <row r="507" spans="1:28" s="37" customFormat="1" x14ac:dyDescent="0.15">
      <c r="A507" s="166"/>
      <c r="B507" s="82"/>
      <c r="C507" s="70"/>
      <c r="D507" s="70"/>
      <c r="E507" s="70"/>
      <c r="F507" s="70"/>
      <c r="G507" s="70"/>
      <c r="H507" s="93"/>
      <c r="I507" s="85"/>
      <c r="J507" s="85"/>
      <c r="K507" s="131"/>
      <c r="L507" s="60"/>
      <c r="M507" s="33"/>
      <c r="Q507" s="3"/>
      <c r="R507" s="3"/>
      <c r="S507" s="3"/>
      <c r="T507" s="3"/>
      <c r="U507" s="3"/>
      <c r="V507" s="3"/>
      <c r="W507" s="3"/>
      <c r="X507" s="3"/>
      <c r="Y507" s="3"/>
      <c r="Z507" s="4"/>
      <c r="AA507"/>
      <c r="AB507"/>
    </row>
    <row r="508" spans="1:28" s="37" customFormat="1" x14ac:dyDescent="0.15">
      <c r="A508" s="166"/>
      <c r="B508" s="82"/>
      <c r="C508" s="70"/>
      <c r="D508" s="70"/>
      <c r="E508" s="70"/>
      <c r="F508" s="70"/>
      <c r="G508" s="70"/>
      <c r="H508" s="93"/>
      <c r="I508" s="85"/>
      <c r="J508" s="85"/>
      <c r="K508" s="131"/>
      <c r="L508" s="60"/>
      <c r="M508" s="33"/>
      <c r="Q508" s="3"/>
      <c r="R508" s="3"/>
      <c r="S508" s="3"/>
      <c r="T508" s="3"/>
      <c r="U508" s="3"/>
      <c r="V508" s="3"/>
      <c r="W508" s="3"/>
      <c r="X508" s="3"/>
      <c r="Y508" s="3"/>
      <c r="Z508" s="4"/>
      <c r="AA508"/>
      <c r="AB508"/>
    </row>
    <row r="509" spans="1:28" s="37" customFormat="1" x14ac:dyDescent="0.15">
      <c r="A509" s="166"/>
      <c r="B509" s="82"/>
      <c r="C509" s="70"/>
      <c r="D509" s="70"/>
      <c r="E509" s="70"/>
      <c r="F509" s="70"/>
      <c r="G509" s="70"/>
      <c r="H509" s="93"/>
      <c r="I509" s="85"/>
      <c r="J509" s="85"/>
      <c r="K509" s="131"/>
      <c r="L509" s="60"/>
      <c r="M509" s="33"/>
      <c r="Q509" s="3"/>
      <c r="R509" s="3"/>
      <c r="S509" s="3"/>
      <c r="T509" s="3"/>
      <c r="U509" s="3"/>
      <c r="V509" s="3"/>
      <c r="W509" s="3"/>
      <c r="X509" s="3"/>
      <c r="Y509" s="3"/>
      <c r="Z509" s="4"/>
      <c r="AA509"/>
      <c r="AB509"/>
    </row>
    <row r="510" spans="1:28" s="3" customFormat="1" x14ac:dyDescent="0.15">
      <c r="A510" s="166"/>
      <c r="B510" s="93"/>
      <c r="C510" s="70"/>
      <c r="D510" s="70"/>
      <c r="E510" s="70"/>
      <c r="F510" s="70"/>
      <c r="G510" s="70"/>
      <c r="H510" s="93"/>
      <c r="I510" s="85"/>
      <c r="J510" s="85"/>
      <c r="K510" s="131"/>
      <c r="L510" s="60"/>
      <c r="M510" s="33"/>
      <c r="N510" s="37"/>
      <c r="O510" s="37"/>
      <c r="P510" s="37"/>
      <c r="Z510" s="4"/>
      <c r="AA510"/>
      <c r="AB510"/>
    </row>
    <row r="511" spans="1:28" s="3" customFormat="1" ht="16" x14ac:dyDescent="0.2">
      <c r="A511" s="166"/>
      <c r="B511" s="82"/>
      <c r="C511" s="70"/>
      <c r="D511" s="70"/>
      <c r="E511" s="70"/>
      <c r="F511" s="70"/>
      <c r="G511" s="70"/>
      <c r="H511" s="93"/>
      <c r="I511" s="85"/>
      <c r="J511" s="85"/>
      <c r="K511" s="131"/>
      <c r="L511" s="60"/>
      <c r="M511" s="47"/>
      <c r="N511" s="37"/>
      <c r="O511" s="37"/>
      <c r="P511" s="37"/>
      <c r="Z511" s="4"/>
      <c r="AA511"/>
      <c r="AB511"/>
    </row>
    <row r="512" spans="1:28" s="3" customFormat="1" ht="16" x14ac:dyDescent="0.2">
      <c r="A512" s="166"/>
      <c r="B512" s="82"/>
      <c r="C512" s="70"/>
      <c r="D512" s="70"/>
      <c r="E512" s="70"/>
      <c r="F512" s="70"/>
      <c r="G512" s="70"/>
      <c r="H512" s="93"/>
      <c r="I512" s="85"/>
      <c r="J512" s="85"/>
      <c r="K512" s="131"/>
      <c r="L512" s="60"/>
      <c r="M512" s="47"/>
      <c r="N512" s="37"/>
      <c r="O512" s="37"/>
      <c r="P512" s="37"/>
      <c r="Z512" s="4"/>
      <c r="AA512"/>
      <c r="AB512"/>
    </row>
    <row r="513" spans="1:28" s="3" customFormat="1" x14ac:dyDescent="0.15">
      <c r="A513" s="166"/>
      <c r="B513" s="93"/>
      <c r="C513" s="70"/>
      <c r="D513" s="70"/>
      <c r="E513" s="70"/>
      <c r="F513" s="70"/>
      <c r="G513" s="70"/>
      <c r="H513" s="93"/>
      <c r="I513" s="85"/>
      <c r="J513" s="85"/>
      <c r="K513" s="131"/>
      <c r="L513" s="60"/>
      <c r="M513" s="49"/>
      <c r="N513" s="37"/>
      <c r="O513" s="37"/>
      <c r="P513" s="37"/>
      <c r="Z513" s="4"/>
      <c r="AA513"/>
      <c r="AB513"/>
    </row>
    <row r="514" spans="1:28" s="3" customFormat="1" x14ac:dyDescent="0.15">
      <c r="A514" s="166"/>
      <c r="B514" s="93"/>
      <c r="C514" s="70"/>
      <c r="D514" s="70"/>
      <c r="E514" s="70"/>
      <c r="F514" s="70"/>
      <c r="G514" s="70"/>
      <c r="H514" s="93"/>
      <c r="I514" s="85"/>
      <c r="J514" s="85"/>
      <c r="K514" s="141"/>
      <c r="L514" s="60"/>
      <c r="M514" s="37"/>
      <c r="N514" s="37"/>
      <c r="O514" s="37"/>
      <c r="P514" s="37"/>
      <c r="Z514" s="4"/>
      <c r="AA514"/>
      <c r="AB514"/>
    </row>
    <row r="515" spans="1:28" s="3" customFormat="1" x14ac:dyDescent="0.15">
      <c r="A515" s="166"/>
      <c r="B515" s="93"/>
      <c r="C515" s="70"/>
      <c r="D515" s="70"/>
      <c r="E515" s="70"/>
      <c r="F515" s="70"/>
      <c r="G515" s="70"/>
      <c r="H515" s="93"/>
      <c r="I515" s="85"/>
      <c r="J515" s="85"/>
      <c r="K515" s="141"/>
      <c r="L515" s="60"/>
      <c r="M515" s="37"/>
      <c r="N515" s="37"/>
      <c r="O515" s="37"/>
      <c r="P515" s="37"/>
      <c r="Z515" s="4"/>
      <c r="AA515"/>
      <c r="AB515"/>
    </row>
    <row r="516" spans="1:28" s="3" customFormat="1" x14ac:dyDescent="0.15">
      <c r="A516" s="166"/>
      <c r="B516" s="93"/>
      <c r="C516" s="70"/>
      <c r="D516" s="70"/>
      <c r="E516" s="70"/>
      <c r="F516" s="70"/>
      <c r="G516" s="70"/>
      <c r="H516" s="93"/>
      <c r="I516" s="85"/>
      <c r="J516" s="85"/>
      <c r="K516" s="141"/>
      <c r="L516" s="60"/>
      <c r="M516" s="37"/>
      <c r="N516" s="37"/>
      <c r="O516" s="37"/>
      <c r="P516" s="37"/>
      <c r="Z516" s="4"/>
      <c r="AA516"/>
      <c r="AB516"/>
    </row>
    <row r="517" spans="1:28" s="3" customFormat="1" x14ac:dyDescent="0.15">
      <c r="A517" s="166"/>
      <c r="B517" s="93"/>
      <c r="C517" s="70"/>
      <c r="D517" s="70"/>
      <c r="E517" s="70"/>
      <c r="F517" s="70"/>
      <c r="G517" s="70"/>
      <c r="H517" s="93"/>
      <c r="I517" s="85"/>
      <c r="J517" s="85"/>
      <c r="K517" s="131"/>
      <c r="L517" s="60"/>
      <c r="M517" s="33"/>
      <c r="N517" s="37"/>
      <c r="O517" s="37"/>
      <c r="P517" s="37"/>
      <c r="Z517" s="4"/>
      <c r="AA517"/>
      <c r="AB517"/>
    </row>
    <row r="518" spans="1:28" s="3" customFormat="1" x14ac:dyDescent="0.15">
      <c r="A518" s="70"/>
      <c r="B518" s="93"/>
      <c r="C518" s="70"/>
      <c r="D518" s="70"/>
      <c r="E518" s="70"/>
      <c r="F518" s="70"/>
      <c r="G518" s="70"/>
      <c r="H518" s="93"/>
      <c r="I518" s="85"/>
      <c r="J518" s="85"/>
      <c r="K518" s="131"/>
      <c r="L518" s="60"/>
      <c r="M518" s="33"/>
      <c r="N518" s="37"/>
      <c r="O518" s="37"/>
      <c r="P518" s="37"/>
      <c r="Z518" s="4"/>
      <c r="AA518"/>
      <c r="AB518"/>
    </row>
    <row r="519" spans="1:28" s="3" customFormat="1" ht="16" x14ac:dyDescent="0.2">
      <c r="A519" s="70"/>
      <c r="B519" s="93"/>
      <c r="C519" s="70"/>
      <c r="D519" s="70"/>
      <c r="E519" s="70"/>
      <c r="F519" s="70"/>
      <c r="G519" s="70"/>
      <c r="H519" s="93"/>
      <c r="I519" s="85"/>
      <c r="J519" s="85"/>
      <c r="K519" s="131"/>
      <c r="L519" s="60"/>
      <c r="M519" s="33"/>
      <c r="N519" s="48"/>
      <c r="O519" s="37"/>
      <c r="P519" s="37"/>
      <c r="Z519" s="4"/>
      <c r="AA519"/>
      <c r="AB519"/>
    </row>
    <row r="520" spans="1:28" s="3" customFormat="1" x14ac:dyDescent="0.15">
      <c r="A520" s="70"/>
      <c r="B520" s="93"/>
      <c r="C520" s="70"/>
      <c r="D520" s="70"/>
      <c r="E520" s="70"/>
      <c r="F520" s="70"/>
      <c r="G520" s="70"/>
      <c r="H520" s="93"/>
      <c r="I520" s="85"/>
      <c r="J520" s="85"/>
      <c r="K520" s="131"/>
      <c r="L520" s="60"/>
      <c r="M520" s="33"/>
      <c r="N520" s="37"/>
      <c r="O520" s="37"/>
      <c r="P520" s="37"/>
      <c r="Z520" s="4"/>
      <c r="AA520"/>
      <c r="AB520"/>
    </row>
    <row r="521" spans="1:28" s="3" customFormat="1" ht="16" x14ac:dyDescent="0.2">
      <c r="A521" s="70"/>
      <c r="B521" s="93"/>
      <c r="C521" s="70"/>
      <c r="D521" s="70"/>
      <c r="E521" s="70"/>
      <c r="F521" s="70"/>
      <c r="G521" s="70"/>
      <c r="H521" s="93"/>
      <c r="I521" s="85"/>
      <c r="J521" s="85"/>
      <c r="K521" s="131"/>
      <c r="L521" s="60"/>
      <c r="M521" s="47"/>
      <c r="N521" s="37"/>
      <c r="O521" s="37"/>
      <c r="P521" s="37"/>
      <c r="Z521" s="4"/>
      <c r="AA521"/>
      <c r="AB521"/>
    </row>
    <row r="522" spans="1:28" s="3" customFormat="1" x14ac:dyDescent="0.15">
      <c r="A522" s="70"/>
      <c r="B522" s="93"/>
      <c r="C522" s="70"/>
      <c r="D522" s="70"/>
      <c r="E522" s="70"/>
      <c r="F522" s="70"/>
      <c r="G522" s="70"/>
      <c r="H522" s="93"/>
      <c r="I522" s="85"/>
      <c r="J522" s="85"/>
      <c r="K522" s="131"/>
      <c r="L522" s="60"/>
      <c r="M522" s="33"/>
      <c r="N522" s="37"/>
      <c r="O522" s="37"/>
      <c r="P522" s="33"/>
      <c r="Z522" s="4"/>
      <c r="AA522"/>
      <c r="AB522"/>
    </row>
    <row r="523" spans="1:28" s="3" customFormat="1" x14ac:dyDescent="0.15">
      <c r="A523" s="70"/>
      <c r="B523" s="93"/>
      <c r="C523" s="70"/>
      <c r="D523" s="70"/>
      <c r="E523" s="70"/>
      <c r="F523" s="70"/>
      <c r="G523" s="70"/>
      <c r="H523" s="93"/>
      <c r="I523" s="85"/>
      <c r="J523" s="85"/>
      <c r="K523" s="131"/>
      <c r="L523" s="60"/>
      <c r="M523" s="33"/>
      <c r="N523" s="37"/>
      <c r="O523" s="37"/>
      <c r="P523" s="37"/>
      <c r="Z523" s="4"/>
      <c r="AA523"/>
      <c r="AB523"/>
    </row>
    <row r="524" spans="1:28" s="3" customFormat="1" x14ac:dyDescent="0.15">
      <c r="A524" s="70"/>
      <c r="B524" s="93"/>
      <c r="C524" s="70"/>
      <c r="D524" s="70"/>
      <c r="E524" s="73"/>
      <c r="F524" s="70"/>
      <c r="G524" s="70"/>
      <c r="H524" s="93"/>
      <c r="I524" s="85"/>
      <c r="J524" s="85"/>
      <c r="K524" s="131"/>
      <c r="L524" s="60"/>
      <c r="M524" s="33"/>
      <c r="N524" s="37"/>
      <c r="O524" s="37"/>
      <c r="P524" s="37"/>
      <c r="Z524" s="4"/>
      <c r="AA524"/>
      <c r="AB524"/>
    </row>
    <row r="525" spans="1:28" s="3" customFormat="1" x14ac:dyDescent="0.15">
      <c r="A525" s="70"/>
      <c r="B525" s="93"/>
      <c r="C525" s="70"/>
      <c r="D525" s="70"/>
      <c r="E525" s="70"/>
      <c r="F525" s="70"/>
      <c r="G525" s="70"/>
      <c r="H525" s="93"/>
      <c r="I525" s="85"/>
      <c r="J525" s="85"/>
      <c r="K525" s="131"/>
      <c r="L525" s="60"/>
      <c r="M525" s="33"/>
      <c r="N525" s="37"/>
      <c r="O525" s="37"/>
      <c r="P525" s="37"/>
      <c r="Z525" s="4"/>
      <c r="AA525"/>
      <c r="AB525"/>
    </row>
    <row r="526" spans="1:28" s="37" customFormat="1" x14ac:dyDescent="0.15">
      <c r="A526" s="70"/>
      <c r="B526" s="93"/>
      <c r="C526" s="70"/>
      <c r="D526" s="70"/>
      <c r="E526" s="70"/>
      <c r="F526" s="70"/>
      <c r="G526" s="70"/>
      <c r="H526" s="93"/>
      <c r="I526" s="85"/>
      <c r="J526" s="85"/>
      <c r="K526" s="131"/>
      <c r="L526" s="60"/>
      <c r="M526" s="49"/>
      <c r="Q526" s="3"/>
      <c r="R526" s="3"/>
      <c r="S526" s="3"/>
      <c r="T526" s="3"/>
      <c r="U526" s="3"/>
      <c r="V526" s="3"/>
      <c r="W526" s="3"/>
      <c r="X526" s="3"/>
      <c r="Y526" s="3"/>
      <c r="Z526" s="4"/>
      <c r="AA526"/>
      <c r="AB526"/>
    </row>
    <row r="527" spans="1:28" s="37" customFormat="1" x14ac:dyDescent="0.15">
      <c r="A527" s="70"/>
      <c r="B527" s="93"/>
      <c r="C527" s="70"/>
      <c r="D527" s="70"/>
      <c r="E527" s="70"/>
      <c r="F527" s="70"/>
      <c r="G527" s="70"/>
      <c r="H527" s="93"/>
      <c r="I527" s="85"/>
      <c r="J527" s="85"/>
      <c r="K527" s="141"/>
      <c r="L527" s="60"/>
      <c r="M527" s="35"/>
      <c r="Q527" s="3"/>
      <c r="R527" s="3"/>
      <c r="S527" s="3"/>
      <c r="T527" s="3"/>
      <c r="U527" s="3"/>
      <c r="V527" s="3"/>
      <c r="W527" s="3"/>
      <c r="X527" s="3"/>
      <c r="Y527" s="3"/>
      <c r="Z527" s="4"/>
      <c r="AA527"/>
      <c r="AB527"/>
    </row>
    <row r="528" spans="1:28" s="37" customFormat="1" x14ac:dyDescent="0.15">
      <c r="A528" s="70"/>
      <c r="B528" s="82"/>
      <c r="C528" s="70"/>
      <c r="D528" s="70"/>
      <c r="E528" s="70"/>
      <c r="F528" s="70"/>
      <c r="G528" s="70"/>
      <c r="H528" s="93"/>
      <c r="I528" s="85"/>
      <c r="J528" s="85"/>
      <c r="K528" s="142"/>
      <c r="L528" s="60"/>
      <c r="Q528" s="3"/>
      <c r="R528" s="3"/>
      <c r="S528" s="3"/>
      <c r="T528" s="3"/>
      <c r="U528" s="3"/>
      <c r="V528" s="3"/>
      <c r="W528" s="3"/>
      <c r="X528" s="3"/>
      <c r="Y528" s="3"/>
      <c r="Z528" s="4"/>
      <c r="AA528"/>
      <c r="AB528"/>
    </row>
    <row r="529" spans="1:28" s="37" customFormat="1" ht="16" x14ac:dyDescent="0.2">
      <c r="A529" s="70"/>
      <c r="B529" s="93"/>
      <c r="C529" s="70"/>
      <c r="D529" s="70"/>
      <c r="E529" s="70"/>
      <c r="F529" s="70"/>
      <c r="G529" s="70"/>
      <c r="H529" s="93"/>
      <c r="I529" s="85"/>
      <c r="J529" s="85"/>
      <c r="K529" s="131"/>
      <c r="L529" s="60"/>
      <c r="M529" s="47"/>
      <c r="Q529" s="3"/>
      <c r="R529" s="3"/>
      <c r="S529" s="3"/>
      <c r="T529" s="3"/>
      <c r="U529" s="3"/>
      <c r="V529" s="3"/>
      <c r="W529" s="3"/>
      <c r="X529" s="3"/>
      <c r="Y529" s="3"/>
      <c r="Z529" s="4"/>
      <c r="AA529"/>
      <c r="AB529"/>
    </row>
    <row r="530" spans="1:28" s="37" customFormat="1" x14ac:dyDescent="0.15">
      <c r="A530" s="70"/>
      <c r="B530" s="93"/>
      <c r="C530" s="70"/>
      <c r="D530" s="70"/>
      <c r="E530" s="70"/>
      <c r="F530" s="70"/>
      <c r="G530" s="70"/>
      <c r="H530" s="93"/>
      <c r="I530" s="85"/>
      <c r="J530" s="85"/>
      <c r="K530" s="131"/>
      <c r="L530" s="60"/>
      <c r="M530" s="33"/>
      <c r="Q530" s="3"/>
      <c r="R530" s="3"/>
      <c r="S530" s="3"/>
      <c r="T530" s="3"/>
      <c r="U530" s="3"/>
      <c r="V530" s="3"/>
      <c r="W530" s="3"/>
      <c r="X530" s="3"/>
      <c r="Y530" s="3"/>
      <c r="Z530" s="4"/>
      <c r="AA530"/>
      <c r="AB530"/>
    </row>
    <row r="531" spans="1:28" s="37" customFormat="1" x14ac:dyDescent="0.15">
      <c r="A531" s="70"/>
      <c r="B531" s="82"/>
      <c r="C531" s="70"/>
      <c r="D531" s="70"/>
      <c r="E531" s="70"/>
      <c r="F531" s="70"/>
      <c r="G531" s="70"/>
      <c r="H531" s="93"/>
      <c r="I531" s="85"/>
      <c r="J531" s="85"/>
      <c r="K531" s="131"/>
      <c r="L531" s="60"/>
      <c r="M531" s="33"/>
      <c r="Q531" s="3"/>
      <c r="R531" s="3"/>
      <c r="S531" s="3"/>
      <c r="T531" s="3"/>
      <c r="U531" s="3"/>
      <c r="V531" s="3"/>
      <c r="W531" s="3"/>
      <c r="X531" s="3"/>
      <c r="Y531" s="3"/>
      <c r="Z531" s="4"/>
      <c r="AA531"/>
      <c r="AB531"/>
    </row>
    <row r="532" spans="1:28" s="37" customFormat="1" x14ac:dyDescent="0.15">
      <c r="A532" s="83"/>
      <c r="B532" s="82"/>
      <c r="C532" s="83"/>
      <c r="D532" s="83"/>
      <c r="E532" s="83"/>
      <c r="F532" s="83"/>
      <c r="G532" s="83"/>
      <c r="H532" s="82"/>
      <c r="I532" s="85"/>
      <c r="J532" s="84"/>
      <c r="K532" s="131"/>
      <c r="L532" s="69"/>
      <c r="M532" s="31"/>
      <c r="Q532" s="3"/>
      <c r="R532" s="3"/>
      <c r="S532" s="3"/>
      <c r="T532" s="3"/>
      <c r="U532" s="3"/>
      <c r="V532" s="3"/>
      <c r="W532" s="3"/>
      <c r="X532" s="3"/>
      <c r="Y532" s="3"/>
      <c r="Z532" s="4"/>
      <c r="AA532"/>
      <c r="AB532"/>
    </row>
    <row r="533" spans="1:28" s="37" customFormat="1" x14ac:dyDescent="0.15">
      <c r="A533" s="70"/>
      <c r="B533" s="93"/>
      <c r="C533" s="70"/>
      <c r="D533" s="70"/>
      <c r="E533" s="70"/>
      <c r="F533" s="70"/>
      <c r="G533" s="70"/>
      <c r="H533" s="93"/>
      <c r="I533" s="85"/>
      <c r="J533" s="85"/>
      <c r="K533" s="131"/>
      <c r="L533" s="70"/>
      <c r="M533" s="33"/>
      <c r="Q533" s="3"/>
      <c r="R533" s="3"/>
      <c r="S533" s="3"/>
      <c r="T533" s="3"/>
      <c r="U533" s="3"/>
      <c r="V533" s="3"/>
      <c r="W533" s="3"/>
      <c r="X533" s="3"/>
      <c r="Y533" s="3"/>
      <c r="Z533" s="4"/>
      <c r="AA533"/>
      <c r="AB533"/>
    </row>
    <row r="534" spans="1:28" s="37" customFormat="1" x14ac:dyDescent="0.15">
      <c r="A534" s="70"/>
      <c r="B534" s="82"/>
      <c r="C534" s="70"/>
      <c r="D534" s="70"/>
      <c r="E534" s="70"/>
      <c r="F534" s="70"/>
      <c r="G534" s="70"/>
      <c r="H534" s="93"/>
      <c r="I534" s="85"/>
      <c r="J534" s="85"/>
      <c r="K534" s="131"/>
      <c r="L534" s="60"/>
      <c r="M534" s="33"/>
      <c r="Q534" s="3"/>
      <c r="R534" s="3"/>
      <c r="S534" s="3"/>
      <c r="T534" s="3"/>
      <c r="U534" s="3"/>
      <c r="V534" s="3"/>
      <c r="W534" s="3"/>
      <c r="X534" s="3"/>
      <c r="Y534" s="3"/>
      <c r="Z534" s="4"/>
      <c r="AA534"/>
      <c r="AB534"/>
    </row>
    <row r="535" spans="1:28" s="37" customFormat="1" x14ac:dyDescent="0.15">
      <c r="A535" s="70"/>
      <c r="B535" s="93"/>
      <c r="C535" s="70"/>
      <c r="D535" s="70"/>
      <c r="E535" s="70"/>
      <c r="F535" s="70"/>
      <c r="G535" s="70"/>
      <c r="H535" s="93"/>
      <c r="I535" s="85"/>
      <c r="J535" s="85"/>
      <c r="K535" s="131"/>
      <c r="L535" s="60"/>
      <c r="M535" s="33"/>
      <c r="Q535" s="3"/>
      <c r="R535" s="3"/>
      <c r="S535" s="3"/>
      <c r="T535" s="3"/>
      <c r="U535" s="3"/>
      <c r="V535" s="3"/>
      <c r="W535" s="3"/>
      <c r="X535" s="3"/>
      <c r="Y535" s="3"/>
      <c r="Z535" s="4"/>
      <c r="AA535"/>
      <c r="AB535"/>
    </row>
    <row r="536" spans="1:28" s="37" customFormat="1" x14ac:dyDescent="0.15">
      <c r="A536" s="70"/>
      <c r="B536" s="82"/>
      <c r="C536" s="70"/>
      <c r="D536" s="70"/>
      <c r="E536" s="70"/>
      <c r="F536" s="70"/>
      <c r="G536" s="70"/>
      <c r="H536" s="93"/>
      <c r="I536" s="85"/>
      <c r="J536" s="85"/>
      <c r="K536" s="131"/>
      <c r="L536" s="60"/>
      <c r="M536" s="33"/>
      <c r="Q536" s="3"/>
      <c r="R536" s="3"/>
      <c r="S536" s="3"/>
      <c r="T536" s="3"/>
      <c r="U536" s="3"/>
      <c r="V536" s="3"/>
      <c r="W536" s="3"/>
      <c r="X536" s="3"/>
      <c r="Y536" s="3"/>
      <c r="Z536" s="4"/>
      <c r="AA536"/>
      <c r="AB536"/>
    </row>
    <row r="537" spans="1:28" s="37" customFormat="1" x14ac:dyDescent="0.15">
      <c r="A537" s="166"/>
      <c r="B537" s="93"/>
      <c r="C537" s="70"/>
      <c r="D537" s="70"/>
      <c r="E537" s="70"/>
      <c r="F537" s="70"/>
      <c r="G537" s="70"/>
      <c r="H537" s="93"/>
      <c r="I537" s="85"/>
      <c r="J537" s="85"/>
      <c r="K537" s="131"/>
      <c r="L537" s="60"/>
      <c r="M537" s="33"/>
      <c r="Q537" s="3"/>
      <c r="R537" s="3"/>
      <c r="S537" s="3"/>
      <c r="T537" s="3"/>
      <c r="U537" s="3"/>
      <c r="V537" s="3"/>
      <c r="W537" s="3"/>
      <c r="X537" s="3"/>
      <c r="Y537" s="3"/>
      <c r="Z537" s="4"/>
      <c r="AA537"/>
      <c r="AB537"/>
    </row>
    <row r="538" spans="1:28" s="37" customFormat="1" ht="16" x14ac:dyDescent="0.2">
      <c r="A538" s="166"/>
      <c r="B538" s="93"/>
      <c r="C538" s="73"/>
      <c r="D538" s="73"/>
      <c r="E538" s="70"/>
      <c r="F538" s="73"/>
      <c r="G538" s="73"/>
      <c r="H538" s="108"/>
      <c r="I538" s="85"/>
      <c r="J538" s="85"/>
      <c r="K538" s="131"/>
      <c r="L538" s="70"/>
      <c r="M538" s="47"/>
      <c r="Q538" s="3"/>
      <c r="R538" s="3"/>
      <c r="S538" s="3"/>
      <c r="T538" s="3"/>
      <c r="U538" s="3"/>
      <c r="V538" s="3"/>
      <c r="W538" s="3"/>
      <c r="X538" s="3"/>
      <c r="Y538" s="3"/>
      <c r="Z538" s="4"/>
      <c r="AA538"/>
      <c r="AB538"/>
    </row>
    <row r="539" spans="1:28" s="37" customFormat="1" x14ac:dyDescent="0.15">
      <c r="A539" s="166"/>
      <c r="B539" s="82"/>
      <c r="C539" s="70"/>
      <c r="D539" s="70"/>
      <c r="E539" s="70"/>
      <c r="F539" s="70"/>
      <c r="G539" s="70"/>
      <c r="H539" s="93"/>
      <c r="I539" s="85"/>
      <c r="J539" s="85"/>
      <c r="K539" s="131"/>
      <c r="L539" s="60"/>
      <c r="M539" s="33"/>
      <c r="Q539" s="3"/>
      <c r="R539" s="3"/>
      <c r="S539" s="3"/>
      <c r="T539" s="3"/>
      <c r="U539" s="3"/>
      <c r="V539" s="3"/>
      <c r="W539" s="3"/>
      <c r="X539" s="3"/>
      <c r="Y539" s="3"/>
      <c r="Z539" s="4"/>
      <c r="AA539"/>
      <c r="AB539"/>
    </row>
    <row r="540" spans="1:28" s="37" customFormat="1" x14ac:dyDescent="0.15">
      <c r="A540" s="166"/>
      <c r="B540" s="82"/>
      <c r="C540" s="70"/>
      <c r="D540" s="70"/>
      <c r="E540" s="73"/>
      <c r="F540" s="70"/>
      <c r="G540" s="70"/>
      <c r="H540" s="93"/>
      <c r="I540" s="85"/>
      <c r="J540" s="85"/>
      <c r="K540" s="131"/>
      <c r="L540" s="60"/>
      <c r="M540" s="33"/>
      <c r="Q540" s="3"/>
      <c r="R540" s="3"/>
      <c r="S540" s="3"/>
      <c r="T540" s="3"/>
      <c r="U540" s="3"/>
      <c r="V540" s="3"/>
      <c r="W540" s="3"/>
      <c r="X540" s="3"/>
      <c r="Y540" s="3"/>
      <c r="Z540" s="4"/>
      <c r="AA540"/>
      <c r="AB540"/>
    </row>
    <row r="541" spans="1:28" s="37" customFormat="1" x14ac:dyDescent="0.15">
      <c r="A541" s="166"/>
      <c r="B541" s="82"/>
      <c r="C541" s="70"/>
      <c r="D541" s="70"/>
      <c r="E541" s="70"/>
      <c r="F541" s="70"/>
      <c r="G541" s="70"/>
      <c r="H541" s="93"/>
      <c r="I541" s="85"/>
      <c r="J541" s="85"/>
      <c r="K541" s="131"/>
      <c r="L541" s="60"/>
      <c r="M541" s="33"/>
      <c r="Q541" s="3"/>
      <c r="R541" s="3"/>
      <c r="S541" s="3"/>
      <c r="T541" s="3"/>
      <c r="U541" s="3"/>
      <c r="V541" s="3"/>
      <c r="W541" s="3"/>
      <c r="X541" s="3"/>
      <c r="Y541" s="3"/>
      <c r="Z541" s="4"/>
      <c r="AA541"/>
      <c r="AB541"/>
    </row>
    <row r="542" spans="1:28" s="37" customFormat="1" x14ac:dyDescent="0.15">
      <c r="A542" s="166"/>
      <c r="B542" s="93"/>
      <c r="C542" s="70"/>
      <c r="D542" s="70"/>
      <c r="E542" s="70"/>
      <c r="F542" s="70"/>
      <c r="G542" s="70"/>
      <c r="H542" s="93"/>
      <c r="I542" s="85"/>
      <c r="J542" s="85"/>
      <c r="K542" s="131"/>
      <c r="L542" s="70"/>
      <c r="M542" s="33"/>
      <c r="Q542" s="3"/>
      <c r="R542" s="3"/>
      <c r="S542" s="3"/>
      <c r="T542" s="3"/>
      <c r="U542" s="3"/>
      <c r="V542" s="3"/>
      <c r="W542" s="3"/>
      <c r="X542" s="3"/>
      <c r="Y542" s="3"/>
      <c r="Z542" s="4"/>
      <c r="AA542"/>
      <c r="AB542"/>
    </row>
    <row r="543" spans="1:28" s="37" customFormat="1" x14ac:dyDescent="0.15">
      <c r="A543" s="166"/>
      <c r="B543" s="82"/>
      <c r="C543" s="70"/>
      <c r="D543" s="70"/>
      <c r="E543" s="70"/>
      <c r="F543" s="70"/>
      <c r="G543" s="70"/>
      <c r="H543" s="93"/>
      <c r="I543" s="85"/>
      <c r="J543" s="85"/>
      <c r="K543" s="131"/>
      <c r="L543" s="60"/>
      <c r="M543" s="32"/>
      <c r="N543" s="32"/>
      <c r="Q543" s="3"/>
      <c r="R543" s="3"/>
      <c r="S543" s="3"/>
      <c r="T543" s="3"/>
      <c r="U543" s="3"/>
      <c r="V543" s="3"/>
      <c r="W543" s="3"/>
      <c r="X543" s="3"/>
      <c r="Y543" s="3"/>
      <c r="Z543" s="4"/>
      <c r="AA543"/>
      <c r="AB543"/>
    </row>
    <row r="544" spans="1:28" s="37" customFormat="1" x14ac:dyDescent="0.15">
      <c r="A544" s="166"/>
      <c r="B544" s="93"/>
      <c r="C544" s="70"/>
      <c r="D544" s="70"/>
      <c r="E544" s="70"/>
      <c r="F544" s="70"/>
      <c r="G544" s="70"/>
      <c r="H544" s="93"/>
      <c r="I544" s="85"/>
      <c r="J544" s="85"/>
      <c r="K544" s="131"/>
      <c r="L544" s="60"/>
      <c r="M544" s="33"/>
      <c r="Q544" s="3"/>
      <c r="R544" s="3"/>
      <c r="S544" s="3"/>
      <c r="T544" s="3"/>
      <c r="U544" s="3"/>
      <c r="V544" s="3"/>
      <c r="W544" s="3"/>
      <c r="X544" s="3"/>
      <c r="Y544" s="3"/>
      <c r="Z544" s="4"/>
      <c r="AA544"/>
      <c r="AB544"/>
    </row>
    <row r="545" spans="1:28" s="37" customFormat="1" x14ac:dyDescent="0.15">
      <c r="A545" s="166"/>
      <c r="B545" s="93"/>
      <c r="C545" s="70"/>
      <c r="D545" s="70"/>
      <c r="E545" s="70"/>
      <c r="F545" s="70"/>
      <c r="G545" s="70"/>
      <c r="H545" s="93"/>
      <c r="I545" s="85"/>
      <c r="J545" s="85"/>
      <c r="K545" s="131"/>
      <c r="L545" s="60"/>
      <c r="M545" s="33"/>
      <c r="Q545" s="3"/>
      <c r="R545" s="3"/>
      <c r="S545" s="3"/>
      <c r="T545" s="3"/>
      <c r="U545" s="3"/>
      <c r="V545" s="3"/>
      <c r="W545" s="3"/>
      <c r="X545" s="3"/>
      <c r="Y545" s="3"/>
      <c r="Z545" s="4"/>
      <c r="AA545"/>
      <c r="AB545"/>
    </row>
    <row r="546" spans="1:28" s="37" customFormat="1" x14ac:dyDescent="0.15">
      <c r="A546" s="166"/>
      <c r="B546" s="93"/>
      <c r="C546" s="70"/>
      <c r="D546" s="70"/>
      <c r="E546" s="70"/>
      <c r="F546" s="70"/>
      <c r="G546" s="70"/>
      <c r="H546" s="93"/>
      <c r="I546" s="85"/>
      <c r="J546" s="85"/>
      <c r="K546" s="131"/>
      <c r="L546" s="60"/>
      <c r="M546" s="33"/>
      <c r="Q546" s="3"/>
      <c r="R546" s="3"/>
      <c r="S546" s="3"/>
      <c r="T546" s="3"/>
      <c r="U546" s="3"/>
      <c r="V546" s="3"/>
      <c r="W546" s="3"/>
      <c r="X546" s="3"/>
      <c r="Y546" s="3"/>
      <c r="Z546" s="4"/>
      <c r="AA546"/>
      <c r="AB546"/>
    </row>
    <row r="547" spans="1:28" s="37" customFormat="1" x14ac:dyDescent="0.15">
      <c r="A547" s="166"/>
      <c r="B547" s="93"/>
      <c r="C547" s="70"/>
      <c r="D547" s="70"/>
      <c r="E547" s="70"/>
      <c r="F547" s="70"/>
      <c r="G547" s="70"/>
      <c r="H547" s="93"/>
      <c r="I547" s="85"/>
      <c r="J547" s="85"/>
      <c r="K547" s="131"/>
      <c r="L547" s="60"/>
      <c r="M547" s="33"/>
      <c r="Q547" s="3"/>
      <c r="R547" s="3"/>
      <c r="S547" s="3"/>
      <c r="T547" s="3"/>
      <c r="U547" s="3"/>
      <c r="V547" s="3"/>
      <c r="W547" s="3"/>
      <c r="X547" s="3"/>
      <c r="Y547" s="3"/>
      <c r="Z547" s="4"/>
      <c r="AA547"/>
      <c r="AB547"/>
    </row>
    <row r="548" spans="1:28" s="37" customFormat="1" x14ac:dyDescent="0.15">
      <c r="A548" s="166"/>
      <c r="B548" s="96"/>
      <c r="C548" s="70"/>
      <c r="D548" s="70"/>
      <c r="E548" s="70"/>
      <c r="F548" s="70"/>
      <c r="G548" s="70"/>
      <c r="H548" s="93"/>
      <c r="I548" s="85"/>
      <c r="J548" s="85"/>
      <c r="K548" s="131"/>
      <c r="L548" s="60"/>
      <c r="M548" s="33"/>
      <c r="Q548" s="3"/>
      <c r="R548" s="3"/>
      <c r="S548" s="3"/>
      <c r="T548" s="3"/>
      <c r="U548" s="3"/>
      <c r="V548" s="3"/>
      <c r="W548" s="3"/>
      <c r="X548" s="3"/>
      <c r="Y548" s="3"/>
      <c r="Z548" s="4"/>
      <c r="AA548"/>
      <c r="AB548"/>
    </row>
    <row r="549" spans="1:28" s="37" customFormat="1" x14ac:dyDescent="0.15">
      <c r="A549" s="166"/>
      <c r="B549" s="82"/>
      <c r="C549" s="70"/>
      <c r="D549" s="70"/>
      <c r="E549" s="70"/>
      <c r="F549" s="70"/>
      <c r="G549" s="70"/>
      <c r="H549" s="93"/>
      <c r="I549" s="85"/>
      <c r="J549" s="85"/>
      <c r="K549" s="131"/>
      <c r="L549" s="60"/>
      <c r="M549" s="33"/>
      <c r="Q549" s="3"/>
      <c r="R549" s="3"/>
      <c r="S549" s="3"/>
      <c r="T549" s="3"/>
      <c r="U549" s="3"/>
      <c r="V549" s="3"/>
      <c r="W549" s="3"/>
      <c r="X549" s="3"/>
      <c r="Y549" s="3"/>
      <c r="Z549" s="4"/>
      <c r="AA549"/>
      <c r="AB549"/>
    </row>
    <row r="550" spans="1:28" s="37" customFormat="1" x14ac:dyDescent="0.15">
      <c r="A550" s="166"/>
      <c r="B550" s="93"/>
      <c r="C550" s="70"/>
      <c r="D550" s="70"/>
      <c r="E550" s="70"/>
      <c r="F550" s="70"/>
      <c r="G550" s="70"/>
      <c r="H550" s="93"/>
      <c r="I550" s="85"/>
      <c r="J550" s="85"/>
      <c r="K550" s="131"/>
      <c r="L550" s="60"/>
      <c r="M550" s="33"/>
      <c r="Q550" s="3"/>
      <c r="R550" s="3"/>
      <c r="S550" s="3"/>
      <c r="T550" s="3"/>
      <c r="U550" s="3"/>
      <c r="V550" s="3"/>
      <c r="W550" s="3"/>
      <c r="X550" s="3"/>
      <c r="Y550" s="3"/>
      <c r="Z550" s="4"/>
      <c r="AA550"/>
      <c r="AB550"/>
    </row>
    <row r="551" spans="1:28" s="37" customFormat="1" x14ac:dyDescent="0.15">
      <c r="A551" s="166"/>
      <c r="B551" s="82"/>
      <c r="C551" s="70"/>
      <c r="D551" s="70"/>
      <c r="E551" s="70"/>
      <c r="F551" s="70"/>
      <c r="G551" s="70"/>
      <c r="H551" s="93"/>
      <c r="I551" s="85"/>
      <c r="J551" s="85"/>
      <c r="K551" s="134"/>
      <c r="L551" s="63"/>
      <c r="M551" s="33"/>
      <c r="Q551" s="3"/>
      <c r="R551" s="3"/>
      <c r="S551" s="3"/>
      <c r="T551" s="3"/>
      <c r="U551" s="3"/>
      <c r="V551" s="3"/>
      <c r="W551" s="3"/>
      <c r="X551" s="3"/>
      <c r="Y551" s="3"/>
      <c r="Z551" s="4"/>
      <c r="AA551"/>
      <c r="AB551"/>
    </row>
    <row r="552" spans="1:28" s="37" customFormat="1" ht="16" x14ac:dyDescent="0.2">
      <c r="A552" s="166"/>
      <c r="B552" s="82"/>
      <c r="C552" s="70"/>
      <c r="D552" s="70"/>
      <c r="E552" s="70"/>
      <c r="F552" s="70"/>
      <c r="G552" s="70"/>
      <c r="H552" s="93"/>
      <c r="I552" s="85"/>
      <c r="J552" s="85"/>
      <c r="K552" s="131"/>
      <c r="L552" s="60"/>
      <c r="M552" s="47"/>
      <c r="Q552" s="3"/>
      <c r="R552" s="3"/>
      <c r="S552" s="3"/>
      <c r="T552" s="3"/>
      <c r="U552" s="3"/>
      <c r="V552" s="3"/>
      <c r="W552" s="3"/>
      <c r="X552" s="3"/>
      <c r="Y552" s="3"/>
      <c r="Z552" s="4"/>
      <c r="AA552"/>
      <c r="AB552"/>
    </row>
    <row r="553" spans="1:28" s="37" customFormat="1" x14ac:dyDescent="0.15">
      <c r="A553" s="166"/>
      <c r="B553" s="82"/>
      <c r="C553" s="70"/>
      <c r="D553" s="70"/>
      <c r="E553" s="70"/>
      <c r="F553" s="70"/>
      <c r="G553" s="70"/>
      <c r="H553" s="93"/>
      <c r="I553" s="85"/>
      <c r="J553" s="85"/>
      <c r="K553" s="131"/>
      <c r="L553" s="60"/>
      <c r="M553" s="33"/>
      <c r="Q553" s="3"/>
      <c r="R553" s="3"/>
      <c r="S553" s="3"/>
      <c r="T553" s="3"/>
      <c r="U553" s="3"/>
      <c r="V553" s="3"/>
      <c r="W553" s="3"/>
      <c r="X553" s="3"/>
      <c r="Y553" s="3"/>
      <c r="Z553" s="4"/>
      <c r="AA553"/>
      <c r="AB553"/>
    </row>
    <row r="554" spans="1:28" s="37" customFormat="1" ht="16" x14ac:dyDescent="0.2">
      <c r="A554" s="166"/>
      <c r="B554" s="82"/>
      <c r="C554" s="73"/>
      <c r="D554" s="73"/>
      <c r="E554" s="73"/>
      <c r="F554" s="70"/>
      <c r="G554" s="70"/>
      <c r="H554" s="93"/>
      <c r="I554" s="85"/>
      <c r="J554" s="85"/>
      <c r="K554" s="131"/>
      <c r="L554" s="60"/>
      <c r="M554" s="47"/>
      <c r="N554" s="48"/>
      <c r="Q554" s="3"/>
      <c r="R554" s="3"/>
      <c r="S554" s="3"/>
      <c r="T554" s="3"/>
      <c r="U554" s="3"/>
      <c r="V554" s="3"/>
      <c r="W554" s="3"/>
      <c r="X554" s="3"/>
      <c r="Y554" s="3"/>
      <c r="Z554" s="4"/>
      <c r="AA554"/>
      <c r="AB554"/>
    </row>
    <row r="555" spans="1:28" s="37" customFormat="1" x14ac:dyDescent="0.15">
      <c r="A555" s="166"/>
      <c r="B555" s="93"/>
      <c r="C555" s="70"/>
      <c r="D555" s="70"/>
      <c r="E555" s="70"/>
      <c r="F555" s="70"/>
      <c r="G555" s="70"/>
      <c r="H555" s="93"/>
      <c r="I555" s="85"/>
      <c r="J555" s="85"/>
      <c r="K555" s="135"/>
      <c r="L555" s="60"/>
      <c r="Q555" s="3"/>
      <c r="R555" s="3"/>
      <c r="S555" s="3"/>
      <c r="T555" s="3"/>
      <c r="U555" s="3"/>
      <c r="V555" s="3"/>
      <c r="W555" s="3"/>
      <c r="X555" s="3"/>
      <c r="Y555" s="3"/>
      <c r="Z555" s="4"/>
      <c r="AA555"/>
      <c r="AB555"/>
    </row>
    <row r="556" spans="1:28" s="37" customFormat="1" ht="16" x14ac:dyDescent="0.2">
      <c r="A556" s="166"/>
      <c r="B556" s="93"/>
      <c r="C556" s="70"/>
      <c r="D556" s="70"/>
      <c r="E556" s="70"/>
      <c r="F556" s="70"/>
      <c r="G556" s="70"/>
      <c r="H556" s="93"/>
      <c r="I556" s="85"/>
      <c r="J556" s="85"/>
      <c r="K556" s="131"/>
      <c r="L556" s="60"/>
      <c r="M556" s="47"/>
      <c r="Q556" s="3"/>
      <c r="R556" s="3"/>
      <c r="S556" s="3"/>
      <c r="T556" s="3"/>
      <c r="U556" s="3"/>
      <c r="V556" s="3"/>
      <c r="W556" s="3"/>
      <c r="X556" s="3"/>
      <c r="Y556" s="3"/>
      <c r="Z556" s="4"/>
      <c r="AA556"/>
      <c r="AB556"/>
    </row>
    <row r="557" spans="1:28" s="37" customFormat="1" x14ac:dyDescent="0.15">
      <c r="A557" s="166"/>
      <c r="B557" s="93"/>
      <c r="C557" s="70"/>
      <c r="D557" s="70"/>
      <c r="E557" s="70"/>
      <c r="F557" s="70"/>
      <c r="G557" s="70"/>
      <c r="H557" s="93"/>
      <c r="I557" s="85"/>
      <c r="J557" s="85"/>
      <c r="K557" s="135"/>
      <c r="L557" s="60"/>
      <c r="Q557" s="3"/>
      <c r="R557" s="3"/>
      <c r="S557" s="3"/>
      <c r="T557" s="3"/>
      <c r="U557" s="3"/>
      <c r="V557" s="3"/>
      <c r="W557" s="3"/>
      <c r="X557" s="3"/>
      <c r="Y557" s="3"/>
      <c r="Z557" s="4"/>
      <c r="AA557"/>
      <c r="AB557"/>
    </row>
    <row r="558" spans="1:28" s="37" customFormat="1" x14ac:dyDescent="0.15">
      <c r="A558" s="166"/>
      <c r="B558" s="93"/>
      <c r="C558" s="70"/>
      <c r="D558" s="70"/>
      <c r="E558" s="70"/>
      <c r="F558" s="70"/>
      <c r="G558" s="70"/>
      <c r="H558" s="93"/>
      <c r="I558" s="85"/>
      <c r="J558" s="85"/>
      <c r="K558" s="131"/>
      <c r="L558" s="60"/>
      <c r="Q558" s="3"/>
      <c r="R558" s="3"/>
      <c r="S558" s="3"/>
      <c r="T558" s="3"/>
      <c r="U558" s="3"/>
      <c r="V558" s="3"/>
      <c r="W558" s="3"/>
      <c r="X558" s="3"/>
      <c r="Y558" s="3"/>
      <c r="Z558" s="4"/>
      <c r="AA558"/>
      <c r="AB558"/>
    </row>
    <row r="559" spans="1:28" s="37" customFormat="1" x14ac:dyDescent="0.15">
      <c r="A559" s="166"/>
      <c r="B559" s="93"/>
      <c r="C559" s="70"/>
      <c r="D559" s="70"/>
      <c r="E559" s="70"/>
      <c r="F559" s="70"/>
      <c r="G559" s="70"/>
      <c r="H559" s="93"/>
      <c r="I559" s="85"/>
      <c r="J559" s="85"/>
      <c r="K559" s="131"/>
      <c r="L559" s="60"/>
      <c r="M559" s="49"/>
      <c r="Q559" s="3"/>
      <c r="R559" s="3"/>
      <c r="S559" s="3"/>
      <c r="T559" s="3"/>
      <c r="U559" s="3"/>
      <c r="V559" s="3"/>
      <c r="W559" s="3"/>
      <c r="X559" s="3"/>
      <c r="Y559" s="3"/>
      <c r="Z559" s="4"/>
      <c r="AA559"/>
      <c r="AB559"/>
    </row>
    <row r="560" spans="1:28" s="37" customFormat="1" x14ac:dyDescent="0.15">
      <c r="A560" s="166"/>
      <c r="B560" s="93"/>
      <c r="C560" s="70"/>
      <c r="D560" s="70"/>
      <c r="E560" s="70"/>
      <c r="F560" s="70"/>
      <c r="G560" s="70"/>
      <c r="H560" s="93"/>
      <c r="I560" s="85"/>
      <c r="J560" s="85"/>
      <c r="K560" s="131"/>
      <c r="L560" s="70"/>
      <c r="M560" s="33"/>
      <c r="Q560" s="3"/>
      <c r="R560" s="3"/>
      <c r="S560" s="3"/>
      <c r="T560" s="3"/>
      <c r="U560" s="3"/>
      <c r="V560" s="3"/>
      <c r="W560" s="3"/>
      <c r="X560" s="3"/>
      <c r="Y560" s="3"/>
      <c r="Z560" s="4"/>
      <c r="AA560"/>
      <c r="AB560"/>
    </row>
    <row r="561" spans="1:28" s="37" customFormat="1" x14ac:dyDescent="0.15">
      <c r="A561" s="166"/>
      <c r="B561" s="93"/>
      <c r="C561" s="70"/>
      <c r="D561" s="70"/>
      <c r="E561" s="70"/>
      <c r="F561" s="70"/>
      <c r="G561" s="70"/>
      <c r="H561" s="93"/>
      <c r="I561" s="85"/>
      <c r="J561" s="85"/>
      <c r="K561" s="131"/>
      <c r="L561" s="70"/>
      <c r="M561" s="49"/>
      <c r="Q561" s="3"/>
      <c r="R561" s="3"/>
      <c r="S561" s="3"/>
      <c r="T561" s="3"/>
      <c r="U561" s="3"/>
      <c r="V561" s="3"/>
      <c r="W561" s="3"/>
      <c r="X561" s="3"/>
      <c r="Y561" s="3"/>
      <c r="Z561" s="4"/>
      <c r="AA561"/>
      <c r="AB561"/>
    </row>
    <row r="562" spans="1:28" s="37" customFormat="1" x14ac:dyDescent="0.15">
      <c r="A562" s="70"/>
      <c r="B562" s="82"/>
      <c r="C562" s="70"/>
      <c r="D562" s="70"/>
      <c r="E562" s="70"/>
      <c r="F562" s="70"/>
      <c r="G562" s="70"/>
      <c r="H562" s="93"/>
      <c r="I562" s="85"/>
      <c r="J562" s="85"/>
      <c r="K562" s="131"/>
      <c r="L562" s="60"/>
      <c r="M562" s="33"/>
      <c r="Q562" s="3"/>
      <c r="R562" s="3"/>
      <c r="S562" s="3"/>
      <c r="T562" s="3"/>
      <c r="U562" s="3"/>
      <c r="V562" s="3"/>
      <c r="W562" s="3"/>
      <c r="X562" s="3"/>
      <c r="Y562" s="3"/>
      <c r="Z562" s="4"/>
      <c r="AA562"/>
      <c r="AB562"/>
    </row>
    <row r="563" spans="1:28" s="37" customFormat="1" x14ac:dyDescent="0.15">
      <c r="A563" s="166"/>
      <c r="B563" s="82"/>
      <c r="C563" s="70"/>
      <c r="D563" s="70"/>
      <c r="E563" s="70"/>
      <c r="F563" s="70"/>
      <c r="G563" s="70"/>
      <c r="H563" s="93"/>
      <c r="I563" s="85"/>
      <c r="J563" s="85"/>
      <c r="K563" s="131"/>
      <c r="L563" s="60"/>
      <c r="M563" s="33"/>
      <c r="Q563" s="3"/>
      <c r="R563" s="3"/>
      <c r="S563" s="3"/>
      <c r="T563" s="3"/>
      <c r="U563" s="3"/>
      <c r="V563" s="3"/>
      <c r="W563" s="3"/>
      <c r="X563" s="3"/>
      <c r="Y563" s="3"/>
      <c r="Z563" s="4"/>
      <c r="AA563"/>
      <c r="AB563"/>
    </row>
    <row r="564" spans="1:28" s="37" customFormat="1" x14ac:dyDescent="0.15">
      <c r="A564" s="166"/>
      <c r="B564" s="93"/>
      <c r="C564" s="70"/>
      <c r="D564" s="70"/>
      <c r="E564" s="70"/>
      <c r="F564" s="70"/>
      <c r="G564" s="70"/>
      <c r="H564" s="93"/>
      <c r="I564" s="85"/>
      <c r="J564" s="85"/>
      <c r="K564" s="131"/>
      <c r="L564" s="60"/>
      <c r="M564" s="33"/>
      <c r="Q564" s="3"/>
      <c r="R564" s="3"/>
      <c r="S564" s="3"/>
      <c r="T564" s="3"/>
      <c r="U564" s="3"/>
      <c r="V564" s="3"/>
      <c r="W564" s="3"/>
      <c r="X564" s="3"/>
      <c r="Y564" s="3"/>
      <c r="Z564" s="4"/>
      <c r="AA564"/>
      <c r="AB564"/>
    </row>
    <row r="565" spans="1:28" s="37" customFormat="1" x14ac:dyDescent="0.15">
      <c r="A565" s="166"/>
      <c r="B565" s="82"/>
      <c r="C565" s="70"/>
      <c r="D565" s="70"/>
      <c r="E565" s="70"/>
      <c r="F565" s="70"/>
      <c r="G565" s="70"/>
      <c r="H565" s="93"/>
      <c r="I565" s="85"/>
      <c r="J565" s="85"/>
      <c r="K565" s="131"/>
      <c r="L565" s="60"/>
      <c r="M565" s="33"/>
      <c r="Q565" s="3"/>
      <c r="R565" s="3"/>
      <c r="S565" s="3"/>
      <c r="T565" s="3"/>
      <c r="U565" s="3"/>
      <c r="V565" s="3"/>
      <c r="W565" s="3"/>
      <c r="X565" s="3"/>
      <c r="Y565" s="3"/>
      <c r="Z565" s="4"/>
      <c r="AA565"/>
      <c r="AB565"/>
    </row>
    <row r="566" spans="1:28" s="37" customFormat="1" x14ac:dyDescent="0.15">
      <c r="A566" s="166"/>
      <c r="B566" s="82"/>
      <c r="C566" s="70"/>
      <c r="D566" s="70"/>
      <c r="E566" s="70"/>
      <c r="F566" s="70"/>
      <c r="G566" s="70"/>
      <c r="H566" s="93"/>
      <c r="I566" s="85"/>
      <c r="J566" s="85"/>
      <c r="K566" s="131"/>
      <c r="L566" s="60"/>
      <c r="M566" s="33"/>
      <c r="Q566" s="3"/>
      <c r="R566" s="3"/>
      <c r="S566" s="3"/>
      <c r="T566" s="3"/>
      <c r="U566" s="3"/>
      <c r="V566" s="3"/>
      <c r="W566" s="3"/>
      <c r="X566" s="3"/>
      <c r="Y566" s="3"/>
      <c r="Z566" s="4"/>
      <c r="AA566"/>
      <c r="AB566"/>
    </row>
    <row r="567" spans="1:28" s="37" customFormat="1" x14ac:dyDescent="0.15">
      <c r="A567" s="166"/>
      <c r="B567" s="82"/>
      <c r="C567" s="70"/>
      <c r="D567" s="70"/>
      <c r="E567" s="70"/>
      <c r="F567" s="70"/>
      <c r="G567" s="70"/>
      <c r="H567" s="93"/>
      <c r="I567" s="85"/>
      <c r="J567" s="85"/>
      <c r="K567" s="131"/>
      <c r="L567" s="60"/>
      <c r="M567" s="33"/>
      <c r="Q567" s="3"/>
      <c r="R567" s="3"/>
      <c r="S567" s="3"/>
      <c r="T567" s="3"/>
      <c r="U567" s="3"/>
      <c r="V567" s="3"/>
      <c r="W567" s="3"/>
      <c r="X567" s="3"/>
      <c r="Y567" s="3"/>
      <c r="Z567" s="4"/>
      <c r="AA567"/>
      <c r="AB567"/>
    </row>
    <row r="568" spans="1:28" s="37" customFormat="1" x14ac:dyDescent="0.15">
      <c r="A568" s="166"/>
      <c r="B568" s="93"/>
      <c r="C568" s="70"/>
      <c r="D568" s="70"/>
      <c r="E568" s="70"/>
      <c r="F568" s="70"/>
      <c r="G568" s="70"/>
      <c r="H568" s="93"/>
      <c r="I568" s="85"/>
      <c r="J568" s="85"/>
      <c r="K568" s="131"/>
      <c r="L568" s="60"/>
      <c r="M568" s="33"/>
      <c r="Q568" s="3"/>
      <c r="R568" s="3"/>
      <c r="S568" s="3"/>
      <c r="T568" s="3"/>
      <c r="U568" s="3"/>
      <c r="V568" s="3"/>
      <c r="W568" s="3"/>
      <c r="X568" s="3"/>
      <c r="Y568" s="3"/>
      <c r="Z568" s="4"/>
      <c r="AA568"/>
      <c r="AB568"/>
    </row>
    <row r="569" spans="1:28" s="37" customFormat="1" x14ac:dyDescent="0.15">
      <c r="A569" s="166"/>
      <c r="B569" s="93"/>
      <c r="C569" s="70"/>
      <c r="D569" s="70"/>
      <c r="E569" s="70"/>
      <c r="F569" s="70"/>
      <c r="G569" s="70"/>
      <c r="H569" s="93"/>
      <c r="I569" s="85"/>
      <c r="J569" s="85"/>
      <c r="K569" s="131"/>
      <c r="L569" s="60"/>
      <c r="M569" s="33"/>
      <c r="Q569" s="3"/>
      <c r="R569" s="3"/>
      <c r="S569" s="3"/>
      <c r="T569" s="3"/>
      <c r="U569" s="3"/>
      <c r="V569" s="3"/>
      <c r="W569" s="3"/>
      <c r="X569" s="3"/>
      <c r="Y569" s="3"/>
      <c r="Z569" s="4"/>
      <c r="AA569"/>
      <c r="AB569"/>
    </row>
    <row r="570" spans="1:28" s="37" customFormat="1" x14ac:dyDescent="0.15">
      <c r="A570" s="70"/>
      <c r="B570" s="82"/>
      <c r="C570" s="70"/>
      <c r="D570" s="70"/>
      <c r="E570" s="70"/>
      <c r="F570" s="70"/>
      <c r="G570" s="70"/>
      <c r="H570" s="93"/>
      <c r="I570" s="85"/>
      <c r="J570" s="85"/>
      <c r="K570" s="131"/>
      <c r="L570" s="60"/>
      <c r="M570" s="33"/>
      <c r="Q570" s="3"/>
      <c r="R570" s="3"/>
      <c r="S570" s="3"/>
      <c r="T570" s="3"/>
      <c r="U570" s="3"/>
      <c r="V570" s="3"/>
      <c r="W570" s="3"/>
      <c r="X570" s="3"/>
      <c r="Y570" s="3"/>
      <c r="Z570" s="4"/>
      <c r="AA570"/>
      <c r="AB570"/>
    </row>
    <row r="571" spans="1:28" s="37" customFormat="1" x14ac:dyDescent="0.15">
      <c r="A571" s="166"/>
      <c r="B571" s="82"/>
      <c r="C571" s="70"/>
      <c r="D571" s="70"/>
      <c r="E571" s="70"/>
      <c r="F571" s="70"/>
      <c r="G571" s="70"/>
      <c r="H571" s="93"/>
      <c r="I571" s="85"/>
      <c r="J571" s="85"/>
      <c r="K571" s="131"/>
      <c r="L571" s="60"/>
      <c r="M571" s="33"/>
      <c r="O571" s="35"/>
      <c r="Q571" s="3"/>
      <c r="R571" s="3"/>
      <c r="S571" s="3"/>
      <c r="T571" s="3"/>
      <c r="U571" s="3"/>
      <c r="V571" s="3"/>
      <c r="W571" s="3"/>
      <c r="X571" s="3"/>
      <c r="Y571" s="3"/>
      <c r="Z571" s="4"/>
      <c r="AA571"/>
      <c r="AB571"/>
    </row>
    <row r="572" spans="1:28" s="37" customFormat="1" x14ac:dyDescent="0.15">
      <c r="A572" s="166"/>
      <c r="B572" s="93"/>
      <c r="C572" s="70"/>
      <c r="D572" s="70"/>
      <c r="E572" s="70"/>
      <c r="F572" s="70"/>
      <c r="G572" s="70"/>
      <c r="H572" s="93"/>
      <c r="I572" s="85"/>
      <c r="J572" s="85"/>
      <c r="K572" s="131"/>
      <c r="L572" s="60"/>
      <c r="M572" s="33"/>
      <c r="Q572" s="3"/>
      <c r="R572" s="3"/>
      <c r="S572" s="3"/>
      <c r="T572" s="3"/>
      <c r="U572" s="3"/>
      <c r="V572" s="3"/>
      <c r="W572" s="3"/>
      <c r="X572" s="3"/>
      <c r="Y572" s="3"/>
      <c r="Z572" s="4"/>
      <c r="AA572"/>
      <c r="AB572"/>
    </row>
    <row r="573" spans="1:28" s="37" customFormat="1" x14ac:dyDescent="0.15">
      <c r="A573" s="166"/>
      <c r="B573" s="93"/>
      <c r="C573" s="70"/>
      <c r="D573" s="70"/>
      <c r="E573" s="70"/>
      <c r="F573" s="70"/>
      <c r="G573" s="70"/>
      <c r="H573" s="93"/>
      <c r="I573" s="85"/>
      <c r="J573" s="85"/>
      <c r="K573" s="131"/>
      <c r="L573" s="60"/>
      <c r="M573" s="33"/>
      <c r="Q573" s="3"/>
      <c r="R573" s="3"/>
      <c r="S573" s="3"/>
      <c r="T573" s="3"/>
      <c r="U573" s="3"/>
      <c r="V573" s="3"/>
      <c r="W573" s="3"/>
      <c r="X573" s="3"/>
      <c r="Y573" s="3"/>
      <c r="Z573" s="4"/>
      <c r="AA573"/>
      <c r="AB573"/>
    </row>
    <row r="574" spans="1:28" s="37" customFormat="1" x14ac:dyDescent="0.15">
      <c r="A574" s="166"/>
      <c r="B574" s="93"/>
      <c r="C574" s="70"/>
      <c r="D574" s="70"/>
      <c r="E574" s="70"/>
      <c r="F574" s="70"/>
      <c r="G574" s="70"/>
      <c r="H574" s="93"/>
      <c r="I574" s="85"/>
      <c r="J574" s="85"/>
      <c r="K574" s="131"/>
      <c r="L574" s="60"/>
      <c r="M574" s="33"/>
      <c r="Q574" s="3"/>
      <c r="R574" s="3"/>
      <c r="S574" s="3"/>
      <c r="T574" s="3"/>
      <c r="U574" s="3"/>
      <c r="V574" s="3"/>
      <c r="W574" s="3"/>
      <c r="X574" s="3"/>
      <c r="Y574" s="3"/>
      <c r="Z574" s="4"/>
      <c r="AA574"/>
      <c r="AB574"/>
    </row>
    <row r="575" spans="1:28" s="37" customFormat="1" x14ac:dyDescent="0.15">
      <c r="A575" s="166"/>
      <c r="B575" s="93"/>
      <c r="C575" s="73"/>
      <c r="D575" s="73"/>
      <c r="E575" s="70"/>
      <c r="F575" s="73"/>
      <c r="G575" s="73"/>
      <c r="H575" s="108"/>
      <c r="I575" s="85"/>
      <c r="J575" s="85"/>
      <c r="K575" s="131"/>
      <c r="L575" s="60"/>
      <c r="M575" s="33"/>
      <c r="Q575" s="3"/>
      <c r="R575" s="3"/>
      <c r="S575" s="3"/>
      <c r="T575" s="3"/>
      <c r="U575" s="3"/>
      <c r="V575" s="3"/>
      <c r="W575" s="3"/>
      <c r="X575" s="3"/>
      <c r="Y575" s="3"/>
      <c r="Z575" s="4"/>
      <c r="AA575"/>
      <c r="AB575"/>
    </row>
    <row r="576" spans="1:28" s="37" customFormat="1" x14ac:dyDescent="0.15">
      <c r="A576" s="166"/>
      <c r="B576" s="82"/>
      <c r="C576" s="73"/>
      <c r="D576" s="73"/>
      <c r="E576" s="73"/>
      <c r="F576" s="73"/>
      <c r="G576" s="73"/>
      <c r="H576" s="108"/>
      <c r="I576" s="85"/>
      <c r="J576" s="95"/>
      <c r="K576" s="131"/>
      <c r="L576" s="60"/>
      <c r="M576" s="49"/>
      <c r="Q576" s="3"/>
      <c r="R576" s="3"/>
      <c r="S576" s="3"/>
      <c r="T576" s="3"/>
      <c r="U576" s="3"/>
      <c r="V576" s="3"/>
      <c r="W576" s="3"/>
      <c r="X576" s="3"/>
      <c r="Y576" s="3"/>
      <c r="Z576" s="4"/>
      <c r="AA576"/>
      <c r="AB576"/>
    </row>
    <row r="577" spans="1:28" s="37" customFormat="1" x14ac:dyDescent="0.15">
      <c r="A577" s="166"/>
      <c r="B577" s="82"/>
      <c r="C577" s="70"/>
      <c r="D577" s="70"/>
      <c r="E577" s="70"/>
      <c r="F577" s="70"/>
      <c r="G577" s="70"/>
      <c r="H577" s="93"/>
      <c r="I577" s="85"/>
      <c r="J577" s="85"/>
      <c r="K577" s="131"/>
      <c r="L577" s="60"/>
      <c r="M577" s="49"/>
      <c r="Q577" s="3"/>
      <c r="R577" s="3"/>
      <c r="S577" s="3"/>
      <c r="T577" s="3"/>
      <c r="U577" s="3"/>
      <c r="V577" s="3"/>
      <c r="W577" s="3"/>
      <c r="X577" s="3"/>
      <c r="Y577" s="3"/>
      <c r="Z577" s="4"/>
      <c r="AA577"/>
      <c r="AB577"/>
    </row>
    <row r="578" spans="1:28" s="37" customFormat="1" x14ac:dyDescent="0.15">
      <c r="A578" s="166"/>
      <c r="B578" s="82"/>
      <c r="C578" s="70"/>
      <c r="D578" s="70"/>
      <c r="E578" s="70"/>
      <c r="F578" s="70"/>
      <c r="G578" s="70"/>
      <c r="H578" s="93"/>
      <c r="I578" s="85"/>
      <c r="J578" s="85"/>
      <c r="K578" s="131"/>
      <c r="L578" s="60"/>
      <c r="M578" s="49"/>
      <c r="Q578" s="3"/>
      <c r="R578" s="3"/>
      <c r="S578" s="3"/>
      <c r="T578" s="3"/>
      <c r="U578" s="3"/>
      <c r="V578" s="3"/>
      <c r="W578" s="3"/>
      <c r="X578" s="3"/>
      <c r="Y578" s="3"/>
      <c r="Z578" s="4"/>
      <c r="AA578"/>
      <c r="AB578"/>
    </row>
    <row r="579" spans="1:28" s="37" customFormat="1" x14ac:dyDescent="0.15">
      <c r="A579" s="166"/>
      <c r="B579" s="82"/>
      <c r="C579" s="70"/>
      <c r="D579" s="70"/>
      <c r="E579" s="70"/>
      <c r="F579" s="70"/>
      <c r="G579" s="70"/>
      <c r="H579" s="93"/>
      <c r="I579" s="85"/>
      <c r="J579" s="85"/>
      <c r="K579" s="140"/>
      <c r="L579" s="63"/>
      <c r="M579" s="49"/>
      <c r="Q579" s="3"/>
      <c r="R579" s="3"/>
      <c r="S579" s="3"/>
      <c r="T579" s="3"/>
      <c r="U579" s="3"/>
      <c r="V579" s="3"/>
      <c r="W579" s="3"/>
      <c r="X579" s="3"/>
      <c r="Y579" s="3"/>
      <c r="Z579" s="4"/>
      <c r="AA579"/>
      <c r="AB579"/>
    </row>
    <row r="580" spans="1:28" s="37" customFormat="1" x14ac:dyDescent="0.15">
      <c r="A580" s="166"/>
      <c r="B580" s="82"/>
      <c r="C580" s="70"/>
      <c r="D580" s="70"/>
      <c r="E580" s="70"/>
      <c r="F580" s="70"/>
      <c r="G580" s="70"/>
      <c r="H580" s="93"/>
      <c r="I580" s="85"/>
      <c r="J580" s="85"/>
      <c r="K580" s="131"/>
      <c r="L580" s="60"/>
      <c r="M580" s="49"/>
      <c r="Q580" s="3"/>
      <c r="R580" s="3"/>
      <c r="S580" s="3"/>
      <c r="T580" s="3"/>
      <c r="U580" s="3"/>
      <c r="V580" s="3"/>
      <c r="W580" s="3"/>
      <c r="X580" s="3"/>
      <c r="Y580" s="3"/>
      <c r="Z580" s="4"/>
      <c r="AA580"/>
      <c r="AB580"/>
    </row>
    <row r="581" spans="1:28" s="37" customFormat="1" x14ac:dyDescent="0.15">
      <c r="A581" s="166"/>
      <c r="B581" s="82"/>
      <c r="C581" s="70"/>
      <c r="D581" s="70"/>
      <c r="E581" s="70"/>
      <c r="F581" s="70"/>
      <c r="G581" s="70"/>
      <c r="H581" s="93"/>
      <c r="I581" s="85"/>
      <c r="J581" s="85"/>
      <c r="K581" s="131"/>
      <c r="L581" s="60"/>
      <c r="M581" s="49"/>
      <c r="Q581" s="3"/>
      <c r="R581" s="3"/>
      <c r="S581" s="3"/>
      <c r="T581" s="3"/>
      <c r="U581" s="3"/>
      <c r="V581" s="3"/>
      <c r="W581" s="3"/>
      <c r="X581" s="3"/>
      <c r="Y581" s="3"/>
      <c r="Z581" s="4"/>
      <c r="AA581"/>
      <c r="AB581"/>
    </row>
    <row r="582" spans="1:28" s="37" customFormat="1" x14ac:dyDescent="0.15">
      <c r="A582" s="166"/>
      <c r="B582" s="82"/>
      <c r="C582" s="70"/>
      <c r="D582" s="70"/>
      <c r="E582" s="70"/>
      <c r="F582" s="70"/>
      <c r="G582" s="70"/>
      <c r="H582" s="93"/>
      <c r="I582" s="85"/>
      <c r="J582" s="85"/>
      <c r="K582" s="131"/>
      <c r="L582" s="60"/>
      <c r="M582" s="49"/>
      <c r="Q582" s="3"/>
      <c r="R582" s="3"/>
      <c r="S582" s="3"/>
      <c r="T582" s="3"/>
      <c r="U582" s="3"/>
      <c r="V582" s="3"/>
      <c r="W582" s="3"/>
      <c r="X582" s="3"/>
      <c r="Y582" s="3"/>
      <c r="Z582" s="4"/>
      <c r="AA582"/>
      <c r="AB582"/>
    </row>
    <row r="583" spans="1:28" s="37" customFormat="1" x14ac:dyDescent="0.15">
      <c r="A583" s="166"/>
      <c r="B583" s="82"/>
      <c r="C583" s="70"/>
      <c r="D583" s="70"/>
      <c r="E583" s="70"/>
      <c r="F583" s="70"/>
      <c r="G583" s="70"/>
      <c r="H583" s="93"/>
      <c r="I583" s="85"/>
      <c r="J583" s="85"/>
      <c r="K583" s="131"/>
      <c r="L583" s="60"/>
      <c r="M583" s="49"/>
      <c r="Q583" s="3"/>
      <c r="R583" s="3"/>
      <c r="S583" s="3"/>
      <c r="T583" s="3"/>
      <c r="U583" s="3"/>
      <c r="V583" s="3"/>
      <c r="W583" s="3"/>
      <c r="X583" s="3"/>
      <c r="Y583" s="3"/>
      <c r="Z583" s="4"/>
      <c r="AA583"/>
      <c r="AB583"/>
    </row>
    <row r="584" spans="1:28" s="37" customFormat="1" x14ac:dyDescent="0.15">
      <c r="A584" s="166"/>
      <c r="B584" s="82"/>
      <c r="C584" s="70"/>
      <c r="D584" s="70"/>
      <c r="E584" s="70"/>
      <c r="F584" s="70"/>
      <c r="G584" s="70"/>
      <c r="H584" s="93"/>
      <c r="I584" s="85"/>
      <c r="J584" s="85"/>
      <c r="K584" s="131"/>
      <c r="L584" s="69"/>
      <c r="M584" s="49"/>
      <c r="Q584" s="3"/>
      <c r="R584" s="3"/>
      <c r="S584" s="3"/>
      <c r="T584" s="3"/>
      <c r="U584" s="3"/>
      <c r="V584" s="3"/>
      <c r="W584" s="3"/>
      <c r="X584" s="3"/>
      <c r="Y584" s="3"/>
      <c r="Z584" s="4"/>
      <c r="AA584"/>
      <c r="AB584"/>
    </row>
    <row r="585" spans="1:28" s="37" customFormat="1" x14ac:dyDescent="0.15">
      <c r="A585" s="166"/>
      <c r="B585" s="82"/>
      <c r="C585" s="70"/>
      <c r="D585" s="70"/>
      <c r="E585" s="70"/>
      <c r="F585" s="70"/>
      <c r="G585" s="70"/>
      <c r="H585" s="93"/>
      <c r="I585" s="85"/>
      <c r="J585" s="85"/>
      <c r="K585" s="131"/>
      <c r="L585" s="69"/>
      <c r="M585" s="49"/>
      <c r="Q585" s="3"/>
      <c r="R585" s="3"/>
      <c r="S585" s="3"/>
      <c r="T585" s="3"/>
      <c r="U585" s="3"/>
      <c r="V585" s="3"/>
      <c r="W585" s="3"/>
      <c r="X585" s="3"/>
      <c r="Y585" s="3"/>
      <c r="Z585" s="4"/>
      <c r="AA585"/>
      <c r="AB585"/>
    </row>
    <row r="586" spans="1:28" s="37" customFormat="1" x14ac:dyDescent="0.15">
      <c r="A586" s="166"/>
      <c r="B586" s="82"/>
      <c r="C586" s="70"/>
      <c r="D586" s="70"/>
      <c r="E586" s="70"/>
      <c r="F586" s="70"/>
      <c r="G586" s="70"/>
      <c r="H586" s="93"/>
      <c r="I586" s="85"/>
      <c r="J586" s="85"/>
      <c r="K586" s="131"/>
      <c r="L586" s="60"/>
      <c r="M586" s="49"/>
      <c r="Q586" s="3"/>
      <c r="R586" s="3"/>
      <c r="S586" s="3"/>
      <c r="T586" s="3"/>
      <c r="U586" s="3"/>
      <c r="V586" s="3"/>
      <c r="W586" s="3"/>
      <c r="X586" s="3"/>
      <c r="Y586" s="3"/>
      <c r="Z586" s="4"/>
      <c r="AA586"/>
      <c r="AB586"/>
    </row>
    <row r="587" spans="1:28" s="37" customFormat="1" x14ac:dyDescent="0.15">
      <c r="A587" s="166"/>
      <c r="B587" s="82"/>
      <c r="C587" s="70"/>
      <c r="D587" s="70"/>
      <c r="E587" s="70"/>
      <c r="F587" s="70"/>
      <c r="G587" s="70"/>
      <c r="H587" s="93"/>
      <c r="I587" s="85"/>
      <c r="J587" s="85"/>
      <c r="K587" s="131"/>
      <c r="L587" s="60"/>
      <c r="M587" s="49"/>
      <c r="Q587" s="3"/>
      <c r="R587" s="3"/>
      <c r="S587" s="3"/>
      <c r="T587" s="3"/>
      <c r="U587" s="3"/>
      <c r="V587" s="3"/>
      <c r="W587" s="3"/>
      <c r="X587" s="3"/>
      <c r="Y587" s="3"/>
      <c r="Z587" s="4"/>
      <c r="AA587"/>
      <c r="AB587"/>
    </row>
    <row r="588" spans="1:28" s="37" customFormat="1" x14ac:dyDescent="0.15">
      <c r="A588" s="166"/>
      <c r="B588" s="82"/>
      <c r="C588" s="70"/>
      <c r="D588" s="70"/>
      <c r="E588" s="70"/>
      <c r="F588" s="70"/>
      <c r="G588" s="70"/>
      <c r="H588" s="93"/>
      <c r="I588" s="85"/>
      <c r="J588" s="85"/>
      <c r="K588" s="131"/>
      <c r="L588" s="60"/>
      <c r="M588" s="49"/>
      <c r="Q588" s="3"/>
      <c r="R588" s="3"/>
      <c r="S588" s="3"/>
      <c r="T588" s="3"/>
      <c r="U588" s="3"/>
      <c r="V588" s="3"/>
      <c r="W588" s="3"/>
      <c r="X588" s="3"/>
      <c r="Y588" s="3"/>
      <c r="Z588" s="4"/>
      <c r="AA588"/>
      <c r="AB588"/>
    </row>
    <row r="589" spans="1:28" s="37" customFormat="1" x14ac:dyDescent="0.15">
      <c r="A589" s="166"/>
      <c r="B589" s="82"/>
      <c r="C589" s="70"/>
      <c r="D589" s="70"/>
      <c r="E589" s="70"/>
      <c r="F589" s="70"/>
      <c r="G589" s="70"/>
      <c r="H589" s="93"/>
      <c r="I589" s="85"/>
      <c r="J589" s="85"/>
      <c r="K589" s="131"/>
      <c r="L589" s="60"/>
      <c r="M589" s="49"/>
      <c r="Q589" s="3"/>
      <c r="R589" s="3"/>
      <c r="S589" s="3"/>
      <c r="T589" s="3"/>
      <c r="U589" s="3"/>
      <c r="V589" s="3"/>
      <c r="W589" s="3"/>
      <c r="X589" s="3"/>
      <c r="Y589" s="3"/>
      <c r="Z589" s="4"/>
      <c r="AA589"/>
      <c r="AB589"/>
    </row>
    <row r="590" spans="1:28" s="37" customFormat="1" x14ac:dyDescent="0.15">
      <c r="A590" s="166"/>
      <c r="B590" s="82"/>
      <c r="C590" s="70"/>
      <c r="D590" s="70"/>
      <c r="E590" s="70"/>
      <c r="F590" s="70"/>
      <c r="G590" s="70"/>
      <c r="H590" s="93"/>
      <c r="I590" s="85"/>
      <c r="J590" s="85"/>
      <c r="K590" s="131"/>
      <c r="L590" s="60"/>
      <c r="M590" s="49"/>
      <c r="Q590" s="3"/>
      <c r="R590" s="3"/>
      <c r="S590" s="3"/>
      <c r="T590" s="3"/>
      <c r="U590" s="3"/>
      <c r="V590" s="3"/>
      <c r="W590" s="3"/>
      <c r="X590" s="3"/>
      <c r="Y590" s="3"/>
      <c r="Z590" s="4"/>
      <c r="AA590"/>
      <c r="AB590"/>
    </row>
    <row r="591" spans="1:28" s="37" customFormat="1" x14ac:dyDescent="0.15">
      <c r="A591" s="166"/>
      <c r="B591" s="82"/>
      <c r="C591" s="70"/>
      <c r="D591" s="70"/>
      <c r="E591" s="70"/>
      <c r="F591" s="70"/>
      <c r="G591" s="70"/>
      <c r="H591" s="93"/>
      <c r="I591" s="85"/>
      <c r="J591" s="85"/>
      <c r="K591" s="131"/>
      <c r="L591" s="60"/>
      <c r="M591" s="49"/>
      <c r="Q591" s="3"/>
      <c r="R591" s="3"/>
      <c r="S591" s="3"/>
      <c r="T591" s="3"/>
      <c r="U591" s="3"/>
      <c r="V591" s="3"/>
      <c r="W591" s="3"/>
      <c r="X591" s="3"/>
      <c r="Y591" s="3"/>
      <c r="Z591" s="4"/>
      <c r="AA591"/>
      <c r="AB591"/>
    </row>
    <row r="592" spans="1:28" s="37" customFormat="1" x14ac:dyDescent="0.15">
      <c r="A592" s="166"/>
      <c r="B592" s="82"/>
      <c r="C592" s="70"/>
      <c r="D592" s="70"/>
      <c r="E592" s="70"/>
      <c r="F592" s="70"/>
      <c r="G592" s="70"/>
      <c r="H592" s="93"/>
      <c r="I592" s="85"/>
      <c r="J592" s="85"/>
      <c r="K592" s="131"/>
      <c r="L592" s="60"/>
      <c r="M592" s="49"/>
      <c r="Q592" s="3"/>
      <c r="R592" s="3"/>
      <c r="S592" s="3"/>
      <c r="T592" s="3"/>
      <c r="U592" s="3"/>
      <c r="V592" s="3"/>
      <c r="W592" s="3"/>
      <c r="X592" s="3"/>
      <c r="Y592" s="3"/>
      <c r="Z592" s="4"/>
      <c r="AA592"/>
      <c r="AB592"/>
    </row>
    <row r="593" spans="1:28" s="37" customFormat="1" x14ac:dyDescent="0.15">
      <c r="A593" s="70"/>
      <c r="B593" s="82"/>
      <c r="C593" s="70"/>
      <c r="D593" s="70"/>
      <c r="E593" s="70"/>
      <c r="F593" s="70"/>
      <c r="G593" s="70"/>
      <c r="H593" s="93"/>
      <c r="I593" s="85"/>
      <c r="J593" s="85"/>
      <c r="K593" s="131"/>
      <c r="L593" s="60"/>
      <c r="M593" s="49"/>
      <c r="Q593" s="3"/>
      <c r="R593" s="3"/>
      <c r="S593" s="3"/>
      <c r="T593" s="3"/>
      <c r="U593" s="3"/>
      <c r="V593" s="3"/>
      <c r="W593" s="3"/>
      <c r="X593" s="3"/>
      <c r="Y593" s="3"/>
      <c r="Z593" s="4"/>
      <c r="AA593"/>
      <c r="AB593"/>
    </row>
    <row r="594" spans="1:28" s="37" customFormat="1" x14ac:dyDescent="0.15">
      <c r="A594" s="70"/>
      <c r="B594" s="82"/>
      <c r="C594" s="70"/>
      <c r="D594" s="70"/>
      <c r="E594" s="70"/>
      <c r="F594" s="70"/>
      <c r="G594" s="70"/>
      <c r="H594" s="93"/>
      <c r="I594" s="85"/>
      <c r="J594" s="85"/>
      <c r="K594" s="131"/>
      <c r="L594" s="69"/>
      <c r="M594" s="49"/>
      <c r="Q594" s="3"/>
      <c r="R594" s="3"/>
      <c r="S594" s="3"/>
      <c r="T594" s="3"/>
      <c r="U594" s="3"/>
      <c r="V594" s="3"/>
      <c r="W594" s="3"/>
      <c r="X594" s="3"/>
      <c r="Y594" s="3"/>
      <c r="Z594" s="4"/>
      <c r="AA594"/>
      <c r="AB594"/>
    </row>
    <row r="595" spans="1:28" s="37" customFormat="1" x14ac:dyDescent="0.15">
      <c r="A595" s="70"/>
      <c r="B595" s="82"/>
      <c r="C595" s="70"/>
      <c r="D595" s="70"/>
      <c r="E595" s="70"/>
      <c r="F595" s="70"/>
      <c r="G595" s="70"/>
      <c r="H595" s="93"/>
      <c r="I595" s="85"/>
      <c r="J595" s="85"/>
      <c r="K595" s="131"/>
      <c r="L595" s="60"/>
      <c r="M595" s="49"/>
      <c r="Q595" s="3"/>
      <c r="R595" s="3"/>
      <c r="S595" s="3"/>
      <c r="T595" s="3"/>
      <c r="U595" s="3"/>
      <c r="V595" s="3"/>
      <c r="W595" s="3"/>
      <c r="X595" s="3"/>
      <c r="Y595" s="3"/>
      <c r="Z595" s="4"/>
      <c r="AA595"/>
      <c r="AB595"/>
    </row>
    <row r="596" spans="1:28" s="37" customFormat="1" x14ac:dyDescent="0.15">
      <c r="A596" s="70"/>
      <c r="B596" s="82"/>
      <c r="C596" s="70"/>
      <c r="D596" s="70"/>
      <c r="E596" s="70"/>
      <c r="F596" s="70"/>
      <c r="G596" s="70"/>
      <c r="H596" s="93"/>
      <c r="I596" s="85"/>
      <c r="J596" s="85"/>
      <c r="K596" s="131"/>
      <c r="L596" s="60"/>
      <c r="M596" s="49"/>
      <c r="Q596" s="3"/>
      <c r="R596" s="3"/>
      <c r="S596" s="3"/>
      <c r="T596" s="3"/>
      <c r="U596" s="3"/>
      <c r="V596" s="3"/>
      <c r="W596" s="3"/>
      <c r="X596" s="3"/>
      <c r="Y596" s="3"/>
      <c r="Z596" s="4"/>
      <c r="AA596"/>
      <c r="AB596"/>
    </row>
    <row r="597" spans="1:28" s="37" customFormat="1" ht="16" x14ac:dyDescent="0.2">
      <c r="A597" s="70"/>
      <c r="B597" s="82"/>
      <c r="C597" s="70"/>
      <c r="D597" s="70"/>
      <c r="E597" s="70"/>
      <c r="F597" s="70"/>
      <c r="G597" s="70"/>
      <c r="H597" s="93"/>
      <c r="I597" s="85"/>
      <c r="J597" s="85"/>
      <c r="K597" s="131"/>
      <c r="L597" s="60"/>
      <c r="M597" s="47"/>
      <c r="Q597" s="3"/>
      <c r="R597" s="3"/>
      <c r="S597" s="3"/>
      <c r="T597" s="3"/>
      <c r="U597" s="3"/>
      <c r="V597" s="3"/>
      <c r="W597" s="3"/>
      <c r="X597" s="3"/>
      <c r="Y597" s="3"/>
      <c r="Z597" s="4"/>
      <c r="AA597"/>
      <c r="AB597"/>
    </row>
    <row r="598" spans="1:28" s="37" customFormat="1" x14ac:dyDescent="0.15">
      <c r="A598" s="70"/>
      <c r="B598" s="82"/>
      <c r="C598" s="70"/>
      <c r="D598" s="70"/>
      <c r="E598" s="70"/>
      <c r="F598" s="70"/>
      <c r="G598" s="70"/>
      <c r="H598" s="93"/>
      <c r="I598" s="85"/>
      <c r="J598" s="85"/>
      <c r="K598" s="131"/>
      <c r="L598" s="60"/>
      <c r="M598" s="49"/>
      <c r="Q598" s="3"/>
      <c r="R598" s="3"/>
      <c r="S598" s="3"/>
      <c r="T598" s="3"/>
      <c r="U598" s="3"/>
      <c r="V598" s="3"/>
      <c r="W598" s="3"/>
      <c r="X598" s="3"/>
      <c r="Y598" s="3"/>
      <c r="Z598" s="4"/>
      <c r="AA598"/>
      <c r="AB598"/>
    </row>
    <row r="599" spans="1:28" s="37" customFormat="1" x14ac:dyDescent="0.15">
      <c r="A599" s="70"/>
      <c r="B599" s="82"/>
      <c r="C599" s="70"/>
      <c r="D599" s="70"/>
      <c r="E599" s="70"/>
      <c r="F599" s="70"/>
      <c r="G599" s="70"/>
      <c r="H599" s="93"/>
      <c r="I599" s="85"/>
      <c r="J599" s="85"/>
      <c r="K599" s="131"/>
      <c r="L599" s="60"/>
      <c r="M599" s="49"/>
      <c r="Q599" s="3"/>
      <c r="R599" s="3"/>
      <c r="S599" s="3"/>
      <c r="T599" s="3"/>
      <c r="U599" s="3"/>
      <c r="V599" s="3"/>
      <c r="W599" s="3"/>
      <c r="X599" s="3"/>
      <c r="Y599" s="3"/>
      <c r="Z599" s="4"/>
      <c r="AA599"/>
      <c r="AB599"/>
    </row>
    <row r="600" spans="1:28" s="37" customFormat="1" x14ac:dyDescent="0.15">
      <c r="A600" s="70"/>
      <c r="B600" s="82"/>
      <c r="C600" s="70"/>
      <c r="D600" s="70"/>
      <c r="E600" s="70"/>
      <c r="F600" s="70"/>
      <c r="G600" s="70"/>
      <c r="H600" s="93"/>
      <c r="I600" s="85"/>
      <c r="J600" s="85"/>
      <c r="K600" s="131"/>
      <c r="L600" s="60"/>
      <c r="M600" s="49"/>
      <c r="Q600" s="3"/>
      <c r="R600" s="3"/>
      <c r="S600" s="3"/>
      <c r="T600" s="3"/>
      <c r="U600" s="3"/>
      <c r="V600" s="3"/>
      <c r="W600" s="3"/>
      <c r="X600" s="3"/>
      <c r="Y600" s="3"/>
      <c r="Z600" s="4"/>
      <c r="AA600"/>
      <c r="AB600"/>
    </row>
    <row r="601" spans="1:28" s="37" customFormat="1" x14ac:dyDescent="0.15">
      <c r="A601" s="70"/>
      <c r="B601" s="82"/>
      <c r="C601" s="70"/>
      <c r="D601" s="70"/>
      <c r="E601" s="70"/>
      <c r="F601" s="70"/>
      <c r="G601" s="70"/>
      <c r="H601" s="93"/>
      <c r="I601" s="85"/>
      <c r="J601" s="85"/>
      <c r="K601" s="131"/>
      <c r="L601" s="60"/>
      <c r="M601" s="49"/>
      <c r="Q601" s="3"/>
      <c r="R601" s="3"/>
      <c r="S601" s="3"/>
      <c r="T601" s="3"/>
      <c r="U601" s="3"/>
      <c r="V601" s="3"/>
      <c r="W601" s="3"/>
      <c r="X601" s="3"/>
      <c r="Y601" s="3"/>
      <c r="Z601" s="4"/>
      <c r="AA601"/>
      <c r="AB601"/>
    </row>
    <row r="602" spans="1:28" s="37" customFormat="1" x14ac:dyDescent="0.15">
      <c r="A602" s="70"/>
      <c r="B602" s="82"/>
      <c r="C602" s="70"/>
      <c r="D602" s="70"/>
      <c r="E602" s="70"/>
      <c r="F602" s="70"/>
      <c r="G602" s="70"/>
      <c r="H602" s="93"/>
      <c r="I602" s="85"/>
      <c r="J602" s="85"/>
      <c r="K602" s="131"/>
      <c r="L602" s="60"/>
      <c r="M602" s="49"/>
      <c r="Q602" s="3"/>
      <c r="R602" s="3"/>
      <c r="S602" s="3"/>
      <c r="T602" s="3"/>
      <c r="U602" s="3"/>
      <c r="V602" s="3"/>
      <c r="W602" s="3"/>
      <c r="X602" s="3"/>
      <c r="Y602" s="3"/>
      <c r="Z602" s="4"/>
      <c r="AA602"/>
      <c r="AB602"/>
    </row>
    <row r="603" spans="1:28" s="37" customFormat="1" ht="16" x14ac:dyDescent="0.2">
      <c r="A603" s="70"/>
      <c r="B603" s="82"/>
      <c r="C603" s="70"/>
      <c r="D603" s="70"/>
      <c r="E603" s="70"/>
      <c r="F603" s="70"/>
      <c r="G603" s="70"/>
      <c r="H603" s="93"/>
      <c r="I603" s="85"/>
      <c r="J603" s="85"/>
      <c r="K603" s="131"/>
      <c r="L603" s="60"/>
      <c r="M603" s="47"/>
      <c r="Q603" s="3"/>
      <c r="R603" s="3"/>
      <c r="S603" s="3"/>
      <c r="T603" s="3"/>
      <c r="U603" s="3"/>
      <c r="V603" s="3"/>
      <c r="W603" s="3"/>
      <c r="X603" s="3"/>
      <c r="Y603" s="3"/>
      <c r="Z603" s="4"/>
      <c r="AA603"/>
      <c r="AB603"/>
    </row>
    <row r="604" spans="1:28" s="37" customFormat="1" x14ac:dyDescent="0.15">
      <c r="A604" s="70"/>
      <c r="B604" s="82"/>
      <c r="C604" s="70"/>
      <c r="D604" s="70"/>
      <c r="E604" s="70"/>
      <c r="F604" s="70"/>
      <c r="G604" s="70"/>
      <c r="H604" s="93"/>
      <c r="I604" s="85"/>
      <c r="J604" s="85"/>
      <c r="K604" s="131"/>
      <c r="L604" s="60"/>
      <c r="M604" s="49"/>
      <c r="Q604" s="3"/>
      <c r="R604" s="3"/>
      <c r="S604" s="3"/>
      <c r="T604" s="3"/>
      <c r="U604" s="3"/>
      <c r="V604" s="3"/>
      <c r="W604" s="3"/>
      <c r="X604" s="3"/>
      <c r="Y604" s="3"/>
      <c r="Z604" s="4"/>
      <c r="AA604"/>
      <c r="AB604"/>
    </row>
    <row r="605" spans="1:28" s="37" customFormat="1" ht="16" x14ac:dyDescent="0.2">
      <c r="A605" s="70"/>
      <c r="B605" s="82"/>
      <c r="C605" s="70"/>
      <c r="D605" s="70"/>
      <c r="E605" s="70"/>
      <c r="F605" s="70"/>
      <c r="G605" s="70"/>
      <c r="H605" s="93"/>
      <c r="I605" s="85"/>
      <c r="J605" s="85"/>
      <c r="K605" s="131"/>
      <c r="L605" s="60"/>
      <c r="M605" s="47"/>
      <c r="Q605" s="3"/>
      <c r="R605" s="3"/>
      <c r="S605" s="3"/>
      <c r="T605" s="3"/>
      <c r="U605" s="3"/>
      <c r="V605" s="3"/>
      <c r="W605" s="3"/>
      <c r="X605" s="3"/>
      <c r="Y605" s="3"/>
      <c r="Z605" s="4"/>
      <c r="AA605"/>
      <c r="AB605"/>
    </row>
    <row r="606" spans="1:28" s="37" customFormat="1" x14ac:dyDescent="0.15">
      <c r="A606" s="70"/>
      <c r="B606" s="82"/>
      <c r="C606" s="70"/>
      <c r="D606" s="70"/>
      <c r="E606" s="70"/>
      <c r="F606" s="70"/>
      <c r="G606" s="70"/>
      <c r="H606" s="93"/>
      <c r="I606" s="85"/>
      <c r="J606" s="85"/>
      <c r="K606" s="131"/>
      <c r="L606" s="60"/>
      <c r="M606" s="49"/>
      <c r="Q606" s="3"/>
      <c r="R606" s="3"/>
      <c r="S606" s="3"/>
      <c r="T606" s="3"/>
      <c r="U606" s="3"/>
      <c r="V606" s="3"/>
      <c r="W606" s="3"/>
      <c r="X606" s="3"/>
      <c r="Y606" s="3"/>
      <c r="Z606" s="4"/>
      <c r="AA606"/>
      <c r="AB606"/>
    </row>
    <row r="607" spans="1:28" s="37" customFormat="1" x14ac:dyDescent="0.15">
      <c r="A607" s="70"/>
      <c r="B607" s="82"/>
      <c r="C607" s="70"/>
      <c r="D607" s="70"/>
      <c r="E607" s="70"/>
      <c r="F607" s="70"/>
      <c r="G607" s="70"/>
      <c r="H607" s="93"/>
      <c r="I607" s="85"/>
      <c r="J607" s="85"/>
      <c r="K607" s="131"/>
      <c r="L607" s="60"/>
      <c r="M607" s="49"/>
      <c r="Q607" s="3"/>
      <c r="R607" s="3"/>
      <c r="S607" s="3"/>
      <c r="T607" s="3"/>
      <c r="U607" s="3"/>
      <c r="V607" s="3"/>
      <c r="W607" s="3"/>
      <c r="X607" s="3"/>
      <c r="Y607" s="3"/>
      <c r="Z607" s="4"/>
      <c r="AA607"/>
      <c r="AB607"/>
    </row>
    <row r="608" spans="1:28" s="37" customFormat="1" x14ac:dyDescent="0.15">
      <c r="A608" s="70"/>
      <c r="B608" s="82"/>
      <c r="C608" s="70"/>
      <c r="D608" s="70"/>
      <c r="E608" s="70"/>
      <c r="F608" s="70"/>
      <c r="G608" s="70"/>
      <c r="H608" s="93"/>
      <c r="I608" s="85"/>
      <c r="J608" s="85"/>
      <c r="K608" s="131"/>
      <c r="L608" s="60"/>
      <c r="M608" s="49"/>
      <c r="Q608" s="3"/>
      <c r="R608" s="3"/>
      <c r="S608" s="3"/>
      <c r="T608" s="3"/>
      <c r="U608" s="3"/>
      <c r="V608" s="3"/>
      <c r="W608" s="3"/>
      <c r="X608" s="3"/>
      <c r="Y608" s="3"/>
      <c r="Z608" s="4"/>
      <c r="AA608"/>
      <c r="AB608"/>
    </row>
    <row r="609" spans="1:28" s="37" customFormat="1" ht="16" x14ac:dyDescent="0.2">
      <c r="A609" s="70"/>
      <c r="B609" s="82"/>
      <c r="C609" s="70"/>
      <c r="D609" s="70"/>
      <c r="E609" s="70"/>
      <c r="F609" s="70"/>
      <c r="G609" s="70"/>
      <c r="H609" s="93"/>
      <c r="I609" s="85"/>
      <c r="J609" s="85"/>
      <c r="K609" s="131"/>
      <c r="L609" s="60"/>
      <c r="M609" s="47"/>
      <c r="Q609" s="3"/>
      <c r="R609" s="3"/>
      <c r="S609" s="3"/>
      <c r="T609" s="3"/>
      <c r="U609" s="3"/>
      <c r="V609" s="3"/>
      <c r="W609" s="3"/>
      <c r="X609" s="3"/>
      <c r="Y609" s="3"/>
      <c r="Z609" s="4"/>
      <c r="AA609"/>
      <c r="AB609"/>
    </row>
    <row r="610" spans="1:28" s="37" customFormat="1" x14ac:dyDescent="0.15">
      <c r="A610" s="166"/>
      <c r="B610" s="82"/>
      <c r="C610" s="70"/>
      <c r="D610" s="70"/>
      <c r="E610" s="70"/>
      <c r="F610" s="70"/>
      <c r="G610" s="70"/>
      <c r="H610" s="93"/>
      <c r="I610" s="85"/>
      <c r="J610" s="85"/>
      <c r="K610" s="131"/>
      <c r="L610" s="60"/>
      <c r="M610" s="49"/>
      <c r="Q610" s="3"/>
      <c r="R610" s="3"/>
      <c r="S610" s="3"/>
      <c r="T610" s="3"/>
      <c r="U610" s="3"/>
      <c r="V610" s="3"/>
      <c r="W610" s="3"/>
      <c r="X610" s="3"/>
      <c r="Y610" s="3"/>
      <c r="Z610" s="4"/>
      <c r="AA610"/>
      <c r="AB610"/>
    </row>
    <row r="611" spans="1:28" s="37" customFormat="1" x14ac:dyDescent="0.15">
      <c r="A611" s="166"/>
      <c r="B611" s="82"/>
      <c r="C611" s="70"/>
      <c r="D611" s="70"/>
      <c r="E611" s="70"/>
      <c r="F611" s="70"/>
      <c r="G611" s="70"/>
      <c r="H611" s="93"/>
      <c r="I611" s="85"/>
      <c r="J611" s="85"/>
      <c r="K611" s="131"/>
      <c r="L611" s="60"/>
      <c r="M611" s="49"/>
      <c r="Q611" s="3"/>
      <c r="R611" s="3"/>
      <c r="S611" s="3"/>
      <c r="T611" s="3"/>
      <c r="U611" s="3"/>
      <c r="V611" s="3"/>
      <c r="W611" s="3"/>
      <c r="X611" s="3"/>
      <c r="Y611" s="3"/>
      <c r="Z611" s="4"/>
      <c r="AA611"/>
      <c r="AB611"/>
    </row>
    <row r="612" spans="1:28" s="37" customFormat="1" x14ac:dyDescent="0.15">
      <c r="A612" s="166"/>
      <c r="B612" s="82"/>
      <c r="C612" s="70"/>
      <c r="D612" s="70"/>
      <c r="E612" s="70"/>
      <c r="F612" s="70"/>
      <c r="G612" s="70"/>
      <c r="H612" s="93"/>
      <c r="I612" s="85"/>
      <c r="J612" s="85"/>
      <c r="K612" s="131"/>
      <c r="L612" s="60"/>
      <c r="M612" s="49"/>
      <c r="Q612" s="3"/>
      <c r="R612" s="3"/>
      <c r="S612" s="3"/>
      <c r="T612" s="3"/>
      <c r="U612" s="3"/>
      <c r="V612" s="3"/>
      <c r="W612" s="3"/>
      <c r="X612" s="3"/>
      <c r="Y612" s="3"/>
      <c r="Z612" s="4"/>
      <c r="AA612"/>
      <c r="AB612"/>
    </row>
    <row r="613" spans="1:28" s="37" customFormat="1" x14ac:dyDescent="0.15">
      <c r="A613" s="166"/>
      <c r="B613" s="82"/>
      <c r="C613" s="70"/>
      <c r="D613" s="70"/>
      <c r="E613" s="70"/>
      <c r="F613" s="70"/>
      <c r="G613" s="70"/>
      <c r="H613" s="93"/>
      <c r="I613" s="85"/>
      <c r="J613" s="85"/>
      <c r="K613" s="131"/>
      <c r="L613" s="60"/>
      <c r="M613" s="49"/>
      <c r="Q613" s="3"/>
      <c r="R613" s="3"/>
      <c r="S613" s="3"/>
      <c r="T613" s="3"/>
      <c r="U613" s="3"/>
      <c r="V613" s="3"/>
      <c r="W613" s="3"/>
      <c r="X613" s="3"/>
      <c r="Y613" s="3"/>
      <c r="Z613" s="4"/>
      <c r="AA613"/>
      <c r="AB613"/>
    </row>
    <row r="614" spans="1:28" s="37" customFormat="1" ht="16" x14ac:dyDescent="0.2">
      <c r="A614" s="166"/>
      <c r="B614" s="82"/>
      <c r="C614" s="70"/>
      <c r="D614" s="70"/>
      <c r="E614" s="70"/>
      <c r="F614" s="70"/>
      <c r="G614" s="70"/>
      <c r="H614" s="93"/>
      <c r="I614" s="85"/>
      <c r="J614" s="85"/>
      <c r="K614" s="131"/>
      <c r="L614" s="60"/>
      <c r="M614" s="47"/>
      <c r="Q614" s="3"/>
      <c r="R614" s="3"/>
      <c r="S614" s="3"/>
      <c r="T614" s="3"/>
      <c r="U614" s="3"/>
      <c r="V614" s="3"/>
      <c r="W614" s="3"/>
      <c r="X614" s="3"/>
      <c r="Y614" s="3"/>
      <c r="Z614" s="4"/>
      <c r="AA614"/>
      <c r="AB614"/>
    </row>
    <row r="615" spans="1:28" s="37" customFormat="1" ht="16" x14ac:dyDescent="0.2">
      <c r="A615" s="166"/>
      <c r="B615" s="82"/>
      <c r="C615" s="70"/>
      <c r="D615" s="70"/>
      <c r="E615" s="70"/>
      <c r="F615" s="70"/>
      <c r="G615" s="70"/>
      <c r="H615" s="93"/>
      <c r="I615" s="85"/>
      <c r="J615" s="85"/>
      <c r="K615" s="131"/>
      <c r="L615" s="60"/>
      <c r="M615" s="47"/>
      <c r="Q615" s="3"/>
      <c r="R615" s="3"/>
      <c r="S615" s="3"/>
      <c r="T615" s="3"/>
      <c r="U615" s="3"/>
      <c r="V615" s="3"/>
      <c r="W615" s="3"/>
      <c r="X615" s="3"/>
      <c r="Y615" s="3"/>
      <c r="Z615" s="4"/>
      <c r="AA615"/>
      <c r="AB615"/>
    </row>
    <row r="616" spans="1:28" s="37" customFormat="1" ht="16" x14ac:dyDescent="0.2">
      <c r="A616" s="166"/>
      <c r="B616" s="82"/>
      <c r="C616" s="70"/>
      <c r="D616" s="70"/>
      <c r="E616" s="70"/>
      <c r="F616" s="70"/>
      <c r="G616" s="70"/>
      <c r="H616" s="93"/>
      <c r="I616" s="85"/>
      <c r="J616" s="85"/>
      <c r="K616" s="131"/>
      <c r="L616" s="60"/>
      <c r="M616" s="47"/>
      <c r="Q616" s="3"/>
      <c r="R616" s="3"/>
      <c r="S616" s="3"/>
      <c r="T616" s="3"/>
      <c r="U616" s="3"/>
      <c r="V616" s="3"/>
      <c r="W616" s="3"/>
      <c r="X616" s="3"/>
      <c r="Y616" s="3"/>
      <c r="Z616" s="4"/>
      <c r="AA616"/>
      <c r="AB616"/>
    </row>
    <row r="617" spans="1:28" s="37" customFormat="1" x14ac:dyDescent="0.15">
      <c r="A617" s="166"/>
      <c r="B617" s="82"/>
      <c r="C617" s="70"/>
      <c r="D617" s="70"/>
      <c r="E617" s="70"/>
      <c r="F617" s="70"/>
      <c r="G617" s="70"/>
      <c r="H617" s="93"/>
      <c r="I617" s="85"/>
      <c r="J617" s="85"/>
      <c r="K617" s="131"/>
      <c r="L617" s="60"/>
      <c r="M617" s="49"/>
      <c r="Q617" s="3"/>
      <c r="R617" s="3"/>
      <c r="S617" s="3"/>
      <c r="T617" s="3"/>
      <c r="U617" s="3"/>
      <c r="V617" s="3"/>
      <c r="W617" s="3"/>
      <c r="X617" s="3"/>
      <c r="Y617" s="3"/>
      <c r="Z617" s="4"/>
      <c r="AA617"/>
      <c r="AB617"/>
    </row>
    <row r="618" spans="1:28" s="37" customFormat="1" ht="16" x14ac:dyDescent="0.2">
      <c r="A618" s="166"/>
      <c r="B618" s="82"/>
      <c r="C618" s="70"/>
      <c r="D618" s="70"/>
      <c r="E618" s="70"/>
      <c r="F618" s="70"/>
      <c r="G618" s="70"/>
      <c r="H618" s="93"/>
      <c r="I618" s="85"/>
      <c r="J618" s="85"/>
      <c r="K618" s="131"/>
      <c r="L618" s="60"/>
      <c r="M618" s="47"/>
      <c r="Q618" s="3"/>
      <c r="R618" s="3"/>
      <c r="S618" s="3"/>
      <c r="T618" s="3"/>
      <c r="U618" s="3"/>
      <c r="V618" s="3"/>
      <c r="W618" s="3"/>
      <c r="X618" s="3"/>
      <c r="Y618" s="3"/>
      <c r="Z618" s="4"/>
      <c r="AA618"/>
      <c r="AB618"/>
    </row>
    <row r="619" spans="1:28" s="37" customFormat="1" x14ac:dyDescent="0.15">
      <c r="A619" s="166"/>
      <c r="B619" s="82"/>
      <c r="C619" s="70"/>
      <c r="D619" s="70"/>
      <c r="E619" s="70"/>
      <c r="F619" s="70"/>
      <c r="G619" s="70"/>
      <c r="H619" s="93"/>
      <c r="I619" s="85"/>
      <c r="J619" s="85"/>
      <c r="K619" s="131"/>
      <c r="L619" s="60"/>
      <c r="M619" s="49"/>
      <c r="Q619" s="3"/>
      <c r="R619" s="3"/>
      <c r="S619" s="3"/>
      <c r="T619" s="3"/>
      <c r="U619" s="3"/>
      <c r="V619" s="3"/>
      <c r="W619" s="3"/>
      <c r="X619" s="3"/>
      <c r="Y619" s="3"/>
      <c r="Z619" s="4"/>
      <c r="AA619"/>
      <c r="AB619"/>
    </row>
    <row r="620" spans="1:28" s="37" customFormat="1" x14ac:dyDescent="0.15">
      <c r="A620" s="166"/>
      <c r="B620" s="82"/>
      <c r="C620" s="70"/>
      <c r="D620" s="70"/>
      <c r="E620" s="70"/>
      <c r="F620" s="70"/>
      <c r="G620" s="70"/>
      <c r="H620" s="93"/>
      <c r="I620" s="85"/>
      <c r="J620" s="85"/>
      <c r="K620" s="131"/>
      <c r="L620" s="60"/>
      <c r="M620" s="49"/>
      <c r="Q620" s="3"/>
      <c r="R620" s="3"/>
      <c r="S620" s="3"/>
      <c r="T620" s="3"/>
      <c r="U620" s="3"/>
      <c r="V620" s="3"/>
      <c r="W620" s="3"/>
      <c r="X620" s="3"/>
      <c r="Y620" s="3"/>
      <c r="Z620" s="4"/>
      <c r="AA620"/>
      <c r="AB620"/>
    </row>
    <row r="621" spans="1:28" s="37" customFormat="1" x14ac:dyDescent="0.15">
      <c r="A621" s="166"/>
      <c r="B621" s="82"/>
      <c r="C621" s="70"/>
      <c r="D621" s="70"/>
      <c r="E621" s="70"/>
      <c r="F621" s="70"/>
      <c r="G621" s="70"/>
      <c r="H621" s="93"/>
      <c r="I621" s="85"/>
      <c r="J621" s="85"/>
      <c r="K621" s="131"/>
      <c r="L621" s="60"/>
      <c r="M621" s="49"/>
      <c r="Q621" s="3"/>
      <c r="R621" s="3"/>
      <c r="S621" s="3"/>
      <c r="T621" s="3"/>
      <c r="U621" s="3"/>
      <c r="V621" s="3"/>
      <c r="W621" s="3"/>
      <c r="X621" s="3"/>
      <c r="Y621" s="3"/>
      <c r="Z621" s="4"/>
      <c r="AA621"/>
      <c r="AB621"/>
    </row>
    <row r="622" spans="1:28" s="37" customFormat="1" x14ac:dyDescent="0.15">
      <c r="A622" s="166"/>
      <c r="B622" s="93"/>
      <c r="C622" s="70"/>
      <c r="D622" s="70"/>
      <c r="E622" s="73"/>
      <c r="F622" s="70"/>
      <c r="G622" s="70"/>
      <c r="H622" s="93"/>
      <c r="I622" s="85"/>
      <c r="J622" s="85"/>
      <c r="K622" s="131"/>
      <c r="L622" s="60"/>
      <c r="M622" s="49"/>
      <c r="Q622" s="3"/>
      <c r="R622" s="3"/>
      <c r="S622" s="3"/>
      <c r="T622" s="3"/>
      <c r="U622" s="3"/>
      <c r="V622" s="3"/>
      <c r="W622" s="3"/>
      <c r="X622" s="3"/>
      <c r="Y622" s="3"/>
      <c r="Z622" s="4"/>
      <c r="AA622"/>
      <c r="AB622"/>
    </row>
    <row r="623" spans="1:28" s="37" customFormat="1" x14ac:dyDescent="0.15">
      <c r="A623" s="166"/>
      <c r="B623" s="82"/>
      <c r="C623" s="70"/>
      <c r="D623" s="70"/>
      <c r="E623" s="70"/>
      <c r="F623" s="70"/>
      <c r="G623" s="70"/>
      <c r="H623" s="93"/>
      <c r="I623" s="85"/>
      <c r="J623" s="85"/>
      <c r="K623" s="131"/>
      <c r="L623" s="60"/>
      <c r="M623" s="49"/>
      <c r="Q623" s="3"/>
      <c r="R623" s="3"/>
      <c r="S623" s="3"/>
      <c r="T623" s="3"/>
      <c r="U623" s="3"/>
      <c r="V623" s="3"/>
      <c r="W623" s="3"/>
      <c r="X623" s="3"/>
      <c r="Y623" s="3"/>
      <c r="Z623" s="4"/>
      <c r="AA623"/>
      <c r="AB623"/>
    </row>
    <row r="624" spans="1:28" s="37" customFormat="1" ht="16" x14ac:dyDescent="0.2">
      <c r="A624" s="166"/>
      <c r="B624" s="82"/>
      <c r="C624" s="70"/>
      <c r="D624" s="70"/>
      <c r="E624" s="70"/>
      <c r="F624" s="70"/>
      <c r="G624" s="70"/>
      <c r="H624" s="93"/>
      <c r="I624" s="85"/>
      <c r="J624" s="85"/>
      <c r="K624" s="131"/>
      <c r="L624" s="60"/>
      <c r="M624" s="47"/>
      <c r="Q624" s="3"/>
      <c r="R624" s="3"/>
      <c r="S624" s="3"/>
      <c r="T624" s="3"/>
      <c r="U624" s="3"/>
      <c r="V624" s="3"/>
      <c r="W624" s="3"/>
      <c r="X624" s="3"/>
      <c r="Y624" s="3"/>
      <c r="Z624" s="4"/>
      <c r="AA624"/>
      <c r="AB624"/>
    </row>
    <row r="625" spans="1:28" s="37" customFormat="1" x14ac:dyDescent="0.15">
      <c r="A625" s="166"/>
      <c r="B625" s="82"/>
      <c r="C625" s="70"/>
      <c r="D625" s="70"/>
      <c r="E625" s="70"/>
      <c r="F625" s="70"/>
      <c r="G625" s="70"/>
      <c r="H625" s="93"/>
      <c r="I625" s="85"/>
      <c r="J625" s="85"/>
      <c r="K625" s="131"/>
      <c r="L625" s="60"/>
      <c r="M625" s="49"/>
      <c r="Q625" s="3"/>
      <c r="R625" s="3"/>
      <c r="S625" s="3"/>
      <c r="T625" s="3"/>
      <c r="U625" s="3"/>
      <c r="V625" s="3"/>
      <c r="W625" s="3"/>
      <c r="X625" s="3"/>
      <c r="Y625" s="3"/>
      <c r="Z625" s="4"/>
      <c r="AA625"/>
      <c r="AB625"/>
    </row>
    <row r="626" spans="1:28" s="37" customFormat="1" x14ac:dyDescent="0.15">
      <c r="A626" s="166"/>
      <c r="B626" s="82"/>
      <c r="C626" s="70"/>
      <c r="D626" s="70"/>
      <c r="E626" s="70"/>
      <c r="F626" s="70"/>
      <c r="G626" s="70"/>
      <c r="H626" s="93"/>
      <c r="I626" s="85"/>
      <c r="J626" s="85"/>
      <c r="K626" s="131"/>
      <c r="L626" s="60"/>
      <c r="M626" s="49"/>
      <c r="Q626" s="3"/>
      <c r="R626" s="3"/>
      <c r="S626" s="3"/>
      <c r="T626" s="3"/>
      <c r="U626" s="3"/>
      <c r="V626" s="3"/>
      <c r="W626" s="3"/>
      <c r="X626" s="3"/>
      <c r="Y626" s="3"/>
      <c r="Z626" s="4"/>
      <c r="AA626"/>
      <c r="AB626"/>
    </row>
    <row r="627" spans="1:28" s="37" customFormat="1" x14ac:dyDescent="0.15">
      <c r="A627" s="165"/>
      <c r="B627" s="97"/>
      <c r="C627" s="62"/>
      <c r="D627" s="62"/>
      <c r="E627" s="62"/>
      <c r="F627" s="62"/>
      <c r="G627" s="62"/>
      <c r="H627" s="97"/>
      <c r="I627" s="85"/>
      <c r="J627" s="98"/>
      <c r="K627" s="135"/>
      <c r="L627" s="67"/>
      <c r="M627" s="56"/>
      <c r="Q627" s="3"/>
      <c r="R627" s="3"/>
      <c r="S627" s="3"/>
      <c r="T627" s="3"/>
      <c r="U627" s="3"/>
      <c r="V627" s="3"/>
      <c r="W627" s="3"/>
      <c r="X627" s="3"/>
      <c r="Y627" s="3"/>
      <c r="Z627" s="4"/>
      <c r="AA627"/>
      <c r="AB627"/>
    </row>
    <row r="628" spans="1:28" s="37" customFormat="1" x14ac:dyDescent="0.15">
      <c r="A628" s="166"/>
      <c r="B628" s="82"/>
      <c r="C628" s="70"/>
      <c r="D628" s="70"/>
      <c r="E628" s="70"/>
      <c r="F628" s="70"/>
      <c r="G628" s="70"/>
      <c r="H628" s="93"/>
      <c r="I628" s="85"/>
      <c r="J628" s="85"/>
      <c r="K628" s="131"/>
      <c r="L628" s="60"/>
      <c r="M628" s="49"/>
      <c r="Q628" s="3"/>
      <c r="R628" s="3"/>
      <c r="S628" s="3"/>
      <c r="T628" s="3"/>
      <c r="U628" s="3"/>
      <c r="V628" s="3"/>
      <c r="W628" s="3"/>
      <c r="X628" s="3"/>
      <c r="Y628" s="3"/>
      <c r="Z628" s="4"/>
      <c r="AA628"/>
      <c r="AB628"/>
    </row>
    <row r="629" spans="1:28" s="37" customFormat="1" ht="16" x14ac:dyDescent="0.2">
      <c r="A629" s="166"/>
      <c r="B629" s="82"/>
      <c r="C629" s="70"/>
      <c r="D629" s="70"/>
      <c r="E629" s="70"/>
      <c r="F629" s="70"/>
      <c r="G629" s="70"/>
      <c r="H629" s="93"/>
      <c r="I629" s="85"/>
      <c r="J629" s="85"/>
      <c r="K629" s="131"/>
      <c r="L629" s="60"/>
      <c r="M629" s="47"/>
      <c r="Q629" s="3"/>
      <c r="R629" s="3"/>
      <c r="S629" s="3"/>
      <c r="T629" s="3"/>
      <c r="U629" s="3"/>
      <c r="V629" s="3"/>
      <c r="W629" s="3"/>
      <c r="X629" s="3"/>
      <c r="Y629" s="3"/>
      <c r="Z629" s="4"/>
      <c r="AA629"/>
      <c r="AB629"/>
    </row>
    <row r="630" spans="1:28" s="37" customFormat="1" x14ac:dyDescent="0.15">
      <c r="A630" s="166"/>
      <c r="B630" s="82"/>
      <c r="C630" s="70"/>
      <c r="D630" s="70"/>
      <c r="E630" s="70"/>
      <c r="F630" s="70"/>
      <c r="G630" s="70"/>
      <c r="H630" s="93"/>
      <c r="I630" s="85"/>
      <c r="J630" s="85"/>
      <c r="K630" s="131"/>
      <c r="L630" s="60"/>
      <c r="M630" s="49"/>
      <c r="Q630" s="3"/>
      <c r="R630" s="3"/>
      <c r="S630" s="3"/>
      <c r="T630" s="3"/>
      <c r="U630" s="3"/>
      <c r="V630" s="3"/>
      <c r="W630" s="3"/>
      <c r="X630" s="3"/>
      <c r="Y630" s="3"/>
      <c r="Z630" s="4"/>
      <c r="AA630"/>
      <c r="AB630"/>
    </row>
    <row r="631" spans="1:28" s="37" customFormat="1" x14ac:dyDescent="0.15">
      <c r="A631" s="166"/>
      <c r="B631" s="82"/>
      <c r="C631" s="73"/>
      <c r="D631" s="73"/>
      <c r="E631" s="73"/>
      <c r="F631" s="73"/>
      <c r="G631" s="73"/>
      <c r="H631" s="108"/>
      <c r="I631" s="85"/>
      <c r="J631" s="85"/>
      <c r="K631" s="131"/>
      <c r="L631" s="60"/>
      <c r="M631" s="49"/>
      <c r="Q631" s="3"/>
      <c r="R631" s="3"/>
      <c r="S631" s="3"/>
      <c r="T631" s="3"/>
      <c r="U631" s="3"/>
      <c r="V631" s="3"/>
      <c r="W631" s="3"/>
      <c r="X631" s="3"/>
      <c r="Y631" s="3"/>
      <c r="Z631" s="4"/>
      <c r="AA631"/>
      <c r="AB631"/>
    </row>
    <row r="632" spans="1:28" s="37" customFormat="1" x14ac:dyDescent="0.15">
      <c r="A632" s="166"/>
      <c r="B632" s="82"/>
      <c r="C632" s="70"/>
      <c r="D632" s="70"/>
      <c r="E632" s="70"/>
      <c r="F632" s="70"/>
      <c r="G632" s="70"/>
      <c r="H632" s="93"/>
      <c r="I632" s="85"/>
      <c r="J632" s="85"/>
      <c r="K632" s="131"/>
      <c r="L632" s="60"/>
      <c r="M632" s="49"/>
      <c r="Q632" s="3"/>
      <c r="R632" s="3"/>
      <c r="S632" s="3"/>
      <c r="T632" s="3"/>
      <c r="U632" s="3"/>
      <c r="V632" s="3"/>
      <c r="W632" s="3"/>
      <c r="X632" s="3"/>
      <c r="Y632" s="3"/>
      <c r="Z632" s="4"/>
      <c r="AA632"/>
      <c r="AB632"/>
    </row>
    <row r="633" spans="1:28" s="37" customFormat="1" ht="16" x14ac:dyDescent="0.2">
      <c r="A633" s="166"/>
      <c r="B633" s="82"/>
      <c r="C633" s="70"/>
      <c r="D633" s="70"/>
      <c r="E633" s="70"/>
      <c r="F633" s="70"/>
      <c r="G633" s="70"/>
      <c r="H633" s="93"/>
      <c r="I633" s="85"/>
      <c r="J633" s="85"/>
      <c r="K633" s="131"/>
      <c r="L633" s="69"/>
      <c r="M633" s="47"/>
      <c r="Q633" s="3"/>
      <c r="R633" s="3"/>
      <c r="S633" s="3"/>
      <c r="T633" s="3"/>
      <c r="U633" s="3"/>
      <c r="V633" s="3"/>
      <c r="W633" s="3"/>
      <c r="X633" s="3"/>
      <c r="Y633" s="3"/>
      <c r="Z633" s="4"/>
      <c r="AA633"/>
      <c r="AB633"/>
    </row>
    <row r="634" spans="1:28" s="37" customFormat="1" x14ac:dyDescent="0.15">
      <c r="A634" s="166"/>
      <c r="B634" s="82"/>
      <c r="C634" s="70"/>
      <c r="D634" s="70"/>
      <c r="E634" s="70"/>
      <c r="F634" s="70"/>
      <c r="G634" s="70"/>
      <c r="H634" s="93"/>
      <c r="I634" s="85"/>
      <c r="J634" s="85"/>
      <c r="K634" s="131"/>
      <c r="L634" s="60"/>
      <c r="M634" s="49"/>
      <c r="Q634" s="3"/>
      <c r="R634" s="3"/>
      <c r="S634" s="3"/>
      <c r="T634" s="3"/>
      <c r="U634" s="3"/>
      <c r="V634" s="3"/>
      <c r="W634" s="3"/>
      <c r="X634" s="3"/>
      <c r="Y634" s="3"/>
      <c r="Z634" s="4"/>
      <c r="AA634"/>
      <c r="AB634"/>
    </row>
    <row r="635" spans="1:28" s="37" customFormat="1" x14ac:dyDescent="0.15">
      <c r="A635" s="166"/>
      <c r="B635" s="82"/>
      <c r="C635" s="70"/>
      <c r="D635" s="70"/>
      <c r="E635" s="70"/>
      <c r="F635" s="70"/>
      <c r="G635" s="70"/>
      <c r="H635" s="93"/>
      <c r="I635" s="85"/>
      <c r="J635" s="85"/>
      <c r="K635" s="131"/>
      <c r="L635" s="60"/>
      <c r="M635" s="49"/>
      <c r="Q635" s="3"/>
      <c r="R635" s="3"/>
      <c r="S635" s="3"/>
      <c r="T635" s="3"/>
      <c r="U635" s="3"/>
      <c r="V635" s="3"/>
      <c r="W635" s="3"/>
      <c r="X635" s="3"/>
      <c r="Y635" s="3"/>
      <c r="Z635" s="4"/>
      <c r="AA635"/>
      <c r="AB635"/>
    </row>
    <row r="636" spans="1:28" s="37" customFormat="1" x14ac:dyDescent="0.15">
      <c r="A636" s="166"/>
      <c r="B636" s="82"/>
      <c r="C636" s="70"/>
      <c r="D636" s="70"/>
      <c r="E636" s="70"/>
      <c r="F636" s="70"/>
      <c r="G636" s="70"/>
      <c r="H636" s="93"/>
      <c r="I636" s="85"/>
      <c r="J636" s="85"/>
      <c r="K636" s="131"/>
      <c r="L636" s="60"/>
      <c r="M636" s="49"/>
      <c r="Q636" s="3"/>
      <c r="R636" s="3"/>
      <c r="S636" s="3"/>
      <c r="T636" s="3"/>
      <c r="U636" s="3"/>
      <c r="V636" s="3"/>
      <c r="W636" s="3"/>
      <c r="X636" s="3"/>
      <c r="Y636" s="3"/>
      <c r="Z636" s="4"/>
      <c r="AA636"/>
      <c r="AB636"/>
    </row>
    <row r="637" spans="1:28" s="37" customFormat="1" x14ac:dyDescent="0.15">
      <c r="A637" s="166"/>
      <c r="B637" s="82"/>
      <c r="C637" s="70"/>
      <c r="D637" s="70"/>
      <c r="E637" s="70"/>
      <c r="F637" s="70"/>
      <c r="G637" s="70"/>
      <c r="H637" s="93"/>
      <c r="I637" s="85"/>
      <c r="J637" s="85"/>
      <c r="K637" s="131"/>
      <c r="L637" s="60"/>
      <c r="M637" s="49"/>
      <c r="Q637" s="3"/>
      <c r="R637" s="3"/>
      <c r="S637" s="3"/>
      <c r="T637" s="3"/>
      <c r="U637" s="3"/>
      <c r="V637" s="3"/>
      <c r="W637" s="3"/>
      <c r="X637" s="3"/>
      <c r="Y637" s="3"/>
      <c r="Z637" s="4"/>
      <c r="AA637"/>
      <c r="AB637"/>
    </row>
    <row r="638" spans="1:28" s="37" customFormat="1" x14ac:dyDescent="0.15">
      <c r="A638" s="166"/>
      <c r="B638" s="82"/>
      <c r="C638" s="70"/>
      <c r="D638" s="70"/>
      <c r="E638" s="70"/>
      <c r="F638" s="70"/>
      <c r="G638" s="70"/>
      <c r="H638" s="93"/>
      <c r="I638" s="85"/>
      <c r="J638" s="85"/>
      <c r="K638" s="131"/>
      <c r="L638" s="60"/>
      <c r="M638" s="49"/>
      <c r="Q638" s="3"/>
      <c r="R638" s="3"/>
      <c r="S638" s="3"/>
      <c r="T638" s="3"/>
      <c r="U638" s="3"/>
      <c r="V638" s="3"/>
      <c r="W638" s="3"/>
      <c r="X638" s="3"/>
      <c r="Y638" s="3"/>
      <c r="Z638" s="4"/>
      <c r="AA638"/>
      <c r="AB638"/>
    </row>
    <row r="639" spans="1:28" s="37" customFormat="1" x14ac:dyDescent="0.15">
      <c r="A639" s="166"/>
      <c r="B639" s="82"/>
      <c r="C639" s="70"/>
      <c r="D639" s="70"/>
      <c r="E639" s="70"/>
      <c r="F639" s="70"/>
      <c r="G639" s="70"/>
      <c r="H639" s="93"/>
      <c r="I639" s="85"/>
      <c r="J639" s="85"/>
      <c r="K639" s="131"/>
      <c r="L639" s="60"/>
      <c r="M639" s="50"/>
      <c r="Q639" s="3"/>
      <c r="R639" s="3"/>
      <c r="S639" s="3"/>
      <c r="T639" s="3"/>
      <c r="U639" s="3"/>
      <c r="V639" s="3"/>
      <c r="W639" s="3"/>
      <c r="X639" s="3"/>
      <c r="Y639" s="3"/>
      <c r="Z639" s="4"/>
      <c r="AA639"/>
      <c r="AB639"/>
    </row>
    <row r="640" spans="1:28" s="37" customFormat="1" x14ac:dyDescent="0.15">
      <c r="A640" s="166"/>
      <c r="B640" s="82"/>
      <c r="C640" s="70"/>
      <c r="D640" s="70"/>
      <c r="E640" s="70"/>
      <c r="F640" s="70"/>
      <c r="G640" s="70"/>
      <c r="H640" s="93"/>
      <c r="I640" s="85"/>
      <c r="J640" s="85"/>
      <c r="K640" s="131"/>
      <c r="L640" s="63"/>
      <c r="M640" s="50"/>
      <c r="Q640" s="3"/>
      <c r="R640" s="3"/>
      <c r="S640" s="3"/>
      <c r="T640" s="3"/>
      <c r="U640" s="3"/>
      <c r="V640" s="3"/>
      <c r="W640" s="3"/>
      <c r="X640" s="3"/>
      <c r="Y640" s="3"/>
      <c r="Z640" s="4"/>
      <c r="AA640"/>
      <c r="AB640"/>
    </row>
    <row r="641" spans="1:28" s="37" customFormat="1" x14ac:dyDescent="0.15">
      <c r="A641" s="166"/>
      <c r="B641" s="82"/>
      <c r="C641" s="70"/>
      <c r="D641" s="70"/>
      <c r="E641" s="70"/>
      <c r="F641" s="70"/>
      <c r="G641" s="70"/>
      <c r="H641" s="93"/>
      <c r="I641" s="85"/>
      <c r="J641" s="85"/>
      <c r="K641" s="131"/>
      <c r="L641" s="69"/>
      <c r="M641" s="49"/>
      <c r="Q641" s="3"/>
      <c r="R641" s="3"/>
      <c r="S641" s="3"/>
      <c r="T641" s="3"/>
      <c r="U641" s="3"/>
      <c r="V641" s="3"/>
      <c r="W641" s="3"/>
      <c r="X641" s="3"/>
      <c r="Y641" s="3"/>
      <c r="Z641" s="4"/>
      <c r="AA641"/>
      <c r="AB641"/>
    </row>
    <row r="642" spans="1:28" s="37" customFormat="1" x14ac:dyDescent="0.15">
      <c r="A642" s="166"/>
      <c r="B642" s="82"/>
      <c r="C642" s="70"/>
      <c r="D642" s="70"/>
      <c r="E642" s="70"/>
      <c r="F642" s="70"/>
      <c r="G642" s="70"/>
      <c r="H642" s="93"/>
      <c r="I642" s="85"/>
      <c r="J642" s="85"/>
      <c r="K642" s="131"/>
      <c r="L642" s="69"/>
      <c r="M642" s="49"/>
      <c r="Q642" s="3"/>
      <c r="R642" s="3"/>
      <c r="S642" s="3"/>
      <c r="T642" s="3"/>
      <c r="U642" s="3"/>
      <c r="V642" s="3"/>
      <c r="W642" s="3"/>
      <c r="X642" s="3"/>
      <c r="Y642" s="3"/>
      <c r="Z642" s="4"/>
      <c r="AA642"/>
      <c r="AB642"/>
    </row>
    <row r="643" spans="1:28" s="37" customFormat="1" x14ac:dyDescent="0.15">
      <c r="A643" s="166"/>
      <c r="B643" s="82"/>
      <c r="C643" s="70"/>
      <c r="D643" s="70"/>
      <c r="E643" s="70"/>
      <c r="F643" s="70"/>
      <c r="G643" s="70"/>
      <c r="H643" s="93"/>
      <c r="I643" s="85"/>
      <c r="J643" s="85"/>
      <c r="K643" s="131"/>
      <c r="L643" s="69"/>
      <c r="M643" s="49"/>
      <c r="Q643" s="3"/>
      <c r="R643" s="3"/>
      <c r="S643" s="3"/>
      <c r="T643" s="3"/>
      <c r="U643" s="3"/>
      <c r="V643" s="3"/>
      <c r="W643" s="3"/>
      <c r="X643" s="3"/>
      <c r="Y643" s="3"/>
      <c r="Z643" s="4"/>
      <c r="AA643"/>
      <c r="AB643"/>
    </row>
    <row r="644" spans="1:28" s="37" customFormat="1" x14ac:dyDescent="0.15">
      <c r="A644" s="166"/>
      <c r="B644" s="82"/>
      <c r="C644" s="70"/>
      <c r="D644" s="70"/>
      <c r="E644" s="70"/>
      <c r="F644" s="70"/>
      <c r="G644" s="70"/>
      <c r="H644" s="93"/>
      <c r="I644" s="85"/>
      <c r="J644" s="85"/>
      <c r="K644" s="131"/>
      <c r="L644" s="60"/>
      <c r="M644" s="49"/>
      <c r="Q644" s="3"/>
      <c r="R644" s="3"/>
      <c r="S644" s="3"/>
      <c r="T644" s="3"/>
      <c r="U644" s="3"/>
      <c r="V644" s="3"/>
      <c r="W644" s="3"/>
      <c r="X644" s="3"/>
      <c r="Y644" s="3"/>
      <c r="Z644" s="4"/>
      <c r="AA644"/>
      <c r="AB644"/>
    </row>
    <row r="645" spans="1:28" s="37" customFormat="1" x14ac:dyDescent="0.15">
      <c r="A645" s="166"/>
      <c r="B645" s="82"/>
      <c r="C645" s="70"/>
      <c r="D645" s="70"/>
      <c r="E645" s="70"/>
      <c r="F645" s="70"/>
      <c r="G645" s="70"/>
      <c r="H645" s="93"/>
      <c r="I645" s="85"/>
      <c r="J645" s="85"/>
      <c r="K645" s="131"/>
      <c r="L645" s="60"/>
      <c r="M645" s="49"/>
      <c r="Q645" s="3"/>
      <c r="R645" s="3"/>
      <c r="S645" s="3"/>
      <c r="T645" s="3"/>
      <c r="U645" s="3"/>
      <c r="V645" s="3"/>
      <c r="W645" s="3"/>
      <c r="X645" s="3"/>
      <c r="Y645" s="3"/>
      <c r="Z645" s="4"/>
      <c r="AA645"/>
      <c r="AB645"/>
    </row>
    <row r="646" spans="1:28" s="37" customFormat="1" x14ac:dyDescent="0.15">
      <c r="A646" s="166"/>
      <c r="B646" s="82"/>
      <c r="C646" s="70"/>
      <c r="D646" s="70"/>
      <c r="E646" s="70"/>
      <c r="F646" s="70"/>
      <c r="G646" s="70"/>
      <c r="H646" s="93"/>
      <c r="I646" s="85"/>
      <c r="J646" s="85"/>
      <c r="K646" s="131"/>
      <c r="L646" s="69"/>
      <c r="M646" s="49"/>
      <c r="Q646" s="3"/>
      <c r="R646" s="3"/>
      <c r="S646" s="3"/>
      <c r="T646" s="3"/>
      <c r="U646" s="3"/>
      <c r="V646" s="3"/>
      <c r="W646" s="3"/>
      <c r="X646" s="3"/>
      <c r="Y646" s="3"/>
      <c r="Z646" s="4"/>
      <c r="AA646"/>
      <c r="AB646"/>
    </row>
    <row r="647" spans="1:28" s="37" customFormat="1" x14ac:dyDescent="0.15">
      <c r="A647" s="166"/>
      <c r="B647" s="82"/>
      <c r="C647" s="70"/>
      <c r="D647" s="70"/>
      <c r="E647" s="73"/>
      <c r="F647" s="70"/>
      <c r="G647" s="70"/>
      <c r="H647" s="93"/>
      <c r="I647" s="85"/>
      <c r="J647" s="85"/>
      <c r="K647" s="131"/>
      <c r="L647" s="60"/>
      <c r="M647" s="49"/>
      <c r="Q647" s="3"/>
      <c r="R647" s="3"/>
      <c r="S647" s="3"/>
      <c r="T647" s="3"/>
      <c r="U647" s="3"/>
      <c r="V647" s="3"/>
      <c r="W647" s="3"/>
      <c r="X647" s="3"/>
      <c r="Y647" s="3"/>
      <c r="Z647" s="4"/>
      <c r="AA647"/>
      <c r="AB647"/>
    </row>
    <row r="648" spans="1:28" s="37" customFormat="1" x14ac:dyDescent="0.15">
      <c r="A648" s="166"/>
      <c r="B648" s="82"/>
      <c r="C648" s="70"/>
      <c r="D648" s="70"/>
      <c r="E648" s="70"/>
      <c r="F648" s="70"/>
      <c r="G648" s="70"/>
      <c r="H648" s="93"/>
      <c r="I648" s="85"/>
      <c r="J648" s="85"/>
      <c r="K648" s="131"/>
      <c r="L648" s="69"/>
      <c r="M648" s="49"/>
      <c r="Q648" s="3"/>
      <c r="R648" s="3"/>
      <c r="S648" s="3"/>
      <c r="T648" s="3"/>
      <c r="U648" s="3"/>
      <c r="V648" s="3"/>
      <c r="W648" s="3"/>
      <c r="X648" s="3"/>
      <c r="Y648" s="3"/>
      <c r="Z648" s="4"/>
      <c r="AA648"/>
      <c r="AB648"/>
    </row>
    <row r="649" spans="1:28" s="37" customFormat="1" x14ac:dyDescent="0.15">
      <c r="A649" s="166"/>
      <c r="B649" s="82"/>
      <c r="C649" s="70"/>
      <c r="D649" s="70"/>
      <c r="E649" s="70"/>
      <c r="F649" s="70"/>
      <c r="G649" s="70"/>
      <c r="H649" s="93"/>
      <c r="I649" s="85"/>
      <c r="J649" s="85"/>
      <c r="K649" s="131"/>
      <c r="L649" s="69"/>
      <c r="M649" s="49"/>
      <c r="Q649" s="3"/>
      <c r="R649" s="3"/>
      <c r="S649" s="3"/>
      <c r="T649" s="3"/>
      <c r="U649" s="3"/>
      <c r="V649" s="3"/>
      <c r="W649" s="3"/>
      <c r="X649" s="3"/>
      <c r="Y649" s="3"/>
      <c r="Z649" s="4"/>
      <c r="AA649"/>
      <c r="AB649"/>
    </row>
    <row r="650" spans="1:28" s="37" customFormat="1" x14ac:dyDescent="0.15">
      <c r="A650" s="166"/>
      <c r="B650" s="82"/>
      <c r="C650" s="70"/>
      <c r="D650" s="70"/>
      <c r="E650" s="70"/>
      <c r="F650" s="70"/>
      <c r="G650" s="70"/>
      <c r="H650" s="93"/>
      <c r="I650" s="85"/>
      <c r="J650" s="85"/>
      <c r="K650" s="131"/>
      <c r="L650" s="60"/>
      <c r="M650" s="49"/>
      <c r="Q650" s="3"/>
      <c r="R650" s="3"/>
      <c r="S650" s="3"/>
      <c r="T650" s="3"/>
      <c r="U650" s="3"/>
      <c r="V650" s="3"/>
      <c r="W650" s="3"/>
      <c r="X650" s="3"/>
      <c r="Y650" s="3"/>
      <c r="Z650" s="4"/>
      <c r="AA650"/>
      <c r="AB650"/>
    </row>
    <row r="651" spans="1:28" s="37" customFormat="1" x14ac:dyDescent="0.15">
      <c r="A651" s="166"/>
      <c r="B651" s="82"/>
      <c r="C651" s="70"/>
      <c r="D651" s="70"/>
      <c r="E651" s="70"/>
      <c r="F651" s="70"/>
      <c r="G651" s="70"/>
      <c r="H651" s="93"/>
      <c r="I651" s="85"/>
      <c r="J651" s="85"/>
      <c r="K651" s="131"/>
      <c r="L651" s="60"/>
      <c r="M651" s="49"/>
      <c r="Q651" s="3"/>
      <c r="R651" s="3"/>
      <c r="S651" s="3"/>
      <c r="T651" s="3"/>
      <c r="U651" s="3"/>
      <c r="V651" s="3"/>
      <c r="W651" s="3"/>
      <c r="X651" s="3"/>
      <c r="Y651" s="3"/>
      <c r="Z651" s="4"/>
      <c r="AA651"/>
      <c r="AB651"/>
    </row>
    <row r="652" spans="1:28" s="37" customFormat="1" x14ac:dyDescent="0.15">
      <c r="A652" s="166"/>
      <c r="B652" s="82"/>
      <c r="C652" s="73"/>
      <c r="D652" s="73"/>
      <c r="E652" s="73"/>
      <c r="F652" s="73"/>
      <c r="G652" s="73"/>
      <c r="H652" s="108"/>
      <c r="I652" s="85"/>
      <c r="J652" s="95"/>
      <c r="K652" s="131"/>
      <c r="L652" s="69"/>
      <c r="M652" s="49"/>
      <c r="Q652" s="3"/>
      <c r="R652" s="3"/>
      <c r="S652" s="3"/>
      <c r="T652" s="3"/>
      <c r="U652" s="3"/>
      <c r="V652" s="3"/>
      <c r="W652" s="3"/>
      <c r="X652" s="3"/>
      <c r="Y652" s="3"/>
      <c r="Z652" s="4"/>
      <c r="AA652"/>
      <c r="AB652"/>
    </row>
    <row r="653" spans="1:28" s="37" customFormat="1" x14ac:dyDescent="0.15">
      <c r="A653" s="166"/>
      <c r="B653" s="82"/>
      <c r="C653" s="70"/>
      <c r="D653" s="70"/>
      <c r="E653" s="70"/>
      <c r="F653" s="70"/>
      <c r="G653" s="70"/>
      <c r="H653" s="93"/>
      <c r="I653" s="85"/>
      <c r="J653" s="85"/>
      <c r="K653" s="131"/>
      <c r="L653" s="69"/>
      <c r="M653" s="49"/>
      <c r="Q653" s="3"/>
      <c r="R653" s="3"/>
      <c r="S653" s="3"/>
      <c r="T653" s="3"/>
      <c r="U653" s="3"/>
      <c r="V653" s="3"/>
      <c r="W653" s="3"/>
      <c r="X653" s="3"/>
      <c r="Y653" s="3"/>
      <c r="Z653" s="4"/>
      <c r="AA653"/>
      <c r="AB653"/>
    </row>
    <row r="654" spans="1:28" s="37" customFormat="1" x14ac:dyDescent="0.15">
      <c r="A654" s="166"/>
      <c r="B654" s="82"/>
      <c r="C654" s="70"/>
      <c r="D654" s="70"/>
      <c r="E654" s="70"/>
      <c r="F654" s="70"/>
      <c r="G654" s="70"/>
      <c r="H654" s="93"/>
      <c r="I654" s="85"/>
      <c r="J654" s="85"/>
      <c r="K654" s="131"/>
      <c r="L654" s="69"/>
      <c r="M654" s="49"/>
      <c r="Q654" s="3"/>
      <c r="R654" s="3"/>
      <c r="S654" s="3"/>
      <c r="T654" s="3"/>
      <c r="U654" s="3"/>
      <c r="V654" s="3"/>
      <c r="W654" s="3"/>
      <c r="X654" s="3"/>
      <c r="Y654" s="3"/>
      <c r="Z654" s="4"/>
      <c r="AA654"/>
      <c r="AB654"/>
    </row>
    <row r="655" spans="1:28" s="37" customFormat="1" x14ac:dyDescent="0.15">
      <c r="A655" s="166"/>
      <c r="B655" s="82"/>
      <c r="C655" s="70"/>
      <c r="D655" s="70"/>
      <c r="E655" s="70"/>
      <c r="F655" s="70"/>
      <c r="G655" s="70"/>
      <c r="H655" s="93"/>
      <c r="I655" s="85"/>
      <c r="J655" s="85"/>
      <c r="K655" s="131"/>
      <c r="L655" s="60"/>
      <c r="M655" s="49"/>
      <c r="Q655" s="3"/>
      <c r="R655" s="3"/>
      <c r="S655" s="3"/>
      <c r="T655" s="3"/>
      <c r="U655" s="3"/>
      <c r="V655" s="3"/>
      <c r="W655" s="3"/>
      <c r="X655" s="3"/>
      <c r="Y655" s="3"/>
      <c r="Z655" s="4"/>
      <c r="AA655"/>
      <c r="AB655"/>
    </row>
    <row r="656" spans="1:28" s="37" customFormat="1" x14ac:dyDescent="0.15">
      <c r="A656" s="166"/>
      <c r="B656" s="82"/>
      <c r="C656" s="70"/>
      <c r="D656" s="70"/>
      <c r="E656" s="70"/>
      <c r="F656" s="70"/>
      <c r="G656" s="70"/>
      <c r="H656" s="93"/>
      <c r="I656" s="85"/>
      <c r="J656" s="85"/>
      <c r="K656" s="131"/>
      <c r="L656" s="69"/>
      <c r="M656" s="49"/>
      <c r="Q656" s="3"/>
      <c r="R656" s="3"/>
      <c r="S656" s="3"/>
      <c r="T656" s="3"/>
      <c r="U656" s="3"/>
      <c r="V656" s="3"/>
      <c r="W656" s="3"/>
      <c r="X656" s="3"/>
      <c r="Y656" s="3"/>
      <c r="Z656" s="4"/>
      <c r="AA656"/>
      <c r="AB656"/>
    </row>
    <row r="657" spans="1:28" s="37" customFormat="1" x14ac:dyDescent="0.15">
      <c r="A657" s="166"/>
      <c r="B657" s="82"/>
      <c r="C657" s="70"/>
      <c r="D657" s="70"/>
      <c r="E657" s="70"/>
      <c r="F657" s="70"/>
      <c r="G657" s="70"/>
      <c r="H657" s="93"/>
      <c r="I657" s="85"/>
      <c r="J657" s="85"/>
      <c r="K657" s="131"/>
      <c r="L657" s="63"/>
      <c r="M657" s="49"/>
      <c r="Q657" s="3"/>
      <c r="R657" s="3"/>
      <c r="S657" s="3"/>
      <c r="T657" s="3"/>
      <c r="U657" s="3"/>
      <c r="V657" s="3"/>
      <c r="W657" s="3"/>
      <c r="X657" s="3"/>
      <c r="Y657" s="3"/>
      <c r="Z657" s="4"/>
      <c r="AA657"/>
      <c r="AB657"/>
    </row>
    <row r="658" spans="1:28" s="37" customFormat="1" x14ac:dyDescent="0.15">
      <c r="A658" s="166"/>
      <c r="B658" s="82"/>
      <c r="C658" s="70"/>
      <c r="D658" s="70"/>
      <c r="E658" s="70"/>
      <c r="F658" s="70"/>
      <c r="G658" s="70"/>
      <c r="H658" s="93"/>
      <c r="I658" s="85"/>
      <c r="J658" s="85"/>
      <c r="K658" s="131"/>
      <c r="L658" s="69"/>
      <c r="M658" s="50"/>
      <c r="Q658" s="3"/>
      <c r="R658" s="3"/>
      <c r="S658" s="3"/>
      <c r="T658" s="3"/>
      <c r="U658" s="3"/>
      <c r="V658" s="3"/>
      <c r="W658" s="3"/>
      <c r="X658" s="3"/>
      <c r="Y658" s="3"/>
      <c r="Z658" s="4"/>
      <c r="AA658"/>
      <c r="AB658"/>
    </row>
    <row r="659" spans="1:28" s="37" customFormat="1" x14ac:dyDescent="0.15">
      <c r="A659" s="166"/>
      <c r="B659" s="82"/>
      <c r="C659" s="70"/>
      <c r="D659" s="70"/>
      <c r="E659" s="70"/>
      <c r="F659" s="70"/>
      <c r="G659" s="70"/>
      <c r="H659" s="93"/>
      <c r="I659" s="85"/>
      <c r="J659" s="85"/>
      <c r="K659" s="131"/>
      <c r="L659" s="69"/>
      <c r="M659" s="50"/>
      <c r="Q659" s="3"/>
      <c r="R659" s="3"/>
      <c r="S659" s="3"/>
      <c r="T659" s="3"/>
      <c r="U659" s="3"/>
      <c r="V659" s="3"/>
      <c r="W659" s="3"/>
      <c r="X659" s="3"/>
      <c r="Y659" s="3"/>
      <c r="Z659" s="4"/>
      <c r="AA659"/>
      <c r="AB659"/>
    </row>
    <row r="660" spans="1:28" s="37" customFormat="1" x14ac:dyDescent="0.15">
      <c r="A660" s="166"/>
      <c r="B660" s="82"/>
      <c r="C660" s="70"/>
      <c r="D660" s="70"/>
      <c r="E660" s="70"/>
      <c r="F660" s="70"/>
      <c r="G660" s="70"/>
      <c r="H660" s="93"/>
      <c r="I660" s="85"/>
      <c r="J660" s="85"/>
      <c r="K660" s="131"/>
      <c r="L660" s="60"/>
      <c r="M660" s="50"/>
      <c r="Q660" s="3"/>
      <c r="R660" s="3"/>
      <c r="S660" s="3"/>
      <c r="T660" s="3"/>
      <c r="U660" s="3"/>
      <c r="V660" s="3"/>
      <c r="W660" s="3"/>
      <c r="X660" s="3"/>
      <c r="Y660" s="3"/>
      <c r="Z660" s="4"/>
      <c r="AA660"/>
      <c r="AB660"/>
    </row>
    <row r="661" spans="1:28" s="37" customFormat="1" x14ac:dyDescent="0.15">
      <c r="A661" s="166"/>
      <c r="B661" s="82"/>
      <c r="C661" s="70"/>
      <c r="D661" s="70"/>
      <c r="E661" s="70"/>
      <c r="F661" s="70"/>
      <c r="G661" s="70"/>
      <c r="H661" s="93"/>
      <c r="I661" s="85"/>
      <c r="J661" s="85"/>
      <c r="K661" s="131"/>
      <c r="L661" s="60"/>
      <c r="M661" s="50"/>
      <c r="Q661" s="3"/>
      <c r="R661" s="3"/>
      <c r="S661" s="3"/>
      <c r="T661" s="3"/>
      <c r="U661" s="3"/>
      <c r="V661" s="3"/>
      <c r="W661" s="3"/>
      <c r="X661" s="3"/>
      <c r="Y661" s="3"/>
      <c r="Z661" s="4"/>
      <c r="AA661"/>
      <c r="AB661"/>
    </row>
    <row r="662" spans="1:28" s="37" customFormat="1" x14ac:dyDescent="0.15">
      <c r="A662" s="166"/>
      <c r="B662" s="82"/>
      <c r="C662" s="70"/>
      <c r="D662" s="70"/>
      <c r="E662" s="70"/>
      <c r="F662" s="70"/>
      <c r="G662" s="70"/>
      <c r="H662" s="93"/>
      <c r="I662" s="85"/>
      <c r="J662" s="85"/>
      <c r="K662" s="131"/>
      <c r="L662" s="60"/>
      <c r="M662" s="50"/>
      <c r="Q662" s="3"/>
      <c r="R662" s="3"/>
      <c r="S662" s="3"/>
      <c r="T662" s="3"/>
      <c r="U662" s="3"/>
      <c r="V662" s="3"/>
      <c r="W662" s="3"/>
      <c r="X662" s="3"/>
      <c r="Y662" s="3"/>
      <c r="Z662" s="4"/>
      <c r="AA662"/>
      <c r="AB662"/>
    </row>
    <row r="663" spans="1:28" s="37" customFormat="1" x14ac:dyDescent="0.15">
      <c r="A663" s="166"/>
      <c r="B663" s="82"/>
      <c r="C663" s="70"/>
      <c r="D663" s="70"/>
      <c r="E663" s="70"/>
      <c r="F663" s="70"/>
      <c r="G663" s="70"/>
      <c r="H663" s="93"/>
      <c r="I663" s="85"/>
      <c r="J663" s="85"/>
      <c r="K663" s="131"/>
      <c r="L663" s="69"/>
      <c r="M663" s="50"/>
      <c r="Q663" s="3"/>
      <c r="R663" s="3"/>
      <c r="S663" s="3"/>
      <c r="T663" s="3"/>
      <c r="U663" s="3"/>
      <c r="V663" s="3"/>
      <c r="W663" s="3"/>
      <c r="X663" s="3"/>
      <c r="Y663" s="3"/>
      <c r="Z663" s="4"/>
      <c r="AA663"/>
      <c r="AB663"/>
    </row>
    <row r="664" spans="1:28" s="37" customFormat="1" x14ac:dyDescent="0.15">
      <c r="A664" s="166"/>
      <c r="B664" s="82"/>
      <c r="C664" s="70"/>
      <c r="D664" s="70"/>
      <c r="E664" s="70"/>
      <c r="F664" s="70"/>
      <c r="G664" s="70"/>
      <c r="H664" s="93"/>
      <c r="I664" s="85"/>
      <c r="J664" s="85"/>
      <c r="K664" s="131"/>
      <c r="L664" s="60"/>
      <c r="M664" s="49"/>
      <c r="Q664" s="3"/>
      <c r="R664" s="3"/>
      <c r="S664" s="3"/>
      <c r="T664" s="3"/>
      <c r="U664" s="3"/>
      <c r="V664" s="3"/>
      <c r="W664" s="3"/>
      <c r="X664" s="3"/>
      <c r="Y664" s="3"/>
      <c r="Z664" s="4"/>
      <c r="AA664"/>
      <c r="AB664"/>
    </row>
    <row r="665" spans="1:28" s="37" customFormat="1" x14ac:dyDescent="0.15">
      <c r="A665" s="166"/>
      <c r="B665" s="82"/>
      <c r="C665" s="70"/>
      <c r="D665" s="70"/>
      <c r="E665" s="70"/>
      <c r="F665" s="70"/>
      <c r="G665" s="70"/>
      <c r="H665" s="93"/>
      <c r="I665" s="85"/>
      <c r="J665" s="85"/>
      <c r="K665" s="131"/>
      <c r="L665" s="60"/>
      <c r="M665" s="49"/>
      <c r="Q665" s="3"/>
      <c r="R665" s="3"/>
      <c r="S665" s="3"/>
      <c r="T665" s="3"/>
      <c r="U665" s="3"/>
      <c r="V665" s="3"/>
      <c r="W665" s="3"/>
      <c r="X665" s="3"/>
      <c r="Y665" s="3"/>
      <c r="Z665" s="4"/>
      <c r="AA665"/>
      <c r="AB665"/>
    </row>
    <row r="666" spans="1:28" s="37" customFormat="1" x14ac:dyDescent="0.15">
      <c r="A666" s="166"/>
      <c r="B666" s="82"/>
      <c r="C666" s="70"/>
      <c r="D666" s="70"/>
      <c r="E666" s="70"/>
      <c r="F666" s="70"/>
      <c r="G666" s="70"/>
      <c r="H666" s="93"/>
      <c r="I666" s="85"/>
      <c r="J666" s="85"/>
      <c r="K666" s="131"/>
      <c r="L666" s="63"/>
      <c r="M666" s="49"/>
      <c r="Q666" s="3"/>
      <c r="R666" s="3"/>
      <c r="S666" s="3"/>
      <c r="T666" s="3"/>
      <c r="U666" s="3"/>
      <c r="V666" s="3"/>
      <c r="W666" s="3"/>
      <c r="X666" s="3"/>
      <c r="Y666" s="3"/>
      <c r="Z666" s="4"/>
      <c r="AA666"/>
      <c r="AB666"/>
    </row>
    <row r="667" spans="1:28" s="37" customFormat="1" x14ac:dyDescent="0.15">
      <c r="A667" s="166"/>
      <c r="B667" s="82"/>
      <c r="C667" s="70"/>
      <c r="D667" s="70"/>
      <c r="E667" s="70"/>
      <c r="F667" s="70"/>
      <c r="G667" s="70"/>
      <c r="H667" s="93"/>
      <c r="I667" s="85"/>
      <c r="J667" s="85"/>
      <c r="K667" s="131"/>
      <c r="L667" s="69"/>
      <c r="M667" s="49"/>
      <c r="Q667" s="3"/>
      <c r="R667" s="3"/>
      <c r="S667" s="3"/>
      <c r="T667" s="3"/>
      <c r="U667" s="3"/>
      <c r="V667" s="3"/>
      <c r="W667" s="3"/>
      <c r="X667" s="3"/>
      <c r="Y667" s="3"/>
      <c r="Z667" s="4"/>
      <c r="AA667"/>
      <c r="AB667"/>
    </row>
    <row r="668" spans="1:28" s="37" customFormat="1" x14ac:dyDescent="0.15">
      <c r="A668" s="166"/>
      <c r="B668" s="82"/>
      <c r="C668" s="70"/>
      <c r="D668" s="70"/>
      <c r="E668" s="70"/>
      <c r="F668" s="70"/>
      <c r="G668" s="70"/>
      <c r="H668" s="93"/>
      <c r="I668" s="85"/>
      <c r="J668" s="85"/>
      <c r="K668" s="131"/>
      <c r="L668" s="60"/>
      <c r="M668" s="49"/>
      <c r="Q668" s="3"/>
      <c r="R668" s="3"/>
      <c r="S668" s="3"/>
      <c r="T668" s="3"/>
      <c r="U668" s="3"/>
      <c r="V668" s="3"/>
      <c r="W668" s="3"/>
      <c r="X668" s="3"/>
      <c r="Y668" s="3"/>
      <c r="Z668" s="4"/>
      <c r="AA668"/>
      <c r="AB668"/>
    </row>
    <row r="669" spans="1:28" s="37" customFormat="1" x14ac:dyDescent="0.15">
      <c r="A669" s="166"/>
      <c r="B669" s="82"/>
      <c r="C669" s="70"/>
      <c r="D669" s="70"/>
      <c r="E669" s="70"/>
      <c r="F669" s="70"/>
      <c r="G669" s="70"/>
      <c r="H669" s="93"/>
      <c r="I669" s="85"/>
      <c r="J669" s="85"/>
      <c r="K669" s="131"/>
      <c r="L669" s="69"/>
      <c r="M669" s="49"/>
      <c r="Q669" s="3"/>
      <c r="R669" s="3"/>
      <c r="S669" s="3"/>
      <c r="T669" s="3"/>
      <c r="U669" s="3"/>
      <c r="V669" s="3"/>
      <c r="W669" s="3"/>
      <c r="X669" s="3"/>
      <c r="Y669" s="3"/>
      <c r="Z669" s="4"/>
      <c r="AA669"/>
      <c r="AB669"/>
    </row>
    <row r="670" spans="1:28" s="37" customFormat="1" x14ac:dyDescent="0.15">
      <c r="A670" s="166"/>
      <c r="B670" s="82"/>
      <c r="C670" s="73"/>
      <c r="D670" s="73"/>
      <c r="E670" s="70"/>
      <c r="F670" s="73"/>
      <c r="G670" s="73"/>
      <c r="H670" s="108"/>
      <c r="I670" s="85"/>
      <c r="J670" s="85"/>
      <c r="K670" s="131"/>
      <c r="L670" s="69"/>
      <c r="M670" s="49"/>
      <c r="Q670" s="3"/>
      <c r="R670" s="3"/>
      <c r="S670" s="3"/>
      <c r="T670" s="3"/>
      <c r="U670" s="3"/>
      <c r="V670" s="3"/>
      <c r="W670" s="3"/>
      <c r="X670" s="3"/>
      <c r="Y670" s="3"/>
      <c r="Z670" s="4"/>
      <c r="AA670"/>
      <c r="AB670"/>
    </row>
    <row r="671" spans="1:28" s="37" customFormat="1" x14ac:dyDescent="0.15">
      <c r="A671" s="166"/>
      <c r="B671" s="82"/>
      <c r="C671" s="70"/>
      <c r="D671" s="70"/>
      <c r="E671" s="73"/>
      <c r="F671" s="70"/>
      <c r="G671" s="70"/>
      <c r="H671" s="93"/>
      <c r="I671" s="85"/>
      <c r="J671" s="85"/>
      <c r="K671" s="131"/>
      <c r="L671" s="69"/>
      <c r="M671" s="49"/>
      <c r="Q671" s="3"/>
      <c r="R671" s="3"/>
      <c r="S671" s="3"/>
      <c r="T671" s="3"/>
      <c r="U671" s="3"/>
      <c r="V671" s="3"/>
      <c r="W671" s="3"/>
      <c r="X671" s="3"/>
      <c r="Y671" s="3"/>
      <c r="Z671" s="4"/>
      <c r="AA671"/>
      <c r="AB671"/>
    </row>
    <row r="672" spans="1:28" s="37" customFormat="1" x14ac:dyDescent="0.15">
      <c r="A672" s="166"/>
      <c r="B672" s="82"/>
      <c r="C672" s="70"/>
      <c r="D672" s="70"/>
      <c r="E672" s="70"/>
      <c r="F672" s="70"/>
      <c r="G672" s="70"/>
      <c r="H672" s="93"/>
      <c r="I672" s="85"/>
      <c r="J672" s="85"/>
      <c r="K672" s="131"/>
      <c r="L672" s="60"/>
      <c r="M672" s="49"/>
      <c r="Q672" s="3"/>
      <c r="R672" s="3"/>
      <c r="S672" s="3"/>
      <c r="T672" s="3"/>
      <c r="U672" s="3"/>
      <c r="V672" s="3"/>
      <c r="W672" s="3"/>
      <c r="X672" s="3"/>
      <c r="Y672" s="3"/>
      <c r="Z672" s="4"/>
      <c r="AA672"/>
      <c r="AB672"/>
    </row>
    <row r="673" spans="1:28" s="37" customFormat="1" x14ac:dyDescent="0.15">
      <c r="A673" s="166"/>
      <c r="B673" s="82"/>
      <c r="C673" s="70"/>
      <c r="D673" s="70"/>
      <c r="E673" s="70"/>
      <c r="F673" s="70"/>
      <c r="G673" s="70"/>
      <c r="H673" s="93"/>
      <c r="I673" s="85"/>
      <c r="J673" s="85"/>
      <c r="K673" s="131"/>
      <c r="L673" s="63"/>
      <c r="M673" s="49"/>
      <c r="O673" s="51"/>
      <c r="Q673" s="3"/>
      <c r="R673" s="3"/>
      <c r="S673" s="3"/>
      <c r="T673" s="3"/>
      <c r="U673" s="3"/>
      <c r="V673" s="3"/>
      <c r="W673" s="3"/>
      <c r="X673" s="3"/>
      <c r="Y673" s="3"/>
      <c r="Z673" s="4"/>
      <c r="AA673"/>
      <c r="AB673"/>
    </row>
    <row r="674" spans="1:28" s="37" customFormat="1" x14ac:dyDescent="0.15">
      <c r="A674" s="166"/>
      <c r="B674" s="82"/>
      <c r="C674" s="70"/>
      <c r="D674" s="70"/>
      <c r="E674" s="70"/>
      <c r="F674" s="70"/>
      <c r="G674" s="70"/>
      <c r="H674" s="93"/>
      <c r="I674" s="85"/>
      <c r="J674" s="85"/>
      <c r="K674" s="131"/>
      <c r="L674" s="63"/>
      <c r="M674" s="33"/>
      <c r="Q674" s="3"/>
      <c r="R674" s="3"/>
      <c r="S674" s="3"/>
      <c r="T674" s="3"/>
      <c r="U674" s="3"/>
      <c r="V674" s="3"/>
      <c r="W674" s="3"/>
      <c r="X674" s="3"/>
      <c r="Y674" s="3"/>
      <c r="Z674" s="4"/>
      <c r="AA674"/>
      <c r="AB674"/>
    </row>
    <row r="675" spans="1:28" s="37" customFormat="1" x14ac:dyDescent="0.15">
      <c r="A675" s="166"/>
      <c r="B675" s="82"/>
      <c r="C675" s="70"/>
      <c r="D675" s="70"/>
      <c r="E675" s="70"/>
      <c r="F675" s="70"/>
      <c r="G675" s="70"/>
      <c r="H675" s="93"/>
      <c r="I675" s="85"/>
      <c r="J675" s="85"/>
      <c r="K675" s="131"/>
      <c r="L675" s="60"/>
      <c r="M675" s="49"/>
      <c r="Q675" s="3"/>
      <c r="R675" s="3"/>
      <c r="S675" s="3"/>
      <c r="T675" s="3"/>
      <c r="U675" s="3"/>
      <c r="V675" s="3"/>
      <c r="W675" s="3"/>
      <c r="X675" s="3"/>
      <c r="Y675" s="3"/>
      <c r="Z675" s="4"/>
      <c r="AA675"/>
      <c r="AB675"/>
    </row>
    <row r="676" spans="1:28" s="37" customFormat="1" x14ac:dyDescent="0.15">
      <c r="A676" s="166"/>
      <c r="B676" s="82"/>
      <c r="C676" s="70"/>
      <c r="D676" s="70"/>
      <c r="E676" s="70"/>
      <c r="F676" s="70"/>
      <c r="G676" s="70"/>
      <c r="H676" s="93"/>
      <c r="I676" s="85"/>
      <c r="J676" s="85"/>
      <c r="K676" s="131"/>
      <c r="L676" s="60"/>
      <c r="M676" s="49"/>
      <c r="Q676" s="3"/>
      <c r="R676" s="3"/>
      <c r="S676" s="3"/>
      <c r="T676" s="3"/>
      <c r="U676" s="3"/>
      <c r="V676" s="3"/>
      <c r="W676" s="3"/>
      <c r="X676" s="3"/>
      <c r="Y676" s="3"/>
      <c r="Z676" s="4"/>
      <c r="AA676"/>
      <c r="AB676"/>
    </row>
    <row r="677" spans="1:28" s="37" customFormat="1" x14ac:dyDescent="0.15">
      <c r="A677" s="166"/>
      <c r="B677" s="82"/>
      <c r="C677" s="70"/>
      <c r="D677" s="70"/>
      <c r="E677" s="70"/>
      <c r="F677" s="70"/>
      <c r="G677" s="70"/>
      <c r="H677" s="93"/>
      <c r="I677" s="85"/>
      <c r="J677" s="85"/>
      <c r="K677" s="131"/>
      <c r="L677" s="60"/>
      <c r="M677" s="49"/>
      <c r="Q677" s="3"/>
      <c r="R677" s="3"/>
      <c r="S677" s="3"/>
      <c r="T677" s="3"/>
      <c r="U677" s="3"/>
      <c r="V677" s="3"/>
      <c r="W677" s="3"/>
      <c r="X677" s="3"/>
      <c r="Y677" s="3"/>
      <c r="Z677" s="4"/>
      <c r="AA677"/>
      <c r="AB677"/>
    </row>
    <row r="678" spans="1:28" s="37" customFormat="1" x14ac:dyDescent="0.15">
      <c r="A678" s="166"/>
      <c r="B678" s="82"/>
      <c r="C678" s="70"/>
      <c r="D678" s="70"/>
      <c r="E678" s="70"/>
      <c r="F678" s="70"/>
      <c r="G678" s="70"/>
      <c r="H678" s="93"/>
      <c r="I678" s="85"/>
      <c r="J678" s="85"/>
      <c r="K678" s="131"/>
      <c r="L678" s="60"/>
      <c r="M678" s="49"/>
      <c r="Q678" s="3"/>
      <c r="R678" s="3"/>
      <c r="S678" s="3"/>
      <c r="T678" s="3"/>
      <c r="U678" s="3"/>
      <c r="V678" s="3"/>
      <c r="W678" s="3"/>
      <c r="X678" s="3"/>
      <c r="Y678" s="3"/>
      <c r="Z678" s="4"/>
      <c r="AA678"/>
      <c r="AB678"/>
    </row>
    <row r="679" spans="1:28" s="37" customFormat="1" x14ac:dyDescent="0.15">
      <c r="A679" s="166"/>
      <c r="B679" s="82"/>
      <c r="C679" s="73"/>
      <c r="D679" s="73"/>
      <c r="E679" s="70"/>
      <c r="F679" s="73"/>
      <c r="G679" s="73"/>
      <c r="H679" s="108"/>
      <c r="I679" s="85"/>
      <c r="J679" s="95"/>
      <c r="K679" s="131"/>
      <c r="L679" s="60"/>
      <c r="M679" s="50"/>
      <c r="Q679" s="3"/>
      <c r="R679" s="3"/>
      <c r="S679" s="3"/>
      <c r="T679" s="3"/>
      <c r="U679" s="3"/>
      <c r="V679" s="3"/>
      <c r="W679" s="3"/>
      <c r="X679" s="3"/>
      <c r="Y679" s="3"/>
      <c r="Z679" s="4"/>
      <c r="AA679"/>
      <c r="AB679"/>
    </row>
    <row r="680" spans="1:28" s="37" customFormat="1" x14ac:dyDescent="0.15">
      <c r="A680" s="166"/>
      <c r="B680" s="82"/>
      <c r="C680" s="70"/>
      <c r="D680" s="70"/>
      <c r="E680" s="70"/>
      <c r="F680" s="70"/>
      <c r="G680" s="70"/>
      <c r="H680" s="93"/>
      <c r="I680" s="85"/>
      <c r="J680" s="85"/>
      <c r="K680" s="131"/>
      <c r="L680" s="60"/>
      <c r="M680" s="49"/>
      <c r="Q680" s="3"/>
      <c r="R680" s="3"/>
      <c r="S680" s="3"/>
      <c r="T680" s="3"/>
      <c r="U680" s="3"/>
      <c r="V680" s="3"/>
      <c r="W680" s="3"/>
      <c r="X680" s="3"/>
      <c r="Y680" s="3"/>
      <c r="Z680" s="4"/>
      <c r="AA680"/>
      <c r="AB680"/>
    </row>
    <row r="681" spans="1:28" s="37" customFormat="1" x14ac:dyDescent="0.15">
      <c r="A681" s="70"/>
      <c r="B681" s="82"/>
      <c r="C681" s="70"/>
      <c r="D681" s="70"/>
      <c r="E681" s="70"/>
      <c r="F681" s="70"/>
      <c r="G681" s="70"/>
      <c r="H681" s="93"/>
      <c r="I681" s="85"/>
      <c r="J681" s="85"/>
      <c r="K681" s="131"/>
      <c r="L681" s="60"/>
      <c r="M681" s="49"/>
      <c r="Q681" s="3"/>
      <c r="R681" s="3"/>
      <c r="S681" s="3"/>
      <c r="T681" s="3"/>
      <c r="U681" s="3"/>
      <c r="V681" s="3"/>
      <c r="W681" s="3"/>
      <c r="X681" s="3"/>
      <c r="Y681" s="3"/>
      <c r="Z681" s="4"/>
      <c r="AA681"/>
      <c r="AB681"/>
    </row>
    <row r="682" spans="1:28" s="37" customFormat="1" x14ac:dyDescent="0.15">
      <c r="A682" s="70"/>
      <c r="B682" s="82"/>
      <c r="C682" s="70"/>
      <c r="D682" s="70"/>
      <c r="E682" s="70"/>
      <c r="F682" s="70"/>
      <c r="G682" s="70"/>
      <c r="H682" s="93"/>
      <c r="I682" s="85"/>
      <c r="J682" s="85"/>
      <c r="K682" s="131"/>
      <c r="L682" s="69"/>
      <c r="M682" s="49"/>
      <c r="Q682" s="3"/>
      <c r="R682" s="3"/>
      <c r="S682" s="3"/>
      <c r="T682" s="3"/>
      <c r="U682" s="3"/>
      <c r="V682" s="3"/>
      <c r="W682" s="3"/>
      <c r="X682" s="3"/>
      <c r="Y682" s="3"/>
      <c r="Z682" s="4"/>
      <c r="AA682"/>
      <c r="AB682"/>
    </row>
    <row r="683" spans="1:28" s="37" customFormat="1" x14ac:dyDescent="0.15">
      <c r="A683" s="70"/>
      <c r="B683" s="82"/>
      <c r="C683" s="70"/>
      <c r="D683" s="70"/>
      <c r="E683" s="70"/>
      <c r="F683" s="70"/>
      <c r="G683" s="70"/>
      <c r="H683" s="93"/>
      <c r="I683" s="85"/>
      <c r="J683" s="85"/>
      <c r="K683" s="131"/>
      <c r="L683" s="60"/>
      <c r="M683" s="49"/>
      <c r="Q683" s="3"/>
      <c r="R683" s="3"/>
      <c r="S683" s="3"/>
      <c r="T683" s="3"/>
      <c r="U683" s="3"/>
      <c r="V683" s="3"/>
      <c r="W683" s="3"/>
      <c r="X683" s="3"/>
      <c r="Y683" s="3"/>
      <c r="Z683" s="4"/>
      <c r="AA683"/>
      <c r="AB683"/>
    </row>
    <row r="684" spans="1:28" s="37" customFormat="1" x14ac:dyDescent="0.15">
      <c r="A684" s="70"/>
      <c r="B684" s="82"/>
      <c r="C684" s="70"/>
      <c r="D684" s="70"/>
      <c r="E684" s="70"/>
      <c r="F684" s="70"/>
      <c r="G684" s="70"/>
      <c r="H684" s="93"/>
      <c r="I684" s="85"/>
      <c r="J684" s="85"/>
      <c r="K684" s="131"/>
      <c r="L684" s="60"/>
      <c r="M684" s="49"/>
      <c r="O684" s="51"/>
      <c r="Q684" s="3"/>
      <c r="R684" s="3"/>
      <c r="S684" s="3"/>
      <c r="T684" s="3"/>
      <c r="U684" s="3"/>
      <c r="V684" s="3"/>
      <c r="W684" s="3"/>
      <c r="X684" s="3"/>
      <c r="Y684" s="3"/>
      <c r="Z684" s="4"/>
      <c r="AA684"/>
      <c r="AB684"/>
    </row>
    <row r="685" spans="1:28" s="37" customFormat="1" x14ac:dyDescent="0.15">
      <c r="A685" s="70"/>
      <c r="B685" s="82"/>
      <c r="C685" s="70"/>
      <c r="D685" s="70"/>
      <c r="E685" s="70"/>
      <c r="F685" s="70"/>
      <c r="G685" s="70"/>
      <c r="H685" s="93"/>
      <c r="I685" s="85"/>
      <c r="J685" s="85"/>
      <c r="K685" s="131"/>
      <c r="L685" s="60"/>
      <c r="M685" s="49"/>
      <c r="Q685" s="3"/>
      <c r="R685" s="3"/>
      <c r="S685" s="3"/>
      <c r="T685" s="3"/>
      <c r="U685" s="3"/>
      <c r="V685" s="3"/>
      <c r="W685" s="3"/>
      <c r="X685" s="3"/>
      <c r="Y685" s="3"/>
      <c r="Z685" s="4"/>
      <c r="AA685"/>
      <c r="AB685"/>
    </row>
    <row r="686" spans="1:28" s="37" customFormat="1" ht="16" x14ac:dyDescent="0.2">
      <c r="A686" s="73"/>
      <c r="B686" s="82"/>
      <c r="C686" s="70"/>
      <c r="D686" s="70"/>
      <c r="E686" s="70"/>
      <c r="F686" s="70"/>
      <c r="G686" s="70"/>
      <c r="H686" s="93"/>
      <c r="I686" s="85"/>
      <c r="J686" s="85"/>
      <c r="K686" s="131"/>
      <c r="L686" s="60"/>
      <c r="M686" s="47"/>
      <c r="Q686" s="3"/>
      <c r="R686" s="3"/>
      <c r="S686" s="3"/>
      <c r="T686" s="3"/>
      <c r="U686" s="3"/>
      <c r="V686" s="3"/>
      <c r="W686" s="3"/>
      <c r="X686" s="3"/>
      <c r="Y686" s="3"/>
      <c r="Z686" s="4"/>
      <c r="AA686"/>
      <c r="AB686"/>
    </row>
    <row r="687" spans="1:28" s="37" customFormat="1" ht="16" x14ac:dyDescent="0.2">
      <c r="A687" s="70"/>
      <c r="B687" s="82"/>
      <c r="C687" s="70"/>
      <c r="D687" s="70"/>
      <c r="E687" s="70"/>
      <c r="F687" s="70"/>
      <c r="G687" s="70"/>
      <c r="H687" s="93"/>
      <c r="I687" s="85"/>
      <c r="J687" s="85"/>
      <c r="K687" s="131"/>
      <c r="L687" s="60"/>
      <c r="M687" s="47"/>
      <c r="Q687" s="3"/>
      <c r="R687" s="3"/>
      <c r="S687" s="3"/>
      <c r="T687" s="3"/>
      <c r="U687" s="3"/>
      <c r="V687" s="3"/>
      <c r="W687" s="3"/>
      <c r="X687" s="3"/>
      <c r="Y687" s="3"/>
      <c r="Z687" s="4"/>
      <c r="AA687"/>
      <c r="AB687"/>
    </row>
    <row r="688" spans="1:28" s="37" customFormat="1" ht="16" x14ac:dyDescent="0.2">
      <c r="A688" s="70"/>
      <c r="B688" s="82"/>
      <c r="C688" s="70"/>
      <c r="D688" s="70"/>
      <c r="E688" s="70"/>
      <c r="F688" s="70"/>
      <c r="G688" s="70"/>
      <c r="H688" s="93"/>
      <c r="I688" s="85"/>
      <c r="J688" s="85"/>
      <c r="K688" s="131"/>
      <c r="L688" s="63"/>
      <c r="M688" s="47"/>
      <c r="Q688" s="3"/>
      <c r="R688" s="3"/>
      <c r="S688" s="3"/>
      <c r="T688" s="3"/>
      <c r="U688" s="3"/>
      <c r="V688" s="3"/>
      <c r="W688" s="3"/>
      <c r="X688" s="3"/>
      <c r="Y688" s="3"/>
      <c r="Z688" s="4"/>
      <c r="AA688"/>
      <c r="AB688"/>
    </row>
    <row r="689" spans="1:28" s="37" customFormat="1" ht="16" x14ac:dyDescent="0.2">
      <c r="A689" s="70"/>
      <c r="B689" s="82"/>
      <c r="C689" s="70"/>
      <c r="D689" s="70"/>
      <c r="E689" s="70"/>
      <c r="F689" s="70"/>
      <c r="G689" s="70"/>
      <c r="H689" s="93"/>
      <c r="I689" s="85"/>
      <c r="J689" s="85"/>
      <c r="K689" s="131"/>
      <c r="L689" s="63"/>
      <c r="M689" s="47"/>
      <c r="Q689" s="3"/>
      <c r="R689" s="3"/>
      <c r="S689" s="3"/>
      <c r="T689" s="3"/>
      <c r="U689" s="3"/>
      <c r="V689" s="3"/>
      <c r="W689" s="3"/>
      <c r="X689" s="3"/>
      <c r="Y689" s="3"/>
      <c r="Z689" s="4"/>
      <c r="AA689"/>
      <c r="AB689"/>
    </row>
    <row r="690" spans="1:28" s="37" customFormat="1" ht="16" x14ac:dyDescent="0.2">
      <c r="A690" s="70"/>
      <c r="B690" s="82"/>
      <c r="C690" s="70"/>
      <c r="D690" s="70"/>
      <c r="E690" s="70"/>
      <c r="F690" s="70"/>
      <c r="G690" s="70"/>
      <c r="H690" s="93"/>
      <c r="I690" s="85"/>
      <c r="J690" s="85"/>
      <c r="K690" s="131"/>
      <c r="L690" s="60"/>
      <c r="M690" s="47"/>
      <c r="Q690" s="3"/>
      <c r="R690" s="3"/>
      <c r="S690" s="3"/>
      <c r="T690" s="3"/>
      <c r="U690" s="3"/>
      <c r="V690" s="3"/>
      <c r="W690" s="3"/>
      <c r="X690" s="3"/>
      <c r="Y690" s="3"/>
      <c r="Z690" s="4"/>
      <c r="AA690"/>
      <c r="AB690"/>
    </row>
    <row r="691" spans="1:28" s="37" customFormat="1" ht="16" x14ac:dyDescent="0.2">
      <c r="A691" s="70"/>
      <c r="B691" s="82"/>
      <c r="C691" s="70"/>
      <c r="D691" s="70"/>
      <c r="E691" s="70"/>
      <c r="F691" s="70"/>
      <c r="G691" s="70"/>
      <c r="H691" s="93"/>
      <c r="I691" s="85"/>
      <c r="J691" s="85"/>
      <c r="K691" s="131"/>
      <c r="L691" s="60"/>
      <c r="M691" s="47"/>
      <c r="Q691" s="3"/>
      <c r="R691" s="3"/>
      <c r="S691" s="3"/>
      <c r="T691" s="3"/>
      <c r="U691" s="3"/>
      <c r="V691" s="3"/>
      <c r="W691" s="3"/>
      <c r="X691" s="3"/>
      <c r="Y691" s="3"/>
      <c r="Z691" s="4"/>
      <c r="AA691"/>
      <c r="AB691"/>
    </row>
    <row r="692" spans="1:28" s="37" customFormat="1" ht="16" x14ac:dyDescent="0.2">
      <c r="A692" s="73"/>
      <c r="B692" s="82"/>
      <c r="C692" s="70"/>
      <c r="D692" s="70"/>
      <c r="E692" s="70"/>
      <c r="F692" s="70"/>
      <c r="G692" s="70"/>
      <c r="H692" s="93"/>
      <c r="I692" s="85"/>
      <c r="J692" s="85"/>
      <c r="K692" s="131"/>
      <c r="L692" s="60"/>
      <c r="M692" s="47"/>
      <c r="Q692" s="3"/>
      <c r="R692" s="3"/>
      <c r="S692" s="3"/>
      <c r="T692" s="3"/>
      <c r="U692" s="3"/>
      <c r="V692" s="3"/>
      <c r="W692" s="3"/>
      <c r="X692" s="3"/>
      <c r="Y692" s="3"/>
      <c r="Z692" s="4"/>
      <c r="AA692"/>
      <c r="AB692"/>
    </row>
    <row r="693" spans="1:28" s="37" customFormat="1" ht="16" x14ac:dyDescent="0.2">
      <c r="A693" s="70"/>
      <c r="B693" s="82"/>
      <c r="C693" s="70"/>
      <c r="D693" s="70"/>
      <c r="E693" s="70"/>
      <c r="F693" s="70"/>
      <c r="G693" s="70"/>
      <c r="H693" s="93"/>
      <c r="I693" s="85"/>
      <c r="J693" s="85"/>
      <c r="K693" s="131"/>
      <c r="L693" s="63"/>
      <c r="M693" s="47"/>
      <c r="Q693" s="3"/>
      <c r="R693" s="3"/>
      <c r="S693" s="3"/>
      <c r="T693" s="3"/>
      <c r="U693" s="3"/>
      <c r="V693" s="3"/>
      <c r="W693" s="3"/>
      <c r="X693" s="3"/>
      <c r="Y693" s="3"/>
      <c r="Z693" s="4"/>
      <c r="AA693"/>
      <c r="AB693"/>
    </row>
    <row r="694" spans="1:28" s="37" customFormat="1" ht="16" x14ac:dyDescent="0.2">
      <c r="A694" s="70"/>
      <c r="B694" s="82"/>
      <c r="C694" s="70"/>
      <c r="D694" s="70"/>
      <c r="E694" s="70"/>
      <c r="F694" s="70"/>
      <c r="G694" s="70"/>
      <c r="H694" s="93"/>
      <c r="I694" s="85"/>
      <c r="J694" s="85"/>
      <c r="K694" s="131"/>
      <c r="L694" s="60"/>
      <c r="M694" s="47"/>
      <c r="Q694" s="3"/>
      <c r="R694" s="3"/>
      <c r="S694" s="3"/>
      <c r="T694" s="3"/>
      <c r="U694" s="3"/>
      <c r="V694" s="3"/>
      <c r="W694" s="3"/>
      <c r="X694" s="3"/>
      <c r="Y694" s="3"/>
      <c r="Z694" s="4"/>
      <c r="AA694"/>
      <c r="AB694"/>
    </row>
    <row r="695" spans="1:28" s="37" customFormat="1" ht="16" x14ac:dyDescent="0.2">
      <c r="A695" s="70"/>
      <c r="B695" s="82"/>
      <c r="C695" s="70"/>
      <c r="D695" s="70"/>
      <c r="E695" s="70"/>
      <c r="F695" s="70"/>
      <c r="G695" s="70"/>
      <c r="H695" s="93"/>
      <c r="I695" s="85"/>
      <c r="J695" s="95"/>
      <c r="K695" s="131"/>
      <c r="L695" s="60"/>
      <c r="M695" s="47"/>
      <c r="Q695" s="3"/>
      <c r="R695" s="3"/>
      <c r="S695" s="3"/>
      <c r="T695" s="3"/>
      <c r="U695" s="3"/>
      <c r="V695" s="3"/>
      <c r="W695" s="3"/>
      <c r="X695" s="3"/>
      <c r="Y695" s="3"/>
      <c r="Z695" s="4"/>
      <c r="AA695"/>
      <c r="AB695"/>
    </row>
    <row r="696" spans="1:28" s="37" customFormat="1" ht="16" x14ac:dyDescent="0.2">
      <c r="A696" s="70"/>
      <c r="B696" s="82"/>
      <c r="C696" s="70"/>
      <c r="D696" s="70"/>
      <c r="E696" s="70"/>
      <c r="F696" s="70"/>
      <c r="G696" s="70"/>
      <c r="H696" s="93"/>
      <c r="I696" s="85"/>
      <c r="J696" s="85"/>
      <c r="K696" s="131"/>
      <c r="L696" s="60"/>
      <c r="M696" s="47"/>
      <c r="N696" s="48"/>
      <c r="Q696" s="3"/>
      <c r="R696" s="3"/>
      <c r="S696" s="3"/>
      <c r="T696" s="3"/>
      <c r="U696" s="3"/>
      <c r="V696" s="3"/>
      <c r="W696" s="3"/>
      <c r="X696" s="3"/>
      <c r="Y696" s="3"/>
      <c r="Z696" s="4"/>
      <c r="AA696"/>
      <c r="AB696"/>
    </row>
    <row r="697" spans="1:28" s="37" customFormat="1" ht="16" x14ac:dyDescent="0.2">
      <c r="A697" s="70"/>
      <c r="B697" s="82"/>
      <c r="C697" s="70"/>
      <c r="D697" s="70"/>
      <c r="E697" s="70"/>
      <c r="F697" s="70"/>
      <c r="G697" s="70"/>
      <c r="H697" s="93"/>
      <c r="I697" s="85"/>
      <c r="J697" s="85"/>
      <c r="K697" s="131"/>
      <c r="L697" s="60"/>
      <c r="M697" s="47"/>
      <c r="Q697" s="3"/>
      <c r="R697" s="3"/>
      <c r="S697" s="3"/>
      <c r="T697" s="3"/>
      <c r="U697" s="3"/>
      <c r="V697" s="3"/>
      <c r="W697" s="3"/>
      <c r="X697" s="3"/>
      <c r="Y697" s="3"/>
      <c r="Z697" s="4"/>
      <c r="AA697"/>
      <c r="AB697"/>
    </row>
    <row r="698" spans="1:28" s="37" customFormat="1" ht="16" x14ac:dyDescent="0.2">
      <c r="A698" s="70"/>
      <c r="B698" s="82"/>
      <c r="C698" s="70"/>
      <c r="D698" s="70"/>
      <c r="E698" s="70"/>
      <c r="F698" s="70"/>
      <c r="G698" s="70"/>
      <c r="H698" s="93"/>
      <c r="I698" s="85"/>
      <c r="J698" s="85"/>
      <c r="K698" s="131"/>
      <c r="L698" s="60"/>
      <c r="M698" s="47"/>
      <c r="Q698" s="3"/>
      <c r="R698" s="3"/>
      <c r="S698" s="3"/>
      <c r="T698" s="3"/>
      <c r="U698" s="3"/>
      <c r="V698" s="3"/>
      <c r="W698" s="3"/>
      <c r="X698" s="3"/>
      <c r="Y698" s="3"/>
      <c r="Z698" s="4"/>
      <c r="AA698"/>
      <c r="AB698"/>
    </row>
    <row r="699" spans="1:28" s="37" customFormat="1" ht="16" x14ac:dyDescent="0.2">
      <c r="A699" s="70"/>
      <c r="B699" s="82"/>
      <c r="C699" s="70"/>
      <c r="D699" s="70"/>
      <c r="E699" s="70"/>
      <c r="F699" s="70"/>
      <c r="G699" s="70"/>
      <c r="H699" s="93"/>
      <c r="I699" s="85"/>
      <c r="J699" s="85"/>
      <c r="K699" s="131"/>
      <c r="L699" s="60"/>
      <c r="M699" s="47"/>
      <c r="Q699" s="3"/>
      <c r="R699" s="3"/>
      <c r="S699" s="3"/>
      <c r="T699" s="3"/>
      <c r="U699" s="3"/>
      <c r="V699" s="3"/>
      <c r="W699" s="3"/>
      <c r="X699" s="3"/>
      <c r="Y699" s="3"/>
      <c r="Z699" s="4"/>
      <c r="AA699"/>
      <c r="AB699"/>
    </row>
    <row r="700" spans="1:28" s="37" customFormat="1" ht="16" x14ac:dyDescent="0.2">
      <c r="A700" s="70"/>
      <c r="B700" s="82"/>
      <c r="C700" s="70"/>
      <c r="D700" s="70"/>
      <c r="E700" s="70"/>
      <c r="F700" s="70"/>
      <c r="G700" s="70"/>
      <c r="H700" s="93"/>
      <c r="I700" s="85"/>
      <c r="J700" s="85"/>
      <c r="K700" s="131"/>
      <c r="L700" s="60"/>
      <c r="M700" s="47"/>
      <c r="Q700" s="3"/>
      <c r="R700" s="3"/>
      <c r="S700" s="3"/>
      <c r="T700" s="3"/>
      <c r="U700" s="3"/>
      <c r="V700" s="3"/>
      <c r="W700" s="3"/>
      <c r="X700" s="3"/>
      <c r="Y700" s="3"/>
      <c r="Z700" s="4"/>
      <c r="AA700"/>
      <c r="AB700"/>
    </row>
    <row r="701" spans="1:28" s="37" customFormat="1" ht="16" x14ac:dyDescent="0.2">
      <c r="A701" s="70"/>
      <c r="B701" s="82"/>
      <c r="C701" s="70"/>
      <c r="D701" s="70"/>
      <c r="E701" s="70"/>
      <c r="F701" s="70"/>
      <c r="G701" s="70"/>
      <c r="H701" s="93"/>
      <c r="I701" s="85"/>
      <c r="J701" s="85"/>
      <c r="K701" s="131"/>
      <c r="L701" s="60"/>
      <c r="M701" s="47"/>
      <c r="Q701" s="3"/>
      <c r="R701" s="3"/>
      <c r="S701" s="3"/>
      <c r="T701" s="3"/>
      <c r="U701" s="3"/>
      <c r="V701" s="3"/>
      <c r="W701" s="3"/>
      <c r="X701" s="3"/>
      <c r="Y701" s="3"/>
      <c r="Z701" s="4"/>
      <c r="AA701"/>
      <c r="AB701"/>
    </row>
    <row r="702" spans="1:28" s="37" customFormat="1" ht="16" x14ac:dyDescent="0.2">
      <c r="A702" s="73"/>
      <c r="B702" s="82"/>
      <c r="C702" s="70"/>
      <c r="D702" s="70"/>
      <c r="E702" s="70"/>
      <c r="F702" s="70"/>
      <c r="G702" s="70"/>
      <c r="H702" s="93"/>
      <c r="I702" s="85"/>
      <c r="J702" s="85"/>
      <c r="K702" s="131"/>
      <c r="L702" s="60"/>
      <c r="M702" s="47"/>
      <c r="Q702" s="3"/>
      <c r="R702" s="3"/>
      <c r="S702" s="3"/>
      <c r="T702" s="3"/>
      <c r="U702" s="3"/>
      <c r="V702" s="3"/>
      <c r="W702" s="3"/>
      <c r="X702" s="3"/>
      <c r="Y702" s="3"/>
      <c r="Z702" s="4"/>
      <c r="AA702"/>
      <c r="AB702"/>
    </row>
    <row r="703" spans="1:28" s="37" customFormat="1" ht="16" x14ac:dyDescent="0.2">
      <c r="A703" s="70"/>
      <c r="B703" s="82"/>
      <c r="C703" s="70"/>
      <c r="D703" s="70"/>
      <c r="E703" s="70"/>
      <c r="F703" s="70"/>
      <c r="G703" s="70"/>
      <c r="H703" s="93"/>
      <c r="I703" s="85"/>
      <c r="J703" s="85"/>
      <c r="K703" s="131"/>
      <c r="L703" s="60"/>
      <c r="M703" s="47"/>
      <c r="Q703" s="3"/>
      <c r="R703" s="3"/>
      <c r="S703" s="3"/>
      <c r="T703" s="3"/>
      <c r="U703" s="3"/>
      <c r="V703" s="3"/>
      <c r="W703" s="3"/>
      <c r="X703" s="3"/>
      <c r="Y703" s="3"/>
      <c r="Z703" s="4"/>
      <c r="AA703"/>
      <c r="AB703"/>
    </row>
    <row r="704" spans="1:28" s="37" customFormat="1" ht="16" x14ac:dyDescent="0.2">
      <c r="A704" s="70"/>
      <c r="B704" s="82"/>
      <c r="C704" s="70"/>
      <c r="D704" s="70"/>
      <c r="E704" s="70"/>
      <c r="F704" s="70"/>
      <c r="G704" s="70"/>
      <c r="H704" s="93"/>
      <c r="I704" s="85"/>
      <c r="J704" s="85"/>
      <c r="K704" s="131"/>
      <c r="L704" s="60"/>
      <c r="M704" s="47"/>
      <c r="Q704" s="3"/>
      <c r="R704" s="3"/>
      <c r="S704" s="3"/>
      <c r="T704" s="3"/>
      <c r="U704" s="3"/>
      <c r="V704" s="3"/>
      <c r="W704" s="3"/>
      <c r="X704" s="3"/>
      <c r="Y704" s="3"/>
      <c r="Z704" s="4"/>
      <c r="AA704"/>
      <c r="AB704"/>
    </row>
    <row r="705" spans="1:28" s="37" customFormat="1" ht="16" x14ac:dyDescent="0.2">
      <c r="A705" s="166"/>
      <c r="B705" s="82"/>
      <c r="C705" s="70"/>
      <c r="D705" s="70"/>
      <c r="E705" s="70"/>
      <c r="F705" s="70"/>
      <c r="G705" s="70"/>
      <c r="H705" s="93"/>
      <c r="I705" s="85"/>
      <c r="J705" s="85"/>
      <c r="K705" s="131"/>
      <c r="L705" s="60"/>
      <c r="M705" s="47"/>
      <c r="Q705" s="3"/>
      <c r="R705" s="3"/>
      <c r="S705" s="3"/>
      <c r="T705" s="3"/>
      <c r="U705" s="3"/>
      <c r="V705" s="3"/>
      <c r="W705" s="3"/>
      <c r="X705" s="3"/>
      <c r="Y705" s="3"/>
      <c r="Z705" s="4"/>
      <c r="AA705"/>
      <c r="AB705"/>
    </row>
    <row r="706" spans="1:28" s="37" customFormat="1" ht="16" x14ac:dyDescent="0.2">
      <c r="A706" s="166"/>
      <c r="B706" s="82"/>
      <c r="C706" s="70"/>
      <c r="D706" s="70"/>
      <c r="E706" s="70"/>
      <c r="F706" s="70"/>
      <c r="G706" s="70"/>
      <c r="H706" s="93"/>
      <c r="I706" s="85"/>
      <c r="J706" s="85"/>
      <c r="K706" s="131"/>
      <c r="L706" s="60"/>
      <c r="M706" s="47"/>
      <c r="N706" s="48"/>
      <c r="Q706" s="3"/>
      <c r="R706" s="3"/>
      <c r="S706" s="3"/>
      <c r="T706" s="3"/>
      <c r="U706" s="3"/>
      <c r="V706" s="3"/>
      <c r="W706" s="3"/>
      <c r="X706" s="3"/>
      <c r="Y706" s="3"/>
      <c r="Z706" s="4"/>
      <c r="AA706"/>
      <c r="AB706"/>
    </row>
    <row r="707" spans="1:28" s="37" customFormat="1" ht="16" x14ac:dyDescent="0.2">
      <c r="A707" s="166"/>
      <c r="B707" s="82"/>
      <c r="C707" s="70"/>
      <c r="D707" s="70"/>
      <c r="E707" s="70"/>
      <c r="F707" s="70"/>
      <c r="G707" s="70"/>
      <c r="H707" s="93"/>
      <c r="I707" s="85"/>
      <c r="J707" s="85"/>
      <c r="K707" s="131"/>
      <c r="L707" s="60"/>
      <c r="M707" s="47"/>
      <c r="Q707" s="3"/>
      <c r="R707" s="3"/>
      <c r="S707" s="3"/>
      <c r="T707" s="3"/>
      <c r="U707" s="3"/>
      <c r="V707" s="3"/>
      <c r="W707" s="3"/>
      <c r="X707" s="3"/>
      <c r="Y707" s="3"/>
      <c r="Z707" s="4"/>
      <c r="AA707"/>
      <c r="AB707"/>
    </row>
    <row r="708" spans="1:28" s="37" customFormat="1" ht="16" x14ac:dyDescent="0.2">
      <c r="A708" s="166"/>
      <c r="B708" s="82"/>
      <c r="C708" s="70"/>
      <c r="D708" s="70"/>
      <c r="E708" s="70"/>
      <c r="F708" s="70"/>
      <c r="G708" s="70"/>
      <c r="H708" s="93"/>
      <c r="I708" s="85"/>
      <c r="J708" s="85"/>
      <c r="K708" s="131"/>
      <c r="L708" s="60"/>
      <c r="M708" s="47"/>
      <c r="Q708" s="3"/>
      <c r="R708" s="3"/>
      <c r="S708" s="3"/>
      <c r="T708" s="3"/>
      <c r="U708" s="3"/>
      <c r="V708" s="3"/>
      <c r="W708" s="3"/>
      <c r="X708" s="3"/>
      <c r="Y708" s="3"/>
      <c r="Z708" s="4"/>
      <c r="AA708"/>
      <c r="AB708"/>
    </row>
    <row r="709" spans="1:28" s="37" customFormat="1" ht="16" x14ac:dyDescent="0.2">
      <c r="A709" s="166"/>
      <c r="B709" s="82"/>
      <c r="C709" s="70"/>
      <c r="D709" s="70"/>
      <c r="E709" s="70"/>
      <c r="F709" s="70"/>
      <c r="G709" s="70"/>
      <c r="H709" s="93"/>
      <c r="I709" s="85"/>
      <c r="J709" s="85"/>
      <c r="K709" s="131"/>
      <c r="L709" s="60"/>
      <c r="M709" s="47"/>
      <c r="N709" s="50"/>
      <c r="Q709" s="3"/>
      <c r="R709" s="3"/>
      <c r="S709" s="3"/>
      <c r="T709" s="3"/>
      <c r="U709" s="3"/>
      <c r="V709" s="3"/>
      <c r="W709" s="3"/>
      <c r="X709" s="3"/>
      <c r="Y709" s="3"/>
      <c r="Z709" s="4"/>
      <c r="AA709"/>
      <c r="AB709"/>
    </row>
    <row r="710" spans="1:28" s="37" customFormat="1" ht="16" x14ac:dyDescent="0.2">
      <c r="A710" s="166"/>
      <c r="B710" s="82"/>
      <c r="C710" s="70"/>
      <c r="D710" s="70"/>
      <c r="E710" s="70"/>
      <c r="F710" s="70"/>
      <c r="G710" s="70"/>
      <c r="H710" s="93"/>
      <c r="I710" s="85"/>
      <c r="J710" s="85"/>
      <c r="K710" s="131"/>
      <c r="L710" s="60"/>
      <c r="M710" s="47"/>
      <c r="Q710" s="3"/>
      <c r="R710" s="3"/>
      <c r="S710" s="3"/>
      <c r="T710" s="3"/>
      <c r="U710" s="3"/>
      <c r="V710" s="3"/>
      <c r="W710" s="3"/>
      <c r="X710" s="3"/>
      <c r="Y710" s="3"/>
      <c r="Z710" s="4"/>
      <c r="AA710"/>
      <c r="AB710"/>
    </row>
    <row r="711" spans="1:28" s="37" customFormat="1" ht="16" x14ac:dyDescent="0.2">
      <c r="A711" s="70"/>
      <c r="B711" s="82"/>
      <c r="C711" s="70"/>
      <c r="D711" s="70"/>
      <c r="E711" s="70"/>
      <c r="F711" s="70"/>
      <c r="G711" s="70"/>
      <c r="H711" s="93"/>
      <c r="I711" s="85"/>
      <c r="J711" s="85"/>
      <c r="K711" s="131"/>
      <c r="L711" s="60"/>
      <c r="M711" s="47"/>
      <c r="Q711" s="3"/>
      <c r="R711" s="3"/>
      <c r="S711" s="3"/>
      <c r="T711" s="3"/>
      <c r="U711" s="3"/>
      <c r="V711" s="3"/>
      <c r="W711" s="3"/>
      <c r="X711" s="3"/>
      <c r="Y711" s="3"/>
      <c r="Z711" s="4"/>
      <c r="AA711"/>
      <c r="AB711"/>
    </row>
    <row r="712" spans="1:28" s="37" customFormat="1" ht="16" x14ac:dyDescent="0.2">
      <c r="A712" s="70"/>
      <c r="B712" s="82"/>
      <c r="C712" s="70"/>
      <c r="D712" s="70"/>
      <c r="E712" s="70"/>
      <c r="F712" s="70"/>
      <c r="G712" s="70"/>
      <c r="H712" s="93"/>
      <c r="I712" s="85"/>
      <c r="J712" s="85"/>
      <c r="K712" s="131"/>
      <c r="L712" s="60"/>
      <c r="M712" s="47"/>
      <c r="Q712" s="3"/>
      <c r="R712" s="3"/>
      <c r="S712" s="3"/>
      <c r="T712" s="3"/>
      <c r="U712" s="3"/>
      <c r="V712" s="3"/>
      <c r="W712" s="3"/>
      <c r="X712" s="3"/>
      <c r="Y712" s="3"/>
      <c r="Z712" s="4"/>
      <c r="AA712"/>
      <c r="AB712"/>
    </row>
    <row r="713" spans="1:28" s="37" customFormat="1" ht="16" x14ac:dyDescent="0.2">
      <c r="A713" s="70"/>
      <c r="B713" s="97"/>
      <c r="C713" s="70"/>
      <c r="D713" s="70"/>
      <c r="E713" s="70"/>
      <c r="F713" s="70"/>
      <c r="G713" s="70"/>
      <c r="H713" s="93"/>
      <c r="I713" s="85"/>
      <c r="J713" s="85"/>
      <c r="K713" s="131"/>
      <c r="L713" s="60"/>
      <c r="M713" s="47"/>
      <c r="Q713" s="3"/>
      <c r="R713" s="3"/>
      <c r="S713" s="3"/>
      <c r="T713" s="3"/>
      <c r="U713" s="3"/>
      <c r="V713" s="3"/>
      <c r="W713" s="3"/>
      <c r="X713" s="3"/>
      <c r="Y713" s="3"/>
      <c r="Z713" s="4"/>
      <c r="AA713"/>
      <c r="AB713"/>
    </row>
    <row r="714" spans="1:28" s="37" customFormat="1" ht="16" x14ac:dyDescent="0.2">
      <c r="A714" s="70"/>
      <c r="B714" s="82"/>
      <c r="C714" s="70"/>
      <c r="D714" s="70"/>
      <c r="E714" s="70"/>
      <c r="F714" s="70"/>
      <c r="G714" s="70"/>
      <c r="H714" s="93"/>
      <c r="I714" s="85"/>
      <c r="J714" s="85"/>
      <c r="K714" s="131"/>
      <c r="L714" s="60"/>
      <c r="M714" s="47"/>
      <c r="Q714" s="3"/>
      <c r="R714" s="3"/>
      <c r="S714" s="3"/>
      <c r="T714" s="3"/>
      <c r="U714" s="3"/>
      <c r="V714" s="3"/>
      <c r="W714" s="3"/>
      <c r="X714" s="3"/>
      <c r="Y714" s="3"/>
      <c r="Z714" s="4"/>
      <c r="AA714"/>
      <c r="AB714"/>
    </row>
    <row r="715" spans="1:28" s="37" customFormat="1" ht="16" x14ac:dyDescent="0.2">
      <c r="A715" s="70"/>
      <c r="B715" s="82"/>
      <c r="C715" s="70"/>
      <c r="D715" s="70"/>
      <c r="E715" s="70"/>
      <c r="F715" s="70"/>
      <c r="G715" s="70"/>
      <c r="H715" s="93"/>
      <c r="I715" s="85"/>
      <c r="J715" s="85"/>
      <c r="K715" s="131"/>
      <c r="L715" s="60"/>
      <c r="M715" s="47"/>
      <c r="Q715" s="3"/>
      <c r="R715" s="3"/>
      <c r="S715" s="3"/>
      <c r="T715" s="3"/>
      <c r="U715" s="3"/>
      <c r="V715" s="3"/>
      <c r="W715" s="3"/>
      <c r="X715" s="3"/>
      <c r="Y715" s="3"/>
      <c r="Z715" s="4"/>
      <c r="AA715"/>
      <c r="AB715"/>
    </row>
    <row r="716" spans="1:28" s="37" customFormat="1" ht="16" x14ac:dyDescent="0.2">
      <c r="A716" s="73"/>
      <c r="B716" s="82"/>
      <c r="C716" s="70"/>
      <c r="D716" s="70"/>
      <c r="E716" s="70"/>
      <c r="F716" s="70"/>
      <c r="G716" s="70"/>
      <c r="H716" s="93"/>
      <c r="I716" s="85"/>
      <c r="J716" s="85"/>
      <c r="K716" s="131"/>
      <c r="L716" s="60"/>
      <c r="M716" s="47"/>
      <c r="Q716" s="3"/>
      <c r="R716" s="3"/>
      <c r="S716" s="3"/>
      <c r="T716" s="3"/>
      <c r="U716" s="3"/>
      <c r="V716" s="3"/>
      <c r="W716" s="3"/>
      <c r="X716" s="3"/>
      <c r="Y716" s="3"/>
      <c r="Z716" s="4"/>
      <c r="AA716"/>
      <c r="AB716"/>
    </row>
    <row r="717" spans="1:28" s="37" customFormat="1" ht="16" x14ac:dyDescent="0.2">
      <c r="A717" s="70"/>
      <c r="B717" s="82"/>
      <c r="C717" s="70"/>
      <c r="D717" s="70"/>
      <c r="E717" s="70"/>
      <c r="F717" s="70"/>
      <c r="G717" s="70"/>
      <c r="H717" s="93"/>
      <c r="I717" s="85"/>
      <c r="J717" s="85"/>
      <c r="K717" s="131"/>
      <c r="L717" s="60"/>
      <c r="M717" s="47"/>
      <c r="Q717" s="3"/>
      <c r="R717" s="3"/>
      <c r="S717" s="3"/>
      <c r="T717" s="3"/>
      <c r="U717" s="3"/>
      <c r="V717" s="3"/>
      <c r="W717" s="3"/>
      <c r="X717" s="3"/>
      <c r="Y717" s="3"/>
      <c r="Z717" s="4"/>
      <c r="AA717"/>
      <c r="AB717"/>
    </row>
    <row r="718" spans="1:28" s="37" customFormat="1" ht="16" x14ac:dyDescent="0.2">
      <c r="A718" s="73"/>
      <c r="B718" s="82"/>
      <c r="C718" s="70"/>
      <c r="D718" s="70"/>
      <c r="E718" s="70"/>
      <c r="F718" s="70"/>
      <c r="G718" s="70"/>
      <c r="H718" s="93"/>
      <c r="I718" s="85"/>
      <c r="J718" s="85"/>
      <c r="K718" s="131"/>
      <c r="L718" s="60"/>
      <c r="M718" s="47"/>
      <c r="Q718" s="3"/>
      <c r="R718" s="3"/>
      <c r="S718" s="3"/>
      <c r="T718" s="3"/>
      <c r="U718" s="3"/>
      <c r="V718" s="3"/>
      <c r="W718" s="3"/>
      <c r="X718" s="3"/>
      <c r="Y718" s="3"/>
      <c r="Z718" s="4"/>
      <c r="AA718"/>
      <c r="AB718"/>
    </row>
    <row r="719" spans="1:28" s="37" customFormat="1" ht="16" x14ac:dyDescent="0.2">
      <c r="A719" s="70"/>
      <c r="B719" s="82"/>
      <c r="C719" s="70"/>
      <c r="D719" s="70"/>
      <c r="E719" s="70"/>
      <c r="F719" s="70"/>
      <c r="G719" s="70"/>
      <c r="H719" s="93"/>
      <c r="I719" s="85"/>
      <c r="J719" s="85"/>
      <c r="K719" s="131"/>
      <c r="L719" s="60"/>
      <c r="M719" s="47"/>
      <c r="Q719" s="3"/>
      <c r="R719" s="3"/>
      <c r="S719" s="3"/>
      <c r="T719" s="3"/>
      <c r="U719" s="3"/>
      <c r="V719" s="3"/>
      <c r="W719" s="3"/>
      <c r="X719" s="3"/>
      <c r="Y719" s="3"/>
      <c r="Z719" s="4"/>
      <c r="AA719"/>
      <c r="AB719"/>
    </row>
    <row r="720" spans="1:28" s="37" customFormat="1" ht="16" x14ac:dyDescent="0.2">
      <c r="A720" s="70"/>
      <c r="B720" s="82"/>
      <c r="C720" s="70"/>
      <c r="D720" s="70"/>
      <c r="E720" s="70"/>
      <c r="F720" s="70"/>
      <c r="G720" s="70"/>
      <c r="H720" s="93"/>
      <c r="I720" s="85"/>
      <c r="J720" s="85"/>
      <c r="K720" s="131"/>
      <c r="L720" s="60"/>
      <c r="M720" s="47"/>
      <c r="Q720" s="3"/>
      <c r="R720" s="3"/>
      <c r="S720" s="3"/>
      <c r="T720" s="3"/>
      <c r="U720" s="3"/>
      <c r="V720" s="3"/>
      <c r="W720" s="3"/>
      <c r="X720" s="3"/>
      <c r="Y720" s="3"/>
      <c r="Z720" s="4"/>
      <c r="AA720"/>
      <c r="AB720"/>
    </row>
    <row r="721" spans="1:28" s="37" customFormat="1" ht="16" x14ac:dyDescent="0.2">
      <c r="A721" s="70"/>
      <c r="B721" s="82"/>
      <c r="C721" s="70"/>
      <c r="D721" s="70"/>
      <c r="E721" s="70"/>
      <c r="F721" s="70"/>
      <c r="G721" s="70"/>
      <c r="H721" s="93"/>
      <c r="I721" s="85"/>
      <c r="J721" s="85"/>
      <c r="K721" s="131"/>
      <c r="L721" s="60"/>
      <c r="M721" s="47"/>
      <c r="Q721" s="3"/>
      <c r="R721" s="3"/>
      <c r="S721" s="3"/>
      <c r="T721" s="3"/>
      <c r="U721" s="3"/>
      <c r="V721" s="3"/>
      <c r="W721" s="3"/>
      <c r="X721" s="3"/>
      <c r="Y721" s="3"/>
      <c r="Z721" s="4"/>
      <c r="AA721"/>
      <c r="AB721"/>
    </row>
    <row r="722" spans="1:28" s="37" customFormat="1" ht="16" x14ac:dyDescent="0.2">
      <c r="A722" s="70"/>
      <c r="B722" s="82"/>
      <c r="C722" s="70"/>
      <c r="D722" s="70"/>
      <c r="E722" s="70"/>
      <c r="F722" s="70"/>
      <c r="G722" s="70"/>
      <c r="H722" s="93"/>
      <c r="I722" s="85"/>
      <c r="J722" s="85"/>
      <c r="K722" s="131"/>
      <c r="L722" s="60"/>
      <c r="M722" s="47"/>
      <c r="Q722" s="3"/>
      <c r="R722" s="3"/>
      <c r="S722" s="3"/>
      <c r="T722" s="3"/>
      <c r="U722" s="3"/>
      <c r="V722" s="3"/>
      <c r="W722" s="3"/>
      <c r="X722" s="3"/>
      <c r="Y722" s="3"/>
      <c r="Z722" s="4"/>
      <c r="AA722"/>
      <c r="AB722"/>
    </row>
    <row r="723" spans="1:28" s="37" customFormat="1" ht="16" x14ac:dyDescent="0.2">
      <c r="A723" s="166"/>
      <c r="B723" s="82"/>
      <c r="C723" s="70"/>
      <c r="D723" s="70"/>
      <c r="E723" s="70"/>
      <c r="F723" s="70"/>
      <c r="G723" s="70"/>
      <c r="H723" s="93"/>
      <c r="I723" s="85"/>
      <c r="J723" s="85"/>
      <c r="K723" s="131"/>
      <c r="L723" s="60"/>
      <c r="M723" s="47"/>
      <c r="N723" s="50"/>
      <c r="Q723" s="3"/>
      <c r="R723" s="3"/>
      <c r="S723" s="3"/>
      <c r="T723" s="3"/>
      <c r="U723" s="3"/>
      <c r="V723" s="3"/>
      <c r="W723" s="3"/>
      <c r="X723" s="3"/>
      <c r="Y723" s="3"/>
      <c r="Z723" s="4"/>
      <c r="AA723"/>
      <c r="AB723"/>
    </row>
    <row r="724" spans="1:28" s="37" customFormat="1" ht="16" x14ac:dyDescent="0.2">
      <c r="A724" s="166"/>
      <c r="B724" s="82"/>
      <c r="C724" s="70"/>
      <c r="D724" s="70"/>
      <c r="E724" s="70"/>
      <c r="F724" s="70"/>
      <c r="G724" s="70"/>
      <c r="H724" s="93"/>
      <c r="I724" s="85"/>
      <c r="J724" s="85"/>
      <c r="K724" s="131"/>
      <c r="L724" s="60"/>
      <c r="M724" s="47"/>
      <c r="Q724" s="3"/>
      <c r="R724" s="3"/>
      <c r="S724" s="3"/>
      <c r="T724" s="3"/>
      <c r="U724" s="3"/>
      <c r="V724" s="3"/>
      <c r="W724" s="3"/>
      <c r="X724" s="3"/>
      <c r="Y724" s="3"/>
      <c r="Z724" s="4"/>
      <c r="AA724"/>
      <c r="AB724"/>
    </row>
    <row r="725" spans="1:28" s="37" customFormat="1" ht="16" x14ac:dyDescent="0.2">
      <c r="A725" s="166"/>
      <c r="B725" s="82"/>
      <c r="C725" s="70"/>
      <c r="D725" s="70"/>
      <c r="E725" s="70"/>
      <c r="F725" s="70"/>
      <c r="G725" s="70"/>
      <c r="H725" s="93"/>
      <c r="I725" s="85"/>
      <c r="J725" s="85"/>
      <c r="K725" s="131"/>
      <c r="L725" s="60"/>
      <c r="M725" s="47"/>
      <c r="N725" s="50"/>
      <c r="Q725" s="3"/>
      <c r="R725" s="3"/>
      <c r="S725" s="3"/>
      <c r="T725" s="3"/>
      <c r="U725" s="3"/>
      <c r="V725" s="3"/>
      <c r="W725" s="3"/>
      <c r="X725" s="3"/>
      <c r="Y725" s="3"/>
      <c r="Z725" s="4"/>
      <c r="AA725"/>
      <c r="AB725"/>
    </row>
    <row r="726" spans="1:28" s="37" customFormat="1" x14ac:dyDescent="0.15">
      <c r="A726" s="166"/>
      <c r="B726" s="82"/>
      <c r="C726" s="70"/>
      <c r="D726" s="70"/>
      <c r="E726" s="70"/>
      <c r="F726" s="70"/>
      <c r="G726" s="70"/>
      <c r="H726" s="93"/>
      <c r="I726" s="85"/>
      <c r="J726" s="85"/>
      <c r="K726" s="131"/>
      <c r="L726" s="60"/>
      <c r="M726" s="49"/>
      <c r="Q726" s="3"/>
      <c r="R726" s="3"/>
      <c r="S726" s="3"/>
      <c r="T726" s="3"/>
      <c r="U726" s="3"/>
      <c r="V726" s="3"/>
      <c r="W726" s="3"/>
      <c r="X726" s="3"/>
      <c r="Y726" s="3"/>
      <c r="Z726" s="4"/>
      <c r="AA726"/>
      <c r="AB726"/>
    </row>
    <row r="727" spans="1:28" s="37" customFormat="1" ht="16" x14ac:dyDescent="0.2">
      <c r="A727" s="166"/>
      <c r="B727" s="82"/>
      <c r="C727" s="70"/>
      <c r="D727" s="70"/>
      <c r="E727" s="70"/>
      <c r="F727" s="70"/>
      <c r="G727" s="70"/>
      <c r="H727" s="93"/>
      <c r="I727" s="85"/>
      <c r="J727" s="85"/>
      <c r="K727" s="131"/>
      <c r="L727" s="60"/>
      <c r="M727" s="47"/>
      <c r="Q727" s="3"/>
      <c r="R727" s="3"/>
      <c r="S727" s="3"/>
      <c r="T727" s="3"/>
      <c r="U727" s="3"/>
      <c r="V727" s="3"/>
      <c r="W727" s="3"/>
      <c r="X727" s="3"/>
      <c r="Y727" s="3"/>
      <c r="Z727" s="4"/>
      <c r="AA727"/>
      <c r="AB727"/>
    </row>
    <row r="728" spans="1:28" s="37" customFormat="1" ht="16" x14ac:dyDescent="0.2">
      <c r="A728" s="166"/>
      <c r="B728" s="82"/>
      <c r="C728" s="70"/>
      <c r="D728" s="70"/>
      <c r="E728" s="70"/>
      <c r="F728" s="70"/>
      <c r="G728" s="70"/>
      <c r="H728" s="93"/>
      <c r="I728" s="85"/>
      <c r="J728" s="85"/>
      <c r="K728" s="131"/>
      <c r="L728" s="60"/>
      <c r="M728" s="47"/>
      <c r="Q728" s="3"/>
      <c r="R728" s="3"/>
      <c r="S728" s="3"/>
      <c r="T728" s="3"/>
      <c r="U728" s="3"/>
      <c r="V728" s="3"/>
      <c r="W728" s="3"/>
      <c r="X728" s="3"/>
      <c r="Y728" s="3"/>
      <c r="Z728" s="4"/>
      <c r="AA728"/>
      <c r="AB728"/>
    </row>
    <row r="729" spans="1:28" s="37" customFormat="1" ht="16" x14ac:dyDescent="0.2">
      <c r="A729" s="166"/>
      <c r="B729" s="82"/>
      <c r="C729" s="70"/>
      <c r="D729" s="70"/>
      <c r="E729" s="70"/>
      <c r="F729" s="70"/>
      <c r="G729" s="70"/>
      <c r="H729" s="93"/>
      <c r="I729" s="85"/>
      <c r="J729" s="85"/>
      <c r="K729" s="131"/>
      <c r="L729" s="60"/>
      <c r="M729" s="47"/>
      <c r="Q729" s="3"/>
      <c r="R729" s="3"/>
      <c r="S729" s="3"/>
      <c r="T729" s="3"/>
      <c r="U729" s="3"/>
      <c r="V729" s="3"/>
      <c r="W729" s="3"/>
      <c r="X729" s="3"/>
      <c r="Y729" s="3"/>
      <c r="Z729" s="4"/>
      <c r="AA729"/>
      <c r="AB729"/>
    </row>
    <row r="730" spans="1:28" s="37" customFormat="1" ht="16" x14ac:dyDescent="0.2">
      <c r="A730" s="166"/>
      <c r="B730" s="82"/>
      <c r="C730" s="70"/>
      <c r="D730" s="70"/>
      <c r="E730" s="70"/>
      <c r="F730" s="70"/>
      <c r="G730" s="70"/>
      <c r="H730" s="93"/>
      <c r="I730" s="85"/>
      <c r="J730" s="85"/>
      <c r="K730" s="131"/>
      <c r="L730" s="60"/>
      <c r="M730" s="47"/>
      <c r="Q730" s="3"/>
      <c r="R730" s="3"/>
      <c r="S730" s="3"/>
      <c r="T730" s="3"/>
      <c r="U730" s="3"/>
      <c r="V730" s="3"/>
      <c r="W730" s="3"/>
      <c r="X730" s="3"/>
      <c r="Y730" s="3"/>
      <c r="Z730" s="4"/>
      <c r="AA730"/>
      <c r="AB730"/>
    </row>
    <row r="731" spans="1:28" s="37" customFormat="1" ht="16" x14ac:dyDescent="0.2">
      <c r="A731" s="166"/>
      <c r="B731" s="82"/>
      <c r="C731" s="70"/>
      <c r="D731" s="70"/>
      <c r="E731" s="70"/>
      <c r="F731" s="70"/>
      <c r="G731" s="70"/>
      <c r="H731" s="93"/>
      <c r="I731" s="85"/>
      <c r="J731" s="85"/>
      <c r="K731" s="131"/>
      <c r="L731" s="60"/>
      <c r="M731" s="47"/>
      <c r="Q731" s="3"/>
      <c r="R731" s="3"/>
      <c r="S731" s="3"/>
      <c r="T731" s="3"/>
      <c r="U731" s="3"/>
      <c r="V731" s="3"/>
      <c r="W731" s="3"/>
      <c r="X731" s="3"/>
      <c r="Y731" s="3"/>
      <c r="Z731" s="4"/>
      <c r="AA731"/>
      <c r="AB731"/>
    </row>
    <row r="732" spans="1:28" s="37" customFormat="1" ht="16" x14ac:dyDescent="0.2">
      <c r="A732" s="166"/>
      <c r="B732" s="82"/>
      <c r="C732" s="70"/>
      <c r="D732" s="70"/>
      <c r="E732" s="70"/>
      <c r="F732" s="70"/>
      <c r="G732" s="70"/>
      <c r="H732" s="93"/>
      <c r="I732" s="85"/>
      <c r="J732" s="85"/>
      <c r="K732" s="131"/>
      <c r="L732" s="60"/>
      <c r="M732" s="47"/>
      <c r="Q732" s="3"/>
      <c r="R732" s="3"/>
      <c r="S732" s="3"/>
      <c r="T732" s="3"/>
      <c r="U732" s="3"/>
      <c r="V732" s="3"/>
      <c r="W732" s="3"/>
      <c r="X732" s="3"/>
      <c r="Y732" s="3"/>
      <c r="Z732" s="4"/>
      <c r="AA732"/>
      <c r="AB732"/>
    </row>
    <row r="733" spans="1:28" s="37" customFormat="1" ht="16" x14ac:dyDescent="0.2">
      <c r="A733" s="166"/>
      <c r="B733" s="82"/>
      <c r="C733" s="70"/>
      <c r="D733" s="70"/>
      <c r="E733" s="70"/>
      <c r="F733" s="70"/>
      <c r="G733" s="70"/>
      <c r="H733" s="93"/>
      <c r="I733" s="85"/>
      <c r="J733" s="85"/>
      <c r="K733" s="131"/>
      <c r="L733" s="60"/>
      <c r="M733" s="47"/>
      <c r="N733" s="48"/>
      <c r="Q733" s="3"/>
      <c r="R733" s="3"/>
      <c r="S733" s="3"/>
      <c r="T733" s="3"/>
      <c r="U733" s="3"/>
      <c r="V733" s="3"/>
      <c r="W733" s="3"/>
      <c r="X733" s="3"/>
      <c r="Y733" s="3"/>
      <c r="Z733" s="4"/>
      <c r="AA733"/>
      <c r="AB733"/>
    </row>
    <row r="734" spans="1:28" s="3" customFormat="1" ht="16" x14ac:dyDescent="0.2">
      <c r="A734" s="166"/>
      <c r="B734" s="82"/>
      <c r="C734" s="70"/>
      <c r="D734" s="70"/>
      <c r="E734" s="70"/>
      <c r="F734" s="70"/>
      <c r="G734" s="70"/>
      <c r="H734" s="93"/>
      <c r="I734" s="85"/>
      <c r="J734" s="85"/>
      <c r="K734" s="131"/>
      <c r="L734" s="60"/>
      <c r="M734" s="47"/>
      <c r="N734" s="37"/>
      <c r="O734" s="37"/>
      <c r="P734" s="37"/>
      <c r="Q734"/>
      <c r="R734"/>
      <c r="Z734" s="4"/>
      <c r="AA734"/>
      <c r="AB734"/>
    </row>
    <row r="735" spans="1:28" s="3" customFormat="1" ht="16" x14ac:dyDescent="0.2">
      <c r="A735" s="166"/>
      <c r="B735" s="82"/>
      <c r="C735" s="70"/>
      <c r="D735" s="70"/>
      <c r="E735" s="70"/>
      <c r="F735" s="70"/>
      <c r="G735" s="70"/>
      <c r="H735" s="93"/>
      <c r="I735" s="85"/>
      <c r="J735" s="85"/>
      <c r="K735" s="131"/>
      <c r="L735" s="60"/>
      <c r="M735" s="47"/>
      <c r="N735" s="37"/>
      <c r="O735" s="37"/>
      <c r="P735" s="37"/>
      <c r="Z735" s="4"/>
      <c r="AA735"/>
      <c r="AB735"/>
    </row>
    <row r="736" spans="1:28" s="3" customFormat="1" ht="16" x14ac:dyDescent="0.2">
      <c r="A736" s="166"/>
      <c r="B736" s="82"/>
      <c r="C736" s="70"/>
      <c r="D736" s="70"/>
      <c r="E736" s="70"/>
      <c r="F736" s="70"/>
      <c r="G736" s="70"/>
      <c r="H736" s="93"/>
      <c r="I736" s="85"/>
      <c r="J736" s="85"/>
      <c r="K736" s="131"/>
      <c r="L736" s="60"/>
      <c r="M736" s="47"/>
      <c r="N736" s="37"/>
      <c r="O736" s="37"/>
      <c r="P736" s="37"/>
      <c r="Z736" s="4"/>
      <c r="AA736"/>
      <c r="AB736"/>
    </row>
    <row r="737" spans="1:28" s="3" customFormat="1" ht="16" x14ac:dyDescent="0.2">
      <c r="A737" s="166"/>
      <c r="B737" s="82"/>
      <c r="C737" s="70"/>
      <c r="D737" s="70"/>
      <c r="E737" s="70"/>
      <c r="F737" s="70"/>
      <c r="G737" s="70"/>
      <c r="H737" s="93"/>
      <c r="I737" s="85"/>
      <c r="J737" s="85"/>
      <c r="K737" s="131"/>
      <c r="L737" s="60"/>
      <c r="M737" s="47"/>
      <c r="N737" s="37"/>
      <c r="O737" s="37"/>
      <c r="P737" s="37"/>
      <c r="Z737" s="4"/>
      <c r="AA737"/>
      <c r="AB737"/>
    </row>
    <row r="738" spans="1:28" s="3" customFormat="1" ht="16" x14ac:dyDescent="0.2">
      <c r="A738" s="166"/>
      <c r="B738" s="82"/>
      <c r="C738" s="70"/>
      <c r="D738" s="70"/>
      <c r="E738" s="70"/>
      <c r="F738" s="70"/>
      <c r="G738" s="70"/>
      <c r="H738" s="93"/>
      <c r="I738" s="85"/>
      <c r="J738" s="85"/>
      <c r="K738" s="131"/>
      <c r="L738" s="60"/>
      <c r="M738" s="47"/>
      <c r="N738" s="37"/>
      <c r="O738" s="37"/>
      <c r="P738" s="37"/>
      <c r="Z738" s="4"/>
      <c r="AA738"/>
      <c r="AB738"/>
    </row>
    <row r="739" spans="1:28" s="3" customFormat="1" ht="16" x14ac:dyDescent="0.2">
      <c r="A739" s="70"/>
      <c r="B739" s="82"/>
      <c r="C739" s="70"/>
      <c r="D739" s="70"/>
      <c r="E739" s="70"/>
      <c r="F739" s="70"/>
      <c r="G739" s="70"/>
      <c r="H739" s="93"/>
      <c r="I739" s="85"/>
      <c r="J739" s="85"/>
      <c r="K739" s="131"/>
      <c r="L739" s="60"/>
      <c r="M739" s="47"/>
      <c r="N739" s="37"/>
      <c r="O739" s="37"/>
      <c r="P739" s="37"/>
      <c r="Z739" s="4"/>
      <c r="AA739"/>
      <c r="AB739"/>
    </row>
    <row r="740" spans="1:28" s="3" customFormat="1" ht="16" x14ac:dyDescent="0.2">
      <c r="A740" s="166"/>
      <c r="B740" s="82"/>
      <c r="C740" s="70"/>
      <c r="D740" s="70"/>
      <c r="E740" s="70"/>
      <c r="F740" s="70"/>
      <c r="G740" s="70"/>
      <c r="H740" s="93"/>
      <c r="I740" s="85"/>
      <c r="J740" s="85"/>
      <c r="K740" s="131"/>
      <c r="L740" s="60"/>
      <c r="M740" s="47"/>
      <c r="N740" s="37"/>
      <c r="O740" s="37"/>
      <c r="P740" s="37"/>
      <c r="Z740" s="4"/>
      <c r="AA740"/>
      <c r="AB740"/>
    </row>
    <row r="741" spans="1:28" s="3" customFormat="1" ht="16" x14ac:dyDescent="0.2">
      <c r="A741" s="166"/>
      <c r="B741" s="82"/>
      <c r="C741" s="70"/>
      <c r="D741" s="70"/>
      <c r="E741" s="70"/>
      <c r="F741" s="70"/>
      <c r="G741" s="70"/>
      <c r="H741" s="93"/>
      <c r="I741" s="85"/>
      <c r="J741" s="85"/>
      <c r="K741" s="131"/>
      <c r="L741" s="60"/>
      <c r="M741" s="47"/>
      <c r="N741" s="37"/>
      <c r="O741" s="37"/>
      <c r="P741" s="37"/>
      <c r="Z741" s="4"/>
      <c r="AA741"/>
      <c r="AB741"/>
    </row>
    <row r="742" spans="1:28" s="3" customFormat="1" ht="16" x14ac:dyDescent="0.2">
      <c r="A742" s="166"/>
      <c r="B742" s="82"/>
      <c r="C742" s="70"/>
      <c r="D742" s="70"/>
      <c r="E742" s="70"/>
      <c r="F742" s="70"/>
      <c r="G742" s="70"/>
      <c r="H742" s="93"/>
      <c r="I742" s="85"/>
      <c r="J742" s="85"/>
      <c r="K742" s="131"/>
      <c r="L742" s="60"/>
      <c r="M742" s="47"/>
      <c r="N742" s="37"/>
      <c r="O742" s="37"/>
      <c r="P742" s="37"/>
      <c r="Z742" s="4"/>
      <c r="AA742"/>
      <c r="AB742"/>
    </row>
    <row r="743" spans="1:28" s="3" customFormat="1" ht="16" x14ac:dyDescent="0.2">
      <c r="A743" s="166"/>
      <c r="B743" s="82"/>
      <c r="C743" s="70"/>
      <c r="D743" s="70"/>
      <c r="E743" s="70"/>
      <c r="F743" s="70"/>
      <c r="G743" s="70"/>
      <c r="H743" s="93"/>
      <c r="I743" s="85"/>
      <c r="J743" s="85"/>
      <c r="K743" s="131"/>
      <c r="L743" s="60"/>
      <c r="M743" s="47"/>
      <c r="N743" s="37"/>
      <c r="O743" s="37"/>
      <c r="P743" s="37"/>
      <c r="Z743" s="4"/>
      <c r="AA743"/>
      <c r="AB743"/>
    </row>
    <row r="744" spans="1:28" s="3" customFormat="1" ht="16" x14ac:dyDescent="0.2">
      <c r="A744" s="166"/>
      <c r="B744" s="82"/>
      <c r="C744" s="70"/>
      <c r="D744" s="70"/>
      <c r="E744" s="70"/>
      <c r="F744" s="70"/>
      <c r="G744" s="70"/>
      <c r="H744" s="93"/>
      <c r="I744" s="85"/>
      <c r="J744" s="85"/>
      <c r="K744" s="131"/>
      <c r="L744" s="60"/>
      <c r="M744" s="47"/>
      <c r="N744" s="37"/>
      <c r="O744" s="37"/>
      <c r="P744" s="37"/>
      <c r="Z744" s="4"/>
      <c r="AA744"/>
      <c r="AB744"/>
    </row>
    <row r="745" spans="1:28" s="3" customFormat="1" ht="16" x14ac:dyDescent="0.2">
      <c r="A745" s="166"/>
      <c r="B745" s="82"/>
      <c r="C745" s="70"/>
      <c r="D745" s="70"/>
      <c r="E745" s="70"/>
      <c r="F745" s="70"/>
      <c r="G745" s="70"/>
      <c r="H745" s="93"/>
      <c r="I745" s="85"/>
      <c r="J745" s="85"/>
      <c r="K745" s="131"/>
      <c r="L745" s="60"/>
      <c r="M745" s="47"/>
      <c r="N745" s="37"/>
      <c r="O745" s="37"/>
      <c r="P745" s="37"/>
      <c r="Z745" s="4"/>
      <c r="AA745"/>
      <c r="AB745"/>
    </row>
    <row r="746" spans="1:28" s="3" customFormat="1" ht="16" x14ac:dyDescent="0.2">
      <c r="A746" s="166"/>
      <c r="B746" s="82"/>
      <c r="C746" s="70"/>
      <c r="D746" s="70"/>
      <c r="E746" s="70"/>
      <c r="F746" s="70"/>
      <c r="G746" s="70"/>
      <c r="H746" s="93"/>
      <c r="I746" s="85"/>
      <c r="J746" s="85"/>
      <c r="K746" s="131"/>
      <c r="L746" s="60"/>
      <c r="M746" s="47"/>
      <c r="N746" s="37"/>
      <c r="O746" s="51"/>
      <c r="P746" s="37"/>
      <c r="Z746" s="4"/>
      <c r="AA746"/>
      <c r="AB746"/>
    </row>
    <row r="747" spans="1:28" s="3" customFormat="1" ht="16" x14ac:dyDescent="0.2">
      <c r="A747" s="166"/>
      <c r="B747" s="82"/>
      <c r="C747" s="70"/>
      <c r="D747" s="70"/>
      <c r="E747" s="70"/>
      <c r="F747" s="70"/>
      <c r="G747" s="70"/>
      <c r="H747" s="93"/>
      <c r="I747" s="85"/>
      <c r="J747" s="85"/>
      <c r="K747" s="131"/>
      <c r="L747" s="60"/>
      <c r="M747" s="47"/>
      <c r="N747" s="37"/>
      <c r="O747" s="37"/>
      <c r="P747" s="37"/>
      <c r="Z747" s="4"/>
      <c r="AA747"/>
      <c r="AB747"/>
    </row>
    <row r="748" spans="1:28" s="3" customFormat="1" ht="16" x14ac:dyDescent="0.2">
      <c r="A748" s="166"/>
      <c r="B748" s="82"/>
      <c r="C748" s="70"/>
      <c r="D748" s="70"/>
      <c r="E748" s="70"/>
      <c r="F748" s="70"/>
      <c r="G748" s="70"/>
      <c r="H748" s="93"/>
      <c r="I748" s="85"/>
      <c r="J748" s="85"/>
      <c r="K748" s="131"/>
      <c r="L748" s="60"/>
      <c r="M748" s="47"/>
      <c r="N748" s="37"/>
      <c r="O748" s="37"/>
      <c r="P748" s="37"/>
      <c r="Z748" s="4"/>
      <c r="AA748"/>
      <c r="AB748"/>
    </row>
    <row r="749" spans="1:28" s="3" customFormat="1" ht="16" x14ac:dyDescent="0.2">
      <c r="A749" s="166"/>
      <c r="B749" s="82"/>
      <c r="C749" s="70"/>
      <c r="D749" s="70"/>
      <c r="E749" s="70"/>
      <c r="F749" s="70"/>
      <c r="G749" s="70"/>
      <c r="H749" s="93"/>
      <c r="I749" s="85"/>
      <c r="J749" s="85"/>
      <c r="K749" s="131"/>
      <c r="L749" s="60"/>
      <c r="M749" s="47"/>
      <c r="N749" s="37"/>
      <c r="O749" s="37"/>
      <c r="P749" s="37"/>
      <c r="Z749" s="4"/>
      <c r="AA749"/>
      <c r="AB749"/>
    </row>
    <row r="750" spans="1:28" s="37" customFormat="1" ht="16" x14ac:dyDescent="0.2">
      <c r="A750" s="166"/>
      <c r="B750" s="82"/>
      <c r="C750" s="70"/>
      <c r="D750" s="70"/>
      <c r="E750" s="70"/>
      <c r="F750" s="70"/>
      <c r="G750" s="70"/>
      <c r="H750" s="93"/>
      <c r="I750" s="85"/>
      <c r="J750" s="85"/>
      <c r="K750" s="131"/>
      <c r="L750" s="60"/>
      <c r="M750" s="47"/>
      <c r="Q750" s="3"/>
      <c r="R750" s="3"/>
      <c r="S750" s="3"/>
      <c r="T750" s="3"/>
      <c r="U750" s="3"/>
      <c r="V750" s="3"/>
      <c r="W750" s="3"/>
      <c r="X750" s="3"/>
      <c r="Y750" s="3"/>
      <c r="Z750" s="4"/>
      <c r="AA750"/>
      <c r="AB750"/>
    </row>
    <row r="751" spans="1:28" s="37" customFormat="1" ht="16" x14ac:dyDescent="0.2">
      <c r="A751" s="166"/>
      <c r="B751" s="82"/>
      <c r="C751" s="70"/>
      <c r="D751" s="70"/>
      <c r="E751" s="70"/>
      <c r="F751" s="70"/>
      <c r="G751" s="70"/>
      <c r="H751" s="93"/>
      <c r="I751" s="85"/>
      <c r="J751" s="85"/>
      <c r="K751" s="131"/>
      <c r="L751" s="60"/>
      <c r="M751" s="47"/>
      <c r="Q751" s="3"/>
      <c r="R751" s="3"/>
      <c r="S751" s="3"/>
      <c r="T751" s="3"/>
      <c r="U751" s="3"/>
      <c r="V751" s="3"/>
      <c r="W751" s="3"/>
      <c r="X751" s="3"/>
      <c r="Y751" s="3"/>
      <c r="Z751" s="4"/>
      <c r="AA751"/>
      <c r="AB751"/>
    </row>
    <row r="752" spans="1:28" s="37" customFormat="1" ht="16" x14ac:dyDescent="0.2">
      <c r="A752" s="166"/>
      <c r="B752" s="82"/>
      <c r="C752" s="70"/>
      <c r="D752" s="70"/>
      <c r="E752" s="70"/>
      <c r="F752" s="70"/>
      <c r="G752" s="70"/>
      <c r="H752" s="93"/>
      <c r="I752" s="85"/>
      <c r="J752" s="85"/>
      <c r="K752" s="131"/>
      <c r="L752" s="60"/>
      <c r="M752" s="47"/>
      <c r="Q752" s="3"/>
      <c r="R752" s="3"/>
      <c r="S752" s="3"/>
      <c r="T752" s="3"/>
      <c r="U752" s="3"/>
      <c r="V752" s="3"/>
      <c r="W752" s="3"/>
      <c r="X752" s="3"/>
      <c r="Y752" s="3"/>
      <c r="Z752" s="4"/>
      <c r="AA752"/>
      <c r="AB752"/>
    </row>
    <row r="753" spans="1:28" s="37" customFormat="1" ht="16" x14ac:dyDescent="0.2">
      <c r="A753" s="166"/>
      <c r="B753" s="82"/>
      <c r="C753" s="70"/>
      <c r="D753" s="70"/>
      <c r="E753" s="70"/>
      <c r="F753" s="70"/>
      <c r="G753" s="70"/>
      <c r="H753" s="93"/>
      <c r="I753" s="85"/>
      <c r="J753" s="85"/>
      <c r="K753" s="131"/>
      <c r="L753" s="60"/>
      <c r="M753" s="47"/>
      <c r="Q753" s="3"/>
      <c r="R753" s="3"/>
      <c r="S753" s="3"/>
      <c r="T753" s="3"/>
      <c r="U753" s="3"/>
      <c r="V753" s="3"/>
      <c r="W753" s="3"/>
      <c r="X753" s="3"/>
      <c r="Y753" s="3"/>
      <c r="Z753" s="4"/>
      <c r="AA753"/>
      <c r="AB753"/>
    </row>
    <row r="754" spans="1:28" s="37" customFormat="1" ht="16" x14ac:dyDescent="0.2">
      <c r="A754" s="166"/>
      <c r="B754" s="82"/>
      <c r="C754" s="70"/>
      <c r="D754" s="70"/>
      <c r="E754" s="70"/>
      <c r="F754" s="70"/>
      <c r="G754" s="70"/>
      <c r="H754" s="93"/>
      <c r="I754" s="85"/>
      <c r="J754" s="85"/>
      <c r="K754" s="131"/>
      <c r="L754" s="60"/>
      <c r="M754" s="47"/>
      <c r="Q754" s="3"/>
      <c r="R754" s="3"/>
      <c r="S754" s="3"/>
      <c r="T754" s="3"/>
      <c r="U754" s="3"/>
      <c r="V754" s="3"/>
      <c r="W754" s="3"/>
      <c r="X754" s="3"/>
      <c r="Y754" s="3"/>
      <c r="Z754" s="4"/>
      <c r="AA754"/>
      <c r="AB754"/>
    </row>
    <row r="755" spans="1:28" s="37" customFormat="1" ht="16" x14ac:dyDescent="0.2">
      <c r="A755" s="166"/>
      <c r="B755" s="82"/>
      <c r="C755" s="70"/>
      <c r="D755" s="70"/>
      <c r="E755" s="70"/>
      <c r="F755" s="70"/>
      <c r="G755" s="70"/>
      <c r="H755" s="93"/>
      <c r="I755" s="85"/>
      <c r="J755" s="85"/>
      <c r="K755" s="131"/>
      <c r="L755" s="60"/>
      <c r="M755" s="47"/>
      <c r="Q755" s="3"/>
      <c r="R755" s="3"/>
      <c r="S755" s="3"/>
      <c r="T755" s="3"/>
      <c r="U755" s="3"/>
      <c r="V755" s="3"/>
      <c r="W755" s="3"/>
      <c r="X755" s="3"/>
      <c r="Y755" s="3"/>
      <c r="Z755" s="4"/>
      <c r="AA755"/>
      <c r="AB755"/>
    </row>
    <row r="756" spans="1:28" s="37" customFormat="1" ht="16" x14ac:dyDescent="0.2">
      <c r="A756" s="166"/>
      <c r="B756" s="82"/>
      <c r="C756" s="70"/>
      <c r="D756" s="70"/>
      <c r="E756" s="70"/>
      <c r="F756" s="70"/>
      <c r="G756" s="70"/>
      <c r="H756" s="93"/>
      <c r="I756" s="85"/>
      <c r="J756" s="85"/>
      <c r="K756" s="131"/>
      <c r="L756" s="60"/>
      <c r="M756" s="47"/>
      <c r="Q756" s="3"/>
      <c r="R756" s="3"/>
      <c r="S756" s="3"/>
      <c r="T756" s="3"/>
      <c r="U756" s="3"/>
      <c r="V756" s="3"/>
      <c r="W756" s="3"/>
      <c r="X756" s="3"/>
      <c r="Y756" s="3"/>
      <c r="Z756" s="4"/>
      <c r="AA756"/>
      <c r="AB756"/>
    </row>
    <row r="757" spans="1:28" s="37" customFormat="1" ht="16" x14ac:dyDescent="0.2">
      <c r="A757" s="166"/>
      <c r="B757" s="82"/>
      <c r="C757" s="70"/>
      <c r="D757" s="70"/>
      <c r="E757" s="70"/>
      <c r="F757" s="70"/>
      <c r="G757" s="70"/>
      <c r="H757" s="93"/>
      <c r="I757" s="85"/>
      <c r="J757" s="85"/>
      <c r="K757" s="131"/>
      <c r="L757" s="60"/>
      <c r="M757" s="47"/>
      <c r="Q757" s="3"/>
      <c r="R757" s="3"/>
      <c r="S757" s="3"/>
      <c r="T757" s="3"/>
      <c r="U757" s="3"/>
      <c r="V757" s="3"/>
      <c r="W757" s="3"/>
      <c r="X757" s="3"/>
      <c r="Y757" s="3"/>
      <c r="Z757" s="4"/>
      <c r="AA757"/>
      <c r="AB757"/>
    </row>
    <row r="758" spans="1:28" s="37" customFormat="1" ht="16" x14ac:dyDescent="0.2">
      <c r="A758" s="166"/>
      <c r="B758" s="82"/>
      <c r="C758" s="70"/>
      <c r="D758" s="70"/>
      <c r="E758" s="70"/>
      <c r="F758" s="70"/>
      <c r="G758" s="70"/>
      <c r="H758" s="93"/>
      <c r="I758" s="85"/>
      <c r="J758" s="85"/>
      <c r="K758" s="131"/>
      <c r="L758" s="60"/>
      <c r="M758" s="47"/>
      <c r="N758" s="50"/>
      <c r="Q758" s="3"/>
      <c r="R758" s="3"/>
      <c r="S758" s="3"/>
      <c r="T758" s="3"/>
      <c r="U758" s="3"/>
      <c r="V758" s="3"/>
      <c r="W758" s="3"/>
      <c r="X758" s="3"/>
      <c r="Y758" s="3"/>
      <c r="Z758" s="4"/>
      <c r="AA758"/>
      <c r="AB758"/>
    </row>
    <row r="759" spans="1:28" s="37" customFormat="1" ht="16" x14ac:dyDescent="0.2">
      <c r="A759" s="166"/>
      <c r="B759" s="82"/>
      <c r="C759" s="70"/>
      <c r="D759" s="70"/>
      <c r="E759" s="70"/>
      <c r="F759" s="70"/>
      <c r="G759" s="70"/>
      <c r="H759" s="93"/>
      <c r="I759" s="85"/>
      <c r="J759" s="94"/>
      <c r="K759" s="138"/>
      <c r="L759" s="71"/>
      <c r="M759" s="47"/>
      <c r="Q759" s="3"/>
      <c r="R759" s="3"/>
      <c r="S759" s="3"/>
      <c r="T759" s="3"/>
      <c r="U759" s="3"/>
      <c r="V759" s="3"/>
      <c r="W759" s="3"/>
      <c r="X759" s="3"/>
      <c r="Y759" s="3"/>
      <c r="Z759" s="4"/>
      <c r="AA759"/>
      <c r="AB759"/>
    </row>
    <row r="760" spans="1:28" s="37" customFormat="1" ht="16" x14ac:dyDescent="0.2">
      <c r="A760" s="166"/>
      <c r="B760" s="82"/>
      <c r="C760" s="70"/>
      <c r="D760" s="70"/>
      <c r="E760" s="70"/>
      <c r="F760" s="70"/>
      <c r="G760" s="70"/>
      <c r="H760" s="93"/>
      <c r="I760" s="85"/>
      <c r="J760" s="85"/>
      <c r="K760" s="131"/>
      <c r="L760" s="60"/>
      <c r="M760" s="47"/>
      <c r="Q760" s="3"/>
      <c r="R760" s="3"/>
      <c r="S760" s="3"/>
      <c r="T760" s="3"/>
      <c r="U760" s="3"/>
      <c r="V760" s="3"/>
      <c r="W760" s="3"/>
      <c r="X760" s="3"/>
      <c r="Y760" s="3"/>
      <c r="Z760" s="4"/>
      <c r="AA760"/>
      <c r="AB760"/>
    </row>
    <row r="761" spans="1:28" s="37" customFormat="1" ht="16" x14ac:dyDescent="0.2">
      <c r="A761" s="166"/>
      <c r="B761" s="82"/>
      <c r="C761" s="70"/>
      <c r="D761" s="70"/>
      <c r="E761" s="70"/>
      <c r="F761" s="70"/>
      <c r="G761" s="70"/>
      <c r="H761" s="93"/>
      <c r="I761" s="85"/>
      <c r="J761" s="85"/>
      <c r="K761" s="131"/>
      <c r="L761" s="60"/>
      <c r="M761" s="47"/>
      <c r="N761" s="49"/>
      <c r="Q761" s="3"/>
      <c r="R761" s="3"/>
      <c r="S761" s="3"/>
      <c r="T761" s="3"/>
      <c r="U761" s="3"/>
      <c r="V761" s="3"/>
      <c r="W761" s="3"/>
      <c r="X761" s="3"/>
      <c r="Y761" s="3"/>
      <c r="Z761" s="4"/>
      <c r="AA761"/>
      <c r="AB761"/>
    </row>
    <row r="762" spans="1:28" s="37" customFormat="1" x14ac:dyDescent="0.15">
      <c r="A762" s="166"/>
      <c r="B762" s="82"/>
      <c r="C762" s="70"/>
      <c r="D762" s="70"/>
      <c r="E762" s="70"/>
      <c r="F762" s="70"/>
      <c r="G762" s="70"/>
      <c r="H762" s="93"/>
      <c r="I762" s="85"/>
      <c r="J762" s="85"/>
      <c r="K762" s="131"/>
      <c r="L762" s="60"/>
      <c r="M762" s="33"/>
      <c r="Q762" s="3"/>
      <c r="R762" s="3"/>
      <c r="S762" s="3"/>
      <c r="T762" s="3"/>
      <c r="U762" s="3"/>
      <c r="V762" s="3"/>
      <c r="W762" s="3"/>
      <c r="X762" s="3"/>
      <c r="Y762" s="3"/>
      <c r="Z762" s="4"/>
      <c r="AA762"/>
      <c r="AB762"/>
    </row>
    <row r="763" spans="1:28" s="37" customFormat="1" ht="16" x14ac:dyDescent="0.2">
      <c r="A763" s="166"/>
      <c r="B763" s="82"/>
      <c r="C763" s="70"/>
      <c r="D763" s="70"/>
      <c r="E763" s="70"/>
      <c r="F763" s="70"/>
      <c r="G763" s="70"/>
      <c r="H763" s="93"/>
      <c r="I763" s="85"/>
      <c r="J763" s="85"/>
      <c r="K763" s="131"/>
      <c r="L763" s="60"/>
      <c r="M763" s="47"/>
      <c r="Q763" s="3"/>
      <c r="R763" s="3"/>
      <c r="S763" s="3"/>
      <c r="T763" s="3"/>
      <c r="U763" s="3"/>
      <c r="V763" s="3"/>
      <c r="W763" s="3"/>
      <c r="X763" s="3"/>
      <c r="Y763" s="3"/>
      <c r="Z763" s="4"/>
      <c r="AA763"/>
      <c r="AB763"/>
    </row>
    <row r="764" spans="1:28" s="37" customFormat="1" x14ac:dyDescent="0.15">
      <c r="A764" s="165"/>
      <c r="B764" s="93"/>
      <c r="C764" s="102"/>
      <c r="D764" s="62"/>
      <c r="E764" s="102"/>
      <c r="F764" s="102"/>
      <c r="G764" s="102"/>
      <c r="H764" s="175"/>
      <c r="I764" s="85"/>
      <c r="J764" s="104"/>
      <c r="K764" s="144"/>
      <c r="L764" s="61"/>
      <c r="M764" s="49"/>
      <c r="Q764" s="3"/>
      <c r="R764" s="3"/>
      <c r="S764" s="3"/>
      <c r="T764" s="3"/>
      <c r="U764" s="3"/>
      <c r="V764" s="3"/>
      <c r="W764" s="3"/>
      <c r="X764" s="3"/>
      <c r="Y764" s="3"/>
      <c r="Z764" s="4"/>
      <c r="AA764"/>
      <c r="AB764"/>
    </row>
    <row r="765" spans="1:28" s="37" customFormat="1" x14ac:dyDescent="0.15">
      <c r="A765" s="165"/>
      <c r="B765" s="93"/>
      <c r="C765" s="102"/>
      <c r="D765" s="62"/>
      <c r="E765" s="102"/>
      <c r="F765" s="102"/>
      <c r="G765" s="102"/>
      <c r="H765" s="175"/>
      <c r="I765" s="98"/>
      <c r="J765" s="98"/>
      <c r="K765" s="135"/>
      <c r="L765" s="62"/>
      <c r="M765" s="49"/>
      <c r="Q765" s="3"/>
      <c r="R765" s="3"/>
      <c r="S765" s="3"/>
      <c r="T765" s="3"/>
      <c r="U765" s="3"/>
      <c r="V765" s="3"/>
      <c r="W765" s="3"/>
      <c r="X765" s="3"/>
      <c r="Y765" s="3"/>
      <c r="Z765" s="4"/>
      <c r="AA765"/>
      <c r="AB765"/>
    </row>
    <row r="766" spans="1:28" x14ac:dyDescent="0.15">
      <c r="A766" s="165"/>
      <c r="B766" s="93"/>
      <c r="C766" s="102"/>
      <c r="D766" s="62"/>
      <c r="E766" s="102"/>
      <c r="F766" s="102"/>
      <c r="G766" s="102"/>
      <c r="H766" s="175"/>
      <c r="I766" s="98"/>
      <c r="J766" s="98"/>
      <c r="K766" s="135"/>
      <c r="L766" s="62"/>
    </row>
    <row r="767" spans="1:28" x14ac:dyDescent="0.15">
      <c r="A767" s="165"/>
      <c r="B767" s="93"/>
      <c r="C767" s="102"/>
      <c r="D767" s="62"/>
      <c r="E767" s="102"/>
      <c r="F767" s="102"/>
      <c r="G767" s="102"/>
      <c r="H767" s="175"/>
      <c r="I767" s="98"/>
      <c r="J767" s="98"/>
      <c r="K767" s="135"/>
      <c r="L767" s="62"/>
    </row>
    <row r="768" spans="1:28" x14ac:dyDescent="0.15">
      <c r="A768" s="227"/>
      <c r="B768" s="197"/>
      <c r="C768" s="198"/>
      <c r="D768" s="172"/>
      <c r="E768" s="198"/>
      <c r="F768" s="198"/>
      <c r="G768" s="198"/>
      <c r="H768" s="199"/>
      <c r="I768" s="200"/>
      <c r="J768" s="200"/>
      <c r="K768" s="201"/>
      <c r="L768" s="172"/>
      <c r="M768" s="202"/>
      <c r="N768" s="202"/>
      <c r="O768" s="202"/>
      <c r="P768" s="202"/>
      <c r="Q768" s="203"/>
      <c r="R768" s="203"/>
      <c r="S768" s="12"/>
      <c r="T768" s="12"/>
      <c r="U768" s="12"/>
      <c r="V768" s="12"/>
      <c r="W768" s="12"/>
      <c r="X768" s="12"/>
      <c r="Y768" s="12"/>
      <c r="Z768" s="16"/>
      <c r="AA768" s="13"/>
      <c r="AB768" s="13"/>
    </row>
    <row r="769" spans="1:28" x14ac:dyDescent="0.15">
      <c r="A769" s="165"/>
      <c r="B769" s="93"/>
      <c r="C769" s="102"/>
      <c r="D769" s="62"/>
      <c r="E769" s="102"/>
      <c r="F769" s="102"/>
      <c r="G769" s="102"/>
      <c r="H769" s="175"/>
      <c r="I769" s="98"/>
      <c r="J769" s="98"/>
      <c r="K769" s="135"/>
      <c r="L769" s="62"/>
    </row>
    <row r="770" spans="1:28" x14ac:dyDescent="0.15">
      <c r="A770" s="165"/>
      <c r="B770" s="93"/>
      <c r="C770" s="102"/>
      <c r="D770" s="62"/>
      <c r="E770" s="102"/>
      <c r="F770" s="102"/>
      <c r="G770" s="102"/>
      <c r="H770" s="175"/>
      <c r="I770" s="98"/>
      <c r="J770" s="98"/>
      <c r="K770" s="135"/>
      <c r="L770" s="62"/>
      <c r="S770" s="12"/>
      <c r="T770" s="12"/>
      <c r="U770" s="12"/>
      <c r="V770" s="12"/>
      <c r="W770" s="12"/>
      <c r="X770" s="12"/>
      <c r="Y770" s="12"/>
      <c r="Z770" s="16"/>
      <c r="AA770" s="13"/>
      <c r="AB770" s="13"/>
    </row>
    <row r="771" spans="1:28" x14ac:dyDescent="0.15">
      <c r="A771" s="165"/>
      <c r="B771" s="93"/>
      <c r="C771" s="102"/>
      <c r="D771" s="62"/>
      <c r="E771" s="102"/>
      <c r="F771" s="102"/>
      <c r="G771" s="102"/>
      <c r="I771" s="85"/>
      <c r="J771" s="104"/>
      <c r="K771" s="144"/>
      <c r="L771" s="62"/>
    </row>
    <row r="772" spans="1:28" x14ac:dyDescent="0.15">
      <c r="A772" s="165"/>
      <c r="B772" s="93"/>
      <c r="C772" s="102"/>
      <c r="D772" s="62"/>
      <c r="E772" s="102"/>
      <c r="F772" s="102"/>
      <c r="G772" s="102"/>
      <c r="H772" s="175"/>
      <c r="I772" s="85"/>
      <c r="J772" s="104"/>
      <c r="K772" s="144"/>
      <c r="L772" s="61"/>
    </row>
    <row r="773" spans="1:28" x14ac:dyDescent="0.15">
      <c r="A773" s="165"/>
      <c r="B773" s="93"/>
      <c r="C773" s="100"/>
      <c r="D773" s="61"/>
      <c r="E773" s="100"/>
      <c r="F773" s="100"/>
      <c r="G773" s="100"/>
      <c r="H773" s="177"/>
      <c r="I773" s="85"/>
      <c r="J773" s="101"/>
      <c r="K773" s="143"/>
      <c r="L773" s="61"/>
      <c r="M773" s="50"/>
      <c r="N773" s="35"/>
    </row>
    <row r="774" spans="1:28" x14ac:dyDescent="0.15">
      <c r="A774" s="165"/>
      <c r="B774" s="93"/>
      <c r="C774" s="102"/>
      <c r="D774" s="62"/>
      <c r="E774" s="102"/>
      <c r="F774" s="102"/>
      <c r="G774" s="102"/>
      <c r="H774" s="175"/>
      <c r="I774" s="85"/>
      <c r="J774" s="104"/>
      <c r="K774" s="143"/>
      <c r="L774" s="61"/>
      <c r="M774" s="36"/>
      <c r="O774" s="51"/>
    </row>
    <row r="775" spans="1:28" x14ac:dyDescent="0.15">
      <c r="A775" s="165"/>
      <c r="B775" s="93"/>
      <c r="C775" s="102"/>
      <c r="D775" s="62"/>
      <c r="E775" s="102"/>
      <c r="F775" s="102"/>
      <c r="G775" s="102"/>
      <c r="H775" s="175"/>
      <c r="I775" s="103"/>
      <c r="J775" s="98"/>
      <c r="K775" s="141"/>
      <c r="L775" s="61"/>
      <c r="M775" s="50"/>
      <c r="N775" s="51"/>
      <c r="O775" s="35"/>
    </row>
    <row r="776" spans="1:28" x14ac:dyDescent="0.15">
      <c r="A776" s="165"/>
      <c r="B776" s="93"/>
      <c r="C776" s="102"/>
      <c r="D776" s="62"/>
      <c r="E776" s="102"/>
      <c r="F776" s="102"/>
      <c r="G776" s="102"/>
      <c r="H776" s="175"/>
      <c r="I776" s="85"/>
      <c r="J776" s="104"/>
      <c r="K776" s="143"/>
      <c r="L776" s="61"/>
      <c r="M776" s="50"/>
      <c r="N776" s="51"/>
    </row>
    <row r="777" spans="1:28" x14ac:dyDescent="0.15">
      <c r="A777" s="165"/>
      <c r="B777" s="93"/>
      <c r="C777" s="102"/>
      <c r="D777" s="62"/>
      <c r="E777" s="102"/>
      <c r="F777" s="102"/>
      <c r="G777" s="102"/>
      <c r="H777" s="175"/>
      <c r="I777" s="85"/>
      <c r="J777" s="104"/>
      <c r="K777" s="143"/>
      <c r="L777" s="61"/>
      <c r="M777" s="35"/>
    </row>
    <row r="778" spans="1:28" x14ac:dyDescent="0.15">
      <c r="A778" s="165"/>
      <c r="B778" s="93"/>
      <c r="C778" s="102"/>
      <c r="D778" s="62"/>
      <c r="E778" s="100"/>
      <c r="F778" s="102"/>
      <c r="G778" s="102"/>
      <c r="H778" s="175"/>
      <c r="I778" s="85"/>
      <c r="J778" s="104"/>
      <c r="K778" s="143"/>
      <c r="L778" s="61"/>
      <c r="M778" s="35"/>
      <c r="O778" s="51"/>
    </row>
    <row r="779" spans="1:28" x14ac:dyDescent="0.15">
      <c r="A779" s="165"/>
      <c r="B779" s="93"/>
      <c r="C779" s="102"/>
      <c r="D779" s="62"/>
      <c r="E779" s="102"/>
      <c r="F779" s="102"/>
      <c r="G779" s="102"/>
      <c r="H779" s="175"/>
      <c r="I779" s="85"/>
      <c r="J779" s="104"/>
      <c r="K779" s="143"/>
      <c r="L779" s="61"/>
      <c r="M779" s="50"/>
      <c r="N779" s="51"/>
      <c r="O779" s="51"/>
    </row>
    <row r="780" spans="1:28" x14ac:dyDescent="0.15">
      <c r="A780" s="165"/>
      <c r="B780" s="93"/>
      <c r="C780" s="102"/>
      <c r="D780" s="62"/>
      <c r="E780" s="102"/>
      <c r="F780" s="102"/>
      <c r="G780" s="102"/>
      <c r="H780" s="175"/>
      <c r="I780" s="85"/>
      <c r="J780" s="104"/>
      <c r="K780" s="143"/>
      <c r="L780" s="61"/>
      <c r="M780" s="50"/>
      <c r="N780" s="51"/>
    </row>
    <row r="781" spans="1:28" x14ac:dyDescent="0.15">
      <c r="A781" s="165"/>
      <c r="B781" s="93"/>
      <c r="C781" s="102"/>
      <c r="D781" s="62"/>
      <c r="E781" s="102"/>
      <c r="F781" s="102"/>
      <c r="G781" s="102"/>
      <c r="H781" s="175"/>
      <c r="I781" s="85"/>
      <c r="J781" s="104"/>
      <c r="K781" s="143"/>
      <c r="L781" s="61"/>
      <c r="M781" s="50"/>
      <c r="N781" s="51"/>
      <c r="O781" s="51"/>
    </row>
    <row r="782" spans="1:28" s="37" customFormat="1" x14ac:dyDescent="0.15">
      <c r="A782" s="165"/>
      <c r="B782" s="93"/>
      <c r="C782" s="100"/>
      <c r="D782" s="61"/>
      <c r="E782" s="100"/>
      <c r="F782" s="100"/>
      <c r="G782" s="100"/>
      <c r="H782" s="177"/>
      <c r="I782" s="103"/>
      <c r="J782" s="103"/>
      <c r="K782" s="141"/>
      <c r="L782" s="61"/>
      <c r="M782" s="49"/>
      <c r="Q782" s="3"/>
      <c r="R782" s="3"/>
      <c r="S782" s="3"/>
      <c r="T782" s="3"/>
      <c r="U782" s="3"/>
      <c r="V782" s="3"/>
      <c r="W782" s="3"/>
      <c r="X782" s="3"/>
      <c r="Y782" s="3"/>
      <c r="Z782" s="4"/>
      <c r="AA782"/>
      <c r="AB782"/>
    </row>
    <row r="783" spans="1:28" s="37" customFormat="1" x14ac:dyDescent="0.15">
      <c r="A783" s="165"/>
      <c r="B783" s="93"/>
      <c r="C783" s="100"/>
      <c r="D783" s="61"/>
      <c r="E783" s="100"/>
      <c r="F783" s="100"/>
      <c r="G783" s="100"/>
      <c r="H783" s="177"/>
      <c r="I783" s="103"/>
      <c r="J783" s="103"/>
      <c r="K783" s="141"/>
      <c r="L783" s="61"/>
      <c r="M783" s="49"/>
      <c r="Q783" s="3"/>
      <c r="R783" s="3"/>
      <c r="S783" s="3"/>
      <c r="T783" s="3"/>
      <c r="U783" s="3"/>
      <c r="V783" s="3"/>
      <c r="W783" s="3"/>
      <c r="X783" s="3"/>
      <c r="Y783" s="3"/>
      <c r="Z783" s="4"/>
      <c r="AA783"/>
      <c r="AB783"/>
    </row>
    <row r="784" spans="1:28" s="37" customFormat="1" x14ac:dyDescent="0.15">
      <c r="A784" s="165"/>
      <c r="B784" s="93"/>
      <c r="C784" s="100"/>
      <c r="D784" s="61"/>
      <c r="E784" s="100"/>
      <c r="F784" s="100"/>
      <c r="G784" s="100"/>
      <c r="H784" s="177"/>
      <c r="I784" s="103"/>
      <c r="J784" s="103"/>
      <c r="K784" s="141"/>
      <c r="L784" s="61"/>
      <c r="M784" s="49"/>
      <c r="Q784" s="3"/>
      <c r="R784" s="3"/>
      <c r="S784" s="3"/>
      <c r="T784" s="3"/>
      <c r="U784" s="3"/>
      <c r="V784" s="3"/>
      <c r="W784" s="3"/>
      <c r="X784" s="3"/>
      <c r="Y784" s="3"/>
      <c r="Z784" s="4"/>
      <c r="AA784"/>
      <c r="AB784"/>
    </row>
    <row r="785" spans="1:28" s="37" customFormat="1" x14ac:dyDescent="0.15">
      <c r="A785" s="165"/>
      <c r="B785" s="93"/>
      <c r="C785" s="102"/>
      <c r="D785" s="62"/>
      <c r="E785" s="102"/>
      <c r="F785" s="102"/>
      <c r="G785" s="102"/>
      <c r="H785" s="175"/>
      <c r="I785" s="98"/>
      <c r="J785" s="106"/>
      <c r="K785" s="135"/>
      <c r="L785" s="62"/>
      <c r="M785" s="33"/>
      <c r="Q785" s="3"/>
      <c r="R785" s="3"/>
      <c r="S785" s="3"/>
      <c r="T785" s="3"/>
      <c r="U785" s="3"/>
      <c r="V785" s="3"/>
      <c r="W785" s="3"/>
      <c r="X785" s="3"/>
      <c r="Y785" s="3"/>
      <c r="Z785" s="4"/>
      <c r="AA785"/>
      <c r="AB785"/>
    </row>
    <row r="786" spans="1:28" s="37" customFormat="1" x14ac:dyDescent="0.15">
      <c r="A786" s="165"/>
      <c r="B786" s="93"/>
      <c r="C786" s="100"/>
      <c r="D786" s="61"/>
      <c r="E786" s="100"/>
      <c r="F786" s="100"/>
      <c r="G786" s="100"/>
      <c r="H786" s="177"/>
      <c r="I786" s="85"/>
      <c r="J786" s="101"/>
      <c r="K786" s="143"/>
      <c r="L786" s="61"/>
      <c r="M786" s="50"/>
      <c r="N786" s="51"/>
      <c r="Q786" s="3"/>
      <c r="R786" s="3"/>
      <c r="S786" s="3"/>
      <c r="T786" s="3"/>
      <c r="U786" s="3"/>
      <c r="V786" s="3"/>
      <c r="W786" s="3"/>
      <c r="X786" s="3"/>
      <c r="Y786" s="3"/>
      <c r="Z786" s="4"/>
      <c r="AA786"/>
      <c r="AB786"/>
    </row>
    <row r="787" spans="1:28" s="37" customFormat="1" x14ac:dyDescent="0.15">
      <c r="A787" s="165"/>
      <c r="B787" s="93"/>
      <c r="C787" s="102"/>
      <c r="D787" s="62"/>
      <c r="E787" s="100"/>
      <c r="F787" s="102"/>
      <c r="G787" s="102"/>
      <c r="H787" s="175"/>
      <c r="I787" s="85"/>
      <c r="J787" s="104"/>
      <c r="K787" s="143"/>
      <c r="L787" s="61"/>
      <c r="M787" s="49"/>
      <c r="Q787" s="3"/>
      <c r="R787" s="3"/>
      <c r="S787" s="3"/>
      <c r="T787" s="3"/>
      <c r="U787" s="3"/>
      <c r="V787" s="3"/>
      <c r="W787" s="3"/>
      <c r="X787" s="3"/>
      <c r="Y787" s="3"/>
      <c r="Z787" s="4"/>
      <c r="AA787"/>
      <c r="AB787"/>
    </row>
    <row r="788" spans="1:28" s="37" customFormat="1" x14ac:dyDescent="0.15">
      <c r="A788" s="165"/>
      <c r="B788" s="93"/>
      <c r="C788" s="102"/>
      <c r="D788" s="62"/>
      <c r="E788" s="100"/>
      <c r="F788" s="102"/>
      <c r="G788" s="102"/>
      <c r="H788" s="175"/>
      <c r="I788" s="85"/>
      <c r="J788" s="104"/>
      <c r="K788" s="143"/>
      <c r="L788" s="61"/>
      <c r="M788" s="49"/>
      <c r="Q788" s="3"/>
      <c r="R788" s="3"/>
      <c r="S788" s="3"/>
      <c r="T788" s="3"/>
      <c r="U788" s="3"/>
      <c r="V788" s="3"/>
      <c r="W788" s="3"/>
      <c r="X788" s="3"/>
      <c r="Y788" s="3"/>
      <c r="Z788" s="4"/>
      <c r="AA788"/>
      <c r="AB788"/>
    </row>
    <row r="789" spans="1:28" s="37" customFormat="1" x14ac:dyDescent="0.15">
      <c r="A789" s="165"/>
      <c r="B789" s="93"/>
      <c r="C789" s="100"/>
      <c r="D789" s="61"/>
      <c r="E789" s="100"/>
      <c r="F789" s="100"/>
      <c r="G789" s="100"/>
      <c r="H789" s="177"/>
      <c r="I789" s="103"/>
      <c r="J789" s="103"/>
      <c r="K789" s="141"/>
      <c r="L789" s="61"/>
      <c r="M789" s="49"/>
      <c r="Q789" s="3"/>
      <c r="R789" s="3"/>
      <c r="S789" s="3"/>
      <c r="T789" s="3"/>
      <c r="U789" s="3"/>
      <c r="V789" s="3"/>
      <c r="W789" s="3"/>
      <c r="X789" s="3"/>
      <c r="Y789" s="3"/>
      <c r="Z789" s="4"/>
      <c r="AA789"/>
      <c r="AB789"/>
    </row>
    <row r="790" spans="1:28" s="37" customFormat="1" x14ac:dyDescent="0.15">
      <c r="A790" s="165"/>
      <c r="B790" s="93"/>
      <c r="C790" s="102"/>
      <c r="D790" s="62"/>
      <c r="E790" s="100"/>
      <c r="F790" s="102"/>
      <c r="G790" s="102"/>
      <c r="H790" s="175"/>
      <c r="I790" s="85"/>
      <c r="J790" s="104"/>
      <c r="K790" s="143"/>
      <c r="L790" s="61"/>
      <c r="M790" s="49"/>
      <c r="Q790" s="3"/>
      <c r="R790" s="3"/>
      <c r="S790" s="3"/>
      <c r="T790" s="3"/>
      <c r="U790" s="3"/>
      <c r="V790" s="3"/>
      <c r="W790" s="3"/>
      <c r="X790" s="3"/>
      <c r="Y790" s="3"/>
      <c r="Z790" s="4"/>
      <c r="AA790"/>
      <c r="AB790"/>
    </row>
    <row r="791" spans="1:28" s="37" customFormat="1" x14ac:dyDescent="0.15">
      <c r="A791" s="165"/>
      <c r="B791" s="93"/>
      <c r="C791" s="102"/>
      <c r="D791" s="62"/>
      <c r="E791" s="100"/>
      <c r="F791" s="102"/>
      <c r="G791" s="102"/>
      <c r="H791" s="175"/>
      <c r="I791" s="85"/>
      <c r="J791" s="104"/>
      <c r="K791" s="143"/>
      <c r="L791" s="61"/>
      <c r="M791" s="49"/>
      <c r="Q791" s="3"/>
      <c r="R791" s="3"/>
      <c r="S791" s="3"/>
      <c r="T791" s="3"/>
      <c r="U791" s="3"/>
      <c r="V791" s="3"/>
      <c r="W791" s="3"/>
      <c r="X791" s="3"/>
      <c r="Y791" s="3"/>
      <c r="Z791" s="4"/>
      <c r="AA791"/>
      <c r="AB791"/>
    </row>
    <row r="792" spans="1:28" s="37" customFormat="1" x14ac:dyDescent="0.15">
      <c r="A792" s="165"/>
      <c r="B792" s="93"/>
      <c r="C792" s="102"/>
      <c r="D792" s="62"/>
      <c r="E792" s="100"/>
      <c r="F792" s="102"/>
      <c r="G792" s="102"/>
      <c r="H792" s="175"/>
      <c r="I792" s="85"/>
      <c r="J792" s="104"/>
      <c r="K792" s="143"/>
      <c r="L792" s="61"/>
      <c r="M792" s="49"/>
      <c r="Q792" s="3"/>
      <c r="R792" s="3"/>
      <c r="S792" s="3"/>
      <c r="T792" s="3"/>
      <c r="U792" s="3"/>
      <c r="V792" s="3"/>
      <c r="W792" s="3"/>
      <c r="X792" s="3"/>
      <c r="Y792" s="3"/>
      <c r="Z792" s="4"/>
      <c r="AA792"/>
      <c r="AB792"/>
    </row>
    <row r="793" spans="1:28" s="37" customFormat="1" x14ac:dyDescent="0.15">
      <c r="A793" s="165"/>
      <c r="B793" s="93"/>
      <c r="C793" s="100"/>
      <c r="D793" s="61"/>
      <c r="E793" s="100"/>
      <c r="F793" s="100"/>
      <c r="G793" s="100"/>
      <c r="H793" s="177"/>
      <c r="I793" s="103"/>
      <c r="J793" s="103"/>
      <c r="K793" s="141"/>
      <c r="L793" s="61"/>
      <c r="M793" s="49"/>
      <c r="Q793" s="3"/>
      <c r="R793" s="3"/>
      <c r="S793" s="3"/>
      <c r="T793" s="3"/>
      <c r="U793" s="3"/>
      <c r="V793" s="3"/>
      <c r="W793" s="3"/>
      <c r="X793" s="3"/>
      <c r="Y793" s="3"/>
      <c r="Z793" s="4"/>
      <c r="AA793"/>
      <c r="AB793"/>
    </row>
    <row r="794" spans="1:28" s="37" customFormat="1" x14ac:dyDescent="0.15">
      <c r="A794" s="165"/>
      <c r="B794" s="93"/>
      <c r="C794" s="100"/>
      <c r="D794" s="61"/>
      <c r="E794" s="100"/>
      <c r="F794" s="100"/>
      <c r="G794" s="100"/>
      <c r="H794" s="177"/>
      <c r="I794" s="103"/>
      <c r="J794" s="103"/>
      <c r="K794" s="141"/>
      <c r="L794" s="61"/>
      <c r="M794" s="49"/>
      <c r="Q794" s="3"/>
      <c r="R794" s="3"/>
      <c r="S794" s="3"/>
      <c r="T794" s="3"/>
      <c r="U794" s="3"/>
      <c r="V794" s="3"/>
      <c r="W794" s="3"/>
      <c r="X794" s="3"/>
      <c r="Y794" s="3"/>
      <c r="Z794" s="4"/>
      <c r="AA794"/>
      <c r="AB794"/>
    </row>
    <row r="795" spans="1:28" s="37" customFormat="1" x14ac:dyDescent="0.15">
      <c r="A795" s="165"/>
      <c r="B795" s="93"/>
      <c r="C795" s="100"/>
      <c r="D795" s="61"/>
      <c r="E795" s="100"/>
      <c r="F795" s="100"/>
      <c r="G795" s="100"/>
      <c r="H795" s="177"/>
      <c r="I795" s="103"/>
      <c r="J795" s="103"/>
      <c r="K795" s="141"/>
      <c r="L795" s="61"/>
      <c r="M795" s="49"/>
      <c r="Q795" s="3"/>
      <c r="R795" s="3"/>
      <c r="S795" s="3"/>
      <c r="T795" s="3"/>
      <c r="U795" s="3"/>
      <c r="V795" s="3"/>
      <c r="W795" s="3"/>
      <c r="X795" s="3"/>
      <c r="Y795" s="3"/>
      <c r="Z795" s="4"/>
      <c r="AA795"/>
      <c r="AB795"/>
    </row>
    <row r="796" spans="1:28" s="37" customFormat="1" x14ac:dyDescent="0.15">
      <c r="A796" s="165"/>
      <c r="B796" s="93"/>
      <c r="C796" s="100"/>
      <c r="D796" s="61"/>
      <c r="E796" s="100"/>
      <c r="F796" s="100"/>
      <c r="G796" s="100"/>
      <c r="H796" s="177"/>
      <c r="I796" s="103"/>
      <c r="J796" s="103"/>
      <c r="K796" s="141"/>
      <c r="L796" s="61"/>
      <c r="M796" s="49"/>
      <c r="Q796" s="3"/>
      <c r="R796" s="3"/>
      <c r="S796" s="3"/>
      <c r="T796" s="3"/>
      <c r="U796" s="3"/>
      <c r="V796" s="3"/>
      <c r="W796" s="3"/>
      <c r="X796" s="3"/>
      <c r="Y796" s="3"/>
      <c r="Z796" s="4"/>
      <c r="AA796"/>
      <c r="AB796"/>
    </row>
    <row r="797" spans="1:28" s="37" customFormat="1" x14ac:dyDescent="0.15">
      <c r="A797" s="165"/>
      <c r="B797" s="93"/>
      <c r="C797" s="100"/>
      <c r="D797" s="61"/>
      <c r="E797" s="100"/>
      <c r="F797" s="100"/>
      <c r="G797" s="100"/>
      <c r="H797" s="177"/>
      <c r="I797" s="103"/>
      <c r="J797" s="103"/>
      <c r="K797" s="141"/>
      <c r="L797" s="61"/>
      <c r="M797" s="49"/>
      <c r="Q797" s="3"/>
      <c r="R797" s="3"/>
      <c r="S797" s="3"/>
      <c r="T797" s="3"/>
      <c r="U797" s="3"/>
      <c r="V797" s="3"/>
      <c r="W797" s="3"/>
      <c r="X797" s="3"/>
      <c r="Y797" s="3"/>
      <c r="Z797" s="4"/>
      <c r="AA797"/>
      <c r="AB797"/>
    </row>
    <row r="798" spans="1:28" s="37" customFormat="1" x14ac:dyDescent="0.15">
      <c r="A798" s="165"/>
      <c r="B798" s="93"/>
      <c r="C798" s="100"/>
      <c r="D798" s="61"/>
      <c r="E798" s="100"/>
      <c r="F798" s="100"/>
      <c r="G798" s="100"/>
      <c r="H798" s="177"/>
      <c r="I798" s="103"/>
      <c r="J798" s="103"/>
      <c r="K798" s="141"/>
      <c r="L798" s="61"/>
      <c r="M798" s="49"/>
      <c r="Q798" s="3"/>
      <c r="R798" s="3"/>
      <c r="S798" s="3"/>
      <c r="T798" s="3"/>
      <c r="U798" s="3"/>
      <c r="V798" s="3"/>
      <c r="W798" s="3"/>
      <c r="X798" s="3"/>
      <c r="Y798" s="3"/>
      <c r="Z798" s="4"/>
      <c r="AA798"/>
      <c r="AB798"/>
    </row>
    <row r="799" spans="1:28" s="37" customFormat="1" x14ac:dyDescent="0.15">
      <c r="A799" s="165"/>
      <c r="B799" s="93"/>
      <c r="C799" s="102"/>
      <c r="D799" s="62"/>
      <c r="E799" s="100"/>
      <c r="F799" s="102"/>
      <c r="G799" s="102"/>
      <c r="H799" s="175"/>
      <c r="I799" s="85"/>
      <c r="J799" s="104"/>
      <c r="K799" s="143"/>
      <c r="L799" s="61"/>
      <c r="M799" s="49"/>
      <c r="Q799" s="3"/>
      <c r="R799" s="3"/>
      <c r="S799" s="3"/>
      <c r="T799" s="3"/>
      <c r="U799" s="3"/>
      <c r="V799" s="3"/>
      <c r="W799" s="3"/>
      <c r="X799" s="3"/>
      <c r="Y799" s="3"/>
      <c r="Z799" s="4"/>
      <c r="AA799"/>
      <c r="AB799"/>
    </row>
    <row r="800" spans="1:28" s="37" customFormat="1" x14ac:dyDescent="0.15">
      <c r="A800" s="165"/>
      <c r="B800" s="93"/>
      <c r="C800" s="102"/>
      <c r="D800" s="62"/>
      <c r="E800" s="100"/>
      <c r="F800" s="102"/>
      <c r="G800" s="102"/>
      <c r="H800" s="175"/>
      <c r="I800" s="85"/>
      <c r="J800" s="104"/>
      <c r="K800" s="143"/>
      <c r="L800" s="61"/>
      <c r="M800" s="49"/>
      <c r="Q800" s="3"/>
      <c r="R800" s="3"/>
      <c r="S800" s="3"/>
      <c r="T800" s="3"/>
      <c r="U800" s="3"/>
      <c r="V800" s="3"/>
      <c r="W800" s="3"/>
      <c r="X800" s="3"/>
      <c r="Y800" s="3"/>
      <c r="Z800" s="4"/>
      <c r="AA800"/>
      <c r="AB800"/>
    </row>
    <row r="801" spans="1:28" s="37" customFormat="1" x14ac:dyDescent="0.15">
      <c r="A801" s="165"/>
      <c r="B801" s="93"/>
      <c r="C801" s="102"/>
      <c r="D801" s="62"/>
      <c r="E801" s="100"/>
      <c r="F801" s="102"/>
      <c r="G801" s="102"/>
      <c r="H801" s="175"/>
      <c r="I801" s="85"/>
      <c r="J801" s="104"/>
      <c r="K801" s="143"/>
      <c r="L801" s="61"/>
      <c r="M801" s="49"/>
      <c r="Q801" s="3"/>
      <c r="R801" s="3"/>
      <c r="S801" s="3"/>
      <c r="T801" s="3"/>
      <c r="U801" s="3"/>
      <c r="V801" s="3"/>
      <c r="W801" s="3"/>
      <c r="X801" s="3"/>
      <c r="Y801" s="3"/>
      <c r="Z801" s="4"/>
      <c r="AA801"/>
      <c r="AB801"/>
    </row>
    <row r="802" spans="1:28" s="37" customFormat="1" x14ac:dyDescent="0.15">
      <c r="A802" s="165"/>
      <c r="B802" s="93"/>
      <c r="C802" s="102"/>
      <c r="D802" s="62"/>
      <c r="E802" s="102"/>
      <c r="F802" s="102"/>
      <c r="G802" s="102"/>
      <c r="H802" s="175"/>
      <c r="I802" s="85"/>
      <c r="J802" s="104"/>
      <c r="K802" s="143"/>
      <c r="L802" s="61"/>
      <c r="M802" s="49"/>
      <c r="Q802" s="3"/>
      <c r="R802" s="3"/>
      <c r="S802" s="3"/>
      <c r="T802" s="3"/>
      <c r="U802" s="3"/>
      <c r="V802" s="3"/>
      <c r="W802" s="3"/>
      <c r="X802" s="3"/>
      <c r="Y802" s="3"/>
      <c r="Z802" s="4"/>
      <c r="AA802"/>
      <c r="AB802"/>
    </row>
    <row r="803" spans="1:28" s="37" customFormat="1" x14ac:dyDescent="0.15">
      <c r="A803" s="165"/>
      <c r="B803" s="93"/>
      <c r="C803" s="102"/>
      <c r="D803" s="62"/>
      <c r="E803" s="102"/>
      <c r="F803" s="102"/>
      <c r="G803" s="102"/>
      <c r="H803" s="175"/>
      <c r="I803" s="85"/>
      <c r="J803" s="104"/>
      <c r="K803" s="143"/>
      <c r="L803" s="61"/>
      <c r="M803" s="49"/>
      <c r="Q803" s="3"/>
      <c r="R803" s="3"/>
      <c r="S803" s="3"/>
      <c r="T803" s="3"/>
      <c r="U803" s="3"/>
      <c r="V803" s="3"/>
      <c r="W803" s="3"/>
      <c r="X803" s="3"/>
      <c r="Y803" s="3"/>
      <c r="Z803" s="4"/>
      <c r="AA803"/>
      <c r="AB803"/>
    </row>
    <row r="804" spans="1:28" s="37" customFormat="1" x14ac:dyDescent="0.15">
      <c r="A804" s="165"/>
      <c r="B804" s="82"/>
      <c r="C804" s="107"/>
      <c r="D804" s="62"/>
      <c r="E804" s="107"/>
      <c r="F804" s="107"/>
      <c r="G804" s="107"/>
      <c r="H804" s="179"/>
      <c r="I804" s="85"/>
      <c r="J804" s="104"/>
      <c r="K804" s="143"/>
      <c r="L804" s="61"/>
      <c r="M804" s="49"/>
      <c r="Q804" s="3"/>
      <c r="R804" s="3"/>
      <c r="S804" s="3"/>
      <c r="T804" s="3"/>
      <c r="U804" s="3"/>
      <c r="V804" s="3"/>
      <c r="W804" s="3"/>
      <c r="X804" s="3"/>
      <c r="Y804" s="3"/>
      <c r="Z804" s="4"/>
      <c r="AA804"/>
      <c r="AB804"/>
    </row>
    <row r="805" spans="1:28" s="37" customFormat="1" x14ac:dyDescent="0.15">
      <c r="A805" s="165"/>
      <c r="B805" s="93"/>
      <c r="C805" s="100"/>
      <c r="D805" s="61"/>
      <c r="E805" s="100"/>
      <c r="F805" s="100"/>
      <c r="G805" s="100"/>
      <c r="H805" s="177"/>
      <c r="I805" s="103"/>
      <c r="J805" s="103"/>
      <c r="K805" s="141"/>
      <c r="L805" s="61"/>
      <c r="M805" s="49"/>
      <c r="Q805" s="3"/>
      <c r="R805" s="3"/>
      <c r="S805" s="3"/>
      <c r="T805" s="3"/>
      <c r="U805" s="3"/>
      <c r="V805" s="3"/>
      <c r="W805" s="3"/>
      <c r="X805" s="3"/>
      <c r="Y805" s="3"/>
      <c r="Z805" s="4"/>
      <c r="AA805"/>
      <c r="AB805"/>
    </row>
    <row r="806" spans="1:28" s="37" customFormat="1" x14ac:dyDescent="0.15">
      <c r="A806" s="165"/>
      <c r="B806" s="93"/>
      <c r="C806" s="100"/>
      <c r="D806" s="61"/>
      <c r="E806" s="100"/>
      <c r="F806" s="100"/>
      <c r="G806" s="100"/>
      <c r="H806" s="177"/>
      <c r="I806" s="103"/>
      <c r="J806" s="103"/>
      <c r="K806" s="141"/>
      <c r="L806" s="61"/>
      <c r="M806" s="49"/>
      <c r="Q806" s="3"/>
      <c r="R806" s="3"/>
      <c r="S806" s="3"/>
      <c r="T806" s="3"/>
      <c r="U806" s="3"/>
      <c r="V806" s="3"/>
      <c r="W806" s="3"/>
      <c r="X806" s="3"/>
      <c r="Y806" s="3"/>
      <c r="Z806" s="4"/>
      <c r="AA806"/>
      <c r="AB806"/>
    </row>
    <row r="807" spans="1:28" s="37" customFormat="1" x14ac:dyDescent="0.15">
      <c r="A807" s="165"/>
      <c r="B807" s="93"/>
      <c r="C807" s="100"/>
      <c r="D807" s="61"/>
      <c r="E807" s="100"/>
      <c r="F807" s="100"/>
      <c r="G807" s="100"/>
      <c r="H807" s="177"/>
      <c r="I807" s="85"/>
      <c r="J807" s="101"/>
      <c r="K807" s="143"/>
      <c r="L807" s="61"/>
      <c r="M807" s="49"/>
      <c r="Q807" s="3"/>
      <c r="R807" s="3"/>
      <c r="S807" s="3"/>
      <c r="T807" s="3"/>
      <c r="U807" s="3"/>
      <c r="V807" s="3"/>
      <c r="W807" s="3"/>
      <c r="X807" s="3"/>
      <c r="Y807" s="3"/>
      <c r="Z807" s="4"/>
      <c r="AA807"/>
      <c r="AB807"/>
    </row>
    <row r="808" spans="1:28" s="37" customFormat="1" x14ac:dyDescent="0.15">
      <c r="A808" s="165"/>
      <c r="B808" s="93"/>
      <c r="C808" s="100"/>
      <c r="D808" s="61"/>
      <c r="E808" s="100"/>
      <c r="F808" s="100"/>
      <c r="G808" s="100"/>
      <c r="H808" s="177"/>
      <c r="I808" s="103"/>
      <c r="J808" s="103"/>
      <c r="K808" s="141"/>
      <c r="L808" s="61"/>
      <c r="M808" s="49"/>
      <c r="Q808" s="3"/>
      <c r="R808" s="3"/>
      <c r="S808" s="3"/>
      <c r="T808" s="3"/>
      <c r="U808" s="3"/>
      <c r="V808" s="3"/>
      <c r="W808" s="3"/>
      <c r="X808" s="3"/>
      <c r="Y808" s="3"/>
      <c r="Z808" s="4"/>
      <c r="AA808"/>
      <c r="AB808"/>
    </row>
    <row r="809" spans="1:28" s="37" customFormat="1" x14ac:dyDescent="0.15">
      <c r="A809" s="165"/>
      <c r="B809" s="93"/>
      <c r="C809" s="100"/>
      <c r="D809" s="61"/>
      <c r="E809" s="100"/>
      <c r="F809" s="100"/>
      <c r="G809" s="100"/>
      <c r="H809" s="177"/>
      <c r="I809" s="85"/>
      <c r="J809" s="101"/>
      <c r="K809" s="143"/>
      <c r="L809" s="61"/>
      <c r="M809" s="49"/>
      <c r="Q809" s="3"/>
      <c r="R809" s="3"/>
      <c r="S809" s="3"/>
      <c r="T809" s="3"/>
      <c r="U809" s="3"/>
      <c r="V809" s="3"/>
      <c r="W809" s="3"/>
      <c r="X809" s="3"/>
      <c r="Y809" s="3"/>
      <c r="Z809" s="4"/>
      <c r="AA809"/>
      <c r="AB809"/>
    </row>
    <row r="810" spans="1:28" s="37" customFormat="1" x14ac:dyDescent="0.15">
      <c r="A810" s="165"/>
      <c r="B810" s="93"/>
      <c r="C810" s="102"/>
      <c r="D810" s="62"/>
      <c r="E810" s="102"/>
      <c r="F810" s="102"/>
      <c r="G810" s="102"/>
      <c r="H810" s="175"/>
      <c r="I810" s="85"/>
      <c r="J810" s="104"/>
      <c r="K810" s="143"/>
      <c r="L810" s="61"/>
      <c r="M810" s="49"/>
      <c r="Q810" s="3"/>
      <c r="R810" s="3"/>
      <c r="S810" s="3"/>
      <c r="T810" s="3"/>
      <c r="U810" s="3"/>
      <c r="V810" s="3"/>
      <c r="W810" s="3"/>
      <c r="X810" s="3"/>
      <c r="Y810" s="3"/>
      <c r="Z810" s="4"/>
      <c r="AA810"/>
      <c r="AB810"/>
    </row>
    <row r="811" spans="1:28" s="37" customFormat="1" x14ac:dyDescent="0.15">
      <c r="A811" s="165"/>
      <c r="B811" s="93"/>
      <c r="C811" s="102"/>
      <c r="D811" s="62"/>
      <c r="E811" s="102"/>
      <c r="F811" s="102"/>
      <c r="G811" s="102"/>
      <c r="H811" s="175"/>
      <c r="I811" s="103"/>
      <c r="J811" s="98"/>
      <c r="K811" s="141"/>
      <c r="L811" s="61"/>
      <c r="M811" s="49"/>
      <c r="Q811" s="3"/>
      <c r="R811" s="3"/>
      <c r="S811" s="3"/>
      <c r="T811" s="3"/>
      <c r="U811" s="3"/>
      <c r="V811" s="3"/>
      <c r="W811" s="3"/>
      <c r="X811" s="3"/>
      <c r="Y811" s="3"/>
      <c r="Z811" s="4"/>
      <c r="AA811"/>
      <c r="AB811"/>
    </row>
    <row r="812" spans="1:28" s="37" customFormat="1" x14ac:dyDescent="0.15">
      <c r="A812" s="165"/>
      <c r="B812" s="93"/>
      <c r="C812" s="102"/>
      <c r="D812" s="62"/>
      <c r="E812" s="102"/>
      <c r="F812" s="102"/>
      <c r="G812" s="102"/>
      <c r="H812" s="175"/>
      <c r="I812" s="103"/>
      <c r="J812" s="98"/>
      <c r="K812" s="141"/>
      <c r="L812" s="61"/>
      <c r="M812" s="49"/>
      <c r="O812" s="51"/>
      <c r="Q812" s="3"/>
      <c r="R812" s="3"/>
      <c r="S812" s="3"/>
      <c r="T812" s="3"/>
      <c r="U812" s="3"/>
      <c r="V812" s="3"/>
      <c r="W812" s="3"/>
      <c r="X812" s="3"/>
      <c r="Y812" s="3"/>
      <c r="Z812" s="4"/>
      <c r="AA812"/>
      <c r="AB812"/>
    </row>
    <row r="813" spans="1:28" s="37" customFormat="1" x14ac:dyDescent="0.15">
      <c r="A813" s="165"/>
      <c r="B813" s="82"/>
      <c r="C813" s="107"/>
      <c r="D813" s="62"/>
      <c r="E813" s="107"/>
      <c r="F813" s="107"/>
      <c r="G813" s="107"/>
      <c r="H813" s="179"/>
      <c r="I813" s="85"/>
      <c r="J813" s="104"/>
      <c r="K813" s="143"/>
      <c r="L813" s="61"/>
      <c r="M813" s="49"/>
      <c r="Q813" s="3"/>
      <c r="R813" s="3"/>
      <c r="S813" s="3"/>
      <c r="T813" s="3"/>
      <c r="U813" s="3"/>
      <c r="V813" s="3"/>
      <c r="W813" s="3"/>
      <c r="X813" s="3"/>
      <c r="Y813" s="3"/>
      <c r="Z813" s="4"/>
      <c r="AA813"/>
      <c r="AB813"/>
    </row>
    <row r="814" spans="1:28" s="37" customFormat="1" x14ac:dyDescent="0.15">
      <c r="A814" s="165"/>
      <c r="B814" s="93"/>
      <c r="C814" s="102"/>
      <c r="D814" s="62"/>
      <c r="E814" s="102"/>
      <c r="F814" s="102"/>
      <c r="G814" s="102"/>
      <c r="H814" s="175"/>
      <c r="I814" s="85"/>
      <c r="J814" s="104"/>
      <c r="K814" s="143"/>
      <c r="L814" s="61"/>
      <c r="M814" s="49"/>
      <c r="Q814" s="3"/>
      <c r="R814" s="3"/>
      <c r="S814" s="3"/>
      <c r="T814" s="3"/>
      <c r="U814" s="3"/>
      <c r="V814" s="3"/>
      <c r="W814" s="3"/>
      <c r="X814" s="3"/>
      <c r="Y814" s="3"/>
      <c r="Z814" s="4"/>
      <c r="AA814"/>
      <c r="AB814"/>
    </row>
    <row r="815" spans="1:28" s="37" customFormat="1" x14ac:dyDescent="0.15">
      <c r="A815" s="165"/>
      <c r="B815" s="93"/>
      <c r="C815" s="100"/>
      <c r="D815" s="61"/>
      <c r="E815" s="100"/>
      <c r="F815" s="100"/>
      <c r="G815" s="100"/>
      <c r="H815" s="177"/>
      <c r="I815" s="103"/>
      <c r="J815" s="103"/>
      <c r="K815" s="141"/>
      <c r="L815" s="61"/>
      <c r="M815" s="49"/>
      <c r="Q815" s="3"/>
      <c r="R815" s="3"/>
      <c r="S815" s="3"/>
      <c r="T815" s="3"/>
      <c r="U815" s="3"/>
      <c r="V815" s="3"/>
      <c r="W815" s="3"/>
      <c r="X815" s="3"/>
      <c r="Y815" s="3"/>
      <c r="Z815" s="4"/>
      <c r="AA815"/>
      <c r="AB815"/>
    </row>
    <row r="816" spans="1:28" s="37" customFormat="1" x14ac:dyDescent="0.15">
      <c r="A816" s="165"/>
      <c r="B816" s="93"/>
      <c r="C816" s="100"/>
      <c r="D816" s="61"/>
      <c r="E816" s="100"/>
      <c r="F816" s="100"/>
      <c r="G816" s="100"/>
      <c r="H816" s="177"/>
      <c r="I816" s="85"/>
      <c r="J816" s="101"/>
      <c r="K816" s="143"/>
      <c r="L816" s="61"/>
      <c r="M816" s="49"/>
      <c r="Q816" s="3"/>
      <c r="R816" s="3"/>
      <c r="S816" s="3"/>
      <c r="T816" s="3"/>
      <c r="U816" s="3"/>
      <c r="V816" s="3"/>
      <c r="W816" s="3"/>
      <c r="X816" s="3"/>
      <c r="Y816" s="3"/>
      <c r="Z816" s="4"/>
      <c r="AA816"/>
      <c r="AB816"/>
    </row>
    <row r="817" spans="1:28" s="37" customFormat="1" x14ac:dyDescent="0.15">
      <c r="A817" s="165"/>
      <c r="B817" s="93"/>
      <c r="C817" s="100"/>
      <c r="D817" s="61"/>
      <c r="E817" s="100"/>
      <c r="F817" s="100"/>
      <c r="G817" s="100"/>
      <c r="H817" s="177"/>
      <c r="I817" s="85"/>
      <c r="J817" s="101"/>
      <c r="K817" s="143"/>
      <c r="L817" s="61"/>
      <c r="M817" s="49"/>
      <c r="Q817" s="3"/>
      <c r="R817" s="3"/>
      <c r="S817" s="3"/>
      <c r="T817" s="3"/>
      <c r="U817" s="3"/>
      <c r="V817" s="3"/>
      <c r="W817" s="3"/>
      <c r="X817" s="3"/>
      <c r="Y817" s="3"/>
      <c r="Z817" s="4"/>
      <c r="AA817"/>
      <c r="AB817"/>
    </row>
    <row r="818" spans="1:28" s="37" customFormat="1" x14ac:dyDescent="0.15">
      <c r="A818" s="165"/>
      <c r="B818" s="93"/>
      <c r="C818" s="100"/>
      <c r="D818" s="61"/>
      <c r="E818" s="100"/>
      <c r="F818" s="100"/>
      <c r="G818" s="100"/>
      <c r="H818" s="177"/>
      <c r="I818" s="85"/>
      <c r="J818" s="101"/>
      <c r="K818" s="143"/>
      <c r="L818" s="61"/>
      <c r="M818" s="49"/>
      <c r="Q818" s="3"/>
      <c r="R818" s="3"/>
      <c r="S818" s="3"/>
      <c r="T818" s="3"/>
      <c r="U818" s="3"/>
      <c r="V818" s="3"/>
      <c r="W818" s="3"/>
      <c r="X818" s="3"/>
      <c r="Y818" s="3"/>
      <c r="Z818" s="4"/>
      <c r="AA818"/>
      <c r="AB818"/>
    </row>
    <row r="819" spans="1:28" s="37" customFormat="1" x14ac:dyDescent="0.15">
      <c r="A819" s="165"/>
      <c r="B819" s="93"/>
      <c r="C819" s="100"/>
      <c r="D819" s="61"/>
      <c r="E819" s="100"/>
      <c r="F819" s="100"/>
      <c r="G819" s="100"/>
      <c r="H819" s="177"/>
      <c r="I819" s="85"/>
      <c r="J819" s="101"/>
      <c r="K819" s="143"/>
      <c r="L819" s="61"/>
      <c r="M819" s="49"/>
      <c r="Q819" s="3"/>
      <c r="R819" s="3"/>
      <c r="S819" s="3"/>
      <c r="T819" s="3"/>
      <c r="U819" s="3"/>
      <c r="V819" s="3"/>
      <c r="W819" s="3"/>
      <c r="X819" s="3"/>
      <c r="Y819" s="3"/>
      <c r="Z819" s="4"/>
      <c r="AA819"/>
      <c r="AB819"/>
    </row>
    <row r="820" spans="1:28" s="37" customFormat="1" x14ac:dyDescent="0.15">
      <c r="A820" s="165"/>
      <c r="B820" s="82"/>
      <c r="C820" s="105"/>
      <c r="D820" s="61"/>
      <c r="E820" s="105"/>
      <c r="F820" s="105"/>
      <c r="G820" s="105"/>
      <c r="H820" s="178"/>
      <c r="I820" s="85"/>
      <c r="J820" s="101"/>
      <c r="K820" s="143"/>
      <c r="L820" s="61"/>
      <c r="M820" s="49"/>
      <c r="Q820" s="3"/>
      <c r="R820" s="3"/>
      <c r="S820" s="3"/>
      <c r="T820" s="3"/>
      <c r="U820" s="3"/>
      <c r="V820" s="3"/>
      <c r="W820" s="3"/>
      <c r="X820" s="3"/>
      <c r="Y820" s="3"/>
      <c r="Z820" s="4"/>
      <c r="AA820"/>
      <c r="AB820"/>
    </row>
    <row r="821" spans="1:28" s="37" customFormat="1" x14ac:dyDescent="0.15">
      <c r="A821" s="165"/>
      <c r="B821" s="93"/>
      <c r="C821" s="102"/>
      <c r="D821" s="62"/>
      <c r="E821" s="102"/>
      <c r="F821" s="102"/>
      <c r="G821" s="102"/>
      <c r="H821" s="175"/>
      <c r="I821" s="98"/>
      <c r="J821" s="106"/>
      <c r="K821" s="135"/>
      <c r="L821" s="61"/>
      <c r="M821" s="33"/>
      <c r="Q821" s="3"/>
      <c r="R821" s="3"/>
      <c r="S821" s="3"/>
      <c r="T821" s="3"/>
      <c r="U821" s="3"/>
      <c r="V821" s="3"/>
      <c r="W821" s="3"/>
      <c r="X821" s="3"/>
      <c r="Y821" s="3"/>
      <c r="Z821" s="4"/>
      <c r="AA821"/>
      <c r="AB821"/>
    </row>
    <row r="822" spans="1:28" s="37" customFormat="1" x14ac:dyDescent="0.15">
      <c r="A822" s="165"/>
      <c r="B822" s="93"/>
      <c r="C822" s="100"/>
      <c r="D822" s="61"/>
      <c r="E822" s="100"/>
      <c r="F822" s="100"/>
      <c r="G822" s="100"/>
      <c r="H822" s="177"/>
      <c r="I822" s="85"/>
      <c r="J822" s="101"/>
      <c r="K822" s="143"/>
      <c r="L822" s="61"/>
      <c r="M822" s="49"/>
      <c r="Q822" s="3"/>
      <c r="R822" s="3"/>
      <c r="S822" s="3"/>
      <c r="T822" s="3"/>
      <c r="U822" s="3"/>
      <c r="V822" s="3"/>
      <c r="W822" s="3"/>
      <c r="X822" s="3"/>
      <c r="Y822" s="3"/>
      <c r="Z822" s="4"/>
      <c r="AA822"/>
      <c r="AB822"/>
    </row>
    <row r="823" spans="1:28" s="37" customFormat="1" x14ac:dyDescent="0.15">
      <c r="A823" s="165"/>
      <c r="B823" s="93"/>
      <c r="C823" s="100"/>
      <c r="D823" s="61"/>
      <c r="E823" s="100"/>
      <c r="F823" s="100"/>
      <c r="G823" s="100"/>
      <c r="H823" s="177"/>
      <c r="I823" s="85"/>
      <c r="J823" s="101"/>
      <c r="K823" s="143"/>
      <c r="L823" s="61"/>
      <c r="M823" s="49"/>
      <c r="Q823" s="3"/>
      <c r="R823" s="3"/>
      <c r="S823" s="3"/>
      <c r="T823" s="3"/>
      <c r="U823" s="3"/>
      <c r="V823" s="3"/>
      <c r="W823" s="3"/>
      <c r="X823" s="3"/>
      <c r="Y823" s="3"/>
      <c r="Z823" s="4"/>
      <c r="AA823"/>
      <c r="AB823"/>
    </row>
    <row r="824" spans="1:28" s="37" customFormat="1" x14ac:dyDescent="0.15">
      <c r="A824" s="165"/>
      <c r="B824" s="93"/>
      <c r="C824" s="102"/>
      <c r="D824" s="62"/>
      <c r="E824" s="102"/>
      <c r="F824" s="102"/>
      <c r="G824" s="102"/>
      <c r="H824" s="175"/>
      <c r="I824" s="85"/>
      <c r="J824" s="104"/>
      <c r="K824" s="143"/>
      <c r="L824" s="61"/>
      <c r="M824" s="49"/>
      <c r="Q824" s="3"/>
      <c r="R824" s="3"/>
      <c r="S824" s="3"/>
      <c r="T824" s="3"/>
      <c r="U824" s="3"/>
      <c r="V824" s="3"/>
      <c r="W824" s="3"/>
      <c r="X824" s="3"/>
      <c r="Y824" s="3"/>
      <c r="Z824" s="4"/>
      <c r="AA824"/>
      <c r="AB824"/>
    </row>
    <row r="825" spans="1:28" s="37" customFormat="1" x14ac:dyDescent="0.15">
      <c r="A825" s="165"/>
      <c r="B825" s="93"/>
      <c r="C825" s="102"/>
      <c r="D825" s="62"/>
      <c r="E825" s="102"/>
      <c r="F825" s="102"/>
      <c r="G825" s="102"/>
      <c r="H825" s="175"/>
      <c r="I825" s="85"/>
      <c r="J825" s="104"/>
      <c r="K825" s="143"/>
      <c r="L825" s="61"/>
      <c r="M825" s="49"/>
      <c r="Q825" s="3"/>
      <c r="R825" s="3"/>
      <c r="S825" s="3"/>
      <c r="T825" s="3"/>
      <c r="U825" s="3"/>
      <c r="V825" s="3"/>
      <c r="W825" s="3"/>
      <c r="X825" s="3"/>
      <c r="Y825" s="3"/>
      <c r="Z825" s="4"/>
      <c r="AA825"/>
      <c r="AB825"/>
    </row>
    <row r="826" spans="1:28" s="37" customFormat="1" x14ac:dyDescent="0.15">
      <c r="A826" s="165"/>
      <c r="B826" s="93"/>
      <c r="C826" s="102"/>
      <c r="D826" s="62"/>
      <c r="E826" s="102"/>
      <c r="F826" s="102"/>
      <c r="G826" s="102"/>
      <c r="H826" s="175"/>
      <c r="I826" s="85"/>
      <c r="J826" s="104"/>
      <c r="K826" s="144"/>
      <c r="L826" s="61"/>
      <c r="M826" s="49"/>
      <c r="Q826" s="3"/>
      <c r="R826" s="3"/>
      <c r="S826" s="3"/>
      <c r="T826" s="3"/>
      <c r="U826" s="3"/>
      <c r="V826" s="3"/>
      <c r="W826" s="3"/>
      <c r="X826" s="3"/>
      <c r="Y826" s="3"/>
      <c r="Z826" s="4"/>
      <c r="AA826"/>
      <c r="AB826"/>
    </row>
    <row r="827" spans="1:28" s="37" customFormat="1" x14ac:dyDescent="0.15">
      <c r="A827" s="165"/>
      <c r="B827" s="93"/>
      <c r="C827" s="102"/>
      <c r="D827" s="62"/>
      <c r="E827" s="100"/>
      <c r="F827" s="102"/>
      <c r="G827" s="102"/>
      <c r="H827" s="175"/>
      <c r="I827" s="98"/>
      <c r="J827" s="98"/>
      <c r="K827" s="135"/>
      <c r="L827" s="61"/>
      <c r="M827" s="49"/>
      <c r="Q827" s="3"/>
      <c r="R827" s="3"/>
      <c r="S827" s="3"/>
      <c r="T827" s="3"/>
      <c r="U827" s="3"/>
      <c r="V827" s="3"/>
      <c r="W827" s="3"/>
      <c r="X827" s="3"/>
      <c r="Y827" s="3"/>
      <c r="Z827" s="4"/>
      <c r="AA827"/>
      <c r="AB827"/>
    </row>
    <row r="828" spans="1:28" s="37" customFormat="1" x14ac:dyDescent="0.15">
      <c r="A828" s="165"/>
      <c r="B828" s="93"/>
      <c r="C828" s="102"/>
      <c r="D828" s="62"/>
      <c r="E828" s="100"/>
      <c r="F828" s="102"/>
      <c r="G828" s="102"/>
      <c r="H828" s="175"/>
      <c r="I828" s="98"/>
      <c r="J828" s="98"/>
      <c r="K828" s="135"/>
      <c r="L828" s="61"/>
      <c r="M828" s="49"/>
      <c r="Q828" s="3"/>
      <c r="R828" s="3"/>
      <c r="S828" s="3"/>
      <c r="T828" s="3"/>
      <c r="U828" s="3"/>
      <c r="V828" s="3"/>
      <c r="W828" s="3"/>
      <c r="X828" s="3"/>
      <c r="Y828" s="3"/>
      <c r="Z828" s="4"/>
      <c r="AA828"/>
      <c r="AB828"/>
    </row>
    <row r="829" spans="1:28" s="37" customFormat="1" x14ac:dyDescent="0.15">
      <c r="A829" s="165"/>
      <c r="B829" s="93"/>
      <c r="C829" s="102"/>
      <c r="D829" s="62"/>
      <c r="E829" s="102"/>
      <c r="F829" s="102"/>
      <c r="G829" s="102"/>
      <c r="H829" s="175"/>
      <c r="I829" s="85"/>
      <c r="J829" s="104"/>
      <c r="K829" s="144"/>
      <c r="L829" s="61"/>
      <c r="M829" s="49"/>
      <c r="Q829" s="3"/>
      <c r="R829" s="3"/>
      <c r="S829" s="3"/>
      <c r="T829" s="3"/>
      <c r="U829" s="3"/>
      <c r="V829" s="3"/>
      <c r="W829" s="3"/>
      <c r="X829" s="3"/>
      <c r="Y829" s="3"/>
      <c r="Z829" s="4"/>
      <c r="AA829"/>
      <c r="AB829"/>
    </row>
    <row r="830" spans="1:28" s="49" customFormat="1" x14ac:dyDescent="0.15">
      <c r="A830" s="165"/>
      <c r="B830" s="93"/>
      <c r="C830" s="102"/>
      <c r="D830" s="62"/>
      <c r="E830" s="102"/>
      <c r="F830" s="102"/>
      <c r="G830" s="102"/>
      <c r="H830" s="175"/>
      <c r="I830" s="85"/>
      <c r="J830" s="104"/>
      <c r="K830" s="144"/>
      <c r="L830" s="61"/>
      <c r="N830" s="37"/>
      <c r="O830" s="37"/>
      <c r="P830" s="37"/>
      <c r="Q830" s="3"/>
      <c r="R830" s="3"/>
      <c r="S830" s="3"/>
      <c r="T830" s="3"/>
      <c r="U830" s="3"/>
      <c r="V830" s="3"/>
      <c r="W830" s="3"/>
      <c r="X830" s="3"/>
      <c r="Y830" s="3"/>
      <c r="Z830" s="4"/>
      <c r="AA830"/>
      <c r="AB830"/>
    </row>
    <row r="831" spans="1:28" s="49" customFormat="1" x14ac:dyDescent="0.15">
      <c r="A831" s="165"/>
      <c r="B831" s="93"/>
      <c r="C831" s="102"/>
      <c r="D831" s="62"/>
      <c r="E831" s="102"/>
      <c r="F831" s="102"/>
      <c r="G831" s="102"/>
      <c r="H831" s="175"/>
      <c r="I831" s="85"/>
      <c r="J831" s="104"/>
      <c r="K831" s="144"/>
      <c r="L831" s="61"/>
      <c r="N831" s="37"/>
      <c r="O831" s="37"/>
      <c r="P831" s="37"/>
      <c r="Q831" s="3"/>
      <c r="R831" s="3"/>
      <c r="S831" s="3"/>
      <c r="T831" s="3"/>
      <c r="U831" s="3"/>
      <c r="V831" s="3"/>
      <c r="W831" s="3"/>
      <c r="X831" s="3"/>
      <c r="Y831" s="3"/>
      <c r="Z831" s="4"/>
      <c r="AA831"/>
      <c r="AB831"/>
    </row>
    <row r="832" spans="1:28" s="49" customFormat="1" x14ac:dyDescent="0.15">
      <c r="A832" s="165"/>
      <c r="B832" s="93"/>
      <c r="C832" s="102"/>
      <c r="D832" s="62"/>
      <c r="E832" s="102"/>
      <c r="F832" s="102"/>
      <c r="G832" s="102"/>
      <c r="H832" s="175"/>
      <c r="I832" s="85"/>
      <c r="J832" s="104"/>
      <c r="K832" s="144"/>
      <c r="L832" s="61"/>
      <c r="N832" s="37"/>
      <c r="O832" s="37"/>
      <c r="P832" s="37"/>
      <c r="Q832" s="3"/>
      <c r="R832" s="3"/>
      <c r="S832" s="3"/>
      <c r="T832" s="3"/>
      <c r="U832" s="3"/>
      <c r="V832" s="3"/>
      <c r="W832" s="3"/>
      <c r="X832" s="3"/>
      <c r="Y832" s="3"/>
      <c r="Z832" s="4"/>
      <c r="AA832"/>
      <c r="AB832"/>
    </row>
    <row r="833" spans="1:28" s="49" customFormat="1" x14ac:dyDescent="0.15">
      <c r="A833" s="165"/>
      <c r="B833" s="93"/>
      <c r="C833" s="102"/>
      <c r="D833" s="62"/>
      <c r="E833" s="100"/>
      <c r="F833" s="102"/>
      <c r="G833" s="102"/>
      <c r="H833" s="175"/>
      <c r="I833" s="85"/>
      <c r="J833" s="104"/>
      <c r="K833" s="144"/>
      <c r="L833" s="61"/>
      <c r="N833" s="37"/>
      <c r="O833" s="37"/>
      <c r="P833" s="37"/>
      <c r="Q833" s="3"/>
      <c r="R833" s="3"/>
      <c r="S833" s="3"/>
      <c r="T833" s="3"/>
      <c r="U833" s="3"/>
      <c r="V833" s="3"/>
      <c r="W833" s="3"/>
      <c r="X833" s="3"/>
      <c r="Y833" s="3"/>
      <c r="Z833" s="4"/>
      <c r="AA833"/>
      <c r="AB833"/>
    </row>
    <row r="834" spans="1:28" s="49" customFormat="1" x14ac:dyDescent="0.15">
      <c r="A834" s="165"/>
      <c r="B834" s="93"/>
      <c r="C834" s="102"/>
      <c r="D834" s="62"/>
      <c r="E834" s="102"/>
      <c r="F834" s="102"/>
      <c r="G834" s="102"/>
      <c r="H834" s="175"/>
      <c r="I834" s="85"/>
      <c r="J834" s="104"/>
      <c r="K834" s="144"/>
      <c r="L834" s="61"/>
      <c r="N834" s="37"/>
      <c r="O834" s="37"/>
      <c r="P834" s="37"/>
      <c r="Q834" s="3"/>
      <c r="R834" s="3"/>
      <c r="S834" s="3"/>
      <c r="T834" s="3"/>
      <c r="U834" s="3"/>
      <c r="V834" s="3"/>
      <c r="W834" s="3"/>
      <c r="X834" s="3"/>
      <c r="Y834" s="3"/>
      <c r="Z834" s="4"/>
      <c r="AA834"/>
      <c r="AB834"/>
    </row>
    <row r="835" spans="1:28" s="49" customFormat="1" x14ac:dyDescent="0.15">
      <c r="A835" s="165"/>
      <c r="B835" s="93"/>
      <c r="C835" s="102"/>
      <c r="D835" s="62"/>
      <c r="E835" s="102"/>
      <c r="F835" s="102"/>
      <c r="G835" s="102"/>
      <c r="H835" s="175"/>
      <c r="I835" s="85"/>
      <c r="J835" s="104"/>
      <c r="K835" s="144"/>
      <c r="L835" s="61"/>
      <c r="N835" s="37"/>
      <c r="O835" s="37"/>
      <c r="P835" s="37"/>
      <c r="Q835" s="3"/>
      <c r="R835" s="3"/>
      <c r="S835" s="3"/>
      <c r="T835" s="3"/>
      <c r="U835" s="3"/>
      <c r="V835" s="3"/>
      <c r="W835" s="3"/>
      <c r="X835" s="3"/>
      <c r="Y835" s="3"/>
      <c r="Z835" s="4"/>
      <c r="AA835"/>
      <c r="AB835"/>
    </row>
    <row r="836" spans="1:28" s="49" customFormat="1" x14ac:dyDescent="0.15">
      <c r="A836" s="165"/>
      <c r="B836" s="93"/>
      <c r="C836" s="102"/>
      <c r="D836" s="62"/>
      <c r="E836" s="102"/>
      <c r="F836" s="102"/>
      <c r="G836" s="102"/>
      <c r="H836" s="175"/>
      <c r="I836" s="85"/>
      <c r="J836" s="104"/>
      <c r="K836" s="144"/>
      <c r="L836" s="61"/>
      <c r="N836" s="37"/>
      <c r="O836" s="37"/>
      <c r="P836" s="37"/>
      <c r="Q836" s="3"/>
      <c r="R836" s="3"/>
      <c r="S836" s="3"/>
      <c r="T836" s="3"/>
      <c r="U836" s="3"/>
      <c r="V836" s="3"/>
      <c r="W836" s="3"/>
      <c r="X836" s="3"/>
      <c r="Y836" s="3"/>
      <c r="Z836" s="4"/>
      <c r="AA836"/>
      <c r="AB836"/>
    </row>
    <row r="837" spans="1:28" s="49" customFormat="1" x14ac:dyDescent="0.15">
      <c r="A837" s="165"/>
      <c r="B837" s="93"/>
      <c r="C837" s="102"/>
      <c r="D837" s="62"/>
      <c r="E837" s="100"/>
      <c r="F837" s="102"/>
      <c r="G837" s="102"/>
      <c r="H837" s="175"/>
      <c r="I837" s="85"/>
      <c r="J837" s="104"/>
      <c r="K837" s="144"/>
      <c r="L837" s="61"/>
      <c r="N837" s="37"/>
      <c r="O837" s="37"/>
      <c r="P837" s="37"/>
      <c r="Q837" s="3"/>
      <c r="R837" s="3"/>
      <c r="S837" s="3"/>
      <c r="T837" s="3"/>
      <c r="U837" s="3"/>
      <c r="V837" s="3"/>
      <c r="W837" s="3"/>
      <c r="X837" s="3"/>
      <c r="Y837" s="3"/>
      <c r="Z837" s="4"/>
      <c r="AA837"/>
      <c r="AB837"/>
    </row>
    <row r="838" spans="1:28" s="49" customFormat="1" x14ac:dyDescent="0.15">
      <c r="A838" s="165"/>
      <c r="B838" s="93"/>
      <c r="C838" s="102"/>
      <c r="D838" s="62"/>
      <c r="E838" s="100"/>
      <c r="F838" s="102"/>
      <c r="G838" s="102"/>
      <c r="H838" s="175"/>
      <c r="I838" s="98"/>
      <c r="J838" s="98"/>
      <c r="K838" s="135"/>
      <c r="L838" s="61"/>
      <c r="N838" s="37"/>
      <c r="O838" s="37"/>
      <c r="P838" s="37"/>
      <c r="Q838" s="3"/>
      <c r="R838" s="3"/>
      <c r="S838" s="3"/>
      <c r="T838" s="3"/>
      <c r="U838" s="3"/>
      <c r="V838" s="3"/>
      <c r="W838" s="3"/>
      <c r="X838" s="3"/>
      <c r="Y838" s="3"/>
      <c r="Z838" s="4"/>
      <c r="AA838"/>
      <c r="AB838"/>
    </row>
    <row r="839" spans="1:28" s="49" customFormat="1" x14ac:dyDescent="0.15">
      <c r="A839" s="165"/>
      <c r="B839" s="93"/>
      <c r="C839" s="102"/>
      <c r="D839" s="62"/>
      <c r="E839" s="102"/>
      <c r="F839" s="102"/>
      <c r="G839" s="102"/>
      <c r="H839" s="175"/>
      <c r="I839" s="85"/>
      <c r="J839" s="104"/>
      <c r="K839" s="144"/>
      <c r="L839" s="61"/>
      <c r="N839" s="37"/>
      <c r="O839" s="37"/>
      <c r="P839" s="37"/>
      <c r="Q839" s="3"/>
      <c r="R839" s="3"/>
      <c r="S839" s="3"/>
      <c r="T839" s="3"/>
      <c r="U839" s="3"/>
      <c r="V839" s="3"/>
      <c r="W839" s="3"/>
      <c r="X839" s="3"/>
      <c r="Y839" s="3"/>
      <c r="Z839" s="4"/>
      <c r="AA839"/>
      <c r="AB839"/>
    </row>
    <row r="840" spans="1:28" s="49" customFormat="1" x14ac:dyDescent="0.15">
      <c r="A840" s="165"/>
      <c r="B840" s="93"/>
      <c r="C840" s="102"/>
      <c r="D840" s="62"/>
      <c r="E840" s="102"/>
      <c r="F840" s="102"/>
      <c r="G840" s="102"/>
      <c r="H840" s="175"/>
      <c r="I840" s="85"/>
      <c r="J840" s="104"/>
      <c r="K840" s="144"/>
      <c r="L840" s="61"/>
      <c r="N840" s="37"/>
      <c r="O840" s="37"/>
      <c r="P840" s="37"/>
      <c r="Q840" s="3"/>
      <c r="R840" s="3"/>
      <c r="S840" s="3"/>
      <c r="T840" s="3"/>
      <c r="U840" s="3"/>
      <c r="V840" s="3"/>
      <c r="W840" s="3"/>
      <c r="X840" s="3"/>
      <c r="Y840" s="3"/>
      <c r="Z840" s="4"/>
      <c r="AA840"/>
      <c r="AB840"/>
    </row>
    <row r="841" spans="1:28" s="49" customFormat="1" x14ac:dyDescent="0.15">
      <c r="A841" s="165"/>
      <c r="B841" s="93"/>
      <c r="C841" s="102"/>
      <c r="D841" s="62"/>
      <c r="E841" s="102"/>
      <c r="F841" s="102"/>
      <c r="G841" s="102"/>
      <c r="H841" s="175"/>
      <c r="I841" s="85"/>
      <c r="J841" s="104"/>
      <c r="K841" s="144"/>
      <c r="L841" s="61"/>
      <c r="N841" s="37"/>
      <c r="O841" s="37"/>
      <c r="P841" s="37"/>
      <c r="Q841" s="3"/>
      <c r="R841" s="3"/>
      <c r="S841" s="3"/>
      <c r="T841" s="3"/>
      <c r="U841" s="3"/>
      <c r="V841" s="3"/>
      <c r="W841" s="3"/>
      <c r="X841" s="3"/>
      <c r="Y841" s="3"/>
      <c r="Z841" s="4"/>
      <c r="AA841"/>
      <c r="AB841"/>
    </row>
    <row r="842" spans="1:28" s="49" customFormat="1" x14ac:dyDescent="0.15">
      <c r="A842" s="165"/>
      <c r="B842" s="93"/>
      <c r="C842" s="102"/>
      <c r="D842" s="62"/>
      <c r="E842" s="100"/>
      <c r="F842" s="102"/>
      <c r="G842" s="102"/>
      <c r="H842" s="175"/>
      <c r="I842" s="85"/>
      <c r="J842" s="104"/>
      <c r="K842" s="144"/>
      <c r="L842" s="61"/>
      <c r="N842" s="37"/>
      <c r="O842" s="37"/>
      <c r="P842" s="37"/>
      <c r="Q842" s="3"/>
      <c r="R842" s="3"/>
      <c r="S842" s="3"/>
      <c r="T842" s="3"/>
      <c r="U842" s="3"/>
      <c r="V842" s="3"/>
      <c r="W842" s="3"/>
      <c r="X842" s="3"/>
      <c r="Y842" s="3"/>
      <c r="Z842" s="4"/>
      <c r="AA842"/>
      <c r="AB842"/>
    </row>
    <row r="843" spans="1:28" s="49" customFormat="1" x14ac:dyDescent="0.15">
      <c r="A843" s="165"/>
      <c r="B843" s="93"/>
      <c r="C843" s="102"/>
      <c r="D843" s="62"/>
      <c r="E843" s="100"/>
      <c r="F843" s="102"/>
      <c r="G843" s="102"/>
      <c r="H843" s="175"/>
      <c r="I843" s="98"/>
      <c r="J843" s="98"/>
      <c r="K843" s="135"/>
      <c r="L843" s="61"/>
      <c r="N843" s="37"/>
      <c r="O843" s="37"/>
      <c r="P843" s="37"/>
      <c r="Q843" s="3"/>
      <c r="R843" s="3"/>
      <c r="S843" s="3"/>
      <c r="T843" s="3"/>
      <c r="U843" s="3"/>
      <c r="V843" s="3"/>
      <c r="W843" s="3"/>
      <c r="X843" s="3"/>
      <c r="Y843" s="3"/>
      <c r="Z843" s="4"/>
      <c r="AA843"/>
      <c r="AB843"/>
    </row>
    <row r="844" spans="1:28" s="49" customFormat="1" x14ac:dyDescent="0.15">
      <c r="A844" s="165"/>
      <c r="B844" s="93"/>
      <c r="C844" s="102"/>
      <c r="D844" s="62"/>
      <c r="E844" s="102"/>
      <c r="F844" s="102"/>
      <c r="G844" s="102"/>
      <c r="H844" s="175"/>
      <c r="I844" s="85"/>
      <c r="J844" s="104"/>
      <c r="K844" s="144"/>
      <c r="L844" s="61"/>
      <c r="N844" s="37"/>
      <c r="O844" s="37"/>
      <c r="P844" s="37"/>
      <c r="Q844" s="3"/>
      <c r="R844" s="3"/>
      <c r="S844" s="3"/>
      <c r="T844" s="3"/>
      <c r="U844" s="3"/>
      <c r="V844" s="3"/>
      <c r="W844" s="3"/>
      <c r="X844" s="3"/>
      <c r="Y844" s="3"/>
      <c r="Z844" s="4"/>
      <c r="AA844"/>
      <c r="AB844"/>
    </row>
    <row r="845" spans="1:28" s="49" customFormat="1" x14ac:dyDescent="0.15">
      <c r="A845" s="165"/>
      <c r="B845" s="93"/>
      <c r="C845" s="102"/>
      <c r="D845" s="62"/>
      <c r="E845" s="102"/>
      <c r="F845" s="102"/>
      <c r="G845" s="102"/>
      <c r="H845" s="175"/>
      <c r="I845" s="85"/>
      <c r="J845" s="104"/>
      <c r="K845" s="144"/>
      <c r="L845" s="61"/>
      <c r="N845" s="37"/>
      <c r="O845" s="37"/>
      <c r="P845" s="37"/>
      <c r="Q845" s="3"/>
      <c r="R845" s="3"/>
      <c r="S845" s="3"/>
      <c r="T845" s="3"/>
      <c r="U845" s="3"/>
      <c r="V845" s="3"/>
      <c r="W845" s="3"/>
      <c r="X845" s="3"/>
      <c r="Y845" s="3"/>
      <c r="Z845" s="4"/>
      <c r="AA845"/>
      <c r="AB845"/>
    </row>
    <row r="846" spans="1:28" s="49" customFormat="1" x14ac:dyDescent="0.15">
      <c r="A846" s="165"/>
      <c r="B846" s="93"/>
      <c r="C846" s="102"/>
      <c r="D846" s="62"/>
      <c r="E846" s="102"/>
      <c r="F846" s="102"/>
      <c r="G846" s="102"/>
      <c r="H846" s="175"/>
      <c r="I846" s="85"/>
      <c r="J846" s="104"/>
      <c r="K846" s="144"/>
      <c r="L846" s="61"/>
      <c r="N846" s="37"/>
      <c r="O846" s="37"/>
      <c r="P846" s="37"/>
      <c r="Q846" s="3"/>
      <c r="R846" s="3"/>
      <c r="S846" s="3"/>
      <c r="T846" s="3"/>
      <c r="U846" s="3"/>
      <c r="V846" s="3"/>
      <c r="W846" s="3"/>
      <c r="X846" s="3"/>
      <c r="Y846" s="3"/>
      <c r="Z846" s="4"/>
      <c r="AA846"/>
      <c r="AB846"/>
    </row>
    <row r="847" spans="1:28" s="49" customFormat="1" x14ac:dyDescent="0.15">
      <c r="A847" s="165"/>
      <c r="B847" s="93"/>
      <c r="C847" s="102"/>
      <c r="D847" s="62"/>
      <c r="E847" s="100"/>
      <c r="F847" s="102"/>
      <c r="G847" s="102"/>
      <c r="H847" s="175"/>
      <c r="I847" s="85"/>
      <c r="J847" s="104"/>
      <c r="K847" s="144"/>
      <c r="L847" s="61"/>
      <c r="N847" s="37"/>
      <c r="O847" s="37"/>
      <c r="P847" s="37"/>
      <c r="Q847" s="3"/>
      <c r="R847" s="3"/>
      <c r="S847" s="3"/>
      <c r="T847" s="3"/>
      <c r="U847" s="3"/>
      <c r="V847" s="3"/>
      <c r="W847" s="3"/>
      <c r="X847" s="3"/>
      <c r="Y847" s="3"/>
      <c r="Z847" s="4"/>
      <c r="AA847"/>
      <c r="AB847"/>
    </row>
    <row r="848" spans="1:28" s="49" customFormat="1" x14ac:dyDescent="0.15">
      <c r="A848" s="165"/>
      <c r="B848" s="93"/>
      <c r="C848" s="102"/>
      <c r="D848" s="62"/>
      <c r="E848" s="102"/>
      <c r="F848" s="102"/>
      <c r="G848" s="102"/>
      <c r="H848" s="175"/>
      <c r="I848" s="85"/>
      <c r="J848" s="104"/>
      <c r="K848" s="144"/>
      <c r="L848" s="61"/>
      <c r="N848" s="37"/>
      <c r="O848" s="37"/>
      <c r="P848" s="37"/>
      <c r="Q848" s="3"/>
      <c r="R848" s="3"/>
      <c r="S848" s="3"/>
      <c r="T848" s="3"/>
      <c r="U848" s="3"/>
      <c r="V848" s="3"/>
      <c r="W848" s="3"/>
      <c r="X848" s="3"/>
      <c r="Y848" s="3"/>
      <c r="Z848" s="4"/>
      <c r="AA848"/>
      <c r="AB848"/>
    </row>
    <row r="849" spans="1:28" s="49" customFormat="1" x14ac:dyDescent="0.15">
      <c r="A849" s="165"/>
      <c r="B849" s="93"/>
      <c r="C849" s="102"/>
      <c r="D849" s="62"/>
      <c r="E849" s="102"/>
      <c r="F849" s="102"/>
      <c r="G849" s="102"/>
      <c r="H849" s="175"/>
      <c r="I849" s="98"/>
      <c r="J849" s="98"/>
      <c r="K849" s="135"/>
      <c r="L849" s="61"/>
      <c r="N849" s="37"/>
      <c r="O849" s="37"/>
      <c r="P849" s="37"/>
      <c r="Q849" s="3"/>
      <c r="R849" s="3"/>
      <c r="S849" s="3"/>
      <c r="T849" s="3"/>
      <c r="U849" s="3"/>
      <c r="V849" s="3"/>
      <c r="W849" s="3"/>
      <c r="X849" s="3"/>
      <c r="Y849" s="3"/>
      <c r="Z849" s="4"/>
      <c r="AA849"/>
      <c r="AB849"/>
    </row>
    <row r="850" spans="1:28" s="49" customFormat="1" x14ac:dyDescent="0.15">
      <c r="A850" s="165"/>
      <c r="B850" s="93"/>
      <c r="C850" s="102"/>
      <c r="D850" s="62"/>
      <c r="E850" s="102"/>
      <c r="F850" s="102"/>
      <c r="G850" s="102"/>
      <c r="H850" s="175"/>
      <c r="I850" s="85"/>
      <c r="J850" s="104"/>
      <c r="K850" s="144"/>
      <c r="L850" s="61"/>
      <c r="N850" s="37"/>
      <c r="O850" s="37"/>
      <c r="P850" s="37"/>
      <c r="Q850" s="3"/>
      <c r="R850" s="3"/>
      <c r="S850" s="3"/>
      <c r="T850" s="3"/>
      <c r="U850" s="3"/>
      <c r="V850" s="3"/>
      <c r="W850" s="3"/>
      <c r="X850" s="3"/>
      <c r="Y850" s="3"/>
      <c r="Z850" s="4"/>
      <c r="AA850"/>
      <c r="AB850"/>
    </row>
    <row r="851" spans="1:28" s="49" customFormat="1" x14ac:dyDescent="0.15">
      <c r="A851" s="165"/>
      <c r="B851" s="93"/>
      <c r="C851" s="102"/>
      <c r="D851" s="62"/>
      <c r="E851" s="102"/>
      <c r="F851" s="102"/>
      <c r="G851" s="102"/>
      <c r="H851" s="175"/>
      <c r="I851" s="85"/>
      <c r="J851" s="104"/>
      <c r="K851" s="144"/>
      <c r="L851" s="61"/>
      <c r="N851" s="37"/>
      <c r="O851" s="37"/>
      <c r="P851" s="37"/>
      <c r="Q851" s="3"/>
      <c r="R851" s="3"/>
      <c r="S851" s="3"/>
      <c r="T851" s="3"/>
      <c r="U851" s="3"/>
      <c r="V851" s="3"/>
      <c r="W851" s="3"/>
      <c r="X851" s="3"/>
      <c r="Y851" s="3"/>
      <c r="Z851" s="4"/>
      <c r="AA851"/>
      <c r="AB851"/>
    </row>
    <row r="852" spans="1:28" s="49" customFormat="1" x14ac:dyDescent="0.15">
      <c r="A852" s="165"/>
      <c r="B852" s="93"/>
      <c r="C852" s="102"/>
      <c r="D852" s="62"/>
      <c r="E852" s="102"/>
      <c r="F852" s="102"/>
      <c r="G852" s="102"/>
      <c r="H852" s="175"/>
      <c r="I852" s="98"/>
      <c r="J852" s="98"/>
      <c r="K852" s="135"/>
      <c r="L852" s="61"/>
      <c r="N852" s="37"/>
      <c r="O852" s="37"/>
      <c r="P852" s="37"/>
      <c r="Q852" s="3"/>
      <c r="R852" s="3"/>
      <c r="S852" s="3"/>
      <c r="T852" s="3"/>
      <c r="U852" s="3"/>
      <c r="V852" s="3"/>
      <c r="W852" s="3"/>
      <c r="X852" s="3"/>
      <c r="Y852" s="3"/>
      <c r="Z852" s="4"/>
      <c r="AA852"/>
      <c r="AB852"/>
    </row>
    <row r="853" spans="1:28" s="49" customFormat="1" x14ac:dyDescent="0.15">
      <c r="A853" s="165"/>
      <c r="B853" s="93"/>
      <c r="C853" s="102"/>
      <c r="D853" s="62"/>
      <c r="E853" s="102"/>
      <c r="F853" s="102"/>
      <c r="G853" s="102"/>
      <c r="H853" s="175"/>
      <c r="I853" s="103"/>
      <c r="J853" s="103"/>
      <c r="K853" s="135"/>
      <c r="L853" s="61"/>
      <c r="N853" s="37"/>
      <c r="O853" s="37"/>
      <c r="P853" s="37"/>
      <c r="Q853" s="3"/>
      <c r="R853" s="3"/>
      <c r="S853" s="3"/>
      <c r="T853" s="3"/>
      <c r="U853" s="3"/>
      <c r="V853" s="3"/>
      <c r="W853" s="3"/>
      <c r="X853" s="3"/>
      <c r="Y853" s="3"/>
      <c r="Z853" s="4"/>
      <c r="AA853"/>
      <c r="AB853"/>
    </row>
    <row r="854" spans="1:28" s="49" customFormat="1" x14ac:dyDescent="0.15">
      <c r="A854" s="165"/>
      <c r="B854" s="93"/>
      <c r="C854" s="102"/>
      <c r="D854" s="62"/>
      <c r="E854" s="102"/>
      <c r="F854" s="102"/>
      <c r="G854" s="102"/>
      <c r="H854" s="175"/>
      <c r="I854" s="98"/>
      <c r="J854" s="98"/>
      <c r="K854" s="135"/>
      <c r="L854" s="61"/>
      <c r="N854" s="37"/>
      <c r="O854" s="37"/>
      <c r="P854" s="37"/>
      <c r="Q854" s="3"/>
      <c r="R854" s="3"/>
      <c r="S854" s="3"/>
      <c r="T854" s="3"/>
      <c r="U854" s="3"/>
      <c r="V854" s="3"/>
      <c r="W854" s="3"/>
      <c r="X854" s="3"/>
      <c r="Y854" s="3"/>
      <c r="Z854" s="4"/>
      <c r="AA854"/>
      <c r="AB854"/>
    </row>
    <row r="855" spans="1:28" s="49" customFormat="1" x14ac:dyDescent="0.15">
      <c r="A855" s="165"/>
      <c r="B855" s="93"/>
      <c r="C855" s="102"/>
      <c r="D855" s="62"/>
      <c r="E855" s="102"/>
      <c r="F855" s="102"/>
      <c r="G855" s="102"/>
      <c r="H855" s="175"/>
      <c r="I855" s="98"/>
      <c r="J855" s="98"/>
      <c r="K855" s="135"/>
      <c r="L855" s="61"/>
      <c r="N855" s="37"/>
      <c r="O855" s="37"/>
      <c r="P855" s="37"/>
      <c r="Q855" s="3"/>
      <c r="R855" s="3"/>
      <c r="S855" s="3"/>
      <c r="T855" s="3"/>
      <c r="U855" s="3"/>
      <c r="V855" s="3"/>
      <c r="W855" s="3"/>
      <c r="X855" s="3"/>
      <c r="Y855" s="3"/>
      <c r="Z855" s="4"/>
      <c r="AA855"/>
      <c r="AB855"/>
    </row>
    <row r="856" spans="1:28" s="49" customFormat="1" x14ac:dyDescent="0.15">
      <c r="A856" s="165"/>
      <c r="B856" s="93"/>
      <c r="C856" s="102"/>
      <c r="D856" s="62"/>
      <c r="E856" s="102"/>
      <c r="F856" s="102"/>
      <c r="G856" s="102"/>
      <c r="H856" s="175"/>
      <c r="I856" s="98"/>
      <c r="J856" s="98"/>
      <c r="K856" s="135"/>
      <c r="L856" s="61"/>
      <c r="N856" s="37"/>
      <c r="O856" s="37"/>
      <c r="P856" s="37"/>
      <c r="Q856" s="3"/>
      <c r="R856" s="3"/>
      <c r="S856" s="3"/>
      <c r="T856" s="3"/>
      <c r="U856" s="3"/>
      <c r="V856" s="3"/>
      <c r="W856" s="3"/>
      <c r="X856" s="3"/>
      <c r="Y856" s="3"/>
      <c r="Z856" s="4"/>
      <c r="AA856"/>
      <c r="AB856"/>
    </row>
    <row r="857" spans="1:28" s="49" customFormat="1" x14ac:dyDescent="0.15">
      <c r="A857" s="165"/>
      <c r="B857" s="93"/>
      <c r="C857" s="102"/>
      <c r="D857" s="62"/>
      <c r="E857" s="102"/>
      <c r="F857" s="102"/>
      <c r="G857" s="102"/>
      <c r="H857" s="175"/>
      <c r="I857" s="98"/>
      <c r="J857" s="98"/>
      <c r="K857" s="135"/>
      <c r="L857" s="61"/>
      <c r="N857" s="37"/>
      <c r="O857" s="37"/>
      <c r="P857" s="37"/>
      <c r="Q857" s="3"/>
      <c r="R857" s="3"/>
      <c r="S857" s="3"/>
      <c r="T857" s="3"/>
      <c r="U857" s="3"/>
      <c r="V857" s="3"/>
      <c r="W857" s="3"/>
      <c r="X857" s="3"/>
      <c r="Y857" s="3"/>
      <c r="Z857" s="4"/>
      <c r="AA857"/>
      <c r="AB857"/>
    </row>
    <row r="858" spans="1:28" s="49" customFormat="1" x14ac:dyDescent="0.15">
      <c r="A858" s="165"/>
      <c r="B858" s="93"/>
      <c r="C858" s="102"/>
      <c r="D858" s="62"/>
      <c r="E858" s="102"/>
      <c r="F858" s="102"/>
      <c r="G858" s="102"/>
      <c r="H858" s="175"/>
      <c r="I858" s="98"/>
      <c r="J858" s="98"/>
      <c r="K858" s="135"/>
      <c r="L858" s="61"/>
      <c r="N858" s="37"/>
      <c r="O858" s="37"/>
      <c r="P858" s="37"/>
      <c r="Q858" s="3"/>
      <c r="R858" s="3"/>
      <c r="S858" s="3"/>
      <c r="T858" s="3"/>
      <c r="U858" s="3"/>
      <c r="V858" s="3"/>
      <c r="W858" s="3"/>
      <c r="X858" s="3"/>
      <c r="Y858" s="3"/>
      <c r="Z858" s="4"/>
      <c r="AA858"/>
      <c r="AB858"/>
    </row>
    <row r="859" spans="1:28" s="49" customFormat="1" x14ac:dyDescent="0.15">
      <c r="A859" s="165"/>
      <c r="B859" s="93"/>
      <c r="C859" s="102"/>
      <c r="D859" s="62"/>
      <c r="E859" s="102"/>
      <c r="F859" s="102"/>
      <c r="G859" s="102"/>
      <c r="H859" s="175"/>
      <c r="I859" s="85"/>
      <c r="J859" s="104"/>
      <c r="K859" s="144"/>
      <c r="L859" s="61"/>
      <c r="N859" s="37"/>
      <c r="O859" s="37"/>
      <c r="P859" s="37"/>
      <c r="Q859" s="3"/>
      <c r="R859" s="3"/>
      <c r="S859" s="3"/>
      <c r="T859" s="3"/>
      <c r="U859" s="3"/>
      <c r="V859" s="3"/>
      <c r="W859" s="3"/>
      <c r="X859" s="3"/>
      <c r="Y859" s="3"/>
      <c r="Z859" s="4"/>
      <c r="AA859"/>
      <c r="AB859"/>
    </row>
    <row r="860" spans="1:28" s="49" customFormat="1" x14ac:dyDescent="0.15">
      <c r="A860" s="165"/>
      <c r="B860" s="93"/>
      <c r="C860" s="102"/>
      <c r="D860" s="62"/>
      <c r="E860" s="102"/>
      <c r="F860" s="102"/>
      <c r="G860" s="102"/>
      <c r="H860" s="175"/>
      <c r="I860" s="85"/>
      <c r="J860" s="104"/>
      <c r="K860" s="144"/>
      <c r="L860" s="61"/>
      <c r="N860" s="37"/>
      <c r="O860" s="37"/>
      <c r="P860" s="37"/>
      <c r="Q860" s="3"/>
      <c r="R860" s="3"/>
      <c r="S860" s="3"/>
      <c r="T860" s="3"/>
      <c r="U860" s="3"/>
      <c r="V860" s="3"/>
      <c r="W860" s="3"/>
      <c r="X860" s="3"/>
      <c r="Y860" s="3"/>
      <c r="Z860" s="4"/>
      <c r="AA860"/>
      <c r="AB860"/>
    </row>
    <row r="861" spans="1:28" s="49" customFormat="1" x14ac:dyDescent="0.15">
      <c r="A861" s="165"/>
      <c r="B861" s="93"/>
      <c r="C861" s="102"/>
      <c r="D861" s="62"/>
      <c r="E861" s="102"/>
      <c r="F861" s="102"/>
      <c r="G861" s="102"/>
      <c r="H861" s="175"/>
      <c r="I861" s="85"/>
      <c r="J861" s="104"/>
      <c r="K861" s="144"/>
      <c r="L861" s="61"/>
      <c r="N861" s="37"/>
      <c r="O861" s="37"/>
      <c r="P861" s="37"/>
      <c r="Q861" s="3"/>
      <c r="R861" s="3"/>
      <c r="S861" s="3"/>
      <c r="T861" s="3"/>
      <c r="U861" s="3"/>
      <c r="V861" s="3"/>
      <c r="W861" s="3"/>
      <c r="X861" s="3"/>
      <c r="Y861" s="3"/>
      <c r="Z861" s="4"/>
      <c r="AA861"/>
      <c r="AB861"/>
    </row>
    <row r="862" spans="1:28" s="3" customFormat="1" x14ac:dyDescent="0.15">
      <c r="A862" s="165"/>
      <c r="B862" s="93"/>
      <c r="C862" s="102"/>
      <c r="D862" s="62"/>
      <c r="E862" s="102"/>
      <c r="F862" s="102"/>
      <c r="G862" s="102"/>
      <c r="H862" s="175"/>
      <c r="I862" s="85"/>
      <c r="J862" s="104"/>
      <c r="K862" s="144"/>
      <c r="L862" s="61"/>
      <c r="M862" s="49"/>
      <c r="N862" s="37"/>
      <c r="O862" s="37"/>
      <c r="P862" s="37"/>
      <c r="Z862" s="4"/>
      <c r="AA862"/>
      <c r="AB862"/>
    </row>
    <row r="863" spans="1:28" s="3" customFormat="1" x14ac:dyDescent="0.15">
      <c r="A863" s="165"/>
      <c r="B863" s="93"/>
      <c r="C863" s="102"/>
      <c r="D863" s="62"/>
      <c r="E863" s="102"/>
      <c r="F863" s="102"/>
      <c r="G863" s="102"/>
      <c r="H863" s="175"/>
      <c r="I863" s="85"/>
      <c r="J863" s="104"/>
      <c r="K863" s="144"/>
      <c r="L863" s="61"/>
      <c r="M863" s="49"/>
      <c r="N863" s="37"/>
      <c r="O863" s="37"/>
      <c r="P863" s="37"/>
      <c r="Z863" s="4"/>
      <c r="AA863"/>
      <c r="AB863"/>
    </row>
    <row r="864" spans="1:28" s="3" customFormat="1" x14ac:dyDescent="0.15">
      <c r="A864" s="165"/>
      <c r="B864" s="93"/>
      <c r="C864" s="102"/>
      <c r="D864" s="62"/>
      <c r="E864" s="102"/>
      <c r="F864" s="102"/>
      <c r="G864" s="102"/>
      <c r="H864" s="175"/>
      <c r="I864" s="85"/>
      <c r="J864" s="104"/>
      <c r="K864" s="144"/>
      <c r="L864" s="61"/>
      <c r="M864" s="49"/>
      <c r="N864" s="37"/>
      <c r="O864" s="37"/>
      <c r="P864" s="37"/>
      <c r="Z864" s="4"/>
      <c r="AA864"/>
      <c r="AB864"/>
    </row>
    <row r="865" spans="1:28" s="3" customFormat="1" x14ac:dyDescent="0.15">
      <c r="A865" s="165"/>
      <c r="B865" s="93"/>
      <c r="C865" s="102"/>
      <c r="D865" s="62"/>
      <c r="E865" s="102"/>
      <c r="F865" s="102"/>
      <c r="G865" s="102"/>
      <c r="H865" s="175"/>
      <c r="I865" s="98"/>
      <c r="J865" s="98"/>
      <c r="K865" s="135"/>
      <c r="L865" s="61"/>
      <c r="M865" s="49"/>
      <c r="N865" s="37"/>
      <c r="O865" s="37"/>
      <c r="P865" s="37"/>
      <c r="Q865" s="14"/>
      <c r="R865" s="14"/>
      <c r="Z865" s="4"/>
      <c r="AA865"/>
      <c r="AB865"/>
    </row>
    <row r="866" spans="1:28" s="3" customFormat="1" x14ac:dyDescent="0.15">
      <c r="A866" s="165"/>
      <c r="B866" s="93"/>
      <c r="C866" s="102"/>
      <c r="D866" s="62"/>
      <c r="E866" s="102"/>
      <c r="F866" s="102"/>
      <c r="G866" s="102"/>
      <c r="H866" s="175"/>
      <c r="I866" s="98"/>
      <c r="J866" s="98"/>
      <c r="K866" s="135"/>
      <c r="L866" s="61"/>
      <c r="M866" s="49"/>
      <c r="N866" s="37"/>
      <c r="O866" s="37"/>
      <c r="P866" s="37"/>
      <c r="Z866" s="4"/>
      <c r="AA866"/>
      <c r="AB866"/>
    </row>
    <row r="867" spans="1:28" s="3" customFormat="1" x14ac:dyDescent="0.15">
      <c r="A867" s="165"/>
      <c r="B867" s="93"/>
      <c r="C867" s="102"/>
      <c r="D867" s="62"/>
      <c r="E867" s="102"/>
      <c r="F867" s="102"/>
      <c r="G867" s="102"/>
      <c r="H867" s="175"/>
      <c r="I867" s="98"/>
      <c r="J867" s="98"/>
      <c r="K867" s="135"/>
      <c r="L867" s="61"/>
      <c r="M867" s="49"/>
      <c r="N867" s="37"/>
      <c r="O867" s="37"/>
      <c r="P867" s="37"/>
      <c r="Z867" s="4"/>
      <c r="AA867"/>
      <c r="AB867"/>
    </row>
    <row r="868" spans="1:28" s="3" customFormat="1" x14ac:dyDescent="0.15">
      <c r="A868" s="165"/>
      <c r="B868" s="93"/>
      <c r="C868" s="102"/>
      <c r="D868" s="62"/>
      <c r="E868" s="102"/>
      <c r="F868" s="102"/>
      <c r="G868" s="102"/>
      <c r="H868" s="175"/>
      <c r="I868" s="98"/>
      <c r="J868" s="98"/>
      <c r="K868" s="135"/>
      <c r="L868" s="61"/>
      <c r="M868" s="49"/>
      <c r="N868" s="37"/>
      <c r="O868" s="37"/>
      <c r="P868" s="37"/>
      <c r="Z868" s="4"/>
      <c r="AA868"/>
      <c r="AB868"/>
    </row>
    <row r="869" spans="1:28" s="3" customFormat="1" x14ac:dyDescent="0.15">
      <c r="A869" s="165"/>
      <c r="B869" s="93"/>
      <c r="C869" s="102"/>
      <c r="D869" s="62"/>
      <c r="E869" s="102"/>
      <c r="F869" s="102"/>
      <c r="G869" s="102"/>
      <c r="H869" s="175"/>
      <c r="I869" s="85"/>
      <c r="J869" s="104"/>
      <c r="K869" s="144"/>
      <c r="L869" s="61"/>
      <c r="M869" s="49"/>
      <c r="N869" s="37"/>
      <c r="O869" s="37"/>
      <c r="P869" s="37"/>
      <c r="Z869" s="4"/>
      <c r="AA869"/>
      <c r="AB869"/>
    </row>
    <row r="870" spans="1:28" s="3" customFormat="1" x14ac:dyDescent="0.15">
      <c r="A870" s="165"/>
      <c r="B870" s="93"/>
      <c r="C870" s="102"/>
      <c r="D870" s="62"/>
      <c r="E870" s="102"/>
      <c r="F870" s="102"/>
      <c r="G870" s="102"/>
      <c r="H870" s="175"/>
      <c r="I870" s="85"/>
      <c r="J870" s="104"/>
      <c r="K870" s="144"/>
      <c r="L870" s="61"/>
      <c r="M870" s="49"/>
      <c r="N870" s="37"/>
      <c r="O870" s="37"/>
      <c r="P870" s="37"/>
      <c r="Z870" s="4"/>
      <c r="AA870"/>
      <c r="AB870"/>
    </row>
    <row r="871" spans="1:28" s="3" customFormat="1" x14ac:dyDescent="0.15">
      <c r="A871" s="165"/>
      <c r="B871" s="93"/>
      <c r="C871" s="102"/>
      <c r="D871" s="62"/>
      <c r="E871" s="102"/>
      <c r="F871" s="102"/>
      <c r="G871" s="102"/>
      <c r="H871" s="175"/>
      <c r="I871" s="85"/>
      <c r="J871" s="104"/>
      <c r="K871" s="144"/>
      <c r="L871" s="61"/>
      <c r="M871" s="49"/>
      <c r="N871" s="37"/>
      <c r="O871" s="37"/>
      <c r="P871" s="37"/>
      <c r="Q871" s="14"/>
      <c r="R871" s="14"/>
      <c r="Z871" s="4"/>
      <c r="AA871"/>
      <c r="AB871"/>
    </row>
    <row r="872" spans="1:28" s="3" customFormat="1" x14ac:dyDescent="0.15">
      <c r="A872" s="165"/>
      <c r="B872" s="93"/>
      <c r="C872" s="102"/>
      <c r="D872" s="62"/>
      <c r="E872" s="102"/>
      <c r="F872" s="102"/>
      <c r="G872" s="102"/>
      <c r="H872" s="175"/>
      <c r="I872" s="85"/>
      <c r="J872" s="104"/>
      <c r="K872" s="144"/>
      <c r="L872" s="61"/>
      <c r="M872" s="49"/>
      <c r="N872" s="37"/>
      <c r="O872" s="37"/>
      <c r="P872" s="37"/>
      <c r="Z872" s="4"/>
      <c r="AA872"/>
      <c r="AB872"/>
    </row>
    <row r="873" spans="1:28" s="3" customFormat="1" x14ac:dyDescent="0.15">
      <c r="A873" s="165"/>
      <c r="B873" s="93"/>
      <c r="C873" s="102"/>
      <c r="D873" s="62"/>
      <c r="E873" s="102"/>
      <c r="F873" s="102"/>
      <c r="G873" s="102"/>
      <c r="H873" s="175"/>
      <c r="I873" s="85"/>
      <c r="J873" s="104"/>
      <c r="K873" s="144"/>
      <c r="L873" s="61"/>
      <c r="M873" s="49"/>
      <c r="N873" s="37"/>
      <c r="O873" s="37"/>
      <c r="P873" s="37"/>
      <c r="Z873" s="4"/>
      <c r="AA873"/>
      <c r="AB873"/>
    </row>
    <row r="874" spans="1:28" s="3" customFormat="1" x14ac:dyDescent="0.15">
      <c r="A874" s="165"/>
      <c r="B874" s="93"/>
      <c r="C874" s="102"/>
      <c r="D874" s="62"/>
      <c r="E874" s="102"/>
      <c r="F874" s="102"/>
      <c r="G874" s="102"/>
      <c r="H874" s="175"/>
      <c r="I874" s="85"/>
      <c r="J874" s="104"/>
      <c r="K874" s="144"/>
      <c r="L874" s="61"/>
      <c r="M874" s="49"/>
      <c r="N874" s="37"/>
      <c r="O874" s="37"/>
      <c r="P874" s="37"/>
      <c r="Z874" s="4"/>
      <c r="AA874"/>
      <c r="AB874"/>
    </row>
    <row r="875" spans="1:28" s="3" customFormat="1" x14ac:dyDescent="0.15">
      <c r="A875" s="165"/>
      <c r="B875" s="93"/>
      <c r="C875" s="102"/>
      <c r="D875" s="62"/>
      <c r="E875" s="102"/>
      <c r="F875" s="102"/>
      <c r="G875" s="102"/>
      <c r="H875" s="175"/>
      <c r="I875" s="85"/>
      <c r="J875" s="104"/>
      <c r="K875" s="144"/>
      <c r="L875" s="61"/>
      <c r="M875" s="49"/>
      <c r="N875" s="37"/>
      <c r="O875" s="37"/>
      <c r="P875" s="37"/>
      <c r="Z875" s="4"/>
      <c r="AA875"/>
      <c r="AB875"/>
    </row>
    <row r="876" spans="1:28" s="3" customFormat="1" x14ac:dyDescent="0.15">
      <c r="A876" s="165"/>
      <c r="B876" s="93"/>
      <c r="C876" s="102"/>
      <c r="D876" s="62"/>
      <c r="E876" s="102"/>
      <c r="F876" s="102"/>
      <c r="G876" s="102"/>
      <c r="H876" s="175"/>
      <c r="I876" s="85"/>
      <c r="J876" s="104"/>
      <c r="K876" s="144"/>
      <c r="L876" s="61"/>
      <c r="M876" s="49"/>
      <c r="N876" s="37"/>
      <c r="O876" s="37"/>
      <c r="P876" s="37"/>
      <c r="Z876" s="4"/>
      <c r="AA876"/>
      <c r="AB876"/>
    </row>
    <row r="877" spans="1:28" s="3" customFormat="1" x14ac:dyDescent="0.15">
      <c r="A877" s="165"/>
      <c r="B877" s="93"/>
      <c r="C877" s="102"/>
      <c r="D877" s="62"/>
      <c r="E877" s="102"/>
      <c r="F877" s="102"/>
      <c r="G877" s="102"/>
      <c r="H877" s="175"/>
      <c r="I877" s="85"/>
      <c r="J877" s="104"/>
      <c r="K877" s="144"/>
      <c r="L877" s="61"/>
      <c r="M877" s="49"/>
      <c r="N877" s="37"/>
      <c r="O877" s="37"/>
      <c r="P877" s="37"/>
      <c r="Z877" s="4"/>
      <c r="AA877"/>
      <c r="AB877"/>
    </row>
    <row r="878" spans="1:28" s="49" customFormat="1" x14ac:dyDescent="0.15">
      <c r="A878" s="165"/>
      <c r="B878" s="93"/>
      <c r="C878" s="102"/>
      <c r="D878" s="62"/>
      <c r="E878" s="102"/>
      <c r="F878" s="102"/>
      <c r="G878" s="102"/>
      <c r="H878" s="175"/>
      <c r="I878" s="85"/>
      <c r="J878" s="104"/>
      <c r="K878" s="144"/>
      <c r="L878" s="61"/>
      <c r="N878" s="37"/>
      <c r="O878" s="37"/>
      <c r="P878" s="37"/>
      <c r="Q878" s="3"/>
      <c r="R878" s="3"/>
      <c r="S878" s="3"/>
      <c r="T878" s="3"/>
      <c r="U878" s="3"/>
      <c r="V878" s="3"/>
      <c r="W878" s="3"/>
      <c r="X878" s="3"/>
      <c r="Y878" s="3"/>
      <c r="Z878" s="4"/>
      <c r="AA878"/>
      <c r="AB878"/>
    </row>
    <row r="879" spans="1:28" s="49" customFormat="1" x14ac:dyDescent="0.15">
      <c r="A879" s="165"/>
      <c r="B879" s="93"/>
      <c r="C879" s="102"/>
      <c r="D879" s="62"/>
      <c r="E879" s="102"/>
      <c r="F879" s="102"/>
      <c r="G879" s="102"/>
      <c r="H879" s="175"/>
      <c r="I879" s="85"/>
      <c r="J879" s="104"/>
      <c r="K879" s="144"/>
      <c r="L879" s="61"/>
      <c r="N879" s="37"/>
      <c r="O879" s="37"/>
      <c r="P879" s="37"/>
      <c r="Q879" s="3"/>
      <c r="R879" s="3"/>
      <c r="S879" s="3"/>
      <c r="T879" s="3"/>
      <c r="U879" s="3"/>
      <c r="V879" s="3"/>
      <c r="W879" s="3"/>
      <c r="X879" s="3"/>
      <c r="Y879" s="3"/>
      <c r="Z879" s="4"/>
      <c r="AA879"/>
      <c r="AB879"/>
    </row>
    <row r="880" spans="1:28" s="49" customFormat="1" x14ac:dyDescent="0.15">
      <c r="A880" s="165"/>
      <c r="B880" s="93"/>
      <c r="C880" s="102"/>
      <c r="D880" s="62"/>
      <c r="E880" s="102"/>
      <c r="F880" s="102"/>
      <c r="G880" s="102"/>
      <c r="H880" s="175"/>
      <c r="I880" s="85"/>
      <c r="J880" s="104"/>
      <c r="K880" s="144"/>
      <c r="L880" s="61"/>
      <c r="N880" s="37"/>
      <c r="O880" s="37"/>
      <c r="P880" s="37"/>
      <c r="Q880" s="3"/>
      <c r="R880" s="3"/>
      <c r="S880" s="3"/>
      <c r="T880" s="3"/>
      <c r="U880" s="3"/>
      <c r="V880" s="3"/>
      <c r="W880" s="3"/>
      <c r="X880" s="3"/>
      <c r="Y880" s="3"/>
      <c r="Z880" s="4"/>
      <c r="AA880"/>
      <c r="AB880"/>
    </row>
    <row r="881" spans="1:28" s="49" customFormat="1" x14ac:dyDescent="0.15">
      <c r="A881" s="165"/>
      <c r="B881" s="93"/>
      <c r="C881" s="102"/>
      <c r="D881" s="62"/>
      <c r="E881" s="102"/>
      <c r="F881" s="102"/>
      <c r="G881" s="102"/>
      <c r="H881" s="175"/>
      <c r="I881" s="85"/>
      <c r="J881" s="104"/>
      <c r="K881" s="144"/>
      <c r="L881" s="61"/>
      <c r="N881" s="37"/>
      <c r="O881" s="37"/>
      <c r="P881" s="37"/>
      <c r="Q881" s="3"/>
      <c r="R881" s="3"/>
      <c r="S881" s="3"/>
      <c r="T881" s="3"/>
      <c r="U881" s="3"/>
      <c r="V881" s="3"/>
      <c r="W881" s="3"/>
      <c r="X881" s="3"/>
      <c r="Y881" s="3"/>
      <c r="Z881" s="4"/>
      <c r="AA881"/>
      <c r="AB881"/>
    </row>
    <row r="882" spans="1:28" s="49" customFormat="1" x14ac:dyDescent="0.15">
      <c r="A882" s="165"/>
      <c r="B882" s="93"/>
      <c r="C882" s="102"/>
      <c r="D882" s="62"/>
      <c r="E882" s="102"/>
      <c r="F882" s="102"/>
      <c r="G882" s="102"/>
      <c r="H882" s="175"/>
      <c r="I882" s="85"/>
      <c r="J882" s="104"/>
      <c r="K882" s="144"/>
      <c r="L882" s="61"/>
      <c r="N882" s="37"/>
      <c r="O882" s="37"/>
      <c r="P882" s="37"/>
      <c r="Q882" s="3"/>
      <c r="R882" s="3"/>
      <c r="S882" s="3"/>
      <c r="T882" s="3"/>
      <c r="U882" s="3"/>
      <c r="V882" s="3"/>
      <c r="W882" s="3"/>
      <c r="X882" s="3"/>
      <c r="Y882" s="3"/>
      <c r="Z882" s="4"/>
      <c r="AA882"/>
      <c r="AB882"/>
    </row>
    <row r="883" spans="1:28" s="49" customFormat="1" x14ac:dyDescent="0.15">
      <c r="A883" s="165"/>
      <c r="B883" s="93"/>
      <c r="C883" s="102"/>
      <c r="D883" s="62"/>
      <c r="E883" s="102"/>
      <c r="F883" s="102"/>
      <c r="G883" s="102"/>
      <c r="H883" s="175"/>
      <c r="I883" s="85"/>
      <c r="J883" s="104"/>
      <c r="K883" s="144"/>
      <c r="L883" s="61"/>
      <c r="N883" s="37"/>
      <c r="O883" s="37"/>
      <c r="P883" s="37"/>
      <c r="Q883" s="3"/>
      <c r="R883" s="3"/>
      <c r="S883" s="3"/>
      <c r="T883" s="3"/>
      <c r="U883" s="3"/>
      <c r="V883" s="3"/>
      <c r="W883" s="3"/>
      <c r="X883" s="3"/>
      <c r="Y883" s="3"/>
      <c r="Z883" s="4"/>
      <c r="AA883"/>
      <c r="AB883"/>
    </row>
    <row r="884" spans="1:28" s="49" customFormat="1" x14ac:dyDescent="0.15">
      <c r="A884" s="165"/>
      <c r="B884" s="93"/>
      <c r="C884" s="102"/>
      <c r="D884" s="62"/>
      <c r="E884" s="102"/>
      <c r="F884" s="102"/>
      <c r="G884" s="102"/>
      <c r="H884" s="175"/>
      <c r="I884" s="85"/>
      <c r="J884" s="104"/>
      <c r="K884" s="144"/>
      <c r="L884" s="61"/>
      <c r="N884" s="37"/>
      <c r="O884" s="37"/>
      <c r="P884" s="37"/>
      <c r="Q884" s="3"/>
      <c r="R884" s="3"/>
      <c r="S884" s="3"/>
      <c r="T884" s="3"/>
      <c r="U884" s="3"/>
      <c r="V884" s="3"/>
      <c r="W884" s="3"/>
      <c r="X884" s="3"/>
      <c r="Y884" s="3"/>
      <c r="Z884" s="4"/>
      <c r="AA884"/>
      <c r="AB884"/>
    </row>
    <row r="885" spans="1:28" s="49" customFormat="1" x14ac:dyDescent="0.15">
      <c r="A885" s="165"/>
      <c r="B885" s="93"/>
      <c r="C885" s="102"/>
      <c r="D885" s="62"/>
      <c r="E885" s="102"/>
      <c r="F885" s="102"/>
      <c r="G885" s="102"/>
      <c r="H885" s="175"/>
      <c r="I885" s="85"/>
      <c r="J885" s="104"/>
      <c r="K885" s="144"/>
      <c r="L885" s="61"/>
      <c r="N885" s="37"/>
      <c r="O885" s="37"/>
      <c r="P885" s="37"/>
      <c r="Q885" s="3"/>
      <c r="R885" s="3"/>
      <c r="S885" s="3"/>
      <c r="T885" s="3"/>
      <c r="U885" s="3"/>
      <c r="V885" s="3"/>
      <c r="W885" s="3"/>
      <c r="X885" s="3"/>
      <c r="Y885" s="3"/>
      <c r="Z885" s="4"/>
      <c r="AA885"/>
      <c r="AB885"/>
    </row>
    <row r="886" spans="1:28" s="49" customFormat="1" x14ac:dyDescent="0.15">
      <c r="A886" s="165"/>
      <c r="B886" s="93"/>
      <c r="C886" s="102"/>
      <c r="D886" s="62"/>
      <c r="E886" s="102"/>
      <c r="F886" s="102"/>
      <c r="G886" s="102"/>
      <c r="H886" s="175"/>
      <c r="I886" s="85"/>
      <c r="J886" s="101"/>
      <c r="K886" s="144"/>
      <c r="L886" s="61"/>
      <c r="N886" s="37"/>
      <c r="O886" s="37"/>
      <c r="P886" s="37"/>
      <c r="Q886" s="3"/>
      <c r="R886" s="3"/>
      <c r="S886" s="3"/>
      <c r="T886" s="3"/>
      <c r="U886" s="3"/>
      <c r="V886" s="3"/>
      <c r="W886" s="3"/>
      <c r="X886" s="3"/>
      <c r="Y886" s="3"/>
      <c r="Z886" s="4"/>
      <c r="AA886"/>
      <c r="AB886"/>
    </row>
    <row r="887" spans="1:28" s="49" customFormat="1" x14ac:dyDescent="0.15">
      <c r="A887" s="165"/>
      <c r="B887" s="93"/>
      <c r="C887" s="102"/>
      <c r="D887" s="62"/>
      <c r="E887" s="102"/>
      <c r="F887" s="102"/>
      <c r="G887" s="102"/>
      <c r="H887" s="175"/>
      <c r="I887" s="85"/>
      <c r="J887" s="101"/>
      <c r="K887" s="144"/>
      <c r="L887" s="61"/>
      <c r="N887" s="37"/>
      <c r="O887" s="37"/>
      <c r="P887" s="37"/>
      <c r="Q887" s="3"/>
      <c r="R887" s="3"/>
      <c r="S887" s="3"/>
      <c r="T887" s="3"/>
      <c r="U887" s="3"/>
      <c r="V887" s="3"/>
      <c r="W887" s="3"/>
      <c r="X887" s="3"/>
      <c r="Y887" s="3"/>
      <c r="Z887" s="4"/>
      <c r="AA887"/>
      <c r="AB887"/>
    </row>
    <row r="888" spans="1:28" s="49" customFormat="1" x14ac:dyDescent="0.15">
      <c r="A888" s="165"/>
      <c r="B888" s="93"/>
      <c r="C888" s="102"/>
      <c r="D888" s="62"/>
      <c r="E888" s="102"/>
      <c r="F888" s="102"/>
      <c r="G888" s="102"/>
      <c r="H888" s="175"/>
      <c r="I888" s="85"/>
      <c r="J888" s="104"/>
      <c r="K888" s="144"/>
      <c r="L888" s="61"/>
      <c r="N888" s="37"/>
      <c r="O888" s="37"/>
      <c r="P888" s="37"/>
      <c r="Q888" s="3"/>
      <c r="R888" s="3"/>
      <c r="S888" s="3"/>
      <c r="T888" s="3"/>
      <c r="U888" s="3"/>
      <c r="V888" s="3"/>
      <c r="W888" s="3"/>
      <c r="X888" s="3"/>
      <c r="Y888" s="3"/>
      <c r="Z888" s="4"/>
      <c r="AA888"/>
      <c r="AB888"/>
    </row>
    <row r="889" spans="1:28" s="49" customFormat="1" x14ac:dyDescent="0.15">
      <c r="A889" s="165"/>
      <c r="B889" s="93"/>
      <c r="C889" s="102"/>
      <c r="D889" s="62"/>
      <c r="E889" s="102"/>
      <c r="F889" s="102"/>
      <c r="G889" s="102"/>
      <c r="H889" s="175"/>
      <c r="I889" s="98"/>
      <c r="J889" s="98"/>
      <c r="K889" s="135"/>
      <c r="L889" s="61"/>
      <c r="N889" s="37"/>
      <c r="O889" s="37"/>
      <c r="P889" s="37"/>
      <c r="Q889" s="3"/>
      <c r="R889" s="3"/>
      <c r="S889" s="3"/>
      <c r="T889" s="3"/>
      <c r="U889" s="3"/>
      <c r="V889" s="3"/>
      <c r="W889" s="3"/>
      <c r="X889" s="3"/>
      <c r="Y889" s="3"/>
      <c r="Z889" s="4"/>
      <c r="AA889"/>
      <c r="AB889"/>
    </row>
    <row r="890" spans="1:28" s="49" customFormat="1" x14ac:dyDescent="0.15">
      <c r="A890" s="165"/>
      <c r="B890" s="93"/>
      <c r="C890" s="102"/>
      <c r="D890" s="62"/>
      <c r="E890" s="102"/>
      <c r="F890" s="102"/>
      <c r="G890" s="102"/>
      <c r="H890" s="175"/>
      <c r="I890" s="98"/>
      <c r="J890" s="103"/>
      <c r="K890" s="135"/>
      <c r="L890" s="61"/>
      <c r="N890" s="37"/>
      <c r="O890" s="37"/>
      <c r="P890" s="37"/>
      <c r="Q890" s="3"/>
      <c r="R890" s="3"/>
      <c r="S890" s="3"/>
      <c r="T890" s="3"/>
      <c r="U890" s="3"/>
      <c r="V890" s="3"/>
      <c r="W890" s="3"/>
      <c r="X890" s="3"/>
      <c r="Y890" s="3"/>
      <c r="Z890" s="4"/>
      <c r="AA890"/>
      <c r="AB890"/>
    </row>
    <row r="891" spans="1:28" s="49" customFormat="1" x14ac:dyDescent="0.15">
      <c r="A891" s="165"/>
      <c r="B891" s="93"/>
      <c r="C891" s="102"/>
      <c r="D891" s="62"/>
      <c r="E891" s="102"/>
      <c r="F891" s="102"/>
      <c r="G891" s="102"/>
      <c r="H891" s="175"/>
      <c r="I891" s="98"/>
      <c r="J891" s="98"/>
      <c r="K891" s="135"/>
      <c r="L891" s="61"/>
      <c r="N891" s="37"/>
      <c r="O891" s="37"/>
      <c r="P891" s="37"/>
      <c r="Q891" s="3"/>
      <c r="R891" s="3"/>
      <c r="S891" s="3"/>
      <c r="T891" s="3"/>
      <c r="U891" s="3"/>
      <c r="V891" s="3"/>
      <c r="W891" s="3"/>
      <c r="X891" s="3"/>
      <c r="Y891" s="3"/>
      <c r="Z891" s="4"/>
      <c r="AA891"/>
      <c r="AB891"/>
    </row>
    <row r="892" spans="1:28" s="49" customFormat="1" x14ac:dyDescent="0.15">
      <c r="A892" s="165"/>
      <c r="B892" s="93"/>
      <c r="C892" s="102"/>
      <c r="D892" s="62"/>
      <c r="E892" s="102"/>
      <c r="F892" s="102"/>
      <c r="G892" s="102"/>
      <c r="H892" s="175"/>
      <c r="I892" s="85"/>
      <c r="J892" s="104"/>
      <c r="K892" s="144"/>
      <c r="L892" s="61"/>
      <c r="N892" s="37"/>
      <c r="O892" s="37"/>
      <c r="P892" s="37"/>
      <c r="Q892" s="3"/>
      <c r="R892" s="3"/>
      <c r="S892" s="3"/>
      <c r="T892" s="3"/>
      <c r="U892" s="3"/>
      <c r="V892" s="3"/>
      <c r="W892" s="3"/>
      <c r="X892" s="3"/>
      <c r="Y892" s="3"/>
      <c r="Z892" s="4"/>
      <c r="AA892"/>
      <c r="AB892"/>
    </row>
    <row r="893" spans="1:28" s="49" customFormat="1" x14ac:dyDescent="0.15">
      <c r="A893" s="165"/>
      <c r="B893" s="93"/>
      <c r="C893" s="102"/>
      <c r="D893" s="62"/>
      <c r="E893" s="102"/>
      <c r="F893" s="102"/>
      <c r="G893" s="102"/>
      <c r="H893" s="175"/>
      <c r="I893" s="85"/>
      <c r="J893" s="104"/>
      <c r="K893" s="144"/>
      <c r="L893" s="61"/>
      <c r="N893" s="37"/>
      <c r="O893" s="37"/>
      <c r="P893" s="37"/>
      <c r="Q893" s="3"/>
      <c r="R893" s="3"/>
      <c r="S893" s="3"/>
      <c r="T893" s="3"/>
      <c r="U893" s="3"/>
      <c r="V893" s="3"/>
      <c r="W893" s="3"/>
      <c r="X893" s="3"/>
      <c r="Y893" s="3"/>
      <c r="Z893" s="4"/>
      <c r="AA893"/>
      <c r="AB893"/>
    </row>
    <row r="894" spans="1:28" s="49" customFormat="1" x14ac:dyDescent="0.15">
      <c r="A894" s="165"/>
      <c r="B894" s="93"/>
      <c r="C894" s="102"/>
      <c r="D894" s="62"/>
      <c r="E894" s="102"/>
      <c r="F894" s="102"/>
      <c r="G894" s="102"/>
      <c r="H894" s="175"/>
      <c r="I894" s="85"/>
      <c r="J894" s="104"/>
      <c r="K894" s="144"/>
      <c r="L894" s="61"/>
      <c r="N894" s="37"/>
      <c r="O894" s="37"/>
      <c r="P894" s="37"/>
      <c r="Q894" s="3"/>
      <c r="R894" s="3"/>
      <c r="S894" s="3"/>
      <c r="T894" s="3"/>
      <c r="U894" s="3"/>
      <c r="V894" s="3"/>
      <c r="W894" s="3"/>
      <c r="X894" s="3"/>
      <c r="Y894" s="3"/>
      <c r="Z894" s="4"/>
      <c r="AA894"/>
      <c r="AB894"/>
    </row>
    <row r="895" spans="1:28" s="49" customFormat="1" x14ac:dyDescent="0.15">
      <c r="A895" s="165"/>
      <c r="B895" s="93"/>
      <c r="C895" s="102"/>
      <c r="D895" s="62"/>
      <c r="E895" s="102"/>
      <c r="F895" s="102"/>
      <c r="G895" s="102"/>
      <c r="H895" s="175"/>
      <c r="I895" s="85"/>
      <c r="J895" s="104"/>
      <c r="K895" s="144"/>
      <c r="L895" s="61"/>
      <c r="N895" s="37"/>
      <c r="O895" s="37"/>
      <c r="P895" s="37"/>
      <c r="Q895" s="3"/>
      <c r="R895" s="3"/>
      <c r="S895" s="3"/>
      <c r="T895" s="3"/>
      <c r="U895" s="3"/>
      <c r="V895" s="3"/>
      <c r="W895" s="3"/>
      <c r="X895" s="3"/>
      <c r="Y895" s="3"/>
      <c r="Z895" s="4"/>
      <c r="AA895"/>
      <c r="AB895"/>
    </row>
    <row r="896" spans="1:28" s="49" customFormat="1" x14ac:dyDescent="0.15">
      <c r="A896" s="165"/>
      <c r="B896" s="93"/>
      <c r="C896" s="102"/>
      <c r="D896" s="62"/>
      <c r="E896" s="102"/>
      <c r="F896" s="102"/>
      <c r="G896" s="102"/>
      <c r="H896" s="175"/>
      <c r="I896" s="85"/>
      <c r="J896" s="104"/>
      <c r="K896" s="144"/>
      <c r="L896" s="61"/>
      <c r="N896" s="37"/>
      <c r="O896" s="37"/>
      <c r="P896" s="37"/>
      <c r="Q896" s="3"/>
      <c r="R896" s="3"/>
      <c r="S896" s="3"/>
      <c r="T896" s="3"/>
      <c r="U896" s="3"/>
      <c r="V896" s="3"/>
      <c r="W896" s="3"/>
      <c r="X896" s="3"/>
      <c r="Y896" s="3"/>
      <c r="Z896" s="4"/>
      <c r="AA896"/>
      <c r="AB896"/>
    </row>
    <row r="897" spans="1:28" s="49" customFormat="1" x14ac:dyDescent="0.15">
      <c r="A897" s="165"/>
      <c r="B897" s="93"/>
      <c r="C897" s="100"/>
      <c r="D897" s="61"/>
      <c r="E897" s="102"/>
      <c r="F897" s="100"/>
      <c r="G897" s="100"/>
      <c r="H897" s="177"/>
      <c r="I897" s="85"/>
      <c r="J897" s="104"/>
      <c r="K897" s="144"/>
      <c r="L897" s="61"/>
      <c r="N897" s="37"/>
      <c r="O897" s="37"/>
      <c r="P897" s="37"/>
      <c r="Q897" s="3"/>
      <c r="R897" s="3"/>
      <c r="S897" s="3"/>
      <c r="T897" s="3"/>
      <c r="U897" s="3"/>
      <c r="V897" s="3"/>
      <c r="W897" s="3"/>
      <c r="X897" s="3"/>
      <c r="Y897" s="3"/>
      <c r="Z897" s="4"/>
      <c r="AA897"/>
      <c r="AB897"/>
    </row>
    <row r="898" spans="1:28" s="49" customFormat="1" x14ac:dyDescent="0.15">
      <c r="A898" s="165"/>
      <c r="B898" s="93"/>
      <c r="C898" s="102"/>
      <c r="D898" s="62"/>
      <c r="E898" s="102"/>
      <c r="F898" s="102"/>
      <c r="G898" s="102"/>
      <c r="H898" s="175"/>
      <c r="I898" s="98"/>
      <c r="J898" s="98"/>
      <c r="K898" s="135"/>
      <c r="L898" s="61"/>
      <c r="N898" s="37"/>
      <c r="O898" s="37"/>
      <c r="P898" s="37"/>
      <c r="Q898" s="3"/>
      <c r="R898" s="3"/>
      <c r="S898" s="3"/>
      <c r="T898" s="3"/>
      <c r="U898" s="3"/>
      <c r="V898" s="3"/>
      <c r="W898" s="3"/>
      <c r="X898" s="3"/>
      <c r="Y898" s="3"/>
      <c r="Z898" s="4"/>
      <c r="AA898"/>
      <c r="AB898"/>
    </row>
    <row r="899" spans="1:28" s="49" customFormat="1" x14ac:dyDescent="0.15">
      <c r="A899" s="165"/>
      <c r="B899" s="93"/>
      <c r="C899" s="102"/>
      <c r="D899" s="62"/>
      <c r="E899" s="102"/>
      <c r="F899" s="102"/>
      <c r="G899" s="102"/>
      <c r="H899" s="175"/>
      <c r="I899" s="98"/>
      <c r="J899" s="98"/>
      <c r="K899" s="135"/>
      <c r="L899" s="61"/>
      <c r="N899" s="37"/>
      <c r="O899" s="37"/>
      <c r="P899" s="37"/>
      <c r="Q899" s="3"/>
      <c r="R899" s="3"/>
      <c r="S899" s="3"/>
      <c r="T899" s="3"/>
      <c r="U899" s="3"/>
      <c r="V899" s="3"/>
      <c r="W899" s="3"/>
      <c r="X899" s="3"/>
      <c r="Y899" s="3"/>
      <c r="Z899" s="4"/>
      <c r="AA899"/>
      <c r="AB899"/>
    </row>
    <row r="900" spans="1:28" s="49" customFormat="1" x14ac:dyDescent="0.15">
      <c r="A900" s="165"/>
      <c r="B900" s="93"/>
      <c r="C900" s="102"/>
      <c r="D900" s="62"/>
      <c r="E900" s="102"/>
      <c r="F900" s="102"/>
      <c r="G900" s="102"/>
      <c r="H900" s="175"/>
      <c r="I900" s="98"/>
      <c r="J900" s="98"/>
      <c r="K900" s="135"/>
      <c r="L900" s="61"/>
      <c r="N900" s="37"/>
      <c r="O900" s="37"/>
      <c r="P900" s="37"/>
      <c r="Q900" s="3"/>
      <c r="R900" s="3"/>
      <c r="S900" s="3"/>
      <c r="T900" s="3"/>
      <c r="U900" s="3"/>
      <c r="V900" s="3"/>
      <c r="W900" s="3"/>
      <c r="X900" s="3"/>
      <c r="Y900" s="3"/>
      <c r="Z900" s="4"/>
      <c r="AA900"/>
      <c r="AB900"/>
    </row>
    <row r="901" spans="1:28" s="49" customFormat="1" x14ac:dyDescent="0.15">
      <c r="A901" s="165"/>
      <c r="B901" s="93"/>
      <c r="C901" s="102"/>
      <c r="D901" s="62"/>
      <c r="E901" s="102"/>
      <c r="F901" s="102"/>
      <c r="G901" s="102"/>
      <c r="H901" s="175"/>
      <c r="I901" s="98"/>
      <c r="J901" s="98"/>
      <c r="K901" s="135"/>
      <c r="L901" s="61"/>
      <c r="N901" s="37"/>
      <c r="O901" s="37"/>
      <c r="P901" s="37"/>
      <c r="Q901" s="3"/>
      <c r="R901" s="3"/>
      <c r="S901" s="3"/>
      <c r="T901" s="3"/>
      <c r="U901" s="3"/>
      <c r="V901" s="3"/>
      <c r="W901" s="3"/>
      <c r="X901" s="3"/>
      <c r="Y901" s="3"/>
      <c r="Z901" s="4"/>
      <c r="AA901"/>
      <c r="AB901"/>
    </row>
    <row r="902" spans="1:28" s="49" customFormat="1" x14ac:dyDescent="0.15">
      <c r="A902" s="165"/>
      <c r="B902" s="93"/>
      <c r="C902" s="102"/>
      <c r="D902" s="62"/>
      <c r="E902" s="102"/>
      <c r="F902" s="102"/>
      <c r="G902" s="102"/>
      <c r="H902" s="175"/>
      <c r="I902" s="98"/>
      <c r="J902" s="98"/>
      <c r="K902" s="135"/>
      <c r="L902" s="61"/>
      <c r="N902" s="37"/>
      <c r="O902" s="37"/>
      <c r="P902" s="37"/>
      <c r="Q902" s="3"/>
      <c r="R902" s="3"/>
      <c r="S902" s="3"/>
      <c r="T902" s="3"/>
      <c r="U902" s="3"/>
      <c r="V902" s="3"/>
      <c r="W902" s="3"/>
      <c r="X902" s="3"/>
      <c r="Y902" s="3"/>
      <c r="Z902" s="4"/>
      <c r="AA902"/>
      <c r="AB902"/>
    </row>
    <row r="903" spans="1:28" s="49" customFormat="1" x14ac:dyDescent="0.15">
      <c r="A903" s="165"/>
      <c r="B903" s="93"/>
      <c r="C903" s="102"/>
      <c r="D903" s="62"/>
      <c r="E903" s="102"/>
      <c r="F903" s="102"/>
      <c r="G903" s="102"/>
      <c r="H903" s="175"/>
      <c r="I903" s="85"/>
      <c r="J903" s="104"/>
      <c r="K903" s="144"/>
      <c r="L903" s="61"/>
      <c r="N903" s="37"/>
      <c r="O903" s="37"/>
      <c r="P903" s="37"/>
      <c r="Q903" s="3"/>
      <c r="R903" s="3"/>
      <c r="S903" s="3"/>
      <c r="T903" s="3"/>
      <c r="U903" s="3"/>
      <c r="V903" s="3"/>
      <c r="W903" s="3"/>
      <c r="X903" s="3"/>
      <c r="Y903" s="3"/>
      <c r="Z903" s="4"/>
      <c r="AA903"/>
      <c r="AB903"/>
    </row>
    <row r="904" spans="1:28" s="49" customFormat="1" x14ac:dyDescent="0.15">
      <c r="A904" s="165"/>
      <c r="B904" s="93"/>
      <c r="C904" s="102"/>
      <c r="D904" s="62"/>
      <c r="E904" s="102"/>
      <c r="F904" s="102"/>
      <c r="G904" s="102"/>
      <c r="H904" s="175"/>
      <c r="I904" s="85"/>
      <c r="J904" s="104"/>
      <c r="K904" s="144"/>
      <c r="L904" s="61"/>
      <c r="N904" s="37"/>
      <c r="O904" s="37"/>
      <c r="P904" s="37"/>
      <c r="Q904" s="3"/>
      <c r="R904" s="3"/>
      <c r="S904" s="3"/>
      <c r="T904" s="3"/>
      <c r="U904" s="3"/>
      <c r="V904" s="3"/>
      <c r="W904" s="3"/>
      <c r="X904" s="3"/>
      <c r="Y904" s="3"/>
      <c r="Z904" s="4"/>
      <c r="AA904"/>
      <c r="AB904"/>
    </row>
    <row r="905" spans="1:28" s="49" customFormat="1" x14ac:dyDescent="0.15">
      <c r="A905" s="165"/>
      <c r="B905" s="93"/>
      <c r="C905" s="102"/>
      <c r="D905" s="62"/>
      <c r="E905" s="102"/>
      <c r="F905" s="102"/>
      <c r="G905" s="102"/>
      <c r="H905" s="175"/>
      <c r="I905" s="85"/>
      <c r="J905" s="104"/>
      <c r="K905" s="144"/>
      <c r="L905" s="61"/>
      <c r="N905" s="37"/>
      <c r="O905" s="37"/>
      <c r="P905" s="37"/>
      <c r="Q905" s="3"/>
      <c r="R905" s="3"/>
      <c r="S905" s="3"/>
      <c r="T905" s="3"/>
      <c r="U905" s="3"/>
      <c r="V905" s="3"/>
      <c r="W905" s="3"/>
      <c r="X905" s="3"/>
      <c r="Y905" s="3"/>
      <c r="Z905" s="4"/>
      <c r="AA905"/>
      <c r="AB905"/>
    </row>
    <row r="906" spans="1:28" s="49" customFormat="1" x14ac:dyDescent="0.15">
      <c r="A906" s="165"/>
      <c r="B906" s="93"/>
      <c r="C906" s="102"/>
      <c r="D906" s="62"/>
      <c r="E906" s="102"/>
      <c r="F906" s="102"/>
      <c r="G906" s="102"/>
      <c r="H906" s="175"/>
      <c r="I906" s="85"/>
      <c r="J906" s="104"/>
      <c r="K906" s="144"/>
      <c r="L906" s="61"/>
      <c r="N906" s="37"/>
      <c r="O906" s="37"/>
      <c r="P906" s="37"/>
      <c r="Q906" s="3"/>
      <c r="R906" s="3"/>
      <c r="S906" s="3"/>
      <c r="T906" s="3"/>
      <c r="U906" s="3"/>
      <c r="V906" s="3"/>
      <c r="W906" s="3"/>
      <c r="X906" s="3"/>
      <c r="Y906" s="3"/>
      <c r="Z906" s="4"/>
      <c r="AA906"/>
      <c r="AB906"/>
    </row>
    <row r="907" spans="1:28" s="49" customFormat="1" x14ac:dyDescent="0.15">
      <c r="A907" s="165"/>
      <c r="B907" s="93"/>
      <c r="C907" s="102"/>
      <c r="D907" s="62"/>
      <c r="E907" s="102"/>
      <c r="F907" s="102"/>
      <c r="G907" s="102"/>
      <c r="H907" s="175"/>
      <c r="I907" s="85"/>
      <c r="J907" s="104"/>
      <c r="K907" s="144"/>
      <c r="L907" s="61"/>
      <c r="N907" s="37"/>
      <c r="O907" s="37"/>
      <c r="P907" s="37"/>
      <c r="Q907" s="3"/>
      <c r="R907" s="3"/>
      <c r="S907" s="3"/>
      <c r="T907" s="3"/>
      <c r="U907" s="3"/>
      <c r="V907" s="3"/>
      <c r="W907" s="3"/>
      <c r="X907" s="3"/>
      <c r="Y907" s="3"/>
      <c r="Z907" s="4"/>
      <c r="AA907"/>
      <c r="AB907"/>
    </row>
    <row r="908" spans="1:28" s="49" customFormat="1" x14ac:dyDescent="0.15">
      <c r="A908" s="165"/>
      <c r="B908" s="93"/>
      <c r="C908" s="102"/>
      <c r="D908" s="62"/>
      <c r="E908" s="102"/>
      <c r="F908" s="102"/>
      <c r="G908" s="102"/>
      <c r="H908" s="175"/>
      <c r="I908" s="85"/>
      <c r="J908" s="104"/>
      <c r="K908" s="144"/>
      <c r="L908" s="61"/>
      <c r="N908" s="37"/>
      <c r="O908" s="37"/>
      <c r="P908" s="37"/>
      <c r="Q908" s="3"/>
      <c r="R908" s="3"/>
      <c r="S908" s="3"/>
      <c r="T908" s="3"/>
      <c r="U908" s="3"/>
      <c r="V908" s="3"/>
      <c r="W908" s="3"/>
      <c r="X908" s="3"/>
      <c r="Y908" s="3"/>
      <c r="Z908" s="4"/>
      <c r="AA908"/>
      <c r="AB908"/>
    </row>
    <row r="909" spans="1:28" s="49" customFormat="1" x14ac:dyDescent="0.15">
      <c r="A909" s="165"/>
      <c r="B909" s="93"/>
      <c r="C909" s="102"/>
      <c r="D909" s="62"/>
      <c r="E909" s="102"/>
      <c r="F909" s="102"/>
      <c r="G909" s="102"/>
      <c r="H909" s="175"/>
      <c r="I909" s="85"/>
      <c r="J909" s="104"/>
      <c r="K909" s="144"/>
      <c r="L909" s="61"/>
      <c r="N909" s="37"/>
      <c r="O909" s="37"/>
      <c r="P909" s="37"/>
      <c r="Q909" s="3"/>
      <c r="R909" s="3"/>
      <c r="S909" s="3"/>
      <c r="T909" s="3"/>
      <c r="U909" s="3"/>
      <c r="V909" s="3"/>
      <c r="W909" s="3"/>
      <c r="X909" s="3"/>
      <c r="Y909" s="3"/>
      <c r="Z909" s="4"/>
      <c r="AA909"/>
      <c r="AB909"/>
    </row>
    <row r="910" spans="1:28" s="49" customFormat="1" x14ac:dyDescent="0.15">
      <c r="A910" s="165"/>
      <c r="B910" s="93"/>
      <c r="C910" s="102"/>
      <c r="D910" s="62"/>
      <c r="E910" s="102"/>
      <c r="F910" s="102"/>
      <c r="G910" s="102"/>
      <c r="H910" s="175"/>
      <c r="I910" s="98"/>
      <c r="J910" s="98"/>
      <c r="K910" s="135"/>
      <c r="L910" s="61"/>
      <c r="N910" s="37"/>
      <c r="O910" s="37"/>
      <c r="P910" s="37"/>
      <c r="Q910" s="3"/>
      <c r="R910" s="3"/>
      <c r="S910" s="3"/>
      <c r="T910" s="3"/>
      <c r="U910" s="3"/>
      <c r="V910" s="3"/>
      <c r="W910" s="3"/>
      <c r="X910" s="3"/>
      <c r="Y910" s="3"/>
      <c r="Z910" s="4"/>
      <c r="AA910"/>
      <c r="AB910"/>
    </row>
    <row r="911" spans="1:28" s="49" customFormat="1" x14ac:dyDescent="0.15">
      <c r="A911" s="165"/>
      <c r="B911" s="93"/>
      <c r="C911" s="102"/>
      <c r="D911" s="62"/>
      <c r="E911" s="100"/>
      <c r="F911" s="102"/>
      <c r="G911" s="102"/>
      <c r="H911" s="175"/>
      <c r="I911" s="98"/>
      <c r="J911" s="98"/>
      <c r="K911" s="135"/>
      <c r="L911" s="61"/>
      <c r="N911" s="37"/>
      <c r="O911" s="37"/>
      <c r="P911" s="37"/>
      <c r="Q911" s="3"/>
      <c r="R911" s="3"/>
      <c r="S911" s="3"/>
      <c r="T911" s="3"/>
      <c r="U911" s="3"/>
      <c r="V911" s="3"/>
      <c r="W911" s="3"/>
      <c r="X911" s="3"/>
      <c r="Y911" s="3"/>
      <c r="Z911" s="4"/>
      <c r="AA911"/>
      <c r="AB911"/>
    </row>
    <row r="912" spans="1:28" s="49" customFormat="1" x14ac:dyDescent="0.15">
      <c r="A912" s="165"/>
      <c r="B912" s="93"/>
      <c r="C912" s="102"/>
      <c r="D912" s="62"/>
      <c r="E912" s="102"/>
      <c r="F912" s="102"/>
      <c r="G912" s="102"/>
      <c r="H912" s="175"/>
      <c r="I912" s="98"/>
      <c r="J912" s="98"/>
      <c r="K912" s="135"/>
      <c r="L912" s="61"/>
      <c r="N912" s="37"/>
      <c r="O912" s="37"/>
      <c r="P912" s="37"/>
      <c r="Q912" s="3"/>
      <c r="R912" s="3"/>
      <c r="S912" s="3"/>
      <c r="T912" s="3"/>
      <c r="U912" s="3"/>
      <c r="V912" s="3"/>
      <c r="W912" s="3"/>
      <c r="X912" s="3"/>
      <c r="Y912" s="3"/>
      <c r="Z912" s="4"/>
      <c r="AA912"/>
      <c r="AB912"/>
    </row>
    <row r="913" spans="1:28" s="49" customFormat="1" x14ac:dyDescent="0.15">
      <c r="A913" s="165"/>
      <c r="B913" s="93"/>
      <c r="C913" s="102"/>
      <c r="D913" s="62"/>
      <c r="E913" s="102"/>
      <c r="F913" s="102"/>
      <c r="G913" s="102"/>
      <c r="H913" s="175"/>
      <c r="I913" s="98"/>
      <c r="J913" s="98"/>
      <c r="K913" s="135"/>
      <c r="L913" s="61"/>
      <c r="N913" s="37"/>
      <c r="O913" s="37"/>
      <c r="P913" s="37"/>
      <c r="Q913" s="3"/>
      <c r="R913" s="3"/>
      <c r="S913" s="3"/>
      <c r="T913" s="3"/>
      <c r="U913" s="3"/>
      <c r="V913" s="3"/>
      <c r="W913" s="3"/>
      <c r="X913" s="3"/>
      <c r="Y913" s="3"/>
      <c r="Z913" s="4"/>
      <c r="AA913"/>
      <c r="AB913"/>
    </row>
    <row r="914" spans="1:28" s="49" customFormat="1" x14ac:dyDescent="0.15">
      <c r="A914" s="165"/>
      <c r="B914" s="93"/>
      <c r="C914" s="102"/>
      <c r="D914" s="62"/>
      <c r="E914" s="100"/>
      <c r="F914" s="102"/>
      <c r="G914" s="102"/>
      <c r="H914" s="175"/>
      <c r="I914" s="85"/>
      <c r="J914" s="104"/>
      <c r="K914" s="144"/>
      <c r="L914" s="61"/>
      <c r="N914" s="37"/>
      <c r="O914" s="37"/>
      <c r="P914" s="37"/>
      <c r="Q914" s="3"/>
      <c r="R914" s="3"/>
      <c r="S914" s="3"/>
      <c r="T914" s="3"/>
      <c r="U914" s="3"/>
      <c r="V914" s="3"/>
      <c r="W914" s="3"/>
      <c r="X914" s="3"/>
      <c r="Y914" s="3"/>
      <c r="Z914" s="4"/>
      <c r="AA914"/>
      <c r="AB914"/>
    </row>
    <row r="915" spans="1:28" s="49" customFormat="1" x14ac:dyDescent="0.15">
      <c r="A915" s="165"/>
      <c r="B915" s="93"/>
      <c r="C915" s="102"/>
      <c r="D915" s="62"/>
      <c r="E915" s="102"/>
      <c r="F915" s="102"/>
      <c r="G915" s="102"/>
      <c r="H915" s="175"/>
      <c r="I915" s="85"/>
      <c r="J915" s="104"/>
      <c r="K915" s="144"/>
      <c r="L915" s="61"/>
      <c r="N915" s="37"/>
      <c r="O915" s="37"/>
      <c r="P915" s="37"/>
      <c r="Q915" s="3"/>
      <c r="R915" s="3"/>
      <c r="S915" s="3"/>
      <c r="T915" s="3"/>
      <c r="U915" s="3"/>
      <c r="V915" s="3"/>
      <c r="W915" s="3"/>
      <c r="X915" s="3"/>
      <c r="Y915" s="3"/>
      <c r="Z915" s="4"/>
      <c r="AA915"/>
      <c r="AB915"/>
    </row>
    <row r="916" spans="1:28" s="49" customFormat="1" x14ac:dyDescent="0.15">
      <c r="A916" s="165"/>
      <c r="B916" s="93"/>
      <c r="C916" s="102"/>
      <c r="D916" s="62"/>
      <c r="E916" s="102"/>
      <c r="F916" s="102"/>
      <c r="G916" s="102"/>
      <c r="H916" s="175"/>
      <c r="I916" s="85"/>
      <c r="J916" s="104"/>
      <c r="K916" s="144"/>
      <c r="L916" s="61"/>
      <c r="N916" s="37"/>
      <c r="O916" s="37"/>
      <c r="P916" s="37"/>
      <c r="Q916" s="3"/>
      <c r="R916" s="3"/>
      <c r="S916" s="3"/>
      <c r="T916" s="3"/>
      <c r="U916" s="3"/>
      <c r="V916" s="3"/>
      <c r="W916" s="3"/>
      <c r="X916" s="3"/>
      <c r="Y916" s="3"/>
      <c r="Z916" s="4"/>
      <c r="AA916"/>
      <c r="AB916"/>
    </row>
    <row r="917" spans="1:28" s="49" customFormat="1" x14ac:dyDescent="0.15">
      <c r="A917" s="165"/>
      <c r="B917" s="93"/>
      <c r="C917" s="102"/>
      <c r="D917" s="62"/>
      <c r="E917" s="102"/>
      <c r="F917" s="102"/>
      <c r="G917" s="102"/>
      <c r="H917" s="175"/>
      <c r="I917" s="98"/>
      <c r="J917" s="98"/>
      <c r="K917" s="135"/>
      <c r="L917" s="61"/>
      <c r="N917" s="37"/>
      <c r="O917" s="37"/>
      <c r="P917" s="37"/>
      <c r="Q917" s="3"/>
      <c r="R917" s="3"/>
      <c r="S917" s="3"/>
      <c r="T917" s="3"/>
      <c r="U917" s="3"/>
      <c r="V917" s="3"/>
      <c r="W917" s="3"/>
      <c r="X917" s="3"/>
      <c r="Y917" s="3"/>
      <c r="Z917" s="4"/>
      <c r="AA917"/>
      <c r="AB917"/>
    </row>
    <row r="918" spans="1:28" s="49" customFormat="1" x14ac:dyDescent="0.15">
      <c r="A918" s="165"/>
      <c r="B918" s="93"/>
      <c r="C918" s="102"/>
      <c r="D918" s="62"/>
      <c r="E918" s="102"/>
      <c r="F918" s="102"/>
      <c r="G918" s="102"/>
      <c r="H918" s="175"/>
      <c r="I918" s="98"/>
      <c r="J918" s="98"/>
      <c r="K918" s="135"/>
      <c r="L918" s="61"/>
      <c r="N918" s="37"/>
      <c r="O918" s="37"/>
      <c r="P918" s="37"/>
      <c r="Q918" s="3"/>
      <c r="R918" s="3"/>
      <c r="S918" s="3"/>
      <c r="T918" s="3"/>
      <c r="U918" s="3"/>
      <c r="V918" s="3"/>
      <c r="W918" s="3"/>
      <c r="X918" s="3"/>
      <c r="Y918" s="3"/>
      <c r="Z918" s="4"/>
      <c r="AA918"/>
      <c r="AB918"/>
    </row>
    <row r="919" spans="1:28" s="49" customFormat="1" x14ac:dyDescent="0.15">
      <c r="A919" s="165"/>
      <c r="B919" s="93"/>
      <c r="C919" s="102"/>
      <c r="D919" s="62"/>
      <c r="E919" s="100"/>
      <c r="F919" s="102"/>
      <c r="G919" s="102"/>
      <c r="H919" s="175"/>
      <c r="I919" s="85"/>
      <c r="J919" s="104"/>
      <c r="K919" s="144"/>
      <c r="L919" s="61"/>
      <c r="N919" s="37"/>
      <c r="O919" s="37"/>
      <c r="P919" s="37"/>
      <c r="Q919" s="3"/>
      <c r="R919" s="3"/>
      <c r="S919" s="3"/>
      <c r="T919" s="3"/>
      <c r="U919" s="3"/>
      <c r="V919" s="3"/>
      <c r="W919" s="3"/>
      <c r="X919" s="3"/>
      <c r="Y919" s="3"/>
      <c r="Z919" s="4"/>
      <c r="AA919"/>
      <c r="AB919"/>
    </row>
    <row r="920" spans="1:28" s="49" customFormat="1" x14ac:dyDescent="0.15">
      <c r="A920" s="165"/>
      <c r="B920" s="93"/>
      <c r="C920" s="102"/>
      <c r="D920" s="62"/>
      <c r="E920" s="102"/>
      <c r="F920" s="102"/>
      <c r="G920" s="102"/>
      <c r="H920" s="175"/>
      <c r="I920" s="85"/>
      <c r="J920" s="104"/>
      <c r="K920" s="144"/>
      <c r="L920" s="61"/>
      <c r="N920" s="37"/>
      <c r="O920" s="37"/>
      <c r="P920" s="37"/>
      <c r="Q920" s="3"/>
      <c r="R920" s="3"/>
      <c r="S920" s="3"/>
      <c r="T920" s="3"/>
      <c r="U920" s="3"/>
      <c r="V920" s="3"/>
      <c r="W920" s="3"/>
      <c r="X920" s="3"/>
      <c r="Y920" s="3"/>
      <c r="Z920" s="4"/>
      <c r="AA920"/>
      <c r="AB920"/>
    </row>
    <row r="921" spans="1:28" s="49" customFormat="1" x14ac:dyDescent="0.15">
      <c r="A921" s="165"/>
      <c r="B921" s="93"/>
      <c r="C921" s="102"/>
      <c r="D921" s="62"/>
      <c r="E921" s="102"/>
      <c r="F921" s="102"/>
      <c r="G921" s="102"/>
      <c r="H921" s="175"/>
      <c r="I921" s="85"/>
      <c r="J921" s="104"/>
      <c r="K921" s="144"/>
      <c r="L921" s="61"/>
      <c r="N921" s="37"/>
      <c r="O921" s="37"/>
      <c r="P921" s="37"/>
      <c r="Q921" s="3"/>
      <c r="R921" s="3"/>
      <c r="S921" s="3"/>
      <c r="T921" s="3"/>
      <c r="U921" s="3"/>
      <c r="V921" s="3"/>
      <c r="W921" s="3"/>
      <c r="X921" s="3"/>
      <c r="Y921" s="3"/>
      <c r="Z921" s="4"/>
      <c r="AA921"/>
      <c r="AB921"/>
    </row>
    <row r="922" spans="1:28" s="49" customFormat="1" x14ac:dyDescent="0.15">
      <c r="A922" s="165"/>
      <c r="B922" s="93"/>
      <c r="C922" s="100"/>
      <c r="D922" s="61"/>
      <c r="E922" s="102"/>
      <c r="F922" s="100"/>
      <c r="G922" s="100"/>
      <c r="H922" s="177"/>
      <c r="I922" s="85"/>
      <c r="J922" s="101"/>
      <c r="K922" s="144"/>
      <c r="L922" s="61"/>
      <c r="N922" s="37"/>
      <c r="O922" s="37"/>
      <c r="P922" s="37"/>
      <c r="Q922" s="3"/>
      <c r="R922" s="3"/>
      <c r="S922" s="3"/>
      <c r="T922" s="3"/>
      <c r="U922" s="3"/>
      <c r="V922" s="3"/>
      <c r="W922" s="3"/>
      <c r="X922" s="3"/>
      <c r="Y922" s="3"/>
      <c r="Z922" s="4"/>
      <c r="AA922"/>
      <c r="AB922"/>
    </row>
    <row r="923" spans="1:28" s="49" customFormat="1" x14ac:dyDescent="0.15">
      <c r="A923" s="165"/>
      <c r="B923" s="93"/>
      <c r="C923" s="102"/>
      <c r="D923" s="62"/>
      <c r="E923" s="102"/>
      <c r="F923" s="102"/>
      <c r="G923" s="102"/>
      <c r="H923" s="175"/>
      <c r="I923" s="85"/>
      <c r="J923" s="104"/>
      <c r="K923" s="144"/>
      <c r="L923" s="61"/>
      <c r="N923" s="37"/>
      <c r="O923" s="37"/>
      <c r="P923" s="37"/>
      <c r="Q923" s="3"/>
      <c r="R923" s="3"/>
      <c r="S923" s="3"/>
      <c r="T923" s="3"/>
      <c r="U923" s="3"/>
      <c r="V923" s="3"/>
      <c r="W923" s="3"/>
      <c r="X923" s="3"/>
      <c r="Y923" s="3"/>
      <c r="Z923" s="4"/>
      <c r="AA923"/>
      <c r="AB923"/>
    </row>
    <row r="924" spans="1:28" s="49" customFormat="1" x14ac:dyDescent="0.15">
      <c r="A924" s="165"/>
      <c r="B924" s="93"/>
      <c r="C924" s="102"/>
      <c r="D924" s="62"/>
      <c r="E924" s="102"/>
      <c r="F924" s="102"/>
      <c r="G924" s="102"/>
      <c r="H924" s="175"/>
      <c r="I924" s="85"/>
      <c r="J924" s="104"/>
      <c r="K924" s="144"/>
      <c r="L924" s="61"/>
      <c r="N924" s="37"/>
      <c r="O924" s="37"/>
      <c r="P924" s="37"/>
      <c r="Q924" s="3"/>
      <c r="R924" s="3"/>
      <c r="S924" s="3"/>
      <c r="T924" s="3"/>
      <c r="U924" s="3"/>
      <c r="V924" s="3"/>
      <c r="W924" s="3"/>
      <c r="X924" s="3"/>
      <c r="Y924" s="3"/>
      <c r="Z924" s="4"/>
      <c r="AA924"/>
      <c r="AB924"/>
    </row>
    <row r="925" spans="1:28" s="49" customFormat="1" x14ac:dyDescent="0.15">
      <c r="A925" s="165"/>
      <c r="B925" s="93"/>
      <c r="C925" s="102"/>
      <c r="D925" s="62"/>
      <c r="E925" s="102"/>
      <c r="F925" s="102"/>
      <c r="G925" s="102"/>
      <c r="H925" s="175"/>
      <c r="I925" s="85"/>
      <c r="J925" s="104"/>
      <c r="K925" s="144"/>
      <c r="L925" s="62"/>
      <c r="N925" s="37"/>
      <c r="O925" s="37"/>
      <c r="P925" s="37"/>
      <c r="Q925" s="3"/>
      <c r="R925" s="3"/>
      <c r="S925" s="3"/>
      <c r="T925" s="3"/>
      <c r="U925" s="3"/>
      <c r="V925" s="3"/>
      <c r="W925" s="3"/>
      <c r="X925" s="3"/>
      <c r="Y925" s="3"/>
      <c r="Z925" s="4"/>
      <c r="AA925"/>
      <c r="AB925"/>
    </row>
    <row r="926" spans="1:28" s="3" customFormat="1" x14ac:dyDescent="0.15">
      <c r="A926" s="165"/>
      <c r="B926" s="93"/>
      <c r="C926" s="102"/>
      <c r="D926" s="62"/>
      <c r="E926" s="102"/>
      <c r="F926" s="102"/>
      <c r="G926" s="102"/>
      <c r="H926" s="175"/>
      <c r="I926" s="98"/>
      <c r="J926" s="98"/>
      <c r="K926" s="135"/>
      <c r="L926" s="62"/>
      <c r="M926" s="49"/>
      <c r="N926" s="37"/>
      <c r="O926" s="37"/>
      <c r="P926" s="37"/>
      <c r="Z926" s="4"/>
      <c r="AA926"/>
      <c r="AB926"/>
    </row>
    <row r="927" spans="1:28" s="3" customFormat="1" x14ac:dyDescent="0.15">
      <c r="A927" s="165"/>
      <c r="B927" s="93"/>
      <c r="C927" s="102"/>
      <c r="D927" s="62"/>
      <c r="E927" s="102"/>
      <c r="F927" s="102"/>
      <c r="G927" s="102"/>
      <c r="H927" s="175"/>
      <c r="I927" s="98"/>
      <c r="J927" s="98"/>
      <c r="K927" s="135"/>
      <c r="L927" s="62"/>
      <c r="M927" s="49"/>
      <c r="N927" s="37"/>
      <c r="O927" s="37"/>
      <c r="P927" s="37"/>
      <c r="Z927" s="4"/>
      <c r="AA927"/>
      <c r="AB927"/>
    </row>
    <row r="928" spans="1:28" s="3" customFormat="1" x14ac:dyDescent="0.15">
      <c r="A928" s="165"/>
      <c r="B928" s="93"/>
      <c r="C928" s="102"/>
      <c r="D928" s="62"/>
      <c r="E928" s="102"/>
      <c r="F928" s="102"/>
      <c r="G928" s="102"/>
      <c r="H928" s="175"/>
      <c r="I928" s="98"/>
      <c r="J928" s="98"/>
      <c r="K928" s="135"/>
      <c r="L928" s="62"/>
      <c r="M928" s="49"/>
      <c r="N928" s="37"/>
      <c r="O928" s="37"/>
      <c r="P928" s="37"/>
      <c r="Z928" s="4"/>
      <c r="AA928"/>
      <c r="AB928"/>
    </row>
    <row r="929" spans="1:28" s="3" customFormat="1" x14ac:dyDescent="0.15">
      <c r="A929" s="165"/>
      <c r="B929" s="93"/>
      <c r="C929" s="102"/>
      <c r="D929" s="62"/>
      <c r="E929" s="102"/>
      <c r="F929" s="102"/>
      <c r="G929" s="102"/>
      <c r="H929" s="175"/>
      <c r="I929" s="98"/>
      <c r="J929" s="98"/>
      <c r="K929" s="135"/>
      <c r="L929" s="62"/>
      <c r="M929" s="49"/>
      <c r="N929" s="37"/>
      <c r="O929" s="37"/>
      <c r="P929" s="37"/>
      <c r="Z929" s="4"/>
      <c r="AA929"/>
      <c r="AB929"/>
    </row>
    <row r="930" spans="1:28" s="3" customFormat="1" x14ac:dyDescent="0.15">
      <c r="A930" s="165"/>
      <c r="B930" s="93"/>
      <c r="C930" s="102"/>
      <c r="D930" s="62"/>
      <c r="E930" s="102"/>
      <c r="F930" s="102"/>
      <c r="G930" s="102"/>
      <c r="H930" s="175"/>
      <c r="I930" s="85"/>
      <c r="J930" s="104"/>
      <c r="K930" s="144"/>
      <c r="L930" s="62"/>
      <c r="M930" s="49"/>
      <c r="N930" s="37"/>
      <c r="O930" s="37"/>
      <c r="P930" s="37"/>
      <c r="Z930" s="4"/>
      <c r="AA930"/>
      <c r="AB930"/>
    </row>
    <row r="931" spans="1:28" s="3" customFormat="1" x14ac:dyDescent="0.15">
      <c r="A931" s="165"/>
      <c r="B931" s="93"/>
      <c r="C931" s="102"/>
      <c r="D931" s="62"/>
      <c r="E931" s="102"/>
      <c r="F931" s="102"/>
      <c r="G931" s="102"/>
      <c r="H931" s="175"/>
      <c r="I931" s="85"/>
      <c r="J931" s="104"/>
      <c r="K931" s="144"/>
      <c r="L931" s="62"/>
      <c r="M931" s="49"/>
      <c r="N931" s="37"/>
      <c r="O931" s="37"/>
      <c r="P931" s="37"/>
      <c r="Z931" s="4"/>
      <c r="AA931"/>
      <c r="AB931"/>
    </row>
    <row r="932" spans="1:28" s="3" customFormat="1" x14ac:dyDescent="0.15">
      <c r="A932" s="165"/>
      <c r="B932" s="93"/>
      <c r="C932" s="102"/>
      <c r="D932" s="62"/>
      <c r="E932" s="102"/>
      <c r="F932" s="102"/>
      <c r="G932" s="102"/>
      <c r="H932" s="175"/>
      <c r="I932" s="85"/>
      <c r="J932" s="104"/>
      <c r="K932" s="144"/>
      <c r="L932" s="62"/>
      <c r="M932" s="49"/>
      <c r="N932" s="37"/>
      <c r="O932" s="37"/>
      <c r="P932" s="37"/>
      <c r="Z932" s="4"/>
      <c r="AA932"/>
      <c r="AB932"/>
    </row>
    <row r="933" spans="1:28" s="3" customFormat="1" x14ac:dyDescent="0.15">
      <c r="A933" s="165"/>
      <c r="B933" s="93"/>
      <c r="C933" s="102"/>
      <c r="D933" s="62"/>
      <c r="E933" s="102"/>
      <c r="F933" s="102"/>
      <c r="G933" s="102"/>
      <c r="H933" s="175"/>
      <c r="I933" s="85"/>
      <c r="J933" s="104"/>
      <c r="K933" s="144"/>
      <c r="L933" s="62"/>
      <c r="M933" s="49"/>
      <c r="N933" s="37"/>
      <c r="O933" s="37"/>
      <c r="P933" s="37"/>
      <c r="Z933" s="4"/>
      <c r="AA933"/>
      <c r="AB933"/>
    </row>
    <row r="934" spans="1:28" s="3" customFormat="1" x14ac:dyDescent="0.15">
      <c r="A934" s="165"/>
      <c r="B934" s="93"/>
      <c r="C934" s="102"/>
      <c r="D934" s="62"/>
      <c r="E934" s="102"/>
      <c r="F934" s="102"/>
      <c r="G934" s="102"/>
      <c r="H934" s="175"/>
      <c r="I934" s="85"/>
      <c r="J934" s="104"/>
      <c r="K934" s="144"/>
      <c r="L934" s="62"/>
      <c r="M934" s="49"/>
      <c r="N934" s="37"/>
      <c r="O934" s="37"/>
      <c r="P934" s="37"/>
      <c r="Q934" s="14"/>
      <c r="R934" s="14"/>
      <c r="Z934" s="4"/>
      <c r="AA934"/>
      <c r="AB934"/>
    </row>
    <row r="935" spans="1:28" s="3" customFormat="1" x14ac:dyDescent="0.15">
      <c r="A935" s="165"/>
      <c r="B935" s="93"/>
      <c r="C935" s="102"/>
      <c r="D935" s="62"/>
      <c r="E935" s="102"/>
      <c r="F935" s="102"/>
      <c r="G935" s="102"/>
      <c r="H935" s="175"/>
      <c r="I935" s="85"/>
      <c r="J935" s="104"/>
      <c r="K935" s="144"/>
      <c r="L935" s="62"/>
      <c r="M935" s="49"/>
      <c r="N935" s="37"/>
      <c r="O935" s="37"/>
      <c r="P935" s="37"/>
      <c r="Z935" s="4"/>
      <c r="AA935"/>
      <c r="AB935"/>
    </row>
    <row r="936" spans="1:28" s="3" customFormat="1" x14ac:dyDescent="0.15">
      <c r="A936" s="165"/>
      <c r="B936" s="93"/>
      <c r="C936" s="102"/>
      <c r="D936" s="62"/>
      <c r="E936" s="102"/>
      <c r="F936" s="102"/>
      <c r="G936" s="102"/>
      <c r="H936" s="175"/>
      <c r="I936" s="85"/>
      <c r="J936" s="104"/>
      <c r="K936" s="144"/>
      <c r="L936" s="62"/>
      <c r="M936" s="49"/>
      <c r="N936" s="37"/>
      <c r="O936" s="37"/>
      <c r="P936" s="37"/>
      <c r="Z936" s="4"/>
      <c r="AA936"/>
      <c r="AB936"/>
    </row>
    <row r="937" spans="1:28" s="3" customFormat="1" x14ac:dyDescent="0.15">
      <c r="A937" s="165"/>
      <c r="B937" s="93"/>
      <c r="C937" s="102"/>
      <c r="D937" s="62"/>
      <c r="E937" s="102"/>
      <c r="F937" s="102"/>
      <c r="G937" s="102"/>
      <c r="H937" s="175"/>
      <c r="I937" s="85"/>
      <c r="J937" s="104"/>
      <c r="K937" s="144"/>
      <c r="L937" s="62"/>
      <c r="M937" s="49"/>
      <c r="N937" s="37"/>
      <c r="O937" s="37"/>
      <c r="P937" s="37"/>
      <c r="Z937" s="4"/>
      <c r="AA937"/>
      <c r="AB937"/>
    </row>
    <row r="938" spans="1:28" s="3" customFormat="1" x14ac:dyDescent="0.15">
      <c r="A938" s="165"/>
      <c r="B938" s="93"/>
      <c r="C938" s="100"/>
      <c r="D938" s="61"/>
      <c r="E938" s="100"/>
      <c r="F938" s="100"/>
      <c r="G938" s="100"/>
      <c r="H938" s="177"/>
      <c r="I938" s="85"/>
      <c r="J938" s="101"/>
      <c r="K938" s="144"/>
      <c r="L938" s="62"/>
      <c r="M938" s="49"/>
      <c r="N938" s="37"/>
      <c r="O938" s="37"/>
      <c r="P938" s="37"/>
      <c r="Z938" s="4"/>
      <c r="AA938"/>
      <c r="AB938"/>
    </row>
    <row r="939" spans="1:28" s="3" customFormat="1" x14ac:dyDescent="0.15">
      <c r="A939" s="165"/>
      <c r="B939" s="93"/>
      <c r="C939" s="102"/>
      <c r="D939" s="62"/>
      <c r="E939" s="102"/>
      <c r="F939" s="102"/>
      <c r="G939" s="102"/>
      <c r="H939" s="175"/>
      <c r="I939" s="98"/>
      <c r="J939" s="98"/>
      <c r="K939" s="135"/>
      <c r="L939" s="62"/>
      <c r="M939" s="49"/>
      <c r="N939" s="37"/>
      <c r="O939" s="37"/>
      <c r="P939" s="37"/>
      <c r="Z939" s="4"/>
      <c r="AA939"/>
      <c r="AB939"/>
    </row>
    <row r="940" spans="1:28" s="3" customFormat="1" x14ac:dyDescent="0.15">
      <c r="A940" s="165"/>
      <c r="B940" s="93"/>
      <c r="C940" s="102"/>
      <c r="D940" s="62"/>
      <c r="E940" s="102"/>
      <c r="F940" s="102"/>
      <c r="G940" s="102"/>
      <c r="H940" s="175"/>
      <c r="I940" s="98"/>
      <c r="J940" s="98"/>
      <c r="K940" s="135"/>
      <c r="L940" s="62"/>
      <c r="M940" s="49"/>
      <c r="N940" s="37"/>
      <c r="O940" s="37"/>
      <c r="P940" s="37"/>
      <c r="Z940" s="4"/>
      <c r="AA940"/>
      <c r="AB940"/>
    </row>
    <row r="941" spans="1:28" s="3" customFormat="1" x14ac:dyDescent="0.15">
      <c r="A941" s="165"/>
      <c r="B941" s="93"/>
      <c r="C941" s="102"/>
      <c r="D941" s="62"/>
      <c r="E941" s="102"/>
      <c r="F941" s="102"/>
      <c r="G941" s="102"/>
      <c r="H941" s="175"/>
      <c r="I941" s="98"/>
      <c r="J941" s="98"/>
      <c r="K941" s="135"/>
      <c r="L941" s="62"/>
      <c r="M941" s="49"/>
      <c r="N941" s="37"/>
      <c r="O941" s="37"/>
      <c r="P941" s="37"/>
      <c r="Z941" s="4"/>
      <c r="AA941"/>
      <c r="AB941"/>
    </row>
    <row r="942" spans="1:28" s="49" customFormat="1" x14ac:dyDescent="0.15">
      <c r="A942" s="165"/>
      <c r="B942" s="93"/>
      <c r="C942" s="102"/>
      <c r="D942" s="62"/>
      <c r="E942" s="102"/>
      <c r="F942" s="102"/>
      <c r="G942" s="102"/>
      <c r="H942" s="175"/>
      <c r="I942" s="98"/>
      <c r="J942" s="98"/>
      <c r="K942" s="135"/>
      <c r="L942" s="62"/>
      <c r="N942" s="37"/>
      <c r="O942" s="37"/>
      <c r="P942" s="37"/>
      <c r="Q942" s="3"/>
      <c r="R942" s="3"/>
      <c r="S942" s="3"/>
      <c r="T942" s="3"/>
      <c r="U942" s="3"/>
      <c r="V942" s="3"/>
      <c r="W942" s="3"/>
      <c r="X942" s="3"/>
      <c r="Y942" s="3"/>
      <c r="Z942" s="4"/>
      <c r="AA942"/>
      <c r="AB942"/>
    </row>
    <row r="943" spans="1:28" s="49" customFormat="1" x14ac:dyDescent="0.15">
      <c r="A943" s="168"/>
      <c r="B943" s="93"/>
      <c r="C943" s="102"/>
      <c r="D943" s="62"/>
      <c r="E943" s="102"/>
      <c r="F943" s="102"/>
      <c r="G943" s="102"/>
      <c r="H943" s="175"/>
      <c r="I943" s="98"/>
      <c r="J943" s="98"/>
      <c r="K943" s="135"/>
      <c r="L943" s="62"/>
      <c r="N943" s="37"/>
      <c r="O943" s="37"/>
      <c r="P943" s="37"/>
      <c r="Q943" s="3"/>
      <c r="R943" s="3"/>
      <c r="S943" s="3"/>
      <c r="T943" s="3"/>
      <c r="U943" s="3"/>
      <c r="V943" s="3"/>
      <c r="W943" s="3"/>
      <c r="X943" s="3"/>
      <c r="Y943" s="3"/>
      <c r="Z943" s="4"/>
      <c r="AA943"/>
      <c r="AB943"/>
    </row>
    <row r="944" spans="1:28" s="49" customFormat="1" x14ac:dyDescent="0.15">
      <c r="A944" s="165"/>
      <c r="B944" s="93"/>
      <c r="C944" s="102"/>
      <c r="D944" s="62"/>
      <c r="E944" s="102"/>
      <c r="F944" s="102"/>
      <c r="G944" s="102"/>
      <c r="H944" s="175"/>
      <c r="I944" s="98"/>
      <c r="J944" s="98"/>
      <c r="K944" s="135"/>
      <c r="L944" s="62"/>
      <c r="N944" s="37"/>
      <c r="O944" s="37"/>
      <c r="P944" s="37"/>
      <c r="Q944" s="3"/>
      <c r="R944" s="3"/>
      <c r="S944" s="3"/>
      <c r="T944" s="3"/>
      <c r="U944" s="3"/>
      <c r="V944" s="3"/>
      <c r="W944" s="3"/>
      <c r="X944" s="3"/>
      <c r="Y944" s="3"/>
      <c r="Z944" s="4"/>
      <c r="AA944"/>
      <c r="AB944"/>
    </row>
    <row r="945" spans="1:28" s="49" customFormat="1" x14ac:dyDescent="0.15">
      <c r="A945" s="168"/>
      <c r="B945" s="93"/>
      <c r="C945" s="102"/>
      <c r="D945" s="62"/>
      <c r="E945" s="102"/>
      <c r="F945" s="102"/>
      <c r="G945" s="102"/>
      <c r="H945" s="175"/>
      <c r="I945" s="85"/>
      <c r="J945" s="104"/>
      <c r="K945" s="144"/>
      <c r="L945" s="62"/>
      <c r="N945" s="37"/>
      <c r="O945" s="37"/>
      <c r="P945" s="37"/>
      <c r="Q945" s="3"/>
      <c r="R945" s="3"/>
      <c r="S945" s="3"/>
      <c r="T945" s="3"/>
      <c r="U945" s="3"/>
      <c r="V945" s="3"/>
      <c r="W945" s="3"/>
      <c r="X945" s="3"/>
      <c r="Y945" s="3"/>
      <c r="Z945" s="4"/>
      <c r="AA945"/>
      <c r="AB945"/>
    </row>
    <row r="946" spans="1:28" s="49" customFormat="1" x14ac:dyDescent="0.15">
      <c r="A946" s="168"/>
      <c r="B946" s="93"/>
      <c r="C946" s="102"/>
      <c r="D946" s="62"/>
      <c r="E946" s="102"/>
      <c r="F946" s="102"/>
      <c r="G946" s="102"/>
      <c r="H946" s="175"/>
      <c r="I946" s="85"/>
      <c r="J946" s="104"/>
      <c r="K946" s="144"/>
      <c r="L946" s="62"/>
      <c r="N946" s="37"/>
      <c r="O946" s="37"/>
      <c r="P946" s="37"/>
      <c r="Q946" s="3"/>
      <c r="R946" s="3"/>
      <c r="S946" s="3"/>
      <c r="T946" s="3"/>
      <c r="U946" s="3"/>
      <c r="V946" s="3"/>
      <c r="W946" s="3"/>
      <c r="X946" s="3"/>
      <c r="Y946" s="3"/>
      <c r="Z946" s="4"/>
      <c r="AA946"/>
      <c r="AB946"/>
    </row>
    <row r="947" spans="1:28" s="49" customFormat="1" x14ac:dyDescent="0.15">
      <c r="A947" s="165"/>
      <c r="B947" s="93"/>
      <c r="C947" s="102"/>
      <c r="D947" s="62"/>
      <c r="E947" s="102"/>
      <c r="F947" s="102"/>
      <c r="G947" s="102"/>
      <c r="H947" s="175"/>
      <c r="I947" s="85"/>
      <c r="J947" s="104"/>
      <c r="K947" s="144"/>
      <c r="L947" s="62"/>
      <c r="N947" s="37"/>
      <c r="O947" s="37"/>
      <c r="P947" s="37"/>
      <c r="Q947" s="3"/>
      <c r="R947" s="3"/>
      <c r="S947" s="3"/>
      <c r="T947" s="3"/>
      <c r="U947" s="3"/>
      <c r="V947" s="3"/>
      <c r="W947" s="3"/>
      <c r="X947" s="3"/>
      <c r="Y947" s="3"/>
      <c r="Z947" s="4"/>
      <c r="AA947"/>
      <c r="AB947"/>
    </row>
    <row r="948" spans="1:28" s="49" customFormat="1" x14ac:dyDescent="0.15">
      <c r="A948" s="165"/>
      <c r="B948" s="93"/>
      <c r="C948" s="102"/>
      <c r="D948" s="62"/>
      <c r="E948" s="102"/>
      <c r="F948" s="102"/>
      <c r="G948" s="102"/>
      <c r="H948" s="175"/>
      <c r="I948" s="98"/>
      <c r="J948" s="98"/>
      <c r="K948" s="135"/>
      <c r="L948" s="62"/>
      <c r="N948" s="37"/>
      <c r="O948" s="37"/>
      <c r="P948" s="37"/>
      <c r="Q948" s="3"/>
      <c r="R948" s="3"/>
      <c r="S948" s="3"/>
      <c r="T948" s="3"/>
      <c r="U948" s="3"/>
      <c r="V948" s="3"/>
      <c r="W948" s="3"/>
      <c r="X948" s="3"/>
      <c r="Y948" s="3"/>
      <c r="Z948" s="4"/>
      <c r="AA948"/>
      <c r="AB948"/>
    </row>
    <row r="949" spans="1:28" s="49" customFormat="1" x14ac:dyDescent="0.15">
      <c r="A949" s="168"/>
      <c r="B949" s="93"/>
      <c r="C949" s="102"/>
      <c r="D949" s="62"/>
      <c r="E949" s="102"/>
      <c r="F949" s="102"/>
      <c r="G949" s="102"/>
      <c r="H949" s="175"/>
      <c r="I949" s="85"/>
      <c r="J949" s="104"/>
      <c r="K949" s="144"/>
      <c r="L949" s="62"/>
      <c r="N949" s="37"/>
      <c r="O949" s="37"/>
      <c r="P949" s="37"/>
      <c r="Q949" s="3"/>
      <c r="R949" s="3"/>
      <c r="S949" s="3"/>
      <c r="T949" s="3"/>
      <c r="U949" s="3"/>
      <c r="V949" s="3"/>
      <c r="W949" s="3"/>
      <c r="X949" s="3"/>
      <c r="Y949" s="3"/>
      <c r="Z949" s="4"/>
      <c r="AA949"/>
      <c r="AB949"/>
    </row>
    <row r="950" spans="1:28" s="49" customFormat="1" x14ac:dyDescent="0.15">
      <c r="A950" s="165"/>
      <c r="B950" s="93"/>
      <c r="C950" s="102"/>
      <c r="D950" s="62"/>
      <c r="E950" s="102"/>
      <c r="F950" s="102"/>
      <c r="G950" s="102"/>
      <c r="H950" s="175"/>
      <c r="I950" s="85"/>
      <c r="J950" s="104"/>
      <c r="K950" s="144"/>
      <c r="L950" s="62"/>
      <c r="N950" s="37"/>
      <c r="O950" s="37"/>
      <c r="P950" s="37"/>
      <c r="Q950" s="3"/>
      <c r="R950" s="3"/>
      <c r="S950" s="3"/>
      <c r="T950" s="3"/>
      <c r="U950" s="3"/>
      <c r="V950" s="3"/>
      <c r="W950" s="3"/>
      <c r="X950" s="3"/>
      <c r="Y950" s="3"/>
      <c r="Z950" s="4"/>
      <c r="AA950"/>
      <c r="AB950"/>
    </row>
    <row r="951" spans="1:28" s="49" customFormat="1" x14ac:dyDescent="0.15">
      <c r="A951" s="165"/>
      <c r="B951" s="93"/>
      <c r="C951" s="102"/>
      <c r="D951" s="62"/>
      <c r="E951" s="102"/>
      <c r="F951" s="102"/>
      <c r="G951" s="102"/>
      <c r="H951" s="175"/>
      <c r="I951" s="85"/>
      <c r="J951" s="104"/>
      <c r="K951" s="144"/>
      <c r="L951" s="62"/>
      <c r="N951" s="37"/>
      <c r="O951" s="37"/>
      <c r="P951" s="37"/>
      <c r="Q951" s="3"/>
      <c r="R951" s="3"/>
      <c r="S951" s="3"/>
      <c r="T951" s="3"/>
      <c r="U951" s="3"/>
      <c r="V951" s="3"/>
      <c r="W951" s="3"/>
      <c r="X951" s="3"/>
      <c r="Y951" s="3"/>
      <c r="Z951" s="4"/>
      <c r="AA951"/>
      <c r="AB951"/>
    </row>
    <row r="952" spans="1:28" s="49" customFormat="1" x14ac:dyDescent="0.15">
      <c r="A952" s="165"/>
      <c r="B952" s="82"/>
      <c r="C952" s="107"/>
      <c r="D952" s="62"/>
      <c r="E952" s="107"/>
      <c r="F952" s="107"/>
      <c r="G952" s="107"/>
      <c r="H952" s="179"/>
      <c r="I952" s="85"/>
      <c r="J952" s="104"/>
      <c r="K952" s="144"/>
      <c r="L952" s="62"/>
      <c r="N952" s="37"/>
      <c r="O952" s="37"/>
      <c r="P952" s="37"/>
      <c r="Q952" s="3"/>
      <c r="R952" s="3"/>
      <c r="S952" s="3"/>
      <c r="T952" s="3"/>
      <c r="U952" s="3"/>
      <c r="V952" s="3"/>
      <c r="W952" s="3"/>
      <c r="X952" s="3"/>
      <c r="Y952" s="3"/>
      <c r="Z952" s="4"/>
      <c r="AA952"/>
      <c r="AB952"/>
    </row>
    <row r="953" spans="1:28" s="49" customFormat="1" x14ac:dyDescent="0.15">
      <c r="A953" s="165"/>
      <c r="B953" s="82"/>
      <c r="C953" s="107"/>
      <c r="D953" s="62"/>
      <c r="E953" s="107"/>
      <c r="F953" s="107"/>
      <c r="G953" s="107"/>
      <c r="H953" s="179"/>
      <c r="I953" s="85"/>
      <c r="J953" s="104"/>
      <c r="K953" s="144"/>
      <c r="L953" s="62"/>
      <c r="N953" s="37"/>
      <c r="O953" s="37"/>
      <c r="P953" s="37"/>
      <c r="Q953" s="3"/>
      <c r="R953" s="3"/>
      <c r="S953" s="3"/>
      <c r="T953" s="3"/>
      <c r="U953" s="3"/>
      <c r="V953" s="3"/>
      <c r="W953" s="3"/>
      <c r="X953" s="3"/>
      <c r="Y953" s="3"/>
      <c r="Z953" s="4"/>
      <c r="AA953"/>
      <c r="AB953"/>
    </row>
    <row r="954" spans="1:28" s="49" customFormat="1" x14ac:dyDescent="0.15">
      <c r="A954" s="165"/>
      <c r="B954" s="93"/>
      <c r="C954" s="102"/>
      <c r="D954" s="62"/>
      <c r="E954" s="102"/>
      <c r="F954" s="102"/>
      <c r="G954" s="102"/>
      <c r="H954" s="175"/>
      <c r="I954" s="85"/>
      <c r="J954" s="104"/>
      <c r="K954" s="144"/>
      <c r="L954" s="62"/>
      <c r="N954" s="37"/>
      <c r="O954" s="37"/>
      <c r="P954" s="37"/>
      <c r="Q954" s="3"/>
      <c r="R954" s="3"/>
      <c r="S954" s="3"/>
      <c r="T954" s="3"/>
      <c r="U954" s="3"/>
      <c r="V954" s="3"/>
      <c r="W954" s="3"/>
      <c r="X954" s="3"/>
      <c r="Y954" s="3"/>
      <c r="Z954" s="4"/>
      <c r="AA954"/>
      <c r="AB954"/>
    </row>
    <row r="955" spans="1:28" s="49" customFormat="1" x14ac:dyDescent="0.15">
      <c r="A955" s="165"/>
      <c r="B955" s="93"/>
      <c r="C955" s="102"/>
      <c r="D955" s="62"/>
      <c r="E955" s="102"/>
      <c r="F955" s="102"/>
      <c r="G955" s="102"/>
      <c r="H955" s="175"/>
      <c r="I955" s="85"/>
      <c r="J955" s="104"/>
      <c r="K955" s="144"/>
      <c r="L955" s="62"/>
      <c r="N955" s="37"/>
      <c r="O955" s="37"/>
      <c r="P955" s="37"/>
      <c r="Q955" s="3"/>
      <c r="R955" s="3"/>
      <c r="S955" s="3"/>
      <c r="T955" s="3"/>
      <c r="U955" s="3"/>
      <c r="V955" s="3"/>
      <c r="W955" s="3"/>
      <c r="X955" s="3"/>
      <c r="Y955" s="3"/>
      <c r="Z955" s="4"/>
      <c r="AA955"/>
      <c r="AB955"/>
    </row>
    <row r="956" spans="1:28" s="49" customFormat="1" x14ac:dyDescent="0.15">
      <c r="A956" s="165"/>
      <c r="B956" s="93"/>
      <c r="C956" s="102"/>
      <c r="D956" s="62"/>
      <c r="E956" s="102"/>
      <c r="F956" s="102"/>
      <c r="G956" s="102"/>
      <c r="H956" s="175"/>
      <c r="I956" s="85"/>
      <c r="J956" s="104"/>
      <c r="K956" s="144"/>
      <c r="L956" s="62"/>
      <c r="N956" s="37"/>
      <c r="O956" s="37"/>
      <c r="P956" s="37"/>
      <c r="Q956" s="3"/>
      <c r="R956" s="3"/>
      <c r="S956" s="3"/>
      <c r="T956" s="3"/>
      <c r="U956" s="3"/>
      <c r="V956" s="3"/>
      <c r="W956" s="3"/>
      <c r="X956" s="3"/>
      <c r="Y956" s="3"/>
      <c r="Z956" s="4"/>
      <c r="AA956"/>
      <c r="AB956"/>
    </row>
    <row r="957" spans="1:28" s="49" customFormat="1" x14ac:dyDescent="0.15">
      <c r="A957" s="165"/>
      <c r="B957" s="93"/>
      <c r="C957" s="102"/>
      <c r="D957" s="62"/>
      <c r="E957" s="102"/>
      <c r="F957" s="102"/>
      <c r="G957" s="102"/>
      <c r="H957" s="175"/>
      <c r="I957" s="85"/>
      <c r="J957" s="104"/>
      <c r="K957" s="144"/>
      <c r="L957" s="62"/>
      <c r="N957" s="37"/>
      <c r="O957" s="37"/>
      <c r="P957" s="37"/>
      <c r="Q957" s="3"/>
      <c r="R957" s="3"/>
      <c r="S957" s="3"/>
      <c r="T957" s="3"/>
      <c r="U957" s="3"/>
      <c r="V957" s="3"/>
      <c r="W957" s="3"/>
      <c r="X957" s="3"/>
      <c r="Y957" s="3"/>
      <c r="Z957" s="4"/>
      <c r="AA957"/>
      <c r="AB957"/>
    </row>
    <row r="958" spans="1:28" s="37" customFormat="1" x14ac:dyDescent="0.15">
      <c r="A958" s="165"/>
      <c r="B958" s="93"/>
      <c r="C958" s="102"/>
      <c r="D958" s="62"/>
      <c r="E958" s="102"/>
      <c r="F958" s="102"/>
      <c r="G958" s="102"/>
      <c r="H958" s="175"/>
      <c r="I958" s="85"/>
      <c r="J958" s="104"/>
      <c r="K958" s="144"/>
      <c r="L958" s="62"/>
      <c r="M958" s="49"/>
      <c r="Q958" s="3"/>
      <c r="R958" s="3"/>
      <c r="S958" s="3"/>
      <c r="T958" s="3"/>
      <c r="U958" s="3"/>
      <c r="V958" s="3"/>
      <c r="W958" s="3"/>
      <c r="X958" s="3"/>
      <c r="Y958" s="3"/>
      <c r="Z958" s="4"/>
      <c r="AA958"/>
      <c r="AB958"/>
    </row>
    <row r="959" spans="1:28" s="37" customFormat="1" x14ac:dyDescent="0.15">
      <c r="A959" s="165"/>
      <c r="B959" s="93"/>
      <c r="C959" s="102"/>
      <c r="D959" s="62"/>
      <c r="E959" s="102"/>
      <c r="F959" s="102"/>
      <c r="G959" s="102"/>
      <c r="H959" s="175"/>
      <c r="I959" s="85"/>
      <c r="J959" s="104"/>
      <c r="K959" s="144"/>
      <c r="L959" s="62"/>
      <c r="M959" s="49"/>
      <c r="Q959" s="3"/>
      <c r="R959" s="3"/>
      <c r="S959" s="3"/>
      <c r="T959" s="3"/>
      <c r="U959" s="3"/>
      <c r="V959" s="3"/>
      <c r="W959" s="3"/>
      <c r="X959" s="3"/>
      <c r="Y959" s="3"/>
      <c r="Z959" s="4"/>
      <c r="AA959"/>
      <c r="AB959"/>
    </row>
    <row r="960" spans="1:28" s="37" customFormat="1" x14ac:dyDescent="0.15">
      <c r="A960" s="165"/>
      <c r="B960" s="93"/>
      <c r="C960" s="102"/>
      <c r="D960" s="62"/>
      <c r="E960" s="102"/>
      <c r="F960" s="102"/>
      <c r="G960" s="102"/>
      <c r="H960" s="175"/>
      <c r="I960" s="85"/>
      <c r="J960" s="104"/>
      <c r="K960" s="144"/>
      <c r="L960" s="62"/>
      <c r="M960" s="49"/>
      <c r="Q960" s="3"/>
      <c r="R960" s="3"/>
      <c r="S960" s="3"/>
      <c r="T960" s="3"/>
      <c r="U960" s="3"/>
      <c r="V960" s="3"/>
      <c r="W960" s="3"/>
      <c r="X960" s="3"/>
      <c r="Y960" s="3"/>
      <c r="Z960" s="4"/>
      <c r="AA960"/>
      <c r="AB960"/>
    </row>
    <row r="961" spans="1:28" s="37" customFormat="1" x14ac:dyDescent="0.15">
      <c r="A961" s="165"/>
      <c r="B961" s="93"/>
      <c r="C961" s="100"/>
      <c r="D961" s="61"/>
      <c r="E961" s="100"/>
      <c r="F961" s="100"/>
      <c r="G961" s="100"/>
      <c r="H961" s="177"/>
      <c r="I961" s="103"/>
      <c r="J961" s="61"/>
      <c r="K961" s="145"/>
      <c r="L961" s="61"/>
      <c r="M961" s="35"/>
      <c r="Q961" s="3"/>
      <c r="R961" s="3"/>
      <c r="S961" s="3"/>
      <c r="T961" s="3"/>
      <c r="U961" s="3"/>
      <c r="V961" s="3"/>
      <c r="W961" s="3"/>
      <c r="X961" s="3"/>
      <c r="Y961" s="3"/>
      <c r="Z961" s="4"/>
      <c r="AA961"/>
      <c r="AB961"/>
    </row>
    <row r="962" spans="1:28" s="37" customFormat="1" x14ac:dyDescent="0.15">
      <c r="A962" s="165"/>
      <c r="B962" s="93"/>
      <c r="C962" s="102"/>
      <c r="D962" s="62"/>
      <c r="E962" s="102"/>
      <c r="F962" s="102"/>
      <c r="G962" s="102"/>
      <c r="H962" s="175"/>
      <c r="I962" s="85"/>
      <c r="J962" s="104"/>
      <c r="K962" s="143"/>
      <c r="L962" s="61"/>
      <c r="M962" s="50"/>
      <c r="Q962" s="3"/>
      <c r="R962" s="3"/>
      <c r="S962" s="3"/>
      <c r="T962" s="3"/>
      <c r="U962" s="3"/>
      <c r="V962" s="3"/>
      <c r="W962" s="3"/>
      <c r="X962" s="3"/>
      <c r="Y962" s="3"/>
      <c r="Z962" s="4"/>
      <c r="AA962"/>
      <c r="AB962"/>
    </row>
    <row r="963" spans="1:28" s="37" customFormat="1" x14ac:dyDescent="0.15">
      <c r="A963" s="165"/>
      <c r="B963" s="93"/>
      <c r="C963" s="102"/>
      <c r="D963" s="62"/>
      <c r="E963" s="102"/>
      <c r="F963" s="102"/>
      <c r="G963" s="102"/>
      <c r="H963" s="175"/>
      <c r="I963" s="85"/>
      <c r="J963" s="104"/>
      <c r="K963" s="143"/>
      <c r="L963" s="61"/>
      <c r="M963" s="50"/>
      <c r="O963" s="51"/>
      <c r="Q963" s="3"/>
      <c r="R963" s="3"/>
      <c r="S963" s="3"/>
      <c r="T963" s="3"/>
      <c r="U963" s="3"/>
      <c r="V963" s="3"/>
      <c r="W963" s="3"/>
      <c r="X963" s="3"/>
      <c r="Y963" s="3"/>
      <c r="Z963" s="4"/>
      <c r="AA963"/>
      <c r="AB963"/>
    </row>
    <row r="964" spans="1:28" s="37" customFormat="1" x14ac:dyDescent="0.15">
      <c r="A964" s="165"/>
      <c r="B964" s="93"/>
      <c r="C964" s="102"/>
      <c r="D964" s="62"/>
      <c r="E964" s="102"/>
      <c r="F964" s="102"/>
      <c r="G964" s="102"/>
      <c r="H964" s="175"/>
      <c r="I964" s="85"/>
      <c r="J964" s="104"/>
      <c r="K964" s="143"/>
      <c r="L964" s="61"/>
      <c r="M964" s="35"/>
      <c r="Q964" s="3"/>
      <c r="R964" s="3"/>
      <c r="S964" s="3"/>
      <c r="T964" s="3"/>
      <c r="U964" s="3"/>
      <c r="V964" s="3"/>
      <c r="W964" s="3"/>
      <c r="X964" s="3"/>
      <c r="Y964" s="3"/>
      <c r="Z964" s="4"/>
      <c r="AA964"/>
      <c r="AB964"/>
    </row>
    <row r="965" spans="1:28" s="37" customFormat="1" x14ac:dyDescent="0.15">
      <c r="A965" s="165"/>
      <c r="B965" s="93"/>
      <c r="C965" s="102"/>
      <c r="D965" s="62"/>
      <c r="E965" s="102"/>
      <c r="F965" s="102"/>
      <c r="G965" s="102"/>
      <c r="H965" s="175"/>
      <c r="I965" s="85"/>
      <c r="J965" s="104"/>
      <c r="K965" s="143"/>
      <c r="L965" s="61"/>
      <c r="M965" s="35"/>
      <c r="Q965" s="3"/>
      <c r="R965" s="3"/>
      <c r="S965" s="3"/>
      <c r="T965" s="3"/>
      <c r="U965" s="3"/>
      <c r="V965" s="3"/>
      <c r="W965" s="3"/>
      <c r="X965" s="3"/>
      <c r="Y965" s="3"/>
      <c r="Z965" s="4"/>
      <c r="AA965"/>
      <c r="AB965"/>
    </row>
    <row r="966" spans="1:28" s="37" customFormat="1" x14ac:dyDescent="0.15">
      <c r="A966" s="165"/>
      <c r="B966" s="93"/>
      <c r="C966" s="102"/>
      <c r="D966" s="62"/>
      <c r="E966" s="102"/>
      <c r="F966" s="102"/>
      <c r="G966" s="102"/>
      <c r="H966" s="175"/>
      <c r="I966" s="85"/>
      <c r="J966" s="104"/>
      <c r="K966" s="143"/>
      <c r="L966" s="61"/>
      <c r="M966" s="35"/>
      <c r="Q966" s="3"/>
      <c r="R966" s="3"/>
      <c r="S966" s="3"/>
      <c r="T966" s="3"/>
      <c r="U966" s="3"/>
      <c r="V966" s="3"/>
      <c r="W966" s="3"/>
      <c r="X966" s="3"/>
      <c r="Y966" s="3"/>
      <c r="Z966" s="4"/>
      <c r="AA966"/>
      <c r="AB966"/>
    </row>
    <row r="967" spans="1:28" s="37" customFormat="1" x14ac:dyDescent="0.15">
      <c r="A967" s="165"/>
      <c r="B967" s="93"/>
      <c r="C967" s="102"/>
      <c r="D967" s="62"/>
      <c r="E967" s="102"/>
      <c r="F967" s="102"/>
      <c r="G967" s="102"/>
      <c r="H967" s="175"/>
      <c r="I967" s="85"/>
      <c r="J967" s="104"/>
      <c r="K967" s="143"/>
      <c r="L967" s="61"/>
      <c r="M967" s="49"/>
      <c r="Q967" s="3"/>
      <c r="R967" s="3"/>
      <c r="S967" s="3"/>
      <c r="T967" s="3"/>
      <c r="U967" s="3"/>
      <c r="V967" s="3"/>
      <c r="W967" s="3"/>
      <c r="X967" s="3"/>
      <c r="Y967" s="3"/>
      <c r="Z967" s="4"/>
      <c r="AA967"/>
      <c r="AB967"/>
    </row>
    <row r="968" spans="1:28" s="37" customFormat="1" x14ac:dyDescent="0.15">
      <c r="A968" s="165"/>
      <c r="B968" s="93"/>
      <c r="C968" s="102"/>
      <c r="D968" s="62"/>
      <c r="E968" s="102"/>
      <c r="F968" s="102"/>
      <c r="G968" s="102"/>
      <c r="H968" s="175"/>
      <c r="I968" s="85"/>
      <c r="J968" s="104"/>
      <c r="K968" s="143"/>
      <c r="L968" s="61"/>
      <c r="M968" s="50"/>
      <c r="N968" s="51"/>
      <c r="Q968" s="3"/>
      <c r="R968" s="3"/>
      <c r="S968" s="3"/>
      <c r="T968" s="3"/>
      <c r="U968" s="3"/>
      <c r="V968" s="3"/>
      <c r="W968" s="3"/>
      <c r="X968" s="3"/>
      <c r="Y968" s="3"/>
      <c r="Z968" s="4"/>
      <c r="AA968"/>
      <c r="AB968"/>
    </row>
    <row r="969" spans="1:28" s="37" customFormat="1" x14ac:dyDescent="0.15">
      <c r="A969" s="165"/>
      <c r="B969" s="93"/>
      <c r="C969" s="102"/>
      <c r="D969" s="62"/>
      <c r="E969" s="100"/>
      <c r="F969" s="102"/>
      <c r="G969" s="102"/>
      <c r="H969" s="175"/>
      <c r="I969" s="85"/>
      <c r="J969" s="104"/>
      <c r="K969" s="143"/>
      <c r="L969" s="61"/>
      <c r="M969" s="49"/>
      <c r="Q969" s="3"/>
      <c r="R969" s="3"/>
      <c r="S969" s="3"/>
      <c r="T969" s="3"/>
      <c r="U969" s="3"/>
      <c r="V969" s="3"/>
      <c r="W969" s="3"/>
      <c r="X969" s="3"/>
      <c r="Y969" s="3"/>
      <c r="Z969" s="4"/>
      <c r="AA969"/>
      <c r="AB969"/>
    </row>
    <row r="970" spans="1:28" s="37" customFormat="1" x14ac:dyDescent="0.15">
      <c r="A970" s="165"/>
      <c r="B970" s="93"/>
      <c r="C970" s="100"/>
      <c r="D970" s="61"/>
      <c r="E970" s="100"/>
      <c r="F970" s="100"/>
      <c r="G970" s="100"/>
      <c r="H970" s="177"/>
      <c r="I970" s="85"/>
      <c r="J970" s="101"/>
      <c r="K970" s="143"/>
      <c r="L970" s="61"/>
      <c r="M970" s="49"/>
      <c r="Q970" s="3"/>
      <c r="R970" s="3"/>
      <c r="S970" s="3"/>
      <c r="T970" s="3"/>
      <c r="U970" s="3"/>
      <c r="V970" s="3"/>
      <c r="W970" s="3"/>
      <c r="X970" s="3"/>
      <c r="Y970" s="3"/>
      <c r="Z970" s="4"/>
      <c r="AA970"/>
      <c r="AB970"/>
    </row>
    <row r="971" spans="1:28" s="37" customFormat="1" x14ac:dyDescent="0.15">
      <c r="A971" s="165"/>
      <c r="B971" s="93"/>
      <c r="C971" s="100"/>
      <c r="D971" s="61"/>
      <c r="E971" s="100"/>
      <c r="F971" s="100"/>
      <c r="G971" s="100"/>
      <c r="H971" s="177"/>
      <c r="I971" s="85"/>
      <c r="J971" s="101"/>
      <c r="K971" s="143"/>
      <c r="L971" s="61"/>
      <c r="M971" s="49"/>
      <c r="Q971" s="3"/>
      <c r="R971" s="3"/>
      <c r="S971" s="3"/>
      <c r="T971" s="3"/>
      <c r="U971" s="3"/>
      <c r="V971" s="3"/>
      <c r="W971" s="3"/>
      <c r="X971" s="3"/>
      <c r="Y971" s="3"/>
      <c r="Z971" s="4"/>
      <c r="AA971"/>
      <c r="AB971"/>
    </row>
    <row r="972" spans="1:28" s="37" customFormat="1" x14ac:dyDescent="0.15">
      <c r="A972" s="165"/>
      <c r="B972" s="93"/>
      <c r="C972" s="102"/>
      <c r="D972" s="62"/>
      <c r="E972" s="100"/>
      <c r="F972" s="102"/>
      <c r="G972" s="102"/>
      <c r="H972" s="175"/>
      <c r="I972" s="85"/>
      <c r="J972" s="104"/>
      <c r="K972" s="143"/>
      <c r="L972" s="61"/>
      <c r="M972" s="49"/>
      <c r="Q972" s="3"/>
      <c r="R972" s="3"/>
      <c r="S972" s="3"/>
      <c r="T972" s="3"/>
      <c r="U972" s="3"/>
      <c r="V972" s="3"/>
      <c r="W972" s="3"/>
      <c r="X972" s="3"/>
      <c r="Y972" s="3"/>
      <c r="Z972" s="4"/>
      <c r="AA972"/>
      <c r="AB972"/>
    </row>
    <row r="973" spans="1:28" s="37" customFormat="1" x14ac:dyDescent="0.15">
      <c r="A973" s="165"/>
      <c r="B973" s="93"/>
      <c r="C973" s="102"/>
      <c r="D973" s="62"/>
      <c r="E973" s="102"/>
      <c r="F973" s="102"/>
      <c r="G973" s="102"/>
      <c r="H973" s="175"/>
      <c r="I973" s="85"/>
      <c r="J973" s="104"/>
      <c r="K973" s="143"/>
      <c r="L973" s="61"/>
      <c r="M973" s="49"/>
      <c r="Q973" s="3"/>
      <c r="R973" s="3"/>
      <c r="S973" s="3"/>
      <c r="T973" s="3"/>
      <c r="U973" s="3"/>
      <c r="V973" s="3"/>
      <c r="W973" s="3"/>
      <c r="X973" s="3"/>
      <c r="Y973" s="3"/>
      <c r="Z973" s="4"/>
      <c r="AA973"/>
      <c r="AB973"/>
    </row>
    <row r="974" spans="1:28" s="49" customFormat="1" x14ac:dyDescent="0.15">
      <c r="A974" s="165"/>
      <c r="B974" s="93"/>
      <c r="C974" s="102"/>
      <c r="D974" s="62"/>
      <c r="E974" s="102"/>
      <c r="F974" s="102"/>
      <c r="G974" s="102"/>
      <c r="H974" s="175"/>
      <c r="I974" s="85"/>
      <c r="J974" s="104"/>
      <c r="K974" s="143"/>
      <c r="L974" s="61"/>
      <c r="N974" s="37"/>
      <c r="O974" s="37"/>
      <c r="P974" s="37"/>
      <c r="Q974" s="3"/>
      <c r="R974" s="3"/>
      <c r="S974" s="3"/>
      <c r="T974" s="3"/>
      <c r="U974" s="3"/>
      <c r="V974" s="3"/>
      <c r="W974" s="3"/>
      <c r="X974" s="3"/>
      <c r="Y974" s="3"/>
      <c r="Z974" s="4"/>
      <c r="AA974"/>
      <c r="AB974"/>
    </row>
    <row r="975" spans="1:28" s="49" customFormat="1" x14ac:dyDescent="0.15">
      <c r="A975" s="165"/>
      <c r="B975" s="82"/>
      <c r="C975" s="107"/>
      <c r="D975" s="62"/>
      <c r="E975" s="105"/>
      <c r="F975" s="107"/>
      <c r="G975" s="107"/>
      <c r="H975" s="179"/>
      <c r="I975" s="85"/>
      <c r="J975" s="104"/>
      <c r="K975" s="144"/>
      <c r="L975" s="61"/>
      <c r="N975" s="37"/>
      <c r="O975" s="37"/>
      <c r="P975" s="37"/>
      <c r="Q975" s="3"/>
      <c r="R975" s="3"/>
      <c r="S975" s="3"/>
      <c r="T975" s="3"/>
      <c r="U975" s="3"/>
      <c r="V975" s="3"/>
      <c r="W975" s="3"/>
      <c r="X975" s="3"/>
      <c r="Y975" s="3"/>
      <c r="Z975" s="4"/>
      <c r="AA975"/>
      <c r="AB975"/>
    </row>
    <row r="976" spans="1:28" s="49" customFormat="1" x14ac:dyDescent="0.15">
      <c r="A976" s="165"/>
      <c r="B976" s="93"/>
      <c r="C976" s="102"/>
      <c r="D976" s="62"/>
      <c r="E976" s="102"/>
      <c r="F976" s="102"/>
      <c r="G976" s="102"/>
      <c r="H976" s="175"/>
      <c r="I976" s="85"/>
      <c r="J976" s="104"/>
      <c r="K976" s="144"/>
      <c r="L976" s="61"/>
      <c r="N976" s="37"/>
      <c r="O976" s="37"/>
      <c r="P976" s="37"/>
      <c r="Q976" s="3"/>
      <c r="R976" s="3"/>
      <c r="S976" s="3"/>
      <c r="T976" s="3"/>
      <c r="U976" s="3"/>
      <c r="V976" s="3"/>
      <c r="W976" s="3"/>
      <c r="X976" s="3"/>
      <c r="Y976" s="3"/>
      <c r="Z976" s="4"/>
      <c r="AA976"/>
      <c r="AB976"/>
    </row>
    <row r="977" spans="1:28" s="49" customFormat="1" x14ac:dyDescent="0.15">
      <c r="A977" s="165"/>
      <c r="B977" s="93"/>
      <c r="C977" s="102"/>
      <c r="D977" s="62"/>
      <c r="E977" s="102"/>
      <c r="F977" s="102"/>
      <c r="G977" s="102"/>
      <c r="H977" s="175"/>
      <c r="I977" s="85"/>
      <c r="J977" s="104"/>
      <c r="K977" s="144"/>
      <c r="L977" s="61"/>
      <c r="N977" s="37"/>
      <c r="O977" s="37"/>
      <c r="P977" s="37"/>
      <c r="Q977" s="3"/>
      <c r="R977" s="3"/>
      <c r="S977" s="3"/>
      <c r="T977" s="3"/>
      <c r="U977" s="3"/>
      <c r="V977" s="3"/>
      <c r="W977" s="3"/>
      <c r="X977" s="3"/>
      <c r="Y977" s="3"/>
      <c r="Z977" s="4"/>
      <c r="AA977"/>
      <c r="AB977"/>
    </row>
    <row r="978" spans="1:28" s="49" customFormat="1" x14ac:dyDescent="0.15">
      <c r="A978" s="165"/>
      <c r="B978" s="93"/>
      <c r="C978" s="102"/>
      <c r="D978" s="62"/>
      <c r="E978" s="102"/>
      <c r="F978" s="102"/>
      <c r="G978" s="102"/>
      <c r="H978" s="175"/>
      <c r="I978" s="85"/>
      <c r="J978" s="104"/>
      <c r="K978" s="144"/>
      <c r="L978" s="61"/>
      <c r="N978" s="37"/>
      <c r="O978" s="37"/>
      <c r="P978" s="37"/>
      <c r="Q978" s="3"/>
      <c r="R978" s="3"/>
      <c r="S978" s="3"/>
      <c r="T978" s="3"/>
      <c r="U978" s="3"/>
      <c r="V978" s="3"/>
      <c r="W978" s="3"/>
      <c r="X978" s="3"/>
      <c r="Y978" s="3"/>
      <c r="Z978" s="4"/>
      <c r="AA978"/>
      <c r="AB978"/>
    </row>
    <row r="979" spans="1:28" s="49" customFormat="1" x14ac:dyDescent="0.15">
      <c r="A979" s="165"/>
      <c r="B979" s="93"/>
      <c r="C979" s="102"/>
      <c r="D979" s="62"/>
      <c r="E979" s="102"/>
      <c r="F979" s="102"/>
      <c r="G979" s="102"/>
      <c r="H979" s="175"/>
      <c r="I979" s="85"/>
      <c r="J979" s="104"/>
      <c r="K979" s="144"/>
      <c r="L979" s="61"/>
      <c r="N979" s="37"/>
      <c r="O979" s="37"/>
      <c r="P979" s="37"/>
      <c r="Q979" s="3"/>
      <c r="R979" s="3"/>
      <c r="S979" s="3"/>
      <c r="T979" s="3"/>
      <c r="U979" s="3"/>
      <c r="V979" s="3"/>
      <c r="W979" s="3"/>
      <c r="X979" s="3"/>
      <c r="Y979" s="3"/>
      <c r="Z979" s="4"/>
      <c r="AA979"/>
      <c r="AB979"/>
    </row>
    <row r="980" spans="1:28" s="49" customFormat="1" x14ac:dyDescent="0.15">
      <c r="A980" s="165"/>
      <c r="B980" s="93"/>
      <c r="C980" s="102"/>
      <c r="D980" s="62"/>
      <c r="E980" s="102"/>
      <c r="F980" s="102"/>
      <c r="G980" s="102"/>
      <c r="H980" s="175"/>
      <c r="I980" s="85"/>
      <c r="J980" s="104"/>
      <c r="K980" s="144"/>
      <c r="L980" s="61"/>
      <c r="N980" s="37"/>
      <c r="O980" s="37"/>
      <c r="P980" s="37"/>
      <c r="Q980" s="3"/>
      <c r="R980" s="3"/>
      <c r="S980" s="3"/>
      <c r="T980" s="3"/>
      <c r="U980" s="3"/>
      <c r="V980" s="3"/>
      <c r="W980" s="3"/>
      <c r="X980" s="3"/>
      <c r="Y980" s="3"/>
      <c r="Z980" s="4"/>
      <c r="AA980"/>
      <c r="AB980"/>
    </row>
    <row r="981" spans="1:28" s="49" customFormat="1" x14ac:dyDescent="0.15">
      <c r="A981" s="165"/>
      <c r="B981" s="93"/>
      <c r="C981" s="102"/>
      <c r="D981" s="62"/>
      <c r="E981" s="102"/>
      <c r="F981" s="102"/>
      <c r="G981" s="102"/>
      <c r="H981" s="175"/>
      <c r="I981" s="85"/>
      <c r="J981" s="104"/>
      <c r="K981" s="144"/>
      <c r="L981" s="61"/>
      <c r="N981" s="37"/>
      <c r="O981" s="37"/>
      <c r="P981" s="37"/>
      <c r="Q981" s="3"/>
      <c r="R981" s="3"/>
      <c r="S981" s="3"/>
      <c r="T981" s="3"/>
      <c r="U981" s="3"/>
      <c r="V981" s="3"/>
      <c r="W981" s="3"/>
      <c r="X981" s="3"/>
      <c r="Y981" s="3"/>
      <c r="Z981" s="4"/>
      <c r="AA981"/>
      <c r="AB981"/>
    </row>
    <row r="982" spans="1:28" s="49" customFormat="1" x14ac:dyDescent="0.15">
      <c r="A982" s="165"/>
      <c r="B982" s="93"/>
      <c r="C982" s="102"/>
      <c r="D982" s="62"/>
      <c r="E982" s="102"/>
      <c r="F982" s="102"/>
      <c r="G982" s="102"/>
      <c r="H982" s="175"/>
      <c r="I982" s="85"/>
      <c r="J982" s="104"/>
      <c r="K982" s="144"/>
      <c r="L982" s="61"/>
      <c r="N982" s="37"/>
      <c r="O982" s="37"/>
      <c r="P982" s="37"/>
      <c r="Q982" s="3"/>
      <c r="R982" s="3"/>
      <c r="S982" s="3"/>
      <c r="T982" s="3"/>
      <c r="U982" s="3"/>
      <c r="V982" s="3"/>
      <c r="W982" s="3"/>
      <c r="X982" s="3"/>
      <c r="Y982" s="3"/>
      <c r="Z982" s="4"/>
      <c r="AA982"/>
      <c r="AB982"/>
    </row>
    <row r="983" spans="1:28" s="49" customFormat="1" x14ac:dyDescent="0.15">
      <c r="A983" s="165"/>
      <c r="B983" s="93"/>
      <c r="C983" s="102"/>
      <c r="D983" s="62"/>
      <c r="E983" s="102"/>
      <c r="F983" s="102"/>
      <c r="G983" s="102"/>
      <c r="H983" s="175"/>
      <c r="I983" s="85"/>
      <c r="J983" s="104"/>
      <c r="K983" s="144"/>
      <c r="L983" s="61"/>
      <c r="N983" s="37"/>
      <c r="O983" s="37"/>
      <c r="P983" s="37"/>
      <c r="Q983" s="3"/>
      <c r="R983" s="3"/>
      <c r="S983" s="3"/>
      <c r="T983" s="3"/>
      <c r="U983" s="3"/>
      <c r="V983" s="3"/>
      <c r="W983" s="3"/>
      <c r="X983" s="3"/>
      <c r="Y983" s="3"/>
      <c r="Z983" s="4"/>
      <c r="AA983"/>
      <c r="AB983"/>
    </row>
    <row r="984" spans="1:28" s="49" customFormat="1" x14ac:dyDescent="0.15">
      <c r="A984" s="165"/>
      <c r="B984" s="93"/>
      <c r="C984" s="102"/>
      <c r="D984" s="62"/>
      <c r="E984" s="102"/>
      <c r="F984" s="102"/>
      <c r="G984" s="102"/>
      <c r="H984" s="175"/>
      <c r="I984" s="85"/>
      <c r="J984" s="104"/>
      <c r="K984" s="144"/>
      <c r="L984" s="61"/>
      <c r="N984" s="37"/>
      <c r="O984" s="37"/>
      <c r="P984" s="37"/>
      <c r="Q984" s="3"/>
      <c r="R984" s="3"/>
      <c r="S984" s="3"/>
      <c r="T984" s="3"/>
      <c r="U984" s="3"/>
      <c r="V984" s="3"/>
      <c r="W984" s="3"/>
      <c r="X984" s="3"/>
      <c r="Y984" s="3"/>
      <c r="Z984" s="4"/>
      <c r="AA984"/>
      <c r="AB984"/>
    </row>
    <row r="985" spans="1:28" s="49" customFormat="1" x14ac:dyDescent="0.15">
      <c r="A985" s="165"/>
      <c r="B985" s="93"/>
      <c r="C985" s="102"/>
      <c r="D985" s="62"/>
      <c r="E985" s="102"/>
      <c r="F985" s="102"/>
      <c r="G985" s="102"/>
      <c r="H985" s="175"/>
      <c r="I985" s="85"/>
      <c r="J985" s="104"/>
      <c r="K985" s="144"/>
      <c r="L985" s="61"/>
      <c r="N985" s="37"/>
      <c r="O985" s="37"/>
      <c r="P985" s="37"/>
      <c r="Q985" s="3"/>
      <c r="R985" s="3"/>
      <c r="S985" s="3"/>
      <c r="T985" s="3"/>
      <c r="U985" s="3"/>
      <c r="V985" s="3"/>
      <c r="W985" s="3"/>
      <c r="X985" s="3"/>
      <c r="Y985" s="3"/>
      <c r="Z985" s="4"/>
      <c r="AA985"/>
      <c r="AB985"/>
    </row>
    <row r="986" spans="1:28" s="49" customFormat="1" x14ac:dyDescent="0.15">
      <c r="A986" s="165"/>
      <c r="B986" s="93"/>
      <c r="C986" s="102"/>
      <c r="D986" s="62"/>
      <c r="E986" s="102"/>
      <c r="F986" s="102"/>
      <c r="G986" s="102"/>
      <c r="H986" s="175"/>
      <c r="I986" s="85"/>
      <c r="J986" s="104"/>
      <c r="K986" s="144"/>
      <c r="L986" s="61"/>
      <c r="N986" s="37"/>
      <c r="O986" s="37"/>
      <c r="P986" s="37"/>
      <c r="Q986" s="3"/>
      <c r="R986" s="3"/>
      <c r="S986" s="3"/>
      <c r="T986" s="3"/>
      <c r="U986" s="3"/>
      <c r="V986" s="3"/>
      <c r="W986" s="3"/>
      <c r="X986" s="3"/>
      <c r="Y986" s="3"/>
      <c r="Z986" s="4"/>
      <c r="AA986"/>
      <c r="AB986"/>
    </row>
    <row r="987" spans="1:28" s="49" customFormat="1" x14ac:dyDescent="0.15">
      <c r="A987" s="165"/>
      <c r="B987" s="93"/>
      <c r="C987" s="102"/>
      <c r="D987" s="62"/>
      <c r="E987" s="102"/>
      <c r="F987" s="102"/>
      <c r="G987" s="102"/>
      <c r="H987" s="175"/>
      <c r="I987" s="85"/>
      <c r="J987" s="104"/>
      <c r="K987" s="144"/>
      <c r="L987" s="61"/>
      <c r="N987" s="37"/>
      <c r="O987" s="37"/>
      <c r="P987" s="37"/>
      <c r="Q987" s="3"/>
      <c r="R987" s="3"/>
      <c r="S987" s="3"/>
      <c r="T987" s="3"/>
      <c r="U987" s="3"/>
      <c r="V987" s="3"/>
      <c r="W987" s="3"/>
      <c r="X987" s="3"/>
      <c r="Y987" s="3"/>
      <c r="Z987" s="4"/>
      <c r="AA987"/>
      <c r="AB987"/>
    </row>
    <row r="988" spans="1:28" s="49" customFormat="1" x14ac:dyDescent="0.15">
      <c r="A988" s="165"/>
      <c r="B988" s="93"/>
      <c r="C988" s="102"/>
      <c r="D988" s="62"/>
      <c r="E988" s="102"/>
      <c r="F988" s="102"/>
      <c r="G988" s="102"/>
      <c r="H988" s="175"/>
      <c r="I988" s="85"/>
      <c r="J988" s="104"/>
      <c r="K988" s="144"/>
      <c r="L988" s="61"/>
      <c r="N988" s="37"/>
      <c r="O988" s="37"/>
      <c r="P988" s="37"/>
      <c r="Q988" s="3"/>
      <c r="R988" s="3"/>
      <c r="S988" s="3"/>
      <c r="T988" s="3"/>
      <c r="U988" s="3"/>
      <c r="V988" s="3"/>
      <c r="W988" s="3"/>
      <c r="X988" s="3"/>
      <c r="Y988" s="3"/>
      <c r="Z988" s="4"/>
      <c r="AA988"/>
      <c r="AB988"/>
    </row>
    <row r="989" spans="1:28" s="49" customFormat="1" x14ac:dyDescent="0.15">
      <c r="A989" s="165"/>
      <c r="B989" s="93"/>
      <c r="C989" s="102"/>
      <c r="D989" s="62"/>
      <c r="E989" s="102"/>
      <c r="F989" s="102"/>
      <c r="G989" s="102"/>
      <c r="H989" s="175"/>
      <c r="I989" s="85"/>
      <c r="J989" s="104"/>
      <c r="K989" s="144"/>
      <c r="L989" s="61"/>
      <c r="N989" s="37"/>
      <c r="O989" s="37"/>
      <c r="P989" s="37"/>
      <c r="Q989" s="3"/>
      <c r="R989" s="3"/>
      <c r="S989" s="3"/>
      <c r="T989" s="3"/>
      <c r="U989" s="3"/>
      <c r="V989" s="3"/>
      <c r="W989" s="3"/>
      <c r="X989" s="3"/>
      <c r="Y989" s="3"/>
      <c r="Z989" s="4"/>
      <c r="AA989"/>
      <c r="AB989"/>
    </row>
    <row r="990" spans="1:28" s="3" customFormat="1" x14ac:dyDescent="0.15">
      <c r="A990" s="165"/>
      <c r="B990" s="93"/>
      <c r="C990" s="102"/>
      <c r="D990" s="62"/>
      <c r="E990" s="102"/>
      <c r="F990" s="102"/>
      <c r="G990" s="102"/>
      <c r="H990" s="175"/>
      <c r="I990" s="85"/>
      <c r="J990" s="104"/>
      <c r="K990" s="144"/>
      <c r="L990" s="61"/>
      <c r="M990" s="49"/>
      <c r="N990" s="37"/>
      <c r="O990" s="37"/>
      <c r="P990" s="37"/>
      <c r="Z990" s="4"/>
      <c r="AA990"/>
      <c r="AB990"/>
    </row>
    <row r="991" spans="1:28" s="3" customFormat="1" x14ac:dyDescent="0.15">
      <c r="A991" s="165"/>
      <c r="B991" s="93"/>
      <c r="C991" s="102"/>
      <c r="D991" s="62"/>
      <c r="E991" s="102"/>
      <c r="F991" s="102"/>
      <c r="G991" s="102"/>
      <c r="H991" s="175"/>
      <c r="I991" s="85"/>
      <c r="J991" s="104"/>
      <c r="K991" s="144"/>
      <c r="L991" s="61"/>
      <c r="M991" s="49"/>
      <c r="N991" s="37"/>
      <c r="O991" s="37"/>
      <c r="P991" s="37"/>
      <c r="Z991" s="4"/>
      <c r="AA991"/>
      <c r="AB991"/>
    </row>
    <row r="992" spans="1:28" s="3" customFormat="1" x14ac:dyDescent="0.15">
      <c r="A992" s="165"/>
      <c r="B992" s="93"/>
      <c r="C992" s="102"/>
      <c r="D992" s="62"/>
      <c r="E992" s="102"/>
      <c r="F992" s="102"/>
      <c r="G992" s="102"/>
      <c r="H992" s="175"/>
      <c r="I992" s="98"/>
      <c r="J992" s="98"/>
      <c r="K992" s="135"/>
      <c r="L992" s="61"/>
      <c r="M992" s="49"/>
      <c r="N992" s="37"/>
      <c r="O992" s="37"/>
      <c r="P992" s="37"/>
      <c r="Z992" s="4"/>
      <c r="AA992"/>
      <c r="AB992"/>
    </row>
    <row r="993" spans="1:28" s="3" customFormat="1" x14ac:dyDescent="0.15">
      <c r="A993" s="165"/>
      <c r="B993" s="93"/>
      <c r="C993" s="102"/>
      <c r="D993" s="62"/>
      <c r="E993" s="102"/>
      <c r="F993" s="102"/>
      <c r="G993" s="102"/>
      <c r="H993" s="175"/>
      <c r="I993" s="85"/>
      <c r="J993" s="104"/>
      <c r="K993" s="144"/>
      <c r="L993" s="61"/>
      <c r="M993" s="49"/>
      <c r="N993" s="37"/>
      <c r="O993" s="37"/>
      <c r="P993" s="37"/>
      <c r="Z993" s="4"/>
      <c r="AA993"/>
      <c r="AB993"/>
    </row>
    <row r="994" spans="1:28" s="3" customFormat="1" x14ac:dyDescent="0.15">
      <c r="A994" s="165"/>
      <c r="B994" s="93"/>
      <c r="C994" s="102"/>
      <c r="D994" s="62"/>
      <c r="E994" s="102"/>
      <c r="F994" s="102"/>
      <c r="G994" s="102"/>
      <c r="H994" s="175"/>
      <c r="I994" s="85"/>
      <c r="J994" s="104"/>
      <c r="K994" s="144"/>
      <c r="L994" s="61"/>
      <c r="M994" s="49"/>
      <c r="N994" s="37"/>
      <c r="O994" s="37"/>
      <c r="P994" s="37"/>
      <c r="Z994" s="4"/>
      <c r="AA994"/>
      <c r="AB994"/>
    </row>
    <row r="995" spans="1:28" s="3" customFormat="1" x14ac:dyDescent="0.15">
      <c r="A995" s="165"/>
      <c r="B995" s="93"/>
      <c r="C995" s="102"/>
      <c r="D995" s="62"/>
      <c r="E995" s="102"/>
      <c r="F995" s="102"/>
      <c r="G995" s="102"/>
      <c r="H995" s="175"/>
      <c r="I995" s="85"/>
      <c r="J995" s="104"/>
      <c r="K995" s="144"/>
      <c r="L995" s="61"/>
      <c r="M995" s="49"/>
      <c r="N995" s="37"/>
      <c r="O995" s="37"/>
      <c r="P995" s="37"/>
      <c r="Z995" s="4"/>
      <c r="AA995"/>
      <c r="AB995"/>
    </row>
    <row r="996" spans="1:28" s="3" customFormat="1" x14ac:dyDescent="0.15">
      <c r="A996" s="165"/>
      <c r="B996" s="93"/>
      <c r="C996" s="102"/>
      <c r="D996" s="62"/>
      <c r="E996" s="102"/>
      <c r="F996" s="102"/>
      <c r="G996" s="102"/>
      <c r="H996" s="175"/>
      <c r="I996" s="85"/>
      <c r="J996" s="104"/>
      <c r="K996" s="144"/>
      <c r="L996" s="61"/>
      <c r="M996" s="49"/>
      <c r="N996" s="37"/>
      <c r="O996" s="37"/>
      <c r="P996" s="37"/>
      <c r="Z996" s="4"/>
      <c r="AA996"/>
      <c r="AB996"/>
    </row>
    <row r="997" spans="1:28" s="3" customFormat="1" x14ac:dyDescent="0.15">
      <c r="A997" s="165"/>
      <c r="B997" s="93"/>
      <c r="C997" s="102"/>
      <c r="D997" s="62"/>
      <c r="E997" s="102"/>
      <c r="F997" s="102"/>
      <c r="G997" s="102"/>
      <c r="H997" s="175"/>
      <c r="I997" s="98"/>
      <c r="J997" s="98"/>
      <c r="K997" s="135"/>
      <c r="L997" s="61"/>
      <c r="M997" s="49"/>
      <c r="N997" s="37"/>
      <c r="O997" s="37"/>
      <c r="P997" s="37"/>
      <c r="Z997" s="4"/>
      <c r="AA997"/>
      <c r="AB997"/>
    </row>
    <row r="998" spans="1:28" s="3" customFormat="1" x14ac:dyDescent="0.15">
      <c r="A998" s="165"/>
      <c r="B998" s="93"/>
      <c r="C998" s="102"/>
      <c r="D998" s="62"/>
      <c r="E998" s="102"/>
      <c r="F998" s="102"/>
      <c r="G998" s="102"/>
      <c r="H998" s="175"/>
      <c r="I998" s="85"/>
      <c r="J998" s="104"/>
      <c r="K998" s="144"/>
      <c r="L998" s="61"/>
      <c r="M998" s="49"/>
      <c r="N998" s="37"/>
      <c r="O998" s="37"/>
      <c r="P998" s="37"/>
      <c r="Z998" s="4"/>
      <c r="AA998"/>
      <c r="AB998"/>
    </row>
    <row r="999" spans="1:28" s="3" customFormat="1" x14ac:dyDescent="0.15">
      <c r="A999" s="165"/>
      <c r="B999" s="93"/>
      <c r="C999" s="102"/>
      <c r="D999" s="62"/>
      <c r="E999" s="102"/>
      <c r="F999" s="102"/>
      <c r="G999" s="102"/>
      <c r="H999" s="175"/>
      <c r="I999" s="85"/>
      <c r="J999" s="104"/>
      <c r="K999" s="144"/>
      <c r="L999" s="61"/>
      <c r="M999" s="49"/>
      <c r="N999" s="37"/>
      <c r="O999" s="37"/>
      <c r="P999" s="37"/>
      <c r="Z999" s="4"/>
      <c r="AA999"/>
      <c r="AB999"/>
    </row>
    <row r="1000" spans="1:28" s="3" customFormat="1" x14ac:dyDescent="0.15">
      <c r="A1000" s="165"/>
      <c r="B1000" s="93"/>
      <c r="C1000" s="102"/>
      <c r="D1000" s="62"/>
      <c r="E1000" s="102"/>
      <c r="F1000" s="102"/>
      <c r="G1000" s="102"/>
      <c r="H1000" s="175"/>
      <c r="I1000" s="85"/>
      <c r="J1000" s="104"/>
      <c r="K1000" s="144"/>
      <c r="L1000" s="61"/>
      <c r="M1000" s="49"/>
      <c r="N1000" s="37"/>
      <c r="O1000" s="37"/>
      <c r="P1000" s="37"/>
      <c r="Z1000" s="4"/>
      <c r="AA1000"/>
      <c r="AB1000"/>
    </row>
    <row r="1001" spans="1:28" s="3" customFormat="1" x14ac:dyDescent="0.15">
      <c r="A1001" s="165"/>
      <c r="B1001" s="93"/>
      <c r="C1001" s="102"/>
      <c r="D1001" s="62"/>
      <c r="E1001" s="102"/>
      <c r="F1001" s="102"/>
      <c r="G1001" s="102"/>
      <c r="H1001" s="175"/>
      <c r="I1001" s="85"/>
      <c r="J1001" s="104"/>
      <c r="K1001" s="144"/>
      <c r="L1001" s="61"/>
      <c r="M1001" s="49"/>
      <c r="N1001" s="37"/>
      <c r="O1001" s="37"/>
      <c r="P1001" s="37"/>
      <c r="Q1001"/>
      <c r="R1001"/>
      <c r="Z1001" s="4"/>
      <c r="AA1001"/>
      <c r="AB1001"/>
    </row>
    <row r="1002" spans="1:28" s="3" customFormat="1" x14ac:dyDescent="0.15">
      <c r="A1002" s="165"/>
      <c r="B1002" s="93"/>
      <c r="C1002" s="102"/>
      <c r="D1002" s="62"/>
      <c r="E1002" s="102"/>
      <c r="F1002" s="102"/>
      <c r="G1002" s="102"/>
      <c r="H1002" s="175"/>
      <c r="I1002" s="85"/>
      <c r="J1002" s="104"/>
      <c r="K1002" s="144"/>
      <c r="L1002" s="61"/>
      <c r="M1002" s="49"/>
      <c r="N1002" s="37"/>
      <c r="O1002" s="37"/>
      <c r="P1002" s="37"/>
      <c r="Z1002" s="4"/>
      <c r="AA1002"/>
      <c r="AB1002"/>
    </row>
    <row r="1003" spans="1:28" s="3" customFormat="1" x14ac:dyDescent="0.15">
      <c r="A1003" s="165"/>
      <c r="B1003" s="93"/>
      <c r="C1003" s="102"/>
      <c r="D1003" s="62"/>
      <c r="E1003" s="102"/>
      <c r="F1003" s="102"/>
      <c r="G1003" s="102"/>
      <c r="H1003" s="175"/>
      <c r="I1003" s="85"/>
      <c r="J1003" s="104"/>
      <c r="K1003" s="144"/>
      <c r="L1003" s="61"/>
      <c r="M1003" s="49"/>
      <c r="N1003" s="37"/>
      <c r="O1003" s="37"/>
      <c r="P1003" s="37"/>
      <c r="Z1003" s="4"/>
      <c r="AA1003"/>
      <c r="AB1003"/>
    </row>
    <row r="1004" spans="1:28" s="3" customFormat="1" x14ac:dyDescent="0.15">
      <c r="A1004" s="165"/>
      <c r="B1004" s="93"/>
      <c r="C1004" s="102"/>
      <c r="D1004" s="62"/>
      <c r="E1004" s="102"/>
      <c r="F1004" s="102"/>
      <c r="G1004" s="102"/>
      <c r="H1004" s="175"/>
      <c r="I1004" s="85"/>
      <c r="J1004" s="104"/>
      <c r="K1004" s="144"/>
      <c r="L1004" s="61"/>
      <c r="M1004" s="49"/>
      <c r="N1004" s="37"/>
      <c r="O1004" s="37"/>
      <c r="P1004" s="37"/>
      <c r="Z1004" s="4"/>
      <c r="AA1004"/>
      <c r="AB1004"/>
    </row>
    <row r="1005" spans="1:28" s="3" customFormat="1" x14ac:dyDescent="0.15">
      <c r="A1005" s="165"/>
      <c r="B1005" s="93"/>
      <c r="C1005" s="102"/>
      <c r="D1005" s="62"/>
      <c r="E1005" s="100"/>
      <c r="F1005" s="102"/>
      <c r="G1005" s="102"/>
      <c r="H1005" s="175"/>
      <c r="I1005" s="85"/>
      <c r="J1005" s="104"/>
      <c r="K1005" s="144"/>
      <c r="L1005" s="61"/>
      <c r="M1005" s="49"/>
      <c r="N1005" s="37"/>
      <c r="O1005" s="37"/>
      <c r="P1005" s="37"/>
      <c r="Z1005" s="4"/>
      <c r="AA1005"/>
      <c r="AB1005"/>
    </row>
    <row r="1006" spans="1:28" s="37" customFormat="1" x14ac:dyDescent="0.15">
      <c r="A1006" s="165"/>
      <c r="B1006" s="93"/>
      <c r="C1006" s="102"/>
      <c r="D1006" s="62"/>
      <c r="E1006" s="102"/>
      <c r="F1006" s="102"/>
      <c r="G1006" s="102"/>
      <c r="H1006" s="175"/>
      <c r="I1006" s="85"/>
      <c r="J1006" s="104"/>
      <c r="K1006" s="144"/>
      <c r="L1006" s="62"/>
      <c r="M1006" s="49"/>
      <c r="Q1006" s="3"/>
      <c r="R1006" s="3"/>
      <c r="S1006" s="3"/>
      <c r="T1006" s="3"/>
      <c r="U1006" s="3"/>
      <c r="V1006" s="3"/>
      <c r="W1006" s="3"/>
      <c r="X1006" s="3"/>
      <c r="Y1006" s="3"/>
      <c r="Z1006" s="4"/>
      <c r="AA1006"/>
      <c r="AB1006"/>
    </row>
    <row r="1007" spans="1:28" s="37" customFormat="1" x14ac:dyDescent="0.15">
      <c r="A1007" s="165"/>
      <c r="B1007" s="93"/>
      <c r="C1007" s="102"/>
      <c r="D1007" s="62"/>
      <c r="E1007" s="102"/>
      <c r="F1007" s="102"/>
      <c r="G1007" s="102"/>
      <c r="H1007" s="175"/>
      <c r="I1007" s="98"/>
      <c r="J1007" s="98"/>
      <c r="K1007" s="135"/>
      <c r="L1007" s="62"/>
      <c r="M1007" s="49"/>
      <c r="Q1007" s="3"/>
      <c r="R1007" s="3"/>
      <c r="S1007" s="3"/>
      <c r="T1007" s="3"/>
      <c r="U1007" s="3"/>
      <c r="V1007" s="3"/>
      <c r="W1007" s="3"/>
      <c r="X1007" s="3"/>
      <c r="Y1007" s="3"/>
      <c r="Z1007" s="4"/>
      <c r="AA1007"/>
      <c r="AB1007"/>
    </row>
    <row r="1008" spans="1:28" s="37" customFormat="1" x14ac:dyDescent="0.15">
      <c r="A1008" s="165"/>
      <c r="B1008" s="93"/>
      <c r="C1008" s="102"/>
      <c r="D1008" s="62"/>
      <c r="E1008" s="102"/>
      <c r="F1008" s="102"/>
      <c r="G1008" s="102"/>
      <c r="H1008" s="175"/>
      <c r="I1008" s="85"/>
      <c r="J1008" s="104"/>
      <c r="K1008" s="144"/>
      <c r="L1008" s="62"/>
      <c r="M1008" s="49"/>
      <c r="Q1008" s="3"/>
      <c r="R1008" s="3"/>
      <c r="S1008" s="3"/>
      <c r="T1008" s="3"/>
      <c r="U1008" s="3"/>
      <c r="V1008" s="3"/>
      <c r="W1008" s="3"/>
      <c r="X1008" s="3"/>
      <c r="Y1008" s="3"/>
      <c r="Z1008" s="4"/>
      <c r="AA1008"/>
      <c r="AB1008"/>
    </row>
    <row r="1009" spans="1:28" s="37" customFormat="1" x14ac:dyDescent="0.15">
      <c r="A1009" s="165"/>
      <c r="B1009" s="93"/>
      <c r="C1009" s="102"/>
      <c r="D1009" s="62"/>
      <c r="E1009" s="102"/>
      <c r="F1009" s="102"/>
      <c r="G1009" s="102"/>
      <c r="H1009" s="175"/>
      <c r="I1009" s="85"/>
      <c r="J1009" s="104"/>
      <c r="K1009" s="144"/>
      <c r="L1009" s="62"/>
      <c r="M1009" s="49"/>
      <c r="Q1009" s="3"/>
      <c r="R1009" s="3"/>
      <c r="S1009" s="3"/>
      <c r="T1009" s="3"/>
      <c r="U1009" s="3"/>
      <c r="V1009" s="3"/>
      <c r="W1009" s="3"/>
      <c r="X1009" s="3"/>
      <c r="Y1009" s="3"/>
      <c r="Z1009" s="4"/>
      <c r="AA1009"/>
      <c r="AB1009"/>
    </row>
    <row r="1010" spans="1:28" s="37" customFormat="1" x14ac:dyDescent="0.15">
      <c r="A1010" s="165"/>
      <c r="B1010" s="93"/>
      <c r="C1010" s="102"/>
      <c r="D1010" s="62"/>
      <c r="E1010" s="102"/>
      <c r="F1010" s="102"/>
      <c r="G1010" s="102"/>
      <c r="H1010" s="175"/>
      <c r="I1010" s="85"/>
      <c r="J1010" s="104"/>
      <c r="K1010" s="144"/>
      <c r="L1010" s="62"/>
      <c r="M1010" s="49"/>
      <c r="Q1010" s="3"/>
      <c r="R1010" s="3"/>
      <c r="S1010" s="3"/>
      <c r="T1010" s="3"/>
      <c r="U1010" s="3"/>
      <c r="V1010" s="3"/>
      <c r="W1010" s="3"/>
      <c r="X1010" s="3"/>
      <c r="Y1010" s="3"/>
      <c r="Z1010" s="4"/>
      <c r="AA1010"/>
      <c r="AB1010"/>
    </row>
    <row r="1011" spans="1:28" s="37" customFormat="1" x14ac:dyDescent="0.15">
      <c r="A1011" s="165"/>
      <c r="B1011" s="93"/>
      <c r="C1011" s="102"/>
      <c r="D1011" s="62"/>
      <c r="E1011" s="102"/>
      <c r="F1011" s="102"/>
      <c r="G1011" s="102"/>
      <c r="H1011" s="175"/>
      <c r="I1011" s="85"/>
      <c r="J1011" s="104"/>
      <c r="K1011" s="144"/>
      <c r="L1011" s="62"/>
      <c r="M1011" s="49"/>
      <c r="Q1011" s="3"/>
      <c r="R1011" s="3"/>
      <c r="S1011" s="3"/>
      <c r="T1011" s="3"/>
      <c r="U1011" s="3"/>
      <c r="V1011" s="3"/>
      <c r="W1011" s="3"/>
      <c r="X1011" s="3"/>
      <c r="Y1011" s="3"/>
      <c r="Z1011" s="4"/>
      <c r="AA1011"/>
      <c r="AB1011"/>
    </row>
    <row r="1012" spans="1:28" s="37" customFormat="1" x14ac:dyDescent="0.15">
      <c r="A1012" s="165"/>
      <c r="B1012" s="93"/>
      <c r="C1012" s="102"/>
      <c r="D1012" s="62"/>
      <c r="E1012" s="102"/>
      <c r="F1012" s="102"/>
      <c r="G1012" s="102"/>
      <c r="H1012" s="175"/>
      <c r="I1012" s="85"/>
      <c r="J1012" s="104"/>
      <c r="K1012" s="144"/>
      <c r="L1012" s="62"/>
      <c r="M1012" s="49"/>
      <c r="Q1012" s="3"/>
      <c r="R1012" s="3"/>
      <c r="S1012" s="3"/>
      <c r="T1012" s="3"/>
      <c r="U1012" s="3"/>
      <c r="V1012" s="3"/>
      <c r="W1012" s="3"/>
      <c r="X1012" s="3"/>
      <c r="Y1012" s="3"/>
      <c r="Z1012" s="4"/>
      <c r="AA1012"/>
      <c r="AB1012"/>
    </row>
    <row r="1013" spans="1:28" s="37" customFormat="1" x14ac:dyDescent="0.15">
      <c r="A1013" s="165"/>
      <c r="B1013" s="93"/>
      <c r="C1013" s="102"/>
      <c r="D1013" s="62"/>
      <c r="E1013" s="102"/>
      <c r="F1013" s="102"/>
      <c r="G1013" s="102"/>
      <c r="H1013" s="175"/>
      <c r="I1013" s="85"/>
      <c r="J1013" s="104"/>
      <c r="K1013" s="144"/>
      <c r="L1013" s="62"/>
      <c r="M1013" s="49"/>
      <c r="Q1013" s="3"/>
      <c r="R1013" s="3"/>
      <c r="S1013" s="3"/>
      <c r="T1013" s="3"/>
      <c r="U1013" s="3"/>
      <c r="V1013" s="3"/>
      <c r="W1013" s="3"/>
      <c r="X1013" s="3"/>
      <c r="Y1013" s="3"/>
      <c r="Z1013" s="4"/>
      <c r="AA1013"/>
      <c r="AB1013"/>
    </row>
    <row r="1014" spans="1:28" s="37" customFormat="1" x14ac:dyDescent="0.15">
      <c r="A1014" s="165"/>
      <c r="B1014" s="93"/>
      <c r="C1014" s="102"/>
      <c r="D1014" s="62"/>
      <c r="E1014" s="102"/>
      <c r="F1014" s="102"/>
      <c r="G1014" s="102"/>
      <c r="H1014" s="175"/>
      <c r="I1014" s="85"/>
      <c r="J1014" s="104"/>
      <c r="K1014" s="144"/>
      <c r="L1014" s="62"/>
      <c r="M1014" s="49"/>
      <c r="Q1014" s="3"/>
      <c r="R1014" s="3"/>
      <c r="S1014" s="3"/>
      <c r="T1014" s="3"/>
      <c r="U1014" s="3"/>
      <c r="V1014" s="3"/>
      <c r="W1014" s="3"/>
      <c r="X1014" s="3"/>
      <c r="Y1014" s="3"/>
      <c r="Z1014" s="4"/>
      <c r="AA1014"/>
      <c r="AB1014"/>
    </row>
    <row r="1015" spans="1:28" s="37" customFormat="1" x14ac:dyDescent="0.15">
      <c r="A1015" s="165"/>
      <c r="B1015" s="93"/>
      <c r="C1015" s="102"/>
      <c r="D1015" s="62"/>
      <c r="E1015" s="102"/>
      <c r="F1015" s="102"/>
      <c r="G1015" s="102"/>
      <c r="H1015" s="175"/>
      <c r="I1015" s="85"/>
      <c r="J1015" s="104"/>
      <c r="K1015" s="144"/>
      <c r="L1015" s="62"/>
      <c r="M1015" s="49"/>
      <c r="Q1015" s="3"/>
      <c r="R1015" s="3"/>
      <c r="S1015" s="3"/>
      <c r="T1015" s="3"/>
      <c r="U1015" s="3"/>
      <c r="V1015" s="3"/>
      <c r="W1015" s="3"/>
      <c r="X1015" s="3"/>
      <c r="Y1015" s="3"/>
      <c r="Z1015" s="4"/>
      <c r="AA1015"/>
      <c r="AB1015"/>
    </row>
    <row r="1016" spans="1:28" s="37" customFormat="1" x14ac:dyDescent="0.15">
      <c r="A1016" s="165"/>
      <c r="B1016" s="93"/>
      <c r="C1016" s="102"/>
      <c r="D1016" s="62"/>
      <c r="E1016" s="102"/>
      <c r="F1016" s="102"/>
      <c r="G1016" s="102"/>
      <c r="H1016" s="175"/>
      <c r="I1016" s="85"/>
      <c r="J1016" s="104"/>
      <c r="K1016" s="144"/>
      <c r="L1016" s="62"/>
      <c r="M1016" s="49"/>
      <c r="Q1016" s="3"/>
      <c r="R1016" s="3"/>
      <c r="S1016" s="3"/>
      <c r="T1016" s="3"/>
      <c r="U1016" s="3"/>
      <c r="V1016" s="3"/>
      <c r="W1016" s="3"/>
      <c r="X1016" s="3"/>
      <c r="Y1016" s="3"/>
      <c r="Z1016" s="4"/>
      <c r="AA1016"/>
      <c r="AB1016"/>
    </row>
    <row r="1017" spans="1:28" s="37" customFormat="1" x14ac:dyDescent="0.15">
      <c r="A1017" s="165"/>
      <c r="B1017" s="93"/>
      <c r="C1017" s="102"/>
      <c r="D1017" s="62"/>
      <c r="E1017" s="102"/>
      <c r="F1017" s="102"/>
      <c r="G1017" s="102"/>
      <c r="H1017" s="175"/>
      <c r="I1017" s="85"/>
      <c r="J1017" s="104"/>
      <c r="K1017" s="144"/>
      <c r="L1017" s="62"/>
      <c r="M1017" s="49"/>
      <c r="Q1017" s="3"/>
      <c r="R1017" s="3"/>
      <c r="S1017" s="3"/>
      <c r="T1017" s="3"/>
      <c r="U1017" s="3"/>
      <c r="V1017" s="3"/>
      <c r="W1017" s="3"/>
      <c r="X1017" s="3"/>
      <c r="Y1017" s="3"/>
      <c r="Z1017" s="4"/>
      <c r="AA1017"/>
      <c r="AB1017"/>
    </row>
    <row r="1018" spans="1:28" s="37" customFormat="1" x14ac:dyDescent="0.15">
      <c r="A1018" s="165"/>
      <c r="B1018" s="93"/>
      <c r="C1018" s="102"/>
      <c r="D1018" s="62"/>
      <c r="E1018" s="102"/>
      <c r="F1018" s="102"/>
      <c r="G1018" s="102"/>
      <c r="H1018" s="175"/>
      <c r="I1018" s="85"/>
      <c r="J1018" s="104"/>
      <c r="K1018" s="144"/>
      <c r="L1018" s="62"/>
      <c r="M1018" s="49"/>
      <c r="Q1018" s="3"/>
      <c r="R1018" s="3"/>
      <c r="S1018" s="3"/>
      <c r="T1018" s="3"/>
      <c r="U1018" s="3"/>
      <c r="V1018" s="3"/>
      <c r="W1018" s="3"/>
      <c r="X1018" s="3"/>
      <c r="Y1018" s="3"/>
      <c r="Z1018" s="4"/>
      <c r="AA1018"/>
      <c r="AB1018"/>
    </row>
    <row r="1019" spans="1:28" s="37" customFormat="1" x14ac:dyDescent="0.15">
      <c r="A1019" s="165"/>
      <c r="B1019" s="93"/>
      <c r="C1019" s="102"/>
      <c r="D1019" s="62"/>
      <c r="E1019" s="102"/>
      <c r="F1019" s="102"/>
      <c r="G1019" s="102"/>
      <c r="H1019" s="175"/>
      <c r="I1019" s="85"/>
      <c r="J1019" s="104"/>
      <c r="K1019" s="144"/>
      <c r="L1019" s="62"/>
      <c r="M1019" s="49"/>
      <c r="Q1019" s="3"/>
      <c r="R1019" s="3"/>
      <c r="S1019" s="3"/>
      <c r="T1019" s="3"/>
      <c r="U1019" s="3"/>
      <c r="V1019" s="3"/>
      <c r="W1019" s="3"/>
      <c r="X1019" s="3"/>
      <c r="Y1019" s="3"/>
      <c r="Z1019" s="4"/>
      <c r="AA1019"/>
      <c r="AB1019"/>
    </row>
    <row r="1020" spans="1:28" s="37" customFormat="1" x14ac:dyDescent="0.15">
      <c r="A1020" s="165"/>
      <c r="B1020" s="93"/>
      <c r="C1020" s="102"/>
      <c r="D1020" s="62"/>
      <c r="E1020" s="102"/>
      <c r="F1020" s="102"/>
      <c r="G1020" s="102"/>
      <c r="H1020" s="175"/>
      <c r="I1020" s="85"/>
      <c r="J1020" s="104"/>
      <c r="K1020" s="144"/>
      <c r="L1020" s="62"/>
      <c r="M1020" s="49"/>
      <c r="Q1020" s="3"/>
      <c r="R1020" s="3"/>
      <c r="S1020" s="3"/>
      <c r="T1020" s="3"/>
      <c r="U1020" s="3"/>
      <c r="V1020" s="3"/>
      <c r="W1020" s="3"/>
      <c r="X1020" s="3"/>
      <c r="Y1020" s="3"/>
      <c r="Z1020" s="4"/>
      <c r="AA1020"/>
      <c r="AB1020"/>
    </row>
    <row r="1021" spans="1:28" s="37" customFormat="1" x14ac:dyDescent="0.15">
      <c r="A1021" s="165"/>
      <c r="B1021" s="93"/>
      <c r="C1021" s="100"/>
      <c r="D1021" s="61"/>
      <c r="E1021" s="100"/>
      <c r="F1021" s="100"/>
      <c r="G1021" s="100"/>
      <c r="H1021" s="177"/>
      <c r="I1021" s="85"/>
      <c r="J1021" s="101"/>
      <c r="K1021" s="143"/>
      <c r="L1021" s="61"/>
      <c r="M1021" s="49"/>
      <c r="N1021" s="51"/>
      <c r="O1021" s="35"/>
      <c r="Q1021" s="3"/>
      <c r="R1021" s="3"/>
      <c r="S1021" s="3"/>
      <c r="T1021" s="3"/>
      <c r="U1021" s="3"/>
      <c r="V1021" s="3"/>
      <c r="W1021" s="3"/>
      <c r="X1021" s="3"/>
      <c r="Y1021" s="3"/>
      <c r="Z1021" s="4"/>
      <c r="AA1021"/>
      <c r="AB1021"/>
    </row>
    <row r="1022" spans="1:28" s="3" customFormat="1" x14ac:dyDescent="0.15">
      <c r="A1022" s="165"/>
      <c r="B1022" s="93"/>
      <c r="C1022" s="100"/>
      <c r="D1022" s="61"/>
      <c r="E1022" s="100"/>
      <c r="F1022" s="100"/>
      <c r="G1022" s="100"/>
      <c r="H1022" s="177"/>
      <c r="I1022" s="85"/>
      <c r="J1022" s="101"/>
      <c r="K1022" s="143"/>
      <c r="L1022" s="61"/>
      <c r="M1022" s="50"/>
      <c r="N1022" s="35"/>
      <c r="O1022" s="37"/>
      <c r="P1022" s="37"/>
      <c r="Z1022" s="4"/>
      <c r="AA1022"/>
      <c r="AB1022"/>
    </row>
    <row r="1023" spans="1:28" s="3" customFormat="1" x14ac:dyDescent="0.15">
      <c r="A1023" s="165"/>
      <c r="B1023" s="93"/>
      <c r="C1023" s="100"/>
      <c r="D1023" s="61"/>
      <c r="E1023" s="100"/>
      <c r="F1023" s="100"/>
      <c r="G1023" s="100"/>
      <c r="H1023" s="177"/>
      <c r="I1023" s="85"/>
      <c r="J1023" s="101"/>
      <c r="K1023" s="143"/>
      <c r="L1023" s="61"/>
      <c r="M1023" s="50"/>
      <c r="N1023" s="35"/>
      <c r="O1023" s="35"/>
      <c r="P1023" s="37"/>
      <c r="Z1023" s="4"/>
      <c r="AA1023"/>
      <c r="AB1023"/>
    </row>
    <row r="1024" spans="1:28" s="3" customFormat="1" x14ac:dyDescent="0.15">
      <c r="A1024" s="165"/>
      <c r="B1024" s="93"/>
      <c r="C1024" s="102"/>
      <c r="D1024" s="62"/>
      <c r="E1024" s="102"/>
      <c r="F1024" s="102"/>
      <c r="G1024" s="102"/>
      <c r="H1024" s="175"/>
      <c r="I1024" s="85"/>
      <c r="J1024" s="104"/>
      <c r="K1024" s="143"/>
      <c r="L1024" s="61"/>
      <c r="M1024" s="50"/>
      <c r="N1024" s="37"/>
      <c r="O1024" s="51"/>
      <c r="P1024" s="37"/>
      <c r="Z1024" s="4"/>
      <c r="AA1024"/>
      <c r="AB1024"/>
    </row>
    <row r="1025" spans="1:28" s="3" customFormat="1" x14ac:dyDescent="0.15">
      <c r="A1025" s="165"/>
      <c r="B1025" s="93"/>
      <c r="C1025" s="102"/>
      <c r="D1025" s="62"/>
      <c r="E1025" s="102"/>
      <c r="F1025" s="102"/>
      <c r="G1025" s="102"/>
      <c r="H1025" s="175"/>
      <c r="I1025" s="85"/>
      <c r="J1025" s="104"/>
      <c r="K1025" s="143"/>
      <c r="L1025" s="61"/>
      <c r="M1025" s="35"/>
      <c r="N1025" s="37"/>
      <c r="O1025" s="37"/>
      <c r="P1025" s="37"/>
      <c r="Z1025" s="4"/>
      <c r="AA1025"/>
      <c r="AB1025"/>
    </row>
    <row r="1026" spans="1:28" s="3" customFormat="1" x14ac:dyDescent="0.15">
      <c r="A1026" s="165"/>
      <c r="B1026" s="93"/>
      <c r="C1026" s="102"/>
      <c r="D1026" s="62"/>
      <c r="E1026" s="102"/>
      <c r="F1026" s="102"/>
      <c r="G1026" s="102"/>
      <c r="H1026" s="175"/>
      <c r="I1026" s="85"/>
      <c r="J1026" s="104"/>
      <c r="K1026" s="143"/>
      <c r="L1026" s="61"/>
      <c r="M1026" s="35"/>
      <c r="N1026" s="37"/>
      <c r="O1026" s="37"/>
      <c r="P1026" s="37"/>
      <c r="Z1026" s="4"/>
      <c r="AA1026"/>
      <c r="AB1026"/>
    </row>
    <row r="1027" spans="1:28" s="3" customFormat="1" x14ac:dyDescent="0.15">
      <c r="A1027" s="165"/>
      <c r="B1027" s="93"/>
      <c r="C1027" s="102"/>
      <c r="D1027" s="62"/>
      <c r="E1027" s="102"/>
      <c r="F1027" s="102"/>
      <c r="G1027" s="102"/>
      <c r="H1027" s="175"/>
      <c r="I1027" s="85"/>
      <c r="J1027" s="104"/>
      <c r="K1027" s="143"/>
      <c r="L1027" s="61"/>
      <c r="M1027" s="49"/>
      <c r="N1027" s="37"/>
      <c r="O1027" s="51"/>
      <c r="P1027" s="33"/>
      <c r="Z1027" s="4"/>
      <c r="AA1027"/>
      <c r="AB1027"/>
    </row>
    <row r="1028" spans="1:28" s="3" customFormat="1" x14ac:dyDescent="0.15">
      <c r="A1028" s="165"/>
      <c r="B1028" s="93"/>
      <c r="C1028" s="102"/>
      <c r="D1028" s="62"/>
      <c r="E1028" s="102"/>
      <c r="F1028" s="102"/>
      <c r="G1028" s="102"/>
      <c r="H1028" s="175"/>
      <c r="I1028" s="85"/>
      <c r="J1028" s="104"/>
      <c r="K1028" s="143"/>
      <c r="L1028" s="61"/>
      <c r="M1028" s="50"/>
      <c r="N1028" s="51"/>
      <c r="O1028" s="51"/>
      <c r="P1028" s="37"/>
      <c r="Z1028" s="4"/>
      <c r="AA1028"/>
      <c r="AB1028"/>
    </row>
    <row r="1029" spans="1:28" s="3" customFormat="1" x14ac:dyDescent="0.15">
      <c r="A1029" s="165"/>
      <c r="B1029" s="93"/>
      <c r="C1029" s="102"/>
      <c r="D1029" s="62"/>
      <c r="E1029" s="102"/>
      <c r="F1029" s="102"/>
      <c r="G1029" s="102"/>
      <c r="H1029" s="175"/>
      <c r="I1029" s="85"/>
      <c r="J1029" s="104"/>
      <c r="K1029" s="143"/>
      <c r="L1029" s="61"/>
      <c r="M1029" s="50"/>
      <c r="N1029" s="51"/>
      <c r="O1029" s="37"/>
      <c r="P1029" s="37"/>
      <c r="Z1029" s="4"/>
      <c r="AA1029"/>
      <c r="AB1029"/>
    </row>
    <row r="1030" spans="1:28" s="3" customFormat="1" x14ac:dyDescent="0.15">
      <c r="A1030" s="165"/>
      <c r="B1030" s="93"/>
      <c r="C1030" s="102"/>
      <c r="D1030" s="62"/>
      <c r="E1030" s="102"/>
      <c r="F1030" s="102"/>
      <c r="G1030" s="102"/>
      <c r="H1030" s="175"/>
      <c r="I1030" s="85"/>
      <c r="J1030" s="104"/>
      <c r="K1030" s="143"/>
      <c r="L1030" s="61"/>
      <c r="M1030" s="50"/>
      <c r="N1030" s="51"/>
      <c r="O1030" s="51"/>
      <c r="P1030" s="37"/>
      <c r="Z1030" s="4"/>
      <c r="AA1030"/>
      <c r="AB1030"/>
    </row>
    <row r="1031" spans="1:28" s="3" customFormat="1" x14ac:dyDescent="0.15">
      <c r="A1031" s="165"/>
      <c r="B1031" s="93"/>
      <c r="C1031" s="102"/>
      <c r="D1031" s="62"/>
      <c r="E1031" s="102"/>
      <c r="F1031" s="102"/>
      <c r="G1031" s="102"/>
      <c r="H1031" s="175"/>
      <c r="I1031" s="85"/>
      <c r="J1031" s="104"/>
      <c r="K1031" s="143"/>
      <c r="L1031" s="61"/>
      <c r="M1031" s="50"/>
      <c r="N1031" s="51"/>
      <c r="O1031" s="37"/>
      <c r="P1031" s="37"/>
      <c r="Z1031" s="4"/>
      <c r="AA1031"/>
      <c r="AB1031"/>
    </row>
    <row r="1032" spans="1:28" s="3" customFormat="1" x14ac:dyDescent="0.15">
      <c r="A1032" s="165"/>
      <c r="B1032" s="93"/>
      <c r="C1032" s="100"/>
      <c r="D1032" s="61"/>
      <c r="E1032" s="100"/>
      <c r="F1032" s="100"/>
      <c r="G1032" s="100"/>
      <c r="H1032" s="177"/>
      <c r="I1032" s="85"/>
      <c r="J1032" s="101"/>
      <c r="K1032" s="143"/>
      <c r="L1032" s="61"/>
      <c r="M1032" s="50"/>
      <c r="N1032" s="51"/>
      <c r="O1032" s="37"/>
      <c r="P1032" s="37"/>
      <c r="Z1032" s="4"/>
      <c r="AA1032"/>
      <c r="AB1032"/>
    </row>
    <row r="1033" spans="1:28" s="3" customFormat="1" x14ac:dyDescent="0.15">
      <c r="A1033" s="165"/>
      <c r="B1033" s="93"/>
      <c r="C1033" s="102"/>
      <c r="D1033" s="62"/>
      <c r="E1033" s="100"/>
      <c r="F1033" s="102"/>
      <c r="G1033" s="102"/>
      <c r="H1033" s="175"/>
      <c r="I1033" s="85"/>
      <c r="J1033" s="104"/>
      <c r="K1033" s="143"/>
      <c r="L1033" s="61"/>
      <c r="M1033" s="49"/>
      <c r="N1033" s="37"/>
      <c r="O1033" s="37"/>
      <c r="P1033" s="37"/>
      <c r="Z1033" s="4"/>
      <c r="AA1033"/>
      <c r="AB1033"/>
    </row>
    <row r="1034" spans="1:28" s="3" customFormat="1" x14ac:dyDescent="0.15">
      <c r="A1034" s="165"/>
      <c r="B1034" s="93"/>
      <c r="C1034" s="102"/>
      <c r="D1034" s="62"/>
      <c r="E1034" s="102"/>
      <c r="F1034" s="102"/>
      <c r="G1034" s="102"/>
      <c r="H1034" s="175"/>
      <c r="I1034" s="85"/>
      <c r="J1034" s="104"/>
      <c r="K1034" s="143"/>
      <c r="L1034" s="61"/>
      <c r="M1034" s="49"/>
      <c r="N1034" s="37"/>
      <c r="O1034" s="37"/>
      <c r="P1034" s="37"/>
      <c r="Z1034" s="4"/>
      <c r="AA1034"/>
      <c r="AB1034"/>
    </row>
    <row r="1035" spans="1:28" s="3" customFormat="1" x14ac:dyDescent="0.15">
      <c r="A1035" s="165"/>
      <c r="B1035" s="93"/>
      <c r="C1035" s="100"/>
      <c r="D1035" s="61"/>
      <c r="E1035" s="100"/>
      <c r="F1035" s="100"/>
      <c r="G1035" s="100"/>
      <c r="H1035" s="177"/>
      <c r="I1035" s="103"/>
      <c r="J1035" s="103"/>
      <c r="K1035" s="141"/>
      <c r="L1035" s="61"/>
      <c r="M1035" s="49"/>
      <c r="N1035" s="37"/>
      <c r="O1035" s="51"/>
      <c r="P1035" s="33"/>
      <c r="Z1035" s="4"/>
      <c r="AA1035"/>
      <c r="AB1035"/>
    </row>
    <row r="1036" spans="1:28" s="3" customFormat="1" x14ac:dyDescent="0.15">
      <c r="A1036" s="165"/>
      <c r="B1036" s="93"/>
      <c r="C1036" s="102"/>
      <c r="D1036" s="62"/>
      <c r="E1036" s="102"/>
      <c r="F1036" s="102"/>
      <c r="G1036" s="102"/>
      <c r="H1036" s="175"/>
      <c r="I1036" s="85"/>
      <c r="J1036" s="104"/>
      <c r="K1036" s="143"/>
      <c r="L1036" s="61"/>
      <c r="M1036" s="49"/>
      <c r="N1036" s="37"/>
      <c r="O1036" s="37"/>
      <c r="P1036" s="33"/>
      <c r="Z1036" s="4"/>
      <c r="AA1036"/>
      <c r="AB1036"/>
    </row>
    <row r="1037" spans="1:28" s="3" customFormat="1" x14ac:dyDescent="0.15">
      <c r="A1037" s="165"/>
      <c r="B1037" s="93"/>
      <c r="C1037" s="102"/>
      <c r="D1037" s="62"/>
      <c r="E1037" s="102"/>
      <c r="F1037" s="102"/>
      <c r="G1037" s="102"/>
      <c r="H1037" s="175"/>
      <c r="I1037" s="85"/>
      <c r="J1037" s="104"/>
      <c r="K1037" s="143"/>
      <c r="L1037" s="61"/>
      <c r="M1037" s="49"/>
      <c r="N1037" s="37"/>
      <c r="O1037" s="37"/>
      <c r="P1037" s="37"/>
      <c r="Z1037" s="4"/>
      <c r="AA1037"/>
      <c r="AB1037"/>
    </row>
    <row r="1038" spans="1:28" s="49" customFormat="1" x14ac:dyDescent="0.15">
      <c r="A1038" s="165"/>
      <c r="B1038" s="93"/>
      <c r="C1038" s="100"/>
      <c r="D1038" s="61"/>
      <c r="E1038" s="100"/>
      <c r="F1038" s="100"/>
      <c r="G1038" s="100"/>
      <c r="H1038" s="177"/>
      <c r="I1038" s="85"/>
      <c r="J1038" s="101"/>
      <c r="K1038" s="143"/>
      <c r="L1038" s="61"/>
      <c r="N1038" s="37"/>
      <c r="O1038" s="37"/>
      <c r="P1038" s="37"/>
      <c r="Q1038" s="3"/>
      <c r="R1038" s="3"/>
      <c r="S1038" s="3"/>
      <c r="T1038" s="3"/>
      <c r="U1038" s="3"/>
      <c r="V1038" s="3"/>
      <c r="W1038" s="3"/>
      <c r="X1038" s="3"/>
      <c r="Y1038" s="3"/>
      <c r="Z1038" s="4"/>
      <c r="AA1038"/>
      <c r="AB1038"/>
    </row>
    <row r="1039" spans="1:28" s="49" customFormat="1" x14ac:dyDescent="0.15">
      <c r="A1039" s="165"/>
      <c r="B1039" s="93"/>
      <c r="C1039" s="100"/>
      <c r="D1039" s="61"/>
      <c r="E1039" s="100"/>
      <c r="F1039" s="100"/>
      <c r="G1039" s="100"/>
      <c r="H1039" s="177"/>
      <c r="I1039" s="85"/>
      <c r="J1039" s="101"/>
      <c r="K1039" s="143"/>
      <c r="L1039" s="61"/>
      <c r="N1039" s="37"/>
      <c r="O1039" s="37"/>
      <c r="P1039" s="37"/>
      <c r="Q1039" s="3"/>
      <c r="R1039" s="3"/>
      <c r="S1039" s="3"/>
      <c r="T1039" s="3"/>
      <c r="U1039" s="3"/>
      <c r="V1039" s="3"/>
      <c r="W1039" s="3"/>
      <c r="X1039" s="3"/>
      <c r="Y1039" s="3"/>
      <c r="Z1039" s="4"/>
      <c r="AA1039"/>
      <c r="AB1039"/>
    </row>
    <row r="1040" spans="1:28" s="49" customFormat="1" x14ac:dyDescent="0.15">
      <c r="A1040" s="165"/>
      <c r="B1040" s="93"/>
      <c r="C1040" s="102"/>
      <c r="D1040" s="62"/>
      <c r="E1040" s="100"/>
      <c r="F1040" s="102"/>
      <c r="G1040" s="102"/>
      <c r="H1040" s="175"/>
      <c r="I1040" s="85"/>
      <c r="J1040" s="104"/>
      <c r="K1040" s="143"/>
      <c r="L1040" s="61"/>
      <c r="N1040" s="37"/>
      <c r="O1040" s="37"/>
      <c r="P1040" s="37"/>
      <c r="Q1040" s="3"/>
      <c r="R1040" s="3"/>
      <c r="S1040" s="3"/>
      <c r="T1040" s="3"/>
      <c r="U1040" s="3"/>
      <c r="V1040" s="3"/>
      <c r="W1040" s="3"/>
      <c r="X1040" s="3"/>
      <c r="Y1040" s="3"/>
      <c r="Z1040" s="4"/>
      <c r="AA1040"/>
      <c r="AB1040"/>
    </row>
    <row r="1041" spans="1:28" s="49" customFormat="1" x14ac:dyDescent="0.15">
      <c r="A1041" s="165"/>
      <c r="B1041" s="93"/>
      <c r="C1041" s="100"/>
      <c r="D1041" s="61"/>
      <c r="E1041" s="100"/>
      <c r="F1041" s="100"/>
      <c r="G1041" s="100"/>
      <c r="H1041" s="177"/>
      <c r="I1041" s="85"/>
      <c r="J1041" s="101"/>
      <c r="K1041" s="143"/>
      <c r="L1041" s="61"/>
      <c r="N1041" s="37"/>
      <c r="O1041" s="37"/>
      <c r="P1041" s="37"/>
      <c r="Q1041" s="3"/>
      <c r="R1041" s="3"/>
      <c r="S1041" s="3"/>
      <c r="T1041" s="3"/>
      <c r="U1041" s="3"/>
      <c r="V1041" s="3"/>
      <c r="W1041" s="3"/>
      <c r="X1041" s="3"/>
      <c r="Y1041" s="3"/>
      <c r="Z1041" s="4"/>
      <c r="AA1041"/>
      <c r="AB1041"/>
    </row>
    <row r="1042" spans="1:28" s="49" customFormat="1" x14ac:dyDescent="0.15">
      <c r="A1042" s="165"/>
      <c r="B1042" s="93"/>
      <c r="C1042" s="102"/>
      <c r="D1042" s="62"/>
      <c r="E1042" s="100"/>
      <c r="F1042" s="102"/>
      <c r="G1042" s="102"/>
      <c r="H1042" s="175"/>
      <c r="I1042" s="85"/>
      <c r="J1042" s="104"/>
      <c r="K1042" s="143"/>
      <c r="L1042" s="61"/>
      <c r="N1042" s="37"/>
      <c r="O1042" s="37"/>
      <c r="P1042" s="37"/>
      <c r="Q1042" s="3"/>
      <c r="R1042" s="3"/>
      <c r="S1042" s="3"/>
      <c r="T1042" s="3"/>
      <c r="U1042" s="3"/>
      <c r="V1042" s="3"/>
      <c r="W1042" s="3"/>
      <c r="X1042" s="3"/>
      <c r="Y1042" s="3"/>
      <c r="Z1042" s="4"/>
      <c r="AA1042"/>
      <c r="AB1042"/>
    </row>
    <row r="1043" spans="1:28" s="49" customFormat="1" x14ac:dyDescent="0.15">
      <c r="A1043" s="165"/>
      <c r="B1043" s="93"/>
      <c r="C1043" s="102"/>
      <c r="D1043" s="62"/>
      <c r="E1043" s="102"/>
      <c r="F1043" s="102"/>
      <c r="G1043" s="102"/>
      <c r="H1043" s="175"/>
      <c r="I1043" s="85"/>
      <c r="J1043" s="104"/>
      <c r="K1043" s="143"/>
      <c r="L1043" s="61"/>
      <c r="N1043" s="37"/>
      <c r="O1043" s="37"/>
      <c r="P1043" s="37"/>
      <c r="Q1043" s="3"/>
      <c r="R1043" s="3"/>
      <c r="S1043" s="3"/>
      <c r="T1043" s="3"/>
      <c r="U1043" s="3"/>
      <c r="V1043" s="3"/>
      <c r="W1043" s="3"/>
      <c r="X1043" s="3"/>
      <c r="Y1043" s="3"/>
      <c r="Z1043" s="4"/>
      <c r="AA1043"/>
      <c r="AB1043"/>
    </row>
    <row r="1044" spans="1:28" s="49" customFormat="1" x14ac:dyDescent="0.15">
      <c r="A1044" s="165"/>
      <c r="B1044" s="93"/>
      <c r="C1044" s="102"/>
      <c r="D1044" s="62"/>
      <c r="E1044" s="102"/>
      <c r="F1044" s="102"/>
      <c r="G1044" s="102"/>
      <c r="H1044" s="175"/>
      <c r="I1044" s="85"/>
      <c r="J1044" s="104"/>
      <c r="K1044" s="143"/>
      <c r="L1044" s="61"/>
      <c r="N1044" s="37"/>
      <c r="O1044" s="37"/>
      <c r="P1044" s="37"/>
      <c r="Q1044" s="3"/>
      <c r="R1044" s="3"/>
      <c r="S1044" s="3"/>
      <c r="T1044" s="3"/>
      <c r="U1044" s="3"/>
      <c r="V1044" s="3"/>
      <c r="W1044" s="3"/>
      <c r="X1044" s="3"/>
      <c r="Y1044" s="3"/>
      <c r="Z1044" s="4"/>
      <c r="AA1044"/>
      <c r="AB1044"/>
    </row>
    <row r="1045" spans="1:28" s="49" customFormat="1" x14ac:dyDescent="0.15">
      <c r="A1045" s="165"/>
      <c r="B1045" s="93"/>
      <c r="C1045" s="102"/>
      <c r="D1045" s="62"/>
      <c r="E1045" s="102"/>
      <c r="F1045" s="102"/>
      <c r="G1045" s="102"/>
      <c r="H1045" s="175"/>
      <c r="I1045" s="85"/>
      <c r="J1045" s="104"/>
      <c r="K1045" s="143"/>
      <c r="L1045" s="61"/>
      <c r="N1045" s="37"/>
      <c r="O1045" s="37"/>
      <c r="P1045" s="37"/>
      <c r="Q1045" s="3"/>
      <c r="R1045" s="3"/>
      <c r="S1045" s="3"/>
      <c r="T1045" s="3"/>
      <c r="U1045" s="3"/>
      <c r="V1045" s="3"/>
      <c r="W1045" s="3"/>
      <c r="X1045" s="3"/>
      <c r="Y1045" s="3"/>
      <c r="Z1045" s="4"/>
      <c r="AA1045"/>
      <c r="AB1045"/>
    </row>
    <row r="1046" spans="1:28" s="49" customFormat="1" x14ac:dyDescent="0.15">
      <c r="A1046" s="165"/>
      <c r="B1046" s="82"/>
      <c r="C1046" s="107"/>
      <c r="D1046" s="62"/>
      <c r="E1046" s="107"/>
      <c r="F1046" s="107"/>
      <c r="G1046" s="107"/>
      <c r="H1046" s="179"/>
      <c r="I1046" s="85"/>
      <c r="J1046" s="104"/>
      <c r="K1046" s="144"/>
      <c r="L1046" s="61"/>
      <c r="N1046" s="37"/>
      <c r="O1046" s="37"/>
      <c r="P1046" s="37"/>
      <c r="Q1046" s="3"/>
      <c r="R1046" s="3"/>
      <c r="S1046" s="3"/>
      <c r="T1046" s="3"/>
      <c r="U1046" s="3"/>
      <c r="V1046" s="3"/>
      <c r="W1046" s="3"/>
      <c r="X1046" s="3"/>
      <c r="Y1046" s="3"/>
      <c r="Z1046" s="4"/>
      <c r="AA1046"/>
      <c r="AB1046"/>
    </row>
    <row r="1047" spans="1:28" s="49" customFormat="1" x14ac:dyDescent="0.15">
      <c r="A1047" s="165"/>
      <c r="B1047" s="93"/>
      <c r="C1047" s="102"/>
      <c r="D1047" s="62"/>
      <c r="E1047" s="102"/>
      <c r="F1047" s="102"/>
      <c r="G1047" s="102"/>
      <c r="H1047" s="175"/>
      <c r="I1047" s="85"/>
      <c r="J1047" s="104"/>
      <c r="K1047" s="144"/>
      <c r="L1047" s="61"/>
      <c r="N1047" s="37"/>
      <c r="O1047" s="37"/>
      <c r="P1047" s="37"/>
      <c r="Q1047" s="3"/>
      <c r="R1047" s="3"/>
      <c r="S1047" s="3"/>
      <c r="T1047" s="3"/>
      <c r="U1047" s="3"/>
      <c r="V1047" s="3"/>
      <c r="W1047" s="3"/>
      <c r="X1047" s="3"/>
      <c r="Y1047" s="3"/>
      <c r="Z1047" s="4"/>
      <c r="AA1047"/>
      <c r="AB1047"/>
    </row>
    <row r="1048" spans="1:28" s="49" customFormat="1" x14ac:dyDescent="0.15">
      <c r="A1048" s="165"/>
      <c r="B1048" s="93"/>
      <c r="C1048" s="102"/>
      <c r="D1048" s="62"/>
      <c r="E1048" s="100"/>
      <c r="F1048" s="102"/>
      <c r="G1048" s="102"/>
      <c r="H1048" s="175"/>
      <c r="I1048" s="98"/>
      <c r="J1048" s="98"/>
      <c r="K1048" s="135"/>
      <c r="L1048" s="61"/>
      <c r="N1048" s="37"/>
      <c r="O1048" s="37"/>
      <c r="P1048" s="37"/>
      <c r="Q1048" s="3"/>
      <c r="R1048" s="3"/>
      <c r="S1048" s="3"/>
      <c r="T1048" s="3"/>
      <c r="U1048" s="3"/>
      <c r="V1048" s="3"/>
      <c r="W1048" s="3"/>
      <c r="X1048" s="3"/>
      <c r="Y1048" s="3"/>
      <c r="Z1048" s="4"/>
      <c r="AA1048"/>
      <c r="AB1048"/>
    </row>
    <row r="1049" spans="1:28" s="49" customFormat="1" x14ac:dyDescent="0.15">
      <c r="A1049" s="165"/>
      <c r="B1049" s="93"/>
      <c r="C1049" s="100"/>
      <c r="D1049" s="61"/>
      <c r="E1049" s="100"/>
      <c r="F1049" s="100"/>
      <c r="G1049" s="100"/>
      <c r="H1049" s="177"/>
      <c r="I1049" s="85"/>
      <c r="J1049" s="101"/>
      <c r="K1049" s="144"/>
      <c r="L1049" s="61"/>
      <c r="N1049" s="37"/>
      <c r="O1049" s="37"/>
      <c r="P1049" s="37"/>
      <c r="Q1049" s="3"/>
      <c r="R1049" s="3"/>
      <c r="S1049" s="3"/>
      <c r="T1049" s="3"/>
      <c r="U1049" s="3"/>
      <c r="V1049" s="3"/>
      <c r="W1049" s="3"/>
      <c r="X1049" s="3"/>
      <c r="Y1049" s="3"/>
      <c r="Z1049" s="4"/>
      <c r="AA1049"/>
      <c r="AB1049"/>
    </row>
    <row r="1050" spans="1:28" s="49" customFormat="1" x14ac:dyDescent="0.15">
      <c r="A1050" s="165"/>
      <c r="B1050" s="93"/>
      <c r="C1050" s="102"/>
      <c r="D1050" s="62"/>
      <c r="E1050" s="100"/>
      <c r="F1050" s="102"/>
      <c r="G1050" s="102"/>
      <c r="H1050" s="175"/>
      <c r="I1050" s="85"/>
      <c r="J1050" s="104"/>
      <c r="K1050" s="144"/>
      <c r="L1050" s="61"/>
      <c r="N1050" s="37"/>
      <c r="O1050" s="37"/>
      <c r="P1050" s="37"/>
      <c r="Q1050" s="3"/>
      <c r="R1050" s="3"/>
      <c r="S1050" s="3"/>
      <c r="T1050" s="3"/>
      <c r="U1050" s="3"/>
      <c r="V1050" s="3"/>
      <c r="W1050" s="3"/>
      <c r="X1050" s="3"/>
      <c r="Y1050" s="3"/>
      <c r="Z1050" s="4"/>
      <c r="AA1050"/>
      <c r="AB1050"/>
    </row>
    <row r="1051" spans="1:28" s="49" customFormat="1" x14ac:dyDescent="0.15">
      <c r="A1051" s="165"/>
      <c r="B1051" s="93"/>
      <c r="C1051" s="102"/>
      <c r="D1051" s="62"/>
      <c r="E1051" s="102"/>
      <c r="F1051" s="102"/>
      <c r="G1051" s="102"/>
      <c r="H1051" s="175"/>
      <c r="I1051" s="85"/>
      <c r="J1051" s="104"/>
      <c r="K1051" s="144"/>
      <c r="L1051" s="61"/>
      <c r="N1051" s="37"/>
      <c r="O1051" s="37"/>
      <c r="P1051" s="37"/>
      <c r="Q1051" s="3"/>
      <c r="R1051" s="3"/>
      <c r="S1051" s="3"/>
      <c r="T1051" s="3"/>
      <c r="U1051" s="3"/>
      <c r="V1051" s="3"/>
      <c r="W1051" s="3"/>
      <c r="X1051" s="3"/>
      <c r="Y1051" s="3"/>
      <c r="Z1051" s="4"/>
      <c r="AA1051"/>
      <c r="AB1051"/>
    </row>
    <row r="1052" spans="1:28" s="49" customFormat="1" x14ac:dyDescent="0.15">
      <c r="A1052" s="165"/>
      <c r="B1052" s="93"/>
      <c r="C1052" s="102"/>
      <c r="D1052" s="62"/>
      <c r="E1052" s="102"/>
      <c r="F1052" s="102"/>
      <c r="G1052" s="102"/>
      <c r="H1052" s="175"/>
      <c r="I1052" s="85"/>
      <c r="J1052" s="104"/>
      <c r="K1052" s="144"/>
      <c r="L1052" s="61"/>
      <c r="N1052" s="37"/>
      <c r="O1052" s="37"/>
      <c r="P1052" s="37"/>
      <c r="Q1052" s="3"/>
      <c r="R1052" s="3"/>
      <c r="S1052" s="3"/>
      <c r="T1052" s="3"/>
      <c r="U1052" s="3"/>
      <c r="V1052" s="3"/>
      <c r="W1052" s="3"/>
      <c r="X1052" s="3"/>
      <c r="Y1052" s="3"/>
      <c r="Z1052" s="4"/>
      <c r="AA1052"/>
      <c r="AB1052"/>
    </row>
    <row r="1053" spans="1:28" s="49" customFormat="1" x14ac:dyDescent="0.15">
      <c r="A1053" s="165"/>
      <c r="B1053" s="93"/>
      <c r="C1053" s="102"/>
      <c r="D1053" s="62"/>
      <c r="E1053" s="102"/>
      <c r="F1053" s="102"/>
      <c r="G1053" s="102"/>
      <c r="H1053" s="175"/>
      <c r="I1053" s="85"/>
      <c r="J1053" s="104"/>
      <c r="K1053" s="144"/>
      <c r="L1053" s="61"/>
      <c r="N1053" s="37"/>
      <c r="O1053" s="37"/>
      <c r="P1053" s="37"/>
      <c r="Q1053" s="3"/>
      <c r="R1053" s="3"/>
      <c r="S1053" s="3"/>
      <c r="T1053" s="3"/>
      <c r="U1053" s="3"/>
      <c r="V1053" s="3"/>
      <c r="W1053" s="3"/>
      <c r="X1053" s="3"/>
      <c r="Y1053" s="3"/>
      <c r="Z1053" s="4"/>
      <c r="AA1053"/>
      <c r="AB1053"/>
    </row>
    <row r="1054" spans="1:28" s="3" customFormat="1" x14ac:dyDescent="0.15">
      <c r="A1054" s="165"/>
      <c r="B1054" s="93"/>
      <c r="C1054" s="102"/>
      <c r="D1054" s="62"/>
      <c r="E1054" s="102"/>
      <c r="F1054" s="102"/>
      <c r="G1054" s="102"/>
      <c r="H1054" s="175"/>
      <c r="I1054" s="85"/>
      <c r="J1054" s="104"/>
      <c r="K1054" s="144"/>
      <c r="L1054" s="61"/>
      <c r="M1054" s="49"/>
      <c r="N1054" s="37"/>
      <c r="O1054" s="37"/>
      <c r="P1054" s="37"/>
      <c r="Z1054" s="4"/>
      <c r="AA1054"/>
      <c r="AB1054"/>
    </row>
    <row r="1055" spans="1:28" s="3" customFormat="1" x14ac:dyDescent="0.15">
      <c r="A1055" s="165"/>
      <c r="B1055" s="93"/>
      <c r="C1055" s="102"/>
      <c r="D1055" s="62"/>
      <c r="E1055" s="102"/>
      <c r="F1055" s="102"/>
      <c r="G1055" s="102"/>
      <c r="H1055" s="175"/>
      <c r="I1055" s="85"/>
      <c r="J1055" s="104"/>
      <c r="K1055" s="144"/>
      <c r="L1055" s="61"/>
      <c r="M1055" s="49"/>
      <c r="N1055" s="37"/>
      <c r="O1055" s="37"/>
      <c r="P1055" s="33"/>
      <c r="Z1055" s="4"/>
      <c r="AA1055"/>
      <c r="AB1055"/>
    </row>
    <row r="1056" spans="1:28" s="3" customFormat="1" x14ac:dyDescent="0.15">
      <c r="A1056" s="165"/>
      <c r="B1056" s="93"/>
      <c r="C1056" s="102"/>
      <c r="D1056" s="62"/>
      <c r="E1056" s="102"/>
      <c r="F1056" s="102"/>
      <c r="G1056" s="102"/>
      <c r="H1056" s="175"/>
      <c r="I1056" s="85"/>
      <c r="J1056" s="104"/>
      <c r="K1056" s="144"/>
      <c r="L1056" s="62"/>
      <c r="M1056" s="49"/>
      <c r="N1056" s="37"/>
      <c r="O1056" s="37"/>
      <c r="P1056" s="33"/>
      <c r="Z1056" s="4"/>
      <c r="AA1056"/>
      <c r="AB1056"/>
    </row>
    <row r="1057" spans="1:28" s="3" customFormat="1" x14ac:dyDescent="0.15">
      <c r="A1057" s="165"/>
      <c r="B1057" s="93"/>
      <c r="C1057" s="102"/>
      <c r="D1057" s="62"/>
      <c r="E1057" s="102"/>
      <c r="F1057" s="102"/>
      <c r="G1057" s="102"/>
      <c r="H1057" s="175"/>
      <c r="I1057" s="85"/>
      <c r="J1057" s="104"/>
      <c r="K1057" s="144"/>
      <c r="L1057" s="61"/>
      <c r="M1057" s="49"/>
      <c r="N1057" s="37"/>
      <c r="O1057" s="37"/>
      <c r="P1057" s="37"/>
      <c r="Z1057" s="4"/>
      <c r="AA1057"/>
      <c r="AB1057"/>
    </row>
    <row r="1058" spans="1:28" s="3" customFormat="1" x14ac:dyDescent="0.15">
      <c r="A1058" s="165"/>
      <c r="B1058" s="93"/>
      <c r="C1058" s="102"/>
      <c r="D1058" s="62"/>
      <c r="E1058" s="102"/>
      <c r="F1058" s="102"/>
      <c r="G1058" s="102"/>
      <c r="H1058" s="175"/>
      <c r="I1058" s="85"/>
      <c r="J1058" s="104"/>
      <c r="K1058" s="144"/>
      <c r="L1058" s="61"/>
      <c r="M1058" s="49"/>
      <c r="N1058" s="37"/>
      <c r="O1058" s="37"/>
      <c r="P1058" s="37"/>
      <c r="Z1058" s="4"/>
      <c r="AA1058"/>
      <c r="AB1058"/>
    </row>
    <row r="1059" spans="1:28" s="3" customFormat="1" x14ac:dyDescent="0.15">
      <c r="A1059" s="165"/>
      <c r="B1059" s="93"/>
      <c r="C1059" s="102"/>
      <c r="D1059" s="62"/>
      <c r="E1059" s="102"/>
      <c r="F1059" s="102"/>
      <c r="G1059" s="102"/>
      <c r="H1059" s="175"/>
      <c r="I1059" s="85"/>
      <c r="J1059" s="104"/>
      <c r="K1059" s="144"/>
      <c r="L1059" s="61"/>
      <c r="M1059" s="49"/>
      <c r="N1059" s="37"/>
      <c r="O1059" s="37"/>
      <c r="P1059" s="37"/>
      <c r="Z1059" s="4"/>
      <c r="AA1059"/>
      <c r="AB1059"/>
    </row>
    <row r="1060" spans="1:28" s="3" customFormat="1" x14ac:dyDescent="0.15">
      <c r="A1060" s="165"/>
      <c r="B1060" s="93"/>
      <c r="C1060" s="102"/>
      <c r="D1060" s="62"/>
      <c r="E1060" s="102"/>
      <c r="F1060" s="102"/>
      <c r="G1060" s="102"/>
      <c r="H1060" s="175"/>
      <c r="I1060" s="85"/>
      <c r="J1060" s="104"/>
      <c r="K1060" s="144"/>
      <c r="L1060" s="61"/>
      <c r="M1060" s="49"/>
      <c r="N1060" s="37"/>
      <c r="O1060" s="37"/>
      <c r="P1060" s="37"/>
      <c r="Z1060" s="4"/>
      <c r="AA1060"/>
      <c r="AB1060"/>
    </row>
    <row r="1061" spans="1:28" s="3" customFormat="1" x14ac:dyDescent="0.15">
      <c r="A1061" s="165"/>
      <c r="B1061" s="93"/>
      <c r="C1061" s="102"/>
      <c r="D1061" s="62"/>
      <c r="E1061" s="102"/>
      <c r="F1061" s="102"/>
      <c r="G1061" s="102"/>
      <c r="H1061" s="175"/>
      <c r="I1061" s="85"/>
      <c r="J1061" s="104"/>
      <c r="K1061" s="144"/>
      <c r="L1061" s="61"/>
      <c r="M1061" s="49"/>
      <c r="N1061" s="37"/>
      <c r="O1061" s="37"/>
      <c r="P1061" s="37"/>
      <c r="Z1061" s="4"/>
      <c r="AA1061"/>
      <c r="AB1061"/>
    </row>
    <row r="1062" spans="1:28" s="3" customFormat="1" x14ac:dyDescent="0.15">
      <c r="A1062" s="165"/>
      <c r="B1062" s="93"/>
      <c r="C1062" s="102"/>
      <c r="D1062" s="62"/>
      <c r="E1062" s="102"/>
      <c r="F1062" s="102"/>
      <c r="G1062" s="102"/>
      <c r="H1062" s="175"/>
      <c r="I1062" s="85"/>
      <c r="J1062" s="104"/>
      <c r="K1062" s="144"/>
      <c r="L1062" s="61"/>
      <c r="M1062" s="49"/>
      <c r="N1062" s="37"/>
      <c r="O1062" s="37"/>
      <c r="P1062" s="37"/>
      <c r="Z1062" s="4"/>
      <c r="AA1062"/>
      <c r="AB1062"/>
    </row>
    <row r="1063" spans="1:28" s="3" customFormat="1" x14ac:dyDescent="0.15">
      <c r="A1063" s="165"/>
      <c r="B1063" s="93"/>
      <c r="C1063" s="102"/>
      <c r="D1063" s="62"/>
      <c r="E1063" s="102"/>
      <c r="F1063" s="102"/>
      <c r="G1063" s="102"/>
      <c r="H1063" s="175"/>
      <c r="I1063" s="85"/>
      <c r="J1063" s="104"/>
      <c r="K1063" s="144"/>
      <c r="L1063" s="61"/>
      <c r="M1063" s="49"/>
      <c r="N1063" s="37"/>
      <c r="O1063" s="37"/>
      <c r="P1063" s="37"/>
      <c r="Z1063" s="4"/>
      <c r="AA1063"/>
      <c r="AB1063"/>
    </row>
    <row r="1064" spans="1:28" s="3" customFormat="1" x14ac:dyDescent="0.15">
      <c r="A1064" s="165"/>
      <c r="B1064" s="93"/>
      <c r="C1064" s="102"/>
      <c r="D1064" s="62"/>
      <c r="E1064" s="102"/>
      <c r="F1064" s="102"/>
      <c r="G1064" s="102"/>
      <c r="H1064" s="175"/>
      <c r="I1064" s="98"/>
      <c r="J1064" s="98"/>
      <c r="K1064" s="135"/>
      <c r="L1064" s="61"/>
      <c r="M1064" s="49"/>
      <c r="N1064" s="37"/>
      <c r="O1064" s="37"/>
      <c r="P1064" s="37"/>
      <c r="Z1064" s="4"/>
      <c r="AA1064"/>
      <c r="AB1064"/>
    </row>
    <row r="1065" spans="1:28" s="3" customFormat="1" x14ac:dyDescent="0.15">
      <c r="A1065" s="165"/>
      <c r="B1065" s="93"/>
      <c r="C1065" s="102"/>
      <c r="D1065" s="62"/>
      <c r="E1065" s="102"/>
      <c r="F1065" s="102"/>
      <c r="G1065" s="102"/>
      <c r="H1065" s="175"/>
      <c r="I1065" s="98"/>
      <c r="J1065" s="98"/>
      <c r="K1065" s="135"/>
      <c r="L1065" s="61"/>
      <c r="M1065" s="49"/>
      <c r="N1065" s="37"/>
      <c r="O1065" s="37"/>
      <c r="P1065" s="37"/>
      <c r="Z1065" s="4"/>
      <c r="AA1065"/>
      <c r="AB1065"/>
    </row>
    <row r="1066" spans="1:28" s="3" customFormat="1" x14ac:dyDescent="0.15">
      <c r="A1066" s="165"/>
      <c r="B1066" s="93"/>
      <c r="C1066" s="102"/>
      <c r="D1066" s="62"/>
      <c r="E1066" s="102"/>
      <c r="F1066" s="102"/>
      <c r="G1066" s="102"/>
      <c r="H1066" s="175"/>
      <c r="I1066" s="98"/>
      <c r="J1066" s="98"/>
      <c r="K1066" s="135"/>
      <c r="L1066" s="61"/>
      <c r="M1066" s="49"/>
      <c r="N1066" s="37"/>
      <c r="O1066" s="37"/>
      <c r="P1066" s="37"/>
      <c r="Z1066" s="4"/>
      <c r="AA1066"/>
      <c r="AB1066"/>
    </row>
    <row r="1067" spans="1:28" s="3" customFormat="1" x14ac:dyDescent="0.15">
      <c r="A1067" s="165"/>
      <c r="B1067" s="93"/>
      <c r="C1067" s="102"/>
      <c r="D1067" s="62"/>
      <c r="E1067" s="102"/>
      <c r="F1067" s="102"/>
      <c r="G1067" s="102"/>
      <c r="H1067" s="175"/>
      <c r="I1067" s="85"/>
      <c r="J1067" s="104"/>
      <c r="K1067" s="144"/>
      <c r="L1067" s="61"/>
      <c r="M1067" s="49"/>
      <c r="N1067" s="37"/>
      <c r="O1067" s="37"/>
      <c r="P1067" s="37"/>
      <c r="Z1067" s="4"/>
      <c r="AA1067"/>
      <c r="AB1067"/>
    </row>
    <row r="1068" spans="1:28" s="3" customFormat="1" x14ac:dyDescent="0.15">
      <c r="A1068" s="165"/>
      <c r="B1068" s="93"/>
      <c r="C1068" s="102"/>
      <c r="D1068" s="62"/>
      <c r="E1068" s="102"/>
      <c r="F1068" s="102"/>
      <c r="G1068" s="102"/>
      <c r="H1068" s="175"/>
      <c r="I1068" s="85"/>
      <c r="J1068" s="104"/>
      <c r="K1068" s="144"/>
      <c r="L1068" s="61"/>
      <c r="M1068" s="49"/>
      <c r="N1068" s="37"/>
      <c r="O1068" s="37"/>
      <c r="P1068" s="37"/>
      <c r="Z1068" s="4"/>
      <c r="AA1068"/>
      <c r="AB1068"/>
    </row>
    <row r="1069" spans="1:28" s="3" customFormat="1" x14ac:dyDescent="0.15">
      <c r="A1069" s="165"/>
      <c r="B1069" s="93"/>
      <c r="C1069" s="102"/>
      <c r="D1069" s="62"/>
      <c r="E1069" s="102"/>
      <c r="F1069" s="102"/>
      <c r="G1069" s="102"/>
      <c r="H1069" s="175"/>
      <c r="I1069" s="85"/>
      <c r="J1069" s="104"/>
      <c r="K1069" s="144"/>
      <c r="L1069" s="61"/>
      <c r="M1069" s="49"/>
      <c r="N1069" s="37"/>
      <c r="O1069" s="37"/>
      <c r="P1069" s="37"/>
      <c r="Z1069" s="4"/>
      <c r="AA1069"/>
      <c r="AB1069"/>
    </row>
    <row r="1070" spans="1:28" s="3" customFormat="1" x14ac:dyDescent="0.15">
      <c r="A1070" s="165"/>
      <c r="B1070" s="82"/>
      <c r="C1070" s="107"/>
      <c r="D1070" s="62"/>
      <c r="E1070" s="107"/>
      <c r="F1070" s="107"/>
      <c r="G1070" s="107"/>
      <c r="H1070" s="179"/>
      <c r="I1070" s="85"/>
      <c r="J1070" s="104"/>
      <c r="K1070" s="144"/>
      <c r="L1070" s="61"/>
      <c r="M1070" s="49"/>
      <c r="N1070" s="37"/>
      <c r="O1070" s="37"/>
      <c r="P1070" s="37"/>
      <c r="Z1070" s="4"/>
      <c r="AA1070"/>
      <c r="AB1070"/>
    </row>
    <row r="1071" spans="1:28" s="3" customFormat="1" x14ac:dyDescent="0.15">
      <c r="A1071" s="165"/>
      <c r="B1071" s="93"/>
      <c r="C1071" s="102"/>
      <c r="D1071" s="62"/>
      <c r="E1071" s="102"/>
      <c r="F1071" s="102"/>
      <c r="G1071" s="102"/>
      <c r="H1071" s="175"/>
      <c r="I1071" s="98"/>
      <c r="J1071" s="98"/>
      <c r="K1071" s="135"/>
      <c r="L1071" s="61"/>
      <c r="M1071" s="49"/>
      <c r="N1071" s="37"/>
      <c r="O1071" s="37"/>
      <c r="P1071" s="37"/>
      <c r="Z1071" s="4"/>
      <c r="AA1071"/>
      <c r="AB1071"/>
    </row>
    <row r="1072" spans="1:28" s="3" customFormat="1" x14ac:dyDescent="0.15">
      <c r="A1072" s="165"/>
      <c r="B1072" s="93"/>
      <c r="C1072" s="102"/>
      <c r="D1072" s="62"/>
      <c r="E1072" s="102"/>
      <c r="F1072" s="102"/>
      <c r="G1072" s="102"/>
      <c r="H1072" s="175"/>
      <c r="I1072" s="85"/>
      <c r="J1072" s="104"/>
      <c r="K1072" s="144"/>
      <c r="L1072" s="61"/>
      <c r="M1072" s="49"/>
      <c r="N1072" s="37"/>
      <c r="O1072" s="37"/>
      <c r="P1072" s="49"/>
      <c r="Z1072" s="4"/>
      <c r="AA1072"/>
      <c r="AB1072"/>
    </row>
    <row r="1073" spans="1:28" s="3" customFormat="1" x14ac:dyDescent="0.15">
      <c r="A1073" s="165"/>
      <c r="B1073" s="93"/>
      <c r="C1073" s="102"/>
      <c r="D1073" s="62"/>
      <c r="E1073" s="102"/>
      <c r="F1073" s="102"/>
      <c r="G1073" s="102"/>
      <c r="H1073" s="175"/>
      <c r="I1073" s="85"/>
      <c r="J1073" s="104"/>
      <c r="K1073" s="144"/>
      <c r="L1073" s="61"/>
      <c r="M1073" s="49"/>
      <c r="N1073" s="37"/>
      <c r="O1073" s="37"/>
      <c r="P1073" s="37"/>
      <c r="Z1073" s="4"/>
      <c r="AA1073"/>
      <c r="AB1073"/>
    </row>
    <row r="1074" spans="1:28" s="3" customFormat="1" x14ac:dyDescent="0.15">
      <c r="A1074" s="62"/>
      <c r="B1074" s="93"/>
      <c r="C1074" s="102"/>
      <c r="D1074" s="62"/>
      <c r="E1074" s="102"/>
      <c r="F1074" s="102"/>
      <c r="G1074" s="102"/>
      <c r="H1074" s="175"/>
      <c r="I1074" s="85"/>
      <c r="J1074" s="104"/>
      <c r="K1074" s="144"/>
      <c r="L1074" s="61"/>
      <c r="M1074" s="49"/>
      <c r="N1074" s="37"/>
      <c r="O1074" s="37"/>
      <c r="P1074" s="37"/>
      <c r="Z1074" s="4"/>
      <c r="AA1074"/>
      <c r="AB1074"/>
    </row>
    <row r="1075" spans="1:28" s="3" customFormat="1" x14ac:dyDescent="0.15">
      <c r="A1075" s="62"/>
      <c r="B1075" s="93"/>
      <c r="C1075" s="102"/>
      <c r="D1075" s="62"/>
      <c r="E1075" s="102"/>
      <c r="F1075" s="102"/>
      <c r="G1075" s="102"/>
      <c r="H1075" s="175"/>
      <c r="I1075" s="85"/>
      <c r="J1075" s="104"/>
      <c r="K1075" s="144"/>
      <c r="L1075" s="61"/>
      <c r="M1075" s="49"/>
      <c r="N1075" s="37"/>
      <c r="O1075" s="37"/>
      <c r="P1075" s="37"/>
      <c r="Z1075" s="4"/>
      <c r="AA1075"/>
      <c r="AB1075"/>
    </row>
    <row r="1076" spans="1:28" s="3" customFormat="1" x14ac:dyDescent="0.15">
      <c r="A1076" s="62"/>
      <c r="B1076" s="93"/>
      <c r="C1076" s="102"/>
      <c r="D1076" s="62"/>
      <c r="E1076" s="102"/>
      <c r="F1076" s="102"/>
      <c r="G1076" s="102"/>
      <c r="H1076" s="175"/>
      <c r="I1076" s="85"/>
      <c r="J1076" s="104"/>
      <c r="K1076" s="144"/>
      <c r="L1076" s="61"/>
      <c r="M1076" s="49"/>
      <c r="N1076" s="37"/>
      <c r="O1076" s="37"/>
      <c r="P1076" s="37"/>
      <c r="Z1076" s="4"/>
      <c r="AA1076"/>
      <c r="AB1076"/>
    </row>
    <row r="1077" spans="1:28" s="3" customFormat="1" x14ac:dyDescent="0.15">
      <c r="A1077" s="62"/>
      <c r="B1077" s="93"/>
      <c r="C1077" s="102"/>
      <c r="D1077" s="62"/>
      <c r="E1077" s="102"/>
      <c r="F1077" s="102"/>
      <c r="G1077" s="102"/>
      <c r="H1077" s="175"/>
      <c r="I1077" s="85"/>
      <c r="J1077" s="101"/>
      <c r="K1077" s="144"/>
      <c r="L1077" s="61"/>
      <c r="M1077" s="49"/>
      <c r="N1077" s="37"/>
      <c r="O1077" s="37"/>
      <c r="P1077" s="37"/>
      <c r="Z1077" s="4"/>
      <c r="AA1077"/>
      <c r="AB1077"/>
    </row>
    <row r="1078" spans="1:28" s="3" customFormat="1" x14ac:dyDescent="0.15">
      <c r="A1078" s="62"/>
      <c r="B1078" s="93"/>
      <c r="C1078" s="102"/>
      <c r="D1078" s="62"/>
      <c r="E1078" s="102"/>
      <c r="F1078" s="102"/>
      <c r="G1078" s="102"/>
      <c r="H1078" s="175"/>
      <c r="I1078" s="85"/>
      <c r="J1078" s="104"/>
      <c r="K1078" s="144"/>
      <c r="L1078" s="61"/>
      <c r="M1078" s="49"/>
      <c r="N1078" s="37"/>
      <c r="O1078" s="37"/>
      <c r="P1078" s="37"/>
      <c r="Z1078" s="4"/>
      <c r="AA1078"/>
      <c r="AB1078"/>
    </row>
    <row r="1079" spans="1:28" s="3" customFormat="1" x14ac:dyDescent="0.15">
      <c r="A1079" s="61"/>
      <c r="B1079" s="93"/>
      <c r="C1079" s="102"/>
      <c r="D1079" s="62"/>
      <c r="E1079" s="102"/>
      <c r="F1079" s="102"/>
      <c r="G1079" s="102"/>
      <c r="H1079" s="175"/>
      <c r="I1079" s="85"/>
      <c r="J1079" s="104"/>
      <c r="K1079" s="144"/>
      <c r="L1079" s="61"/>
      <c r="M1079" s="49"/>
      <c r="N1079" s="37"/>
      <c r="O1079" s="37"/>
      <c r="P1079" s="37"/>
      <c r="Z1079" s="4"/>
      <c r="AA1079"/>
      <c r="AB1079"/>
    </row>
    <row r="1080" spans="1:28" s="3" customFormat="1" x14ac:dyDescent="0.15">
      <c r="A1080" s="62"/>
      <c r="B1080" s="93"/>
      <c r="C1080" s="102"/>
      <c r="D1080" s="62"/>
      <c r="E1080" s="102"/>
      <c r="F1080" s="102"/>
      <c r="G1080" s="102"/>
      <c r="H1080" s="175"/>
      <c r="I1080" s="85"/>
      <c r="J1080" s="104"/>
      <c r="K1080" s="144"/>
      <c r="L1080" s="61"/>
      <c r="M1080" s="49"/>
      <c r="N1080" s="37"/>
      <c r="O1080" s="37"/>
      <c r="P1080" s="37"/>
      <c r="Z1080" s="4"/>
      <c r="AA1080"/>
      <c r="AB1080"/>
    </row>
    <row r="1081" spans="1:28" s="3" customFormat="1" x14ac:dyDescent="0.15">
      <c r="A1081" s="61"/>
      <c r="B1081" s="93"/>
      <c r="C1081" s="102"/>
      <c r="D1081" s="62"/>
      <c r="E1081" s="102"/>
      <c r="F1081" s="102"/>
      <c r="G1081" s="102"/>
      <c r="H1081" s="175"/>
      <c r="I1081" s="85"/>
      <c r="J1081" s="104"/>
      <c r="K1081" s="144"/>
      <c r="L1081" s="61"/>
      <c r="M1081" s="49"/>
      <c r="N1081" s="37"/>
      <c r="O1081" s="37"/>
      <c r="P1081" s="37"/>
      <c r="Z1081" s="4"/>
      <c r="AA1081"/>
      <c r="AB1081"/>
    </row>
    <row r="1082" spans="1:28" s="3" customFormat="1" x14ac:dyDescent="0.15">
      <c r="A1082" s="62"/>
      <c r="B1082" s="93"/>
      <c r="C1082" s="102"/>
      <c r="D1082" s="62"/>
      <c r="E1082" s="102"/>
      <c r="F1082" s="102"/>
      <c r="G1082" s="102"/>
      <c r="H1082" s="175"/>
      <c r="I1082" s="85"/>
      <c r="J1082" s="104"/>
      <c r="K1082" s="144"/>
      <c r="L1082" s="61"/>
      <c r="M1082" s="49"/>
      <c r="N1082" s="37"/>
      <c r="O1082" s="37"/>
      <c r="P1082" s="37"/>
      <c r="Z1082" s="4"/>
      <c r="AA1082"/>
      <c r="AB1082"/>
    </row>
    <row r="1083" spans="1:28" s="3" customFormat="1" x14ac:dyDescent="0.15">
      <c r="A1083" s="62"/>
      <c r="B1083" s="93"/>
      <c r="C1083" s="102"/>
      <c r="D1083" s="62"/>
      <c r="E1083" s="102"/>
      <c r="F1083" s="102"/>
      <c r="G1083" s="102"/>
      <c r="H1083" s="175"/>
      <c r="I1083" s="85"/>
      <c r="J1083" s="104"/>
      <c r="K1083" s="144"/>
      <c r="L1083" s="61"/>
      <c r="M1083" s="49"/>
      <c r="N1083" s="37"/>
      <c r="O1083" s="37"/>
      <c r="P1083" s="37"/>
      <c r="Z1083" s="4"/>
      <c r="AA1083"/>
      <c r="AB1083"/>
    </row>
    <row r="1084" spans="1:28" s="3" customFormat="1" x14ac:dyDescent="0.15">
      <c r="A1084" s="62"/>
      <c r="B1084" s="93"/>
      <c r="C1084" s="102"/>
      <c r="D1084" s="62"/>
      <c r="E1084" s="102"/>
      <c r="F1084" s="102"/>
      <c r="G1084" s="102"/>
      <c r="H1084" s="175"/>
      <c r="I1084" s="85"/>
      <c r="J1084" s="104"/>
      <c r="K1084" s="144"/>
      <c r="L1084" s="61"/>
      <c r="M1084" s="49"/>
      <c r="N1084" s="37"/>
      <c r="O1084" s="37"/>
      <c r="P1084" s="37"/>
      <c r="Z1084" s="4"/>
      <c r="AA1084"/>
      <c r="AB1084"/>
    </row>
    <row r="1085" spans="1:28" s="3" customFormat="1" x14ac:dyDescent="0.15">
      <c r="A1085" s="62"/>
      <c r="B1085" s="93"/>
      <c r="C1085" s="102"/>
      <c r="D1085" s="62"/>
      <c r="E1085" s="102"/>
      <c r="F1085" s="102"/>
      <c r="G1085" s="102"/>
      <c r="H1085" s="175"/>
      <c r="I1085" s="85"/>
      <c r="J1085" s="104"/>
      <c r="K1085" s="144"/>
      <c r="L1085" s="61"/>
      <c r="M1085" s="49"/>
      <c r="N1085" s="37"/>
      <c r="O1085" s="37"/>
      <c r="P1085" s="37"/>
      <c r="Z1085" s="4"/>
      <c r="AA1085"/>
      <c r="AB1085"/>
    </row>
    <row r="1086" spans="1:28" x14ac:dyDescent="0.15">
      <c r="A1086" s="62"/>
      <c r="B1086" s="93"/>
      <c r="C1086" s="102"/>
      <c r="D1086" s="62"/>
      <c r="E1086" s="102"/>
      <c r="F1086" s="102"/>
      <c r="G1086" s="102"/>
      <c r="H1086" s="175"/>
      <c r="I1086" s="98"/>
      <c r="J1086" s="98"/>
      <c r="K1086" s="135"/>
      <c r="L1086" s="61"/>
    </row>
    <row r="1087" spans="1:28" x14ac:dyDescent="0.15">
      <c r="A1087" s="62"/>
      <c r="B1087" s="93"/>
      <c r="C1087" s="102"/>
      <c r="D1087" s="62"/>
      <c r="E1087" s="102"/>
      <c r="F1087" s="102"/>
      <c r="G1087" s="102"/>
      <c r="H1087" s="175"/>
      <c r="I1087" s="98"/>
      <c r="J1087" s="98"/>
      <c r="K1087" s="135"/>
      <c r="L1087" s="61"/>
    </row>
    <row r="1088" spans="1:28" x14ac:dyDescent="0.15">
      <c r="A1088" s="62"/>
      <c r="B1088" s="93"/>
      <c r="C1088" s="102"/>
      <c r="D1088" s="62"/>
      <c r="E1088" s="102"/>
      <c r="F1088" s="102"/>
      <c r="G1088" s="102"/>
      <c r="H1088" s="175"/>
      <c r="I1088" s="98"/>
      <c r="J1088" s="98"/>
      <c r="K1088" s="135"/>
      <c r="L1088" s="61"/>
    </row>
    <row r="1089" spans="1:28" x14ac:dyDescent="0.15">
      <c r="A1089" s="62"/>
      <c r="B1089" s="93"/>
      <c r="C1089" s="102"/>
      <c r="D1089" s="62"/>
      <c r="E1089" s="102"/>
      <c r="F1089" s="102"/>
      <c r="G1089" s="102"/>
      <c r="H1089" s="175"/>
      <c r="I1089" s="98"/>
      <c r="J1089" s="98"/>
      <c r="K1089" s="135"/>
      <c r="L1089" s="61"/>
      <c r="Q1089" s="14"/>
      <c r="R1089" s="14"/>
    </row>
    <row r="1090" spans="1:28" x14ac:dyDescent="0.15">
      <c r="A1090" s="62"/>
      <c r="B1090" s="93"/>
      <c r="C1090" s="102"/>
      <c r="D1090" s="62"/>
      <c r="E1090" s="102"/>
      <c r="F1090" s="102"/>
      <c r="G1090" s="102"/>
      <c r="H1090" s="175"/>
      <c r="I1090" s="98"/>
      <c r="J1090" s="98"/>
      <c r="K1090" s="135"/>
      <c r="L1090" s="61"/>
    </row>
    <row r="1091" spans="1:28" x14ac:dyDescent="0.15">
      <c r="A1091" s="62"/>
      <c r="B1091" s="93"/>
      <c r="C1091" s="102"/>
      <c r="D1091" s="62"/>
      <c r="E1091" s="102"/>
      <c r="F1091" s="102"/>
      <c r="G1091" s="102"/>
      <c r="H1091" s="175"/>
      <c r="I1091" s="98"/>
      <c r="J1091" s="98"/>
      <c r="K1091" s="135"/>
      <c r="L1091" s="61"/>
      <c r="Q1091" s="14"/>
      <c r="R1091" s="14"/>
      <c r="S1091" s="14"/>
      <c r="T1091" s="14"/>
      <c r="U1091" s="14"/>
      <c r="V1091" s="14"/>
      <c r="W1091" s="14"/>
      <c r="X1091" s="14"/>
      <c r="Y1091" s="14"/>
      <c r="Z1091" s="17"/>
      <c r="AA1091" s="15"/>
      <c r="AB1091" s="15"/>
    </row>
    <row r="1092" spans="1:28" x14ac:dyDescent="0.15">
      <c r="A1092" s="62"/>
      <c r="B1092" s="93"/>
      <c r="C1092" s="102"/>
      <c r="D1092" s="62"/>
      <c r="E1092" s="102"/>
      <c r="F1092" s="102"/>
      <c r="G1092" s="102"/>
      <c r="H1092" s="175"/>
      <c r="I1092" s="98"/>
      <c r="J1092" s="98"/>
      <c r="K1092" s="135"/>
      <c r="L1092" s="61"/>
    </row>
    <row r="1093" spans="1:28" x14ac:dyDescent="0.15">
      <c r="A1093" s="62"/>
      <c r="B1093" s="93"/>
      <c r="C1093" s="102"/>
      <c r="D1093" s="62"/>
      <c r="E1093" s="102"/>
      <c r="F1093" s="102"/>
      <c r="G1093" s="102"/>
      <c r="H1093" s="175"/>
      <c r="I1093" s="85"/>
      <c r="J1093" s="104"/>
      <c r="K1093" s="144"/>
      <c r="L1093" s="61"/>
      <c r="N1093" s="49"/>
    </row>
    <row r="1094" spans="1:28" x14ac:dyDescent="0.15">
      <c r="A1094" s="62"/>
      <c r="B1094" s="93"/>
      <c r="C1094" s="102"/>
      <c r="D1094" s="62"/>
      <c r="E1094" s="102"/>
      <c r="F1094" s="102"/>
      <c r="G1094" s="102"/>
      <c r="H1094" s="175"/>
      <c r="I1094" s="85"/>
      <c r="J1094" s="104"/>
      <c r="K1094" s="144"/>
      <c r="L1094" s="61"/>
    </row>
    <row r="1095" spans="1:28" x14ac:dyDescent="0.15">
      <c r="A1095" s="62"/>
      <c r="B1095" s="93"/>
      <c r="C1095" s="102"/>
      <c r="D1095" s="62"/>
      <c r="E1095" s="102"/>
      <c r="F1095" s="102"/>
      <c r="G1095" s="102"/>
      <c r="H1095" s="175"/>
      <c r="I1095" s="85"/>
      <c r="J1095" s="104"/>
      <c r="K1095" s="144"/>
      <c r="L1095" s="61"/>
    </row>
    <row r="1096" spans="1:28" x14ac:dyDescent="0.15">
      <c r="A1096" s="62"/>
      <c r="B1096" s="93"/>
      <c r="C1096" s="102"/>
      <c r="D1096" s="62"/>
      <c r="E1096" s="102"/>
      <c r="F1096" s="102"/>
      <c r="G1096" s="102"/>
      <c r="H1096" s="175"/>
      <c r="I1096" s="85"/>
      <c r="J1096" s="104"/>
      <c r="K1096" s="144"/>
      <c r="L1096" s="61"/>
    </row>
    <row r="1097" spans="1:28" x14ac:dyDescent="0.15">
      <c r="A1097" s="62"/>
      <c r="B1097" s="93"/>
      <c r="C1097" s="102"/>
      <c r="D1097" s="62"/>
      <c r="E1097" s="102"/>
      <c r="F1097" s="102"/>
      <c r="G1097" s="102"/>
      <c r="H1097" s="175"/>
      <c r="I1097" s="85"/>
      <c r="J1097" s="104"/>
      <c r="K1097" s="144"/>
      <c r="L1097" s="61"/>
    </row>
    <row r="1098" spans="1:28" x14ac:dyDescent="0.15">
      <c r="A1098" s="62"/>
      <c r="B1098" s="93"/>
      <c r="C1098" s="102"/>
      <c r="D1098" s="62"/>
      <c r="E1098" s="102"/>
      <c r="F1098" s="102"/>
      <c r="G1098" s="102"/>
      <c r="H1098" s="175"/>
      <c r="I1098" s="85"/>
      <c r="J1098" s="104"/>
      <c r="K1098" s="144"/>
      <c r="L1098" s="61"/>
    </row>
    <row r="1099" spans="1:28" x14ac:dyDescent="0.15">
      <c r="A1099" s="62"/>
      <c r="B1099" s="93"/>
      <c r="C1099" s="102"/>
      <c r="D1099" s="62"/>
      <c r="E1099" s="102"/>
      <c r="F1099" s="102"/>
      <c r="G1099" s="102"/>
      <c r="H1099" s="175"/>
      <c r="I1099" s="85"/>
      <c r="J1099" s="104"/>
      <c r="K1099" s="144"/>
      <c r="L1099" s="61"/>
    </row>
    <row r="1100" spans="1:28" x14ac:dyDescent="0.15">
      <c r="A1100" s="62"/>
      <c r="B1100" s="93"/>
      <c r="C1100" s="102"/>
      <c r="D1100" s="62"/>
      <c r="E1100" s="102"/>
      <c r="F1100" s="102"/>
      <c r="G1100" s="102"/>
      <c r="H1100" s="175"/>
      <c r="I1100" s="85"/>
      <c r="J1100" s="104"/>
      <c r="K1100" s="144"/>
      <c r="L1100" s="61"/>
      <c r="S1100" s="14"/>
      <c r="T1100" s="14"/>
      <c r="U1100" s="14"/>
      <c r="V1100" s="14"/>
      <c r="W1100" s="14"/>
      <c r="X1100" s="14"/>
      <c r="Y1100" s="14"/>
      <c r="Z1100" s="17"/>
      <c r="AA1100" s="15"/>
      <c r="AB1100" s="15"/>
    </row>
    <row r="1101" spans="1:28" x14ac:dyDescent="0.15">
      <c r="A1101" s="62"/>
      <c r="B1101" s="93"/>
      <c r="C1101" s="102"/>
      <c r="D1101" s="62"/>
      <c r="E1101" s="102"/>
      <c r="F1101" s="102"/>
      <c r="G1101" s="102"/>
      <c r="H1101" s="175"/>
      <c r="I1101" s="98"/>
      <c r="J1101" s="98"/>
      <c r="K1101" s="135"/>
      <c r="L1101" s="61"/>
    </row>
    <row r="1102" spans="1:28" s="3" customFormat="1" x14ac:dyDescent="0.15">
      <c r="A1102" s="62"/>
      <c r="B1102" s="93"/>
      <c r="C1102" s="102"/>
      <c r="D1102" s="62"/>
      <c r="E1102" s="102"/>
      <c r="F1102" s="102"/>
      <c r="G1102" s="102"/>
      <c r="H1102" s="175"/>
      <c r="I1102" s="85"/>
      <c r="J1102" s="104"/>
      <c r="K1102" s="144"/>
      <c r="L1102" s="61"/>
      <c r="M1102" s="49"/>
      <c r="N1102" s="37"/>
      <c r="O1102" s="37"/>
      <c r="P1102" s="37"/>
      <c r="Z1102" s="4"/>
      <c r="AA1102"/>
      <c r="AB1102"/>
    </row>
    <row r="1103" spans="1:28" s="3" customFormat="1" x14ac:dyDescent="0.15">
      <c r="A1103" s="62"/>
      <c r="B1103" s="93"/>
      <c r="C1103" s="102"/>
      <c r="D1103" s="62"/>
      <c r="E1103" s="102"/>
      <c r="F1103" s="102"/>
      <c r="G1103" s="102"/>
      <c r="H1103" s="175"/>
      <c r="I1103" s="85"/>
      <c r="J1103" s="104"/>
      <c r="K1103" s="144"/>
      <c r="L1103" s="61"/>
      <c r="M1103" s="49"/>
      <c r="N1103" s="49"/>
      <c r="O1103" s="37"/>
      <c r="P1103" s="37"/>
      <c r="Z1103" s="4"/>
      <c r="AA1103"/>
      <c r="AB1103"/>
    </row>
    <row r="1104" spans="1:28" s="3" customFormat="1" x14ac:dyDescent="0.15">
      <c r="A1104" s="62"/>
      <c r="B1104" s="93"/>
      <c r="C1104" s="102"/>
      <c r="D1104" s="62"/>
      <c r="E1104" s="102"/>
      <c r="F1104" s="102"/>
      <c r="G1104" s="102"/>
      <c r="H1104" s="175"/>
      <c r="I1104" s="85"/>
      <c r="J1104" s="104"/>
      <c r="K1104" s="144"/>
      <c r="L1104" s="61"/>
      <c r="M1104" s="49"/>
      <c r="N1104" s="37"/>
      <c r="O1104" s="37"/>
      <c r="P1104" s="37"/>
      <c r="Z1104" s="4"/>
      <c r="AA1104"/>
      <c r="AB1104"/>
    </row>
    <row r="1105" spans="1:28" s="3" customFormat="1" x14ac:dyDescent="0.15">
      <c r="A1105" s="62"/>
      <c r="B1105" s="93"/>
      <c r="C1105" s="102"/>
      <c r="D1105" s="62"/>
      <c r="E1105" s="102"/>
      <c r="F1105" s="102"/>
      <c r="G1105" s="102"/>
      <c r="H1105" s="175"/>
      <c r="I1105" s="85"/>
      <c r="J1105" s="104"/>
      <c r="K1105" s="144"/>
      <c r="L1105" s="61"/>
      <c r="M1105" s="49"/>
      <c r="N1105" s="37"/>
      <c r="O1105" s="37"/>
      <c r="P1105" s="37"/>
      <c r="Z1105" s="4"/>
      <c r="AA1105"/>
      <c r="AB1105"/>
    </row>
    <row r="1106" spans="1:28" s="3" customFormat="1" x14ac:dyDescent="0.15">
      <c r="A1106" s="62"/>
      <c r="B1106" s="93"/>
      <c r="C1106" s="102"/>
      <c r="D1106" s="62"/>
      <c r="E1106" s="102"/>
      <c r="F1106" s="102"/>
      <c r="G1106" s="102"/>
      <c r="H1106" s="175"/>
      <c r="I1106" s="85"/>
      <c r="J1106" s="104"/>
      <c r="K1106" s="144"/>
      <c r="L1106" s="61"/>
      <c r="M1106" s="49"/>
      <c r="N1106" s="37"/>
      <c r="O1106" s="37"/>
      <c r="P1106" s="37"/>
      <c r="Z1106" s="4"/>
      <c r="AA1106"/>
      <c r="AB1106"/>
    </row>
    <row r="1107" spans="1:28" s="3" customFormat="1" x14ac:dyDescent="0.15">
      <c r="A1107" s="62"/>
      <c r="B1107" s="93"/>
      <c r="C1107" s="102"/>
      <c r="D1107" s="62"/>
      <c r="E1107" s="102"/>
      <c r="F1107" s="102"/>
      <c r="G1107" s="102"/>
      <c r="H1107" s="175"/>
      <c r="I1107" s="85"/>
      <c r="J1107" s="104"/>
      <c r="K1107" s="144"/>
      <c r="L1107" s="61"/>
      <c r="M1107" s="49"/>
      <c r="N1107" s="37"/>
      <c r="O1107" s="37"/>
      <c r="P1107" s="37"/>
      <c r="Z1107" s="4"/>
      <c r="AA1107"/>
      <c r="AB1107"/>
    </row>
    <row r="1108" spans="1:28" s="3" customFormat="1" x14ac:dyDescent="0.15">
      <c r="A1108" s="62"/>
      <c r="B1108" s="93"/>
      <c r="C1108" s="102"/>
      <c r="D1108" s="62"/>
      <c r="E1108" s="102"/>
      <c r="F1108" s="102"/>
      <c r="G1108" s="102"/>
      <c r="H1108" s="175"/>
      <c r="I1108" s="85"/>
      <c r="J1108" s="104"/>
      <c r="K1108" s="144"/>
      <c r="L1108" s="61"/>
      <c r="M1108" s="49"/>
      <c r="N1108" s="37"/>
      <c r="O1108" s="37"/>
      <c r="P1108" s="37"/>
      <c r="Z1108" s="4"/>
      <c r="AA1108"/>
      <c r="AB1108"/>
    </row>
    <row r="1109" spans="1:28" s="3" customFormat="1" x14ac:dyDescent="0.15">
      <c r="A1109" s="62"/>
      <c r="B1109" s="93"/>
      <c r="C1109" s="102"/>
      <c r="D1109" s="62"/>
      <c r="E1109" s="102"/>
      <c r="F1109" s="102"/>
      <c r="G1109" s="102"/>
      <c r="H1109" s="175"/>
      <c r="I1109" s="85"/>
      <c r="J1109" s="104"/>
      <c r="K1109" s="144"/>
      <c r="L1109" s="61"/>
      <c r="M1109" s="49"/>
      <c r="N1109" s="37"/>
      <c r="O1109" s="37"/>
      <c r="P1109" s="37"/>
      <c r="Q1109" s="12"/>
      <c r="R1109" s="12"/>
      <c r="Z1109" s="4"/>
      <c r="AA1109"/>
      <c r="AB1109"/>
    </row>
    <row r="1110" spans="1:28" s="3" customFormat="1" x14ac:dyDescent="0.15">
      <c r="A1110" s="62"/>
      <c r="B1110" s="93"/>
      <c r="C1110" s="102"/>
      <c r="D1110" s="62"/>
      <c r="E1110" s="102"/>
      <c r="F1110" s="102"/>
      <c r="G1110" s="102"/>
      <c r="H1110" s="175"/>
      <c r="I1110" s="85"/>
      <c r="J1110" s="104"/>
      <c r="K1110" s="144"/>
      <c r="L1110" s="61"/>
      <c r="M1110" s="49"/>
      <c r="N1110" s="37"/>
      <c r="O1110" s="37"/>
      <c r="P1110" s="37"/>
      <c r="Z1110" s="4"/>
      <c r="AA1110"/>
      <c r="AB1110"/>
    </row>
    <row r="1111" spans="1:28" s="3" customFormat="1" x14ac:dyDescent="0.15">
      <c r="A1111" s="62"/>
      <c r="B1111" s="93"/>
      <c r="C1111" s="102"/>
      <c r="D1111" s="62"/>
      <c r="E1111" s="102"/>
      <c r="F1111" s="102"/>
      <c r="G1111" s="102"/>
      <c r="H1111" s="175"/>
      <c r="I1111" s="85"/>
      <c r="J1111" s="104"/>
      <c r="K1111" s="144"/>
      <c r="L1111" s="61"/>
      <c r="M1111" s="49"/>
      <c r="N1111" s="37"/>
      <c r="O1111" s="37"/>
      <c r="P1111" s="37"/>
      <c r="Z1111" s="4"/>
      <c r="AA1111"/>
      <c r="AB1111"/>
    </row>
    <row r="1112" spans="1:28" s="3" customFormat="1" x14ac:dyDescent="0.15">
      <c r="A1112" s="62"/>
      <c r="B1112" s="93"/>
      <c r="C1112" s="102"/>
      <c r="D1112" s="62"/>
      <c r="E1112" s="102"/>
      <c r="F1112" s="102"/>
      <c r="G1112" s="102"/>
      <c r="H1112" s="175"/>
      <c r="I1112" s="85"/>
      <c r="J1112" s="104"/>
      <c r="K1112" s="144"/>
      <c r="L1112" s="61"/>
      <c r="M1112" s="49"/>
      <c r="N1112" s="37"/>
      <c r="O1112" s="37"/>
      <c r="P1112" s="37"/>
      <c r="Z1112" s="4"/>
      <c r="AA1112"/>
      <c r="AB1112"/>
    </row>
    <row r="1113" spans="1:28" s="3" customFormat="1" x14ac:dyDescent="0.15">
      <c r="A1113" s="62"/>
      <c r="B1113" s="93"/>
      <c r="C1113" s="102"/>
      <c r="D1113" s="62"/>
      <c r="E1113" s="102"/>
      <c r="F1113" s="102"/>
      <c r="G1113" s="102"/>
      <c r="H1113" s="175"/>
      <c r="I1113" s="85"/>
      <c r="J1113" s="104"/>
      <c r="K1113" s="144"/>
      <c r="L1113" s="61"/>
      <c r="M1113" s="49"/>
      <c r="N1113" s="37"/>
      <c r="O1113" s="37"/>
      <c r="P1113" s="37"/>
      <c r="Z1113" s="4"/>
      <c r="AA1113"/>
      <c r="AB1113"/>
    </row>
    <row r="1114" spans="1:28" s="3" customFormat="1" x14ac:dyDescent="0.15">
      <c r="A1114" s="62"/>
      <c r="B1114" s="93"/>
      <c r="C1114" s="102"/>
      <c r="D1114" s="62"/>
      <c r="E1114" s="102"/>
      <c r="F1114" s="102"/>
      <c r="G1114" s="102"/>
      <c r="H1114" s="175"/>
      <c r="I1114" s="85"/>
      <c r="J1114" s="104"/>
      <c r="K1114" s="144"/>
      <c r="L1114" s="61"/>
      <c r="M1114" s="49"/>
      <c r="N1114" s="37"/>
      <c r="O1114" s="37"/>
      <c r="P1114" s="37"/>
      <c r="Z1114" s="4"/>
      <c r="AA1114"/>
      <c r="AB1114"/>
    </row>
    <row r="1115" spans="1:28" s="3" customFormat="1" x14ac:dyDescent="0.15">
      <c r="A1115" s="62"/>
      <c r="B1115" s="93"/>
      <c r="C1115" s="102"/>
      <c r="D1115" s="62"/>
      <c r="E1115" s="102"/>
      <c r="F1115" s="102"/>
      <c r="G1115" s="102"/>
      <c r="H1115" s="175"/>
      <c r="I1115" s="85"/>
      <c r="J1115" s="104"/>
      <c r="K1115" s="144"/>
      <c r="L1115" s="61"/>
      <c r="M1115" s="49"/>
      <c r="N1115" s="37"/>
      <c r="O1115" s="37"/>
      <c r="P1115" s="37"/>
      <c r="Z1115" s="4"/>
      <c r="AA1115"/>
      <c r="AB1115"/>
    </row>
    <row r="1116" spans="1:28" s="3" customFormat="1" x14ac:dyDescent="0.15">
      <c r="A1116" s="62"/>
      <c r="B1116" s="93"/>
      <c r="C1116" s="102"/>
      <c r="D1116" s="62"/>
      <c r="E1116" s="102"/>
      <c r="F1116" s="102"/>
      <c r="G1116" s="102"/>
      <c r="H1116" s="175"/>
      <c r="I1116" s="85"/>
      <c r="J1116" s="104"/>
      <c r="K1116" s="144"/>
      <c r="L1116" s="61"/>
      <c r="M1116" s="49"/>
      <c r="N1116" s="37"/>
      <c r="O1116" s="37"/>
      <c r="P1116" s="37"/>
      <c r="Z1116" s="4"/>
      <c r="AA1116"/>
      <c r="AB1116"/>
    </row>
    <row r="1117" spans="1:28" s="3" customFormat="1" x14ac:dyDescent="0.15">
      <c r="A1117" s="62"/>
      <c r="B1117" s="93"/>
      <c r="C1117" s="102"/>
      <c r="D1117" s="62"/>
      <c r="E1117" s="102"/>
      <c r="F1117" s="102"/>
      <c r="G1117" s="102"/>
      <c r="H1117" s="175"/>
      <c r="I1117" s="85"/>
      <c r="J1117" s="104"/>
      <c r="K1117" s="144"/>
      <c r="L1117" s="61"/>
      <c r="M1117" s="49"/>
      <c r="N1117" s="37"/>
      <c r="O1117" s="37"/>
      <c r="P1117" s="37"/>
      <c r="Z1117" s="4"/>
      <c r="AA1117"/>
      <c r="AB1117"/>
    </row>
    <row r="1118" spans="1:28" x14ac:dyDescent="0.15">
      <c r="A1118" s="62"/>
      <c r="B1118" s="93"/>
      <c r="C1118" s="102"/>
      <c r="D1118" s="62"/>
      <c r="E1118" s="102"/>
      <c r="F1118" s="102"/>
      <c r="G1118" s="102"/>
      <c r="H1118" s="175"/>
      <c r="I1118" s="85"/>
      <c r="J1118" s="104"/>
      <c r="K1118" s="144"/>
      <c r="L1118" s="61"/>
    </row>
    <row r="1119" spans="1:28" x14ac:dyDescent="0.15">
      <c r="A1119" s="62"/>
      <c r="B1119" s="93"/>
      <c r="C1119" s="102"/>
      <c r="D1119" s="62"/>
      <c r="E1119" s="102"/>
      <c r="F1119" s="102"/>
      <c r="G1119" s="102"/>
      <c r="H1119" s="175"/>
      <c r="I1119" s="85"/>
      <c r="J1119" s="104"/>
      <c r="K1119" s="144"/>
      <c r="L1119" s="61"/>
    </row>
    <row r="1120" spans="1:28" x14ac:dyDescent="0.15">
      <c r="A1120" s="62"/>
      <c r="B1120" s="93"/>
      <c r="C1120" s="102"/>
      <c r="D1120" s="62"/>
      <c r="E1120" s="102"/>
      <c r="F1120" s="102"/>
      <c r="G1120" s="102"/>
      <c r="H1120" s="175"/>
      <c r="I1120" s="85"/>
      <c r="J1120" s="104"/>
      <c r="K1120" s="144"/>
      <c r="L1120" s="61"/>
    </row>
    <row r="1121" spans="1:28" x14ac:dyDescent="0.15">
      <c r="A1121" s="62"/>
      <c r="B1121" s="93"/>
      <c r="C1121" s="102"/>
      <c r="D1121" s="62"/>
      <c r="E1121" s="102"/>
      <c r="F1121" s="102"/>
      <c r="G1121" s="102"/>
      <c r="H1121" s="175"/>
      <c r="I1121" s="85"/>
      <c r="J1121" s="104"/>
      <c r="K1121" s="144"/>
      <c r="L1121" s="61"/>
    </row>
    <row r="1122" spans="1:28" x14ac:dyDescent="0.15">
      <c r="A1122" s="62"/>
      <c r="B1122" s="93"/>
      <c r="C1122" s="102"/>
      <c r="D1122" s="62"/>
      <c r="E1122" s="102"/>
      <c r="F1122" s="102"/>
      <c r="G1122" s="102"/>
      <c r="H1122" s="175"/>
      <c r="I1122" s="85"/>
      <c r="J1122" s="104"/>
      <c r="K1122" s="144"/>
      <c r="L1122" s="61"/>
    </row>
    <row r="1123" spans="1:28" x14ac:dyDescent="0.15">
      <c r="A1123" s="62"/>
      <c r="B1123" s="93"/>
      <c r="C1123" s="102"/>
      <c r="D1123" s="62"/>
      <c r="E1123" s="102"/>
      <c r="F1123" s="102"/>
      <c r="G1123" s="102"/>
      <c r="H1123" s="175"/>
      <c r="I1123" s="85"/>
      <c r="J1123" s="104"/>
      <c r="K1123" s="144"/>
      <c r="L1123" s="61"/>
      <c r="N1123" s="49"/>
    </row>
    <row r="1124" spans="1:28" x14ac:dyDescent="0.15">
      <c r="A1124" s="62"/>
      <c r="B1124" s="93"/>
      <c r="C1124" s="102"/>
      <c r="D1124" s="62"/>
      <c r="E1124" s="102"/>
      <c r="F1124" s="102"/>
      <c r="G1124" s="102"/>
      <c r="H1124" s="175"/>
      <c r="I1124" s="85"/>
      <c r="J1124" s="104"/>
      <c r="K1124" s="144"/>
      <c r="L1124" s="61"/>
    </row>
    <row r="1125" spans="1:28" x14ac:dyDescent="0.15">
      <c r="A1125" s="62"/>
      <c r="B1125" s="93"/>
      <c r="C1125" s="102"/>
      <c r="D1125" s="62"/>
      <c r="E1125" s="102"/>
      <c r="F1125" s="102"/>
      <c r="G1125" s="102"/>
      <c r="H1125" s="175"/>
      <c r="I1125" s="85"/>
      <c r="J1125" s="104"/>
      <c r="K1125" s="144"/>
      <c r="L1125" s="61"/>
    </row>
    <row r="1126" spans="1:28" x14ac:dyDescent="0.15">
      <c r="A1126" s="62"/>
      <c r="B1126" s="93"/>
      <c r="C1126" s="102"/>
      <c r="D1126" s="62"/>
      <c r="E1126" s="102"/>
      <c r="F1126" s="102"/>
      <c r="G1126" s="102"/>
      <c r="H1126" s="175"/>
      <c r="I1126" s="98"/>
      <c r="J1126" s="98"/>
      <c r="K1126" s="135"/>
      <c r="L1126" s="61"/>
    </row>
    <row r="1127" spans="1:28" x14ac:dyDescent="0.15">
      <c r="A1127" s="62"/>
      <c r="B1127" s="93"/>
      <c r="C1127" s="102"/>
      <c r="D1127" s="62"/>
      <c r="E1127" s="102"/>
      <c r="F1127" s="102"/>
      <c r="G1127" s="102"/>
      <c r="H1127" s="175"/>
      <c r="I1127" s="98"/>
      <c r="J1127" s="98"/>
      <c r="K1127" s="135"/>
      <c r="L1127" s="61"/>
    </row>
    <row r="1128" spans="1:28" x14ac:dyDescent="0.15">
      <c r="A1128" s="62"/>
      <c r="B1128" s="93"/>
      <c r="C1128" s="102"/>
      <c r="D1128" s="62"/>
      <c r="E1128" s="102"/>
      <c r="F1128" s="102"/>
      <c r="G1128" s="102"/>
      <c r="H1128" s="175"/>
      <c r="I1128" s="98"/>
      <c r="J1128" s="98"/>
      <c r="K1128" s="135"/>
      <c r="L1128" s="61"/>
      <c r="S1128" s="14"/>
      <c r="T1128" s="14"/>
      <c r="U1128" s="14"/>
      <c r="V1128" s="14"/>
      <c r="W1128" s="14"/>
      <c r="X1128" s="14"/>
      <c r="Y1128" s="14"/>
      <c r="Z1128" s="17"/>
      <c r="AA1128" s="15"/>
      <c r="AB1128" s="15"/>
    </row>
    <row r="1129" spans="1:28" x14ac:dyDescent="0.15">
      <c r="A1129" s="62"/>
      <c r="B1129" s="93"/>
      <c r="C1129" s="102"/>
      <c r="D1129" s="62"/>
      <c r="E1129" s="102"/>
      <c r="F1129" s="102"/>
      <c r="G1129" s="102"/>
      <c r="H1129" s="175"/>
      <c r="I1129" s="85"/>
      <c r="J1129" s="104"/>
      <c r="K1129" s="144"/>
      <c r="L1129" s="61"/>
    </row>
    <row r="1130" spans="1:28" x14ac:dyDescent="0.15">
      <c r="A1130" s="62"/>
      <c r="B1130" s="93"/>
      <c r="C1130" s="102"/>
      <c r="D1130" s="62"/>
      <c r="E1130" s="102"/>
      <c r="F1130" s="102"/>
      <c r="G1130" s="102"/>
      <c r="H1130" s="175"/>
      <c r="I1130" s="85"/>
      <c r="J1130" s="104"/>
      <c r="K1130" s="144"/>
      <c r="L1130" s="61"/>
    </row>
    <row r="1131" spans="1:28" x14ac:dyDescent="0.15">
      <c r="A1131" s="62"/>
      <c r="B1131" s="93"/>
      <c r="C1131" s="102"/>
      <c r="D1131" s="62"/>
      <c r="E1131" s="102"/>
      <c r="F1131" s="102"/>
      <c r="G1131" s="102"/>
      <c r="H1131" s="175"/>
      <c r="I1131" s="85"/>
      <c r="J1131" s="104"/>
      <c r="K1131" s="144"/>
      <c r="L1131" s="61"/>
    </row>
    <row r="1132" spans="1:28" x14ac:dyDescent="0.15">
      <c r="A1132" s="62"/>
      <c r="B1132" s="93"/>
      <c r="C1132" s="100"/>
      <c r="D1132" s="61"/>
      <c r="E1132" s="102"/>
      <c r="F1132" s="100"/>
      <c r="G1132" s="100"/>
      <c r="H1132" s="177"/>
      <c r="I1132" s="85"/>
      <c r="J1132" s="104"/>
      <c r="K1132" s="144"/>
      <c r="L1132" s="61"/>
    </row>
    <row r="1133" spans="1:28" x14ac:dyDescent="0.15">
      <c r="A1133" s="62"/>
      <c r="B1133" s="93"/>
      <c r="C1133" s="102"/>
      <c r="D1133" s="62"/>
      <c r="E1133" s="102"/>
      <c r="F1133" s="102"/>
      <c r="G1133" s="102"/>
      <c r="H1133" s="175"/>
      <c r="I1133" s="85"/>
      <c r="J1133" s="104"/>
      <c r="K1133" s="144"/>
      <c r="L1133" s="61"/>
    </row>
    <row r="1134" spans="1:28" x14ac:dyDescent="0.15">
      <c r="A1134" s="62"/>
      <c r="B1134" s="93"/>
      <c r="C1134" s="102"/>
      <c r="D1134" s="62"/>
      <c r="E1134" s="102"/>
      <c r="F1134" s="102"/>
      <c r="G1134" s="102"/>
      <c r="H1134" s="175"/>
      <c r="I1134" s="85"/>
      <c r="J1134" s="104"/>
      <c r="K1134" s="144"/>
      <c r="L1134" s="61"/>
    </row>
    <row r="1135" spans="1:28" x14ac:dyDescent="0.15">
      <c r="A1135" s="62"/>
      <c r="B1135" s="93"/>
      <c r="C1135" s="102"/>
      <c r="D1135" s="62"/>
      <c r="E1135" s="102"/>
      <c r="F1135" s="102"/>
      <c r="G1135" s="102"/>
      <c r="H1135" s="175"/>
      <c r="I1135" s="85"/>
      <c r="J1135" s="104"/>
      <c r="K1135" s="144"/>
      <c r="L1135" s="61"/>
    </row>
    <row r="1136" spans="1:28" x14ac:dyDescent="0.15">
      <c r="A1136" s="62"/>
      <c r="B1136" s="93"/>
      <c r="C1136" s="102"/>
      <c r="D1136" s="62"/>
      <c r="E1136" s="102"/>
      <c r="F1136" s="102"/>
      <c r="G1136" s="102"/>
      <c r="H1136" s="175"/>
      <c r="I1136" s="85"/>
      <c r="J1136" s="104"/>
      <c r="K1136" s="144"/>
      <c r="L1136" s="61"/>
    </row>
    <row r="1137" spans="1:28" x14ac:dyDescent="0.15">
      <c r="A1137" s="62"/>
      <c r="B1137" s="93"/>
      <c r="C1137" s="102"/>
      <c r="D1137" s="62"/>
      <c r="E1137" s="102"/>
      <c r="F1137" s="102"/>
      <c r="G1137" s="102"/>
      <c r="H1137" s="175"/>
      <c r="I1137" s="98"/>
      <c r="J1137" s="98"/>
      <c r="K1137" s="135"/>
      <c r="L1137" s="61"/>
    </row>
    <row r="1138" spans="1:28" x14ac:dyDescent="0.15">
      <c r="A1138" s="62"/>
      <c r="B1138" s="93"/>
      <c r="C1138" s="102"/>
      <c r="D1138" s="62"/>
      <c r="E1138" s="102"/>
      <c r="F1138" s="102"/>
      <c r="G1138" s="102"/>
      <c r="H1138" s="175"/>
      <c r="I1138" s="85"/>
      <c r="J1138" s="104"/>
      <c r="K1138" s="144"/>
      <c r="L1138" s="61"/>
    </row>
    <row r="1139" spans="1:28" x14ac:dyDescent="0.15">
      <c r="A1139" s="62"/>
      <c r="B1139" s="93"/>
      <c r="C1139" s="102"/>
      <c r="D1139" s="62"/>
      <c r="E1139" s="102"/>
      <c r="F1139" s="102"/>
      <c r="G1139" s="102"/>
      <c r="H1139" s="175"/>
      <c r="I1139" s="85"/>
      <c r="J1139" s="104"/>
      <c r="K1139" s="144"/>
      <c r="L1139" s="61"/>
    </row>
    <row r="1140" spans="1:28" x14ac:dyDescent="0.15">
      <c r="A1140" s="62"/>
      <c r="B1140" s="93"/>
      <c r="C1140" s="102"/>
      <c r="D1140" s="62"/>
      <c r="E1140" s="102"/>
      <c r="F1140" s="102"/>
      <c r="G1140" s="102"/>
      <c r="H1140" s="175"/>
      <c r="I1140" s="98"/>
      <c r="J1140" s="98"/>
      <c r="K1140" s="135"/>
      <c r="L1140" s="61"/>
    </row>
    <row r="1141" spans="1:28" x14ac:dyDescent="0.15">
      <c r="A1141" s="62"/>
      <c r="B1141" s="93"/>
      <c r="C1141" s="102"/>
      <c r="D1141" s="62"/>
      <c r="E1141" s="102"/>
      <c r="F1141" s="102"/>
      <c r="G1141" s="102"/>
      <c r="H1141" s="175"/>
      <c r="I1141" s="85"/>
      <c r="J1141" s="104"/>
      <c r="K1141" s="144"/>
      <c r="L1141" s="61"/>
    </row>
    <row r="1142" spans="1:28" x14ac:dyDescent="0.15">
      <c r="A1142" s="62"/>
      <c r="B1142" s="93"/>
      <c r="C1142" s="102"/>
      <c r="D1142" s="62"/>
      <c r="E1142" s="102"/>
      <c r="F1142" s="102"/>
      <c r="G1142" s="102"/>
      <c r="H1142" s="175"/>
      <c r="I1142" s="85"/>
      <c r="J1142" s="104"/>
      <c r="K1142" s="144"/>
      <c r="L1142" s="61"/>
    </row>
    <row r="1143" spans="1:28" x14ac:dyDescent="0.15">
      <c r="A1143" s="62"/>
      <c r="B1143" s="93"/>
      <c r="C1143" s="102"/>
      <c r="D1143" s="62"/>
      <c r="E1143" s="102"/>
      <c r="F1143" s="102"/>
      <c r="G1143" s="102"/>
      <c r="H1143" s="175"/>
      <c r="I1143" s="98"/>
      <c r="J1143" s="98"/>
      <c r="K1143" s="135"/>
      <c r="L1143" s="61"/>
    </row>
    <row r="1144" spans="1:28" x14ac:dyDescent="0.15">
      <c r="A1144" s="62"/>
      <c r="B1144" s="93"/>
      <c r="C1144" s="102"/>
      <c r="D1144" s="62"/>
      <c r="E1144" s="102"/>
      <c r="F1144" s="102"/>
      <c r="G1144" s="102"/>
      <c r="H1144" s="175"/>
      <c r="I1144" s="85"/>
      <c r="J1144" s="104"/>
      <c r="K1144" s="144"/>
      <c r="L1144" s="61"/>
    </row>
    <row r="1145" spans="1:28" x14ac:dyDescent="0.15">
      <c r="A1145" s="62"/>
      <c r="B1145" s="93"/>
      <c r="C1145" s="100"/>
      <c r="D1145" s="61"/>
      <c r="E1145" s="100"/>
      <c r="F1145" s="100"/>
      <c r="G1145" s="100"/>
      <c r="H1145" s="177"/>
      <c r="I1145" s="98"/>
      <c r="J1145" s="103"/>
      <c r="K1145" s="135"/>
      <c r="L1145" s="61"/>
    </row>
    <row r="1146" spans="1:28" x14ac:dyDescent="0.15">
      <c r="A1146" s="62"/>
      <c r="B1146" s="93"/>
      <c r="C1146" s="102"/>
      <c r="D1146" s="62"/>
      <c r="E1146" s="100"/>
      <c r="F1146" s="102"/>
      <c r="G1146" s="102"/>
      <c r="H1146" s="175"/>
      <c r="I1146" s="85"/>
      <c r="J1146" s="104"/>
      <c r="K1146" s="144"/>
      <c r="L1146" s="61"/>
    </row>
    <row r="1147" spans="1:28" x14ac:dyDescent="0.15">
      <c r="A1147" s="62"/>
      <c r="B1147" s="93"/>
      <c r="C1147" s="102"/>
      <c r="D1147" s="62"/>
      <c r="E1147" s="102"/>
      <c r="F1147" s="102"/>
      <c r="G1147" s="102"/>
      <c r="H1147" s="175"/>
      <c r="I1147" s="85"/>
      <c r="J1147" s="104"/>
      <c r="K1147" s="144"/>
      <c r="L1147" s="61"/>
    </row>
    <row r="1148" spans="1:28" x14ac:dyDescent="0.15">
      <c r="A1148" s="62"/>
      <c r="B1148" s="93"/>
      <c r="C1148" s="102"/>
      <c r="D1148" s="62"/>
      <c r="E1148" s="102"/>
      <c r="F1148" s="102"/>
      <c r="G1148" s="102"/>
      <c r="H1148" s="175"/>
      <c r="I1148" s="98"/>
      <c r="J1148" s="98"/>
      <c r="K1148" s="135"/>
      <c r="L1148" s="61"/>
    </row>
    <row r="1149" spans="1:28" x14ac:dyDescent="0.15">
      <c r="A1149" s="62"/>
      <c r="B1149" s="93"/>
      <c r="C1149" s="102"/>
      <c r="D1149" s="62"/>
      <c r="E1149" s="102"/>
      <c r="F1149" s="102"/>
      <c r="G1149" s="102"/>
      <c r="H1149" s="175"/>
      <c r="I1149" s="85"/>
      <c r="J1149" s="104"/>
      <c r="K1149" s="144"/>
      <c r="L1149" s="61"/>
      <c r="S1149" s="14"/>
      <c r="T1149" s="14"/>
      <c r="U1149" s="14"/>
      <c r="V1149" s="14"/>
      <c r="W1149" s="14"/>
      <c r="X1149" s="14"/>
      <c r="Y1149" s="14"/>
      <c r="Z1149" s="17"/>
      <c r="AA1149" s="15"/>
      <c r="AB1149" s="15"/>
    </row>
    <row r="1150" spans="1:28" x14ac:dyDescent="0.15">
      <c r="A1150" s="62"/>
      <c r="B1150" s="93"/>
      <c r="C1150" s="102"/>
      <c r="D1150" s="62"/>
      <c r="E1150" s="102"/>
      <c r="F1150" s="102"/>
      <c r="G1150" s="102"/>
      <c r="H1150" s="175"/>
      <c r="I1150" s="85"/>
      <c r="J1150" s="104"/>
      <c r="K1150" s="144"/>
      <c r="L1150" s="61"/>
    </row>
    <row r="1151" spans="1:28" x14ac:dyDescent="0.15">
      <c r="A1151" s="62"/>
      <c r="B1151" s="93"/>
      <c r="C1151" s="102"/>
      <c r="D1151" s="62"/>
      <c r="E1151" s="102"/>
      <c r="F1151" s="102"/>
      <c r="G1151" s="102"/>
      <c r="H1151" s="175"/>
      <c r="I1151" s="85"/>
      <c r="J1151" s="104"/>
      <c r="K1151" s="144"/>
      <c r="L1151" s="61"/>
    </row>
    <row r="1152" spans="1:28" x14ac:dyDescent="0.15">
      <c r="A1152" s="62"/>
      <c r="B1152" s="93"/>
      <c r="C1152" s="102"/>
      <c r="D1152" s="62"/>
      <c r="E1152" s="102"/>
      <c r="F1152" s="102"/>
      <c r="G1152" s="102"/>
      <c r="H1152" s="175"/>
      <c r="I1152" s="85"/>
      <c r="J1152" s="104"/>
      <c r="K1152" s="144"/>
      <c r="L1152" s="61"/>
    </row>
    <row r="1153" spans="1:28" x14ac:dyDescent="0.15">
      <c r="A1153" s="62"/>
      <c r="B1153" s="93"/>
      <c r="C1153" s="102"/>
      <c r="D1153" s="62"/>
      <c r="E1153" s="102"/>
      <c r="F1153" s="102"/>
      <c r="G1153" s="102"/>
      <c r="H1153" s="175"/>
      <c r="I1153" s="85"/>
      <c r="J1153" s="104"/>
      <c r="K1153" s="144"/>
      <c r="L1153" s="61"/>
    </row>
    <row r="1154" spans="1:28" x14ac:dyDescent="0.15">
      <c r="A1154" s="62"/>
      <c r="B1154" s="93"/>
      <c r="C1154" s="102"/>
      <c r="D1154" s="62"/>
      <c r="E1154" s="102"/>
      <c r="F1154" s="102"/>
      <c r="G1154" s="102"/>
      <c r="H1154" s="175"/>
      <c r="I1154" s="85"/>
      <c r="J1154" s="104"/>
      <c r="K1154" s="144"/>
      <c r="L1154" s="61"/>
      <c r="S1154" s="14"/>
      <c r="T1154" s="14"/>
      <c r="U1154" s="14"/>
      <c r="V1154" s="14"/>
      <c r="W1154" s="14"/>
      <c r="X1154" s="14"/>
      <c r="Y1154" s="14"/>
      <c r="Z1154" s="17"/>
      <c r="AA1154" s="15"/>
      <c r="AB1154" s="15"/>
    </row>
    <row r="1155" spans="1:28" x14ac:dyDescent="0.15">
      <c r="A1155" s="62"/>
      <c r="B1155" s="93"/>
      <c r="C1155" s="102"/>
      <c r="D1155" s="62"/>
      <c r="E1155" s="102"/>
      <c r="F1155" s="102"/>
      <c r="G1155" s="102"/>
      <c r="H1155" s="175"/>
      <c r="I1155" s="85"/>
      <c r="J1155" s="104"/>
      <c r="K1155" s="144"/>
      <c r="L1155" s="61"/>
    </row>
    <row r="1156" spans="1:28" x14ac:dyDescent="0.15">
      <c r="A1156" s="62"/>
      <c r="B1156" s="93"/>
      <c r="C1156" s="102"/>
      <c r="D1156" s="62"/>
      <c r="E1156" s="102"/>
      <c r="F1156" s="102"/>
      <c r="G1156" s="102"/>
      <c r="H1156" s="175"/>
      <c r="I1156" s="85"/>
      <c r="J1156" s="104"/>
      <c r="K1156" s="144"/>
      <c r="L1156" s="61"/>
    </row>
    <row r="1157" spans="1:28" x14ac:dyDescent="0.15">
      <c r="A1157" s="62"/>
      <c r="B1157" s="93"/>
      <c r="C1157" s="102"/>
      <c r="D1157" s="62"/>
      <c r="E1157" s="102"/>
      <c r="F1157" s="102"/>
      <c r="G1157" s="102"/>
      <c r="H1157" s="175"/>
      <c r="I1157" s="85"/>
      <c r="J1157" s="104"/>
      <c r="K1157" s="144"/>
      <c r="L1157" s="61"/>
    </row>
    <row r="1158" spans="1:28" x14ac:dyDescent="0.15">
      <c r="A1158" s="62"/>
      <c r="B1158" s="93"/>
      <c r="C1158" s="102"/>
      <c r="D1158" s="62"/>
      <c r="E1158" s="102"/>
      <c r="F1158" s="102"/>
      <c r="G1158" s="102"/>
      <c r="H1158" s="175"/>
      <c r="I1158" s="98"/>
      <c r="J1158" s="98"/>
      <c r="K1158" s="135"/>
      <c r="L1158" s="62"/>
    </row>
    <row r="1159" spans="1:28" x14ac:dyDescent="0.15">
      <c r="A1159" s="62"/>
      <c r="B1159" s="93"/>
      <c r="C1159" s="102"/>
      <c r="D1159" s="62"/>
      <c r="E1159" s="102"/>
      <c r="F1159" s="102"/>
      <c r="G1159" s="102"/>
      <c r="H1159" s="175"/>
      <c r="I1159" s="98"/>
      <c r="J1159" s="98"/>
      <c r="K1159" s="135"/>
      <c r="L1159" s="62"/>
    </row>
    <row r="1160" spans="1:28" x14ac:dyDescent="0.15">
      <c r="A1160" s="62"/>
      <c r="B1160" s="93"/>
      <c r="C1160" s="102"/>
      <c r="D1160" s="62"/>
      <c r="E1160" s="102"/>
      <c r="F1160" s="102"/>
      <c r="G1160" s="102"/>
      <c r="H1160" s="175"/>
      <c r="I1160" s="98"/>
      <c r="J1160" s="98"/>
      <c r="K1160" s="135"/>
      <c r="L1160" s="62"/>
    </row>
    <row r="1161" spans="1:28" x14ac:dyDescent="0.15">
      <c r="A1161" s="62"/>
      <c r="B1161" s="93"/>
      <c r="C1161" s="102"/>
      <c r="D1161" s="62"/>
      <c r="E1161" s="102"/>
      <c r="F1161" s="102"/>
      <c r="G1161" s="102"/>
      <c r="H1161" s="175"/>
      <c r="I1161" s="98"/>
      <c r="J1161" s="98"/>
      <c r="K1161" s="135"/>
      <c r="L1161" s="62"/>
    </row>
    <row r="1162" spans="1:28" x14ac:dyDescent="0.15">
      <c r="A1162" s="62"/>
      <c r="B1162" s="93"/>
      <c r="C1162" s="102"/>
      <c r="D1162" s="62"/>
      <c r="E1162" s="100"/>
      <c r="F1162" s="102"/>
      <c r="G1162" s="102"/>
      <c r="H1162" s="175"/>
      <c r="I1162" s="98"/>
      <c r="J1162" s="98"/>
      <c r="K1162" s="135"/>
      <c r="L1162" s="62"/>
    </row>
    <row r="1163" spans="1:28" x14ac:dyDescent="0.15">
      <c r="A1163" s="62"/>
      <c r="B1163" s="93"/>
      <c r="C1163" s="102"/>
      <c r="D1163" s="62"/>
      <c r="E1163" s="102"/>
      <c r="F1163" s="102"/>
      <c r="G1163" s="102"/>
      <c r="H1163" s="175"/>
      <c r="I1163" s="85"/>
      <c r="J1163" s="104"/>
      <c r="K1163" s="144"/>
      <c r="L1163" s="62"/>
      <c r="Q1163" s="14"/>
      <c r="R1163" s="14"/>
    </row>
    <row r="1164" spans="1:28" x14ac:dyDescent="0.15">
      <c r="A1164" s="62"/>
      <c r="B1164" s="93"/>
      <c r="C1164" s="102"/>
      <c r="D1164" s="62"/>
      <c r="E1164" s="102"/>
      <c r="F1164" s="102"/>
      <c r="G1164" s="102"/>
      <c r="H1164" s="175"/>
      <c r="I1164" s="85"/>
      <c r="J1164" s="104"/>
      <c r="K1164" s="144"/>
      <c r="L1164" s="62"/>
    </row>
    <row r="1165" spans="1:28" x14ac:dyDescent="0.15">
      <c r="A1165" s="62"/>
      <c r="B1165" s="93"/>
      <c r="C1165" s="102"/>
      <c r="D1165" s="62"/>
      <c r="E1165" s="102"/>
      <c r="F1165" s="102"/>
      <c r="G1165" s="102"/>
      <c r="H1165" s="175"/>
      <c r="I1165" s="85"/>
      <c r="J1165" s="104"/>
      <c r="K1165" s="144"/>
      <c r="L1165" s="62"/>
    </row>
    <row r="1166" spans="1:28" s="3" customFormat="1" x14ac:dyDescent="0.15">
      <c r="A1166" s="62"/>
      <c r="B1166" s="93"/>
      <c r="C1166" s="102"/>
      <c r="D1166" s="62"/>
      <c r="E1166" s="100"/>
      <c r="F1166" s="102"/>
      <c r="G1166" s="102"/>
      <c r="H1166" s="175"/>
      <c r="I1166" s="85"/>
      <c r="J1166" s="104"/>
      <c r="K1166" s="144"/>
      <c r="L1166" s="62"/>
      <c r="M1166" s="49"/>
      <c r="N1166" s="37"/>
      <c r="O1166" s="37"/>
      <c r="P1166" s="37"/>
      <c r="Z1166" s="4"/>
      <c r="AA1166"/>
      <c r="AB1166"/>
    </row>
    <row r="1167" spans="1:28" s="3" customFormat="1" x14ac:dyDescent="0.15">
      <c r="A1167" s="62"/>
      <c r="B1167" s="93"/>
      <c r="C1167" s="100"/>
      <c r="D1167" s="61"/>
      <c r="E1167" s="102"/>
      <c r="F1167" s="100"/>
      <c r="G1167" s="100"/>
      <c r="H1167" s="177"/>
      <c r="I1167" s="85"/>
      <c r="J1167" s="101"/>
      <c r="K1167" s="144"/>
      <c r="L1167" s="62"/>
      <c r="M1167" s="49"/>
      <c r="N1167" s="37"/>
      <c r="O1167" s="37"/>
      <c r="P1167" s="37"/>
      <c r="Q1167" s="14"/>
      <c r="R1167" s="14"/>
      <c r="Z1167" s="4"/>
      <c r="AA1167"/>
      <c r="AB1167"/>
    </row>
    <row r="1168" spans="1:28" s="3" customFormat="1" x14ac:dyDescent="0.15">
      <c r="A1168" s="62"/>
      <c r="B1168" s="93"/>
      <c r="C1168" s="102"/>
      <c r="D1168" s="62"/>
      <c r="E1168" s="102"/>
      <c r="F1168" s="102"/>
      <c r="G1168" s="102"/>
      <c r="H1168" s="175"/>
      <c r="I1168" s="85"/>
      <c r="J1168" s="104"/>
      <c r="K1168" s="144"/>
      <c r="L1168" s="62"/>
      <c r="M1168" s="49"/>
      <c r="N1168" s="37"/>
      <c r="O1168" s="37"/>
      <c r="P1168" s="37"/>
      <c r="Z1168" s="4"/>
      <c r="AA1168"/>
      <c r="AB1168"/>
    </row>
    <row r="1169" spans="1:28" s="3" customFormat="1" x14ac:dyDescent="0.15">
      <c r="A1169" s="62"/>
      <c r="B1169" s="93"/>
      <c r="C1169" s="102"/>
      <c r="D1169" s="62"/>
      <c r="E1169" s="102"/>
      <c r="F1169" s="102"/>
      <c r="G1169" s="102"/>
      <c r="H1169" s="175"/>
      <c r="I1169" s="98"/>
      <c r="J1169" s="98"/>
      <c r="K1169" s="135"/>
      <c r="L1169" s="62"/>
      <c r="M1169" s="49"/>
      <c r="N1169" s="37"/>
      <c r="O1169" s="37"/>
      <c r="P1169" s="37"/>
      <c r="Z1169" s="4"/>
      <c r="AA1169"/>
      <c r="AB1169"/>
    </row>
    <row r="1170" spans="1:28" s="3" customFormat="1" x14ac:dyDescent="0.15">
      <c r="A1170" s="62"/>
      <c r="B1170" s="93"/>
      <c r="C1170" s="102"/>
      <c r="D1170" s="62"/>
      <c r="E1170" s="102"/>
      <c r="F1170" s="102"/>
      <c r="G1170" s="102"/>
      <c r="H1170" s="175"/>
      <c r="I1170" s="98"/>
      <c r="J1170" s="98"/>
      <c r="K1170" s="135"/>
      <c r="L1170" s="62"/>
      <c r="M1170" s="49"/>
      <c r="N1170" s="37"/>
      <c r="O1170" s="37"/>
      <c r="P1170" s="37"/>
      <c r="Z1170" s="4"/>
      <c r="AA1170"/>
      <c r="AB1170"/>
    </row>
    <row r="1171" spans="1:28" s="3" customFormat="1" x14ac:dyDescent="0.15">
      <c r="A1171" s="62"/>
      <c r="B1171" s="93"/>
      <c r="C1171" s="102"/>
      <c r="D1171" s="62"/>
      <c r="E1171" s="102"/>
      <c r="F1171" s="102"/>
      <c r="G1171" s="102"/>
      <c r="H1171" s="175"/>
      <c r="I1171" s="98"/>
      <c r="J1171" s="98"/>
      <c r="K1171" s="135"/>
      <c r="L1171" s="62"/>
      <c r="M1171" s="49"/>
      <c r="N1171" s="37"/>
      <c r="O1171" s="37"/>
      <c r="P1171" s="37"/>
      <c r="Z1171" s="4"/>
      <c r="AA1171"/>
      <c r="AB1171"/>
    </row>
    <row r="1172" spans="1:28" s="3" customFormat="1" x14ac:dyDescent="0.15">
      <c r="A1172" s="62"/>
      <c r="B1172" s="93"/>
      <c r="C1172" s="102"/>
      <c r="D1172" s="62"/>
      <c r="E1172" s="102"/>
      <c r="F1172" s="102"/>
      <c r="G1172" s="102"/>
      <c r="H1172" s="175"/>
      <c r="I1172" s="98"/>
      <c r="J1172" s="98"/>
      <c r="K1172" s="141"/>
      <c r="L1172" s="62"/>
      <c r="M1172" s="49"/>
      <c r="N1172" s="37"/>
      <c r="O1172" s="37"/>
      <c r="P1172" s="37"/>
      <c r="Z1172" s="4"/>
      <c r="AA1172"/>
      <c r="AB1172"/>
    </row>
    <row r="1173" spans="1:28" s="3" customFormat="1" x14ac:dyDescent="0.15">
      <c r="A1173" s="62"/>
      <c r="B1173" s="93"/>
      <c r="C1173" s="102"/>
      <c r="D1173" s="62"/>
      <c r="E1173" s="102"/>
      <c r="F1173" s="102"/>
      <c r="G1173" s="102"/>
      <c r="H1173" s="175"/>
      <c r="I1173" s="98"/>
      <c r="J1173" s="98"/>
      <c r="K1173" s="135"/>
      <c r="L1173" s="62"/>
      <c r="M1173" s="49"/>
      <c r="N1173" s="37"/>
      <c r="O1173" s="37"/>
      <c r="P1173" s="37"/>
      <c r="Z1173" s="4"/>
      <c r="AA1173"/>
      <c r="AB1173"/>
    </row>
    <row r="1174" spans="1:28" s="3" customFormat="1" x14ac:dyDescent="0.15">
      <c r="A1174" s="62"/>
      <c r="B1174" s="93"/>
      <c r="C1174" s="102"/>
      <c r="D1174" s="62"/>
      <c r="E1174" s="102"/>
      <c r="F1174" s="102"/>
      <c r="G1174" s="102"/>
      <c r="H1174" s="175"/>
      <c r="I1174" s="98"/>
      <c r="J1174" s="98"/>
      <c r="K1174" s="135"/>
      <c r="L1174" s="62"/>
      <c r="M1174" s="49"/>
      <c r="N1174" s="37"/>
      <c r="O1174" s="37"/>
      <c r="P1174" s="37"/>
      <c r="Z1174" s="4"/>
      <c r="AA1174"/>
      <c r="AB1174"/>
    </row>
    <row r="1175" spans="1:28" s="3" customFormat="1" x14ac:dyDescent="0.15">
      <c r="A1175" s="62"/>
      <c r="B1175" s="93"/>
      <c r="C1175" s="102"/>
      <c r="D1175" s="62"/>
      <c r="E1175" s="100"/>
      <c r="F1175" s="102"/>
      <c r="G1175" s="102"/>
      <c r="H1175" s="175"/>
      <c r="I1175" s="98"/>
      <c r="J1175" s="98"/>
      <c r="K1175" s="135"/>
      <c r="L1175" s="62"/>
      <c r="M1175" s="49"/>
      <c r="N1175" s="37"/>
      <c r="O1175" s="37"/>
      <c r="P1175" s="37"/>
      <c r="Z1175" s="4"/>
      <c r="AA1175"/>
      <c r="AB1175"/>
    </row>
    <row r="1176" spans="1:28" s="3" customFormat="1" x14ac:dyDescent="0.15">
      <c r="A1176" s="62"/>
      <c r="B1176" s="93"/>
      <c r="C1176" s="100"/>
      <c r="D1176" s="61"/>
      <c r="E1176" s="102"/>
      <c r="F1176" s="100"/>
      <c r="G1176" s="100"/>
      <c r="H1176" s="177"/>
      <c r="I1176" s="98"/>
      <c r="J1176" s="98"/>
      <c r="K1176" s="135"/>
      <c r="L1176" s="62"/>
      <c r="M1176" s="49"/>
      <c r="N1176" s="37"/>
      <c r="O1176" s="37"/>
      <c r="P1176" s="37"/>
      <c r="Z1176" s="4"/>
      <c r="AA1176"/>
      <c r="AB1176"/>
    </row>
    <row r="1177" spans="1:28" s="3" customFormat="1" x14ac:dyDescent="0.15">
      <c r="A1177" s="62"/>
      <c r="B1177" s="93"/>
      <c r="C1177" s="102"/>
      <c r="D1177" s="62"/>
      <c r="E1177" s="102"/>
      <c r="F1177" s="102"/>
      <c r="G1177" s="102"/>
      <c r="H1177" s="175"/>
      <c r="I1177" s="85"/>
      <c r="J1177" s="104"/>
      <c r="K1177" s="144"/>
      <c r="L1177" s="62"/>
      <c r="M1177" s="49"/>
      <c r="N1177" s="37"/>
      <c r="O1177" s="37"/>
      <c r="P1177" s="37"/>
      <c r="Z1177" s="4"/>
      <c r="AA1177"/>
      <c r="AB1177"/>
    </row>
    <row r="1178" spans="1:28" s="3" customFormat="1" x14ac:dyDescent="0.15">
      <c r="A1178" s="62"/>
      <c r="B1178" s="93"/>
      <c r="C1178" s="102"/>
      <c r="D1178" s="62"/>
      <c r="E1178" s="102"/>
      <c r="F1178" s="102"/>
      <c r="G1178" s="102"/>
      <c r="H1178" s="175"/>
      <c r="I1178" s="85"/>
      <c r="J1178" s="104"/>
      <c r="K1178" s="144"/>
      <c r="L1178" s="62"/>
      <c r="M1178" s="49"/>
      <c r="N1178" s="37"/>
      <c r="O1178" s="37"/>
      <c r="P1178" s="37"/>
      <c r="Z1178" s="4"/>
      <c r="AA1178"/>
      <c r="AB1178"/>
    </row>
    <row r="1179" spans="1:28" s="3" customFormat="1" x14ac:dyDescent="0.15">
      <c r="A1179" s="62"/>
      <c r="B1179" s="93"/>
      <c r="C1179" s="102"/>
      <c r="D1179" s="62"/>
      <c r="E1179" s="102"/>
      <c r="F1179" s="102"/>
      <c r="G1179" s="102"/>
      <c r="H1179" s="175"/>
      <c r="I1179" s="85"/>
      <c r="J1179" s="104"/>
      <c r="K1179" s="144"/>
      <c r="L1179" s="62"/>
      <c r="M1179" s="49"/>
      <c r="N1179" s="37"/>
      <c r="O1179" s="37"/>
      <c r="P1179" s="37"/>
      <c r="Z1179" s="4"/>
      <c r="AA1179"/>
      <c r="AB1179"/>
    </row>
    <row r="1180" spans="1:28" s="3" customFormat="1" x14ac:dyDescent="0.15">
      <c r="A1180" s="62"/>
      <c r="B1180" s="93"/>
      <c r="C1180" s="102"/>
      <c r="D1180" s="62"/>
      <c r="E1180" s="102"/>
      <c r="F1180" s="102"/>
      <c r="G1180" s="102"/>
      <c r="H1180" s="175"/>
      <c r="I1180" s="85"/>
      <c r="J1180" s="104"/>
      <c r="K1180" s="144"/>
      <c r="L1180" s="62"/>
      <c r="M1180" s="49"/>
      <c r="N1180" s="37"/>
      <c r="O1180" s="37"/>
      <c r="P1180" s="37"/>
      <c r="Z1180" s="4"/>
      <c r="AA1180"/>
      <c r="AB1180"/>
    </row>
    <row r="1181" spans="1:28" s="3" customFormat="1" x14ac:dyDescent="0.15">
      <c r="A1181" s="62"/>
      <c r="B1181" s="93"/>
      <c r="C1181" s="102"/>
      <c r="D1181" s="62"/>
      <c r="E1181" s="102"/>
      <c r="F1181" s="102"/>
      <c r="G1181" s="102"/>
      <c r="H1181" s="175"/>
      <c r="I1181" s="85"/>
      <c r="J1181" s="104"/>
      <c r="K1181" s="144"/>
      <c r="L1181" s="62"/>
      <c r="M1181" s="49"/>
      <c r="N1181" s="37"/>
      <c r="O1181" s="37"/>
      <c r="P1181" s="37"/>
      <c r="Z1181" s="4"/>
      <c r="AA1181"/>
      <c r="AB1181"/>
    </row>
    <row r="1182" spans="1:28" s="49" customFormat="1" x14ac:dyDescent="0.15">
      <c r="A1182" s="62"/>
      <c r="B1182" s="93"/>
      <c r="C1182" s="102"/>
      <c r="D1182" s="62"/>
      <c r="E1182" s="102"/>
      <c r="F1182" s="102"/>
      <c r="G1182" s="102"/>
      <c r="H1182" s="175"/>
      <c r="I1182" s="85"/>
      <c r="J1182" s="104"/>
      <c r="K1182" s="144"/>
      <c r="L1182" s="62"/>
      <c r="N1182" s="37"/>
      <c r="O1182" s="37"/>
      <c r="P1182" s="37"/>
      <c r="Q1182" s="3"/>
      <c r="R1182" s="3"/>
      <c r="S1182" s="3"/>
      <c r="T1182" s="3"/>
      <c r="U1182" s="3"/>
      <c r="V1182" s="3"/>
      <c r="W1182" s="3"/>
      <c r="X1182" s="3"/>
      <c r="Y1182" s="3"/>
      <c r="Z1182" s="4"/>
      <c r="AA1182"/>
      <c r="AB1182"/>
    </row>
    <row r="1183" spans="1:28" s="49" customFormat="1" x14ac:dyDescent="0.15">
      <c r="A1183" s="62"/>
      <c r="B1183" s="93"/>
      <c r="C1183" s="102"/>
      <c r="D1183" s="62"/>
      <c r="E1183" s="102"/>
      <c r="F1183" s="102"/>
      <c r="G1183" s="102"/>
      <c r="H1183" s="175"/>
      <c r="I1183" s="85"/>
      <c r="J1183" s="104"/>
      <c r="K1183" s="144"/>
      <c r="L1183" s="62"/>
      <c r="N1183" s="37"/>
      <c r="O1183" s="37"/>
      <c r="P1183" s="37"/>
      <c r="Q1183" s="3"/>
      <c r="R1183" s="3"/>
      <c r="S1183" s="3"/>
      <c r="T1183" s="3"/>
      <c r="U1183" s="3"/>
      <c r="V1183" s="3"/>
      <c r="W1183" s="3"/>
      <c r="X1183" s="3"/>
      <c r="Y1183" s="3"/>
      <c r="Z1183" s="4"/>
      <c r="AA1183"/>
      <c r="AB1183"/>
    </row>
    <row r="1184" spans="1:28" s="49" customFormat="1" x14ac:dyDescent="0.15">
      <c r="A1184" s="62"/>
      <c r="B1184" s="93"/>
      <c r="C1184" s="102"/>
      <c r="D1184" s="62"/>
      <c r="E1184" s="102"/>
      <c r="F1184" s="102"/>
      <c r="G1184" s="102"/>
      <c r="H1184" s="175"/>
      <c r="I1184" s="85"/>
      <c r="J1184" s="104"/>
      <c r="K1184" s="144"/>
      <c r="L1184" s="62"/>
      <c r="N1184" s="37"/>
      <c r="O1184" s="37"/>
      <c r="P1184" s="37"/>
      <c r="Q1184" s="3"/>
      <c r="R1184" s="3"/>
      <c r="S1184" s="3"/>
      <c r="T1184" s="3"/>
      <c r="U1184" s="3"/>
      <c r="V1184" s="3"/>
      <c r="W1184" s="3"/>
      <c r="X1184" s="3"/>
      <c r="Y1184" s="3"/>
      <c r="Z1184" s="4"/>
      <c r="AA1184"/>
      <c r="AB1184"/>
    </row>
    <row r="1185" spans="1:28" s="49" customFormat="1" x14ac:dyDescent="0.15">
      <c r="A1185" s="62"/>
      <c r="B1185" s="93"/>
      <c r="C1185" s="102"/>
      <c r="D1185" s="62"/>
      <c r="E1185" s="102"/>
      <c r="F1185" s="102"/>
      <c r="G1185" s="102"/>
      <c r="H1185" s="175"/>
      <c r="I1185" s="85"/>
      <c r="J1185" s="104"/>
      <c r="K1185" s="144"/>
      <c r="L1185" s="62"/>
      <c r="N1185" s="37"/>
      <c r="O1185" s="37"/>
      <c r="P1185" s="37"/>
      <c r="Q1185" s="3"/>
      <c r="R1185" s="3"/>
      <c r="S1185" s="3"/>
      <c r="T1185" s="3"/>
      <c r="U1185" s="3"/>
      <c r="V1185" s="3"/>
      <c r="W1185" s="3"/>
      <c r="X1185" s="3"/>
      <c r="Y1185" s="3"/>
      <c r="Z1185" s="4"/>
      <c r="AA1185"/>
      <c r="AB1185"/>
    </row>
    <row r="1186" spans="1:28" s="49" customFormat="1" x14ac:dyDescent="0.15">
      <c r="A1186" s="62"/>
      <c r="B1186" s="93"/>
      <c r="C1186" s="102"/>
      <c r="D1186" s="62"/>
      <c r="E1186" s="102"/>
      <c r="F1186" s="102"/>
      <c r="G1186" s="102"/>
      <c r="H1186" s="175"/>
      <c r="I1186" s="85"/>
      <c r="J1186" s="104"/>
      <c r="K1186" s="144"/>
      <c r="L1186" s="62"/>
      <c r="N1186" s="37"/>
      <c r="O1186" s="37"/>
      <c r="P1186" s="37"/>
      <c r="Q1186" s="3"/>
      <c r="R1186" s="3"/>
      <c r="S1186" s="3"/>
      <c r="T1186" s="3"/>
      <c r="U1186" s="3"/>
      <c r="V1186" s="3"/>
      <c r="W1186" s="3"/>
      <c r="X1186" s="3"/>
      <c r="Y1186" s="3"/>
      <c r="Z1186" s="4"/>
      <c r="AA1186"/>
      <c r="AB1186"/>
    </row>
    <row r="1187" spans="1:28" s="49" customFormat="1" x14ac:dyDescent="0.15">
      <c r="A1187" s="62"/>
      <c r="B1187" s="93"/>
      <c r="C1187" s="102"/>
      <c r="D1187" s="62"/>
      <c r="E1187" s="102"/>
      <c r="F1187" s="102"/>
      <c r="G1187" s="102"/>
      <c r="H1187" s="175"/>
      <c r="I1187" s="85"/>
      <c r="J1187" s="104"/>
      <c r="K1187" s="144"/>
      <c r="L1187" s="62"/>
      <c r="N1187" s="37"/>
      <c r="O1187" s="37"/>
      <c r="P1187" s="37"/>
      <c r="Q1187" s="3"/>
      <c r="R1187" s="3"/>
      <c r="S1187" s="3"/>
      <c r="T1187" s="3"/>
      <c r="U1187" s="3"/>
      <c r="V1187" s="3"/>
      <c r="W1187" s="3"/>
      <c r="X1187" s="3"/>
      <c r="Y1187" s="3"/>
      <c r="Z1187" s="4"/>
      <c r="AA1187"/>
      <c r="AB1187"/>
    </row>
    <row r="1188" spans="1:28" s="49" customFormat="1" x14ac:dyDescent="0.15">
      <c r="A1188" s="62"/>
      <c r="B1188" s="93"/>
      <c r="C1188" s="102"/>
      <c r="D1188" s="62"/>
      <c r="E1188" s="102"/>
      <c r="F1188" s="102"/>
      <c r="G1188" s="102"/>
      <c r="H1188" s="175"/>
      <c r="I1188" s="85"/>
      <c r="J1188" s="104"/>
      <c r="K1188" s="143"/>
      <c r="L1188" s="61"/>
      <c r="N1188" s="37"/>
      <c r="O1188" s="37"/>
      <c r="P1188" s="37"/>
      <c r="Q1188" s="3"/>
      <c r="R1188" s="3"/>
      <c r="S1188" s="3"/>
      <c r="T1188" s="3"/>
      <c r="U1188" s="3"/>
      <c r="V1188" s="3"/>
      <c r="W1188" s="3"/>
      <c r="X1188" s="3"/>
      <c r="Y1188" s="3"/>
      <c r="Z1188" s="4"/>
      <c r="AA1188"/>
      <c r="AB1188"/>
    </row>
    <row r="1189" spans="1:28" s="49" customFormat="1" x14ac:dyDescent="0.15">
      <c r="A1189" s="62"/>
      <c r="B1189" s="93"/>
      <c r="C1189" s="102"/>
      <c r="D1189" s="62"/>
      <c r="E1189" s="102"/>
      <c r="F1189" s="102"/>
      <c r="G1189" s="102"/>
      <c r="H1189" s="175"/>
      <c r="I1189" s="85"/>
      <c r="J1189" s="104"/>
      <c r="K1189" s="144"/>
      <c r="L1189" s="62"/>
      <c r="N1189" s="37"/>
      <c r="O1189" s="37"/>
      <c r="P1189" s="37"/>
      <c r="Q1189" s="3"/>
      <c r="R1189" s="3"/>
      <c r="S1189" s="3"/>
      <c r="T1189" s="3"/>
      <c r="U1189" s="3"/>
      <c r="V1189" s="3"/>
      <c r="W1189" s="3"/>
      <c r="X1189" s="3"/>
      <c r="Y1189" s="3"/>
      <c r="Z1189" s="4"/>
      <c r="AA1189"/>
      <c r="AB1189"/>
    </row>
    <row r="1190" spans="1:28" s="49" customFormat="1" x14ac:dyDescent="0.15">
      <c r="A1190" s="62"/>
      <c r="B1190" s="93"/>
      <c r="C1190" s="102"/>
      <c r="D1190" s="62"/>
      <c r="E1190" s="102"/>
      <c r="F1190" s="102"/>
      <c r="G1190" s="102"/>
      <c r="H1190" s="175"/>
      <c r="I1190" s="85"/>
      <c r="J1190" s="104"/>
      <c r="K1190" s="144"/>
      <c r="L1190" s="62"/>
      <c r="N1190" s="37"/>
      <c r="O1190" s="37"/>
      <c r="P1190" s="37"/>
      <c r="Q1190" s="3"/>
      <c r="R1190" s="3"/>
      <c r="S1190" s="3"/>
      <c r="T1190" s="3"/>
      <c r="U1190" s="3"/>
      <c r="V1190" s="3"/>
      <c r="W1190" s="3"/>
      <c r="X1190" s="3"/>
      <c r="Y1190" s="3"/>
      <c r="Z1190" s="4"/>
      <c r="AA1190"/>
      <c r="AB1190"/>
    </row>
    <row r="1191" spans="1:28" s="49" customFormat="1" x14ac:dyDescent="0.15">
      <c r="A1191" s="62"/>
      <c r="B1191" s="93"/>
      <c r="C1191" s="102"/>
      <c r="D1191" s="62"/>
      <c r="E1191" s="102"/>
      <c r="F1191" s="102"/>
      <c r="G1191" s="102"/>
      <c r="H1191" s="175"/>
      <c r="I1191" s="85"/>
      <c r="J1191" s="104"/>
      <c r="K1191" s="144"/>
      <c r="L1191" s="62"/>
      <c r="N1191" s="37"/>
      <c r="O1191" s="37"/>
      <c r="P1191" s="37"/>
      <c r="Q1191" s="3"/>
      <c r="R1191" s="3"/>
      <c r="S1191" s="3"/>
      <c r="T1191" s="3"/>
      <c r="U1191" s="3"/>
      <c r="V1191" s="3"/>
      <c r="W1191" s="3"/>
      <c r="X1191" s="3"/>
      <c r="Y1191" s="3"/>
      <c r="Z1191" s="4"/>
      <c r="AA1191"/>
      <c r="AB1191"/>
    </row>
    <row r="1192" spans="1:28" s="49" customFormat="1" x14ac:dyDescent="0.15">
      <c r="A1192" s="62"/>
      <c r="B1192" s="93"/>
      <c r="C1192" s="102"/>
      <c r="D1192" s="62"/>
      <c r="E1192" s="102"/>
      <c r="F1192" s="102"/>
      <c r="G1192" s="102"/>
      <c r="H1192" s="175"/>
      <c r="I1192" s="85"/>
      <c r="J1192" s="104"/>
      <c r="K1192" s="144"/>
      <c r="L1192" s="62"/>
      <c r="N1192" s="37"/>
      <c r="O1192" s="37"/>
      <c r="P1192" s="37"/>
      <c r="Q1192" s="3"/>
      <c r="R1192" s="3"/>
      <c r="S1192" s="3"/>
      <c r="T1192" s="3"/>
      <c r="U1192" s="3"/>
      <c r="V1192" s="3"/>
      <c r="W1192" s="3"/>
      <c r="X1192" s="3"/>
      <c r="Y1192" s="3"/>
      <c r="Z1192" s="4"/>
      <c r="AA1192"/>
      <c r="AB1192"/>
    </row>
    <row r="1193" spans="1:28" s="49" customFormat="1" x14ac:dyDescent="0.15">
      <c r="A1193" s="62"/>
      <c r="B1193" s="93"/>
      <c r="C1193" s="102"/>
      <c r="D1193" s="62"/>
      <c r="E1193" s="102"/>
      <c r="F1193" s="102"/>
      <c r="G1193" s="102"/>
      <c r="H1193" s="175"/>
      <c r="I1193" s="85"/>
      <c r="J1193" s="104"/>
      <c r="K1193" s="144"/>
      <c r="L1193" s="62"/>
      <c r="N1193" s="37"/>
      <c r="O1193" s="37"/>
      <c r="P1193" s="37"/>
      <c r="Q1193" s="3"/>
      <c r="R1193" s="3"/>
      <c r="S1193" s="3"/>
      <c r="T1193" s="3"/>
      <c r="U1193" s="3"/>
      <c r="V1193" s="3"/>
      <c r="W1193" s="3"/>
      <c r="X1193" s="3"/>
      <c r="Y1193" s="3"/>
      <c r="Z1193" s="4"/>
      <c r="AA1193"/>
      <c r="AB1193"/>
    </row>
    <row r="1194" spans="1:28" s="49" customFormat="1" x14ac:dyDescent="0.15">
      <c r="A1194" s="62"/>
      <c r="B1194" s="93"/>
      <c r="C1194" s="102"/>
      <c r="D1194" s="62"/>
      <c r="E1194" s="102"/>
      <c r="F1194" s="102"/>
      <c r="G1194" s="102"/>
      <c r="H1194" s="175"/>
      <c r="I1194" s="85"/>
      <c r="J1194" s="104"/>
      <c r="K1194" s="144"/>
      <c r="L1194" s="62"/>
      <c r="N1194" s="37"/>
      <c r="O1194" s="37"/>
      <c r="P1194" s="37"/>
      <c r="Q1194" s="3"/>
      <c r="R1194" s="3"/>
      <c r="S1194" s="3"/>
      <c r="T1194" s="3"/>
      <c r="U1194" s="3"/>
      <c r="V1194" s="3"/>
      <c r="W1194" s="3"/>
      <c r="X1194" s="3"/>
      <c r="Y1194" s="3"/>
      <c r="Z1194" s="4"/>
      <c r="AA1194"/>
      <c r="AB1194"/>
    </row>
    <row r="1195" spans="1:28" s="49" customFormat="1" x14ac:dyDescent="0.15">
      <c r="A1195" s="62"/>
      <c r="B1195" s="93"/>
      <c r="C1195" s="102"/>
      <c r="D1195" s="62"/>
      <c r="E1195" s="102"/>
      <c r="F1195" s="102"/>
      <c r="G1195" s="102"/>
      <c r="H1195" s="175"/>
      <c r="I1195" s="85"/>
      <c r="J1195" s="104"/>
      <c r="K1195" s="144"/>
      <c r="L1195" s="62"/>
      <c r="N1195" s="37"/>
      <c r="O1195" s="37"/>
      <c r="P1195" s="37"/>
      <c r="Q1195" s="3"/>
      <c r="R1195" s="3"/>
      <c r="S1195" s="3"/>
      <c r="T1195" s="3"/>
      <c r="U1195" s="3"/>
      <c r="V1195" s="3"/>
      <c r="W1195" s="3"/>
      <c r="X1195" s="3"/>
      <c r="Y1195" s="3"/>
      <c r="Z1195" s="4"/>
      <c r="AA1195"/>
      <c r="AB1195"/>
    </row>
    <row r="1196" spans="1:28" s="49" customFormat="1" x14ac:dyDescent="0.15">
      <c r="A1196" s="62"/>
      <c r="B1196" s="93"/>
      <c r="C1196" s="102"/>
      <c r="D1196" s="62"/>
      <c r="E1196" s="102"/>
      <c r="F1196" s="102"/>
      <c r="G1196" s="102"/>
      <c r="H1196" s="175"/>
      <c r="I1196" s="85"/>
      <c r="J1196" s="104"/>
      <c r="K1196" s="144"/>
      <c r="L1196" s="62"/>
      <c r="N1196" s="37"/>
      <c r="O1196" s="37"/>
      <c r="P1196" s="37"/>
      <c r="Q1196" s="3"/>
      <c r="R1196" s="3"/>
      <c r="S1196" s="3"/>
      <c r="T1196" s="3"/>
      <c r="U1196" s="3"/>
      <c r="V1196" s="3"/>
      <c r="W1196" s="3"/>
      <c r="X1196" s="3"/>
      <c r="Y1196" s="3"/>
      <c r="Z1196" s="4"/>
      <c r="AA1196"/>
      <c r="AB1196"/>
    </row>
    <row r="1197" spans="1:28" s="49" customFormat="1" x14ac:dyDescent="0.15">
      <c r="A1197" s="62"/>
      <c r="B1197" s="93"/>
      <c r="C1197" s="102"/>
      <c r="D1197" s="62"/>
      <c r="E1197" s="102"/>
      <c r="F1197" s="102"/>
      <c r="G1197" s="102"/>
      <c r="H1197" s="175"/>
      <c r="I1197" s="85"/>
      <c r="J1197" s="104"/>
      <c r="K1197" s="144"/>
      <c r="L1197" s="62"/>
      <c r="N1197" s="37"/>
      <c r="O1197" s="37"/>
      <c r="P1197" s="37"/>
      <c r="Q1197" s="3"/>
      <c r="R1197" s="3"/>
      <c r="S1197" s="3"/>
      <c r="T1197" s="3"/>
      <c r="U1197" s="3"/>
      <c r="V1197" s="3"/>
      <c r="W1197" s="3"/>
      <c r="X1197" s="3"/>
      <c r="Y1197" s="3"/>
      <c r="Z1197" s="4"/>
      <c r="AA1197"/>
      <c r="AB1197"/>
    </row>
    <row r="1198" spans="1:28" x14ac:dyDescent="0.15">
      <c r="A1198" s="62"/>
      <c r="B1198" s="93"/>
      <c r="C1198" s="102"/>
      <c r="D1198" s="62"/>
      <c r="E1198" s="102"/>
      <c r="F1198" s="102"/>
      <c r="G1198" s="102"/>
      <c r="H1198" s="175"/>
      <c r="I1198" s="85"/>
      <c r="J1198" s="104"/>
      <c r="K1198" s="144"/>
      <c r="L1198" s="62"/>
    </row>
    <row r="1199" spans="1:28" x14ac:dyDescent="0.15">
      <c r="A1199" s="62"/>
      <c r="B1199" s="93"/>
      <c r="C1199" s="102"/>
      <c r="D1199" s="62"/>
      <c r="E1199" s="102"/>
      <c r="F1199" s="102"/>
      <c r="G1199" s="102"/>
      <c r="H1199" s="175"/>
      <c r="I1199" s="85"/>
      <c r="J1199" s="104"/>
      <c r="K1199" s="144"/>
      <c r="L1199" s="62"/>
    </row>
    <row r="1200" spans="1:28" x14ac:dyDescent="0.15">
      <c r="A1200" s="62"/>
      <c r="B1200" s="93"/>
      <c r="C1200" s="102"/>
      <c r="D1200" s="62"/>
      <c r="E1200" s="100"/>
      <c r="F1200" s="102"/>
      <c r="G1200" s="102"/>
      <c r="H1200" s="175"/>
      <c r="I1200" s="85"/>
      <c r="J1200" s="104"/>
      <c r="K1200" s="144"/>
      <c r="L1200" s="62"/>
    </row>
    <row r="1201" spans="1:28" x14ac:dyDescent="0.15">
      <c r="A1201" s="62"/>
      <c r="B1201" s="93"/>
      <c r="C1201" s="100"/>
      <c r="D1201" s="61"/>
      <c r="E1201" s="100"/>
      <c r="F1201" s="100"/>
      <c r="G1201" s="100"/>
      <c r="H1201" s="177"/>
      <c r="I1201" s="85"/>
      <c r="J1201" s="103"/>
      <c r="K1201" s="135"/>
      <c r="L1201" s="62"/>
    </row>
    <row r="1202" spans="1:28" x14ac:dyDescent="0.15">
      <c r="A1202" s="62"/>
      <c r="B1202" s="93"/>
      <c r="C1202" s="102"/>
      <c r="D1202" s="62"/>
      <c r="E1202" s="102"/>
      <c r="F1202" s="102"/>
      <c r="G1202" s="102"/>
      <c r="H1202" s="175"/>
      <c r="I1202" s="98"/>
      <c r="J1202" s="98"/>
      <c r="K1202" s="135"/>
      <c r="L1202" s="62"/>
    </row>
    <row r="1203" spans="1:28" x14ac:dyDescent="0.15">
      <c r="A1203" s="62"/>
      <c r="B1203" s="93"/>
      <c r="C1203" s="102"/>
      <c r="D1203" s="62"/>
      <c r="E1203" s="102"/>
      <c r="F1203" s="102"/>
      <c r="G1203" s="102"/>
      <c r="H1203" s="175"/>
      <c r="I1203" s="98"/>
      <c r="J1203" s="98"/>
      <c r="K1203" s="135"/>
      <c r="L1203" s="62"/>
    </row>
    <row r="1204" spans="1:28" x14ac:dyDescent="0.15">
      <c r="A1204" s="62"/>
      <c r="B1204" s="93"/>
      <c r="C1204" s="102"/>
      <c r="D1204" s="62"/>
      <c r="E1204" s="102"/>
      <c r="F1204" s="102"/>
      <c r="G1204" s="102"/>
      <c r="H1204" s="175"/>
      <c r="I1204" s="85"/>
      <c r="J1204" s="104"/>
      <c r="K1204" s="144"/>
      <c r="L1204" s="62"/>
    </row>
    <row r="1205" spans="1:28" x14ac:dyDescent="0.15">
      <c r="A1205" s="62"/>
      <c r="B1205" s="93"/>
      <c r="C1205" s="102"/>
      <c r="D1205" s="62"/>
      <c r="E1205" s="102"/>
      <c r="F1205" s="102"/>
      <c r="G1205" s="102"/>
      <c r="H1205" s="175"/>
      <c r="I1205" s="85"/>
      <c r="J1205" s="104"/>
      <c r="K1205" s="144"/>
      <c r="L1205" s="62"/>
    </row>
    <row r="1206" spans="1:28" x14ac:dyDescent="0.15">
      <c r="A1206" s="62"/>
      <c r="B1206" s="93"/>
      <c r="C1206" s="102"/>
      <c r="D1206" s="62"/>
      <c r="E1206" s="102"/>
      <c r="F1206" s="102"/>
      <c r="G1206" s="102"/>
      <c r="H1206" s="175"/>
      <c r="I1206" s="85"/>
      <c r="J1206" s="104"/>
      <c r="K1206" s="144"/>
      <c r="L1206" s="62"/>
    </row>
    <row r="1207" spans="1:28" x14ac:dyDescent="0.15">
      <c r="A1207" s="62"/>
      <c r="B1207" s="93"/>
      <c r="C1207" s="102"/>
      <c r="D1207" s="62"/>
      <c r="E1207" s="102"/>
      <c r="F1207" s="102"/>
      <c r="G1207" s="102"/>
      <c r="H1207" s="175"/>
      <c r="I1207" s="85"/>
      <c r="J1207" s="104"/>
      <c r="K1207" s="144"/>
      <c r="L1207" s="62"/>
    </row>
    <row r="1208" spans="1:28" x14ac:dyDescent="0.15">
      <c r="A1208" s="62"/>
      <c r="B1208" s="93"/>
      <c r="C1208" s="102"/>
      <c r="D1208" s="62"/>
      <c r="E1208" s="102"/>
      <c r="F1208" s="102"/>
      <c r="G1208" s="102"/>
      <c r="H1208" s="175"/>
      <c r="I1208" s="85"/>
      <c r="J1208" s="104"/>
      <c r="K1208" s="144"/>
      <c r="L1208" s="62"/>
    </row>
    <row r="1209" spans="1:28" x14ac:dyDescent="0.15">
      <c r="A1209" s="62"/>
      <c r="B1209" s="93"/>
      <c r="C1209" s="102"/>
      <c r="D1209" s="62"/>
      <c r="E1209" s="102"/>
      <c r="F1209" s="102"/>
      <c r="G1209" s="102"/>
      <c r="H1209" s="175"/>
      <c r="I1209" s="85"/>
      <c r="J1209" s="104"/>
      <c r="K1209" s="144"/>
      <c r="L1209" s="62"/>
    </row>
    <row r="1210" spans="1:28" x14ac:dyDescent="0.15">
      <c r="A1210" s="62"/>
      <c r="B1210" s="93"/>
      <c r="C1210" s="102"/>
      <c r="D1210" s="62"/>
      <c r="E1210" s="102"/>
      <c r="F1210" s="102"/>
      <c r="G1210" s="102"/>
      <c r="H1210" s="175"/>
      <c r="I1210" s="85"/>
      <c r="J1210" s="104"/>
      <c r="K1210" s="144"/>
      <c r="L1210" s="62"/>
    </row>
    <row r="1211" spans="1:28" x14ac:dyDescent="0.15">
      <c r="A1211" s="62"/>
      <c r="B1211" s="93"/>
      <c r="C1211" s="102"/>
      <c r="D1211" s="62"/>
      <c r="E1211" s="102"/>
      <c r="F1211" s="102"/>
      <c r="G1211" s="102"/>
      <c r="H1211" s="175"/>
      <c r="I1211" s="98"/>
      <c r="J1211" s="98"/>
      <c r="K1211" s="135"/>
      <c r="L1211" s="62"/>
    </row>
    <row r="1212" spans="1:28" x14ac:dyDescent="0.15">
      <c r="A1212" s="62"/>
      <c r="B1212" s="93"/>
      <c r="C1212" s="100"/>
      <c r="D1212" s="61"/>
      <c r="E1212" s="100"/>
      <c r="F1212" s="100"/>
      <c r="G1212" s="100"/>
      <c r="H1212" s="177"/>
      <c r="I1212" s="98"/>
      <c r="J1212" s="103"/>
      <c r="K1212" s="135"/>
      <c r="L1212" s="62"/>
      <c r="S1212" s="14"/>
      <c r="T1212" s="14"/>
      <c r="U1212" s="14"/>
      <c r="V1212" s="14"/>
      <c r="W1212" s="14"/>
      <c r="X1212" s="14"/>
      <c r="Y1212" s="14"/>
      <c r="Z1212" s="17"/>
      <c r="AA1212" s="15"/>
      <c r="AB1212" s="15"/>
    </row>
    <row r="1213" spans="1:28" x14ac:dyDescent="0.15">
      <c r="A1213" s="62"/>
      <c r="B1213" s="93"/>
      <c r="C1213" s="102"/>
      <c r="D1213" s="62"/>
      <c r="E1213" s="102"/>
      <c r="F1213" s="102"/>
      <c r="G1213" s="102"/>
      <c r="H1213" s="175"/>
      <c r="I1213" s="98"/>
      <c r="J1213" s="98"/>
      <c r="K1213" s="135"/>
      <c r="L1213" s="62"/>
    </row>
    <row r="1214" spans="1:28" x14ac:dyDescent="0.15">
      <c r="A1214" s="229"/>
      <c r="B1214" s="93"/>
      <c r="C1214" s="102"/>
      <c r="D1214" s="62"/>
      <c r="E1214" s="102"/>
      <c r="F1214" s="102"/>
      <c r="G1214" s="102"/>
      <c r="H1214" s="175"/>
      <c r="I1214" s="98"/>
      <c r="J1214" s="98"/>
      <c r="K1214" s="135"/>
      <c r="L1214" s="62"/>
    </row>
    <row r="1215" spans="1:28" x14ac:dyDescent="0.15">
      <c r="A1215" s="229"/>
      <c r="B1215" s="93"/>
      <c r="C1215" s="102"/>
      <c r="D1215" s="62"/>
      <c r="E1215" s="102"/>
      <c r="F1215" s="102"/>
      <c r="G1215" s="102"/>
      <c r="H1215" s="175"/>
      <c r="I1215" s="98"/>
      <c r="J1215" s="98"/>
      <c r="K1215" s="135"/>
      <c r="L1215" s="62"/>
    </row>
    <row r="1216" spans="1:28" x14ac:dyDescent="0.15">
      <c r="A1216" s="62"/>
      <c r="B1216" s="93"/>
      <c r="C1216" s="102"/>
      <c r="D1216" s="62"/>
      <c r="E1216" s="102"/>
      <c r="F1216" s="102"/>
      <c r="G1216" s="102"/>
      <c r="H1216" s="175"/>
      <c r="I1216" s="98"/>
      <c r="J1216" s="98"/>
      <c r="K1216" s="135"/>
      <c r="L1216" s="62"/>
    </row>
    <row r="1217" spans="1:28" x14ac:dyDescent="0.15">
      <c r="A1217" s="62"/>
      <c r="B1217" s="93"/>
      <c r="C1217" s="102"/>
      <c r="D1217" s="62"/>
      <c r="E1217" s="102"/>
      <c r="F1217" s="102"/>
      <c r="G1217" s="102"/>
      <c r="H1217" s="175"/>
      <c r="I1217" s="98"/>
      <c r="J1217" s="98"/>
      <c r="K1217" s="135"/>
      <c r="L1217" s="62"/>
    </row>
    <row r="1218" spans="1:28" s="15" customFormat="1" x14ac:dyDescent="0.15">
      <c r="A1218" s="62"/>
      <c r="B1218" s="93"/>
      <c r="C1218" s="102"/>
      <c r="D1218" s="62"/>
      <c r="E1218" s="102"/>
      <c r="F1218" s="102"/>
      <c r="G1218" s="102"/>
      <c r="H1218" s="175"/>
      <c r="I1218" s="98"/>
      <c r="J1218" s="98"/>
      <c r="K1218" s="135"/>
      <c r="L1218" s="62"/>
      <c r="M1218" s="49"/>
      <c r="N1218" s="37"/>
      <c r="O1218" s="37"/>
      <c r="P1218" s="37"/>
      <c r="Q1218" s="3"/>
      <c r="R1218" s="3"/>
      <c r="S1218" s="3"/>
      <c r="T1218" s="3"/>
      <c r="U1218" s="3"/>
      <c r="V1218" s="3"/>
      <c r="W1218" s="3"/>
      <c r="X1218" s="3"/>
      <c r="Y1218" s="3"/>
      <c r="Z1218" s="4"/>
      <c r="AA1218"/>
      <c r="AB1218"/>
    </row>
    <row r="1219" spans="1:28" x14ac:dyDescent="0.15">
      <c r="A1219" s="62"/>
      <c r="B1219" s="93"/>
      <c r="C1219" s="102"/>
      <c r="D1219" s="62"/>
      <c r="E1219" s="100"/>
      <c r="F1219" s="102"/>
      <c r="G1219" s="102"/>
      <c r="H1219" s="175"/>
      <c r="I1219" s="85"/>
      <c r="J1219" s="104"/>
      <c r="K1219" s="144"/>
      <c r="L1219" s="62"/>
    </row>
    <row r="1220" spans="1:28" x14ac:dyDescent="0.15">
      <c r="A1220" s="62"/>
      <c r="B1220" s="93"/>
      <c r="C1220" s="102"/>
      <c r="D1220" s="62"/>
      <c r="E1220" s="102"/>
      <c r="F1220" s="102"/>
      <c r="G1220" s="102"/>
      <c r="H1220" s="175"/>
      <c r="I1220" s="85"/>
      <c r="J1220" s="104"/>
      <c r="K1220" s="144"/>
      <c r="L1220" s="62"/>
    </row>
    <row r="1221" spans="1:28" x14ac:dyDescent="0.15">
      <c r="A1221" s="229"/>
      <c r="B1221" s="93"/>
      <c r="C1221" s="102"/>
      <c r="D1221" s="62"/>
      <c r="E1221" s="102"/>
      <c r="F1221" s="102"/>
      <c r="G1221" s="102"/>
      <c r="H1221" s="175"/>
      <c r="I1221" s="85"/>
      <c r="J1221" s="104"/>
      <c r="K1221" s="144"/>
      <c r="L1221" s="62"/>
    </row>
    <row r="1222" spans="1:28" x14ac:dyDescent="0.15">
      <c r="A1222" s="62"/>
      <c r="B1222" s="93"/>
      <c r="C1222" s="102"/>
      <c r="D1222" s="62"/>
      <c r="E1222" s="102"/>
      <c r="F1222" s="102"/>
      <c r="G1222" s="102"/>
      <c r="H1222" s="175"/>
      <c r="I1222" s="85"/>
      <c r="J1222" s="104"/>
      <c r="K1222" s="144"/>
      <c r="L1222" s="62"/>
    </row>
    <row r="1223" spans="1:28" x14ac:dyDescent="0.15">
      <c r="A1223" s="62"/>
      <c r="B1223" s="82"/>
      <c r="C1223" s="107"/>
      <c r="D1223" s="62"/>
      <c r="E1223" s="107"/>
      <c r="F1223" s="107"/>
      <c r="G1223" s="107"/>
      <c r="H1223" s="179"/>
      <c r="I1223" s="85"/>
      <c r="J1223" s="104"/>
      <c r="K1223" s="144"/>
      <c r="L1223" s="62"/>
    </row>
    <row r="1224" spans="1:28" x14ac:dyDescent="0.15">
      <c r="A1224" s="62"/>
      <c r="B1224" s="93"/>
      <c r="C1224" s="102"/>
      <c r="D1224" s="62"/>
      <c r="E1224" s="102"/>
      <c r="F1224" s="102"/>
      <c r="G1224" s="102"/>
      <c r="H1224" s="175"/>
      <c r="I1224" s="85"/>
      <c r="J1224" s="104"/>
      <c r="K1224" s="144"/>
      <c r="L1224" s="62"/>
    </row>
    <row r="1225" spans="1:28" x14ac:dyDescent="0.15">
      <c r="A1225" s="62"/>
      <c r="B1225" s="93"/>
      <c r="C1225" s="102"/>
      <c r="D1225" s="62"/>
      <c r="E1225" s="102"/>
      <c r="F1225" s="102"/>
      <c r="G1225" s="102"/>
      <c r="H1225" s="175"/>
      <c r="I1225" s="85"/>
      <c r="J1225" s="104"/>
      <c r="K1225" s="144"/>
      <c r="L1225" s="62"/>
    </row>
    <row r="1226" spans="1:28" x14ac:dyDescent="0.15">
      <c r="A1226" s="62"/>
      <c r="B1226" s="93"/>
      <c r="C1226" s="102"/>
      <c r="D1226" s="62"/>
      <c r="E1226" s="102"/>
      <c r="F1226" s="102"/>
      <c r="G1226" s="102"/>
      <c r="H1226" s="175"/>
      <c r="I1226" s="85"/>
      <c r="J1226" s="104"/>
      <c r="K1226" s="144"/>
      <c r="L1226" s="62"/>
    </row>
    <row r="1227" spans="1:28" x14ac:dyDescent="0.15">
      <c r="A1227" s="62"/>
      <c r="B1227" s="93"/>
      <c r="C1227" s="102"/>
      <c r="D1227" s="62"/>
      <c r="E1227" s="102"/>
      <c r="F1227" s="102"/>
      <c r="G1227" s="102"/>
      <c r="H1227" s="175"/>
      <c r="I1227" s="85"/>
      <c r="J1227" s="104"/>
      <c r="K1227" s="144"/>
      <c r="L1227" s="62"/>
    </row>
    <row r="1228" spans="1:28" x14ac:dyDescent="0.15">
      <c r="A1228" s="229"/>
      <c r="B1228" s="93"/>
      <c r="C1228" s="102"/>
      <c r="D1228" s="62"/>
      <c r="E1228" s="102"/>
      <c r="F1228" s="102"/>
      <c r="G1228" s="102"/>
      <c r="H1228" s="175"/>
      <c r="I1228" s="85"/>
      <c r="J1228" s="104"/>
      <c r="K1228" s="144"/>
      <c r="L1228" s="62"/>
    </row>
    <row r="1229" spans="1:28" x14ac:dyDescent="0.15">
      <c r="A1229" s="62"/>
      <c r="B1229" s="93"/>
      <c r="C1229" s="102"/>
      <c r="D1229" s="62"/>
      <c r="E1229" s="102"/>
      <c r="F1229" s="102"/>
      <c r="G1229" s="102"/>
      <c r="H1229" s="175"/>
      <c r="I1229" s="85"/>
      <c r="J1229" s="104"/>
      <c r="K1229" s="144"/>
      <c r="L1229" s="62"/>
    </row>
    <row r="1230" spans="1:28" s="49" customFormat="1" x14ac:dyDescent="0.15">
      <c r="A1230" s="62"/>
      <c r="B1230" s="93"/>
      <c r="C1230" s="102"/>
      <c r="D1230" s="62"/>
      <c r="E1230" s="102"/>
      <c r="F1230" s="102"/>
      <c r="G1230" s="102"/>
      <c r="H1230" s="175"/>
      <c r="I1230" s="85"/>
      <c r="J1230" s="104"/>
      <c r="K1230" s="144"/>
      <c r="L1230" s="62"/>
      <c r="N1230" s="37"/>
      <c r="O1230" s="37"/>
      <c r="P1230" s="37"/>
      <c r="Q1230" s="3"/>
      <c r="R1230" s="3"/>
      <c r="S1230" s="3"/>
      <c r="T1230" s="3"/>
      <c r="U1230" s="3"/>
      <c r="V1230" s="3"/>
      <c r="W1230" s="3"/>
      <c r="X1230" s="3"/>
      <c r="Y1230" s="3"/>
      <c r="Z1230" s="4"/>
      <c r="AA1230"/>
      <c r="AB1230"/>
    </row>
    <row r="1231" spans="1:28" s="49" customFormat="1" x14ac:dyDescent="0.15">
      <c r="A1231" s="62"/>
      <c r="B1231" s="93"/>
      <c r="C1231" s="102"/>
      <c r="D1231" s="62"/>
      <c r="E1231" s="102"/>
      <c r="F1231" s="102"/>
      <c r="G1231" s="102"/>
      <c r="H1231" s="175"/>
      <c r="I1231" s="85"/>
      <c r="J1231" s="104"/>
      <c r="K1231" s="144"/>
      <c r="L1231" s="62"/>
      <c r="N1231" s="37"/>
      <c r="O1231" s="37"/>
      <c r="P1231" s="37"/>
      <c r="Q1231" s="3"/>
      <c r="R1231" s="3"/>
      <c r="S1231" s="3"/>
      <c r="T1231" s="3"/>
      <c r="U1231" s="3"/>
      <c r="V1231" s="3"/>
      <c r="W1231" s="3"/>
      <c r="X1231" s="3"/>
      <c r="Y1231" s="3"/>
      <c r="Z1231" s="4"/>
      <c r="AA1231"/>
      <c r="AB1231"/>
    </row>
    <row r="1232" spans="1:28" s="49" customFormat="1" x14ac:dyDescent="0.15">
      <c r="A1232" s="62"/>
      <c r="B1232" s="93"/>
      <c r="C1232" s="102"/>
      <c r="D1232" s="62"/>
      <c r="E1232" s="102"/>
      <c r="F1232" s="102"/>
      <c r="G1232" s="102"/>
      <c r="H1232" s="175"/>
      <c r="I1232" s="85"/>
      <c r="J1232" s="104"/>
      <c r="K1232" s="144"/>
      <c r="L1232" s="62"/>
      <c r="N1232" s="37"/>
      <c r="O1232" s="37"/>
      <c r="P1232" s="37"/>
      <c r="Q1232" s="3"/>
      <c r="R1232" s="3"/>
      <c r="S1232" s="3"/>
      <c r="T1232" s="3"/>
      <c r="U1232" s="3"/>
      <c r="V1232" s="3"/>
      <c r="W1232" s="3"/>
      <c r="X1232" s="3"/>
      <c r="Y1232" s="3"/>
      <c r="Z1232" s="4"/>
      <c r="AA1232"/>
      <c r="AB1232"/>
    </row>
    <row r="1233" spans="1:28" s="49" customFormat="1" x14ac:dyDescent="0.15">
      <c r="A1233" s="62"/>
      <c r="B1233" s="93"/>
      <c r="C1233" s="102"/>
      <c r="D1233" s="62"/>
      <c r="E1233" s="102"/>
      <c r="F1233" s="102"/>
      <c r="G1233" s="102"/>
      <c r="H1233" s="175"/>
      <c r="I1233" s="85"/>
      <c r="J1233" s="104"/>
      <c r="K1233" s="144"/>
      <c r="L1233" s="62"/>
      <c r="N1233" s="37"/>
      <c r="O1233" s="37"/>
      <c r="P1233" s="37"/>
      <c r="Q1233" s="3"/>
      <c r="R1233" s="3"/>
      <c r="S1233" s="3"/>
      <c r="T1233" s="3"/>
      <c r="U1233" s="3"/>
      <c r="V1233" s="3"/>
      <c r="W1233" s="3"/>
      <c r="X1233" s="3"/>
      <c r="Y1233" s="3"/>
      <c r="Z1233" s="4"/>
      <c r="AA1233"/>
      <c r="AB1233"/>
    </row>
    <row r="1234" spans="1:28" s="49" customFormat="1" x14ac:dyDescent="0.15">
      <c r="A1234" s="62"/>
      <c r="B1234" s="93"/>
      <c r="C1234" s="102"/>
      <c r="D1234" s="62"/>
      <c r="E1234" s="102"/>
      <c r="F1234" s="102"/>
      <c r="G1234" s="102"/>
      <c r="H1234" s="175"/>
      <c r="I1234" s="85"/>
      <c r="J1234" s="104"/>
      <c r="K1234" s="144"/>
      <c r="L1234" s="62"/>
      <c r="N1234" s="37"/>
      <c r="O1234" s="37"/>
      <c r="P1234" s="37"/>
      <c r="Q1234" s="3"/>
      <c r="R1234" s="3"/>
      <c r="S1234" s="3"/>
      <c r="T1234" s="3"/>
      <c r="U1234" s="3"/>
      <c r="V1234" s="3"/>
      <c r="W1234" s="3"/>
      <c r="X1234" s="3"/>
      <c r="Y1234" s="3"/>
      <c r="Z1234" s="4"/>
      <c r="AA1234"/>
      <c r="AB1234"/>
    </row>
    <row r="1235" spans="1:28" s="49" customFormat="1" x14ac:dyDescent="0.15">
      <c r="A1235" s="62"/>
      <c r="B1235" s="93"/>
      <c r="C1235" s="102"/>
      <c r="D1235" s="62"/>
      <c r="E1235" s="102"/>
      <c r="F1235" s="102"/>
      <c r="G1235" s="102"/>
      <c r="H1235" s="175"/>
      <c r="I1235" s="85"/>
      <c r="J1235" s="104"/>
      <c r="K1235" s="144"/>
      <c r="L1235" s="62"/>
      <c r="N1235" s="37"/>
      <c r="O1235" s="37"/>
      <c r="P1235" s="37"/>
      <c r="Q1235" s="3"/>
      <c r="R1235" s="3"/>
      <c r="S1235" s="3"/>
      <c r="T1235" s="3"/>
      <c r="U1235" s="3"/>
      <c r="V1235" s="3"/>
      <c r="W1235" s="3"/>
      <c r="X1235" s="3"/>
      <c r="Y1235" s="3"/>
      <c r="Z1235" s="4"/>
      <c r="AA1235"/>
      <c r="AB1235"/>
    </row>
    <row r="1236" spans="1:28" s="49" customFormat="1" x14ac:dyDescent="0.15">
      <c r="A1236" s="62"/>
      <c r="B1236" s="93"/>
      <c r="C1236" s="102"/>
      <c r="D1236" s="62"/>
      <c r="E1236" s="102"/>
      <c r="F1236" s="102"/>
      <c r="G1236" s="102"/>
      <c r="H1236" s="175"/>
      <c r="I1236" s="85"/>
      <c r="J1236" s="104"/>
      <c r="K1236" s="144"/>
      <c r="L1236" s="62"/>
      <c r="N1236" s="37"/>
      <c r="O1236" s="37"/>
      <c r="P1236" s="37"/>
      <c r="Q1236" s="3"/>
      <c r="R1236" s="3"/>
      <c r="S1236" s="3"/>
      <c r="T1236" s="3"/>
      <c r="U1236" s="3"/>
      <c r="V1236" s="3"/>
      <c r="W1236" s="3"/>
      <c r="X1236" s="3"/>
      <c r="Y1236" s="3"/>
      <c r="Z1236" s="4"/>
      <c r="AA1236"/>
      <c r="AB1236"/>
    </row>
    <row r="1237" spans="1:28" s="49" customFormat="1" x14ac:dyDescent="0.15">
      <c r="A1237" s="62"/>
      <c r="B1237" s="93"/>
      <c r="C1237" s="102"/>
      <c r="D1237" s="62"/>
      <c r="E1237" s="102"/>
      <c r="F1237" s="102"/>
      <c r="G1237" s="102"/>
      <c r="H1237" s="175"/>
      <c r="I1237" s="85"/>
      <c r="J1237" s="104"/>
      <c r="K1237" s="144"/>
      <c r="L1237" s="62"/>
      <c r="N1237" s="37"/>
      <c r="O1237" s="37"/>
      <c r="P1237" s="37"/>
      <c r="Q1237" s="3"/>
      <c r="R1237" s="3"/>
      <c r="S1237" s="3"/>
      <c r="T1237" s="3"/>
      <c r="U1237" s="3"/>
      <c r="V1237" s="3"/>
      <c r="W1237" s="3"/>
      <c r="X1237" s="3"/>
      <c r="Y1237" s="3"/>
      <c r="Z1237" s="4"/>
      <c r="AA1237"/>
      <c r="AB1237"/>
    </row>
    <row r="1238" spans="1:28" s="49" customFormat="1" x14ac:dyDescent="0.15">
      <c r="A1238" s="62"/>
      <c r="B1238" s="93"/>
      <c r="C1238" s="102"/>
      <c r="D1238" s="62"/>
      <c r="E1238" s="102"/>
      <c r="F1238" s="102"/>
      <c r="G1238" s="102"/>
      <c r="H1238" s="175"/>
      <c r="I1238" s="98"/>
      <c r="J1238" s="98"/>
      <c r="K1238" s="135"/>
      <c r="L1238" s="62"/>
      <c r="N1238" s="37"/>
      <c r="O1238" s="37"/>
      <c r="P1238" s="37"/>
      <c r="Q1238" s="3"/>
      <c r="R1238" s="3"/>
      <c r="S1238" s="3"/>
      <c r="T1238" s="3"/>
      <c r="U1238" s="3"/>
      <c r="V1238" s="3"/>
      <c r="W1238" s="3"/>
      <c r="X1238" s="3"/>
      <c r="Y1238" s="3"/>
      <c r="Z1238" s="4"/>
      <c r="AA1238"/>
      <c r="AB1238"/>
    </row>
    <row r="1239" spans="1:28" s="49" customFormat="1" x14ac:dyDescent="0.15">
      <c r="A1239" s="62"/>
      <c r="B1239" s="93"/>
      <c r="C1239" s="102"/>
      <c r="D1239" s="62"/>
      <c r="E1239" s="102"/>
      <c r="F1239" s="102"/>
      <c r="G1239" s="102"/>
      <c r="H1239" s="175"/>
      <c r="I1239" s="98"/>
      <c r="J1239" s="98"/>
      <c r="K1239" s="135"/>
      <c r="L1239" s="62"/>
      <c r="N1239" s="37"/>
      <c r="O1239" s="37"/>
      <c r="P1239" s="37"/>
      <c r="Q1239" s="3"/>
      <c r="R1239" s="3"/>
      <c r="S1239" s="3"/>
      <c r="T1239" s="3"/>
      <c r="U1239" s="3"/>
      <c r="V1239" s="3"/>
      <c r="W1239" s="3"/>
      <c r="X1239" s="3"/>
      <c r="Y1239" s="3"/>
      <c r="Z1239" s="4"/>
      <c r="AA1239"/>
      <c r="AB1239"/>
    </row>
    <row r="1240" spans="1:28" s="49" customFormat="1" x14ac:dyDescent="0.15">
      <c r="A1240" s="62"/>
      <c r="B1240" s="93"/>
      <c r="C1240" s="102"/>
      <c r="D1240" s="62"/>
      <c r="E1240" s="102"/>
      <c r="F1240" s="102"/>
      <c r="G1240" s="102"/>
      <c r="H1240" s="175"/>
      <c r="I1240" s="85"/>
      <c r="J1240" s="104"/>
      <c r="K1240" s="144"/>
      <c r="L1240" s="62"/>
      <c r="N1240" s="37"/>
      <c r="O1240" s="37"/>
      <c r="P1240" s="37"/>
      <c r="Q1240" s="3"/>
      <c r="R1240" s="3"/>
      <c r="S1240" s="3"/>
      <c r="T1240" s="3"/>
      <c r="U1240" s="3"/>
      <c r="V1240" s="3"/>
      <c r="W1240" s="3"/>
      <c r="X1240" s="3"/>
      <c r="Y1240" s="3"/>
      <c r="Z1240" s="4"/>
      <c r="AA1240"/>
      <c r="AB1240"/>
    </row>
    <row r="1241" spans="1:28" s="49" customFormat="1" x14ac:dyDescent="0.15">
      <c r="A1241" s="62"/>
      <c r="B1241" s="93"/>
      <c r="C1241" s="102"/>
      <c r="D1241" s="62"/>
      <c r="E1241" s="102"/>
      <c r="F1241" s="102"/>
      <c r="G1241" s="102"/>
      <c r="H1241" s="175"/>
      <c r="I1241" s="85"/>
      <c r="J1241" s="104"/>
      <c r="K1241" s="144"/>
      <c r="L1241" s="62"/>
      <c r="N1241" s="37"/>
      <c r="O1241" s="37"/>
      <c r="P1241" s="37"/>
      <c r="Q1241" s="3"/>
      <c r="R1241" s="3"/>
      <c r="S1241" s="3"/>
      <c r="T1241" s="3"/>
      <c r="U1241" s="3"/>
      <c r="V1241" s="3"/>
      <c r="W1241" s="3"/>
      <c r="X1241" s="3"/>
      <c r="Y1241" s="3"/>
      <c r="Z1241" s="4"/>
      <c r="AA1241"/>
      <c r="AB1241"/>
    </row>
    <row r="1242" spans="1:28" s="49" customFormat="1" x14ac:dyDescent="0.15">
      <c r="A1242" s="62"/>
      <c r="B1242" s="93"/>
      <c r="C1242" s="102"/>
      <c r="D1242" s="62"/>
      <c r="E1242" s="102"/>
      <c r="F1242" s="102"/>
      <c r="G1242" s="102"/>
      <c r="H1242" s="175"/>
      <c r="I1242" s="85"/>
      <c r="J1242" s="104"/>
      <c r="K1242" s="144"/>
      <c r="L1242" s="62"/>
      <c r="N1242" s="37"/>
      <c r="O1242" s="37"/>
      <c r="P1242" s="37"/>
      <c r="Q1242" s="3"/>
      <c r="R1242" s="3"/>
      <c r="S1242" s="3"/>
      <c r="T1242" s="3"/>
      <c r="U1242" s="3"/>
      <c r="V1242" s="3"/>
      <c r="W1242" s="3"/>
      <c r="X1242" s="3"/>
      <c r="Y1242" s="3"/>
      <c r="Z1242" s="4"/>
      <c r="AA1242"/>
      <c r="AB1242"/>
    </row>
    <row r="1243" spans="1:28" s="49" customFormat="1" x14ac:dyDescent="0.15">
      <c r="A1243" s="62"/>
      <c r="B1243" s="93"/>
      <c r="C1243" s="102"/>
      <c r="D1243" s="62"/>
      <c r="E1243" s="102"/>
      <c r="F1243" s="102"/>
      <c r="G1243" s="102"/>
      <c r="H1243" s="175"/>
      <c r="I1243" s="85"/>
      <c r="J1243" s="104"/>
      <c r="K1243" s="144"/>
      <c r="L1243" s="62"/>
      <c r="N1243" s="37"/>
      <c r="O1243" s="37"/>
      <c r="P1243" s="37"/>
      <c r="Q1243" s="3"/>
      <c r="R1243" s="3"/>
      <c r="S1243" s="3"/>
      <c r="T1243" s="3"/>
      <c r="U1243" s="3"/>
      <c r="V1243" s="3"/>
      <c r="W1243" s="3"/>
      <c r="X1243" s="3"/>
      <c r="Y1243" s="3"/>
      <c r="Z1243" s="4"/>
      <c r="AA1243"/>
      <c r="AB1243"/>
    </row>
    <row r="1244" spans="1:28" s="49" customFormat="1" x14ac:dyDescent="0.15">
      <c r="A1244" s="62"/>
      <c r="B1244" s="93"/>
      <c r="C1244" s="102"/>
      <c r="D1244" s="62"/>
      <c r="E1244" s="102"/>
      <c r="F1244" s="102"/>
      <c r="G1244" s="102"/>
      <c r="H1244" s="175"/>
      <c r="I1244" s="85"/>
      <c r="J1244" s="104"/>
      <c r="K1244" s="144"/>
      <c r="L1244" s="62"/>
      <c r="N1244" s="37"/>
      <c r="O1244" s="37"/>
      <c r="P1244" s="37"/>
      <c r="Q1244" s="3"/>
      <c r="R1244" s="3"/>
      <c r="S1244" s="3"/>
      <c r="T1244" s="3"/>
      <c r="U1244" s="3"/>
      <c r="V1244" s="3"/>
      <c r="W1244" s="3"/>
      <c r="X1244" s="3"/>
      <c r="Y1244" s="3"/>
      <c r="Z1244" s="4"/>
      <c r="AA1244"/>
      <c r="AB1244"/>
    </row>
    <row r="1245" spans="1:28" s="49" customFormat="1" x14ac:dyDescent="0.15">
      <c r="A1245" s="62"/>
      <c r="B1245" s="93"/>
      <c r="C1245" s="102"/>
      <c r="D1245" s="62"/>
      <c r="E1245" s="102"/>
      <c r="F1245" s="102"/>
      <c r="G1245" s="102"/>
      <c r="H1245" s="175"/>
      <c r="I1245" s="85"/>
      <c r="J1245" s="104"/>
      <c r="K1245" s="144"/>
      <c r="L1245" s="62"/>
      <c r="N1245" s="37"/>
      <c r="O1245" s="37"/>
      <c r="P1245" s="37"/>
      <c r="Q1245" s="3"/>
      <c r="R1245" s="3"/>
      <c r="S1245" s="3"/>
      <c r="T1245" s="3"/>
      <c r="U1245" s="3"/>
      <c r="V1245" s="3"/>
      <c r="W1245" s="3"/>
      <c r="X1245" s="3"/>
      <c r="Y1245" s="3"/>
      <c r="Z1245" s="4"/>
      <c r="AA1245"/>
      <c r="AB1245"/>
    </row>
    <row r="1246" spans="1:28" s="37" customFormat="1" x14ac:dyDescent="0.15">
      <c r="A1246" s="62"/>
      <c r="B1246" s="93"/>
      <c r="C1246" s="102"/>
      <c r="D1246" s="62"/>
      <c r="E1246" s="102"/>
      <c r="F1246" s="102"/>
      <c r="G1246" s="102"/>
      <c r="H1246" s="175"/>
      <c r="I1246" s="85"/>
      <c r="J1246" s="104"/>
      <c r="K1246" s="144"/>
      <c r="L1246" s="62"/>
      <c r="M1246" s="49"/>
      <c r="Q1246" s="3"/>
      <c r="R1246" s="3"/>
      <c r="S1246" s="3"/>
      <c r="T1246" s="3"/>
      <c r="U1246" s="3"/>
      <c r="V1246" s="3"/>
      <c r="W1246" s="3"/>
      <c r="X1246" s="3"/>
      <c r="Y1246" s="3"/>
      <c r="Z1246" s="4"/>
      <c r="AA1246"/>
      <c r="AB1246"/>
    </row>
    <row r="1247" spans="1:28" s="37" customFormat="1" x14ac:dyDescent="0.15">
      <c r="A1247" s="62"/>
      <c r="B1247" s="93"/>
      <c r="C1247" s="102"/>
      <c r="D1247" s="62"/>
      <c r="E1247" s="102"/>
      <c r="F1247" s="102"/>
      <c r="G1247" s="102"/>
      <c r="H1247" s="175"/>
      <c r="I1247" s="85"/>
      <c r="J1247" s="104"/>
      <c r="K1247" s="144"/>
      <c r="L1247" s="62"/>
      <c r="M1247" s="49"/>
      <c r="Q1247" s="3"/>
      <c r="R1247" s="3"/>
      <c r="S1247" s="3"/>
      <c r="T1247" s="3"/>
      <c r="U1247" s="3"/>
      <c r="V1247" s="3"/>
      <c r="W1247" s="3"/>
      <c r="X1247" s="3"/>
      <c r="Y1247" s="3"/>
      <c r="Z1247" s="4"/>
      <c r="AA1247"/>
      <c r="AB1247"/>
    </row>
    <row r="1248" spans="1:28" s="37" customFormat="1" x14ac:dyDescent="0.15">
      <c r="A1248" s="62"/>
      <c r="B1248" s="93"/>
      <c r="C1248" s="100"/>
      <c r="D1248" s="61"/>
      <c r="E1248" s="100"/>
      <c r="F1248" s="100"/>
      <c r="G1248" s="100"/>
      <c r="H1248" s="177"/>
      <c r="I1248" s="85"/>
      <c r="J1248" s="101"/>
      <c r="K1248" s="143"/>
      <c r="L1248" s="61"/>
      <c r="M1248" s="50"/>
      <c r="N1248" s="35"/>
      <c r="Q1248" s="3"/>
      <c r="R1248" s="3"/>
      <c r="S1248" s="3"/>
      <c r="T1248" s="3"/>
      <c r="U1248" s="3"/>
      <c r="V1248" s="3"/>
      <c r="W1248" s="3"/>
      <c r="X1248" s="3"/>
      <c r="Y1248" s="3"/>
      <c r="Z1248" s="4"/>
      <c r="AA1248"/>
      <c r="AB1248"/>
    </row>
    <row r="1249" spans="1:28" s="37" customFormat="1" x14ac:dyDescent="0.15">
      <c r="A1249" s="62"/>
      <c r="B1249" s="93"/>
      <c r="C1249" s="100"/>
      <c r="D1249" s="61"/>
      <c r="E1249" s="100"/>
      <c r="F1249" s="100"/>
      <c r="G1249" s="100"/>
      <c r="H1249" s="177"/>
      <c r="I1249" s="103"/>
      <c r="J1249" s="103"/>
      <c r="K1249" s="141"/>
      <c r="L1249" s="61"/>
      <c r="M1249" s="50"/>
      <c r="N1249" s="35"/>
      <c r="O1249" s="35"/>
      <c r="Q1249" s="3"/>
      <c r="R1249" s="3"/>
      <c r="S1249" s="3"/>
      <c r="T1249" s="3"/>
      <c r="U1249" s="3"/>
      <c r="V1249" s="3"/>
      <c r="W1249" s="3"/>
      <c r="X1249" s="3"/>
      <c r="Y1249" s="3"/>
      <c r="Z1249" s="4"/>
      <c r="AA1249"/>
      <c r="AB1249"/>
    </row>
    <row r="1250" spans="1:28" s="37" customFormat="1" x14ac:dyDescent="0.15">
      <c r="A1250" s="62"/>
      <c r="B1250" s="93"/>
      <c r="C1250" s="100"/>
      <c r="D1250" s="61"/>
      <c r="E1250" s="100"/>
      <c r="F1250" s="100"/>
      <c r="G1250" s="100"/>
      <c r="H1250" s="177"/>
      <c r="I1250" s="85"/>
      <c r="J1250" s="101"/>
      <c r="K1250" s="143"/>
      <c r="L1250" s="61"/>
      <c r="M1250" s="50"/>
      <c r="N1250" s="35"/>
      <c r="Q1250" s="3"/>
      <c r="R1250" s="3"/>
      <c r="S1250" s="3"/>
      <c r="T1250" s="3"/>
      <c r="U1250" s="3"/>
      <c r="V1250" s="3"/>
      <c r="W1250" s="3"/>
      <c r="X1250" s="3"/>
      <c r="Y1250" s="3"/>
      <c r="Z1250" s="4"/>
      <c r="AA1250"/>
      <c r="AB1250"/>
    </row>
    <row r="1251" spans="1:28" s="37" customFormat="1" x14ac:dyDescent="0.15">
      <c r="A1251" s="62"/>
      <c r="B1251" s="93"/>
      <c r="C1251" s="100"/>
      <c r="D1251" s="61"/>
      <c r="E1251" s="100"/>
      <c r="F1251" s="100"/>
      <c r="G1251" s="100"/>
      <c r="H1251" s="177"/>
      <c r="I1251" s="85"/>
      <c r="J1251" s="101"/>
      <c r="K1251" s="143"/>
      <c r="L1251" s="61"/>
      <c r="M1251" s="50"/>
      <c r="N1251" s="35"/>
      <c r="O1251" s="35"/>
      <c r="Q1251" s="3"/>
      <c r="R1251" s="3"/>
      <c r="S1251" s="3"/>
      <c r="T1251" s="3"/>
      <c r="U1251" s="3"/>
      <c r="V1251" s="3"/>
      <c r="W1251" s="3"/>
      <c r="X1251" s="3"/>
      <c r="Y1251" s="3"/>
      <c r="Z1251" s="4"/>
      <c r="AA1251"/>
      <c r="AB1251"/>
    </row>
    <row r="1252" spans="1:28" s="37" customFormat="1" x14ac:dyDescent="0.15">
      <c r="A1252" s="62"/>
      <c r="B1252" s="93"/>
      <c r="C1252" s="100"/>
      <c r="D1252" s="61"/>
      <c r="E1252" s="100"/>
      <c r="F1252" s="100"/>
      <c r="G1252" s="100"/>
      <c r="H1252" s="177"/>
      <c r="I1252" s="85"/>
      <c r="J1252" s="101"/>
      <c r="K1252" s="143"/>
      <c r="L1252" s="61"/>
      <c r="M1252" s="50"/>
      <c r="N1252" s="35"/>
      <c r="O1252" s="35"/>
      <c r="Q1252" s="3"/>
      <c r="R1252" s="3"/>
      <c r="S1252" s="3"/>
      <c r="T1252" s="3"/>
      <c r="U1252" s="3"/>
      <c r="V1252" s="3"/>
      <c r="W1252" s="3"/>
      <c r="X1252" s="3"/>
      <c r="Y1252" s="3"/>
      <c r="Z1252" s="4"/>
      <c r="AA1252"/>
      <c r="AB1252"/>
    </row>
    <row r="1253" spans="1:28" s="37" customFormat="1" x14ac:dyDescent="0.15">
      <c r="A1253" s="62"/>
      <c r="B1253" s="93"/>
      <c r="C1253" s="100"/>
      <c r="D1253" s="61"/>
      <c r="E1253" s="100"/>
      <c r="F1253" s="100"/>
      <c r="G1253" s="100"/>
      <c r="H1253" s="177"/>
      <c r="I1253" s="85"/>
      <c r="J1253" s="101"/>
      <c r="K1253" s="143"/>
      <c r="L1253" s="61"/>
      <c r="M1253" s="50"/>
      <c r="N1253" s="35"/>
      <c r="Q1253" s="3"/>
      <c r="R1253" s="3"/>
      <c r="S1253" s="3"/>
      <c r="T1253" s="3"/>
      <c r="U1253" s="3"/>
      <c r="V1253" s="3"/>
      <c r="W1253" s="3"/>
      <c r="X1253" s="3"/>
      <c r="Y1253" s="3"/>
      <c r="Z1253" s="4"/>
      <c r="AA1253"/>
      <c r="AB1253"/>
    </row>
    <row r="1254" spans="1:28" s="37" customFormat="1" x14ac:dyDescent="0.15">
      <c r="A1254" s="62"/>
      <c r="B1254" s="93"/>
      <c r="C1254" s="100"/>
      <c r="D1254" s="61"/>
      <c r="E1254" s="100"/>
      <c r="F1254" s="100"/>
      <c r="G1254" s="100"/>
      <c r="H1254" s="177"/>
      <c r="I1254" s="85"/>
      <c r="J1254" s="101"/>
      <c r="K1254" s="143"/>
      <c r="L1254" s="61"/>
      <c r="M1254" s="50"/>
      <c r="N1254" s="35"/>
      <c r="Q1254" s="3"/>
      <c r="R1254" s="3"/>
      <c r="S1254" s="3"/>
      <c r="T1254" s="3"/>
      <c r="U1254" s="3"/>
      <c r="V1254" s="3"/>
      <c r="W1254" s="3"/>
      <c r="X1254" s="3"/>
      <c r="Y1254" s="3"/>
      <c r="Z1254" s="4"/>
      <c r="AA1254"/>
      <c r="AB1254"/>
    </row>
    <row r="1255" spans="1:28" s="37" customFormat="1" x14ac:dyDescent="0.15">
      <c r="A1255" s="62"/>
      <c r="B1255" s="93"/>
      <c r="C1255" s="100"/>
      <c r="D1255" s="61"/>
      <c r="E1255" s="100"/>
      <c r="F1255" s="100"/>
      <c r="G1255" s="100"/>
      <c r="H1255" s="177"/>
      <c r="I1255" s="103"/>
      <c r="J1255" s="103"/>
      <c r="K1255" s="141"/>
      <c r="L1255" s="61"/>
      <c r="M1255" s="50"/>
      <c r="N1255" s="35"/>
      <c r="Q1255" s="3"/>
      <c r="R1255" s="3"/>
      <c r="S1255" s="3"/>
      <c r="T1255" s="3"/>
      <c r="U1255" s="3"/>
      <c r="V1255" s="3"/>
      <c r="W1255" s="3"/>
      <c r="X1255" s="3"/>
      <c r="Y1255" s="3"/>
      <c r="Z1255" s="4"/>
      <c r="AA1255"/>
      <c r="AB1255"/>
    </row>
    <row r="1256" spans="1:28" s="37" customFormat="1" x14ac:dyDescent="0.15">
      <c r="A1256" s="62"/>
      <c r="B1256" s="93"/>
      <c r="C1256" s="100"/>
      <c r="D1256" s="61"/>
      <c r="E1256" s="100"/>
      <c r="F1256" s="100"/>
      <c r="G1256" s="100"/>
      <c r="H1256" s="177"/>
      <c r="I1256" s="103"/>
      <c r="J1256" s="103"/>
      <c r="K1256" s="141"/>
      <c r="L1256" s="61"/>
      <c r="M1256" s="50"/>
      <c r="Q1256" s="3"/>
      <c r="R1256" s="3"/>
      <c r="S1256" s="3"/>
      <c r="T1256" s="3"/>
      <c r="U1256" s="3"/>
      <c r="V1256" s="3"/>
      <c r="W1256" s="3"/>
      <c r="X1256" s="3"/>
      <c r="Y1256" s="3"/>
      <c r="Z1256" s="4"/>
      <c r="AA1256"/>
      <c r="AB1256"/>
    </row>
    <row r="1257" spans="1:28" s="37" customFormat="1" x14ac:dyDescent="0.15">
      <c r="A1257" s="62"/>
      <c r="B1257" s="93"/>
      <c r="C1257" s="100"/>
      <c r="D1257" s="61"/>
      <c r="E1257" s="100"/>
      <c r="F1257" s="100"/>
      <c r="G1257" s="100"/>
      <c r="H1257" s="177"/>
      <c r="I1257" s="85"/>
      <c r="J1257" s="101"/>
      <c r="K1257" s="143"/>
      <c r="L1257" s="61"/>
      <c r="M1257" s="50"/>
      <c r="O1257" s="35"/>
      <c r="Q1257" s="3"/>
      <c r="R1257" s="3"/>
      <c r="S1257" s="3"/>
      <c r="T1257" s="3"/>
      <c r="U1257" s="3"/>
      <c r="V1257" s="3"/>
      <c r="W1257" s="3"/>
      <c r="X1257" s="3"/>
      <c r="Y1257" s="3"/>
      <c r="Z1257" s="4"/>
      <c r="AA1257"/>
      <c r="AB1257"/>
    </row>
    <row r="1258" spans="1:28" s="37" customFormat="1" x14ac:dyDescent="0.15">
      <c r="A1258" s="62"/>
      <c r="B1258" s="93"/>
      <c r="C1258" s="100"/>
      <c r="D1258" s="61"/>
      <c r="E1258" s="100"/>
      <c r="F1258" s="100"/>
      <c r="G1258" s="100"/>
      <c r="H1258" s="177"/>
      <c r="I1258" s="85"/>
      <c r="J1258" s="101"/>
      <c r="K1258" s="143"/>
      <c r="L1258" s="61"/>
      <c r="M1258" s="50"/>
      <c r="O1258" s="35"/>
      <c r="Q1258" s="3"/>
      <c r="R1258" s="3"/>
      <c r="S1258" s="3"/>
      <c r="T1258" s="3"/>
      <c r="U1258" s="3"/>
      <c r="V1258" s="3"/>
      <c r="W1258" s="3"/>
      <c r="X1258" s="3"/>
      <c r="Y1258" s="3"/>
      <c r="Z1258" s="4"/>
      <c r="AA1258"/>
      <c r="AB1258"/>
    </row>
    <row r="1259" spans="1:28" s="37" customFormat="1" x14ac:dyDescent="0.15">
      <c r="A1259" s="62"/>
      <c r="B1259" s="93"/>
      <c r="C1259" s="100"/>
      <c r="D1259" s="61"/>
      <c r="E1259" s="100"/>
      <c r="F1259" s="100"/>
      <c r="G1259" s="100"/>
      <c r="H1259" s="177"/>
      <c r="I1259" s="85"/>
      <c r="J1259" s="101"/>
      <c r="K1259" s="143"/>
      <c r="L1259" s="61"/>
      <c r="M1259" s="50"/>
      <c r="Q1259" s="3"/>
      <c r="R1259" s="3"/>
      <c r="S1259" s="3"/>
      <c r="T1259" s="3"/>
      <c r="U1259" s="3"/>
      <c r="V1259" s="3"/>
      <c r="W1259" s="3"/>
      <c r="X1259" s="3"/>
      <c r="Y1259" s="3"/>
      <c r="Z1259" s="4"/>
      <c r="AA1259"/>
      <c r="AB1259"/>
    </row>
    <row r="1260" spans="1:28" s="37" customFormat="1" x14ac:dyDescent="0.15">
      <c r="A1260" s="165"/>
      <c r="B1260" s="93"/>
      <c r="C1260" s="100"/>
      <c r="D1260" s="61"/>
      <c r="E1260" s="100"/>
      <c r="F1260" s="100"/>
      <c r="G1260" s="100"/>
      <c r="H1260" s="177"/>
      <c r="I1260" s="103"/>
      <c r="J1260" s="103"/>
      <c r="K1260" s="141"/>
      <c r="L1260" s="61"/>
      <c r="M1260" s="35"/>
      <c r="Q1260" s="3"/>
      <c r="R1260" s="3"/>
      <c r="S1260" s="3"/>
      <c r="T1260" s="3"/>
      <c r="U1260" s="3"/>
      <c r="V1260" s="3"/>
      <c r="W1260" s="3"/>
      <c r="X1260" s="3"/>
      <c r="Y1260" s="3"/>
      <c r="Z1260" s="4"/>
      <c r="AA1260"/>
      <c r="AB1260"/>
    </row>
    <row r="1261" spans="1:28" s="37" customFormat="1" x14ac:dyDescent="0.15">
      <c r="A1261" s="165"/>
      <c r="B1261" s="93"/>
      <c r="C1261" s="100"/>
      <c r="D1261" s="61"/>
      <c r="E1261" s="100"/>
      <c r="F1261" s="100"/>
      <c r="G1261" s="100"/>
      <c r="H1261" s="177"/>
      <c r="I1261" s="103"/>
      <c r="J1261" s="61"/>
      <c r="K1261" s="145"/>
      <c r="L1261" s="61"/>
      <c r="M1261" s="35"/>
      <c r="Q1261" s="3"/>
      <c r="R1261" s="3"/>
      <c r="S1261" s="3"/>
      <c r="T1261" s="3"/>
      <c r="U1261" s="3"/>
      <c r="V1261" s="3"/>
      <c r="W1261" s="3"/>
      <c r="X1261" s="3"/>
      <c r="Y1261" s="3"/>
      <c r="Z1261" s="4"/>
      <c r="AA1261"/>
      <c r="AB1261"/>
    </row>
    <row r="1262" spans="1:28" x14ac:dyDescent="0.15">
      <c r="A1262" s="165"/>
      <c r="B1262" s="93"/>
      <c r="C1262" s="102"/>
      <c r="D1262" s="62"/>
      <c r="E1262" s="102"/>
      <c r="F1262" s="102"/>
      <c r="G1262" s="102"/>
      <c r="H1262" s="175"/>
      <c r="I1262" s="85"/>
      <c r="J1262" s="61"/>
      <c r="K1262" s="143"/>
      <c r="L1262" s="61"/>
      <c r="M1262" s="50"/>
    </row>
    <row r="1263" spans="1:28" x14ac:dyDescent="0.15">
      <c r="A1263" s="165"/>
      <c r="B1263" s="93"/>
      <c r="C1263" s="102"/>
      <c r="D1263" s="62"/>
      <c r="E1263" s="102"/>
      <c r="F1263" s="102"/>
      <c r="G1263" s="102"/>
      <c r="H1263" s="175"/>
      <c r="I1263" s="85"/>
      <c r="J1263" s="61"/>
      <c r="K1263" s="143"/>
      <c r="L1263" s="61"/>
      <c r="M1263" s="50"/>
      <c r="O1263" s="51"/>
    </row>
    <row r="1264" spans="1:28" x14ac:dyDescent="0.15">
      <c r="A1264" s="165"/>
      <c r="B1264" s="93"/>
      <c r="C1264" s="102"/>
      <c r="D1264" s="62"/>
      <c r="E1264" s="102"/>
      <c r="F1264" s="102"/>
      <c r="G1264" s="102"/>
      <c r="H1264" s="175"/>
      <c r="I1264" s="85"/>
      <c r="J1264" s="104"/>
      <c r="K1264" s="144"/>
      <c r="L1264" s="61"/>
      <c r="M1264" s="35"/>
      <c r="O1264" s="35"/>
    </row>
    <row r="1265" spans="1:28" x14ac:dyDescent="0.15">
      <c r="A1265" s="165"/>
      <c r="B1265" s="93"/>
      <c r="C1265" s="102"/>
      <c r="D1265" s="62"/>
      <c r="E1265" s="102"/>
      <c r="F1265" s="102"/>
      <c r="G1265" s="102"/>
      <c r="H1265" s="175"/>
      <c r="I1265" s="85"/>
      <c r="J1265" s="104"/>
      <c r="K1265" s="143"/>
      <c r="L1265" s="61"/>
      <c r="M1265" s="35"/>
      <c r="O1265" s="35"/>
    </row>
    <row r="1266" spans="1:28" x14ac:dyDescent="0.15">
      <c r="A1266" s="62"/>
      <c r="B1266" s="93"/>
      <c r="C1266" s="102"/>
      <c r="D1266" s="62"/>
      <c r="E1266" s="102"/>
      <c r="F1266" s="102"/>
      <c r="G1266" s="102"/>
      <c r="H1266" s="175"/>
      <c r="I1266" s="85"/>
      <c r="J1266" s="104"/>
      <c r="K1266" s="143"/>
      <c r="L1266" s="61"/>
      <c r="M1266" s="35"/>
    </row>
    <row r="1267" spans="1:28" x14ac:dyDescent="0.15">
      <c r="A1267" s="62"/>
      <c r="B1267" s="93"/>
      <c r="C1267" s="102"/>
      <c r="D1267" s="62"/>
      <c r="E1267" s="102"/>
      <c r="F1267" s="102"/>
      <c r="G1267" s="102"/>
      <c r="H1267" s="175"/>
      <c r="I1267" s="85"/>
      <c r="J1267" s="104"/>
      <c r="K1267" s="141"/>
      <c r="L1267" s="61"/>
      <c r="M1267" s="35"/>
    </row>
    <row r="1268" spans="1:28" x14ac:dyDescent="0.15">
      <c r="A1268" s="62"/>
      <c r="B1268" s="93"/>
      <c r="C1268" s="102"/>
      <c r="D1268" s="62"/>
      <c r="E1268" s="102"/>
      <c r="F1268" s="102"/>
      <c r="G1268" s="102"/>
      <c r="H1268" s="175"/>
      <c r="I1268" s="85"/>
      <c r="J1268" s="104"/>
      <c r="K1268" s="143"/>
      <c r="L1268" s="61"/>
      <c r="O1268" s="51"/>
    </row>
    <row r="1269" spans="1:28" x14ac:dyDescent="0.15">
      <c r="A1269" s="62"/>
      <c r="B1269" s="93"/>
      <c r="C1269" s="102"/>
      <c r="D1269" s="62"/>
      <c r="E1269" s="102"/>
      <c r="F1269" s="102"/>
      <c r="G1269" s="102"/>
      <c r="H1269" s="175"/>
      <c r="I1269" s="85"/>
      <c r="J1269" s="104"/>
      <c r="K1269" s="143"/>
      <c r="L1269" s="61"/>
      <c r="M1269" s="35"/>
    </row>
    <row r="1270" spans="1:28" x14ac:dyDescent="0.15">
      <c r="A1270" s="62"/>
      <c r="B1270" s="93"/>
      <c r="C1270" s="102"/>
      <c r="D1270" s="62"/>
      <c r="E1270" s="102"/>
      <c r="F1270" s="102"/>
      <c r="G1270" s="102"/>
      <c r="H1270" s="175"/>
      <c r="I1270" s="85"/>
      <c r="J1270" s="104"/>
      <c r="K1270" s="143"/>
      <c r="L1270" s="61"/>
    </row>
    <row r="1271" spans="1:28" x14ac:dyDescent="0.15">
      <c r="A1271" s="62"/>
      <c r="B1271" s="93"/>
      <c r="C1271" s="102"/>
      <c r="D1271" s="62"/>
      <c r="E1271" s="102"/>
      <c r="F1271" s="102"/>
      <c r="G1271" s="102"/>
      <c r="H1271" s="175"/>
      <c r="I1271" s="85"/>
      <c r="J1271" s="104"/>
      <c r="K1271" s="143"/>
      <c r="L1271" s="61"/>
      <c r="M1271" s="50"/>
      <c r="N1271" s="51"/>
      <c r="O1271" s="51"/>
    </row>
    <row r="1272" spans="1:28" x14ac:dyDescent="0.15">
      <c r="A1272" s="62"/>
      <c r="B1272" s="93"/>
      <c r="C1272" s="102"/>
      <c r="D1272" s="62"/>
      <c r="E1272" s="102"/>
      <c r="F1272" s="102"/>
      <c r="G1272" s="102"/>
      <c r="H1272" s="175"/>
      <c r="I1272" s="85"/>
      <c r="J1272" s="104"/>
      <c r="K1272" s="143"/>
      <c r="L1272" s="61"/>
      <c r="M1272" s="50"/>
      <c r="N1272" s="51"/>
    </row>
    <row r="1273" spans="1:28" x14ac:dyDescent="0.15">
      <c r="A1273" s="62"/>
      <c r="B1273" s="93"/>
      <c r="C1273" s="100"/>
      <c r="D1273" s="61"/>
      <c r="E1273" s="100"/>
      <c r="F1273" s="100"/>
      <c r="G1273" s="100"/>
      <c r="H1273" s="177"/>
      <c r="I1273" s="85"/>
      <c r="J1273" s="101"/>
      <c r="K1273" s="143"/>
      <c r="L1273" s="61"/>
      <c r="M1273" s="50"/>
      <c r="N1273" s="51"/>
      <c r="O1273" s="51"/>
    </row>
    <row r="1274" spans="1:28" x14ac:dyDescent="0.15">
      <c r="A1274" s="62"/>
      <c r="B1274" s="93"/>
      <c r="C1274" s="102"/>
      <c r="D1274" s="62"/>
      <c r="E1274" s="102"/>
      <c r="F1274" s="102"/>
      <c r="G1274" s="102"/>
      <c r="H1274" s="175"/>
      <c r="I1274" s="85"/>
      <c r="J1274" s="104"/>
      <c r="K1274" s="143"/>
      <c r="L1274" s="61"/>
      <c r="M1274" s="50"/>
      <c r="N1274" s="51"/>
      <c r="O1274" s="51"/>
    </row>
    <row r="1275" spans="1:28" s="13" customFormat="1" x14ac:dyDescent="0.15">
      <c r="A1275" s="62"/>
      <c r="B1275" s="93"/>
      <c r="C1275" s="102"/>
      <c r="D1275" s="62"/>
      <c r="E1275" s="102"/>
      <c r="F1275" s="102"/>
      <c r="G1275" s="102"/>
      <c r="H1275" s="175"/>
      <c r="I1275" s="85"/>
      <c r="J1275" s="104"/>
      <c r="K1275" s="143"/>
      <c r="L1275" s="61"/>
      <c r="M1275" s="50"/>
      <c r="N1275" s="51"/>
      <c r="O1275" s="51"/>
      <c r="P1275" s="37"/>
      <c r="Q1275" s="3"/>
      <c r="R1275" s="3"/>
      <c r="S1275" s="3"/>
      <c r="T1275" s="3"/>
      <c r="U1275" s="3"/>
      <c r="V1275" s="3"/>
      <c r="W1275" s="3"/>
      <c r="X1275" s="3"/>
      <c r="Y1275" s="3"/>
      <c r="Z1275" s="4"/>
      <c r="AA1275"/>
      <c r="AB1275"/>
    </row>
    <row r="1276" spans="1:28" x14ac:dyDescent="0.15">
      <c r="A1276" s="62"/>
      <c r="B1276" s="93"/>
      <c r="C1276" s="102"/>
      <c r="D1276" s="62"/>
      <c r="E1276" s="102"/>
      <c r="F1276" s="102"/>
      <c r="G1276" s="102"/>
      <c r="H1276" s="175"/>
      <c r="I1276" s="85"/>
      <c r="J1276" s="104"/>
      <c r="K1276" s="143"/>
      <c r="L1276" s="61"/>
      <c r="M1276" s="50"/>
      <c r="N1276" s="51"/>
      <c r="O1276" s="51"/>
    </row>
    <row r="1277" spans="1:28" x14ac:dyDescent="0.15">
      <c r="A1277" s="62"/>
      <c r="B1277" s="93"/>
      <c r="C1277" s="102"/>
      <c r="D1277" s="62"/>
      <c r="E1277" s="102"/>
      <c r="F1277" s="102"/>
      <c r="G1277" s="102"/>
      <c r="H1277" s="175"/>
      <c r="I1277" s="85"/>
      <c r="J1277" s="104"/>
      <c r="K1277" s="143"/>
      <c r="L1277" s="61"/>
      <c r="M1277" s="50"/>
      <c r="N1277" s="51"/>
    </row>
    <row r="1278" spans="1:28" s="37" customFormat="1" x14ac:dyDescent="0.15">
      <c r="A1278" s="62"/>
      <c r="B1278" s="93"/>
      <c r="C1278" s="100"/>
      <c r="D1278" s="61"/>
      <c r="E1278" s="100"/>
      <c r="F1278" s="100"/>
      <c r="G1278" s="100"/>
      <c r="H1278" s="177"/>
      <c r="I1278" s="103"/>
      <c r="J1278" s="103"/>
      <c r="K1278" s="141"/>
      <c r="L1278" s="61"/>
      <c r="M1278" s="49"/>
      <c r="Q1278" s="3"/>
      <c r="R1278" s="3"/>
      <c r="S1278" s="3"/>
      <c r="T1278" s="3"/>
      <c r="U1278" s="3"/>
      <c r="V1278" s="3"/>
      <c r="W1278" s="3"/>
      <c r="X1278" s="3"/>
      <c r="Y1278" s="3"/>
      <c r="Z1278" s="4"/>
      <c r="AA1278"/>
      <c r="AB1278"/>
    </row>
    <row r="1279" spans="1:28" s="37" customFormat="1" x14ac:dyDescent="0.15">
      <c r="A1279" s="165"/>
      <c r="B1279" s="93"/>
      <c r="C1279" s="100"/>
      <c r="D1279" s="61"/>
      <c r="E1279" s="100"/>
      <c r="F1279" s="100"/>
      <c r="G1279" s="100"/>
      <c r="H1279" s="177"/>
      <c r="I1279" s="85"/>
      <c r="J1279" s="101"/>
      <c r="K1279" s="143"/>
      <c r="L1279" s="61"/>
      <c r="M1279" s="50"/>
      <c r="N1279" s="51"/>
      <c r="Q1279" s="3"/>
      <c r="R1279" s="3"/>
      <c r="S1279" s="3"/>
      <c r="T1279" s="3"/>
      <c r="U1279" s="3"/>
      <c r="V1279" s="3"/>
      <c r="W1279" s="3"/>
      <c r="X1279" s="3"/>
      <c r="Y1279" s="3"/>
      <c r="Z1279" s="4"/>
      <c r="AA1279"/>
      <c r="AB1279"/>
    </row>
    <row r="1280" spans="1:28" s="37" customFormat="1" x14ac:dyDescent="0.15">
      <c r="A1280" s="62"/>
      <c r="B1280" s="93"/>
      <c r="C1280" s="102"/>
      <c r="D1280" s="62"/>
      <c r="E1280" s="100"/>
      <c r="F1280" s="102"/>
      <c r="G1280" s="102"/>
      <c r="H1280" s="175"/>
      <c r="I1280" s="85"/>
      <c r="J1280" s="61"/>
      <c r="K1280" s="143"/>
      <c r="L1280" s="61"/>
      <c r="M1280" s="49"/>
      <c r="Q1280" s="3"/>
      <c r="R1280" s="3"/>
      <c r="S1280" s="3"/>
      <c r="T1280" s="3"/>
      <c r="U1280" s="3"/>
      <c r="V1280" s="3"/>
      <c r="W1280" s="3"/>
      <c r="X1280" s="3"/>
      <c r="Y1280" s="3"/>
      <c r="Z1280" s="4"/>
      <c r="AA1280"/>
      <c r="AB1280"/>
    </row>
    <row r="1281" spans="1:28" s="37" customFormat="1" x14ac:dyDescent="0.15">
      <c r="A1281" s="62"/>
      <c r="B1281" s="93"/>
      <c r="C1281" s="102"/>
      <c r="D1281" s="62"/>
      <c r="E1281" s="100"/>
      <c r="F1281" s="102"/>
      <c r="G1281" s="102"/>
      <c r="H1281" s="175"/>
      <c r="I1281" s="85"/>
      <c r="J1281" s="104"/>
      <c r="K1281" s="143"/>
      <c r="L1281" s="61"/>
      <c r="M1281" s="49"/>
      <c r="Q1281" s="3"/>
      <c r="R1281" s="3"/>
      <c r="S1281" s="3"/>
      <c r="T1281" s="3"/>
      <c r="U1281" s="3"/>
      <c r="V1281" s="3"/>
      <c r="W1281" s="3"/>
      <c r="X1281" s="3"/>
      <c r="Y1281" s="3"/>
      <c r="Z1281" s="4"/>
      <c r="AA1281"/>
      <c r="AB1281"/>
    </row>
    <row r="1282" spans="1:28" s="37" customFormat="1" x14ac:dyDescent="0.15">
      <c r="A1282" s="62"/>
      <c r="B1282" s="93"/>
      <c r="C1282" s="102"/>
      <c r="D1282" s="62"/>
      <c r="E1282" s="102"/>
      <c r="F1282" s="102"/>
      <c r="G1282" s="102"/>
      <c r="H1282" s="175"/>
      <c r="I1282" s="85"/>
      <c r="J1282" s="104"/>
      <c r="K1282" s="143"/>
      <c r="L1282" s="61"/>
      <c r="M1282" s="49"/>
      <c r="Q1282" s="3"/>
      <c r="R1282" s="3"/>
      <c r="S1282" s="3"/>
      <c r="T1282" s="3"/>
      <c r="U1282" s="3"/>
      <c r="V1282" s="3"/>
      <c r="W1282" s="3"/>
      <c r="X1282" s="3"/>
      <c r="Y1282" s="3"/>
      <c r="Z1282" s="4"/>
      <c r="AA1282"/>
      <c r="AB1282"/>
    </row>
    <row r="1283" spans="1:28" s="37" customFormat="1" x14ac:dyDescent="0.15">
      <c r="A1283" s="62"/>
      <c r="B1283" s="93"/>
      <c r="C1283" s="102"/>
      <c r="D1283" s="62"/>
      <c r="E1283" s="102"/>
      <c r="F1283" s="102"/>
      <c r="G1283" s="102"/>
      <c r="H1283" s="175"/>
      <c r="I1283" s="85"/>
      <c r="J1283" s="104"/>
      <c r="K1283" s="143"/>
      <c r="L1283" s="61"/>
      <c r="M1283" s="49"/>
      <c r="Q1283" s="3"/>
      <c r="R1283" s="3"/>
      <c r="S1283" s="3"/>
      <c r="T1283" s="3"/>
      <c r="U1283" s="3"/>
      <c r="V1283" s="3"/>
      <c r="W1283" s="3"/>
      <c r="X1283" s="3"/>
      <c r="Y1283" s="3"/>
      <c r="Z1283" s="4"/>
      <c r="AA1283"/>
      <c r="AB1283"/>
    </row>
    <row r="1284" spans="1:28" s="37" customFormat="1" x14ac:dyDescent="0.15">
      <c r="A1284" s="62"/>
      <c r="B1284" s="93"/>
      <c r="C1284" s="102"/>
      <c r="D1284" s="62"/>
      <c r="E1284" s="100"/>
      <c r="F1284" s="102"/>
      <c r="G1284" s="102"/>
      <c r="H1284" s="175"/>
      <c r="I1284" s="85"/>
      <c r="J1284" s="104"/>
      <c r="K1284" s="143"/>
      <c r="L1284" s="61"/>
      <c r="M1284" s="49"/>
      <c r="Q1284" s="3"/>
      <c r="R1284" s="3"/>
      <c r="S1284" s="3"/>
      <c r="T1284" s="3"/>
      <c r="U1284" s="3"/>
      <c r="V1284" s="3"/>
      <c r="W1284" s="3"/>
      <c r="X1284" s="3"/>
      <c r="Y1284" s="3"/>
      <c r="Z1284" s="4"/>
      <c r="AA1284"/>
      <c r="AB1284"/>
    </row>
    <row r="1285" spans="1:28" s="37" customFormat="1" x14ac:dyDescent="0.15">
      <c r="A1285" s="62"/>
      <c r="B1285" s="93"/>
      <c r="C1285" s="100"/>
      <c r="D1285" s="61"/>
      <c r="E1285" s="100"/>
      <c r="F1285" s="100"/>
      <c r="G1285" s="100"/>
      <c r="H1285" s="177"/>
      <c r="I1285" s="85"/>
      <c r="J1285" s="101"/>
      <c r="K1285" s="143"/>
      <c r="L1285" s="61"/>
      <c r="M1285" s="49"/>
      <c r="Q1285" s="3"/>
      <c r="R1285" s="3"/>
      <c r="S1285" s="3"/>
      <c r="T1285" s="3"/>
      <c r="U1285" s="3"/>
      <c r="V1285" s="3"/>
      <c r="W1285" s="3"/>
      <c r="X1285" s="3"/>
      <c r="Y1285" s="3"/>
      <c r="Z1285" s="4"/>
      <c r="AA1285"/>
      <c r="AB1285"/>
    </row>
    <row r="1286" spans="1:28" s="37" customFormat="1" x14ac:dyDescent="0.15">
      <c r="A1286" s="62"/>
      <c r="B1286" s="93"/>
      <c r="C1286" s="102"/>
      <c r="D1286" s="62"/>
      <c r="E1286" s="100"/>
      <c r="F1286" s="102"/>
      <c r="G1286" s="102"/>
      <c r="H1286" s="175"/>
      <c r="I1286" s="85"/>
      <c r="J1286" s="104"/>
      <c r="K1286" s="143"/>
      <c r="L1286" s="61"/>
      <c r="M1286" s="49"/>
      <c r="Q1286" s="3"/>
      <c r="R1286" s="3"/>
      <c r="S1286" s="3"/>
      <c r="T1286" s="3"/>
      <c r="U1286" s="3"/>
      <c r="V1286" s="3"/>
      <c r="W1286" s="3"/>
      <c r="X1286" s="3"/>
      <c r="Y1286" s="3"/>
      <c r="Z1286" s="4"/>
      <c r="AA1286"/>
      <c r="AB1286"/>
    </row>
    <row r="1287" spans="1:28" s="37" customFormat="1" x14ac:dyDescent="0.15">
      <c r="A1287" s="62"/>
      <c r="B1287" s="93"/>
      <c r="C1287" s="102"/>
      <c r="D1287" s="62"/>
      <c r="E1287" s="100"/>
      <c r="F1287" s="102"/>
      <c r="G1287" s="102"/>
      <c r="H1287" s="175"/>
      <c r="I1287" s="85"/>
      <c r="J1287" s="104"/>
      <c r="K1287" s="143"/>
      <c r="L1287" s="61"/>
      <c r="M1287" s="49"/>
      <c r="Q1287" s="3"/>
      <c r="R1287" s="3"/>
      <c r="S1287" s="3"/>
      <c r="T1287" s="3"/>
      <c r="U1287" s="3"/>
      <c r="V1287" s="3"/>
      <c r="W1287" s="3"/>
      <c r="X1287" s="3"/>
      <c r="Y1287" s="3"/>
      <c r="Z1287" s="4"/>
      <c r="AA1287"/>
      <c r="AB1287"/>
    </row>
    <row r="1288" spans="1:28" s="37" customFormat="1" x14ac:dyDescent="0.15">
      <c r="A1288" s="62"/>
      <c r="B1288" s="93"/>
      <c r="C1288" s="102"/>
      <c r="D1288" s="62"/>
      <c r="E1288" s="102"/>
      <c r="F1288" s="102"/>
      <c r="G1288" s="102"/>
      <c r="H1288" s="175"/>
      <c r="I1288" s="85"/>
      <c r="J1288" s="104"/>
      <c r="K1288" s="143"/>
      <c r="L1288" s="61"/>
      <c r="M1288" s="49"/>
      <c r="Q1288" s="3"/>
      <c r="R1288" s="3"/>
      <c r="S1288" s="3"/>
      <c r="T1288" s="3"/>
      <c r="U1288" s="3"/>
      <c r="V1288" s="3"/>
      <c r="W1288" s="3"/>
      <c r="X1288" s="3"/>
      <c r="Y1288" s="3"/>
      <c r="Z1288" s="4"/>
      <c r="AA1288"/>
      <c r="AB1288"/>
    </row>
    <row r="1289" spans="1:28" s="37" customFormat="1" x14ac:dyDescent="0.15">
      <c r="A1289" s="62"/>
      <c r="B1289" s="93"/>
      <c r="C1289" s="100"/>
      <c r="D1289" s="61"/>
      <c r="E1289" s="100"/>
      <c r="F1289" s="100"/>
      <c r="G1289" s="100"/>
      <c r="H1289" s="177"/>
      <c r="I1289" s="103"/>
      <c r="J1289" s="103"/>
      <c r="K1289" s="141"/>
      <c r="L1289" s="61"/>
      <c r="M1289" s="49"/>
      <c r="Q1289" s="3"/>
      <c r="R1289" s="3"/>
      <c r="S1289" s="3"/>
      <c r="T1289" s="3"/>
      <c r="U1289" s="3"/>
      <c r="V1289" s="3"/>
      <c r="W1289" s="3"/>
      <c r="X1289" s="3"/>
      <c r="Y1289" s="3"/>
      <c r="Z1289" s="4"/>
      <c r="AA1289"/>
      <c r="AB1289"/>
    </row>
    <row r="1290" spans="1:28" s="37" customFormat="1" x14ac:dyDescent="0.15">
      <c r="A1290" s="62"/>
      <c r="B1290" s="93"/>
      <c r="C1290" s="100"/>
      <c r="D1290" s="61"/>
      <c r="E1290" s="100"/>
      <c r="F1290" s="100"/>
      <c r="G1290" s="100"/>
      <c r="H1290" s="177"/>
      <c r="I1290" s="103"/>
      <c r="J1290" s="103"/>
      <c r="K1290" s="141"/>
      <c r="L1290" s="61"/>
      <c r="M1290" s="49"/>
      <c r="Q1290" s="3"/>
      <c r="R1290" s="3"/>
      <c r="S1290" s="3"/>
      <c r="T1290" s="3"/>
      <c r="U1290" s="3"/>
      <c r="V1290" s="3"/>
      <c r="W1290" s="3"/>
      <c r="X1290" s="3"/>
      <c r="Y1290" s="3"/>
      <c r="Z1290" s="4"/>
      <c r="AA1290"/>
      <c r="AB1290"/>
    </row>
    <row r="1291" spans="1:28" s="37" customFormat="1" x14ac:dyDescent="0.15">
      <c r="A1291" s="62"/>
      <c r="B1291" s="93"/>
      <c r="C1291" s="102"/>
      <c r="D1291" s="62"/>
      <c r="E1291" s="100"/>
      <c r="F1291" s="102"/>
      <c r="G1291" s="102"/>
      <c r="H1291" s="175"/>
      <c r="I1291" s="85"/>
      <c r="J1291" s="104"/>
      <c r="K1291" s="143"/>
      <c r="L1291" s="61"/>
      <c r="M1291" s="49"/>
      <c r="Q1291" s="3"/>
      <c r="R1291" s="3"/>
      <c r="S1291" s="3"/>
      <c r="T1291" s="3"/>
      <c r="U1291" s="3"/>
      <c r="V1291" s="3"/>
      <c r="W1291" s="3"/>
      <c r="X1291" s="3"/>
      <c r="Y1291" s="3"/>
      <c r="Z1291" s="4"/>
      <c r="AA1291"/>
      <c r="AB1291"/>
    </row>
    <row r="1292" spans="1:28" s="37" customFormat="1" x14ac:dyDescent="0.15">
      <c r="A1292" s="62"/>
      <c r="B1292" s="93"/>
      <c r="C1292" s="102"/>
      <c r="D1292" s="62"/>
      <c r="E1292" s="100"/>
      <c r="F1292" s="102"/>
      <c r="G1292" s="102"/>
      <c r="H1292" s="175"/>
      <c r="I1292" s="85"/>
      <c r="J1292" s="104"/>
      <c r="K1292" s="143"/>
      <c r="L1292" s="61"/>
      <c r="M1292" s="49"/>
      <c r="Q1292" s="3"/>
      <c r="R1292" s="3"/>
      <c r="S1292" s="3"/>
      <c r="T1292" s="3"/>
      <c r="U1292" s="3"/>
      <c r="V1292" s="3"/>
      <c r="W1292" s="3"/>
      <c r="X1292" s="3"/>
      <c r="Y1292" s="3"/>
      <c r="Z1292" s="4"/>
      <c r="AA1292"/>
      <c r="AB1292"/>
    </row>
    <row r="1293" spans="1:28" s="37" customFormat="1" x14ac:dyDescent="0.15">
      <c r="A1293" s="62"/>
      <c r="B1293" s="93"/>
      <c r="C1293" s="102"/>
      <c r="D1293" s="62"/>
      <c r="E1293" s="102"/>
      <c r="F1293" s="102"/>
      <c r="G1293" s="102"/>
      <c r="H1293" s="175"/>
      <c r="I1293" s="85"/>
      <c r="J1293" s="104"/>
      <c r="K1293" s="143"/>
      <c r="L1293" s="61"/>
      <c r="M1293" s="49"/>
      <c r="Q1293" s="3"/>
      <c r="R1293" s="3"/>
      <c r="S1293" s="3"/>
      <c r="T1293" s="3"/>
      <c r="U1293" s="3"/>
      <c r="V1293" s="3"/>
      <c r="W1293" s="3"/>
      <c r="X1293" s="3"/>
      <c r="Y1293" s="3"/>
      <c r="Z1293" s="4"/>
      <c r="AA1293"/>
      <c r="AB1293"/>
    </row>
    <row r="1294" spans="1:28" s="37" customFormat="1" x14ac:dyDescent="0.15">
      <c r="A1294" s="62"/>
      <c r="B1294" s="93"/>
      <c r="C1294" s="102"/>
      <c r="D1294" s="62"/>
      <c r="E1294" s="102"/>
      <c r="F1294" s="102"/>
      <c r="G1294" s="102"/>
      <c r="H1294" s="175"/>
      <c r="I1294" s="85"/>
      <c r="J1294" s="104"/>
      <c r="K1294" s="143"/>
      <c r="L1294" s="61"/>
      <c r="M1294" s="49"/>
      <c r="Q1294" s="3"/>
      <c r="R1294" s="3"/>
      <c r="S1294" s="3"/>
      <c r="T1294" s="3"/>
      <c r="U1294" s="3"/>
      <c r="V1294" s="3"/>
      <c r="W1294" s="3"/>
      <c r="X1294" s="3"/>
      <c r="Y1294" s="3"/>
      <c r="Z1294" s="4"/>
      <c r="AA1294"/>
      <c r="AB1294"/>
    </row>
    <row r="1295" spans="1:28" s="37" customFormat="1" x14ac:dyDescent="0.15">
      <c r="A1295" s="62"/>
      <c r="B1295" s="93"/>
      <c r="C1295" s="102"/>
      <c r="D1295" s="62"/>
      <c r="E1295" s="102"/>
      <c r="F1295" s="102"/>
      <c r="G1295" s="102"/>
      <c r="H1295" s="175"/>
      <c r="I1295" s="85"/>
      <c r="J1295" s="104"/>
      <c r="K1295" s="143"/>
      <c r="L1295" s="61"/>
      <c r="M1295" s="49"/>
      <c r="Q1295" s="3"/>
      <c r="R1295" s="3"/>
      <c r="S1295" s="3"/>
      <c r="T1295" s="3"/>
      <c r="U1295" s="3"/>
      <c r="V1295" s="3"/>
      <c r="W1295" s="3"/>
      <c r="X1295" s="3"/>
      <c r="Y1295" s="3"/>
      <c r="Z1295" s="4"/>
      <c r="AA1295"/>
      <c r="AB1295"/>
    </row>
    <row r="1296" spans="1:28" s="37" customFormat="1" x14ac:dyDescent="0.15">
      <c r="A1296" s="62"/>
      <c r="B1296" s="93"/>
      <c r="C1296" s="100"/>
      <c r="D1296" s="61"/>
      <c r="E1296" s="100"/>
      <c r="F1296" s="100"/>
      <c r="G1296" s="100"/>
      <c r="H1296" s="177"/>
      <c r="I1296" s="103"/>
      <c r="J1296" s="103"/>
      <c r="K1296" s="141"/>
      <c r="L1296" s="61"/>
      <c r="M1296" s="49"/>
      <c r="Q1296" s="3"/>
      <c r="R1296" s="3"/>
      <c r="S1296" s="3"/>
      <c r="T1296" s="3"/>
      <c r="U1296" s="3"/>
      <c r="V1296" s="3"/>
      <c r="W1296" s="3"/>
      <c r="X1296" s="3"/>
      <c r="Y1296" s="3"/>
      <c r="Z1296" s="4"/>
      <c r="AA1296"/>
      <c r="AB1296"/>
    </row>
    <row r="1297" spans="1:28" s="37" customFormat="1" x14ac:dyDescent="0.15">
      <c r="A1297" s="62"/>
      <c r="B1297" s="93"/>
      <c r="C1297" s="100"/>
      <c r="D1297" s="61"/>
      <c r="E1297" s="100"/>
      <c r="F1297" s="100"/>
      <c r="G1297" s="100"/>
      <c r="H1297" s="177"/>
      <c r="I1297" s="103"/>
      <c r="J1297" s="103"/>
      <c r="K1297" s="141"/>
      <c r="L1297" s="61"/>
      <c r="M1297" s="49"/>
      <c r="Q1297" s="3"/>
      <c r="R1297" s="3"/>
      <c r="S1297" s="3"/>
      <c r="T1297" s="3"/>
      <c r="U1297" s="3"/>
      <c r="V1297" s="3"/>
      <c r="W1297" s="3"/>
      <c r="X1297" s="3"/>
      <c r="Y1297" s="3"/>
      <c r="Z1297" s="4"/>
      <c r="AA1297"/>
      <c r="AB1297"/>
    </row>
    <row r="1298" spans="1:28" s="37" customFormat="1" x14ac:dyDescent="0.15">
      <c r="A1298" s="165"/>
      <c r="B1298" s="93"/>
      <c r="C1298" s="100"/>
      <c r="D1298" s="61"/>
      <c r="E1298" s="100"/>
      <c r="F1298" s="100"/>
      <c r="G1298" s="100"/>
      <c r="H1298" s="177"/>
      <c r="I1298" s="103"/>
      <c r="J1298" s="103"/>
      <c r="K1298" s="141"/>
      <c r="L1298" s="61"/>
      <c r="M1298" s="49"/>
      <c r="Q1298" s="3"/>
      <c r="R1298" s="3"/>
      <c r="S1298" s="3"/>
      <c r="T1298" s="3"/>
      <c r="U1298" s="3"/>
      <c r="V1298" s="3"/>
      <c r="W1298" s="3"/>
      <c r="X1298" s="3"/>
      <c r="Y1298" s="3"/>
      <c r="Z1298" s="4"/>
      <c r="AA1298"/>
      <c r="AB1298"/>
    </row>
    <row r="1299" spans="1:28" s="37" customFormat="1" x14ac:dyDescent="0.15">
      <c r="A1299" s="165"/>
      <c r="B1299" s="93"/>
      <c r="C1299" s="100"/>
      <c r="D1299" s="61"/>
      <c r="E1299" s="100"/>
      <c r="F1299" s="100"/>
      <c r="G1299" s="100"/>
      <c r="H1299" s="177"/>
      <c r="I1299" s="85"/>
      <c r="J1299" s="101"/>
      <c r="K1299" s="143"/>
      <c r="L1299" s="61"/>
      <c r="M1299" s="49"/>
      <c r="Q1299" s="3"/>
      <c r="R1299" s="3"/>
      <c r="S1299" s="3"/>
      <c r="T1299" s="3"/>
      <c r="U1299" s="3"/>
      <c r="V1299" s="3"/>
      <c r="W1299" s="3"/>
      <c r="X1299" s="3"/>
      <c r="Y1299" s="3"/>
      <c r="Z1299" s="4"/>
      <c r="AA1299"/>
      <c r="AB1299"/>
    </row>
    <row r="1300" spans="1:28" s="37" customFormat="1" x14ac:dyDescent="0.15">
      <c r="A1300" s="165"/>
      <c r="B1300" s="93"/>
      <c r="C1300" s="100"/>
      <c r="D1300" s="61"/>
      <c r="E1300" s="100"/>
      <c r="F1300" s="100"/>
      <c r="G1300" s="100"/>
      <c r="H1300" s="177"/>
      <c r="I1300" s="85"/>
      <c r="J1300" s="101"/>
      <c r="K1300" s="143"/>
      <c r="L1300" s="61"/>
      <c r="M1300" s="49"/>
      <c r="O1300" s="51"/>
      <c r="Q1300" s="3"/>
      <c r="R1300" s="3"/>
      <c r="S1300" s="3"/>
      <c r="T1300" s="3"/>
      <c r="U1300" s="3"/>
      <c r="V1300" s="3"/>
      <c r="W1300" s="3"/>
      <c r="X1300" s="3"/>
      <c r="Y1300" s="3"/>
      <c r="Z1300" s="4"/>
      <c r="AA1300"/>
      <c r="AB1300"/>
    </row>
    <row r="1301" spans="1:28" s="37" customFormat="1" x14ac:dyDescent="0.15">
      <c r="A1301" s="165"/>
      <c r="B1301" s="93"/>
      <c r="C1301" s="100"/>
      <c r="D1301" s="61"/>
      <c r="E1301" s="100"/>
      <c r="F1301" s="100"/>
      <c r="G1301" s="100"/>
      <c r="H1301" s="177"/>
      <c r="I1301" s="85"/>
      <c r="J1301" s="101"/>
      <c r="K1301" s="143"/>
      <c r="L1301" s="61"/>
      <c r="M1301" s="49"/>
      <c r="Q1301" s="3"/>
      <c r="R1301" s="3"/>
      <c r="S1301" s="3"/>
      <c r="T1301" s="3"/>
      <c r="U1301" s="3"/>
      <c r="V1301" s="3"/>
      <c r="W1301" s="3"/>
      <c r="X1301" s="3"/>
      <c r="Y1301" s="3"/>
      <c r="Z1301" s="4"/>
      <c r="AA1301"/>
      <c r="AB1301"/>
    </row>
    <row r="1302" spans="1:28" s="37" customFormat="1" x14ac:dyDescent="0.15">
      <c r="A1302" s="165"/>
      <c r="B1302" s="93"/>
      <c r="C1302" s="100"/>
      <c r="D1302" s="61"/>
      <c r="E1302" s="100"/>
      <c r="F1302" s="100"/>
      <c r="G1302" s="100"/>
      <c r="H1302" s="177"/>
      <c r="I1302" s="85"/>
      <c r="J1302" s="101"/>
      <c r="K1302" s="143"/>
      <c r="L1302" s="61"/>
      <c r="M1302" s="49"/>
      <c r="Q1302" s="3"/>
      <c r="R1302" s="3"/>
      <c r="S1302" s="3"/>
      <c r="T1302" s="3"/>
      <c r="U1302" s="3"/>
      <c r="V1302" s="3"/>
      <c r="W1302" s="3"/>
      <c r="X1302" s="3"/>
      <c r="Y1302" s="3"/>
      <c r="Z1302" s="4"/>
      <c r="AA1302"/>
      <c r="AB1302"/>
    </row>
    <row r="1303" spans="1:28" s="37" customFormat="1" x14ac:dyDescent="0.15">
      <c r="A1303" s="165"/>
      <c r="B1303" s="93"/>
      <c r="C1303" s="100"/>
      <c r="D1303" s="61"/>
      <c r="E1303" s="100"/>
      <c r="F1303" s="100"/>
      <c r="G1303" s="100"/>
      <c r="H1303" s="177"/>
      <c r="I1303" s="85"/>
      <c r="J1303" s="101"/>
      <c r="K1303" s="143"/>
      <c r="L1303" s="61"/>
      <c r="M1303" s="49"/>
      <c r="Q1303" s="3"/>
      <c r="R1303" s="3"/>
      <c r="S1303" s="3"/>
      <c r="T1303" s="3"/>
      <c r="U1303" s="3"/>
      <c r="V1303" s="3"/>
      <c r="W1303" s="3"/>
      <c r="X1303" s="3"/>
      <c r="Y1303" s="3"/>
      <c r="Z1303" s="4"/>
      <c r="AA1303"/>
      <c r="AB1303"/>
    </row>
    <row r="1304" spans="1:28" s="37" customFormat="1" x14ac:dyDescent="0.15">
      <c r="A1304" s="165"/>
      <c r="B1304" s="93"/>
      <c r="C1304" s="102"/>
      <c r="D1304" s="62"/>
      <c r="E1304" s="100"/>
      <c r="F1304" s="102"/>
      <c r="G1304" s="102"/>
      <c r="H1304" s="175"/>
      <c r="I1304" s="85"/>
      <c r="J1304" s="104"/>
      <c r="K1304" s="143"/>
      <c r="L1304" s="61"/>
      <c r="M1304" s="49"/>
      <c r="Q1304" s="3"/>
      <c r="R1304" s="3"/>
      <c r="S1304" s="3"/>
      <c r="T1304" s="3"/>
      <c r="U1304" s="3"/>
      <c r="V1304" s="3"/>
      <c r="W1304" s="3"/>
      <c r="X1304" s="3"/>
      <c r="Y1304" s="3"/>
      <c r="Z1304" s="4"/>
      <c r="AA1304"/>
      <c r="AB1304"/>
    </row>
    <row r="1305" spans="1:28" s="37" customFormat="1" x14ac:dyDescent="0.15">
      <c r="A1305" s="165"/>
      <c r="B1305" s="93"/>
      <c r="C1305" s="100"/>
      <c r="D1305" s="61"/>
      <c r="E1305" s="100"/>
      <c r="F1305" s="100"/>
      <c r="G1305" s="100"/>
      <c r="H1305" s="177"/>
      <c r="I1305" s="103"/>
      <c r="J1305" s="103"/>
      <c r="K1305" s="141"/>
      <c r="L1305" s="61"/>
      <c r="M1305" s="49"/>
      <c r="Q1305" s="3"/>
      <c r="R1305" s="3"/>
      <c r="S1305" s="3"/>
      <c r="T1305" s="3"/>
      <c r="U1305" s="3"/>
      <c r="V1305" s="3"/>
      <c r="W1305" s="3"/>
      <c r="X1305" s="3"/>
      <c r="Y1305" s="3"/>
      <c r="Z1305" s="4"/>
      <c r="AA1305"/>
      <c r="AB1305"/>
    </row>
    <row r="1306" spans="1:28" s="37" customFormat="1" x14ac:dyDescent="0.15">
      <c r="A1306" s="165"/>
      <c r="B1306" s="93"/>
      <c r="C1306" s="100"/>
      <c r="D1306" s="61"/>
      <c r="E1306" s="100"/>
      <c r="F1306" s="100"/>
      <c r="G1306" s="100"/>
      <c r="H1306" s="177"/>
      <c r="I1306" s="103"/>
      <c r="J1306" s="103"/>
      <c r="K1306" s="141"/>
      <c r="L1306" s="61"/>
      <c r="M1306" s="49"/>
      <c r="Q1306" s="3"/>
      <c r="R1306" s="3"/>
      <c r="S1306" s="3"/>
      <c r="T1306" s="3"/>
      <c r="U1306" s="3"/>
      <c r="V1306" s="3"/>
      <c r="W1306" s="3"/>
      <c r="X1306" s="3"/>
      <c r="Y1306" s="3"/>
      <c r="Z1306" s="4"/>
      <c r="AA1306"/>
      <c r="AB1306"/>
    </row>
    <row r="1307" spans="1:28" s="37" customFormat="1" x14ac:dyDescent="0.15">
      <c r="A1307" s="165"/>
      <c r="B1307" s="93"/>
      <c r="C1307" s="100"/>
      <c r="D1307" s="61"/>
      <c r="E1307" s="100"/>
      <c r="F1307" s="100"/>
      <c r="G1307" s="100"/>
      <c r="H1307" s="177"/>
      <c r="I1307" s="103"/>
      <c r="J1307" s="61"/>
      <c r="K1307" s="141"/>
      <c r="L1307" s="61"/>
      <c r="M1307" s="49"/>
      <c r="Q1307" s="3"/>
      <c r="R1307" s="3"/>
      <c r="S1307" s="3"/>
      <c r="T1307" s="3"/>
      <c r="U1307" s="3"/>
      <c r="V1307" s="3"/>
      <c r="W1307" s="3"/>
      <c r="X1307" s="3"/>
      <c r="Y1307" s="3"/>
      <c r="Z1307" s="4"/>
      <c r="AA1307"/>
      <c r="AB1307"/>
    </row>
    <row r="1308" spans="1:28" s="37" customFormat="1" x14ac:dyDescent="0.15">
      <c r="A1308" s="165"/>
      <c r="B1308" s="93"/>
      <c r="C1308" s="102"/>
      <c r="D1308" s="62"/>
      <c r="E1308" s="102"/>
      <c r="F1308" s="102"/>
      <c r="G1308" s="102"/>
      <c r="H1308" s="175"/>
      <c r="I1308" s="85"/>
      <c r="J1308" s="104"/>
      <c r="K1308" s="143"/>
      <c r="L1308" s="61"/>
      <c r="M1308" s="49"/>
      <c r="Q1308" s="3"/>
      <c r="R1308" s="3"/>
      <c r="S1308" s="3"/>
      <c r="T1308" s="3"/>
      <c r="U1308" s="3"/>
      <c r="V1308" s="3"/>
      <c r="W1308" s="3"/>
      <c r="X1308" s="3"/>
      <c r="Y1308" s="3"/>
      <c r="Z1308" s="4"/>
      <c r="AA1308"/>
      <c r="AB1308"/>
    </row>
    <row r="1309" spans="1:28" s="37" customFormat="1" x14ac:dyDescent="0.15">
      <c r="A1309" s="165"/>
      <c r="B1309" s="93"/>
      <c r="C1309" s="102"/>
      <c r="D1309" s="62"/>
      <c r="E1309" s="102"/>
      <c r="F1309" s="102"/>
      <c r="G1309" s="102"/>
      <c r="H1309" s="175"/>
      <c r="I1309" s="85"/>
      <c r="J1309" s="104"/>
      <c r="K1309" s="143"/>
      <c r="L1309" s="61"/>
      <c r="M1309" s="49"/>
      <c r="Q1309" s="3"/>
      <c r="R1309" s="3"/>
      <c r="S1309" s="3"/>
      <c r="T1309" s="3"/>
      <c r="U1309" s="3"/>
      <c r="V1309" s="3"/>
      <c r="W1309" s="3"/>
      <c r="X1309" s="3"/>
      <c r="Y1309" s="3"/>
      <c r="Z1309" s="4"/>
      <c r="AA1309"/>
      <c r="AB1309"/>
    </row>
    <row r="1310" spans="1:28" s="49" customFormat="1" x14ac:dyDescent="0.15">
      <c r="A1310" s="165"/>
      <c r="B1310" s="93"/>
      <c r="C1310" s="102"/>
      <c r="D1310" s="62"/>
      <c r="E1310" s="102"/>
      <c r="F1310" s="102"/>
      <c r="G1310" s="102"/>
      <c r="H1310" s="175"/>
      <c r="I1310" s="85"/>
      <c r="J1310" s="104"/>
      <c r="K1310" s="143"/>
      <c r="L1310" s="61"/>
      <c r="N1310" s="37"/>
      <c r="O1310" s="37"/>
      <c r="P1310" s="37"/>
      <c r="Q1310" s="3"/>
      <c r="R1310" s="3"/>
      <c r="S1310" s="3"/>
      <c r="T1310" s="3"/>
      <c r="U1310" s="3"/>
      <c r="V1310" s="3"/>
      <c r="W1310" s="3"/>
      <c r="X1310" s="3"/>
      <c r="Y1310" s="3"/>
      <c r="Z1310" s="4"/>
      <c r="AA1310"/>
      <c r="AB1310"/>
    </row>
    <row r="1311" spans="1:28" s="49" customFormat="1" x14ac:dyDescent="0.15">
      <c r="A1311" s="165"/>
      <c r="B1311" s="93"/>
      <c r="C1311" s="102"/>
      <c r="D1311" s="62"/>
      <c r="E1311" s="102"/>
      <c r="F1311" s="102"/>
      <c r="G1311" s="102"/>
      <c r="H1311" s="175"/>
      <c r="I1311" s="85"/>
      <c r="J1311" s="104"/>
      <c r="K1311" s="143"/>
      <c r="L1311" s="61"/>
      <c r="N1311" s="37"/>
      <c r="O1311" s="37"/>
      <c r="P1311" s="37"/>
      <c r="Q1311" s="3"/>
      <c r="R1311" s="3"/>
      <c r="S1311" s="3"/>
      <c r="T1311" s="3"/>
      <c r="U1311" s="3"/>
      <c r="V1311" s="3"/>
      <c r="W1311" s="3"/>
      <c r="X1311" s="3"/>
      <c r="Y1311" s="3"/>
      <c r="Z1311" s="4"/>
      <c r="AA1311"/>
      <c r="AB1311"/>
    </row>
    <row r="1312" spans="1:28" s="49" customFormat="1" x14ac:dyDescent="0.15">
      <c r="A1312" s="165"/>
      <c r="B1312" s="93"/>
      <c r="C1312" s="102"/>
      <c r="D1312" s="62"/>
      <c r="E1312" s="102"/>
      <c r="F1312" s="102"/>
      <c r="G1312" s="102"/>
      <c r="H1312" s="175"/>
      <c r="I1312" s="85"/>
      <c r="J1312" s="104"/>
      <c r="K1312" s="143"/>
      <c r="L1312" s="61"/>
      <c r="N1312" s="37"/>
      <c r="O1312" s="37"/>
      <c r="P1312" s="37"/>
      <c r="Q1312" s="3"/>
      <c r="R1312" s="3"/>
      <c r="S1312" s="3"/>
      <c r="T1312" s="3"/>
      <c r="U1312" s="3"/>
      <c r="V1312" s="3"/>
      <c r="W1312" s="3"/>
      <c r="X1312" s="3"/>
      <c r="Y1312" s="3"/>
      <c r="Z1312" s="4"/>
      <c r="AA1312"/>
      <c r="AB1312"/>
    </row>
    <row r="1313" spans="1:28" s="49" customFormat="1" x14ac:dyDescent="0.15">
      <c r="A1313" s="165"/>
      <c r="B1313" s="93"/>
      <c r="C1313" s="102"/>
      <c r="D1313" s="62"/>
      <c r="E1313" s="102"/>
      <c r="F1313" s="102"/>
      <c r="G1313" s="102"/>
      <c r="H1313" s="175"/>
      <c r="I1313" s="85"/>
      <c r="J1313" s="104"/>
      <c r="K1313" s="143"/>
      <c r="L1313" s="61"/>
      <c r="N1313" s="37"/>
      <c r="O1313" s="37"/>
      <c r="P1313" s="37"/>
      <c r="Q1313" s="3"/>
      <c r="R1313" s="3"/>
      <c r="S1313" s="3"/>
      <c r="T1313" s="3"/>
      <c r="U1313" s="3"/>
      <c r="V1313" s="3"/>
      <c r="W1313" s="3"/>
      <c r="X1313" s="3"/>
      <c r="Y1313" s="3"/>
      <c r="Z1313" s="4"/>
      <c r="AA1313"/>
      <c r="AB1313"/>
    </row>
    <row r="1314" spans="1:28" s="49" customFormat="1" x14ac:dyDescent="0.15">
      <c r="A1314" s="165"/>
      <c r="B1314" s="93"/>
      <c r="C1314" s="102"/>
      <c r="D1314" s="62"/>
      <c r="E1314" s="102"/>
      <c r="F1314" s="102"/>
      <c r="G1314" s="102"/>
      <c r="H1314" s="175"/>
      <c r="I1314" s="85"/>
      <c r="J1314" s="104"/>
      <c r="K1314" s="143"/>
      <c r="L1314" s="61"/>
      <c r="N1314" s="37"/>
      <c r="O1314" s="37"/>
      <c r="P1314" s="37"/>
      <c r="Q1314" s="3"/>
      <c r="R1314" s="3"/>
      <c r="S1314" s="3"/>
      <c r="T1314" s="3"/>
      <c r="U1314" s="3"/>
      <c r="V1314" s="3"/>
      <c r="W1314" s="3"/>
      <c r="X1314" s="3"/>
      <c r="Y1314" s="3"/>
      <c r="Z1314" s="4"/>
      <c r="AA1314"/>
      <c r="AB1314"/>
    </row>
    <row r="1315" spans="1:28" s="49" customFormat="1" x14ac:dyDescent="0.15">
      <c r="A1315" s="165"/>
      <c r="B1315" s="93"/>
      <c r="C1315" s="100"/>
      <c r="D1315" s="61"/>
      <c r="E1315" s="100"/>
      <c r="F1315" s="100"/>
      <c r="G1315" s="100"/>
      <c r="H1315" s="177"/>
      <c r="I1315" s="85"/>
      <c r="J1315" s="101"/>
      <c r="K1315" s="143"/>
      <c r="L1315" s="61"/>
      <c r="N1315" s="37"/>
      <c r="O1315" s="37"/>
      <c r="P1315" s="37"/>
      <c r="Q1315" s="3"/>
      <c r="R1315" s="3"/>
      <c r="S1315" s="3"/>
      <c r="T1315" s="3"/>
      <c r="U1315" s="3"/>
      <c r="V1315" s="3"/>
      <c r="W1315" s="3"/>
      <c r="X1315" s="3"/>
      <c r="Y1315" s="3"/>
      <c r="Z1315" s="4"/>
      <c r="AA1315"/>
      <c r="AB1315"/>
    </row>
    <row r="1316" spans="1:28" s="49" customFormat="1" x14ac:dyDescent="0.15">
      <c r="A1316" s="165"/>
      <c r="B1316" s="93"/>
      <c r="C1316" s="102"/>
      <c r="D1316" s="62"/>
      <c r="E1316" s="100"/>
      <c r="F1316" s="102"/>
      <c r="G1316" s="102"/>
      <c r="H1316" s="175"/>
      <c r="I1316" s="85"/>
      <c r="J1316" s="104"/>
      <c r="K1316" s="143"/>
      <c r="L1316" s="61"/>
      <c r="N1316" s="37"/>
      <c r="O1316" s="37"/>
      <c r="P1316" s="37"/>
      <c r="Q1316" s="3"/>
      <c r="R1316" s="3"/>
      <c r="S1316" s="3"/>
      <c r="T1316" s="3"/>
      <c r="U1316" s="3"/>
      <c r="V1316" s="3"/>
      <c r="W1316" s="3"/>
      <c r="X1316" s="3"/>
      <c r="Y1316" s="3"/>
      <c r="Z1316" s="4"/>
      <c r="AA1316"/>
      <c r="AB1316"/>
    </row>
    <row r="1317" spans="1:28" s="49" customFormat="1" x14ac:dyDescent="0.15">
      <c r="A1317" s="165"/>
      <c r="B1317" s="108"/>
      <c r="C1317" s="100"/>
      <c r="D1317" s="61"/>
      <c r="E1317" s="100"/>
      <c r="F1317" s="100"/>
      <c r="G1317" s="100"/>
      <c r="H1317" s="177"/>
      <c r="I1317" s="85"/>
      <c r="J1317" s="101"/>
      <c r="K1317" s="143"/>
      <c r="L1317" s="61"/>
      <c r="N1317" s="37"/>
      <c r="O1317" s="37"/>
      <c r="P1317" s="37"/>
      <c r="Q1317" s="3"/>
      <c r="R1317" s="3"/>
      <c r="S1317" s="3"/>
      <c r="T1317" s="3"/>
      <c r="U1317" s="3"/>
      <c r="V1317" s="3"/>
      <c r="W1317" s="3"/>
      <c r="X1317" s="3"/>
      <c r="Y1317" s="3"/>
      <c r="Z1317" s="4"/>
      <c r="AA1317"/>
      <c r="AB1317"/>
    </row>
    <row r="1318" spans="1:28" s="49" customFormat="1" x14ac:dyDescent="0.15">
      <c r="A1318" s="165"/>
      <c r="B1318" s="93"/>
      <c r="C1318" s="100"/>
      <c r="D1318" s="61"/>
      <c r="E1318" s="100"/>
      <c r="F1318" s="100"/>
      <c r="G1318" s="100"/>
      <c r="H1318" s="177"/>
      <c r="I1318" s="85"/>
      <c r="J1318" s="103"/>
      <c r="K1318" s="141"/>
      <c r="L1318" s="61"/>
      <c r="N1318" s="37"/>
      <c r="O1318" s="37"/>
      <c r="P1318" s="37"/>
      <c r="Q1318" s="3"/>
      <c r="R1318" s="3"/>
      <c r="S1318" s="3"/>
      <c r="T1318" s="3"/>
      <c r="U1318" s="3"/>
      <c r="V1318" s="3"/>
      <c r="W1318" s="3"/>
      <c r="X1318" s="3"/>
      <c r="Y1318" s="3"/>
      <c r="Z1318" s="4"/>
      <c r="AA1318"/>
      <c r="AB1318"/>
    </row>
    <row r="1319" spans="1:28" s="49" customFormat="1" x14ac:dyDescent="0.15">
      <c r="A1319" s="165"/>
      <c r="B1319" s="93"/>
      <c r="C1319" s="100"/>
      <c r="D1319" s="61"/>
      <c r="E1319" s="100"/>
      <c r="F1319" s="100"/>
      <c r="G1319" s="100"/>
      <c r="H1319" s="177"/>
      <c r="I1319" s="85"/>
      <c r="J1319" s="101"/>
      <c r="K1319" s="143"/>
      <c r="L1319" s="61"/>
      <c r="N1319" s="37"/>
      <c r="O1319" s="37"/>
      <c r="P1319" s="37"/>
      <c r="Q1319" s="3"/>
      <c r="R1319" s="3"/>
      <c r="S1319" s="3"/>
      <c r="T1319" s="3"/>
      <c r="U1319" s="3"/>
      <c r="V1319" s="3"/>
      <c r="W1319" s="3"/>
      <c r="X1319" s="3"/>
      <c r="Y1319" s="3"/>
      <c r="Z1319" s="4"/>
      <c r="AA1319"/>
      <c r="AB1319"/>
    </row>
    <row r="1320" spans="1:28" s="49" customFormat="1" x14ac:dyDescent="0.15">
      <c r="A1320" s="165"/>
      <c r="B1320" s="93"/>
      <c r="C1320" s="102"/>
      <c r="D1320" s="62"/>
      <c r="E1320" s="100"/>
      <c r="F1320" s="102"/>
      <c r="G1320" s="102"/>
      <c r="H1320" s="175"/>
      <c r="I1320" s="85"/>
      <c r="J1320" s="104"/>
      <c r="K1320" s="143"/>
      <c r="L1320" s="61"/>
      <c r="N1320" s="37"/>
      <c r="O1320" s="37"/>
      <c r="P1320" s="37"/>
      <c r="Q1320" s="3"/>
      <c r="R1320" s="3"/>
      <c r="S1320" s="3"/>
      <c r="T1320" s="3"/>
      <c r="U1320" s="3"/>
      <c r="V1320" s="3"/>
      <c r="W1320" s="3"/>
      <c r="X1320" s="3"/>
      <c r="Y1320" s="3"/>
      <c r="Z1320" s="4"/>
      <c r="AA1320"/>
      <c r="AB1320"/>
    </row>
    <row r="1321" spans="1:28" s="49" customFormat="1" x14ac:dyDescent="0.15">
      <c r="A1321" s="165"/>
      <c r="B1321" s="93"/>
      <c r="C1321" s="100"/>
      <c r="D1321" s="61"/>
      <c r="E1321" s="100"/>
      <c r="F1321" s="100"/>
      <c r="G1321" s="100"/>
      <c r="H1321" s="177"/>
      <c r="I1321" s="85"/>
      <c r="J1321" s="101"/>
      <c r="K1321" s="143"/>
      <c r="L1321" s="61"/>
      <c r="N1321" s="37"/>
      <c r="O1321" s="37"/>
      <c r="P1321" s="37"/>
      <c r="Q1321" s="3"/>
      <c r="R1321" s="3"/>
      <c r="S1321" s="3"/>
      <c r="T1321" s="3"/>
      <c r="U1321" s="3"/>
      <c r="V1321" s="3"/>
      <c r="W1321" s="3"/>
      <c r="X1321" s="3"/>
      <c r="Y1321" s="3"/>
      <c r="Z1321" s="4"/>
      <c r="AA1321"/>
      <c r="AB1321"/>
    </row>
    <row r="1322" spans="1:28" s="49" customFormat="1" x14ac:dyDescent="0.15">
      <c r="A1322" s="165"/>
      <c r="B1322" s="93"/>
      <c r="C1322" s="100"/>
      <c r="D1322" s="61"/>
      <c r="E1322" s="100"/>
      <c r="F1322" s="100"/>
      <c r="G1322" s="100"/>
      <c r="H1322" s="177"/>
      <c r="I1322" s="103"/>
      <c r="J1322" s="103"/>
      <c r="K1322" s="141"/>
      <c r="L1322" s="61"/>
      <c r="N1322" s="37"/>
      <c r="O1322" s="37"/>
      <c r="P1322" s="37"/>
      <c r="Q1322" s="3"/>
      <c r="R1322" s="3"/>
      <c r="S1322" s="3"/>
      <c r="T1322" s="3"/>
      <c r="U1322" s="3"/>
      <c r="V1322" s="3"/>
      <c r="W1322" s="3"/>
      <c r="X1322" s="3"/>
      <c r="Y1322" s="3"/>
      <c r="Z1322" s="4"/>
      <c r="AA1322"/>
      <c r="AB1322"/>
    </row>
    <row r="1323" spans="1:28" s="49" customFormat="1" x14ac:dyDescent="0.15">
      <c r="A1323" s="165"/>
      <c r="B1323" s="93"/>
      <c r="C1323" s="100"/>
      <c r="D1323" s="61"/>
      <c r="E1323" s="100"/>
      <c r="F1323" s="100"/>
      <c r="G1323" s="100"/>
      <c r="H1323" s="177"/>
      <c r="I1323" s="103"/>
      <c r="J1323" s="103"/>
      <c r="K1323" s="141"/>
      <c r="L1323" s="61"/>
      <c r="N1323" s="37"/>
      <c r="O1323" s="37"/>
      <c r="P1323" s="37"/>
      <c r="Q1323" s="3"/>
      <c r="R1323" s="3"/>
      <c r="S1323" s="3"/>
      <c r="T1323" s="3"/>
      <c r="U1323" s="3"/>
      <c r="V1323" s="3"/>
      <c r="W1323" s="3"/>
      <c r="X1323" s="3"/>
      <c r="Y1323" s="3"/>
      <c r="Z1323" s="4"/>
      <c r="AA1323"/>
      <c r="AB1323"/>
    </row>
    <row r="1324" spans="1:28" s="49" customFormat="1" x14ac:dyDescent="0.15">
      <c r="A1324" s="165"/>
      <c r="B1324" s="93"/>
      <c r="C1324" s="100"/>
      <c r="D1324" s="61"/>
      <c r="E1324" s="100"/>
      <c r="F1324" s="100"/>
      <c r="G1324" s="100"/>
      <c r="H1324" s="177"/>
      <c r="I1324" s="103"/>
      <c r="J1324" s="103"/>
      <c r="K1324" s="141"/>
      <c r="L1324" s="61"/>
      <c r="N1324" s="37"/>
      <c r="O1324" s="37"/>
      <c r="P1324" s="37"/>
      <c r="Q1324" s="3"/>
      <c r="R1324" s="3"/>
      <c r="S1324" s="3"/>
      <c r="T1324" s="3"/>
      <c r="U1324" s="3"/>
      <c r="V1324" s="3"/>
      <c r="W1324" s="3"/>
      <c r="X1324" s="3"/>
      <c r="Y1324" s="3"/>
      <c r="Z1324" s="4"/>
      <c r="AA1324"/>
      <c r="AB1324"/>
    </row>
    <row r="1325" spans="1:28" s="49" customFormat="1" x14ac:dyDescent="0.15">
      <c r="A1325" s="165"/>
      <c r="B1325" s="93"/>
      <c r="C1325" s="100"/>
      <c r="D1325" s="61"/>
      <c r="E1325" s="100"/>
      <c r="F1325" s="100"/>
      <c r="G1325" s="100"/>
      <c r="H1325" s="177"/>
      <c r="I1325" s="85"/>
      <c r="J1325" s="101"/>
      <c r="K1325" s="143"/>
      <c r="L1325" s="61"/>
      <c r="N1325" s="37"/>
      <c r="O1325" s="37"/>
      <c r="P1325" s="37"/>
      <c r="Q1325" s="3"/>
      <c r="R1325" s="3"/>
      <c r="S1325" s="3"/>
      <c r="T1325" s="3"/>
      <c r="U1325" s="3"/>
      <c r="V1325" s="3"/>
      <c r="W1325" s="3"/>
      <c r="X1325" s="3"/>
      <c r="Y1325" s="3"/>
      <c r="Z1325" s="4"/>
      <c r="AA1325"/>
      <c r="AB1325"/>
    </row>
    <row r="1326" spans="1:28" s="49" customFormat="1" x14ac:dyDescent="0.15">
      <c r="A1326" s="165"/>
      <c r="B1326" s="93"/>
      <c r="C1326" s="100"/>
      <c r="D1326" s="61"/>
      <c r="E1326" s="100"/>
      <c r="F1326" s="100"/>
      <c r="G1326" s="100"/>
      <c r="H1326" s="177"/>
      <c r="I1326" s="85"/>
      <c r="J1326" s="101"/>
      <c r="K1326" s="143"/>
      <c r="L1326" s="61"/>
      <c r="N1326" s="37"/>
      <c r="O1326" s="37"/>
      <c r="P1326" s="37"/>
      <c r="Q1326" s="3"/>
      <c r="R1326" s="3"/>
      <c r="S1326" s="3"/>
      <c r="T1326" s="3"/>
      <c r="U1326" s="3"/>
      <c r="V1326" s="3"/>
      <c r="W1326" s="3"/>
      <c r="X1326" s="3"/>
      <c r="Y1326" s="3"/>
      <c r="Z1326" s="4"/>
      <c r="AA1326"/>
      <c r="AB1326"/>
    </row>
    <row r="1327" spans="1:28" s="49" customFormat="1" x14ac:dyDescent="0.15">
      <c r="A1327" s="165"/>
      <c r="B1327" s="93"/>
      <c r="C1327" s="100"/>
      <c r="D1327" s="61"/>
      <c r="E1327" s="100"/>
      <c r="F1327" s="100"/>
      <c r="G1327" s="100"/>
      <c r="H1327" s="177"/>
      <c r="I1327" s="85"/>
      <c r="J1327" s="101"/>
      <c r="K1327" s="143"/>
      <c r="L1327" s="61"/>
      <c r="N1327" s="37"/>
      <c r="O1327" s="37"/>
      <c r="P1327" s="37"/>
      <c r="Q1327" s="3"/>
      <c r="R1327" s="3"/>
      <c r="S1327" s="3"/>
      <c r="T1327" s="3"/>
      <c r="U1327" s="3"/>
      <c r="V1327" s="3"/>
      <c r="W1327" s="3"/>
      <c r="X1327" s="3"/>
      <c r="Y1327" s="3"/>
      <c r="Z1327" s="4"/>
      <c r="AA1327"/>
      <c r="AB1327"/>
    </row>
    <row r="1328" spans="1:28" s="49" customFormat="1" x14ac:dyDescent="0.15">
      <c r="A1328" s="165"/>
      <c r="B1328" s="93"/>
      <c r="C1328" s="102"/>
      <c r="D1328" s="62"/>
      <c r="E1328" s="102"/>
      <c r="F1328" s="102"/>
      <c r="G1328" s="102"/>
      <c r="H1328" s="175"/>
      <c r="I1328" s="85"/>
      <c r="J1328" s="104"/>
      <c r="K1328" s="143"/>
      <c r="L1328" s="61"/>
      <c r="N1328" s="37"/>
      <c r="O1328" s="37"/>
      <c r="P1328" s="37"/>
      <c r="Q1328" s="3"/>
      <c r="R1328" s="3"/>
      <c r="S1328" s="3"/>
      <c r="T1328" s="3"/>
      <c r="U1328" s="3"/>
      <c r="V1328" s="3"/>
      <c r="W1328" s="3"/>
      <c r="X1328" s="3"/>
      <c r="Y1328" s="3"/>
      <c r="Z1328" s="4"/>
      <c r="AA1328"/>
      <c r="AB1328"/>
    </row>
    <row r="1329" spans="1:28" s="49" customFormat="1" x14ac:dyDescent="0.15">
      <c r="A1329" s="165"/>
      <c r="B1329" s="93"/>
      <c r="C1329" s="100"/>
      <c r="D1329" s="61"/>
      <c r="E1329" s="100"/>
      <c r="F1329" s="100"/>
      <c r="G1329" s="100"/>
      <c r="H1329" s="177"/>
      <c r="I1329" s="85"/>
      <c r="J1329" s="101"/>
      <c r="K1329" s="143"/>
      <c r="L1329" s="61"/>
      <c r="N1329" s="37"/>
      <c r="O1329" s="37"/>
      <c r="P1329" s="37"/>
      <c r="Q1329" s="3"/>
      <c r="R1329" s="3"/>
      <c r="S1329" s="3"/>
      <c r="T1329" s="3"/>
      <c r="U1329" s="3"/>
      <c r="V1329" s="3"/>
      <c r="W1329" s="3"/>
      <c r="X1329" s="3"/>
      <c r="Y1329" s="3"/>
      <c r="Z1329" s="4"/>
      <c r="AA1329"/>
      <c r="AB1329"/>
    </row>
    <row r="1330" spans="1:28" s="49" customFormat="1" x14ac:dyDescent="0.15">
      <c r="A1330" s="165"/>
      <c r="B1330" s="93"/>
      <c r="C1330" s="100"/>
      <c r="D1330" s="61"/>
      <c r="E1330" s="100"/>
      <c r="F1330" s="100"/>
      <c r="G1330" s="100"/>
      <c r="H1330" s="177"/>
      <c r="I1330" s="85"/>
      <c r="J1330" s="101"/>
      <c r="K1330" s="143"/>
      <c r="L1330" s="61"/>
      <c r="N1330" s="37"/>
      <c r="O1330" s="37"/>
      <c r="P1330" s="37"/>
      <c r="Q1330" s="3"/>
      <c r="R1330" s="3"/>
      <c r="S1330" s="3"/>
      <c r="T1330" s="3"/>
      <c r="U1330" s="3"/>
      <c r="V1330" s="3"/>
      <c r="W1330" s="3"/>
      <c r="X1330" s="3"/>
      <c r="Y1330" s="3"/>
      <c r="Z1330" s="4"/>
      <c r="AA1330"/>
      <c r="AB1330"/>
    </row>
    <row r="1331" spans="1:28" s="49" customFormat="1" x14ac:dyDescent="0.15">
      <c r="A1331" s="62"/>
      <c r="B1331" s="93"/>
      <c r="C1331" s="100"/>
      <c r="D1331" s="61"/>
      <c r="E1331" s="100"/>
      <c r="F1331" s="100"/>
      <c r="G1331" s="100"/>
      <c r="H1331" s="177"/>
      <c r="I1331" s="85"/>
      <c r="J1331" s="101"/>
      <c r="K1331" s="143"/>
      <c r="L1331" s="61"/>
      <c r="N1331" s="37"/>
      <c r="O1331" s="37"/>
      <c r="P1331" s="37"/>
      <c r="Q1331" s="3"/>
      <c r="R1331" s="3"/>
      <c r="S1331" s="3"/>
      <c r="T1331" s="3"/>
      <c r="U1331" s="3"/>
      <c r="V1331" s="3"/>
      <c r="W1331" s="3"/>
      <c r="X1331" s="3"/>
      <c r="Y1331" s="3"/>
      <c r="Z1331" s="4"/>
      <c r="AA1331"/>
      <c r="AB1331"/>
    </row>
    <row r="1332" spans="1:28" s="49" customFormat="1" x14ac:dyDescent="0.15">
      <c r="A1332" s="62"/>
      <c r="B1332" s="93"/>
      <c r="C1332" s="100"/>
      <c r="D1332" s="61"/>
      <c r="E1332" s="100"/>
      <c r="F1332" s="100"/>
      <c r="G1332" s="100"/>
      <c r="H1332" s="177"/>
      <c r="I1332" s="85"/>
      <c r="J1332" s="101"/>
      <c r="K1332" s="143"/>
      <c r="L1332" s="61"/>
      <c r="N1332" s="37"/>
      <c r="O1332" s="37"/>
      <c r="P1332" s="37"/>
      <c r="Q1332" s="3"/>
      <c r="R1332" s="3"/>
      <c r="S1332" s="3"/>
      <c r="T1332" s="3"/>
      <c r="U1332" s="3"/>
      <c r="V1332" s="3"/>
      <c r="W1332" s="3"/>
      <c r="X1332" s="3"/>
      <c r="Y1332" s="3"/>
      <c r="Z1332" s="4"/>
      <c r="AA1332"/>
      <c r="AB1332"/>
    </row>
    <row r="1333" spans="1:28" s="49" customFormat="1" x14ac:dyDescent="0.15">
      <c r="A1333" s="165"/>
      <c r="B1333" s="93"/>
      <c r="C1333" s="100"/>
      <c r="D1333" s="61"/>
      <c r="E1333" s="100"/>
      <c r="F1333" s="100"/>
      <c r="G1333" s="100"/>
      <c r="H1333" s="177"/>
      <c r="I1333" s="85"/>
      <c r="J1333" s="101"/>
      <c r="K1333" s="143"/>
      <c r="L1333" s="61"/>
      <c r="N1333" s="37"/>
      <c r="O1333" s="37"/>
      <c r="P1333" s="37"/>
      <c r="Q1333" s="3"/>
      <c r="R1333" s="3"/>
      <c r="S1333" s="3"/>
      <c r="T1333" s="3"/>
      <c r="U1333" s="3"/>
      <c r="V1333" s="3"/>
      <c r="W1333" s="3"/>
      <c r="X1333" s="3"/>
      <c r="Y1333" s="3"/>
      <c r="Z1333" s="4"/>
      <c r="AA1333"/>
      <c r="AB1333"/>
    </row>
    <row r="1334" spans="1:28" s="49" customFormat="1" x14ac:dyDescent="0.15">
      <c r="A1334" s="165"/>
      <c r="B1334" s="93"/>
      <c r="C1334" s="102"/>
      <c r="D1334" s="62"/>
      <c r="E1334" s="100"/>
      <c r="F1334" s="102"/>
      <c r="G1334" s="102"/>
      <c r="H1334" s="175"/>
      <c r="I1334" s="85"/>
      <c r="J1334" s="104"/>
      <c r="K1334" s="143"/>
      <c r="L1334" s="61"/>
      <c r="N1334" s="37"/>
      <c r="O1334" s="37"/>
      <c r="P1334" s="37"/>
      <c r="Q1334" s="3"/>
      <c r="R1334" s="3"/>
      <c r="S1334" s="3"/>
      <c r="T1334" s="3"/>
      <c r="U1334" s="3"/>
      <c r="V1334" s="3"/>
      <c r="W1334" s="3"/>
      <c r="X1334" s="3"/>
      <c r="Y1334" s="3"/>
      <c r="Z1334" s="4"/>
      <c r="AA1334"/>
      <c r="AB1334"/>
    </row>
    <row r="1335" spans="1:28" s="49" customFormat="1" x14ac:dyDescent="0.15">
      <c r="A1335" s="165"/>
      <c r="B1335" s="93"/>
      <c r="C1335" s="102"/>
      <c r="D1335" s="62"/>
      <c r="E1335" s="102"/>
      <c r="F1335" s="102"/>
      <c r="G1335" s="102"/>
      <c r="H1335" s="175"/>
      <c r="I1335" s="85"/>
      <c r="J1335" s="104"/>
      <c r="K1335" s="143"/>
      <c r="L1335" s="61"/>
      <c r="N1335" s="37"/>
      <c r="O1335" s="37"/>
      <c r="P1335" s="37"/>
      <c r="Q1335" s="3"/>
      <c r="R1335" s="3"/>
      <c r="S1335" s="3"/>
      <c r="T1335" s="3"/>
      <c r="U1335" s="3"/>
      <c r="V1335" s="3"/>
      <c r="W1335" s="3"/>
      <c r="X1335" s="3"/>
      <c r="Y1335" s="3"/>
      <c r="Z1335" s="4"/>
      <c r="AA1335"/>
      <c r="AB1335"/>
    </row>
    <row r="1336" spans="1:28" s="49" customFormat="1" x14ac:dyDescent="0.15">
      <c r="A1336" s="165"/>
      <c r="B1336" s="93"/>
      <c r="C1336" s="100"/>
      <c r="D1336" s="61"/>
      <c r="E1336" s="100"/>
      <c r="F1336" s="100"/>
      <c r="G1336" s="100"/>
      <c r="H1336" s="177"/>
      <c r="I1336" s="85"/>
      <c r="J1336" s="101"/>
      <c r="K1336" s="143"/>
      <c r="L1336" s="61"/>
      <c r="N1336" s="37"/>
      <c r="O1336" s="37"/>
      <c r="P1336" s="37"/>
      <c r="Q1336" s="3"/>
      <c r="R1336" s="3"/>
      <c r="S1336" s="3"/>
      <c r="T1336" s="3"/>
      <c r="U1336" s="3"/>
      <c r="V1336" s="3"/>
      <c r="W1336" s="3"/>
      <c r="X1336" s="3"/>
      <c r="Y1336" s="3"/>
      <c r="Z1336" s="4"/>
      <c r="AA1336"/>
      <c r="AB1336"/>
    </row>
    <row r="1337" spans="1:28" s="49" customFormat="1" x14ac:dyDescent="0.15">
      <c r="A1337" s="165"/>
      <c r="B1337" s="93"/>
      <c r="C1337" s="100"/>
      <c r="D1337" s="61"/>
      <c r="E1337" s="100"/>
      <c r="F1337" s="100"/>
      <c r="G1337" s="100"/>
      <c r="H1337" s="177"/>
      <c r="I1337" s="85"/>
      <c r="J1337" s="101"/>
      <c r="K1337" s="143"/>
      <c r="L1337" s="61"/>
      <c r="N1337" s="37"/>
      <c r="O1337" s="37"/>
      <c r="P1337" s="37"/>
      <c r="Q1337" s="3"/>
      <c r="R1337" s="3"/>
      <c r="S1337" s="3"/>
      <c r="T1337" s="3"/>
      <c r="U1337" s="3"/>
      <c r="V1337" s="3"/>
      <c r="W1337" s="3"/>
      <c r="X1337" s="3"/>
      <c r="Y1337" s="3"/>
      <c r="Z1337" s="4"/>
      <c r="AA1337"/>
      <c r="AB1337"/>
    </row>
    <row r="1338" spans="1:28" s="49" customFormat="1" x14ac:dyDescent="0.15">
      <c r="A1338" s="165"/>
      <c r="B1338" s="93"/>
      <c r="C1338" s="100"/>
      <c r="D1338" s="61"/>
      <c r="E1338" s="100"/>
      <c r="F1338" s="100"/>
      <c r="G1338" s="100"/>
      <c r="H1338" s="177"/>
      <c r="I1338" s="85"/>
      <c r="J1338" s="101"/>
      <c r="K1338" s="143"/>
      <c r="L1338" s="61"/>
      <c r="N1338" s="37"/>
      <c r="O1338" s="37"/>
      <c r="P1338" s="37"/>
      <c r="Q1338" s="3"/>
      <c r="R1338" s="3"/>
      <c r="S1338" s="3"/>
      <c r="T1338" s="3"/>
      <c r="U1338" s="3"/>
      <c r="V1338" s="3"/>
      <c r="W1338" s="3"/>
      <c r="X1338" s="3"/>
      <c r="Y1338" s="3"/>
      <c r="Z1338" s="4"/>
      <c r="AA1338"/>
      <c r="AB1338"/>
    </row>
    <row r="1339" spans="1:28" s="49" customFormat="1" x14ac:dyDescent="0.15">
      <c r="A1339" s="165"/>
      <c r="B1339" s="93"/>
      <c r="C1339" s="100"/>
      <c r="D1339" s="61"/>
      <c r="E1339" s="100"/>
      <c r="F1339" s="100"/>
      <c r="G1339" s="100"/>
      <c r="H1339" s="177"/>
      <c r="I1339" s="85"/>
      <c r="J1339" s="103"/>
      <c r="K1339" s="141"/>
      <c r="L1339" s="61"/>
      <c r="N1339" s="37"/>
      <c r="O1339" s="37"/>
      <c r="P1339" s="37"/>
      <c r="Q1339" s="3"/>
      <c r="R1339" s="3"/>
      <c r="S1339" s="3"/>
      <c r="T1339" s="3"/>
      <c r="U1339" s="3"/>
      <c r="V1339" s="3"/>
      <c r="W1339" s="3"/>
      <c r="X1339" s="3"/>
      <c r="Y1339" s="3"/>
      <c r="Z1339" s="4"/>
      <c r="AA1339"/>
      <c r="AB1339"/>
    </row>
    <row r="1340" spans="1:28" s="49" customFormat="1" x14ac:dyDescent="0.15">
      <c r="A1340" s="165"/>
      <c r="B1340" s="93"/>
      <c r="C1340" s="100"/>
      <c r="D1340" s="61"/>
      <c r="E1340" s="100"/>
      <c r="F1340" s="100"/>
      <c r="G1340" s="100"/>
      <c r="H1340" s="177"/>
      <c r="I1340" s="85"/>
      <c r="J1340" s="101"/>
      <c r="K1340" s="143"/>
      <c r="L1340" s="61"/>
      <c r="N1340" s="37"/>
      <c r="O1340" s="37"/>
      <c r="P1340" s="37"/>
      <c r="Q1340" s="3"/>
      <c r="R1340" s="3"/>
      <c r="S1340" s="3"/>
      <c r="T1340" s="3"/>
      <c r="U1340" s="3"/>
      <c r="V1340" s="3"/>
      <c r="W1340" s="3"/>
      <c r="X1340" s="3"/>
      <c r="Y1340" s="3"/>
      <c r="Z1340" s="4"/>
      <c r="AA1340"/>
      <c r="AB1340"/>
    </row>
    <row r="1341" spans="1:28" s="49" customFormat="1" x14ac:dyDescent="0.15">
      <c r="A1341" s="165"/>
      <c r="B1341" s="93"/>
      <c r="C1341" s="102"/>
      <c r="D1341" s="62"/>
      <c r="E1341" s="102"/>
      <c r="F1341" s="102"/>
      <c r="G1341" s="102"/>
      <c r="H1341" s="175"/>
      <c r="I1341" s="85"/>
      <c r="J1341" s="104"/>
      <c r="K1341" s="143"/>
      <c r="L1341" s="61"/>
      <c r="N1341" s="37"/>
      <c r="O1341" s="37"/>
      <c r="P1341" s="37"/>
      <c r="Q1341" s="3"/>
      <c r="R1341" s="3"/>
      <c r="S1341" s="3"/>
      <c r="T1341" s="3"/>
      <c r="U1341" s="3"/>
      <c r="V1341" s="3"/>
      <c r="W1341" s="3"/>
      <c r="X1341" s="3"/>
      <c r="Y1341" s="3"/>
      <c r="Z1341" s="4"/>
      <c r="AA1341"/>
      <c r="AB1341"/>
    </row>
    <row r="1342" spans="1:28" s="3" customFormat="1" x14ac:dyDescent="0.15">
      <c r="A1342" s="62"/>
      <c r="B1342" s="93"/>
      <c r="C1342" s="102"/>
      <c r="D1342" s="62"/>
      <c r="E1342" s="102"/>
      <c r="F1342" s="102"/>
      <c r="G1342" s="102"/>
      <c r="H1342" s="175"/>
      <c r="I1342" s="85"/>
      <c r="J1342" s="104"/>
      <c r="K1342" s="143"/>
      <c r="L1342" s="61"/>
      <c r="M1342" s="49"/>
      <c r="N1342" s="37"/>
      <c r="O1342" s="37"/>
      <c r="P1342" s="37"/>
      <c r="Z1342" s="4"/>
      <c r="AA1342"/>
      <c r="AB1342"/>
    </row>
    <row r="1343" spans="1:28" s="3" customFormat="1" x14ac:dyDescent="0.15">
      <c r="A1343" s="165"/>
      <c r="B1343" s="93"/>
      <c r="C1343" s="102"/>
      <c r="D1343" s="62"/>
      <c r="E1343" s="102"/>
      <c r="F1343" s="102"/>
      <c r="G1343" s="102"/>
      <c r="H1343" s="175"/>
      <c r="I1343" s="85"/>
      <c r="J1343" s="104"/>
      <c r="K1343" s="143"/>
      <c r="L1343" s="61"/>
      <c r="M1343" s="49"/>
      <c r="N1343" s="37"/>
      <c r="O1343" s="37"/>
      <c r="P1343" s="37"/>
      <c r="Z1343" s="4"/>
      <c r="AA1343"/>
      <c r="AB1343"/>
    </row>
    <row r="1344" spans="1:28" s="3" customFormat="1" x14ac:dyDescent="0.15">
      <c r="A1344" s="165"/>
      <c r="B1344" s="93"/>
      <c r="C1344" s="102"/>
      <c r="D1344" s="62"/>
      <c r="E1344" s="102"/>
      <c r="F1344" s="102"/>
      <c r="G1344" s="102"/>
      <c r="H1344" s="175"/>
      <c r="I1344" s="85"/>
      <c r="J1344" s="104"/>
      <c r="K1344" s="143"/>
      <c r="L1344" s="61"/>
      <c r="M1344" s="49"/>
      <c r="N1344" s="37"/>
      <c r="O1344" s="37"/>
      <c r="P1344" s="37"/>
      <c r="Z1344" s="4"/>
      <c r="AA1344"/>
      <c r="AB1344"/>
    </row>
    <row r="1345" spans="1:28" s="3" customFormat="1" x14ac:dyDescent="0.15">
      <c r="A1345" s="165"/>
      <c r="B1345" s="93"/>
      <c r="C1345" s="102"/>
      <c r="D1345" s="62"/>
      <c r="E1345" s="100"/>
      <c r="F1345" s="102"/>
      <c r="G1345" s="102"/>
      <c r="H1345" s="175"/>
      <c r="I1345" s="85"/>
      <c r="J1345" s="104"/>
      <c r="K1345" s="143"/>
      <c r="L1345" s="61"/>
      <c r="M1345" s="49"/>
      <c r="N1345" s="37"/>
      <c r="O1345" s="37"/>
      <c r="P1345" s="37"/>
      <c r="Z1345" s="4"/>
      <c r="AA1345"/>
      <c r="AB1345"/>
    </row>
    <row r="1346" spans="1:28" s="3" customFormat="1" x14ac:dyDescent="0.15">
      <c r="A1346" s="165"/>
      <c r="B1346" s="93"/>
      <c r="C1346" s="102"/>
      <c r="D1346" s="62"/>
      <c r="E1346" s="100"/>
      <c r="F1346" s="102"/>
      <c r="G1346" s="102"/>
      <c r="H1346" s="175"/>
      <c r="I1346" s="85"/>
      <c r="J1346" s="104"/>
      <c r="K1346" s="143"/>
      <c r="L1346" s="61"/>
      <c r="M1346" s="49"/>
      <c r="N1346" s="37"/>
      <c r="O1346" s="37"/>
      <c r="P1346" s="37"/>
      <c r="Z1346" s="4"/>
      <c r="AA1346"/>
      <c r="AB1346"/>
    </row>
    <row r="1347" spans="1:28" s="3" customFormat="1" x14ac:dyDescent="0.15">
      <c r="A1347" s="165"/>
      <c r="B1347" s="93"/>
      <c r="C1347" s="100"/>
      <c r="D1347" s="61"/>
      <c r="E1347" s="100"/>
      <c r="F1347" s="100"/>
      <c r="G1347" s="100"/>
      <c r="H1347" s="177"/>
      <c r="I1347" s="85"/>
      <c r="J1347" s="101"/>
      <c r="K1347" s="143"/>
      <c r="L1347" s="61"/>
      <c r="M1347" s="49"/>
      <c r="N1347" s="37"/>
      <c r="O1347" s="37"/>
      <c r="P1347" s="37"/>
      <c r="Z1347" s="4"/>
      <c r="AA1347"/>
      <c r="AB1347"/>
    </row>
    <row r="1348" spans="1:28" s="3" customFormat="1" x14ac:dyDescent="0.15">
      <c r="A1348" s="165"/>
      <c r="B1348" s="93"/>
      <c r="C1348" s="102"/>
      <c r="D1348" s="62"/>
      <c r="E1348" s="102"/>
      <c r="F1348" s="102"/>
      <c r="G1348" s="102"/>
      <c r="H1348" s="175"/>
      <c r="I1348" s="85"/>
      <c r="J1348" s="104"/>
      <c r="K1348" s="143"/>
      <c r="L1348" s="61"/>
      <c r="M1348" s="49"/>
      <c r="N1348" s="37"/>
      <c r="O1348" s="37"/>
      <c r="P1348" s="37"/>
      <c r="Z1348" s="4"/>
      <c r="AA1348"/>
      <c r="AB1348"/>
    </row>
    <row r="1349" spans="1:28" s="3" customFormat="1" x14ac:dyDescent="0.15">
      <c r="A1349" s="62"/>
      <c r="B1349" s="93"/>
      <c r="C1349" s="102"/>
      <c r="D1349" s="62"/>
      <c r="E1349" s="102"/>
      <c r="F1349" s="102"/>
      <c r="G1349" s="102"/>
      <c r="H1349" s="175"/>
      <c r="I1349" s="85"/>
      <c r="J1349" s="104"/>
      <c r="K1349" s="143"/>
      <c r="L1349" s="61"/>
      <c r="M1349" s="49"/>
      <c r="N1349" s="37"/>
      <c r="O1349" s="37"/>
      <c r="P1349" s="37"/>
      <c r="Z1349" s="4"/>
      <c r="AA1349"/>
      <c r="AB1349"/>
    </row>
    <row r="1350" spans="1:28" s="3" customFormat="1" x14ac:dyDescent="0.15">
      <c r="A1350" s="165"/>
      <c r="B1350" s="93"/>
      <c r="C1350" s="100"/>
      <c r="D1350" s="61"/>
      <c r="E1350" s="100"/>
      <c r="F1350" s="100"/>
      <c r="G1350" s="100"/>
      <c r="H1350" s="177"/>
      <c r="I1350" s="85"/>
      <c r="J1350" s="101"/>
      <c r="K1350" s="143"/>
      <c r="L1350" s="61"/>
      <c r="M1350" s="49"/>
      <c r="N1350" s="37"/>
      <c r="O1350" s="37"/>
      <c r="P1350" s="37"/>
      <c r="Z1350" s="4"/>
      <c r="AA1350"/>
      <c r="AB1350"/>
    </row>
    <row r="1351" spans="1:28" s="3" customFormat="1" x14ac:dyDescent="0.15">
      <c r="A1351" s="62"/>
      <c r="B1351" s="93"/>
      <c r="C1351" s="102"/>
      <c r="D1351" s="62"/>
      <c r="E1351" s="102"/>
      <c r="F1351" s="102"/>
      <c r="G1351" s="102"/>
      <c r="H1351" s="175"/>
      <c r="I1351" s="85"/>
      <c r="J1351" s="104"/>
      <c r="K1351" s="143"/>
      <c r="L1351" s="61"/>
      <c r="M1351" s="49"/>
      <c r="N1351" s="37"/>
      <c r="O1351" s="37"/>
      <c r="P1351" s="37"/>
      <c r="Z1351" s="4"/>
      <c r="AA1351"/>
      <c r="AB1351"/>
    </row>
    <row r="1352" spans="1:28" s="3" customFormat="1" x14ac:dyDescent="0.15">
      <c r="A1352" s="62"/>
      <c r="B1352" s="93"/>
      <c r="C1352" s="102"/>
      <c r="D1352" s="62"/>
      <c r="E1352" s="102"/>
      <c r="F1352" s="102"/>
      <c r="G1352" s="102"/>
      <c r="H1352" s="175"/>
      <c r="I1352" s="85"/>
      <c r="J1352" s="104"/>
      <c r="K1352" s="143"/>
      <c r="L1352" s="61"/>
      <c r="M1352" s="49"/>
      <c r="N1352" s="37"/>
      <c r="O1352" s="37"/>
      <c r="P1352" s="37"/>
      <c r="Z1352" s="4"/>
      <c r="AA1352"/>
      <c r="AB1352"/>
    </row>
    <row r="1353" spans="1:28" s="3" customFormat="1" x14ac:dyDescent="0.15">
      <c r="A1353" s="62"/>
      <c r="B1353" s="93"/>
      <c r="C1353" s="102"/>
      <c r="D1353" s="62"/>
      <c r="E1353" s="100"/>
      <c r="F1353" s="102"/>
      <c r="G1353" s="102"/>
      <c r="H1353" s="175"/>
      <c r="I1353" s="85"/>
      <c r="J1353" s="104"/>
      <c r="K1353" s="143"/>
      <c r="L1353" s="61"/>
      <c r="M1353" s="49"/>
      <c r="N1353" s="37"/>
      <c r="O1353" s="37"/>
      <c r="P1353" s="37"/>
      <c r="Z1353" s="4"/>
      <c r="AA1353"/>
      <c r="AB1353"/>
    </row>
    <row r="1354" spans="1:28" s="3" customFormat="1" x14ac:dyDescent="0.15">
      <c r="A1354" s="165"/>
      <c r="B1354" s="93"/>
      <c r="C1354" s="100"/>
      <c r="D1354" s="61"/>
      <c r="E1354" s="100"/>
      <c r="F1354" s="100"/>
      <c r="G1354" s="100"/>
      <c r="H1354" s="177"/>
      <c r="I1354" s="85"/>
      <c r="J1354" s="101"/>
      <c r="K1354" s="143"/>
      <c r="L1354" s="61"/>
      <c r="M1354" s="49"/>
      <c r="N1354" s="37"/>
      <c r="O1354" s="37"/>
      <c r="P1354" s="37"/>
      <c r="Z1354" s="4"/>
      <c r="AA1354"/>
      <c r="AB1354"/>
    </row>
    <row r="1355" spans="1:28" s="3" customFormat="1" x14ac:dyDescent="0.15">
      <c r="A1355" s="62"/>
      <c r="B1355" s="93"/>
      <c r="C1355" s="100"/>
      <c r="D1355" s="61"/>
      <c r="E1355" s="100"/>
      <c r="F1355" s="100"/>
      <c r="G1355" s="100"/>
      <c r="H1355" s="177"/>
      <c r="I1355" s="85"/>
      <c r="J1355" s="101"/>
      <c r="K1355" s="143"/>
      <c r="L1355" s="61"/>
      <c r="M1355" s="49"/>
      <c r="N1355" s="37"/>
      <c r="O1355" s="37"/>
      <c r="P1355" s="37"/>
      <c r="Z1355" s="4"/>
      <c r="AA1355"/>
      <c r="AB1355"/>
    </row>
    <row r="1356" spans="1:28" s="3" customFormat="1" x14ac:dyDescent="0.15">
      <c r="A1356" s="165"/>
      <c r="B1356" s="82"/>
      <c r="C1356" s="107"/>
      <c r="D1356" s="62"/>
      <c r="E1356" s="107"/>
      <c r="F1356" s="107"/>
      <c r="G1356" s="107"/>
      <c r="H1356" s="179"/>
      <c r="I1356" s="85"/>
      <c r="J1356" s="104"/>
      <c r="K1356" s="144"/>
      <c r="L1356" s="61"/>
      <c r="M1356" s="49"/>
      <c r="N1356" s="37"/>
      <c r="O1356" s="37"/>
      <c r="P1356" s="37"/>
      <c r="Z1356" s="4"/>
      <c r="AA1356"/>
      <c r="AB1356"/>
    </row>
    <row r="1357" spans="1:28" s="3" customFormat="1" x14ac:dyDescent="0.15">
      <c r="A1357" s="165"/>
      <c r="B1357" s="93"/>
      <c r="C1357" s="102"/>
      <c r="D1357" s="62"/>
      <c r="E1357" s="100"/>
      <c r="F1357" s="102"/>
      <c r="G1357" s="102"/>
      <c r="H1357" s="175"/>
      <c r="I1357" s="85"/>
      <c r="J1357" s="104"/>
      <c r="K1357" s="143"/>
      <c r="L1357" s="61"/>
      <c r="M1357" s="49"/>
      <c r="N1357" s="37"/>
      <c r="O1357" s="37"/>
      <c r="P1357" s="37"/>
      <c r="Q1357"/>
      <c r="R1357"/>
      <c r="Z1357" s="4"/>
      <c r="AA1357"/>
      <c r="AB1357"/>
    </row>
    <row r="1358" spans="1:28" s="49" customFormat="1" x14ac:dyDescent="0.15">
      <c r="A1358" s="62"/>
      <c r="B1358" s="93"/>
      <c r="C1358" s="100"/>
      <c r="D1358" s="61"/>
      <c r="E1358" s="100"/>
      <c r="F1358" s="100"/>
      <c r="G1358" s="100"/>
      <c r="H1358" s="177"/>
      <c r="I1358" s="85"/>
      <c r="J1358" s="101"/>
      <c r="K1358" s="143"/>
      <c r="L1358" s="61"/>
      <c r="N1358" s="37"/>
      <c r="O1358" s="37"/>
      <c r="P1358" s="37"/>
      <c r="Q1358" s="3"/>
      <c r="R1358" s="3"/>
      <c r="S1358" s="3"/>
      <c r="T1358" s="3"/>
      <c r="U1358" s="3"/>
      <c r="V1358" s="3"/>
      <c r="W1358" s="3"/>
      <c r="X1358" s="3"/>
      <c r="Y1358" s="3"/>
      <c r="Z1358" s="4"/>
      <c r="AA1358"/>
      <c r="AB1358"/>
    </row>
    <row r="1359" spans="1:28" s="49" customFormat="1" x14ac:dyDescent="0.15">
      <c r="A1359" s="165"/>
      <c r="B1359" s="93"/>
      <c r="C1359" s="100"/>
      <c r="D1359" s="61"/>
      <c r="E1359" s="100"/>
      <c r="F1359" s="100"/>
      <c r="G1359" s="100"/>
      <c r="H1359" s="177"/>
      <c r="I1359" s="85"/>
      <c r="J1359" s="101"/>
      <c r="K1359" s="143"/>
      <c r="L1359" s="61"/>
      <c r="N1359" s="37"/>
      <c r="O1359" s="37"/>
      <c r="P1359" s="37"/>
      <c r="Q1359" s="3"/>
      <c r="R1359" s="3"/>
      <c r="S1359" s="3"/>
      <c r="T1359" s="3"/>
      <c r="U1359" s="3"/>
      <c r="V1359" s="3"/>
      <c r="W1359" s="3"/>
      <c r="X1359" s="3"/>
      <c r="Y1359" s="3"/>
      <c r="Z1359" s="4"/>
      <c r="AA1359"/>
      <c r="AB1359"/>
    </row>
    <row r="1360" spans="1:28" s="49" customFormat="1" x14ac:dyDescent="0.15">
      <c r="A1360" s="165"/>
      <c r="B1360" s="93"/>
      <c r="C1360" s="100"/>
      <c r="D1360" s="61"/>
      <c r="E1360" s="100"/>
      <c r="F1360" s="100"/>
      <c r="G1360" s="100"/>
      <c r="H1360" s="177"/>
      <c r="I1360" s="85"/>
      <c r="J1360" s="101"/>
      <c r="K1360" s="143"/>
      <c r="L1360" s="61"/>
      <c r="N1360" s="37"/>
      <c r="O1360" s="37"/>
      <c r="P1360" s="37"/>
      <c r="Q1360" s="3"/>
      <c r="R1360" s="3"/>
      <c r="S1360" s="3"/>
      <c r="T1360" s="3"/>
      <c r="U1360" s="3"/>
      <c r="V1360" s="3"/>
      <c r="W1360" s="3"/>
      <c r="X1360" s="3"/>
      <c r="Y1360" s="3"/>
      <c r="Z1360" s="4"/>
      <c r="AA1360"/>
      <c r="AB1360"/>
    </row>
    <row r="1361" spans="1:28" s="49" customFormat="1" x14ac:dyDescent="0.15">
      <c r="A1361" s="165"/>
      <c r="B1361" s="93"/>
      <c r="C1361" s="100"/>
      <c r="D1361" s="61"/>
      <c r="E1361" s="100"/>
      <c r="F1361" s="100"/>
      <c r="G1361" s="100"/>
      <c r="H1361" s="177"/>
      <c r="I1361" s="85"/>
      <c r="J1361" s="101"/>
      <c r="K1361" s="143"/>
      <c r="L1361" s="61"/>
      <c r="N1361" s="37"/>
      <c r="O1361" s="37"/>
      <c r="P1361" s="37"/>
      <c r="Q1361" s="3"/>
      <c r="R1361" s="3"/>
      <c r="S1361" s="3"/>
      <c r="T1361" s="3"/>
      <c r="U1361" s="3"/>
      <c r="V1361" s="3"/>
      <c r="W1361" s="3"/>
      <c r="X1361" s="3"/>
      <c r="Y1361" s="3"/>
      <c r="Z1361" s="4"/>
      <c r="AA1361"/>
      <c r="AB1361"/>
    </row>
    <row r="1362" spans="1:28" s="49" customFormat="1" x14ac:dyDescent="0.15">
      <c r="A1362" s="165"/>
      <c r="B1362" s="93"/>
      <c r="C1362" s="100"/>
      <c r="D1362" s="61"/>
      <c r="E1362" s="100"/>
      <c r="F1362" s="100"/>
      <c r="G1362" s="100"/>
      <c r="H1362" s="177"/>
      <c r="I1362" s="85"/>
      <c r="J1362" s="101"/>
      <c r="K1362" s="143"/>
      <c r="L1362" s="61"/>
      <c r="N1362" s="37"/>
      <c r="O1362" s="37"/>
      <c r="P1362" s="37"/>
      <c r="Q1362" s="3"/>
      <c r="R1362" s="3"/>
      <c r="S1362" s="3"/>
      <c r="T1362" s="3"/>
      <c r="U1362" s="3"/>
      <c r="V1362" s="3"/>
      <c r="W1362" s="3"/>
      <c r="X1362" s="3"/>
      <c r="Y1362" s="3"/>
      <c r="Z1362" s="4"/>
      <c r="AA1362"/>
      <c r="AB1362"/>
    </row>
    <row r="1363" spans="1:28" s="49" customFormat="1" x14ac:dyDescent="0.15">
      <c r="A1363" s="62"/>
      <c r="B1363" s="93"/>
      <c r="C1363" s="100"/>
      <c r="D1363" s="61"/>
      <c r="E1363" s="100"/>
      <c r="F1363" s="100"/>
      <c r="G1363" s="100"/>
      <c r="H1363" s="177"/>
      <c r="I1363" s="85"/>
      <c r="J1363" s="101"/>
      <c r="K1363" s="143"/>
      <c r="L1363" s="61"/>
      <c r="N1363" s="37"/>
      <c r="O1363" s="37"/>
      <c r="P1363" s="37"/>
      <c r="Q1363" s="3"/>
      <c r="R1363" s="3"/>
      <c r="S1363" s="3"/>
      <c r="T1363" s="3"/>
      <c r="U1363" s="3"/>
      <c r="V1363" s="3"/>
      <c r="W1363" s="3"/>
      <c r="X1363" s="3"/>
      <c r="Y1363" s="3"/>
      <c r="Z1363" s="4"/>
      <c r="AA1363"/>
      <c r="AB1363"/>
    </row>
    <row r="1364" spans="1:28" s="49" customFormat="1" x14ac:dyDescent="0.15">
      <c r="A1364" s="165"/>
      <c r="B1364" s="93"/>
      <c r="C1364" s="100"/>
      <c r="D1364" s="61"/>
      <c r="E1364" s="100"/>
      <c r="F1364" s="100"/>
      <c r="G1364" s="100"/>
      <c r="H1364" s="177"/>
      <c r="I1364" s="85"/>
      <c r="J1364" s="101"/>
      <c r="K1364" s="143"/>
      <c r="L1364" s="61"/>
      <c r="N1364" s="37"/>
      <c r="O1364" s="37"/>
      <c r="P1364" s="37"/>
      <c r="Q1364" s="3"/>
      <c r="R1364" s="3"/>
      <c r="S1364" s="3"/>
      <c r="T1364" s="3"/>
      <c r="U1364" s="3"/>
      <c r="V1364" s="3"/>
      <c r="W1364" s="3"/>
      <c r="X1364" s="3"/>
      <c r="Y1364" s="3"/>
      <c r="Z1364" s="4"/>
      <c r="AA1364"/>
      <c r="AB1364"/>
    </row>
    <row r="1365" spans="1:28" s="49" customFormat="1" x14ac:dyDescent="0.15">
      <c r="A1365" s="165"/>
      <c r="B1365" s="93"/>
      <c r="C1365" s="100"/>
      <c r="D1365" s="61"/>
      <c r="E1365" s="100"/>
      <c r="F1365" s="100"/>
      <c r="G1365" s="100"/>
      <c r="H1365" s="177"/>
      <c r="I1365" s="85"/>
      <c r="J1365" s="101"/>
      <c r="K1365" s="143"/>
      <c r="L1365" s="61"/>
      <c r="N1365" s="37"/>
      <c r="O1365" s="37"/>
      <c r="P1365" s="37"/>
      <c r="Q1365" s="3"/>
      <c r="R1365" s="3"/>
      <c r="S1365" s="3"/>
      <c r="T1365" s="3"/>
      <c r="U1365" s="3"/>
      <c r="V1365" s="3"/>
      <c r="W1365" s="3"/>
      <c r="X1365" s="3"/>
      <c r="Y1365" s="3"/>
      <c r="Z1365" s="4"/>
      <c r="AA1365"/>
      <c r="AB1365"/>
    </row>
    <row r="1366" spans="1:28" s="49" customFormat="1" x14ac:dyDescent="0.15">
      <c r="A1366" s="62"/>
      <c r="B1366" s="93"/>
      <c r="C1366" s="100"/>
      <c r="D1366" s="61"/>
      <c r="E1366" s="100"/>
      <c r="F1366" s="100"/>
      <c r="G1366" s="100"/>
      <c r="H1366" s="177"/>
      <c r="I1366" s="85"/>
      <c r="J1366" s="101"/>
      <c r="K1366" s="143"/>
      <c r="L1366" s="61"/>
      <c r="N1366" s="37"/>
      <c r="O1366" s="37"/>
      <c r="P1366" s="37"/>
      <c r="Q1366" s="3"/>
      <c r="R1366" s="3"/>
      <c r="S1366" s="3"/>
      <c r="T1366" s="3"/>
      <c r="U1366" s="3"/>
      <c r="V1366" s="3"/>
      <c r="W1366" s="3"/>
      <c r="X1366" s="3"/>
      <c r="Y1366" s="3"/>
      <c r="Z1366" s="4"/>
      <c r="AA1366"/>
      <c r="AB1366"/>
    </row>
    <row r="1367" spans="1:28" s="49" customFormat="1" x14ac:dyDescent="0.15">
      <c r="A1367" s="62"/>
      <c r="B1367" s="93"/>
      <c r="C1367" s="100"/>
      <c r="D1367" s="61"/>
      <c r="E1367" s="100"/>
      <c r="F1367" s="100"/>
      <c r="G1367" s="100"/>
      <c r="H1367" s="177"/>
      <c r="I1367" s="85"/>
      <c r="J1367" s="101"/>
      <c r="K1367" s="143"/>
      <c r="L1367" s="61"/>
      <c r="N1367" s="37"/>
      <c r="O1367" s="37"/>
      <c r="P1367" s="37"/>
      <c r="Q1367" s="3"/>
      <c r="R1367" s="3"/>
      <c r="S1367" s="3"/>
      <c r="T1367" s="3"/>
      <c r="U1367" s="3"/>
      <c r="V1367" s="3"/>
      <c r="W1367" s="3"/>
      <c r="X1367" s="3"/>
      <c r="Y1367" s="3"/>
      <c r="Z1367" s="4"/>
      <c r="AA1367"/>
      <c r="AB1367"/>
    </row>
    <row r="1368" spans="1:28" s="49" customFormat="1" x14ac:dyDescent="0.15">
      <c r="A1368" s="62"/>
      <c r="B1368" s="93"/>
      <c r="C1368" s="102"/>
      <c r="D1368" s="62"/>
      <c r="E1368" s="100"/>
      <c r="F1368" s="102"/>
      <c r="G1368" s="102"/>
      <c r="H1368" s="175"/>
      <c r="I1368" s="85"/>
      <c r="J1368" s="104"/>
      <c r="K1368" s="143"/>
      <c r="L1368" s="61"/>
      <c r="N1368" s="37"/>
      <c r="O1368" s="37"/>
      <c r="P1368" s="37"/>
      <c r="Q1368" s="3"/>
      <c r="R1368" s="3"/>
      <c r="S1368" s="3"/>
      <c r="T1368" s="3"/>
      <c r="U1368" s="3"/>
      <c r="V1368" s="3"/>
      <c r="W1368" s="3"/>
      <c r="X1368" s="3"/>
      <c r="Y1368" s="3"/>
      <c r="Z1368" s="4"/>
      <c r="AA1368"/>
      <c r="AB1368"/>
    </row>
    <row r="1369" spans="1:28" s="49" customFormat="1" x14ac:dyDescent="0.15">
      <c r="A1369" s="62"/>
      <c r="B1369" s="93"/>
      <c r="C1369" s="100"/>
      <c r="D1369" s="61"/>
      <c r="E1369" s="100"/>
      <c r="F1369" s="100"/>
      <c r="G1369" s="100"/>
      <c r="H1369" s="177"/>
      <c r="I1369" s="103"/>
      <c r="J1369" s="103"/>
      <c r="K1369" s="141"/>
      <c r="L1369" s="61"/>
      <c r="N1369" s="37"/>
      <c r="O1369" s="37"/>
      <c r="P1369" s="37"/>
      <c r="Q1369" s="3"/>
      <c r="R1369" s="3"/>
      <c r="S1369" s="3"/>
      <c r="T1369" s="3"/>
      <c r="U1369" s="3"/>
      <c r="V1369" s="3"/>
      <c r="W1369" s="3"/>
      <c r="X1369" s="3"/>
      <c r="Y1369" s="3"/>
      <c r="Z1369" s="4"/>
      <c r="AA1369"/>
      <c r="AB1369"/>
    </row>
    <row r="1370" spans="1:28" s="49" customFormat="1" x14ac:dyDescent="0.15">
      <c r="A1370" s="62"/>
      <c r="B1370" s="93"/>
      <c r="C1370" s="100"/>
      <c r="D1370" s="61"/>
      <c r="E1370" s="100"/>
      <c r="F1370" s="100"/>
      <c r="G1370" s="100"/>
      <c r="H1370" s="177"/>
      <c r="I1370" s="103"/>
      <c r="J1370" s="103"/>
      <c r="K1370" s="141"/>
      <c r="L1370" s="61"/>
      <c r="N1370" s="37"/>
      <c r="O1370" s="37"/>
      <c r="P1370" s="37"/>
      <c r="Q1370" s="3"/>
      <c r="R1370" s="3"/>
      <c r="S1370" s="3"/>
      <c r="T1370" s="3"/>
      <c r="U1370" s="3"/>
      <c r="V1370" s="3"/>
      <c r="W1370" s="3"/>
      <c r="X1370" s="3"/>
      <c r="Y1370" s="3"/>
      <c r="Z1370" s="4"/>
      <c r="AA1370"/>
      <c r="AB1370"/>
    </row>
    <row r="1371" spans="1:28" s="49" customFormat="1" x14ac:dyDescent="0.15">
      <c r="A1371" s="62"/>
      <c r="B1371" s="93"/>
      <c r="C1371" s="100"/>
      <c r="D1371" s="61"/>
      <c r="E1371" s="100"/>
      <c r="F1371" s="100"/>
      <c r="G1371" s="100"/>
      <c r="H1371" s="177"/>
      <c r="I1371" s="103"/>
      <c r="J1371" s="103"/>
      <c r="K1371" s="141"/>
      <c r="L1371" s="61"/>
      <c r="N1371" s="37"/>
      <c r="O1371" s="37"/>
      <c r="P1371" s="37"/>
      <c r="Q1371" s="3"/>
      <c r="R1371" s="3"/>
      <c r="S1371" s="3"/>
      <c r="T1371" s="3"/>
      <c r="U1371" s="3"/>
      <c r="V1371" s="3"/>
      <c r="W1371" s="3"/>
      <c r="X1371" s="3"/>
      <c r="Y1371" s="3"/>
      <c r="Z1371" s="4"/>
      <c r="AA1371"/>
      <c r="AB1371"/>
    </row>
    <row r="1372" spans="1:28" s="49" customFormat="1" x14ac:dyDescent="0.15">
      <c r="A1372" s="62"/>
      <c r="B1372" s="93"/>
      <c r="C1372" s="102"/>
      <c r="D1372" s="62"/>
      <c r="E1372" s="102"/>
      <c r="F1372" s="102"/>
      <c r="G1372" s="102"/>
      <c r="H1372" s="175"/>
      <c r="I1372" s="85"/>
      <c r="J1372" s="104"/>
      <c r="K1372" s="143"/>
      <c r="L1372" s="61"/>
      <c r="N1372" s="37"/>
      <c r="O1372" s="37"/>
      <c r="P1372" s="37"/>
      <c r="Q1372" s="3"/>
      <c r="R1372" s="3"/>
      <c r="S1372" s="3"/>
      <c r="T1372" s="3"/>
      <c r="U1372" s="3"/>
      <c r="V1372" s="3"/>
      <c r="W1372" s="3"/>
      <c r="X1372" s="3"/>
      <c r="Y1372" s="3"/>
      <c r="Z1372" s="4"/>
      <c r="AA1372"/>
      <c r="AB1372"/>
    </row>
    <row r="1373" spans="1:28" s="49" customFormat="1" x14ac:dyDescent="0.15">
      <c r="A1373" s="62"/>
      <c r="B1373" s="93"/>
      <c r="C1373" s="102"/>
      <c r="D1373" s="62"/>
      <c r="E1373" s="102"/>
      <c r="F1373" s="102"/>
      <c r="G1373" s="102"/>
      <c r="H1373" s="175"/>
      <c r="I1373" s="85"/>
      <c r="J1373" s="104"/>
      <c r="K1373" s="144"/>
      <c r="L1373" s="61"/>
      <c r="N1373" s="37"/>
      <c r="O1373" s="37"/>
      <c r="P1373" s="37"/>
      <c r="Q1373" s="3"/>
      <c r="R1373" s="3"/>
      <c r="S1373" s="3"/>
      <c r="T1373" s="3"/>
      <c r="U1373" s="3"/>
      <c r="V1373" s="3"/>
      <c r="W1373" s="3"/>
      <c r="X1373" s="3"/>
      <c r="Y1373" s="3"/>
      <c r="Z1373" s="4"/>
      <c r="AA1373"/>
      <c r="AB1373"/>
    </row>
    <row r="1374" spans="1:28" s="3" customFormat="1" x14ac:dyDescent="0.15">
      <c r="A1374" s="62"/>
      <c r="B1374" s="93"/>
      <c r="C1374" s="102"/>
      <c r="D1374" s="62"/>
      <c r="E1374" s="102"/>
      <c r="F1374" s="102"/>
      <c r="G1374" s="102"/>
      <c r="H1374" s="175"/>
      <c r="I1374" s="85"/>
      <c r="J1374" s="104"/>
      <c r="K1374" s="143"/>
      <c r="L1374" s="61"/>
      <c r="M1374" s="49"/>
      <c r="N1374" s="37"/>
      <c r="O1374" s="37"/>
      <c r="P1374" s="37"/>
      <c r="Q1374" s="14"/>
      <c r="R1374" s="14"/>
      <c r="Z1374" s="4"/>
      <c r="AA1374"/>
      <c r="AB1374"/>
    </row>
    <row r="1375" spans="1:28" s="3" customFormat="1" x14ac:dyDescent="0.15">
      <c r="A1375" s="62"/>
      <c r="B1375" s="93"/>
      <c r="C1375" s="102"/>
      <c r="D1375" s="62"/>
      <c r="E1375" s="102"/>
      <c r="F1375" s="102"/>
      <c r="G1375" s="102"/>
      <c r="H1375" s="175"/>
      <c r="I1375" s="103"/>
      <c r="J1375" s="98"/>
      <c r="K1375" s="141"/>
      <c r="L1375" s="61"/>
      <c r="M1375" s="49"/>
      <c r="N1375" s="37"/>
      <c r="O1375" s="37"/>
      <c r="P1375" s="37"/>
      <c r="Z1375" s="4"/>
      <c r="AA1375"/>
      <c r="AB1375"/>
    </row>
    <row r="1376" spans="1:28" s="3" customFormat="1" x14ac:dyDescent="0.15">
      <c r="A1376" s="165"/>
      <c r="B1376" s="82"/>
      <c r="C1376" s="107"/>
      <c r="D1376" s="62"/>
      <c r="E1376" s="107"/>
      <c r="F1376" s="107"/>
      <c r="G1376" s="107"/>
      <c r="H1376" s="179"/>
      <c r="I1376" s="85"/>
      <c r="J1376" s="104"/>
      <c r="K1376" s="143"/>
      <c r="L1376" s="61"/>
      <c r="M1376" s="49"/>
      <c r="N1376" s="37"/>
      <c r="O1376" s="37"/>
      <c r="P1376" s="37"/>
      <c r="Z1376" s="4"/>
      <c r="AA1376"/>
      <c r="AB1376"/>
    </row>
    <row r="1377" spans="1:28" s="3" customFormat="1" x14ac:dyDescent="0.15">
      <c r="A1377" s="165"/>
      <c r="B1377" s="93"/>
      <c r="C1377" s="102"/>
      <c r="D1377" s="62"/>
      <c r="E1377" s="102"/>
      <c r="F1377" s="102"/>
      <c r="G1377" s="102"/>
      <c r="H1377" s="175"/>
      <c r="I1377" s="85"/>
      <c r="J1377" s="104"/>
      <c r="K1377" s="143"/>
      <c r="L1377" s="61"/>
      <c r="M1377" s="49"/>
      <c r="N1377" s="37"/>
      <c r="O1377" s="37"/>
      <c r="P1377" s="37"/>
      <c r="Z1377" s="4"/>
      <c r="AA1377"/>
      <c r="AB1377"/>
    </row>
    <row r="1378" spans="1:28" s="3" customFormat="1" x14ac:dyDescent="0.15">
      <c r="A1378" s="62"/>
      <c r="B1378" s="93"/>
      <c r="C1378" s="102"/>
      <c r="D1378" s="62"/>
      <c r="E1378" s="102"/>
      <c r="F1378" s="102"/>
      <c r="G1378" s="102"/>
      <c r="H1378" s="175"/>
      <c r="I1378" s="85"/>
      <c r="J1378" s="104"/>
      <c r="K1378" s="144"/>
      <c r="L1378" s="61"/>
      <c r="M1378" s="49"/>
      <c r="N1378" s="37"/>
      <c r="O1378" s="37"/>
      <c r="P1378" s="37"/>
      <c r="Z1378" s="4"/>
      <c r="AA1378"/>
      <c r="AB1378"/>
    </row>
    <row r="1379" spans="1:28" s="3" customFormat="1" x14ac:dyDescent="0.15">
      <c r="A1379" s="62"/>
      <c r="B1379" s="93"/>
      <c r="C1379" s="102"/>
      <c r="D1379" s="62"/>
      <c r="E1379" s="102"/>
      <c r="F1379" s="102"/>
      <c r="G1379" s="102"/>
      <c r="H1379" s="175"/>
      <c r="I1379" s="85"/>
      <c r="J1379" s="104"/>
      <c r="K1379" s="144"/>
      <c r="L1379" s="61"/>
      <c r="M1379" s="49"/>
      <c r="N1379" s="37"/>
      <c r="O1379" s="37"/>
      <c r="P1379" s="37"/>
      <c r="Z1379" s="4"/>
      <c r="AA1379"/>
      <c r="AB1379"/>
    </row>
    <row r="1380" spans="1:28" s="3" customFormat="1" x14ac:dyDescent="0.15">
      <c r="A1380" s="165"/>
      <c r="B1380" s="93"/>
      <c r="C1380" s="102"/>
      <c r="D1380" s="62"/>
      <c r="E1380" s="102"/>
      <c r="F1380" s="102"/>
      <c r="G1380" s="102"/>
      <c r="H1380" s="175"/>
      <c r="I1380" s="85"/>
      <c r="J1380" s="104"/>
      <c r="K1380" s="144"/>
      <c r="L1380" s="61"/>
      <c r="M1380" s="49"/>
      <c r="N1380" s="37"/>
      <c r="O1380" s="37"/>
      <c r="P1380" s="37"/>
      <c r="Z1380" s="4"/>
      <c r="AA1380"/>
      <c r="AB1380"/>
    </row>
    <row r="1381" spans="1:28" s="3" customFormat="1" x14ac:dyDescent="0.15">
      <c r="A1381" s="165"/>
      <c r="B1381" s="93"/>
      <c r="C1381" s="102"/>
      <c r="D1381" s="62"/>
      <c r="E1381" s="102"/>
      <c r="F1381" s="102"/>
      <c r="G1381" s="102"/>
      <c r="H1381" s="175"/>
      <c r="I1381" s="85"/>
      <c r="J1381" s="104"/>
      <c r="K1381" s="144"/>
      <c r="L1381" s="61"/>
      <c r="M1381" s="49"/>
      <c r="N1381" s="37"/>
      <c r="O1381" s="37"/>
      <c r="P1381" s="37"/>
      <c r="Z1381" s="4"/>
      <c r="AA1381"/>
      <c r="AB1381"/>
    </row>
    <row r="1382" spans="1:28" s="3" customFormat="1" x14ac:dyDescent="0.15">
      <c r="A1382" s="62"/>
      <c r="B1382" s="93"/>
      <c r="C1382" s="102"/>
      <c r="D1382" s="62"/>
      <c r="E1382" s="102"/>
      <c r="F1382" s="102"/>
      <c r="G1382" s="102"/>
      <c r="H1382" s="175"/>
      <c r="I1382" s="85"/>
      <c r="J1382" s="104"/>
      <c r="K1382" s="144"/>
      <c r="L1382" s="62"/>
      <c r="M1382" s="49"/>
      <c r="N1382" s="37"/>
      <c r="O1382" s="37"/>
      <c r="P1382" s="37"/>
      <c r="Z1382" s="4"/>
      <c r="AA1382"/>
      <c r="AB1382"/>
    </row>
    <row r="1383" spans="1:28" s="3" customFormat="1" x14ac:dyDescent="0.15">
      <c r="A1383" s="165"/>
      <c r="B1383" s="93"/>
      <c r="C1383" s="102"/>
      <c r="D1383" s="62"/>
      <c r="E1383" s="102"/>
      <c r="F1383" s="102"/>
      <c r="G1383" s="102"/>
      <c r="H1383" s="175"/>
      <c r="I1383" s="85"/>
      <c r="J1383" s="104"/>
      <c r="K1383" s="144"/>
      <c r="L1383" s="62"/>
      <c r="M1383" s="49"/>
      <c r="N1383" s="37"/>
      <c r="O1383" s="37"/>
      <c r="P1383" s="37"/>
      <c r="Z1383" s="4"/>
      <c r="AA1383"/>
      <c r="AB1383"/>
    </row>
    <row r="1384" spans="1:28" s="3" customFormat="1" x14ac:dyDescent="0.15">
      <c r="A1384" s="165"/>
      <c r="B1384" s="93"/>
      <c r="C1384" s="102"/>
      <c r="D1384" s="61"/>
      <c r="E1384" s="100"/>
      <c r="F1384" s="100"/>
      <c r="G1384" s="100"/>
      <c r="H1384" s="177"/>
      <c r="I1384" s="103"/>
      <c r="J1384" s="103"/>
      <c r="K1384" s="141"/>
      <c r="L1384" s="61"/>
      <c r="M1384" s="49"/>
      <c r="N1384" s="37"/>
      <c r="O1384" s="37"/>
      <c r="P1384" s="37"/>
      <c r="Z1384" s="4"/>
      <c r="AA1384"/>
      <c r="AB1384"/>
    </row>
    <row r="1385" spans="1:28" s="3" customFormat="1" x14ac:dyDescent="0.15">
      <c r="A1385" s="165"/>
      <c r="B1385" s="93"/>
      <c r="C1385" s="100"/>
      <c r="D1385" s="61"/>
      <c r="E1385" s="100"/>
      <c r="F1385" s="100"/>
      <c r="G1385" s="100"/>
      <c r="H1385" s="177"/>
      <c r="I1385" s="103"/>
      <c r="J1385" s="103"/>
      <c r="K1385" s="141"/>
      <c r="L1385" s="61"/>
      <c r="M1385" s="49"/>
      <c r="N1385" s="37"/>
      <c r="O1385" s="37"/>
      <c r="P1385" s="37"/>
      <c r="Z1385" s="4"/>
      <c r="AA1385"/>
      <c r="AB1385"/>
    </row>
    <row r="1386" spans="1:28" s="3" customFormat="1" x14ac:dyDescent="0.15">
      <c r="A1386" s="165"/>
      <c r="B1386" s="93"/>
      <c r="C1386" s="102"/>
      <c r="D1386" s="62"/>
      <c r="E1386" s="102"/>
      <c r="F1386" s="102"/>
      <c r="G1386" s="102"/>
      <c r="H1386" s="175"/>
      <c r="I1386" s="85"/>
      <c r="J1386" s="104"/>
      <c r="K1386" s="143"/>
      <c r="L1386" s="61"/>
      <c r="M1386" s="49"/>
      <c r="N1386" s="37"/>
      <c r="O1386" s="37"/>
      <c r="P1386" s="37"/>
      <c r="Z1386" s="4"/>
      <c r="AA1386"/>
      <c r="AB1386"/>
    </row>
    <row r="1387" spans="1:28" s="3" customFormat="1" x14ac:dyDescent="0.15">
      <c r="A1387" s="165"/>
      <c r="B1387" s="93"/>
      <c r="C1387" s="102"/>
      <c r="D1387" s="62"/>
      <c r="E1387" s="102"/>
      <c r="F1387" s="102"/>
      <c r="G1387" s="102"/>
      <c r="H1387" s="175"/>
      <c r="I1387" s="85"/>
      <c r="J1387" s="104"/>
      <c r="K1387" s="143"/>
      <c r="L1387" s="61"/>
      <c r="M1387" s="49"/>
      <c r="N1387" s="37"/>
      <c r="O1387" s="37"/>
      <c r="P1387" s="37"/>
      <c r="Z1387" s="4"/>
      <c r="AA1387"/>
      <c r="AB1387"/>
    </row>
    <row r="1388" spans="1:28" s="3" customFormat="1" x14ac:dyDescent="0.15">
      <c r="A1388" s="165"/>
      <c r="B1388" s="93"/>
      <c r="C1388" s="102"/>
      <c r="D1388" s="62"/>
      <c r="E1388" s="102"/>
      <c r="F1388" s="102"/>
      <c r="G1388" s="102"/>
      <c r="H1388" s="175"/>
      <c r="I1388" s="85"/>
      <c r="J1388" s="104"/>
      <c r="K1388" s="144"/>
      <c r="L1388" s="62"/>
      <c r="M1388" s="49"/>
      <c r="N1388" s="37"/>
      <c r="O1388" s="37"/>
      <c r="P1388" s="37"/>
      <c r="Z1388" s="4"/>
      <c r="AA1388"/>
      <c r="AB1388"/>
    </row>
    <row r="1389" spans="1:28" s="3" customFormat="1" x14ac:dyDescent="0.15">
      <c r="A1389" s="165"/>
      <c r="B1389" s="93"/>
      <c r="C1389" s="102"/>
      <c r="D1389" s="62"/>
      <c r="E1389" s="100"/>
      <c r="F1389" s="102"/>
      <c r="G1389" s="102"/>
      <c r="H1389" s="175"/>
      <c r="I1389" s="85"/>
      <c r="J1389" s="104"/>
      <c r="K1389" s="143"/>
      <c r="L1389" s="61"/>
      <c r="M1389" s="49"/>
      <c r="N1389" s="37"/>
      <c r="O1389" s="37"/>
      <c r="P1389" s="37"/>
      <c r="Q1389" s="12"/>
      <c r="R1389" s="12"/>
      <c r="Z1389" s="4"/>
      <c r="AA1389"/>
      <c r="AB1389"/>
    </row>
    <row r="1390" spans="1:28" s="49" customFormat="1" x14ac:dyDescent="0.15">
      <c r="A1390" s="165"/>
      <c r="B1390" s="93"/>
      <c r="C1390" s="102"/>
      <c r="D1390" s="62"/>
      <c r="E1390" s="100"/>
      <c r="F1390" s="102"/>
      <c r="G1390" s="102"/>
      <c r="H1390" s="175"/>
      <c r="I1390" s="85"/>
      <c r="J1390" s="104"/>
      <c r="K1390" s="143"/>
      <c r="L1390" s="61"/>
      <c r="N1390" s="37"/>
      <c r="O1390" s="37"/>
      <c r="P1390" s="37"/>
      <c r="Q1390" s="3"/>
      <c r="R1390" s="3"/>
      <c r="S1390" s="3"/>
      <c r="T1390" s="3"/>
      <c r="U1390" s="3"/>
      <c r="V1390" s="3"/>
      <c r="W1390" s="3"/>
      <c r="X1390" s="3"/>
      <c r="Y1390" s="3"/>
      <c r="Z1390" s="4"/>
      <c r="AA1390"/>
      <c r="AB1390"/>
    </row>
    <row r="1391" spans="1:28" s="49" customFormat="1" x14ac:dyDescent="0.15">
      <c r="A1391" s="165"/>
      <c r="B1391" s="93"/>
      <c r="C1391" s="102"/>
      <c r="D1391" s="62"/>
      <c r="E1391" s="102"/>
      <c r="F1391" s="102"/>
      <c r="G1391" s="102"/>
      <c r="H1391" s="175"/>
      <c r="I1391" s="85"/>
      <c r="J1391" s="104"/>
      <c r="K1391" s="143"/>
      <c r="L1391" s="61"/>
      <c r="N1391" s="37"/>
      <c r="O1391" s="37"/>
      <c r="P1391" s="37"/>
      <c r="Q1391" s="3"/>
      <c r="R1391" s="3"/>
      <c r="S1391" s="3"/>
      <c r="T1391" s="3"/>
      <c r="U1391" s="3"/>
      <c r="V1391" s="3"/>
      <c r="W1391" s="3"/>
      <c r="X1391" s="3"/>
      <c r="Y1391" s="3"/>
      <c r="Z1391" s="4"/>
      <c r="AA1391"/>
      <c r="AB1391"/>
    </row>
    <row r="1392" spans="1:28" s="49" customFormat="1" x14ac:dyDescent="0.15">
      <c r="A1392" s="165"/>
      <c r="B1392" s="93"/>
      <c r="C1392" s="100"/>
      <c r="D1392" s="61"/>
      <c r="E1392" s="100"/>
      <c r="F1392" s="100"/>
      <c r="G1392" s="100"/>
      <c r="H1392" s="177"/>
      <c r="I1392" s="85"/>
      <c r="J1392" s="101"/>
      <c r="K1392" s="143"/>
      <c r="L1392" s="61"/>
      <c r="N1392" s="37"/>
      <c r="O1392" s="37"/>
      <c r="P1392" s="37"/>
      <c r="Q1392" s="3"/>
      <c r="R1392" s="3"/>
      <c r="S1392" s="3"/>
      <c r="T1392" s="3"/>
      <c r="U1392" s="3"/>
      <c r="V1392" s="3"/>
      <c r="W1392" s="3"/>
      <c r="X1392" s="3"/>
      <c r="Y1392" s="3"/>
      <c r="Z1392" s="4"/>
      <c r="AA1392"/>
      <c r="AB1392"/>
    </row>
    <row r="1393" spans="1:28" s="49" customFormat="1" x14ac:dyDescent="0.15">
      <c r="A1393" s="165"/>
      <c r="B1393" s="93"/>
      <c r="C1393" s="100"/>
      <c r="D1393" s="61"/>
      <c r="E1393" s="100"/>
      <c r="F1393" s="100"/>
      <c r="G1393" s="100"/>
      <c r="H1393" s="177"/>
      <c r="I1393" s="103"/>
      <c r="J1393" s="103"/>
      <c r="K1393" s="141"/>
      <c r="L1393" s="61"/>
      <c r="N1393" s="37"/>
      <c r="O1393" s="37"/>
      <c r="P1393" s="37"/>
      <c r="Q1393" s="3"/>
      <c r="R1393" s="3"/>
      <c r="S1393" s="3"/>
      <c r="T1393" s="3"/>
      <c r="U1393" s="3"/>
      <c r="V1393" s="3"/>
      <c r="W1393" s="3"/>
      <c r="X1393" s="3"/>
      <c r="Y1393" s="3"/>
      <c r="Z1393" s="4"/>
      <c r="AA1393"/>
      <c r="AB1393"/>
    </row>
    <row r="1394" spans="1:28" s="49" customFormat="1" x14ac:dyDescent="0.15">
      <c r="A1394" s="165"/>
      <c r="B1394" s="93"/>
      <c r="C1394" s="102"/>
      <c r="D1394" s="62"/>
      <c r="E1394" s="100"/>
      <c r="F1394" s="102"/>
      <c r="G1394" s="102"/>
      <c r="H1394" s="175"/>
      <c r="I1394" s="85"/>
      <c r="J1394" s="104"/>
      <c r="K1394" s="143"/>
      <c r="L1394" s="61"/>
      <c r="N1394" s="37"/>
      <c r="O1394" s="37"/>
      <c r="P1394" s="37"/>
      <c r="Q1394" s="3"/>
      <c r="R1394" s="3"/>
      <c r="S1394" s="3"/>
      <c r="T1394" s="3"/>
      <c r="U1394" s="3"/>
      <c r="V1394" s="3"/>
      <c r="W1394" s="3"/>
      <c r="X1394" s="3"/>
      <c r="Y1394" s="3"/>
      <c r="Z1394" s="4"/>
      <c r="AA1394"/>
      <c r="AB1394"/>
    </row>
    <row r="1395" spans="1:28" s="49" customFormat="1" x14ac:dyDescent="0.15">
      <c r="A1395" s="165"/>
      <c r="B1395" s="93"/>
      <c r="C1395" s="102"/>
      <c r="D1395" s="62"/>
      <c r="E1395" s="102"/>
      <c r="F1395" s="102"/>
      <c r="G1395" s="102"/>
      <c r="H1395" s="175"/>
      <c r="I1395" s="85"/>
      <c r="J1395" s="104"/>
      <c r="K1395" s="143"/>
      <c r="L1395" s="61"/>
      <c r="N1395" s="37"/>
      <c r="O1395" s="37"/>
      <c r="P1395" s="37"/>
      <c r="Q1395" s="3"/>
      <c r="R1395" s="3"/>
      <c r="S1395" s="3"/>
      <c r="T1395" s="3"/>
      <c r="U1395" s="3"/>
      <c r="V1395" s="3"/>
      <c r="W1395" s="3"/>
      <c r="X1395" s="3"/>
      <c r="Y1395" s="3"/>
      <c r="Z1395" s="4"/>
      <c r="AA1395"/>
      <c r="AB1395"/>
    </row>
    <row r="1396" spans="1:28" s="49" customFormat="1" x14ac:dyDescent="0.15">
      <c r="A1396" s="165"/>
      <c r="B1396" s="93"/>
      <c r="C1396" s="100"/>
      <c r="D1396" s="61"/>
      <c r="E1396" s="100"/>
      <c r="F1396" s="100"/>
      <c r="G1396" s="100"/>
      <c r="H1396" s="177"/>
      <c r="I1396" s="103"/>
      <c r="J1396" s="103"/>
      <c r="K1396" s="141"/>
      <c r="L1396" s="61"/>
      <c r="N1396" s="37"/>
      <c r="O1396" s="37"/>
      <c r="P1396" s="37"/>
      <c r="Q1396" s="3"/>
      <c r="R1396" s="3"/>
      <c r="S1396" s="3"/>
      <c r="T1396" s="3"/>
      <c r="U1396" s="3"/>
      <c r="V1396" s="3"/>
      <c r="W1396" s="3"/>
      <c r="X1396" s="3"/>
      <c r="Y1396" s="3"/>
      <c r="Z1396" s="4"/>
      <c r="AA1396"/>
      <c r="AB1396"/>
    </row>
    <row r="1397" spans="1:28" s="49" customFormat="1" x14ac:dyDescent="0.15">
      <c r="A1397" s="165"/>
      <c r="B1397" s="93"/>
      <c r="C1397" s="102"/>
      <c r="D1397" s="62"/>
      <c r="E1397" s="102"/>
      <c r="F1397" s="102"/>
      <c r="G1397" s="102"/>
      <c r="H1397" s="175"/>
      <c r="I1397" s="85"/>
      <c r="J1397" s="104"/>
      <c r="K1397" s="143"/>
      <c r="L1397" s="61"/>
      <c r="N1397" s="37"/>
      <c r="O1397" s="37"/>
      <c r="P1397" s="37"/>
      <c r="Q1397" s="3"/>
      <c r="R1397" s="3"/>
      <c r="S1397" s="3"/>
      <c r="T1397" s="3"/>
      <c r="U1397" s="3"/>
      <c r="V1397" s="3"/>
      <c r="W1397" s="3"/>
      <c r="X1397" s="3"/>
      <c r="Y1397" s="3"/>
      <c r="Z1397" s="4"/>
      <c r="AA1397"/>
      <c r="AB1397"/>
    </row>
    <row r="1398" spans="1:28" s="49" customFormat="1" x14ac:dyDescent="0.15">
      <c r="A1398" s="165"/>
      <c r="B1398" s="93"/>
      <c r="C1398" s="102"/>
      <c r="D1398" s="62"/>
      <c r="E1398" s="102"/>
      <c r="F1398" s="102"/>
      <c r="G1398" s="102"/>
      <c r="H1398" s="175"/>
      <c r="I1398" s="85"/>
      <c r="J1398" s="104"/>
      <c r="K1398" s="144"/>
      <c r="L1398" s="61"/>
      <c r="N1398" s="37"/>
      <c r="O1398" s="37"/>
      <c r="P1398" s="37"/>
      <c r="Q1398" s="3"/>
      <c r="R1398" s="3"/>
      <c r="S1398" s="3"/>
      <c r="T1398" s="3"/>
      <c r="U1398" s="3"/>
      <c r="V1398" s="3"/>
      <c r="W1398" s="3"/>
      <c r="X1398" s="3"/>
      <c r="Y1398" s="3"/>
      <c r="Z1398" s="4"/>
      <c r="AA1398"/>
      <c r="AB1398"/>
    </row>
    <row r="1399" spans="1:28" s="49" customFormat="1" x14ac:dyDescent="0.15">
      <c r="A1399" s="165"/>
      <c r="B1399" s="93"/>
      <c r="C1399" s="102"/>
      <c r="D1399" s="62"/>
      <c r="E1399" s="102"/>
      <c r="F1399" s="102"/>
      <c r="G1399" s="102"/>
      <c r="H1399" s="175"/>
      <c r="I1399" s="85"/>
      <c r="J1399" s="104"/>
      <c r="K1399" s="143"/>
      <c r="L1399" s="61"/>
      <c r="N1399" s="37"/>
      <c r="O1399" s="37"/>
      <c r="P1399" s="37"/>
      <c r="Q1399" s="3"/>
      <c r="R1399" s="3"/>
      <c r="S1399" s="3"/>
      <c r="T1399" s="3"/>
      <c r="U1399" s="3"/>
      <c r="V1399" s="3"/>
      <c r="W1399" s="3"/>
      <c r="X1399" s="3"/>
      <c r="Y1399" s="3"/>
      <c r="Z1399" s="4"/>
      <c r="AA1399"/>
      <c r="AB1399"/>
    </row>
    <row r="1400" spans="1:28" s="49" customFormat="1" x14ac:dyDescent="0.15">
      <c r="A1400" s="165"/>
      <c r="B1400" s="93"/>
      <c r="C1400" s="102"/>
      <c r="D1400" s="62"/>
      <c r="E1400" s="102"/>
      <c r="F1400" s="102"/>
      <c r="G1400" s="102"/>
      <c r="H1400" s="175"/>
      <c r="I1400" s="85"/>
      <c r="J1400" s="104"/>
      <c r="K1400" s="143"/>
      <c r="L1400" s="61"/>
      <c r="N1400" s="37"/>
      <c r="O1400" s="37"/>
      <c r="P1400" s="37"/>
      <c r="Q1400" s="3"/>
      <c r="R1400" s="3"/>
      <c r="S1400" s="3"/>
      <c r="T1400" s="3"/>
      <c r="U1400" s="3"/>
      <c r="V1400" s="3"/>
      <c r="W1400" s="3"/>
      <c r="X1400" s="3"/>
      <c r="Y1400" s="3"/>
      <c r="Z1400" s="4"/>
      <c r="AA1400"/>
      <c r="AB1400"/>
    </row>
    <row r="1401" spans="1:28" s="49" customFormat="1" x14ac:dyDescent="0.15">
      <c r="A1401" s="165"/>
      <c r="B1401" s="93"/>
      <c r="C1401" s="102"/>
      <c r="D1401" s="62"/>
      <c r="E1401" s="102"/>
      <c r="F1401" s="102"/>
      <c r="G1401" s="102"/>
      <c r="H1401" s="175"/>
      <c r="I1401" s="85"/>
      <c r="J1401" s="104"/>
      <c r="K1401" s="143"/>
      <c r="L1401" s="61"/>
      <c r="N1401" s="37"/>
      <c r="O1401" s="37"/>
      <c r="P1401" s="37"/>
      <c r="Q1401" s="3"/>
      <c r="R1401" s="3"/>
      <c r="S1401" s="3"/>
      <c r="T1401" s="3"/>
      <c r="U1401" s="3"/>
      <c r="V1401" s="3"/>
      <c r="W1401" s="3"/>
      <c r="X1401" s="3"/>
      <c r="Y1401" s="3"/>
      <c r="Z1401" s="4"/>
      <c r="AA1401"/>
      <c r="AB1401"/>
    </row>
    <row r="1402" spans="1:28" s="49" customFormat="1" x14ac:dyDescent="0.15">
      <c r="A1402" s="165"/>
      <c r="B1402" s="93"/>
      <c r="C1402" s="102"/>
      <c r="D1402" s="62"/>
      <c r="E1402" s="102"/>
      <c r="F1402" s="102"/>
      <c r="G1402" s="102"/>
      <c r="H1402" s="175"/>
      <c r="I1402" s="85"/>
      <c r="J1402" s="104"/>
      <c r="K1402" s="143"/>
      <c r="L1402" s="61"/>
      <c r="N1402" s="37"/>
      <c r="O1402" s="37"/>
      <c r="P1402" s="37"/>
      <c r="Q1402" s="3"/>
      <c r="R1402" s="3"/>
      <c r="S1402" s="3"/>
      <c r="T1402" s="3"/>
      <c r="U1402" s="3"/>
      <c r="V1402" s="3"/>
      <c r="W1402" s="3"/>
      <c r="X1402" s="3"/>
      <c r="Y1402" s="3"/>
      <c r="Z1402" s="4"/>
      <c r="AA1402"/>
      <c r="AB1402"/>
    </row>
    <row r="1403" spans="1:28" s="49" customFormat="1" x14ac:dyDescent="0.15">
      <c r="A1403" s="62"/>
      <c r="B1403" s="93"/>
      <c r="C1403" s="100"/>
      <c r="D1403" s="61"/>
      <c r="E1403" s="100"/>
      <c r="F1403" s="100"/>
      <c r="G1403" s="100"/>
      <c r="H1403" s="177"/>
      <c r="I1403" s="85"/>
      <c r="J1403" s="101"/>
      <c r="K1403" s="143"/>
      <c r="L1403" s="61"/>
      <c r="N1403" s="37"/>
      <c r="O1403" s="37"/>
      <c r="P1403" s="37"/>
      <c r="Q1403" s="3"/>
      <c r="R1403" s="3"/>
      <c r="S1403" s="3"/>
      <c r="T1403" s="3"/>
      <c r="U1403" s="3"/>
      <c r="V1403" s="3"/>
      <c r="W1403" s="3"/>
      <c r="X1403" s="3"/>
      <c r="Y1403" s="3"/>
      <c r="Z1403" s="4"/>
      <c r="AA1403"/>
      <c r="AB1403"/>
    </row>
    <row r="1404" spans="1:28" s="49" customFormat="1" x14ac:dyDescent="0.15">
      <c r="A1404" s="62"/>
      <c r="B1404" s="93"/>
      <c r="C1404" s="102"/>
      <c r="D1404" s="62"/>
      <c r="E1404" s="102"/>
      <c r="F1404" s="102"/>
      <c r="G1404" s="102"/>
      <c r="H1404" s="175"/>
      <c r="I1404" s="85"/>
      <c r="J1404" s="104"/>
      <c r="K1404" s="143"/>
      <c r="L1404" s="61"/>
      <c r="N1404" s="37"/>
      <c r="O1404" s="37"/>
      <c r="P1404" s="37"/>
      <c r="Q1404" s="3"/>
      <c r="R1404" s="3"/>
      <c r="S1404" s="3"/>
      <c r="T1404" s="3"/>
      <c r="U1404" s="3"/>
      <c r="V1404" s="3"/>
      <c r="W1404" s="3"/>
      <c r="X1404" s="3"/>
      <c r="Y1404" s="3"/>
      <c r="Z1404" s="4"/>
      <c r="AA1404"/>
      <c r="AB1404"/>
    </row>
    <row r="1405" spans="1:28" s="49" customFormat="1" x14ac:dyDescent="0.15">
      <c r="A1405" s="62"/>
      <c r="B1405" s="93"/>
      <c r="C1405" s="102"/>
      <c r="D1405" s="62"/>
      <c r="E1405" s="102"/>
      <c r="F1405" s="102"/>
      <c r="G1405" s="102"/>
      <c r="H1405" s="175"/>
      <c r="I1405" s="85"/>
      <c r="J1405" s="104"/>
      <c r="K1405" s="143"/>
      <c r="L1405" s="61"/>
      <c r="N1405" s="37"/>
      <c r="O1405" s="37"/>
      <c r="P1405" s="37"/>
      <c r="Q1405" s="3"/>
      <c r="R1405" s="3"/>
      <c r="S1405" s="3"/>
      <c r="T1405" s="3"/>
      <c r="U1405" s="3"/>
      <c r="V1405" s="3"/>
      <c r="W1405" s="3"/>
      <c r="X1405" s="3"/>
      <c r="Y1405" s="3"/>
      <c r="Z1405" s="4"/>
      <c r="AA1405"/>
      <c r="AB1405"/>
    </row>
    <row r="1406" spans="1:28" s="49" customFormat="1" x14ac:dyDescent="0.15">
      <c r="A1406" s="62"/>
      <c r="B1406" s="93"/>
      <c r="C1406" s="102"/>
      <c r="D1406" s="62"/>
      <c r="E1406" s="102"/>
      <c r="F1406" s="102"/>
      <c r="G1406" s="102"/>
      <c r="H1406" s="175"/>
      <c r="I1406" s="85"/>
      <c r="J1406" s="104"/>
      <c r="K1406" s="143"/>
      <c r="L1406" s="61"/>
      <c r="N1406" s="37"/>
      <c r="O1406" s="37"/>
      <c r="P1406" s="37"/>
      <c r="Q1406" s="3"/>
      <c r="R1406" s="3"/>
      <c r="S1406" s="3"/>
      <c r="T1406" s="3"/>
      <c r="U1406" s="3"/>
      <c r="V1406" s="3"/>
      <c r="W1406" s="3"/>
      <c r="X1406" s="3"/>
      <c r="Y1406" s="3"/>
      <c r="Z1406" s="4"/>
      <c r="AA1406"/>
      <c r="AB1406"/>
    </row>
    <row r="1407" spans="1:28" s="49" customFormat="1" x14ac:dyDescent="0.15">
      <c r="A1407" s="62"/>
      <c r="B1407" s="93"/>
      <c r="C1407" s="102"/>
      <c r="D1407" s="62"/>
      <c r="E1407" s="102"/>
      <c r="F1407" s="102"/>
      <c r="G1407" s="102"/>
      <c r="H1407" s="175"/>
      <c r="I1407" s="85"/>
      <c r="J1407" s="104"/>
      <c r="K1407" s="143"/>
      <c r="L1407" s="61"/>
      <c r="N1407" s="37"/>
      <c r="O1407" s="37"/>
      <c r="P1407" s="37"/>
      <c r="Q1407" s="3"/>
      <c r="R1407" s="3"/>
      <c r="S1407" s="3"/>
      <c r="T1407" s="3"/>
      <c r="U1407" s="3"/>
      <c r="V1407" s="3"/>
      <c r="W1407" s="3"/>
      <c r="X1407" s="3"/>
      <c r="Y1407" s="3"/>
      <c r="Z1407" s="4"/>
      <c r="AA1407"/>
      <c r="AB1407"/>
    </row>
    <row r="1408" spans="1:28" s="49" customFormat="1" x14ac:dyDescent="0.15">
      <c r="A1408" s="62"/>
      <c r="B1408" s="93"/>
      <c r="C1408" s="102"/>
      <c r="D1408" s="62"/>
      <c r="E1408" s="102"/>
      <c r="F1408" s="102"/>
      <c r="G1408" s="102"/>
      <c r="H1408" s="175"/>
      <c r="I1408" s="85"/>
      <c r="J1408" s="104"/>
      <c r="K1408" s="143"/>
      <c r="L1408" s="61"/>
      <c r="N1408" s="37"/>
      <c r="O1408" s="37"/>
      <c r="P1408" s="37"/>
      <c r="Q1408" s="3"/>
      <c r="R1408" s="3"/>
      <c r="S1408" s="3"/>
      <c r="T1408" s="3"/>
      <c r="U1408" s="3"/>
      <c r="V1408" s="3"/>
      <c r="W1408" s="3"/>
      <c r="X1408" s="3"/>
      <c r="Y1408" s="3"/>
      <c r="Z1408" s="4"/>
      <c r="AA1408"/>
      <c r="AB1408"/>
    </row>
    <row r="1409" spans="1:28" s="49" customFormat="1" x14ac:dyDescent="0.15">
      <c r="A1409" s="62"/>
      <c r="B1409" s="93"/>
      <c r="C1409" s="102"/>
      <c r="D1409" s="62"/>
      <c r="E1409" s="102"/>
      <c r="F1409" s="102"/>
      <c r="G1409" s="102"/>
      <c r="H1409" s="175"/>
      <c r="I1409" s="85"/>
      <c r="J1409" s="104"/>
      <c r="K1409" s="143"/>
      <c r="L1409" s="61"/>
      <c r="N1409" s="37"/>
      <c r="O1409" s="37"/>
      <c r="P1409" s="37"/>
      <c r="Q1409" s="3"/>
      <c r="R1409" s="3"/>
      <c r="S1409" s="3"/>
      <c r="T1409" s="3"/>
      <c r="U1409" s="3"/>
      <c r="V1409" s="3"/>
      <c r="W1409" s="3"/>
      <c r="X1409" s="3"/>
      <c r="Y1409" s="3"/>
      <c r="Z1409" s="4"/>
      <c r="AA1409"/>
      <c r="AB1409"/>
    </row>
    <row r="1410" spans="1:28" s="49" customFormat="1" x14ac:dyDescent="0.15">
      <c r="A1410" s="62"/>
      <c r="B1410" s="93"/>
      <c r="C1410" s="102"/>
      <c r="D1410" s="62"/>
      <c r="E1410" s="102"/>
      <c r="F1410" s="102"/>
      <c r="G1410" s="102"/>
      <c r="H1410" s="175"/>
      <c r="I1410" s="85"/>
      <c r="J1410" s="104"/>
      <c r="K1410" s="144"/>
      <c r="L1410" s="61"/>
      <c r="N1410" s="37"/>
      <c r="O1410" s="37"/>
      <c r="P1410" s="37"/>
      <c r="Q1410" s="3"/>
      <c r="R1410" s="3"/>
      <c r="S1410" s="3"/>
      <c r="T1410" s="3"/>
      <c r="U1410" s="3"/>
      <c r="V1410" s="3"/>
      <c r="W1410" s="3"/>
      <c r="X1410" s="3"/>
      <c r="Y1410" s="3"/>
      <c r="Z1410" s="4"/>
      <c r="AA1410"/>
      <c r="AB1410"/>
    </row>
    <row r="1411" spans="1:28" s="49" customFormat="1" x14ac:dyDescent="0.15">
      <c r="A1411" s="62"/>
      <c r="B1411" s="93"/>
      <c r="C1411" s="102"/>
      <c r="D1411" s="62"/>
      <c r="E1411" s="102"/>
      <c r="F1411" s="102"/>
      <c r="G1411" s="102"/>
      <c r="H1411" s="175"/>
      <c r="I1411" s="85"/>
      <c r="J1411" s="104"/>
      <c r="K1411" s="144"/>
      <c r="L1411" s="61"/>
      <c r="N1411" s="37"/>
      <c r="O1411" s="37"/>
      <c r="P1411" s="37"/>
      <c r="Q1411" s="3"/>
      <c r="R1411" s="3"/>
      <c r="S1411" s="3"/>
      <c r="T1411" s="3"/>
      <c r="U1411" s="3"/>
      <c r="V1411" s="3"/>
      <c r="W1411" s="3"/>
      <c r="X1411" s="3"/>
      <c r="Y1411" s="3"/>
      <c r="Z1411" s="4"/>
      <c r="AA1411"/>
      <c r="AB1411"/>
    </row>
    <row r="1412" spans="1:28" s="49" customFormat="1" x14ac:dyDescent="0.15">
      <c r="A1412" s="165"/>
      <c r="B1412" s="93"/>
      <c r="C1412" s="102"/>
      <c r="D1412" s="62"/>
      <c r="E1412" s="102"/>
      <c r="F1412" s="102"/>
      <c r="G1412" s="102"/>
      <c r="H1412" s="175"/>
      <c r="I1412" s="85"/>
      <c r="J1412" s="104"/>
      <c r="K1412" s="144"/>
      <c r="L1412" s="62"/>
      <c r="N1412" s="37"/>
      <c r="O1412" s="37"/>
      <c r="P1412" s="37"/>
      <c r="Q1412" s="3"/>
      <c r="R1412" s="3"/>
      <c r="S1412" s="3"/>
      <c r="T1412" s="3"/>
      <c r="U1412" s="3"/>
      <c r="V1412" s="3"/>
      <c r="W1412" s="3"/>
      <c r="X1412" s="3"/>
      <c r="Y1412" s="3"/>
      <c r="Z1412" s="4"/>
      <c r="AA1412"/>
      <c r="AB1412"/>
    </row>
    <row r="1413" spans="1:28" s="49" customFormat="1" x14ac:dyDescent="0.15">
      <c r="A1413" s="62"/>
      <c r="B1413" s="93"/>
      <c r="C1413" s="102"/>
      <c r="D1413" s="62"/>
      <c r="E1413" s="102"/>
      <c r="F1413" s="102"/>
      <c r="G1413" s="102"/>
      <c r="H1413" s="175"/>
      <c r="I1413" s="85"/>
      <c r="J1413" s="104"/>
      <c r="K1413" s="144"/>
      <c r="L1413" s="61"/>
      <c r="N1413" s="37"/>
      <c r="O1413" s="37"/>
      <c r="P1413" s="37"/>
      <c r="Q1413" s="3"/>
      <c r="R1413" s="3"/>
      <c r="S1413" s="3"/>
      <c r="T1413" s="3"/>
      <c r="U1413" s="3"/>
      <c r="V1413" s="3"/>
      <c r="W1413" s="3"/>
      <c r="X1413" s="3"/>
      <c r="Y1413" s="3"/>
      <c r="Z1413" s="4"/>
      <c r="AA1413"/>
      <c r="AB1413"/>
    </row>
    <row r="1414" spans="1:28" s="49" customFormat="1" x14ac:dyDescent="0.15">
      <c r="A1414" s="62"/>
      <c r="B1414" s="93"/>
      <c r="C1414" s="102"/>
      <c r="D1414" s="62"/>
      <c r="E1414" s="102"/>
      <c r="F1414" s="102"/>
      <c r="G1414" s="102"/>
      <c r="H1414" s="175"/>
      <c r="I1414" s="85"/>
      <c r="J1414" s="104"/>
      <c r="K1414" s="144"/>
      <c r="L1414" s="61"/>
      <c r="N1414" s="37"/>
      <c r="O1414" s="37"/>
      <c r="P1414" s="37"/>
      <c r="Q1414" s="3"/>
      <c r="R1414" s="3"/>
      <c r="S1414" s="3"/>
      <c r="T1414" s="3"/>
      <c r="U1414" s="3"/>
      <c r="V1414" s="3"/>
      <c r="W1414" s="3"/>
      <c r="X1414" s="3"/>
      <c r="Y1414" s="3"/>
      <c r="Z1414" s="4"/>
      <c r="AA1414"/>
      <c r="AB1414"/>
    </row>
    <row r="1415" spans="1:28" s="49" customFormat="1" x14ac:dyDescent="0.15">
      <c r="A1415" s="62"/>
      <c r="B1415" s="93"/>
      <c r="C1415" s="102"/>
      <c r="D1415" s="62"/>
      <c r="E1415" s="102"/>
      <c r="F1415" s="102"/>
      <c r="G1415" s="102"/>
      <c r="H1415" s="175"/>
      <c r="I1415" s="85"/>
      <c r="J1415" s="104"/>
      <c r="K1415" s="144"/>
      <c r="L1415" s="61"/>
      <c r="N1415" s="37"/>
      <c r="O1415" s="37"/>
      <c r="P1415" s="37"/>
      <c r="Q1415" s="3"/>
      <c r="R1415" s="3"/>
      <c r="S1415" s="3"/>
      <c r="T1415" s="3"/>
      <c r="U1415" s="3"/>
      <c r="V1415" s="3"/>
      <c r="W1415" s="3"/>
      <c r="X1415" s="3"/>
      <c r="Y1415" s="3"/>
      <c r="Z1415" s="4"/>
      <c r="AA1415"/>
      <c r="AB1415"/>
    </row>
    <row r="1416" spans="1:28" s="49" customFormat="1" x14ac:dyDescent="0.15">
      <c r="A1416" s="62"/>
      <c r="B1416" s="93"/>
      <c r="C1416" s="100"/>
      <c r="D1416" s="61"/>
      <c r="E1416" s="100"/>
      <c r="F1416" s="100"/>
      <c r="G1416" s="100"/>
      <c r="H1416" s="177"/>
      <c r="I1416" s="85"/>
      <c r="J1416" s="101"/>
      <c r="K1416" s="144"/>
      <c r="L1416" s="61"/>
      <c r="N1416" s="37"/>
      <c r="O1416" s="37"/>
      <c r="P1416" s="37"/>
      <c r="Q1416" s="3"/>
      <c r="R1416" s="3"/>
      <c r="S1416" s="3"/>
      <c r="T1416" s="3"/>
      <c r="U1416" s="3"/>
      <c r="V1416" s="3"/>
      <c r="W1416" s="3"/>
      <c r="X1416" s="3"/>
      <c r="Y1416" s="3"/>
      <c r="Z1416" s="4"/>
      <c r="AA1416"/>
      <c r="AB1416"/>
    </row>
    <row r="1417" spans="1:28" s="49" customFormat="1" x14ac:dyDescent="0.15">
      <c r="A1417" s="62"/>
      <c r="B1417" s="93"/>
      <c r="C1417" s="102"/>
      <c r="D1417" s="62"/>
      <c r="E1417" s="102"/>
      <c r="F1417" s="102"/>
      <c r="G1417" s="102"/>
      <c r="H1417" s="175"/>
      <c r="I1417" s="85"/>
      <c r="J1417" s="104"/>
      <c r="K1417" s="144"/>
      <c r="L1417" s="61"/>
      <c r="N1417" s="37"/>
      <c r="O1417" s="37"/>
      <c r="P1417" s="37"/>
      <c r="Q1417" s="3"/>
      <c r="R1417" s="3"/>
      <c r="S1417" s="3"/>
      <c r="T1417" s="3"/>
      <c r="U1417" s="3"/>
      <c r="V1417" s="3"/>
      <c r="W1417" s="3"/>
      <c r="X1417" s="3"/>
      <c r="Y1417" s="3"/>
      <c r="Z1417" s="4"/>
      <c r="AA1417"/>
      <c r="AB1417"/>
    </row>
    <row r="1418" spans="1:28" s="49" customFormat="1" x14ac:dyDescent="0.15">
      <c r="A1418" s="165"/>
      <c r="B1418" s="93"/>
      <c r="C1418" s="102"/>
      <c r="D1418" s="62"/>
      <c r="E1418" s="102"/>
      <c r="F1418" s="102"/>
      <c r="G1418" s="102"/>
      <c r="H1418" s="175"/>
      <c r="I1418" s="85"/>
      <c r="J1418" s="104"/>
      <c r="K1418" s="144"/>
      <c r="L1418" s="61"/>
      <c r="N1418" s="37"/>
      <c r="O1418" s="37"/>
      <c r="P1418" s="37"/>
      <c r="Q1418" s="3"/>
      <c r="R1418" s="3"/>
      <c r="S1418" s="3"/>
      <c r="T1418" s="3"/>
      <c r="U1418" s="3"/>
      <c r="V1418" s="3"/>
      <c r="W1418" s="3"/>
      <c r="X1418" s="3"/>
      <c r="Y1418" s="3"/>
      <c r="Z1418" s="4"/>
      <c r="AA1418"/>
      <c r="AB1418"/>
    </row>
    <row r="1419" spans="1:28" s="49" customFormat="1" x14ac:dyDescent="0.15">
      <c r="A1419" s="165"/>
      <c r="B1419" s="93"/>
      <c r="C1419" s="102"/>
      <c r="D1419" s="62"/>
      <c r="E1419" s="102"/>
      <c r="F1419" s="102"/>
      <c r="G1419" s="102"/>
      <c r="H1419" s="175"/>
      <c r="I1419" s="85"/>
      <c r="J1419" s="104"/>
      <c r="K1419" s="144"/>
      <c r="L1419" s="61"/>
      <c r="N1419" s="37"/>
      <c r="O1419" s="37"/>
      <c r="P1419" s="37"/>
      <c r="Q1419" s="3"/>
      <c r="R1419" s="3"/>
      <c r="S1419" s="3"/>
      <c r="T1419" s="3"/>
      <c r="U1419" s="3"/>
      <c r="V1419" s="3"/>
      <c r="W1419" s="3"/>
      <c r="X1419" s="3"/>
      <c r="Y1419" s="3"/>
      <c r="Z1419" s="4"/>
      <c r="AA1419"/>
      <c r="AB1419"/>
    </row>
    <row r="1420" spans="1:28" s="49" customFormat="1" x14ac:dyDescent="0.15">
      <c r="A1420" s="165"/>
      <c r="B1420" s="93"/>
      <c r="C1420" s="102"/>
      <c r="D1420" s="62"/>
      <c r="E1420" s="100"/>
      <c r="F1420" s="102"/>
      <c r="G1420" s="102"/>
      <c r="H1420" s="175"/>
      <c r="I1420" s="85"/>
      <c r="J1420" s="104"/>
      <c r="K1420" s="144"/>
      <c r="L1420" s="61"/>
      <c r="N1420" s="37"/>
      <c r="O1420" s="37"/>
      <c r="P1420" s="37"/>
      <c r="Q1420" s="3"/>
      <c r="R1420" s="3"/>
      <c r="S1420" s="3"/>
      <c r="T1420" s="3"/>
      <c r="U1420" s="3"/>
      <c r="V1420" s="3"/>
      <c r="W1420" s="3"/>
      <c r="X1420" s="3"/>
      <c r="Y1420" s="3"/>
      <c r="Z1420" s="4"/>
      <c r="AA1420"/>
      <c r="AB1420"/>
    </row>
    <row r="1421" spans="1:28" s="49" customFormat="1" x14ac:dyDescent="0.15">
      <c r="A1421" s="165"/>
      <c r="B1421" s="93"/>
      <c r="C1421" s="102"/>
      <c r="D1421" s="62"/>
      <c r="E1421" s="100"/>
      <c r="F1421" s="102"/>
      <c r="G1421" s="102"/>
      <c r="H1421" s="175"/>
      <c r="I1421" s="85"/>
      <c r="J1421" s="104"/>
      <c r="K1421" s="144"/>
      <c r="L1421" s="61"/>
      <c r="N1421" s="37"/>
      <c r="O1421" s="37"/>
      <c r="P1421" s="37"/>
      <c r="Q1421" s="3"/>
      <c r="R1421" s="3"/>
      <c r="S1421" s="3"/>
      <c r="T1421" s="3"/>
      <c r="U1421" s="3"/>
      <c r="V1421" s="3"/>
      <c r="W1421" s="3"/>
      <c r="X1421" s="3"/>
      <c r="Y1421" s="3"/>
      <c r="Z1421" s="4"/>
      <c r="AA1421"/>
      <c r="AB1421"/>
    </row>
    <row r="1422" spans="1:28" s="49" customFormat="1" x14ac:dyDescent="0.15">
      <c r="A1422" s="165"/>
      <c r="B1422" s="93"/>
      <c r="C1422" s="102"/>
      <c r="D1422" s="62"/>
      <c r="E1422" s="100"/>
      <c r="F1422" s="102"/>
      <c r="G1422" s="102"/>
      <c r="H1422" s="175"/>
      <c r="I1422" s="98"/>
      <c r="J1422" s="98"/>
      <c r="K1422" s="135"/>
      <c r="L1422" s="61"/>
      <c r="N1422" s="37"/>
      <c r="O1422" s="37"/>
      <c r="P1422" s="37"/>
      <c r="Q1422" s="3"/>
      <c r="R1422" s="3"/>
      <c r="S1422" s="3"/>
      <c r="T1422" s="3"/>
      <c r="U1422" s="3"/>
      <c r="V1422" s="3"/>
      <c r="W1422" s="3"/>
      <c r="X1422" s="3"/>
      <c r="Y1422" s="3"/>
      <c r="Z1422" s="4"/>
      <c r="AA1422"/>
      <c r="AB1422"/>
    </row>
    <row r="1423" spans="1:28" s="49" customFormat="1" x14ac:dyDescent="0.15">
      <c r="A1423" s="62"/>
      <c r="B1423" s="93"/>
      <c r="C1423" s="102"/>
      <c r="D1423" s="62"/>
      <c r="E1423" s="100"/>
      <c r="F1423" s="102"/>
      <c r="G1423" s="102"/>
      <c r="H1423" s="175"/>
      <c r="I1423" s="85"/>
      <c r="J1423" s="104"/>
      <c r="K1423" s="144"/>
      <c r="L1423" s="61"/>
      <c r="N1423" s="37"/>
      <c r="O1423" s="37"/>
      <c r="P1423" s="37"/>
      <c r="Q1423" s="3"/>
      <c r="R1423" s="3"/>
      <c r="S1423" s="3"/>
      <c r="T1423" s="3"/>
      <c r="U1423" s="3"/>
      <c r="V1423" s="3"/>
      <c r="W1423" s="3"/>
      <c r="X1423" s="3"/>
      <c r="Y1423" s="3"/>
      <c r="Z1423" s="4"/>
      <c r="AA1423"/>
      <c r="AB1423"/>
    </row>
    <row r="1424" spans="1:28" s="49" customFormat="1" x14ac:dyDescent="0.15">
      <c r="A1424" s="62"/>
      <c r="B1424" s="93"/>
      <c r="C1424" s="102"/>
      <c r="D1424" s="62"/>
      <c r="E1424" s="102"/>
      <c r="F1424" s="102"/>
      <c r="G1424" s="102"/>
      <c r="H1424" s="175"/>
      <c r="I1424" s="85"/>
      <c r="J1424" s="104"/>
      <c r="K1424" s="144"/>
      <c r="L1424" s="61"/>
      <c r="N1424" s="37"/>
      <c r="O1424" s="37"/>
      <c r="P1424" s="37"/>
      <c r="Q1424" s="3"/>
      <c r="R1424" s="3"/>
      <c r="S1424" s="3"/>
      <c r="T1424" s="3"/>
      <c r="U1424" s="3"/>
      <c r="V1424" s="3"/>
      <c r="W1424" s="3"/>
      <c r="X1424" s="3"/>
      <c r="Y1424" s="3"/>
      <c r="Z1424" s="4"/>
      <c r="AA1424"/>
      <c r="AB1424"/>
    </row>
    <row r="1425" spans="1:28" s="49" customFormat="1" x14ac:dyDescent="0.15">
      <c r="A1425" s="165"/>
      <c r="B1425" s="93"/>
      <c r="C1425" s="102"/>
      <c r="D1425" s="62"/>
      <c r="E1425" s="100"/>
      <c r="F1425" s="102"/>
      <c r="G1425" s="102"/>
      <c r="H1425" s="175"/>
      <c r="I1425" s="85"/>
      <c r="J1425" s="104"/>
      <c r="K1425" s="144"/>
      <c r="L1425" s="61"/>
      <c r="N1425" s="37"/>
      <c r="O1425" s="37"/>
      <c r="P1425" s="37"/>
      <c r="Q1425" s="3"/>
      <c r="R1425" s="3"/>
      <c r="S1425" s="3"/>
      <c r="T1425" s="3"/>
      <c r="U1425" s="3"/>
      <c r="V1425" s="3"/>
      <c r="W1425" s="3"/>
      <c r="X1425" s="3"/>
      <c r="Y1425" s="3"/>
      <c r="Z1425" s="4"/>
      <c r="AA1425"/>
      <c r="AB1425"/>
    </row>
    <row r="1426" spans="1:28" s="49" customFormat="1" x14ac:dyDescent="0.15">
      <c r="A1426" s="165"/>
      <c r="B1426" s="93"/>
      <c r="C1426" s="102"/>
      <c r="D1426" s="62"/>
      <c r="E1426" s="102"/>
      <c r="F1426" s="102"/>
      <c r="G1426" s="102"/>
      <c r="H1426" s="175"/>
      <c r="I1426" s="85"/>
      <c r="J1426" s="104"/>
      <c r="K1426" s="144"/>
      <c r="L1426" s="61"/>
      <c r="N1426" s="37"/>
      <c r="O1426" s="37"/>
      <c r="P1426" s="37"/>
      <c r="Q1426" s="3"/>
      <c r="R1426" s="3"/>
      <c r="S1426" s="3"/>
      <c r="T1426" s="3"/>
      <c r="U1426" s="3"/>
      <c r="V1426" s="3"/>
      <c r="W1426" s="3"/>
      <c r="X1426" s="3"/>
      <c r="Y1426" s="3"/>
      <c r="Z1426" s="4"/>
      <c r="AA1426"/>
      <c r="AB1426"/>
    </row>
    <row r="1427" spans="1:28" s="49" customFormat="1" x14ac:dyDescent="0.15">
      <c r="A1427" s="165"/>
      <c r="B1427" s="93"/>
      <c r="C1427" s="102"/>
      <c r="D1427" s="62"/>
      <c r="E1427" s="102"/>
      <c r="F1427" s="102"/>
      <c r="G1427" s="102"/>
      <c r="H1427" s="175"/>
      <c r="I1427" s="85"/>
      <c r="J1427" s="104"/>
      <c r="K1427" s="144"/>
      <c r="L1427" s="61"/>
      <c r="N1427" s="37"/>
      <c r="O1427" s="37"/>
      <c r="P1427" s="37"/>
      <c r="Q1427" s="3"/>
      <c r="R1427" s="3"/>
      <c r="S1427" s="3"/>
      <c r="T1427" s="3"/>
      <c r="U1427" s="3"/>
      <c r="V1427" s="3"/>
      <c r="W1427" s="3"/>
      <c r="X1427" s="3"/>
      <c r="Y1427" s="3"/>
      <c r="Z1427" s="4"/>
      <c r="AA1427"/>
      <c r="AB1427"/>
    </row>
    <row r="1428" spans="1:28" s="49" customFormat="1" x14ac:dyDescent="0.15">
      <c r="A1428" s="165"/>
      <c r="B1428" s="93"/>
      <c r="C1428" s="102"/>
      <c r="D1428" s="62"/>
      <c r="E1428" s="102"/>
      <c r="F1428" s="102"/>
      <c r="G1428" s="102"/>
      <c r="H1428" s="175"/>
      <c r="I1428" s="85"/>
      <c r="J1428" s="104"/>
      <c r="K1428" s="144"/>
      <c r="L1428" s="61"/>
      <c r="N1428" s="37"/>
      <c r="O1428" s="37"/>
      <c r="P1428" s="37"/>
      <c r="Q1428" s="3"/>
      <c r="R1428" s="3"/>
      <c r="S1428" s="3"/>
      <c r="T1428" s="3"/>
      <c r="U1428" s="3"/>
      <c r="V1428" s="3"/>
      <c r="W1428" s="3"/>
      <c r="X1428" s="3"/>
      <c r="Y1428" s="3"/>
      <c r="Z1428" s="4"/>
      <c r="AA1428"/>
      <c r="AB1428"/>
    </row>
    <row r="1429" spans="1:28" s="49" customFormat="1" x14ac:dyDescent="0.15">
      <c r="A1429" s="165"/>
      <c r="B1429" s="93"/>
      <c r="C1429" s="102"/>
      <c r="D1429" s="62"/>
      <c r="E1429" s="100"/>
      <c r="F1429" s="102"/>
      <c r="G1429" s="102"/>
      <c r="H1429" s="175"/>
      <c r="I1429" s="98"/>
      <c r="J1429" s="98"/>
      <c r="K1429" s="135"/>
      <c r="L1429" s="61"/>
      <c r="N1429" s="37"/>
      <c r="O1429" s="37"/>
      <c r="P1429" s="37"/>
      <c r="Q1429" s="3"/>
      <c r="R1429" s="3"/>
      <c r="S1429" s="3"/>
      <c r="T1429" s="3"/>
      <c r="U1429" s="3"/>
      <c r="V1429" s="3"/>
      <c r="W1429" s="3"/>
      <c r="X1429" s="3"/>
      <c r="Y1429" s="3"/>
      <c r="Z1429" s="4"/>
      <c r="AA1429"/>
      <c r="AB1429"/>
    </row>
    <row r="1430" spans="1:28" s="49" customFormat="1" x14ac:dyDescent="0.15">
      <c r="A1430" s="165"/>
      <c r="B1430" s="93"/>
      <c r="C1430" s="102"/>
      <c r="D1430" s="62"/>
      <c r="E1430" s="102"/>
      <c r="F1430" s="102"/>
      <c r="G1430" s="102"/>
      <c r="H1430" s="175"/>
      <c r="I1430" s="85"/>
      <c r="J1430" s="104"/>
      <c r="K1430" s="144"/>
      <c r="L1430" s="61"/>
      <c r="N1430" s="37"/>
      <c r="O1430" s="37"/>
      <c r="P1430" s="37"/>
      <c r="Q1430" s="3"/>
      <c r="R1430" s="3"/>
      <c r="S1430" s="3"/>
      <c r="T1430" s="3"/>
      <c r="U1430" s="3"/>
      <c r="V1430" s="3"/>
      <c r="W1430" s="3"/>
      <c r="X1430" s="3"/>
      <c r="Y1430" s="3"/>
      <c r="Z1430" s="4"/>
      <c r="AA1430"/>
      <c r="AB1430"/>
    </row>
    <row r="1431" spans="1:28" s="49" customFormat="1" x14ac:dyDescent="0.15">
      <c r="A1431" s="165"/>
      <c r="B1431" s="93"/>
      <c r="C1431" s="102"/>
      <c r="D1431" s="62"/>
      <c r="E1431" s="100"/>
      <c r="F1431" s="102"/>
      <c r="G1431" s="102"/>
      <c r="H1431" s="175"/>
      <c r="I1431" s="98"/>
      <c r="J1431" s="98"/>
      <c r="K1431" s="135"/>
      <c r="L1431" s="61"/>
      <c r="N1431" s="37"/>
      <c r="O1431" s="37"/>
      <c r="P1431" s="37"/>
      <c r="Q1431" s="3"/>
      <c r="R1431" s="3"/>
      <c r="S1431" s="3"/>
      <c r="T1431" s="3"/>
      <c r="U1431" s="3"/>
      <c r="V1431" s="3"/>
      <c r="W1431" s="3"/>
      <c r="X1431" s="3"/>
      <c r="Y1431" s="3"/>
      <c r="Z1431" s="4"/>
      <c r="AA1431"/>
      <c r="AB1431"/>
    </row>
    <row r="1432" spans="1:28" s="49" customFormat="1" x14ac:dyDescent="0.15">
      <c r="A1432" s="165"/>
      <c r="B1432" s="93"/>
      <c r="C1432" s="102"/>
      <c r="D1432" s="62"/>
      <c r="E1432" s="102"/>
      <c r="F1432" s="102"/>
      <c r="G1432" s="102"/>
      <c r="H1432" s="175"/>
      <c r="I1432" s="85"/>
      <c r="J1432" s="104"/>
      <c r="K1432" s="144"/>
      <c r="L1432" s="61"/>
      <c r="N1432" s="37"/>
      <c r="O1432" s="37"/>
      <c r="P1432" s="37"/>
      <c r="Q1432" s="3"/>
      <c r="R1432" s="3"/>
      <c r="S1432" s="3"/>
      <c r="T1432" s="3"/>
      <c r="U1432" s="3"/>
      <c r="V1432" s="3"/>
      <c r="W1432" s="3"/>
      <c r="X1432" s="3"/>
      <c r="Y1432" s="3"/>
      <c r="Z1432" s="4"/>
      <c r="AA1432"/>
      <c r="AB1432"/>
    </row>
    <row r="1433" spans="1:28" s="49" customFormat="1" x14ac:dyDescent="0.15">
      <c r="A1433" s="165"/>
      <c r="B1433" s="93"/>
      <c r="C1433" s="102"/>
      <c r="D1433" s="62"/>
      <c r="E1433" s="100"/>
      <c r="F1433" s="102"/>
      <c r="G1433" s="102"/>
      <c r="H1433" s="175"/>
      <c r="I1433" s="98"/>
      <c r="J1433" s="98"/>
      <c r="K1433" s="135"/>
      <c r="L1433" s="61"/>
      <c r="N1433" s="37"/>
      <c r="O1433" s="37"/>
      <c r="P1433" s="37"/>
      <c r="Q1433" s="3"/>
      <c r="R1433" s="3"/>
      <c r="S1433" s="3"/>
      <c r="T1433" s="3"/>
      <c r="U1433" s="3"/>
      <c r="V1433" s="3"/>
      <c r="W1433" s="3"/>
      <c r="X1433" s="3"/>
      <c r="Y1433" s="3"/>
      <c r="Z1433" s="4"/>
      <c r="AA1433"/>
      <c r="AB1433"/>
    </row>
    <row r="1434" spans="1:28" s="49" customFormat="1" x14ac:dyDescent="0.15">
      <c r="A1434" s="165"/>
      <c r="B1434" s="93"/>
      <c r="C1434" s="102"/>
      <c r="D1434" s="62"/>
      <c r="E1434" s="100"/>
      <c r="F1434" s="102"/>
      <c r="G1434" s="102"/>
      <c r="H1434" s="175"/>
      <c r="I1434" s="98"/>
      <c r="J1434" s="98"/>
      <c r="K1434" s="135"/>
      <c r="L1434" s="61"/>
      <c r="N1434" s="37"/>
      <c r="O1434" s="37"/>
      <c r="P1434" s="37"/>
      <c r="Q1434" s="3"/>
      <c r="R1434" s="3"/>
      <c r="S1434" s="3"/>
      <c r="T1434" s="3"/>
      <c r="U1434" s="3"/>
      <c r="V1434" s="3"/>
      <c r="W1434" s="3"/>
      <c r="X1434" s="3"/>
      <c r="Y1434" s="3"/>
      <c r="Z1434" s="4"/>
      <c r="AA1434"/>
      <c r="AB1434"/>
    </row>
    <row r="1435" spans="1:28" s="49" customFormat="1" x14ac:dyDescent="0.15">
      <c r="A1435" s="165"/>
      <c r="B1435" s="93"/>
      <c r="C1435" s="102"/>
      <c r="D1435" s="62"/>
      <c r="E1435" s="102"/>
      <c r="F1435" s="102"/>
      <c r="G1435" s="102"/>
      <c r="H1435" s="175"/>
      <c r="I1435" s="85"/>
      <c r="J1435" s="104"/>
      <c r="K1435" s="144"/>
      <c r="L1435" s="61"/>
      <c r="N1435" s="37"/>
      <c r="O1435" s="37"/>
      <c r="P1435" s="37"/>
      <c r="Q1435" s="3"/>
      <c r="R1435" s="3"/>
      <c r="S1435" s="3"/>
      <c r="T1435" s="3"/>
      <c r="U1435" s="3"/>
      <c r="V1435" s="3"/>
      <c r="W1435" s="3"/>
      <c r="X1435" s="3"/>
      <c r="Y1435" s="3"/>
      <c r="Z1435" s="4"/>
      <c r="AA1435"/>
      <c r="AB1435"/>
    </row>
    <row r="1436" spans="1:28" s="49" customFormat="1" x14ac:dyDescent="0.15">
      <c r="A1436" s="165"/>
      <c r="B1436" s="93"/>
      <c r="C1436" s="102"/>
      <c r="D1436" s="62"/>
      <c r="E1436" s="102"/>
      <c r="F1436" s="102"/>
      <c r="G1436" s="102"/>
      <c r="H1436" s="175"/>
      <c r="I1436" s="85"/>
      <c r="J1436" s="104"/>
      <c r="K1436" s="144"/>
      <c r="L1436" s="61"/>
      <c r="N1436" s="37"/>
      <c r="O1436" s="37"/>
      <c r="P1436" s="37"/>
      <c r="Q1436" s="3"/>
      <c r="R1436" s="3"/>
      <c r="S1436" s="3"/>
      <c r="T1436" s="3"/>
      <c r="U1436" s="3"/>
      <c r="V1436" s="3"/>
      <c r="W1436" s="3"/>
      <c r="X1436" s="3"/>
      <c r="Y1436" s="3"/>
      <c r="Z1436" s="4"/>
      <c r="AA1436"/>
      <c r="AB1436"/>
    </row>
    <row r="1437" spans="1:28" s="49" customFormat="1" x14ac:dyDescent="0.15">
      <c r="A1437" s="165"/>
      <c r="B1437" s="93"/>
      <c r="C1437" s="102"/>
      <c r="D1437" s="62"/>
      <c r="E1437" s="102"/>
      <c r="F1437" s="102"/>
      <c r="G1437" s="102"/>
      <c r="H1437" s="175"/>
      <c r="I1437" s="85"/>
      <c r="J1437" s="104"/>
      <c r="K1437" s="144"/>
      <c r="L1437" s="61"/>
      <c r="N1437" s="37"/>
      <c r="O1437" s="37"/>
      <c r="P1437" s="37"/>
      <c r="Q1437" s="3"/>
      <c r="R1437" s="3"/>
      <c r="S1437" s="3"/>
      <c r="T1437" s="3"/>
      <c r="U1437" s="3"/>
      <c r="V1437" s="3"/>
      <c r="W1437" s="3"/>
      <c r="X1437" s="3"/>
      <c r="Y1437" s="3"/>
      <c r="Z1437" s="4"/>
      <c r="AA1437"/>
      <c r="AB1437"/>
    </row>
    <row r="1438" spans="1:28" s="49" customFormat="1" x14ac:dyDescent="0.15">
      <c r="A1438" s="165"/>
      <c r="B1438" s="93"/>
      <c r="C1438" s="102"/>
      <c r="D1438" s="62"/>
      <c r="E1438" s="102"/>
      <c r="F1438" s="102"/>
      <c r="G1438" s="102"/>
      <c r="H1438" s="175"/>
      <c r="I1438" s="85"/>
      <c r="J1438" s="104"/>
      <c r="K1438" s="144"/>
      <c r="L1438" s="61"/>
      <c r="N1438" s="37"/>
      <c r="O1438" s="37"/>
      <c r="P1438" s="37"/>
      <c r="Q1438" s="3"/>
      <c r="R1438" s="3"/>
      <c r="S1438" s="3"/>
      <c r="T1438" s="3"/>
      <c r="U1438" s="3"/>
      <c r="V1438" s="3"/>
      <c r="W1438" s="3"/>
      <c r="X1438" s="3"/>
      <c r="Y1438" s="3"/>
      <c r="Z1438" s="4"/>
      <c r="AA1438"/>
      <c r="AB1438"/>
    </row>
    <row r="1439" spans="1:28" s="49" customFormat="1" x14ac:dyDescent="0.15">
      <c r="A1439" s="165"/>
      <c r="B1439" s="93"/>
      <c r="C1439" s="102"/>
      <c r="D1439" s="62"/>
      <c r="E1439" s="102"/>
      <c r="F1439" s="102"/>
      <c r="G1439" s="102"/>
      <c r="H1439" s="175"/>
      <c r="I1439" s="85"/>
      <c r="J1439" s="104"/>
      <c r="K1439" s="144"/>
      <c r="L1439" s="61"/>
      <c r="N1439" s="37"/>
      <c r="O1439" s="37"/>
      <c r="P1439" s="37"/>
      <c r="Q1439" s="3"/>
      <c r="R1439" s="3"/>
      <c r="S1439" s="3"/>
      <c r="T1439" s="3"/>
      <c r="U1439" s="3"/>
      <c r="V1439" s="3"/>
      <c r="W1439" s="3"/>
      <c r="X1439" s="3"/>
      <c r="Y1439" s="3"/>
      <c r="Z1439" s="4"/>
      <c r="AA1439"/>
      <c r="AB1439"/>
    </row>
    <row r="1440" spans="1:28" s="49" customFormat="1" x14ac:dyDescent="0.15">
      <c r="A1440" s="165"/>
      <c r="B1440" s="93"/>
      <c r="C1440" s="102"/>
      <c r="D1440" s="62"/>
      <c r="E1440" s="102"/>
      <c r="F1440" s="102"/>
      <c r="G1440" s="102"/>
      <c r="H1440" s="175"/>
      <c r="I1440" s="85"/>
      <c r="J1440" s="104"/>
      <c r="K1440" s="144"/>
      <c r="L1440" s="61"/>
      <c r="N1440" s="37"/>
      <c r="O1440" s="37"/>
      <c r="P1440" s="37"/>
      <c r="Q1440" s="3"/>
      <c r="R1440" s="3"/>
      <c r="S1440" s="3"/>
      <c r="T1440" s="3"/>
      <c r="U1440" s="3"/>
      <c r="V1440" s="3"/>
      <c r="W1440" s="3"/>
      <c r="X1440" s="3"/>
      <c r="Y1440" s="3"/>
      <c r="Z1440" s="4"/>
      <c r="AA1440"/>
      <c r="AB1440"/>
    </row>
    <row r="1441" spans="1:28" s="49" customFormat="1" x14ac:dyDescent="0.15">
      <c r="A1441" s="165"/>
      <c r="B1441" s="93"/>
      <c r="C1441" s="102"/>
      <c r="D1441" s="62"/>
      <c r="E1441" s="102"/>
      <c r="F1441" s="102"/>
      <c r="G1441" s="102"/>
      <c r="H1441" s="175"/>
      <c r="I1441" s="85"/>
      <c r="J1441" s="104"/>
      <c r="K1441" s="144"/>
      <c r="L1441" s="61"/>
      <c r="N1441" s="37"/>
      <c r="O1441" s="37"/>
      <c r="P1441" s="37"/>
      <c r="Q1441" s="3"/>
      <c r="R1441" s="3"/>
      <c r="S1441" s="3"/>
      <c r="T1441" s="3"/>
      <c r="U1441" s="3"/>
      <c r="V1441" s="3"/>
      <c r="W1441" s="3"/>
      <c r="X1441" s="3"/>
      <c r="Y1441" s="3"/>
      <c r="Z1441" s="4"/>
      <c r="AA1441"/>
      <c r="AB1441"/>
    </row>
    <row r="1442" spans="1:28" s="49" customFormat="1" x14ac:dyDescent="0.15">
      <c r="A1442" s="165"/>
      <c r="B1442" s="93"/>
      <c r="C1442" s="102"/>
      <c r="D1442" s="62"/>
      <c r="E1442" s="102"/>
      <c r="F1442" s="102"/>
      <c r="G1442" s="102"/>
      <c r="H1442" s="175"/>
      <c r="I1442" s="85"/>
      <c r="J1442" s="104"/>
      <c r="K1442" s="144"/>
      <c r="L1442" s="61"/>
      <c r="N1442" s="37"/>
      <c r="O1442" s="37"/>
      <c r="P1442" s="37"/>
      <c r="Q1442" s="3"/>
      <c r="R1442" s="3"/>
      <c r="S1442" s="3"/>
      <c r="T1442" s="3"/>
      <c r="U1442" s="3"/>
      <c r="V1442" s="3"/>
      <c r="W1442" s="3"/>
      <c r="X1442" s="3"/>
      <c r="Y1442" s="3"/>
      <c r="Z1442" s="4"/>
      <c r="AA1442"/>
      <c r="AB1442"/>
    </row>
    <row r="1443" spans="1:28" s="49" customFormat="1" x14ac:dyDescent="0.15">
      <c r="A1443" s="165"/>
      <c r="B1443" s="93"/>
      <c r="C1443" s="102"/>
      <c r="D1443" s="62"/>
      <c r="E1443" s="102"/>
      <c r="F1443" s="102"/>
      <c r="G1443" s="102"/>
      <c r="H1443" s="175"/>
      <c r="I1443" s="85"/>
      <c r="J1443" s="104"/>
      <c r="K1443" s="144"/>
      <c r="L1443" s="61"/>
      <c r="N1443" s="37"/>
      <c r="O1443" s="37"/>
      <c r="P1443" s="37"/>
      <c r="Q1443" s="3"/>
      <c r="R1443" s="3"/>
      <c r="S1443" s="3"/>
      <c r="T1443" s="3"/>
      <c r="U1443" s="3"/>
      <c r="V1443" s="3"/>
      <c r="W1443" s="3"/>
      <c r="X1443" s="3"/>
      <c r="Y1443" s="3"/>
      <c r="Z1443" s="4"/>
      <c r="AA1443"/>
      <c r="AB1443"/>
    </row>
    <row r="1444" spans="1:28" s="49" customFormat="1" x14ac:dyDescent="0.15">
      <c r="A1444" s="165"/>
      <c r="B1444" s="93"/>
      <c r="C1444" s="102"/>
      <c r="D1444" s="62"/>
      <c r="E1444" s="102"/>
      <c r="F1444" s="102"/>
      <c r="G1444" s="102"/>
      <c r="H1444" s="175"/>
      <c r="I1444" s="85"/>
      <c r="J1444" s="104"/>
      <c r="K1444" s="144"/>
      <c r="L1444" s="61"/>
      <c r="N1444" s="37"/>
      <c r="O1444" s="37"/>
      <c r="P1444" s="37"/>
      <c r="Q1444" s="3"/>
      <c r="R1444" s="3"/>
      <c r="S1444" s="3"/>
      <c r="T1444" s="3"/>
      <c r="U1444" s="3"/>
      <c r="V1444" s="3"/>
      <c r="W1444" s="3"/>
      <c r="X1444" s="3"/>
      <c r="Y1444" s="3"/>
      <c r="Z1444" s="4"/>
      <c r="AA1444"/>
      <c r="AB1444"/>
    </row>
    <row r="1445" spans="1:28" s="49" customFormat="1" x14ac:dyDescent="0.15">
      <c r="A1445" s="165"/>
      <c r="B1445" s="93"/>
      <c r="C1445" s="102"/>
      <c r="D1445" s="62"/>
      <c r="E1445" s="102"/>
      <c r="F1445" s="102"/>
      <c r="G1445" s="102"/>
      <c r="H1445" s="175"/>
      <c r="I1445" s="85"/>
      <c r="J1445" s="104"/>
      <c r="K1445" s="144"/>
      <c r="L1445" s="61"/>
      <c r="N1445" s="37"/>
      <c r="O1445" s="37"/>
      <c r="P1445" s="37"/>
      <c r="Q1445" s="3"/>
      <c r="R1445" s="3"/>
      <c r="S1445" s="3"/>
      <c r="T1445" s="3"/>
      <c r="U1445" s="3"/>
      <c r="V1445" s="3"/>
      <c r="W1445" s="3"/>
      <c r="X1445" s="3"/>
      <c r="Y1445" s="3"/>
      <c r="Z1445" s="4"/>
      <c r="AA1445"/>
      <c r="AB1445"/>
    </row>
    <row r="1446" spans="1:28" s="49" customFormat="1" x14ac:dyDescent="0.15">
      <c r="A1446" s="165"/>
      <c r="B1446" s="93"/>
      <c r="C1446" s="102"/>
      <c r="D1446" s="62"/>
      <c r="E1446" s="100"/>
      <c r="F1446" s="102"/>
      <c r="G1446" s="102"/>
      <c r="H1446" s="175"/>
      <c r="I1446" s="85"/>
      <c r="J1446" s="104"/>
      <c r="K1446" s="144"/>
      <c r="L1446" s="61"/>
      <c r="N1446" s="37"/>
      <c r="O1446" s="37"/>
      <c r="P1446" s="37"/>
      <c r="Q1446" s="3"/>
      <c r="R1446" s="3"/>
      <c r="S1446" s="3"/>
      <c r="T1446" s="3"/>
      <c r="U1446" s="3"/>
      <c r="V1446" s="3"/>
      <c r="W1446" s="3"/>
      <c r="X1446" s="3"/>
      <c r="Y1446" s="3"/>
      <c r="Z1446" s="4"/>
      <c r="AA1446"/>
      <c r="AB1446"/>
    </row>
    <row r="1447" spans="1:28" s="49" customFormat="1" x14ac:dyDescent="0.15">
      <c r="A1447" s="165"/>
      <c r="B1447" s="93"/>
      <c r="C1447" s="102"/>
      <c r="D1447" s="62"/>
      <c r="E1447" s="102"/>
      <c r="F1447" s="102"/>
      <c r="G1447" s="102"/>
      <c r="H1447" s="175"/>
      <c r="I1447" s="85"/>
      <c r="J1447" s="104"/>
      <c r="K1447" s="144"/>
      <c r="L1447" s="61"/>
      <c r="N1447" s="37"/>
      <c r="O1447" s="37"/>
      <c r="P1447" s="37"/>
      <c r="Q1447" s="3"/>
      <c r="R1447" s="3"/>
      <c r="S1447" s="3"/>
      <c r="T1447" s="3"/>
      <c r="U1447" s="3"/>
      <c r="V1447" s="3"/>
      <c r="W1447" s="3"/>
      <c r="X1447" s="3"/>
      <c r="Y1447" s="3"/>
      <c r="Z1447" s="4"/>
      <c r="AA1447"/>
      <c r="AB1447"/>
    </row>
    <row r="1448" spans="1:28" s="49" customFormat="1" x14ac:dyDescent="0.15">
      <c r="A1448" s="165"/>
      <c r="B1448" s="93"/>
      <c r="C1448" s="102"/>
      <c r="D1448" s="62"/>
      <c r="E1448" s="102"/>
      <c r="F1448" s="102"/>
      <c r="G1448" s="102"/>
      <c r="H1448" s="175"/>
      <c r="I1448" s="85"/>
      <c r="J1448" s="104"/>
      <c r="K1448" s="144"/>
      <c r="L1448" s="61"/>
      <c r="N1448" s="37"/>
      <c r="O1448" s="37"/>
      <c r="P1448" s="37"/>
      <c r="Q1448" s="3"/>
      <c r="R1448" s="3"/>
      <c r="S1448" s="3"/>
      <c r="T1448" s="3"/>
      <c r="U1448" s="3"/>
      <c r="V1448" s="3"/>
      <c r="W1448" s="3"/>
      <c r="X1448" s="3"/>
      <c r="Y1448" s="3"/>
      <c r="Z1448" s="4"/>
      <c r="AA1448"/>
      <c r="AB1448"/>
    </row>
    <row r="1449" spans="1:28" s="49" customFormat="1" x14ac:dyDescent="0.15">
      <c r="A1449" s="165"/>
      <c r="B1449" s="93"/>
      <c r="C1449" s="102"/>
      <c r="D1449" s="62"/>
      <c r="E1449" s="102"/>
      <c r="F1449" s="102"/>
      <c r="G1449" s="102"/>
      <c r="H1449" s="175"/>
      <c r="I1449" s="85"/>
      <c r="J1449" s="104"/>
      <c r="K1449" s="144"/>
      <c r="L1449" s="61"/>
      <c r="N1449" s="37"/>
      <c r="O1449" s="37"/>
      <c r="P1449" s="37"/>
      <c r="Q1449" s="3"/>
      <c r="R1449" s="3"/>
      <c r="S1449" s="3"/>
      <c r="T1449" s="3"/>
      <c r="U1449" s="3"/>
      <c r="V1449" s="3"/>
      <c r="W1449" s="3"/>
      <c r="X1449" s="3"/>
      <c r="Y1449" s="3"/>
      <c r="Z1449" s="4"/>
      <c r="AA1449"/>
      <c r="AB1449"/>
    </row>
    <row r="1450" spans="1:28" s="49" customFormat="1" x14ac:dyDescent="0.15">
      <c r="A1450" s="165"/>
      <c r="B1450" s="93"/>
      <c r="C1450" s="102"/>
      <c r="D1450" s="62"/>
      <c r="E1450" s="102"/>
      <c r="F1450" s="102"/>
      <c r="G1450" s="102"/>
      <c r="H1450" s="175"/>
      <c r="I1450" s="85"/>
      <c r="J1450" s="104"/>
      <c r="K1450" s="144"/>
      <c r="L1450" s="61"/>
      <c r="N1450" s="37"/>
      <c r="O1450" s="37"/>
      <c r="P1450" s="37"/>
      <c r="Q1450" s="3"/>
      <c r="R1450" s="3"/>
      <c r="S1450" s="3"/>
      <c r="T1450" s="3"/>
      <c r="U1450" s="3"/>
      <c r="V1450" s="3"/>
      <c r="W1450" s="3"/>
      <c r="X1450" s="3"/>
      <c r="Y1450" s="3"/>
      <c r="Z1450" s="4"/>
      <c r="AA1450"/>
      <c r="AB1450"/>
    </row>
    <row r="1451" spans="1:28" s="49" customFormat="1" x14ac:dyDescent="0.15">
      <c r="A1451" s="165"/>
      <c r="B1451" s="93"/>
      <c r="C1451" s="102"/>
      <c r="D1451" s="62"/>
      <c r="E1451" s="102"/>
      <c r="F1451" s="102"/>
      <c r="G1451" s="102"/>
      <c r="H1451" s="175"/>
      <c r="I1451" s="85"/>
      <c r="J1451" s="104"/>
      <c r="K1451" s="144"/>
      <c r="L1451" s="61"/>
      <c r="N1451" s="37"/>
      <c r="O1451" s="37"/>
      <c r="P1451" s="37"/>
      <c r="Q1451" s="3"/>
      <c r="R1451" s="3"/>
      <c r="S1451" s="3"/>
      <c r="T1451" s="3"/>
      <c r="U1451" s="3"/>
      <c r="V1451" s="3"/>
      <c r="W1451" s="3"/>
      <c r="X1451" s="3"/>
      <c r="Y1451" s="3"/>
      <c r="Z1451" s="4"/>
      <c r="AA1451"/>
      <c r="AB1451"/>
    </row>
    <row r="1452" spans="1:28" s="49" customFormat="1" x14ac:dyDescent="0.15">
      <c r="A1452" s="165"/>
      <c r="B1452" s="93"/>
      <c r="C1452" s="102"/>
      <c r="D1452" s="62"/>
      <c r="E1452" s="102"/>
      <c r="F1452" s="102"/>
      <c r="G1452" s="102"/>
      <c r="H1452" s="175"/>
      <c r="I1452" s="85"/>
      <c r="J1452" s="104"/>
      <c r="K1452" s="144"/>
      <c r="L1452" s="61"/>
      <c r="N1452" s="37"/>
      <c r="O1452" s="37"/>
      <c r="P1452" s="37"/>
      <c r="Q1452" s="3"/>
      <c r="R1452" s="3"/>
      <c r="S1452" s="3"/>
      <c r="T1452" s="3"/>
      <c r="U1452" s="3"/>
      <c r="V1452" s="3"/>
      <c r="W1452" s="3"/>
      <c r="X1452" s="3"/>
      <c r="Y1452" s="3"/>
      <c r="Z1452" s="4"/>
      <c r="AA1452"/>
      <c r="AB1452"/>
    </row>
    <row r="1453" spans="1:28" s="49" customFormat="1" x14ac:dyDescent="0.15">
      <c r="A1453" s="165"/>
      <c r="B1453" s="93"/>
      <c r="C1453" s="102"/>
      <c r="D1453" s="62"/>
      <c r="E1453" s="102"/>
      <c r="F1453" s="102"/>
      <c r="G1453" s="102"/>
      <c r="H1453" s="175"/>
      <c r="I1453" s="85"/>
      <c r="J1453" s="104"/>
      <c r="K1453" s="144"/>
      <c r="L1453" s="61"/>
      <c r="N1453" s="37"/>
      <c r="O1453" s="37"/>
      <c r="P1453" s="37"/>
      <c r="Q1453" s="3"/>
      <c r="R1453" s="3"/>
      <c r="S1453" s="3"/>
      <c r="T1453" s="3"/>
      <c r="U1453" s="3"/>
      <c r="V1453" s="3"/>
      <c r="W1453" s="3"/>
      <c r="X1453" s="3"/>
      <c r="Y1453" s="3"/>
      <c r="Z1453" s="4"/>
      <c r="AA1453"/>
      <c r="AB1453"/>
    </row>
    <row r="1454" spans="1:28" s="49" customFormat="1" x14ac:dyDescent="0.15">
      <c r="A1454" s="165"/>
      <c r="B1454" s="93"/>
      <c r="C1454" s="102"/>
      <c r="D1454" s="62"/>
      <c r="E1454" s="102"/>
      <c r="F1454" s="102"/>
      <c r="G1454" s="102"/>
      <c r="H1454" s="175"/>
      <c r="I1454" s="85"/>
      <c r="J1454" s="104"/>
      <c r="K1454" s="144"/>
      <c r="L1454" s="61"/>
      <c r="N1454" s="37"/>
      <c r="O1454" s="37"/>
      <c r="P1454" s="37"/>
      <c r="Q1454" s="3"/>
      <c r="R1454" s="3"/>
      <c r="S1454" s="3"/>
      <c r="T1454" s="3"/>
      <c r="U1454" s="3"/>
      <c r="V1454" s="3"/>
      <c r="W1454" s="3"/>
      <c r="X1454" s="3"/>
      <c r="Y1454" s="3"/>
      <c r="Z1454" s="4"/>
      <c r="AA1454"/>
      <c r="AB1454"/>
    </row>
    <row r="1455" spans="1:28" s="49" customFormat="1" x14ac:dyDescent="0.15">
      <c r="A1455" s="165"/>
      <c r="B1455" s="93"/>
      <c r="C1455" s="102"/>
      <c r="D1455" s="62"/>
      <c r="E1455" s="100"/>
      <c r="F1455" s="102"/>
      <c r="G1455" s="102"/>
      <c r="H1455" s="175"/>
      <c r="I1455" s="98"/>
      <c r="J1455" s="98"/>
      <c r="K1455" s="135"/>
      <c r="L1455" s="61"/>
      <c r="N1455" s="37"/>
      <c r="O1455" s="37"/>
      <c r="P1455" s="37"/>
      <c r="Q1455" s="3"/>
      <c r="R1455" s="3"/>
      <c r="S1455" s="3"/>
      <c r="T1455" s="3"/>
      <c r="U1455" s="3"/>
      <c r="V1455" s="3"/>
      <c r="W1455" s="3"/>
      <c r="X1455" s="3"/>
      <c r="Y1455" s="3"/>
      <c r="Z1455" s="4"/>
      <c r="AA1455"/>
      <c r="AB1455"/>
    </row>
    <row r="1456" spans="1:28" s="49" customFormat="1" x14ac:dyDescent="0.15">
      <c r="A1456" s="165"/>
      <c r="B1456" s="93"/>
      <c r="C1456" s="102"/>
      <c r="D1456" s="62"/>
      <c r="E1456" s="100"/>
      <c r="F1456" s="102"/>
      <c r="G1456" s="102"/>
      <c r="H1456" s="175"/>
      <c r="I1456" s="98"/>
      <c r="J1456" s="98"/>
      <c r="K1456" s="135"/>
      <c r="L1456" s="61"/>
      <c r="N1456" s="37"/>
      <c r="O1456" s="37"/>
      <c r="P1456" s="37"/>
      <c r="Q1456" s="3"/>
      <c r="R1456" s="3"/>
      <c r="S1456" s="3"/>
      <c r="T1456" s="3"/>
      <c r="U1456" s="3"/>
      <c r="V1456" s="3"/>
      <c r="W1456" s="3"/>
      <c r="X1456" s="3"/>
      <c r="Y1456" s="3"/>
      <c r="Z1456" s="4"/>
      <c r="AA1456"/>
      <c r="AB1456"/>
    </row>
    <row r="1457" spans="1:28" s="49" customFormat="1" x14ac:dyDescent="0.15">
      <c r="A1457" s="165"/>
      <c r="B1457" s="93"/>
      <c r="C1457" s="102"/>
      <c r="D1457" s="62"/>
      <c r="E1457" s="100"/>
      <c r="F1457" s="102"/>
      <c r="G1457" s="102"/>
      <c r="H1457" s="175"/>
      <c r="I1457" s="98"/>
      <c r="J1457" s="98"/>
      <c r="K1457" s="135"/>
      <c r="L1457" s="61"/>
      <c r="N1457" s="37"/>
      <c r="O1457" s="37"/>
      <c r="P1457" s="37"/>
      <c r="Q1457" s="3"/>
      <c r="R1457" s="3"/>
      <c r="S1457" s="3"/>
      <c r="T1457" s="3"/>
      <c r="U1457" s="3"/>
      <c r="V1457" s="3"/>
      <c r="W1457" s="3"/>
      <c r="X1457" s="3"/>
      <c r="Y1457" s="3"/>
      <c r="Z1457" s="4"/>
      <c r="AA1457"/>
      <c r="AB1457"/>
    </row>
    <row r="1458" spans="1:28" s="49" customFormat="1" x14ac:dyDescent="0.15">
      <c r="A1458" s="165"/>
      <c r="B1458" s="93"/>
      <c r="C1458" s="102"/>
      <c r="D1458" s="62"/>
      <c r="E1458" s="100"/>
      <c r="F1458" s="102"/>
      <c r="G1458" s="102"/>
      <c r="H1458" s="175"/>
      <c r="I1458" s="98"/>
      <c r="J1458" s="98"/>
      <c r="K1458" s="135"/>
      <c r="L1458" s="61"/>
      <c r="N1458" s="37"/>
      <c r="O1458" s="37"/>
      <c r="P1458" s="37"/>
      <c r="Q1458" s="3"/>
      <c r="R1458" s="3"/>
      <c r="S1458" s="3"/>
      <c r="T1458" s="3"/>
      <c r="U1458" s="3"/>
      <c r="V1458" s="3"/>
      <c r="W1458" s="3"/>
      <c r="X1458" s="3"/>
      <c r="Y1458" s="3"/>
      <c r="Z1458" s="4"/>
      <c r="AA1458"/>
      <c r="AB1458"/>
    </row>
    <row r="1459" spans="1:28" s="49" customFormat="1" x14ac:dyDescent="0.15">
      <c r="A1459" s="165"/>
      <c r="B1459" s="93"/>
      <c r="C1459" s="102"/>
      <c r="D1459" s="62"/>
      <c r="E1459" s="100"/>
      <c r="F1459" s="102"/>
      <c r="G1459" s="102"/>
      <c r="H1459" s="175"/>
      <c r="I1459" s="98"/>
      <c r="J1459" s="98"/>
      <c r="K1459" s="135"/>
      <c r="L1459" s="61"/>
      <c r="N1459" s="37"/>
      <c r="O1459" s="37"/>
      <c r="P1459" s="37"/>
      <c r="Q1459" s="3"/>
      <c r="R1459" s="3"/>
      <c r="S1459" s="3"/>
      <c r="T1459" s="3"/>
      <c r="U1459" s="3"/>
      <c r="V1459" s="3"/>
      <c r="W1459" s="3"/>
      <c r="X1459" s="3"/>
      <c r="Y1459" s="3"/>
      <c r="Z1459" s="4"/>
      <c r="AA1459"/>
      <c r="AB1459"/>
    </row>
    <row r="1460" spans="1:28" s="49" customFormat="1" x14ac:dyDescent="0.15">
      <c r="A1460" s="165"/>
      <c r="B1460" s="93"/>
      <c r="C1460" s="102"/>
      <c r="D1460" s="62"/>
      <c r="E1460" s="100"/>
      <c r="F1460" s="102"/>
      <c r="G1460" s="102"/>
      <c r="H1460" s="175"/>
      <c r="I1460" s="98"/>
      <c r="J1460" s="98"/>
      <c r="K1460" s="135"/>
      <c r="L1460" s="61"/>
      <c r="N1460" s="37"/>
      <c r="O1460" s="37"/>
      <c r="P1460" s="37"/>
      <c r="Q1460" s="3"/>
      <c r="R1460" s="3"/>
      <c r="S1460" s="3"/>
      <c r="T1460" s="3"/>
      <c r="U1460" s="3"/>
      <c r="V1460" s="3"/>
      <c r="W1460" s="3"/>
      <c r="X1460" s="3"/>
      <c r="Y1460" s="3"/>
      <c r="Z1460" s="4"/>
      <c r="AA1460"/>
      <c r="AB1460"/>
    </row>
    <row r="1461" spans="1:28" s="49" customFormat="1" x14ac:dyDescent="0.15">
      <c r="A1461" s="165"/>
      <c r="B1461" s="93"/>
      <c r="C1461" s="102"/>
      <c r="D1461" s="62"/>
      <c r="E1461" s="100"/>
      <c r="F1461" s="102"/>
      <c r="G1461" s="102"/>
      <c r="H1461" s="175"/>
      <c r="I1461" s="98"/>
      <c r="J1461" s="98"/>
      <c r="K1461" s="135"/>
      <c r="L1461" s="61"/>
      <c r="N1461" s="37"/>
      <c r="O1461" s="37"/>
      <c r="P1461" s="37"/>
      <c r="Q1461" s="3"/>
      <c r="R1461" s="3"/>
      <c r="S1461" s="3"/>
      <c r="T1461" s="3"/>
      <c r="U1461" s="3"/>
      <c r="V1461" s="3"/>
      <c r="W1461" s="3"/>
      <c r="X1461" s="3"/>
      <c r="Y1461" s="3"/>
      <c r="Z1461" s="4"/>
      <c r="AA1461"/>
      <c r="AB1461"/>
    </row>
    <row r="1462" spans="1:28" s="49" customFormat="1" x14ac:dyDescent="0.15">
      <c r="A1462" s="165"/>
      <c r="B1462" s="93"/>
      <c r="C1462" s="102"/>
      <c r="D1462" s="62"/>
      <c r="E1462" s="100"/>
      <c r="F1462" s="102"/>
      <c r="G1462" s="102"/>
      <c r="H1462" s="175"/>
      <c r="I1462" s="98"/>
      <c r="J1462" s="98"/>
      <c r="K1462" s="135"/>
      <c r="L1462" s="61"/>
      <c r="N1462" s="37"/>
      <c r="O1462" s="37"/>
      <c r="P1462" s="37"/>
      <c r="Q1462" s="3"/>
      <c r="R1462" s="3"/>
      <c r="S1462" s="3"/>
      <c r="T1462" s="3"/>
      <c r="U1462" s="3"/>
      <c r="V1462" s="3"/>
      <c r="W1462" s="3"/>
      <c r="X1462" s="3"/>
      <c r="Y1462" s="3"/>
      <c r="Z1462" s="4"/>
      <c r="AA1462"/>
      <c r="AB1462"/>
    </row>
    <row r="1463" spans="1:28" s="49" customFormat="1" x14ac:dyDescent="0.15">
      <c r="A1463" s="165"/>
      <c r="B1463" s="93"/>
      <c r="C1463" s="102"/>
      <c r="D1463" s="62"/>
      <c r="E1463" s="100"/>
      <c r="F1463" s="102"/>
      <c r="G1463" s="102"/>
      <c r="H1463" s="175"/>
      <c r="I1463" s="98"/>
      <c r="J1463" s="98"/>
      <c r="K1463" s="135"/>
      <c r="L1463" s="61"/>
      <c r="N1463" s="37"/>
      <c r="O1463" s="37"/>
      <c r="P1463" s="37"/>
      <c r="Q1463" s="3"/>
      <c r="R1463" s="3"/>
      <c r="S1463" s="3"/>
      <c r="T1463" s="3"/>
      <c r="U1463" s="3"/>
      <c r="V1463" s="3"/>
      <c r="W1463" s="3"/>
      <c r="X1463" s="3"/>
      <c r="Y1463" s="3"/>
      <c r="Z1463" s="4"/>
      <c r="AA1463"/>
      <c r="AB1463"/>
    </row>
    <row r="1464" spans="1:28" s="49" customFormat="1" x14ac:dyDescent="0.15">
      <c r="A1464" s="165"/>
      <c r="B1464" s="93"/>
      <c r="C1464" s="102"/>
      <c r="D1464" s="62"/>
      <c r="E1464" s="100"/>
      <c r="F1464" s="102"/>
      <c r="G1464" s="102"/>
      <c r="H1464" s="175"/>
      <c r="I1464" s="98"/>
      <c r="J1464" s="98"/>
      <c r="K1464" s="135"/>
      <c r="L1464" s="61"/>
      <c r="N1464" s="37"/>
      <c r="O1464" s="37"/>
      <c r="P1464" s="37"/>
      <c r="Q1464" s="3"/>
      <c r="R1464" s="3"/>
      <c r="S1464" s="3"/>
      <c r="T1464" s="3"/>
      <c r="U1464" s="3"/>
      <c r="V1464" s="3"/>
      <c r="W1464" s="3"/>
      <c r="X1464" s="3"/>
      <c r="Y1464" s="3"/>
      <c r="Z1464" s="4"/>
      <c r="AA1464"/>
      <c r="AB1464"/>
    </row>
    <row r="1465" spans="1:28" s="49" customFormat="1" x14ac:dyDescent="0.15">
      <c r="A1465" s="165"/>
      <c r="B1465" s="93"/>
      <c r="C1465" s="102"/>
      <c r="D1465" s="62"/>
      <c r="E1465" s="100"/>
      <c r="F1465" s="102"/>
      <c r="G1465" s="102"/>
      <c r="H1465" s="175"/>
      <c r="I1465" s="98"/>
      <c r="J1465" s="98"/>
      <c r="K1465" s="135"/>
      <c r="L1465" s="61"/>
      <c r="N1465" s="37"/>
      <c r="O1465" s="37"/>
      <c r="P1465" s="37"/>
      <c r="Q1465" s="3"/>
      <c r="R1465" s="3"/>
      <c r="S1465" s="3"/>
      <c r="T1465" s="3"/>
      <c r="U1465" s="3"/>
      <c r="V1465" s="3"/>
      <c r="W1465" s="3"/>
      <c r="X1465" s="3"/>
      <c r="Y1465" s="3"/>
      <c r="Z1465" s="4"/>
      <c r="AA1465"/>
      <c r="AB1465"/>
    </row>
    <row r="1466" spans="1:28" s="49" customFormat="1" x14ac:dyDescent="0.15">
      <c r="A1466" s="165"/>
      <c r="B1466" s="93"/>
      <c r="C1466" s="102"/>
      <c r="D1466" s="62"/>
      <c r="E1466" s="102"/>
      <c r="F1466" s="102"/>
      <c r="G1466" s="102"/>
      <c r="H1466" s="175"/>
      <c r="I1466" s="85"/>
      <c r="J1466" s="104"/>
      <c r="K1466" s="144"/>
      <c r="L1466" s="61"/>
      <c r="N1466" s="37"/>
      <c r="O1466" s="37"/>
      <c r="P1466" s="37"/>
      <c r="Q1466" s="3"/>
      <c r="R1466" s="3"/>
      <c r="S1466" s="3"/>
      <c r="T1466" s="3"/>
      <c r="U1466" s="3"/>
      <c r="V1466" s="3"/>
      <c r="W1466" s="3"/>
      <c r="X1466" s="3"/>
      <c r="Y1466" s="3"/>
      <c r="Z1466" s="4"/>
      <c r="AA1466"/>
      <c r="AB1466"/>
    </row>
    <row r="1467" spans="1:28" s="49" customFormat="1" x14ac:dyDescent="0.15">
      <c r="A1467" s="165"/>
      <c r="B1467" s="93"/>
      <c r="C1467" s="102"/>
      <c r="D1467" s="62"/>
      <c r="E1467" s="102"/>
      <c r="F1467" s="102"/>
      <c r="G1467" s="102"/>
      <c r="H1467" s="175"/>
      <c r="I1467" s="85"/>
      <c r="J1467" s="104"/>
      <c r="K1467" s="144"/>
      <c r="L1467" s="61"/>
      <c r="N1467" s="37"/>
      <c r="O1467" s="37"/>
      <c r="P1467" s="37"/>
      <c r="Q1467" s="3"/>
      <c r="R1467" s="3"/>
      <c r="S1467" s="3"/>
      <c r="T1467" s="3"/>
      <c r="U1467" s="3"/>
      <c r="V1467" s="3"/>
      <c r="W1467" s="3"/>
      <c r="X1467" s="3"/>
      <c r="Y1467" s="3"/>
      <c r="Z1467" s="4"/>
      <c r="AA1467"/>
      <c r="AB1467"/>
    </row>
    <row r="1468" spans="1:28" s="49" customFormat="1" x14ac:dyDescent="0.15">
      <c r="A1468" s="165"/>
      <c r="B1468" s="93"/>
      <c r="C1468" s="102"/>
      <c r="D1468" s="62"/>
      <c r="E1468" s="102"/>
      <c r="F1468" s="102"/>
      <c r="G1468" s="102"/>
      <c r="H1468" s="175"/>
      <c r="I1468" s="85"/>
      <c r="J1468" s="104"/>
      <c r="K1468" s="144"/>
      <c r="L1468" s="61"/>
      <c r="N1468" s="37"/>
      <c r="O1468" s="37"/>
      <c r="P1468" s="37"/>
      <c r="Q1468" s="3"/>
      <c r="R1468" s="3"/>
      <c r="S1468" s="3"/>
      <c r="T1468" s="3"/>
      <c r="U1468" s="3"/>
      <c r="V1468" s="3"/>
      <c r="W1468" s="3"/>
      <c r="X1468" s="3"/>
      <c r="Y1468" s="3"/>
      <c r="Z1468" s="4"/>
      <c r="AA1468"/>
      <c r="AB1468"/>
    </row>
    <row r="1469" spans="1:28" s="49" customFormat="1" x14ac:dyDescent="0.15">
      <c r="A1469" s="165"/>
      <c r="B1469" s="93"/>
      <c r="C1469" s="102"/>
      <c r="D1469" s="62"/>
      <c r="E1469" s="102"/>
      <c r="F1469" s="102"/>
      <c r="G1469" s="102"/>
      <c r="H1469" s="175"/>
      <c r="I1469" s="85"/>
      <c r="J1469" s="104"/>
      <c r="K1469" s="144"/>
      <c r="L1469" s="61"/>
      <c r="N1469" s="37"/>
      <c r="O1469" s="37"/>
      <c r="P1469" s="37"/>
      <c r="Q1469" s="3"/>
      <c r="R1469" s="3"/>
      <c r="S1469" s="3"/>
      <c r="T1469" s="3"/>
      <c r="U1469" s="3"/>
      <c r="V1469" s="3"/>
      <c r="W1469" s="3"/>
      <c r="X1469" s="3"/>
      <c r="Y1469" s="3"/>
      <c r="Z1469" s="4"/>
      <c r="AA1469"/>
      <c r="AB1469"/>
    </row>
    <row r="1470" spans="1:28" s="49" customFormat="1" x14ac:dyDescent="0.15">
      <c r="A1470" s="165"/>
      <c r="B1470" s="93"/>
      <c r="C1470" s="102"/>
      <c r="D1470" s="62"/>
      <c r="E1470" s="102"/>
      <c r="F1470" s="102"/>
      <c r="G1470" s="102"/>
      <c r="H1470" s="175"/>
      <c r="I1470" s="85"/>
      <c r="J1470" s="104"/>
      <c r="K1470" s="144"/>
      <c r="L1470" s="61"/>
      <c r="N1470" s="37"/>
      <c r="O1470" s="37"/>
      <c r="P1470" s="37"/>
      <c r="Q1470" s="3"/>
      <c r="R1470" s="3"/>
      <c r="S1470" s="3"/>
      <c r="T1470" s="3"/>
      <c r="U1470" s="3"/>
      <c r="V1470" s="3"/>
      <c r="W1470" s="3"/>
      <c r="X1470" s="3"/>
      <c r="Y1470" s="3"/>
      <c r="Z1470" s="4"/>
      <c r="AA1470"/>
      <c r="AB1470"/>
    </row>
    <row r="1471" spans="1:28" s="49" customFormat="1" x14ac:dyDescent="0.15">
      <c r="A1471" s="165"/>
      <c r="B1471" s="93"/>
      <c r="C1471" s="102"/>
      <c r="D1471" s="62"/>
      <c r="E1471" s="102"/>
      <c r="F1471" s="102"/>
      <c r="G1471" s="102"/>
      <c r="H1471" s="175"/>
      <c r="I1471" s="85"/>
      <c r="J1471" s="104"/>
      <c r="K1471" s="144"/>
      <c r="L1471" s="61"/>
      <c r="N1471" s="37"/>
      <c r="O1471" s="37"/>
      <c r="P1471" s="37"/>
      <c r="Q1471" s="3"/>
      <c r="R1471" s="3"/>
      <c r="S1471" s="3"/>
      <c r="T1471" s="3"/>
      <c r="U1471" s="3"/>
      <c r="V1471" s="3"/>
      <c r="W1471" s="3"/>
      <c r="X1471" s="3"/>
      <c r="Y1471" s="3"/>
      <c r="Z1471" s="4"/>
      <c r="AA1471"/>
      <c r="AB1471"/>
    </row>
    <row r="1472" spans="1:28" s="49" customFormat="1" x14ac:dyDescent="0.15">
      <c r="A1472" s="165"/>
      <c r="B1472" s="93"/>
      <c r="C1472" s="102"/>
      <c r="D1472" s="62"/>
      <c r="E1472" s="102"/>
      <c r="F1472" s="102"/>
      <c r="G1472" s="102"/>
      <c r="H1472" s="175"/>
      <c r="I1472" s="85"/>
      <c r="J1472" s="104"/>
      <c r="K1472" s="144"/>
      <c r="L1472" s="61"/>
      <c r="N1472" s="37"/>
      <c r="O1472" s="37"/>
      <c r="P1472" s="37"/>
      <c r="Q1472" s="3"/>
      <c r="R1472" s="3"/>
      <c r="S1472" s="3"/>
      <c r="T1472" s="3"/>
      <c r="U1472" s="3"/>
      <c r="V1472" s="3"/>
      <c r="W1472" s="3"/>
      <c r="X1472" s="3"/>
      <c r="Y1472" s="3"/>
      <c r="Z1472" s="4"/>
      <c r="AA1472"/>
      <c r="AB1472"/>
    </row>
    <row r="1473" spans="1:28" s="49" customFormat="1" x14ac:dyDescent="0.15">
      <c r="A1473" s="165"/>
      <c r="B1473" s="93"/>
      <c r="C1473" s="102"/>
      <c r="D1473" s="62"/>
      <c r="E1473" s="102"/>
      <c r="F1473" s="102"/>
      <c r="G1473" s="102"/>
      <c r="H1473" s="175"/>
      <c r="I1473" s="85"/>
      <c r="J1473" s="104"/>
      <c r="K1473" s="144"/>
      <c r="L1473" s="61"/>
      <c r="N1473" s="37"/>
      <c r="O1473" s="37"/>
      <c r="P1473" s="37"/>
      <c r="Q1473" s="3"/>
      <c r="R1473" s="3"/>
      <c r="S1473" s="3"/>
      <c r="T1473" s="3"/>
      <c r="U1473" s="3"/>
      <c r="V1473" s="3"/>
      <c r="W1473" s="3"/>
      <c r="X1473" s="3"/>
      <c r="Y1473" s="3"/>
      <c r="Z1473" s="4"/>
      <c r="AA1473"/>
      <c r="AB1473"/>
    </row>
    <row r="1474" spans="1:28" s="49" customFormat="1" x14ac:dyDescent="0.15">
      <c r="A1474" s="165"/>
      <c r="B1474" s="93"/>
      <c r="C1474" s="102"/>
      <c r="D1474" s="62"/>
      <c r="E1474" s="102"/>
      <c r="F1474" s="102"/>
      <c r="G1474" s="102"/>
      <c r="H1474" s="175"/>
      <c r="I1474" s="85"/>
      <c r="J1474" s="104"/>
      <c r="K1474" s="144"/>
      <c r="L1474" s="61"/>
      <c r="N1474" s="37"/>
      <c r="O1474" s="37"/>
      <c r="P1474" s="37"/>
      <c r="Q1474" s="3"/>
      <c r="R1474" s="3"/>
      <c r="S1474" s="3"/>
      <c r="T1474" s="3"/>
      <c r="U1474" s="3"/>
      <c r="V1474" s="3"/>
      <c r="W1474" s="3"/>
      <c r="X1474" s="3"/>
      <c r="Y1474" s="3"/>
      <c r="Z1474" s="4"/>
      <c r="AA1474"/>
      <c r="AB1474"/>
    </row>
    <row r="1475" spans="1:28" s="49" customFormat="1" x14ac:dyDescent="0.15">
      <c r="A1475" s="165"/>
      <c r="B1475" s="93"/>
      <c r="C1475" s="102"/>
      <c r="D1475" s="62"/>
      <c r="E1475" s="102"/>
      <c r="F1475" s="102"/>
      <c r="G1475" s="102"/>
      <c r="H1475" s="175"/>
      <c r="I1475" s="85"/>
      <c r="J1475" s="104"/>
      <c r="K1475" s="144"/>
      <c r="L1475" s="61"/>
      <c r="N1475" s="37"/>
      <c r="O1475" s="37"/>
      <c r="P1475" s="37"/>
      <c r="Q1475" s="3"/>
      <c r="R1475" s="3"/>
      <c r="S1475" s="3"/>
      <c r="T1475" s="3"/>
      <c r="U1475" s="3"/>
      <c r="V1475" s="3"/>
      <c r="W1475" s="3"/>
      <c r="X1475" s="3"/>
      <c r="Y1475" s="3"/>
      <c r="Z1475" s="4"/>
      <c r="AA1475"/>
      <c r="AB1475"/>
    </row>
    <row r="1476" spans="1:28" s="49" customFormat="1" x14ac:dyDescent="0.15">
      <c r="A1476" s="165"/>
      <c r="B1476" s="93"/>
      <c r="C1476" s="102"/>
      <c r="D1476" s="62"/>
      <c r="E1476" s="102"/>
      <c r="F1476" s="102"/>
      <c r="G1476" s="102"/>
      <c r="H1476" s="175"/>
      <c r="I1476" s="85"/>
      <c r="J1476" s="104"/>
      <c r="K1476" s="144"/>
      <c r="L1476" s="61"/>
      <c r="N1476" s="37"/>
      <c r="O1476" s="37"/>
      <c r="P1476" s="37"/>
      <c r="Q1476" s="3"/>
      <c r="R1476" s="3"/>
      <c r="S1476" s="3"/>
      <c r="T1476" s="3"/>
      <c r="U1476" s="3"/>
      <c r="V1476" s="3"/>
      <c r="W1476" s="3"/>
      <c r="X1476" s="3"/>
      <c r="Y1476" s="3"/>
      <c r="Z1476" s="4"/>
      <c r="AA1476"/>
      <c r="AB1476"/>
    </row>
    <row r="1477" spans="1:28" s="49" customFormat="1" x14ac:dyDescent="0.15">
      <c r="A1477" s="165"/>
      <c r="B1477" s="93"/>
      <c r="C1477" s="102"/>
      <c r="D1477" s="62"/>
      <c r="E1477" s="102"/>
      <c r="F1477" s="102"/>
      <c r="G1477" s="102"/>
      <c r="H1477" s="175"/>
      <c r="I1477" s="85"/>
      <c r="J1477" s="104"/>
      <c r="K1477" s="144"/>
      <c r="L1477" s="61"/>
      <c r="N1477" s="37"/>
      <c r="O1477" s="37"/>
      <c r="P1477" s="37"/>
      <c r="Q1477" s="3"/>
      <c r="R1477" s="3"/>
      <c r="S1477" s="3"/>
      <c r="T1477" s="3"/>
      <c r="U1477" s="3"/>
      <c r="V1477" s="3"/>
      <c r="W1477" s="3"/>
      <c r="X1477" s="3"/>
      <c r="Y1477" s="3"/>
      <c r="Z1477" s="4"/>
      <c r="AA1477"/>
      <c r="AB1477"/>
    </row>
    <row r="1478" spans="1:28" s="49" customFormat="1" x14ac:dyDescent="0.15">
      <c r="A1478" s="165"/>
      <c r="B1478" s="93"/>
      <c r="C1478" s="102"/>
      <c r="D1478" s="62"/>
      <c r="E1478" s="102"/>
      <c r="F1478" s="102"/>
      <c r="G1478" s="102"/>
      <c r="H1478" s="175"/>
      <c r="I1478" s="85"/>
      <c r="J1478" s="104"/>
      <c r="K1478" s="144"/>
      <c r="L1478" s="61"/>
      <c r="N1478" s="37"/>
      <c r="O1478" s="37"/>
      <c r="P1478" s="37"/>
      <c r="Q1478" s="3"/>
      <c r="R1478" s="3"/>
      <c r="S1478" s="3"/>
      <c r="T1478" s="3"/>
      <c r="U1478" s="3"/>
      <c r="V1478" s="3"/>
      <c r="W1478" s="3"/>
      <c r="X1478" s="3"/>
      <c r="Y1478" s="3"/>
      <c r="Z1478" s="4"/>
      <c r="AA1478"/>
      <c r="AB1478"/>
    </row>
    <row r="1479" spans="1:28" s="49" customFormat="1" x14ac:dyDescent="0.15">
      <c r="A1479" s="165"/>
      <c r="B1479" s="93"/>
      <c r="C1479" s="102"/>
      <c r="D1479" s="62"/>
      <c r="E1479" s="102"/>
      <c r="F1479" s="102"/>
      <c r="G1479" s="102"/>
      <c r="H1479" s="175"/>
      <c r="I1479" s="85"/>
      <c r="J1479" s="104"/>
      <c r="K1479" s="144"/>
      <c r="L1479" s="61"/>
      <c r="N1479" s="37"/>
      <c r="O1479" s="37"/>
      <c r="P1479" s="37"/>
      <c r="Q1479" s="3"/>
      <c r="R1479" s="3"/>
      <c r="S1479" s="3"/>
      <c r="T1479" s="3"/>
      <c r="U1479" s="3"/>
      <c r="V1479" s="3"/>
      <c r="W1479" s="3"/>
      <c r="X1479" s="3"/>
      <c r="Y1479" s="3"/>
      <c r="Z1479" s="4"/>
      <c r="AA1479"/>
      <c r="AB1479"/>
    </row>
    <row r="1480" spans="1:28" s="49" customFormat="1" x14ac:dyDescent="0.15">
      <c r="A1480" s="165"/>
      <c r="B1480" s="93"/>
      <c r="C1480" s="102"/>
      <c r="D1480" s="62"/>
      <c r="E1480" s="102"/>
      <c r="F1480" s="102"/>
      <c r="G1480" s="102"/>
      <c r="H1480" s="175"/>
      <c r="I1480" s="85"/>
      <c r="J1480" s="104"/>
      <c r="K1480" s="144"/>
      <c r="L1480" s="61"/>
      <c r="N1480" s="37"/>
      <c r="O1480" s="37"/>
      <c r="P1480" s="37"/>
      <c r="Q1480" s="3"/>
      <c r="R1480" s="3"/>
      <c r="S1480" s="3"/>
      <c r="T1480" s="3"/>
      <c r="U1480" s="3"/>
      <c r="V1480" s="3"/>
      <c r="W1480" s="3"/>
      <c r="X1480" s="3"/>
      <c r="Y1480" s="3"/>
      <c r="Z1480" s="4"/>
      <c r="AA1480"/>
      <c r="AB1480"/>
    </row>
    <row r="1481" spans="1:28" s="49" customFormat="1" x14ac:dyDescent="0.15">
      <c r="A1481" s="165"/>
      <c r="B1481" s="93"/>
      <c r="C1481" s="102"/>
      <c r="D1481" s="62"/>
      <c r="E1481" s="102"/>
      <c r="F1481" s="102"/>
      <c r="G1481" s="102"/>
      <c r="H1481" s="175"/>
      <c r="I1481" s="85"/>
      <c r="J1481" s="104"/>
      <c r="K1481" s="144"/>
      <c r="L1481" s="61"/>
      <c r="N1481" s="37"/>
      <c r="O1481" s="37"/>
      <c r="P1481" s="37"/>
      <c r="Q1481" s="3"/>
      <c r="R1481" s="3"/>
      <c r="S1481" s="3"/>
      <c r="T1481" s="3"/>
      <c r="U1481" s="3"/>
      <c r="V1481" s="3"/>
      <c r="W1481" s="3"/>
      <c r="X1481" s="3"/>
      <c r="Y1481" s="3"/>
      <c r="Z1481" s="4"/>
      <c r="AA1481"/>
      <c r="AB1481"/>
    </row>
    <row r="1482" spans="1:28" s="49" customFormat="1" x14ac:dyDescent="0.15">
      <c r="A1482" s="165"/>
      <c r="B1482" s="93"/>
      <c r="C1482" s="102"/>
      <c r="D1482" s="62"/>
      <c r="E1482" s="102"/>
      <c r="F1482" s="102"/>
      <c r="G1482" s="102"/>
      <c r="H1482" s="175"/>
      <c r="I1482" s="85"/>
      <c r="J1482" s="104"/>
      <c r="K1482" s="144"/>
      <c r="L1482" s="61"/>
      <c r="N1482" s="37"/>
      <c r="O1482" s="37"/>
      <c r="P1482" s="37"/>
      <c r="Q1482" s="3"/>
      <c r="R1482" s="3"/>
      <c r="S1482" s="3"/>
      <c r="T1482" s="3"/>
      <c r="U1482" s="3"/>
      <c r="V1482" s="3"/>
      <c r="W1482" s="3"/>
      <c r="X1482" s="3"/>
      <c r="Y1482" s="3"/>
      <c r="Z1482" s="4"/>
      <c r="AA1482"/>
      <c r="AB1482"/>
    </row>
    <row r="1483" spans="1:28" s="49" customFormat="1" x14ac:dyDescent="0.15">
      <c r="A1483" s="165"/>
      <c r="B1483" s="93"/>
      <c r="C1483" s="102"/>
      <c r="D1483" s="62"/>
      <c r="E1483" s="102"/>
      <c r="F1483" s="102"/>
      <c r="G1483" s="102"/>
      <c r="H1483" s="175"/>
      <c r="I1483" s="85"/>
      <c r="J1483" s="104"/>
      <c r="K1483" s="144"/>
      <c r="L1483" s="61"/>
      <c r="N1483" s="37"/>
      <c r="O1483" s="37"/>
      <c r="P1483" s="37"/>
      <c r="Q1483" s="3"/>
      <c r="R1483" s="3"/>
      <c r="S1483" s="3"/>
      <c r="T1483" s="3"/>
      <c r="U1483" s="3"/>
      <c r="V1483" s="3"/>
      <c r="W1483" s="3"/>
      <c r="X1483" s="3"/>
      <c r="Y1483" s="3"/>
      <c r="Z1483" s="4"/>
      <c r="AA1483"/>
      <c r="AB1483"/>
    </row>
    <row r="1484" spans="1:28" s="49" customFormat="1" x14ac:dyDescent="0.15">
      <c r="A1484" s="165"/>
      <c r="B1484" s="93"/>
      <c r="C1484" s="102"/>
      <c r="D1484" s="62"/>
      <c r="E1484" s="102"/>
      <c r="F1484" s="102"/>
      <c r="G1484" s="102"/>
      <c r="H1484" s="175"/>
      <c r="I1484" s="85"/>
      <c r="J1484" s="104"/>
      <c r="K1484" s="144"/>
      <c r="L1484" s="61"/>
      <c r="N1484" s="37"/>
      <c r="O1484" s="37"/>
      <c r="P1484" s="37"/>
      <c r="Q1484" s="3"/>
      <c r="R1484" s="3"/>
      <c r="S1484" s="3"/>
      <c r="T1484" s="3"/>
      <c r="U1484" s="3"/>
      <c r="V1484" s="3"/>
      <c r="W1484" s="3"/>
      <c r="X1484" s="3"/>
      <c r="Y1484" s="3"/>
      <c r="Z1484" s="4"/>
      <c r="AA1484"/>
      <c r="AB1484"/>
    </row>
    <row r="1485" spans="1:28" s="49" customFormat="1" x14ac:dyDescent="0.15">
      <c r="A1485" s="165"/>
      <c r="B1485" s="93"/>
      <c r="C1485" s="102"/>
      <c r="D1485" s="62"/>
      <c r="E1485" s="102"/>
      <c r="F1485" s="102"/>
      <c r="G1485" s="102"/>
      <c r="H1485" s="175"/>
      <c r="I1485" s="85"/>
      <c r="J1485" s="104"/>
      <c r="K1485" s="144"/>
      <c r="L1485" s="61"/>
      <c r="N1485" s="37"/>
      <c r="O1485" s="37"/>
      <c r="P1485" s="37"/>
      <c r="Q1485" s="3"/>
      <c r="R1485" s="3"/>
      <c r="S1485" s="3"/>
      <c r="T1485" s="3"/>
      <c r="U1485" s="3"/>
      <c r="V1485" s="3"/>
      <c r="W1485" s="3"/>
      <c r="X1485" s="3"/>
      <c r="Y1485" s="3"/>
      <c r="Z1485" s="4"/>
      <c r="AA1485"/>
      <c r="AB1485"/>
    </row>
    <row r="1486" spans="1:28" s="49" customFormat="1" x14ac:dyDescent="0.15">
      <c r="A1486" s="165"/>
      <c r="B1486" s="93"/>
      <c r="C1486" s="102"/>
      <c r="D1486" s="62"/>
      <c r="E1486" s="102"/>
      <c r="F1486" s="102"/>
      <c r="G1486" s="102"/>
      <c r="H1486" s="175"/>
      <c r="I1486" s="85"/>
      <c r="J1486" s="104"/>
      <c r="K1486" s="144"/>
      <c r="L1486" s="61"/>
      <c r="N1486" s="37"/>
      <c r="O1486" s="37"/>
      <c r="P1486" s="37"/>
      <c r="Q1486" s="3"/>
      <c r="R1486" s="3"/>
      <c r="S1486" s="3"/>
      <c r="T1486" s="3"/>
      <c r="U1486" s="3"/>
      <c r="V1486" s="3"/>
      <c r="W1486" s="3"/>
      <c r="X1486" s="3"/>
      <c r="Y1486" s="3"/>
      <c r="Z1486" s="4"/>
      <c r="AA1486"/>
      <c r="AB1486"/>
    </row>
    <row r="1487" spans="1:28" s="49" customFormat="1" x14ac:dyDescent="0.15">
      <c r="A1487" s="165"/>
      <c r="B1487" s="93"/>
      <c r="C1487" s="102"/>
      <c r="D1487" s="62"/>
      <c r="E1487" s="102"/>
      <c r="F1487" s="102"/>
      <c r="G1487" s="102"/>
      <c r="H1487" s="175"/>
      <c r="I1487" s="85"/>
      <c r="J1487" s="61"/>
      <c r="K1487" s="144"/>
      <c r="L1487" s="61"/>
      <c r="N1487" s="37"/>
      <c r="O1487" s="37"/>
      <c r="P1487" s="37"/>
      <c r="Q1487" s="3"/>
      <c r="R1487" s="3"/>
      <c r="S1487" s="3"/>
      <c r="T1487" s="3"/>
      <c r="U1487" s="3"/>
      <c r="V1487" s="3"/>
      <c r="W1487" s="3"/>
      <c r="X1487" s="3"/>
      <c r="Y1487" s="3"/>
      <c r="Z1487" s="4"/>
      <c r="AA1487"/>
      <c r="AB1487"/>
    </row>
    <row r="1488" spans="1:28" s="49" customFormat="1" x14ac:dyDescent="0.15">
      <c r="A1488" s="165"/>
      <c r="B1488" s="93"/>
      <c r="C1488" s="102"/>
      <c r="D1488" s="62"/>
      <c r="E1488" s="102"/>
      <c r="F1488" s="102"/>
      <c r="G1488" s="102"/>
      <c r="H1488" s="175"/>
      <c r="I1488" s="85"/>
      <c r="J1488" s="104"/>
      <c r="K1488" s="144"/>
      <c r="L1488" s="61"/>
      <c r="N1488" s="37"/>
      <c r="O1488" s="37"/>
      <c r="P1488" s="37"/>
      <c r="Q1488" s="3"/>
      <c r="R1488" s="3"/>
      <c r="S1488" s="3"/>
      <c r="T1488" s="3"/>
      <c r="U1488" s="3"/>
      <c r="V1488" s="3"/>
      <c r="W1488" s="3"/>
      <c r="X1488" s="3"/>
      <c r="Y1488" s="3"/>
      <c r="Z1488" s="4"/>
      <c r="AA1488"/>
      <c r="AB1488"/>
    </row>
    <row r="1489" spans="1:28" s="49" customFormat="1" x14ac:dyDescent="0.15">
      <c r="A1489" s="165"/>
      <c r="B1489" s="93"/>
      <c r="C1489" s="102"/>
      <c r="D1489" s="62"/>
      <c r="E1489" s="102"/>
      <c r="F1489" s="102"/>
      <c r="G1489" s="102"/>
      <c r="H1489" s="175"/>
      <c r="I1489" s="85"/>
      <c r="J1489" s="104"/>
      <c r="K1489" s="144"/>
      <c r="L1489" s="61"/>
      <c r="N1489" s="37"/>
      <c r="O1489" s="37"/>
      <c r="P1489" s="37"/>
      <c r="Q1489" s="3"/>
      <c r="R1489" s="3"/>
      <c r="S1489" s="3"/>
      <c r="T1489" s="3"/>
      <c r="U1489" s="3"/>
      <c r="V1489" s="3"/>
      <c r="W1489" s="3"/>
      <c r="X1489" s="3"/>
      <c r="Y1489" s="3"/>
      <c r="Z1489" s="4"/>
      <c r="AA1489"/>
      <c r="AB1489"/>
    </row>
    <row r="1490" spans="1:28" s="49" customFormat="1" x14ac:dyDescent="0.15">
      <c r="A1490" s="165"/>
      <c r="B1490" s="93"/>
      <c r="C1490" s="102"/>
      <c r="D1490" s="62"/>
      <c r="E1490" s="102"/>
      <c r="F1490" s="102"/>
      <c r="G1490" s="102"/>
      <c r="H1490" s="175"/>
      <c r="I1490" s="85"/>
      <c r="J1490" s="104"/>
      <c r="K1490" s="144"/>
      <c r="L1490" s="61"/>
      <c r="N1490" s="37"/>
      <c r="O1490" s="37"/>
      <c r="P1490" s="37"/>
      <c r="Q1490" s="3"/>
      <c r="R1490" s="3"/>
      <c r="S1490" s="3"/>
      <c r="T1490" s="3"/>
      <c r="U1490" s="3"/>
      <c r="V1490" s="3"/>
      <c r="W1490" s="3"/>
      <c r="X1490" s="3"/>
      <c r="Y1490" s="3"/>
      <c r="Z1490" s="4"/>
      <c r="AA1490"/>
      <c r="AB1490"/>
    </row>
    <row r="1491" spans="1:28" s="49" customFormat="1" x14ac:dyDescent="0.15">
      <c r="A1491" s="165"/>
      <c r="B1491" s="93"/>
      <c r="C1491" s="102"/>
      <c r="D1491" s="62"/>
      <c r="E1491" s="102"/>
      <c r="F1491" s="102"/>
      <c r="G1491" s="102"/>
      <c r="H1491" s="175"/>
      <c r="I1491" s="85"/>
      <c r="J1491" s="104"/>
      <c r="K1491" s="144"/>
      <c r="L1491" s="61"/>
      <c r="N1491" s="37"/>
      <c r="O1491" s="37"/>
      <c r="P1491" s="37"/>
      <c r="Q1491" s="3"/>
      <c r="R1491" s="3"/>
      <c r="S1491" s="3"/>
      <c r="T1491" s="3"/>
      <c r="U1491" s="3"/>
      <c r="V1491" s="3"/>
      <c r="W1491" s="3"/>
      <c r="X1491" s="3"/>
      <c r="Y1491" s="3"/>
      <c r="Z1491" s="4"/>
      <c r="AA1491"/>
      <c r="AB1491"/>
    </row>
    <row r="1492" spans="1:28" s="49" customFormat="1" x14ac:dyDescent="0.15">
      <c r="A1492" s="165"/>
      <c r="B1492" s="93"/>
      <c r="C1492" s="102"/>
      <c r="D1492" s="62"/>
      <c r="E1492" s="102"/>
      <c r="F1492" s="102"/>
      <c r="G1492" s="102"/>
      <c r="H1492" s="175"/>
      <c r="I1492" s="85"/>
      <c r="J1492" s="104"/>
      <c r="K1492" s="144"/>
      <c r="L1492" s="61"/>
      <c r="N1492" s="37"/>
      <c r="O1492" s="37"/>
      <c r="P1492" s="37"/>
      <c r="Q1492" s="3"/>
      <c r="R1492" s="3"/>
      <c r="S1492" s="3"/>
      <c r="T1492" s="3"/>
      <c r="U1492" s="3"/>
      <c r="V1492" s="3"/>
      <c r="W1492" s="3"/>
      <c r="X1492" s="3"/>
      <c r="Y1492" s="3"/>
      <c r="Z1492" s="4"/>
      <c r="AA1492"/>
      <c r="AB1492"/>
    </row>
    <row r="1493" spans="1:28" s="49" customFormat="1" x14ac:dyDescent="0.15">
      <c r="A1493" s="165"/>
      <c r="B1493" s="93"/>
      <c r="C1493" s="102"/>
      <c r="D1493" s="62"/>
      <c r="E1493" s="102"/>
      <c r="F1493" s="102"/>
      <c r="G1493" s="102"/>
      <c r="H1493" s="175"/>
      <c r="I1493" s="85"/>
      <c r="J1493" s="104"/>
      <c r="K1493" s="144"/>
      <c r="L1493" s="61"/>
      <c r="N1493" s="37"/>
      <c r="O1493" s="37"/>
      <c r="P1493" s="37"/>
      <c r="Q1493" s="3"/>
      <c r="R1493" s="3"/>
      <c r="S1493" s="3"/>
      <c r="T1493" s="3"/>
      <c r="U1493" s="3"/>
      <c r="V1493" s="3"/>
      <c r="W1493" s="3"/>
      <c r="X1493" s="3"/>
      <c r="Y1493" s="3"/>
      <c r="Z1493" s="4"/>
      <c r="AA1493"/>
      <c r="AB1493"/>
    </row>
    <row r="1494" spans="1:28" s="49" customFormat="1" x14ac:dyDescent="0.15">
      <c r="A1494" s="165"/>
      <c r="B1494" s="93"/>
      <c r="C1494" s="102"/>
      <c r="D1494" s="62"/>
      <c r="E1494" s="102"/>
      <c r="F1494" s="102"/>
      <c r="G1494" s="102"/>
      <c r="H1494" s="175"/>
      <c r="I1494" s="85"/>
      <c r="J1494" s="104"/>
      <c r="K1494" s="144"/>
      <c r="L1494" s="61"/>
      <c r="N1494" s="37"/>
      <c r="O1494" s="37"/>
      <c r="P1494" s="37"/>
      <c r="Q1494" s="3"/>
      <c r="R1494" s="3"/>
      <c r="S1494" s="3"/>
      <c r="T1494" s="3"/>
      <c r="U1494" s="3"/>
      <c r="V1494" s="3"/>
      <c r="W1494" s="3"/>
      <c r="X1494" s="3"/>
      <c r="Y1494" s="3"/>
      <c r="Z1494" s="4"/>
      <c r="AA1494"/>
      <c r="AB1494"/>
    </row>
    <row r="1495" spans="1:28" s="49" customFormat="1" x14ac:dyDescent="0.15">
      <c r="A1495" s="165"/>
      <c r="B1495" s="93"/>
      <c r="C1495" s="102"/>
      <c r="D1495" s="62"/>
      <c r="E1495" s="102"/>
      <c r="F1495" s="102"/>
      <c r="G1495" s="102"/>
      <c r="H1495" s="175"/>
      <c r="I1495" s="85"/>
      <c r="J1495" s="104"/>
      <c r="K1495" s="144"/>
      <c r="L1495" s="61"/>
      <c r="N1495" s="37"/>
      <c r="O1495" s="37"/>
      <c r="P1495" s="37"/>
      <c r="Q1495" s="3"/>
      <c r="R1495" s="3"/>
      <c r="S1495" s="3"/>
      <c r="T1495" s="3"/>
      <c r="U1495" s="3"/>
      <c r="V1495" s="3"/>
      <c r="W1495" s="3"/>
      <c r="X1495" s="3"/>
      <c r="Y1495" s="3"/>
      <c r="Z1495" s="4"/>
      <c r="AA1495"/>
      <c r="AB1495"/>
    </row>
    <row r="1496" spans="1:28" s="49" customFormat="1" x14ac:dyDescent="0.15">
      <c r="A1496" s="165"/>
      <c r="B1496" s="93"/>
      <c r="C1496" s="102"/>
      <c r="D1496" s="62"/>
      <c r="E1496" s="102"/>
      <c r="F1496" s="102"/>
      <c r="G1496" s="102"/>
      <c r="H1496" s="175"/>
      <c r="I1496" s="85"/>
      <c r="J1496" s="104"/>
      <c r="K1496" s="144"/>
      <c r="L1496" s="61"/>
      <c r="N1496" s="37"/>
      <c r="O1496" s="37"/>
      <c r="P1496" s="37"/>
      <c r="Q1496" s="3"/>
      <c r="R1496" s="3"/>
      <c r="S1496" s="3"/>
      <c r="T1496" s="3"/>
      <c r="U1496" s="3"/>
      <c r="V1496" s="3"/>
      <c r="W1496" s="3"/>
      <c r="X1496" s="3"/>
      <c r="Y1496" s="3"/>
      <c r="Z1496" s="4"/>
      <c r="AA1496"/>
      <c r="AB1496"/>
    </row>
    <row r="1497" spans="1:28" s="49" customFormat="1" x14ac:dyDescent="0.15">
      <c r="A1497" s="165"/>
      <c r="B1497" s="93"/>
      <c r="C1497" s="102"/>
      <c r="D1497" s="62"/>
      <c r="E1497" s="102"/>
      <c r="F1497" s="102"/>
      <c r="G1497" s="102"/>
      <c r="H1497" s="175"/>
      <c r="I1497" s="85"/>
      <c r="J1497" s="104"/>
      <c r="K1497" s="144"/>
      <c r="L1497" s="61"/>
      <c r="N1497" s="37"/>
      <c r="O1497" s="37"/>
      <c r="P1497" s="37"/>
      <c r="Q1497" s="3"/>
      <c r="R1497" s="3"/>
      <c r="S1497" s="3"/>
      <c r="T1497" s="3"/>
      <c r="U1497" s="3"/>
      <c r="V1497" s="3"/>
      <c r="W1497" s="3"/>
      <c r="X1497" s="3"/>
      <c r="Y1497" s="3"/>
      <c r="Z1497" s="4"/>
      <c r="AA1497"/>
      <c r="AB1497"/>
    </row>
    <row r="1498" spans="1:28" s="49" customFormat="1" x14ac:dyDescent="0.15">
      <c r="A1498" s="165"/>
      <c r="B1498" s="93"/>
      <c r="C1498" s="102"/>
      <c r="D1498" s="62"/>
      <c r="E1498" s="102"/>
      <c r="F1498" s="102"/>
      <c r="G1498" s="102"/>
      <c r="H1498" s="175"/>
      <c r="I1498" s="85"/>
      <c r="J1498" s="109"/>
      <c r="K1498" s="144"/>
      <c r="L1498" s="61"/>
      <c r="N1498" s="37"/>
      <c r="O1498" s="37"/>
      <c r="P1498" s="37"/>
      <c r="Q1498" s="3"/>
      <c r="R1498" s="3"/>
      <c r="S1498" s="3"/>
      <c r="T1498" s="3"/>
      <c r="U1498" s="3"/>
      <c r="V1498" s="3"/>
      <c r="W1498" s="3"/>
      <c r="X1498" s="3"/>
      <c r="Y1498" s="3"/>
      <c r="Z1498" s="4"/>
      <c r="AA1498"/>
      <c r="AB1498"/>
    </row>
    <row r="1499" spans="1:28" s="49" customFormat="1" x14ac:dyDescent="0.15">
      <c r="A1499" s="165"/>
      <c r="B1499" s="93"/>
      <c r="C1499" s="102"/>
      <c r="D1499" s="62"/>
      <c r="E1499" s="102"/>
      <c r="F1499" s="102"/>
      <c r="G1499" s="102"/>
      <c r="H1499" s="175"/>
      <c r="I1499" s="85"/>
      <c r="J1499" s="104"/>
      <c r="K1499" s="144"/>
      <c r="L1499" s="61"/>
      <c r="N1499" s="37"/>
      <c r="O1499" s="37"/>
      <c r="P1499" s="37"/>
      <c r="Q1499" s="3"/>
      <c r="R1499" s="3"/>
      <c r="S1499" s="3"/>
      <c r="T1499" s="3"/>
      <c r="U1499" s="3"/>
      <c r="V1499" s="3"/>
      <c r="W1499" s="3"/>
      <c r="X1499" s="3"/>
      <c r="Y1499" s="3"/>
      <c r="Z1499" s="4"/>
      <c r="AA1499"/>
      <c r="AB1499"/>
    </row>
    <row r="1500" spans="1:28" s="49" customFormat="1" x14ac:dyDescent="0.15">
      <c r="A1500" s="165"/>
      <c r="B1500" s="93"/>
      <c r="C1500" s="102"/>
      <c r="D1500" s="62"/>
      <c r="E1500" s="102"/>
      <c r="F1500" s="102"/>
      <c r="G1500" s="102"/>
      <c r="H1500" s="175"/>
      <c r="I1500" s="85"/>
      <c r="J1500" s="104"/>
      <c r="K1500" s="144"/>
      <c r="L1500" s="61"/>
      <c r="N1500" s="37"/>
      <c r="O1500" s="37"/>
      <c r="P1500" s="37"/>
      <c r="Q1500" s="3"/>
      <c r="R1500" s="3"/>
      <c r="S1500" s="3"/>
      <c r="T1500" s="3"/>
      <c r="U1500" s="3"/>
      <c r="V1500" s="3"/>
      <c r="W1500" s="3"/>
      <c r="X1500" s="3"/>
      <c r="Y1500" s="3"/>
      <c r="Z1500" s="4"/>
      <c r="AA1500"/>
      <c r="AB1500"/>
    </row>
    <row r="1501" spans="1:28" s="49" customFormat="1" x14ac:dyDescent="0.15">
      <c r="A1501" s="165"/>
      <c r="B1501" s="93"/>
      <c r="C1501" s="102"/>
      <c r="D1501" s="62"/>
      <c r="E1501" s="102"/>
      <c r="F1501" s="102"/>
      <c r="G1501" s="102"/>
      <c r="H1501" s="175"/>
      <c r="I1501" s="85"/>
      <c r="J1501" s="104"/>
      <c r="K1501" s="144"/>
      <c r="L1501" s="61"/>
      <c r="N1501" s="37"/>
      <c r="O1501" s="37"/>
      <c r="P1501" s="37"/>
      <c r="Q1501" s="3"/>
      <c r="R1501" s="3"/>
      <c r="S1501" s="3"/>
      <c r="T1501" s="3"/>
      <c r="U1501" s="3"/>
      <c r="V1501" s="3"/>
      <c r="W1501" s="3"/>
      <c r="X1501" s="3"/>
      <c r="Y1501" s="3"/>
      <c r="Z1501" s="4"/>
      <c r="AA1501"/>
      <c r="AB1501"/>
    </row>
    <row r="1502" spans="1:28" s="49" customFormat="1" x14ac:dyDescent="0.15">
      <c r="A1502" s="165"/>
      <c r="B1502" s="93"/>
      <c r="C1502" s="102"/>
      <c r="D1502" s="62"/>
      <c r="E1502" s="102"/>
      <c r="F1502" s="102"/>
      <c r="G1502" s="102"/>
      <c r="H1502" s="175"/>
      <c r="I1502" s="85"/>
      <c r="J1502" s="104"/>
      <c r="K1502" s="144"/>
      <c r="L1502" s="61"/>
      <c r="N1502" s="37"/>
      <c r="O1502" s="37"/>
      <c r="P1502" s="37"/>
      <c r="Q1502" s="3"/>
      <c r="R1502" s="3"/>
      <c r="S1502" s="3"/>
      <c r="T1502" s="3"/>
      <c r="U1502" s="3"/>
      <c r="V1502" s="3"/>
      <c r="W1502" s="3"/>
      <c r="X1502" s="3"/>
      <c r="Y1502" s="3"/>
      <c r="Z1502" s="4"/>
      <c r="AA1502"/>
      <c r="AB1502"/>
    </row>
    <row r="1503" spans="1:28" s="49" customFormat="1" x14ac:dyDescent="0.15">
      <c r="A1503" s="165"/>
      <c r="B1503" s="93"/>
      <c r="C1503" s="102"/>
      <c r="D1503" s="62"/>
      <c r="E1503" s="102"/>
      <c r="F1503" s="102"/>
      <c r="G1503" s="102"/>
      <c r="H1503" s="175"/>
      <c r="I1503" s="85"/>
      <c r="J1503" s="104"/>
      <c r="K1503" s="144"/>
      <c r="L1503" s="61"/>
      <c r="N1503" s="37"/>
      <c r="O1503" s="37"/>
      <c r="P1503" s="37"/>
      <c r="Q1503" s="3"/>
      <c r="R1503" s="3"/>
      <c r="S1503" s="3"/>
      <c r="T1503" s="3"/>
      <c r="U1503" s="3"/>
      <c r="V1503" s="3"/>
      <c r="W1503" s="3"/>
      <c r="X1503" s="3"/>
      <c r="Y1503" s="3"/>
      <c r="Z1503" s="4"/>
      <c r="AA1503"/>
      <c r="AB1503"/>
    </row>
    <row r="1504" spans="1:28" s="49" customFormat="1" x14ac:dyDescent="0.15">
      <c r="A1504" s="165"/>
      <c r="B1504" s="93"/>
      <c r="C1504" s="102"/>
      <c r="D1504" s="62"/>
      <c r="E1504" s="102"/>
      <c r="F1504" s="102"/>
      <c r="G1504" s="102"/>
      <c r="H1504" s="175"/>
      <c r="I1504" s="85"/>
      <c r="J1504" s="104"/>
      <c r="K1504" s="144"/>
      <c r="L1504" s="62"/>
      <c r="N1504" s="37"/>
      <c r="O1504" s="37"/>
      <c r="P1504" s="37"/>
      <c r="Q1504" s="3"/>
      <c r="R1504" s="3"/>
      <c r="S1504" s="3"/>
      <c r="T1504" s="3"/>
      <c r="U1504" s="3"/>
      <c r="V1504" s="3"/>
      <c r="W1504" s="3"/>
      <c r="X1504" s="3"/>
      <c r="Y1504" s="3"/>
      <c r="Z1504" s="4"/>
      <c r="AA1504"/>
      <c r="AB1504"/>
    </row>
    <row r="1505" spans="1:28" s="49" customFormat="1" x14ac:dyDescent="0.15">
      <c r="A1505" s="165"/>
      <c r="B1505" s="93"/>
      <c r="C1505" s="102"/>
      <c r="D1505" s="62"/>
      <c r="E1505" s="102"/>
      <c r="F1505" s="102"/>
      <c r="G1505" s="102"/>
      <c r="H1505" s="175"/>
      <c r="I1505" s="85"/>
      <c r="J1505" s="104"/>
      <c r="K1505" s="144"/>
      <c r="L1505" s="62"/>
      <c r="N1505" s="37"/>
      <c r="O1505" s="37"/>
      <c r="P1505" s="37"/>
      <c r="Q1505" s="3"/>
      <c r="R1505" s="3"/>
      <c r="S1505" s="3"/>
      <c r="T1505" s="3"/>
      <c r="U1505" s="3"/>
      <c r="V1505" s="3"/>
      <c r="W1505" s="3"/>
      <c r="X1505" s="3"/>
      <c r="Y1505" s="3"/>
      <c r="Z1505" s="4"/>
      <c r="AA1505"/>
      <c r="AB1505"/>
    </row>
    <row r="1506" spans="1:28" s="49" customFormat="1" x14ac:dyDescent="0.15">
      <c r="A1506" s="165"/>
      <c r="B1506" s="93"/>
      <c r="C1506" s="102"/>
      <c r="D1506" s="62"/>
      <c r="E1506" s="102"/>
      <c r="F1506" s="102"/>
      <c r="G1506" s="102"/>
      <c r="H1506" s="175"/>
      <c r="I1506" s="85"/>
      <c r="J1506" s="104"/>
      <c r="K1506" s="144"/>
      <c r="L1506" s="62"/>
      <c r="N1506" s="37"/>
      <c r="O1506" s="37"/>
      <c r="P1506" s="37"/>
      <c r="Q1506" s="3"/>
      <c r="R1506" s="3"/>
      <c r="S1506" s="3"/>
      <c r="T1506" s="3"/>
      <c r="U1506" s="3"/>
      <c r="V1506" s="3"/>
      <c r="W1506" s="3"/>
      <c r="X1506" s="3"/>
      <c r="Y1506" s="3"/>
      <c r="Z1506" s="4"/>
      <c r="AA1506"/>
      <c r="AB1506"/>
    </row>
    <row r="1507" spans="1:28" s="49" customFormat="1" x14ac:dyDescent="0.15">
      <c r="A1507" s="165"/>
      <c r="B1507" s="93"/>
      <c r="C1507" s="102"/>
      <c r="D1507" s="62"/>
      <c r="E1507" s="102"/>
      <c r="F1507" s="102"/>
      <c r="G1507" s="102"/>
      <c r="H1507" s="175"/>
      <c r="I1507" s="85"/>
      <c r="J1507" s="104"/>
      <c r="K1507" s="144"/>
      <c r="L1507" s="61"/>
      <c r="N1507" s="37"/>
      <c r="O1507" s="37"/>
      <c r="P1507" s="37"/>
      <c r="Q1507" s="3"/>
      <c r="R1507" s="3"/>
      <c r="S1507" s="3"/>
      <c r="T1507" s="3"/>
      <c r="U1507" s="3"/>
      <c r="V1507" s="3"/>
      <c r="W1507" s="3"/>
      <c r="X1507" s="3"/>
      <c r="Y1507" s="3"/>
      <c r="Z1507" s="4"/>
      <c r="AA1507"/>
      <c r="AB1507"/>
    </row>
    <row r="1508" spans="1:28" s="49" customFormat="1" x14ac:dyDescent="0.15">
      <c r="A1508" s="165"/>
      <c r="B1508" s="93"/>
      <c r="C1508" s="102"/>
      <c r="D1508" s="62"/>
      <c r="E1508" s="102"/>
      <c r="F1508" s="102"/>
      <c r="G1508" s="102"/>
      <c r="H1508" s="175"/>
      <c r="I1508" s="85"/>
      <c r="J1508" s="104"/>
      <c r="K1508" s="144"/>
      <c r="L1508" s="61"/>
      <c r="N1508" s="37"/>
      <c r="O1508" s="37"/>
      <c r="P1508" s="37"/>
      <c r="Q1508" s="3"/>
      <c r="R1508" s="3"/>
      <c r="S1508" s="3"/>
      <c r="T1508" s="3"/>
      <c r="U1508" s="3"/>
      <c r="V1508" s="3"/>
      <c r="W1508" s="3"/>
      <c r="X1508" s="3"/>
      <c r="Y1508" s="3"/>
      <c r="Z1508" s="4"/>
      <c r="AA1508"/>
      <c r="AB1508"/>
    </row>
    <row r="1509" spans="1:28" s="49" customFormat="1" x14ac:dyDescent="0.15">
      <c r="A1509" s="165"/>
      <c r="B1509" s="93"/>
      <c r="C1509" s="102"/>
      <c r="D1509" s="62"/>
      <c r="E1509" s="102"/>
      <c r="F1509" s="102"/>
      <c r="G1509" s="102"/>
      <c r="H1509" s="175"/>
      <c r="I1509" s="85"/>
      <c r="J1509" s="104"/>
      <c r="K1509" s="144"/>
      <c r="L1509" s="61"/>
      <c r="N1509" s="37"/>
      <c r="O1509" s="37"/>
      <c r="P1509" s="37"/>
      <c r="Q1509" s="3"/>
      <c r="R1509" s="3"/>
      <c r="S1509" s="3"/>
      <c r="T1509" s="3"/>
      <c r="U1509" s="3"/>
      <c r="V1509" s="3"/>
      <c r="W1509" s="3"/>
      <c r="X1509" s="3"/>
      <c r="Y1509" s="3"/>
      <c r="Z1509" s="4"/>
      <c r="AA1509"/>
      <c r="AB1509"/>
    </row>
    <row r="1510" spans="1:28" s="49" customFormat="1" x14ac:dyDescent="0.15">
      <c r="A1510" s="165"/>
      <c r="B1510" s="93"/>
      <c r="C1510" s="102"/>
      <c r="D1510" s="62"/>
      <c r="E1510" s="102"/>
      <c r="F1510" s="102"/>
      <c r="G1510" s="102"/>
      <c r="H1510" s="175"/>
      <c r="I1510" s="85"/>
      <c r="J1510" s="104"/>
      <c r="K1510" s="144"/>
      <c r="L1510" s="61"/>
      <c r="N1510" s="37"/>
      <c r="O1510" s="37"/>
      <c r="P1510" s="37"/>
      <c r="Q1510" s="3"/>
      <c r="R1510" s="3"/>
      <c r="S1510" s="3"/>
      <c r="T1510" s="3"/>
      <c r="U1510" s="3"/>
      <c r="V1510" s="3"/>
      <c r="W1510" s="3"/>
      <c r="X1510" s="3"/>
      <c r="Y1510" s="3"/>
      <c r="Z1510" s="4"/>
      <c r="AA1510"/>
      <c r="AB1510"/>
    </row>
    <row r="1511" spans="1:28" s="49" customFormat="1" x14ac:dyDescent="0.15">
      <c r="A1511" s="165"/>
      <c r="B1511" s="93"/>
      <c r="C1511" s="102"/>
      <c r="D1511" s="62"/>
      <c r="E1511" s="102"/>
      <c r="F1511" s="102"/>
      <c r="G1511" s="102"/>
      <c r="H1511" s="175"/>
      <c r="I1511" s="85"/>
      <c r="J1511" s="104"/>
      <c r="K1511" s="144"/>
      <c r="L1511" s="61"/>
      <c r="N1511" s="37"/>
      <c r="O1511" s="37"/>
      <c r="P1511" s="37"/>
      <c r="Q1511" s="3"/>
      <c r="R1511" s="3"/>
      <c r="S1511" s="3"/>
      <c r="T1511" s="3"/>
      <c r="U1511" s="3"/>
      <c r="V1511" s="3"/>
      <c r="W1511" s="3"/>
      <c r="X1511" s="3"/>
      <c r="Y1511" s="3"/>
      <c r="Z1511" s="4"/>
      <c r="AA1511"/>
      <c r="AB1511"/>
    </row>
    <row r="1512" spans="1:28" s="49" customFormat="1" x14ac:dyDescent="0.15">
      <c r="A1512" s="165"/>
      <c r="B1512" s="93"/>
      <c r="C1512" s="102"/>
      <c r="D1512" s="62"/>
      <c r="E1512" s="102"/>
      <c r="F1512" s="102"/>
      <c r="G1512" s="102"/>
      <c r="H1512" s="175"/>
      <c r="I1512" s="85"/>
      <c r="J1512" s="104"/>
      <c r="K1512" s="144"/>
      <c r="L1512" s="61"/>
      <c r="N1512" s="37"/>
      <c r="O1512" s="37"/>
      <c r="P1512" s="37"/>
      <c r="Q1512" s="3"/>
      <c r="R1512" s="3"/>
      <c r="S1512" s="3"/>
      <c r="T1512" s="3"/>
      <c r="U1512" s="3"/>
      <c r="V1512" s="3"/>
      <c r="W1512" s="3"/>
      <c r="X1512" s="3"/>
      <c r="Y1512" s="3"/>
      <c r="Z1512" s="4"/>
      <c r="AA1512"/>
      <c r="AB1512"/>
    </row>
    <row r="1513" spans="1:28" s="49" customFormat="1" x14ac:dyDescent="0.15">
      <c r="A1513" s="165"/>
      <c r="B1513" s="93"/>
      <c r="C1513" s="102"/>
      <c r="D1513" s="62"/>
      <c r="E1513" s="102"/>
      <c r="F1513" s="102"/>
      <c r="G1513" s="102"/>
      <c r="H1513" s="175"/>
      <c r="I1513" s="85"/>
      <c r="J1513" s="104"/>
      <c r="K1513" s="144"/>
      <c r="L1513" s="61"/>
      <c r="N1513" s="37"/>
      <c r="O1513" s="37"/>
      <c r="P1513" s="37"/>
      <c r="Q1513" s="3"/>
      <c r="R1513" s="3"/>
      <c r="S1513" s="3"/>
      <c r="T1513" s="3"/>
      <c r="U1513" s="3"/>
      <c r="V1513" s="3"/>
      <c r="W1513" s="3"/>
      <c r="X1513" s="3"/>
      <c r="Y1513" s="3"/>
      <c r="Z1513" s="4"/>
      <c r="AA1513"/>
      <c r="AB1513"/>
    </row>
    <row r="1514" spans="1:28" s="49" customFormat="1" x14ac:dyDescent="0.15">
      <c r="A1514" s="224"/>
      <c r="B1514" s="82"/>
      <c r="C1514" s="107"/>
      <c r="D1514" s="62"/>
      <c r="E1514" s="107"/>
      <c r="F1514" s="107"/>
      <c r="G1514" s="107"/>
      <c r="H1514" s="179"/>
      <c r="I1514" s="85"/>
      <c r="J1514" s="104"/>
      <c r="K1514" s="144"/>
      <c r="L1514" s="61"/>
      <c r="N1514" s="37"/>
      <c r="O1514" s="37"/>
      <c r="P1514" s="37"/>
      <c r="Q1514" s="3"/>
      <c r="R1514" s="3"/>
      <c r="S1514" s="3"/>
      <c r="T1514" s="3"/>
      <c r="U1514" s="3"/>
      <c r="V1514" s="3"/>
      <c r="W1514" s="3"/>
      <c r="X1514" s="3"/>
      <c r="Y1514" s="3"/>
      <c r="Z1514" s="4"/>
      <c r="AA1514"/>
      <c r="AB1514"/>
    </row>
    <row r="1515" spans="1:28" s="49" customFormat="1" x14ac:dyDescent="0.15">
      <c r="A1515" s="224"/>
      <c r="B1515" s="93"/>
      <c r="C1515" s="102"/>
      <c r="D1515" s="62"/>
      <c r="E1515" s="100"/>
      <c r="F1515" s="102"/>
      <c r="G1515" s="102"/>
      <c r="H1515" s="175"/>
      <c r="I1515" s="85"/>
      <c r="J1515" s="104"/>
      <c r="K1515" s="144"/>
      <c r="L1515" s="61"/>
      <c r="N1515" s="37"/>
      <c r="O1515" s="37"/>
      <c r="P1515" s="37"/>
      <c r="Q1515" s="3"/>
      <c r="R1515" s="3"/>
      <c r="S1515" s="3"/>
      <c r="T1515" s="3"/>
      <c r="U1515" s="3"/>
      <c r="V1515" s="3"/>
      <c r="W1515" s="3"/>
      <c r="X1515" s="3"/>
      <c r="Y1515" s="3"/>
      <c r="Z1515" s="4"/>
      <c r="AA1515"/>
      <c r="AB1515"/>
    </row>
    <row r="1516" spans="1:28" s="49" customFormat="1" x14ac:dyDescent="0.15">
      <c r="A1516" s="224"/>
      <c r="B1516" s="93"/>
      <c r="C1516" s="102"/>
      <c r="D1516" s="62"/>
      <c r="E1516" s="102"/>
      <c r="F1516" s="102"/>
      <c r="G1516" s="102"/>
      <c r="H1516" s="175"/>
      <c r="I1516" s="85"/>
      <c r="J1516" s="104"/>
      <c r="K1516" s="144"/>
      <c r="L1516" s="61"/>
      <c r="N1516" s="37"/>
      <c r="O1516" s="37"/>
      <c r="P1516" s="37"/>
      <c r="Q1516" s="3"/>
      <c r="R1516" s="3"/>
      <c r="S1516" s="3"/>
      <c r="T1516" s="3"/>
      <c r="U1516" s="3"/>
      <c r="V1516" s="3"/>
      <c r="W1516" s="3"/>
      <c r="X1516" s="3"/>
      <c r="Y1516" s="3"/>
      <c r="Z1516" s="4"/>
      <c r="AA1516"/>
      <c r="AB1516"/>
    </row>
    <row r="1517" spans="1:28" s="49" customFormat="1" x14ac:dyDescent="0.15">
      <c r="A1517" s="224"/>
      <c r="B1517" s="93"/>
      <c r="C1517" s="102"/>
      <c r="D1517" s="62"/>
      <c r="E1517" s="102"/>
      <c r="F1517" s="102"/>
      <c r="G1517" s="102"/>
      <c r="H1517" s="175"/>
      <c r="I1517" s="85"/>
      <c r="J1517" s="104"/>
      <c r="K1517" s="144"/>
      <c r="L1517" s="61"/>
      <c r="N1517" s="37"/>
      <c r="O1517" s="37"/>
      <c r="P1517" s="37"/>
      <c r="Q1517" s="3"/>
      <c r="R1517" s="3"/>
      <c r="S1517" s="3"/>
      <c r="T1517" s="3"/>
      <c r="U1517" s="3"/>
      <c r="V1517" s="3"/>
      <c r="W1517" s="3"/>
      <c r="X1517" s="3"/>
      <c r="Y1517" s="3"/>
      <c r="Z1517" s="4"/>
      <c r="AA1517"/>
      <c r="AB1517"/>
    </row>
    <row r="1518" spans="1:28" s="49" customFormat="1" x14ac:dyDescent="0.15">
      <c r="A1518" s="224"/>
      <c r="B1518" s="93"/>
      <c r="C1518" s="102"/>
      <c r="D1518" s="62"/>
      <c r="E1518" s="102"/>
      <c r="F1518" s="102"/>
      <c r="G1518" s="102"/>
      <c r="H1518" s="175"/>
      <c r="I1518" s="85"/>
      <c r="J1518" s="104"/>
      <c r="K1518" s="144"/>
      <c r="L1518" s="61"/>
      <c r="N1518" s="37"/>
      <c r="O1518" s="37"/>
      <c r="P1518" s="37"/>
      <c r="Q1518" s="3"/>
      <c r="R1518" s="3"/>
      <c r="S1518" s="3"/>
      <c r="T1518" s="3"/>
      <c r="U1518" s="3"/>
      <c r="V1518" s="3"/>
      <c r="W1518" s="3"/>
      <c r="X1518" s="3"/>
      <c r="Y1518" s="3"/>
      <c r="Z1518" s="4"/>
      <c r="AA1518"/>
      <c r="AB1518"/>
    </row>
    <row r="1519" spans="1:28" s="49" customFormat="1" x14ac:dyDescent="0.15">
      <c r="A1519" s="224"/>
      <c r="B1519" s="93"/>
      <c r="C1519" s="102"/>
      <c r="D1519" s="62"/>
      <c r="E1519" s="102"/>
      <c r="F1519" s="102"/>
      <c r="G1519" s="102"/>
      <c r="H1519" s="175"/>
      <c r="I1519" s="85"/>
      <c r="J1519" s="104"/>
      <c r="K1519" s="144"/>
      <c r="L1519" s="61"/>
      <c r="N1519" s="37"/>
      <c r="O1519" s="37"/>
      <c r="P1519" s="37"/>
      <c r="Q1519" s="3"/>
      <c r="R1519" s="3"/>
      <c r="S1519" s="3"/>
      <c r="T1519" s="3"/>
      <c r="U1519" s="3"/>
      <c r="V1519" s="3"/>
      <c r="W1519" s="3"/>
      <c r="X1519" s="3"/>
      <c r="Y1519" s="3"/>
      <c r="Z1519" s="4"/>
      <c r="AA1519"/>
      <c r="AB1519"/>
    </row>
    <row r="1520" spans="1:28" s="49" customFormat="1" x14ac:dyDescent="0.15">
      <c r="A1520" s="224"/>
      <c r="B1520" s="93"/>
      <c r="C1520" s="102"/>
      <c r="D1520" s="62"/>
      <c r="E1520" s="102"/>
      <c r="F1520" s="102"/>
      <c r="G1520" s="102"/>
      <c r="H1520" s="175"/>
      <c r="I1520" s="85"/>
      <c r="J1520" s="104"/>
      <c r="K1520" s="144"/>
      <c r="L1520" s="61"/>
      <c r="N1520" s="37"/>
      <c r="O1520" s="37"/>
      <c r="P1520" s="37"/>
      <c r="Q1520" s="3"/>
      <c r="R1520" s="3"/>
      <c r="S1520" s="3"/>
      <c r="T1520" s="3"/>
      <c r="U1520" s="3"/>
      <c r="V1520" s="3"/>
      <c r="W1520" s="3"/>
      <c r="X1520" s="3"/>
      <c r="Y1520" s="3"/>
      <c r="Z1520" s="4"/>
      <c r="AA1520"/>
      <c r="AB1520"/>
    </row>
    <row r="1521" spans="1:28" s="49" customFormat="1" x14ac:dyDescent="0.15">
      <c r="A1521" s="224"/>
      <c r="B1521" s="93"/>
      <c r="C1521" s="102"/>
      <c r="D1521" s="62"/>
      <c r="E1521" s="102"/>
      <c r="F1521" s="102"/>
      <c r="G1521" s="102"/>
      <c r="H1521" s="175"/>
      <c r="I1521" s="98"/>
      <c r="J1521" s="98"/>
      <c r="K1521" s="135"/>
      <c r="L1521" s="61"/>
      <c r="N1521" s="37"/>
      <c r="O1521" s="37"/>
      <c r="P1521" s="37"/>
      <c r="Q1521" s="3"/>
      <c r="R1521" s="3"/>
      <c r="S1521" s="3"/>
      <c r="T1521" s="3"/>
      <c r="U1521" s="3"/>
      <c r="V1521" s="3"/>
      <c r="W1521" s="3"/>
      <c r="X1521" s="3"/>
      <c r="Y1521" s="3"/>
      <c r="Z1521" s="4"/>
      <c r="AA1521"/>
      <c r="AB1521"/>
    </row>
    <row r="1522" spans="1:28" s="49" customFormat="1" x14ac:dyDescent="0.15">
      <c r="A1522" s="224"/>
      <c r="B1522" s="93"/>
      <c r="C1522" s="102"/>
      <c r="D1522" s="62"/>
      <c r="E1522" s="102"/>
      <c r="F1522" s="102"/>
      <c r="G1522" s="102"/>
      <c r="H1522" s="175"/>
      <c r="I1522" s="98"/>
      <c r="J1522" s="98"/>
      <c r="K1522" s="135"/>
      <c r="L1522" s="61"/>
      <c r="N1522" s="37"/>
      <c r="O1522" s="37"/>
      <c r="P1522" s="37"/>
      <c r="Q1522" s="3"/>
      <c r="R1522" s="3"/>
      <c r="S1522" s="3"/>
      <c r="T1522" s="3"/>
      <c r="U1522" s="3"/>
      <c r="V1522" s="3"/>
      <c r="W1522" s="3"/>
      <c r="X1522" s="3"/>
      <c r="Y1522" s="3"/>
      <c r="Z1522" s="4"/>
      <c r="AA1522"/>
      <c r="AB1522"/>
    </row>
    <row r="1523" spans="1:28" s="49" customFormat="1" x14ac:dyDescent="0.15">
      <c r="A1523" s="224"/>
      <c r="B1523" s="82"/>
      <c r="C1523" s="107"/>
      <c r="D1523" s="62"/>
      <c r="E1523" s="107"/>
      <c r="F1523" s="107"/>
      <c r="G1523" s="107"/>
      <c r="H1523" s="179"/>
      <c r="I1523" s="85"/>
      <c r="J1523" s="104"/>
      <c r="K1523" s="144"/>
      <c r="L1523" s="61"/>
      <c r="N1523" s="37"/>
      <c r="O1523" s="37"/>
      <c r="P1523" s="37"/>
      <c r="Q1523" s="3"/>
      <c r="R1523" s="3"/>
      <c r="S1523" s="3"/>
      <c r="T1523" s="3"/>
      <c r="U1523" s="3"/>
      <c r="V1523" s="3"/>
      <c r="W1523" s="3"/>
      <c r="X1523" s="3"/>
      <c r="Y1523" s="3"/>
      <c r="Z1523" s="4"/>
      <c r="AA1523"/>
      <c r="AB1523"/>
    </row>
    <row r="1524" spans="1:28" s="49" customFormat="1" x14ac:dyDescent="0.15">
      <c r="A1524" s="224"/>
      <c r="B1524" s="93"/>
      <c r="C1524" s="102"/>
      <c r="D1524" s="62"/>
      <c r="E1524" s="102"/>
      <c r="F1524" s="102"/>
      <c r="G1524" s="102"/>
      <c r="H1524" s="175"/>
      <c r="I1524" s="85"/>
      <c r="J1524" s="104"/>
      <c r="K1524" s="144"/>
      <c r="L1524" s="61"/>
      <c r="N1524" s="37"/>
      <c r="O1524" s="37"/>
      <c r="P1524" s="37"/>
      <c r="Q1524" s="3"/>
      <c r="R1524" s="3"/>
      <c r="S1524" s="3"/>
      <c r="T1524" s="3"/>
      <c r="U1524" s="3"/>
      <c r="V1524" s="3"/>
      <c r="W1524" s="3"/>
      <c r="X1524" s="3"/>
      <c r="Y1524" s="3"/>
      <c r="Z1524" s="4"/>
      <c r="AA1524"/>
      <c r="AB1524"/>
    </row>
    <row r="1525" spans="1:28" s="49" customFormat="1" x14ac:dyDescent="0.15">
      <c r="A1525" s="224"/>
      <c r="B1525" s="93"/>
      <c r="C1525" s="102"/>
      <c r="D1525" s="62"/>
      <c r="E1525" s="102"/>
      <c r="F1525" s="102"/>
      <c r="G1525" s="102"/>
      <c r="H1525" s="175"/>
      <c r="I1525" s="85"/>
      <c r="J1525" s="104"/>
      <c r="K1525" s="144"/>
      <c r="L1525" s="61"/>
      <c r="N1525" s="37"/>
      <c r="O1525" s="37"/>
      <c r="P1525" s="37"/>
      <c r="Q1525" s="3"/>
      <c r="R1525" s="3"/>
      <c r="S1525" s="3"/>
      <c r="T1525" s="3"/>
      <c r="U1525" s="3"/>
      <c r="V1525" s="3"/>
      <c r="W1525" s="3"/>
      <c r="X1525" s="3"/>
      <c r="Y1525" s="3"/>
      <c r="Z1525" s="4"/>
      <c r="AA1525"/>
      <c r="AB1525"/>
    </row>
    <row r="1526" spans="1:28" s="49" customFormat="1" x14ac:dyDescent="0.15">
      <c r="A1526" s="224"/>
      <c r="B1526" s="93"/>
      <c r="C1526" s="102"/>
      <c r="D1526" s="62"/>
      <c r="E1526" s="102"/>
      <c r="F1526" s="102"/>
      <c r="G1526" s="102"/>
      <c r="H1526" s="175"/>
      <c r="I1526" s="98"/>
      <c r="J1526" s="98"/>
      <c r="K1526" s="135"/>
      <c r="L1526" s="61"/>
      <c r="N1526" s="37"/>
      <c r="O1526" s="37"/>
      <c r="P1526" s="37"/>
      <c r="Q1526" s="3"/>
      <c r="R1526" s="3"/>
      <c r="S1526" s="3"/>
      <c r="T1526" s="3"/>
      <c r="U1526" s="3"/>
      <c r="V1526" s="3"/>
      <c r="W1526" s="3"/>
      <c r="X1526" s="3"/>
      <c r="Y1526" s="3"/>
      <c r="Z1526" s="4"/>
      <c r="AA1526"/>
      <c r="AB1526"/>
    </row>
    <row r="1527" spans="1:28" s="49" customFormat="1" x14ac:dyDescent="0.15">
      <c r="A1527" s="224"/>
      <c r="B1527" s="93"/>
      <c r="C1527" s="102"/>
      <c r="D1527" s="62"/>
      <c r="E1527" s="100"/>
      <c r="F1527" s="102"/>
      <c r="G1527" s="102"/>
      <c r="H1527" s="175"/>
      <c r="I1527" s="85"/>
      <c r="J1527" s="101"/>
      <c r="K1527" s="144"/>
      <c r="L1527" s="61"/>
      <c r="N1527" s="37"/>
      <c r="O1527" s="37"/>
      <c r="P1527" s="37"/>
      <c r="Q1527" s="3"/>
      <c r="R1527" s="3"/>
      <c r="S1527" s="3"/>
      <c r="T1527" s="3"/>
      <c r="U1527" s="3"/>
      <c r="V1527" s="3"/>
      <c r="W1527" s="3"/>
      <c r="X1527" s="3"/>
      <c r="Y1527" s="3"/>
      <c r="Z1527" s="4"/>
      <c r="AA1527"/>
      <c r="AB1527"/>
    </row>
    <row r="1528" spans="1:28" s="49" customFormat="1" x14ac:dyDescent="0.15">
      <c r="A1528" s="224"/>
      <c r="B1528" s="93"/>
      <c r="C1528" s="102"/>
      <c r="D1528" s="62"/>
      <c r="E1528" s="102"/>
      <c r="F1528" s="102"/>
      <c r="G1528" s="102"/>
      <c r="H1528" s="175"/>
      <c r="I1528" s="85"/>
      <c r="J1528" s="104"/>
      <c r="K1528" s="144"/>
      <c r="L1528" s="61"/>
      <c r="N1528" s="37"/>
      <c r="O1528" s="37"/>
      <c r="P1528" s="37"/>
      <c r="Q1528" s="3"/>
      <c r="R1528" s="3"/>
      <c r="S1528" s="3"/>
      <c r="T1528" s="3"/>
      <c r="U1528" s="3"/>
      <c r="V1528" s="3"/>
      <c r="W1528" s="3"/>
      <c r="X1528" s="3"/>
      <c r="Y1528" s="3"/>
      <c r="Z1528" s="4"/>
      <c r="AA1528"/>
      <c r="AB1528"/>
    </row>
    <row r="1529" spans="1:28" s="49" customFormat="1" x14ac:dyDescent="0.15">
      <c r="A1529" s="224"/>
      <c r="B1529" s="93"/>
      <c r="C1529" s="100"/>
      <c r="D1529" s="61"/>
      <c r="E1529" s="100"/>
      <c r="F1529" s="102"/>
      <c r="G1529" s="102"/>
      <c r="H1529" s="175"/>
      <c r="I1529" s="98"/>
      <c r="J1529" s="98"/>
      <c r="K1529" s="135"/>
      <c r="L1529" s="61"/>
      <c r="N1529" s="37"/>
      <c r="O1529" s="37"/>
      <c r="P1529" s="37"/>
      <c r="Q1529" s="3"/>
      <c r="R1529" s="3"/>
      <c r="S1529" s="3"/>
      <c r="T1529" s="3"/>
      <c r="U1529" s="3"/>
      <c r="V1529" s="3"/>
      <c r="W1529" s="3"/>
      <c r="X1529" s="3"/>
      <c r="Y1529" s="3"/>
      <c r="Z1529" s="4"/>
      <c r="AA1529"/>
      <c r="AB1529"/>
    </row>
    <row r="1530" spans="1:28" s="49" customFormat="1" x14ac:dyDescent="0.15">
      <c r="A1530" s="224"/>
      <c r="B1530" s="93"/>
      <c r="C1530" s="102"/>
      <c r="D1530" s="62"/>
      <c r="E1530" s="102"/>
      <c r="F1530" s="102"/>
      <c r="G1530" s="102"/>
      <c r="H1530" s="175"/>
      <c r="I1530" s="103"/>
      <c r="J1530" s="103"/>
      <c r="K1530" s="135"/>
      <c r="L1530" s="61"/>
      <c r="N1530" s="37"/>
      <c r="O1530" s="37"/>
      <c r="P1530" s="37"/>
      <c r="Q1530" s="3"/>
      <c r="R1530" s="3"/>
      <c r="S1530" s="3"/>
      <c r="T1530" s="3"/>
      <c r="U1530" s="3"/>
      <c r="V1530" s="3"/>
      <c r="W1530" s="3"/>
      <c r="X1530" s="3"/>
      <c r="Y1530" s="3"/>
      <c r="Z1530" s="4"/>
      <c r="AA1530"/>
      <c r="AB1530"/>
    </row>
    <row r="1531" spans="1:28" s="49" customFormat="1" x14ac:dyDescent="0.15">
      <c r="A1531" s="224"/>
      <c r="B1531" s="108"/>
      <c r="C1531" s="102"/>
      <c r="D1531" s="62"/>
      <c r="E1531" s="102"/>
      <c r="F1531" s="102"/>
      <c r="G1531" s="102"/>
      <c r="H1531" s="175"/>
      <c r="I1531" s="98"/>
      <c r="J1531" s="98"/>
      <c r="K1531" s="135"/>
      <c r="L1531" s="61"/>
      <c r="N1531" s="37"/>
      <c r="O1531" s="37"/>
      <c r="P1531" s="37"/>
      <c r="Q1531" s="3"/>
      <c r="R1531" s="3"/>
      <c r="S1531" s="3"/>
      <c r="T1531" s="3"/>
      <c r="U1531" s="3"/>
      <c r="V1531" s="3"/>
      <c r="W1531" s="3"/>
      <c r="X1531" s="3"/>
      <c r="Y1531" s="3"/>
      <c r="Z1531" s="4"/>
      <c r="AA1531"/>
      <c r="AB1531"/>
    </row>
    <row r="1532" spans="1:28" s="49" customFormat="1" x14ac:dyDescent="0.15">
      <c r="A1532" s="224"/>
      <c r="B1532" s="93"/>
      <c r="C1532" s="102"/>
      <c r="D1532" s="62"/>
      <c r="E1532" s="102"/>
      <c r="F1532" s="102"/>
      <c r="G1532" s="102"/>
      <c r="H1532" s="175"/>
      <c r="I1532" s="98"/>
      <c r="J1532" s="98"/>
      <c r="K1532" s="135"/>
      <c r="L1532" s="61"/>
      <c r="N1532" s="37"/>
      <c r="O1532" s="37"/>
      <c r="P1532" s="37"/>
      <c r="Q1532" s="3"/>
      <c r="R1532" s="3"/>
      <c r="S1532" s="3"/>
      <c r="T1532" s="3"/>
      <c r="U1532" s="3"/>
      <c r="V1532" s="3"/>
      <c r="W1532" s="3"/>
      <c r="X1532" s="3"/>
      <c r="Y1532" s="3"/>
      <c r="Z1532" s="4"/>
      <c r="AA1532"/>
      <c r="AB1532"/>
    </row>
    <row r="1533" spans="1:28" s="49" customFormat="1" x14ac:dyDescent="0.15">
      <c r="A1533" s="224"/>
      <c r="B1533" s="93"/>
      <c r="C1533" s="102"/>
      <c r="D1533" s="62"/>
      <c r="E1533" s="102"/>
      <c r="F1533" s="102"/>
      <c r="G1533" s="102"/>
      <c r="H1533" s="175"/>
      <c r="I1533" s="98"/>
      <c r="J1533" s="98"/>
      <c r="K1533" s="135"/>
      <c r="L1533" s="61"/>
      <c r="N1533" s="37"/>
      <c r="O1533" s="37"/>
      <c r="P1533" s="37"/>
      <c r="Q1533" s="3"/>
      <c r="R1533" s="3"/>
      <c r="S1533" s="3"/>
      <c r="T1533" s="3"/>
      <c r="U1533" s="3"/>
      <c r="V1533" s="3"/>
      <c r="W1533" s="3"/>
      <c r="X1533" s="3"/>
      <c r="Y1533" s="3"/>
      <c r="Z1533" s="4"/>
      <c r="AA1533"/>
      <c r="AB1533"/>
    </row>
    <row r="1534" spans="1:28" s="49" customFormat="1" x14ac:dyDescent="0.15">
      <c r="A1534" s="224"/>
      <c r="B1534" s="93"/>
      <c r="C1534" s="102"/>
      <c r="D1534" s="62"/>
      <c r="E1534" s="102"/>
      <c r="F1534" s="102"/>
      <c r="G1534" s="102"/>
      <c r="H1534" s="175"/>
      <c r="I1534" s="98"/>
      <c r="J1534" s="98"/>
      <c r="K1534" s="135"/>
      <c r="L1534" s="61"/>
      <c r="N1534" s="37"/>
      <c r="O1534" s="37"/>
      <c r="P1534" s="37"/>
      <c r="Q1534" s="3"/>
      <c r="R1534" s="3"/>
      <c r="S1534" s="3"/>
      <c r="T1534" s="3"/>
      <c r="U1534" s="3"/>
      <c r="V1534" s="3"/>
      <c r="W1534" s="3"/>
      <c r="X1534" s="3"/>
      <c r="Y1534" s="3"/>
      <c r="Z1534" s="4"/>
      <c r="AA1534"/>
      <c r="AB1534"/>
    </row>
    <row r="1535" spans="1:28" s="49" customFormat="1" x14ac:dyDescent="0.15">
      <c r="A1535" s="224"/>
      <c r="B1535" s="93"/>
      <c r="C1535" s="102"/>
      <c r="D1535" s="62"/>
      <c r="E1535" s="102"/>
      <c r="F1535" s="102"/>
      <c r="G1535" s="102"/>
      <c r="H1535" s="175"/>
      <c r="I1535" s="98"/>
      <c r="J1535" s="98"/>
      <c r="K1535" s="135"/>
      <c r="L1535" s="61"/>
      <c r="N1535" s="37"/>
      <c r="O1535" s="37"/>
      <c r="P1535" s="37"/>
      <c r="Q1535" s="3"/>
      <c r="R1535" s="3"/>
      <c r="S1535" s="3"/>
      <c r="T1535" s="3"/>
      <c r="U1535" s="3"/>
      <c r="V1535" s="3"/>
      <c r="W1535" s="3"/>
      <c r="X1535" s="3"/>
      <c r="Y1535" s="3"/>
      <c r="Z1535" s="4"/>
      <c r="AA1535"/>
      <c r="AB1535"/>
    </row>
    <row r="1536" spans="1:28" s="49" customFormat="1" x14ac:dyDescent="0.15">
      <c r="A1536" s="224"/>
      <c r="B1536" s="93"/>
      <c r="C1536" s="102"/>
      <c r="D1536" s="62"/>
      <c r="E1536" s="102"/>
      <c r="F1536" s="102"/>
      <c r="G1536" s="102"/>
      <c r="H1536" s="175"/>
      <c r="I1536" s="98"/>
      <c r="J1536" s="98"/>
      <c r="K1536" s="135"/>
      <c r="L1536" s="61"/>
      <c r="N1536" s="37"/>
      <c r="O1536" s="37"/>
      <c r="P1536" s="37"/>
      <c r="Q1536" s="3"/>
      <c r="R1536" s="3"/>
      <c r="S1536" s="3"/>
      <c r="T1536" s="3"/>
      <c r="U1536" s="3"/>
      <c r="V1536" s="3"/>
      <c r="W1536" s="3"/>
      <c r="X1536" s="3"/>
      <c r="Y1536" s="3"/>
      <c r="Z1536" s="4"/>
      <c r="AA1536"/>
      <c r="AB1536"/>
    </row>
    <row r="1537" spans="1:28" s="49" customFormat="1" x14ac:dyDescent="0.15">
      <c r="A1537" s="224"/>
      <c r="B1537" s="93"/>
      <c r="C1537" s="102"/>
      <c r="D1537" s="62"/>
      <c r="E1537" s="102"/>
      <c r="F1537" s="102"/>
      <c r="G1537" s="102"/>
      <c r="H1537" s="175"/>
      <c r="I1537" s="98"/>
      <c r="J1537" s="98"/>
      <c r="K1537" s="135"/>
      <c r="L1537" s="61"/>
      <c r="N1537" s="37"/>
      <c r="O1537" s="37"/>
      <c r="P1537" s="37"/>
      <c r="Q1537" s="3"/>
      <c r="R1537" s="3"/>
      <c r="S1537" s="3"/>
      <c r="T1537" s="3"/>
      <c r="U1537" s="3"/>
      <c r="V1537" s="3"/>
      <c r="W1537" s="3"/>
      <c r="X1537" s="3"/>
      <c r="Y1537" s="3"/>
      <c r="Z1537" s="4"/>
      <c r="AA1537"/>
      <c r="AB1537"/>
    </row>
    <row r="1538" spans="1:28" s="49" customFormat="1" x14ac:dyDescent="0.15">
      <c r="A1538" s="224"/>
      <c r="B1538" s="93"/>
      <c r="C1538" s="102"/>
      <c r="D1538" s="62"/>
      <c r="E1538" s="102"/>
      <c r="F1538" s="102"/>
      <c r="G1538" s="102"/>
      <c r="H1538" s="175"/>
      <c r="I1538" s="98"/>
      <c r="J1538" s="98"/>
      <c r="K1538" s="135"/>
      <c r="L1538" s="61"/>
      <c r="N1538" s="37"/>
      <c r="O1538" s="37"/>
      <c r="P1538" s="37"/>
      <c r="Q1538" s="3"/>
      <c r="R1538" s="3"/>
      <c r="S1538" s="3"/>
      <c r="T1538" s="3"/>
      <c r="U1538" s="3"/>
      <c r="V1538" s="3"/>
      <c r="W1538" s="3"/>
      <c r="X1538" s="3"/>
      <c r="Y1538" s="3"/>
      <c r="Z1538" s="4"/>
      <c r="AA1538"/>
      <c r="AB1538"/>
    </row>
    <row r="1539" spans="1:28" s="49" customFormat="1" x14ac:dyDescent="0.15">
      <c r="A1539" s="224"/>
      <c r="B1539" s="93"/>
      <c r="C1539" s="102"/>
      <c r="D1539" s="62"/>
      <c r="E1539" s="102"/>
      <c r="F1539" s="102"/>
      <c r="G1539" s="102"/>
      <c r="H1539" s="175"/>
      <c r="I1539" s="98"/>
      <c r="J1539" s="98"/>
      <c r="K1539" s="135"/>
      <c r="L1539" s="61"/>
      <c r="N1539" s="37"/>
      <c r="O1539" s="37"/>
      <c r="P1539" s="37"/>
      <c r="Q1539" s="3"/>
      <c r="R1539" s="3"/>
      <c r="S1539" s="3"/>
      <c r="T1539" s="3"/>
      <c r="U1539" s="3"/>
      <c r="V1539" s="3"/>
      <c r="W1539" s="3"/>
      <c r="X1539" s="3"/>
      <c r="Y1539" s="3"/>
      <c r="Z1539" s="4"/>
      <c r="AA1539"/>
      <c r="AB1539"/>
    </row>
    <row r="1540" spans="1:28" s="49" customFormat="1" x14ac:dyDescent="0.15">
      <c r="A1540" s="224"/>
      <c r="B1540" s="93"/>
      <c r="C1540" s="102"/>
      <c r="D1540" s="62"/>
      <c r="E1540" s="102"/>
      <c r="F1540" s="102"/>
      <c r="G1540" s="102"/>
      <c r="H1540" s="175"/>
      <c r="I1540" s="85"/>
      <c r="J1540" s="104"/>
      <c r="K1540" s="144"/>
      <c r="L1540" s="61"/>
      <c r="N1540" s="37"/>
      <c r="O1540" s="37"/>
      <c r="P1540" s="37"/>
      <c r="Q1540" s="3"/>
      <c r="R1540" s="3"/>
      <c r="S1540" s="3"/>
      <c r="T1540" s="3"/>
      <c r="U1540" s="3"/>
      <c r="V1540" s="3"/>
      <c r="W1540" s="3"/>
      <c r="X1540" s="3"/>
      <c r="Y1540" s="3"/>
      <c r="Z1540" s="4"/>
      <c r="AA1540"/>
      <c r="AB1540"/>
    </row>
    <row r="1541" spans="1:28" s="49" customFormat="1" x14ac:dyDescent="0.15">
      <c r="A1541" s="224"/>
      <c r="B1541" s="93"/>
      <c r="C1541" s="102"/>
      <c r="D1541" s="62"/>
      <c r="E1541" s="102"/>
      <c r="F1541" s="102"/>
      <c r="G1541" s="102"/>
      <c r="H1541" s="175"/>
      <c r="I1541" s="85"/>
      <c r="J1541" s="104"/>
      <c r="K1541" s="144"/>
      <c r="L1541" s="61"/>
      <c r="N1541" s="37"/>
      <c r="O1541" s="37"/>
      <c r="P1541" s="37"/>
      <c r="Q1541" s="3"/>
      <c r="R1541" s="3"/>
      <c r="S1541" s="3"/>
      <c r="T1541" s="3"/>
      <c r="U1541" s="3"/>
      <c r="V1541" s="3"/>
      <c r="W1541" s="3"/>
      <c r="X1541" s="3"/>
      <c r="Y1541" s="3"/>
      <c r="Z1541" s="4"/>
      <c r="AA1541"/>
      <c r="AB1541"/>
    </row>
    <row r="1542" spans="1:28" s="49" customFormat="1" x14ac:dyDescent="0.15">
      <c r="A1542" s="224"/>
      <c r="B1542" s="93"/>
      <c r="C1542" s="102"/>
      <c r="D1542" s="62"/>
      <c r="E1542" s="102"/>
      <c r="F1542" s="102"/>
      <c r="G1542" s="102"/>
      <c r="H1542" s="175"/>
      <c r="I1542" s="85"/>
      <c r="J1542" s="104"/>
      <c r="K1542" s="144"/>
      <c r="L1542" s="61"/>
      <c r="N1542" s="37"/>
      <c r="O1542" s="37"/>
      <c r="P1542" s="37"/>
      <c r="Q1542" s="3"/>
      <c r="R1542" s="3"/>
      <c r="S1542" s="3"/>
      <c r="T1542" s="3"/>
      <c r="U1542" s="3"/>
      <c r="V1542" s="3"/>
      <c r="W1542" s="3"/>
      <c r="X1542" s="3"/>
      <c r="Y1542" s="3"/>
      <c r="Z1542" s="4"/>
      <c r="AA1542"/>
      <c r="AB1542"/>
    </row>
    <row r="1543" spans="1:28" s="49" customFormat="1" x14ac:dyDescent="0.15">
      <c r="A1543" s="224"/>
      <c r="B1543" s="93"/>
      <c r="C1543" s="102"/>
      <c r="D1543" s="62"/>
      <c r="E1543" s="102"/>
      <c r="F1543" s="102"/>
      <c r="G1543" s="102"/>
      <c r="H1543" s="175"/>
      <c r="I1543" s="85"/>
      <c r="J1543" s="104"/>
      <c r="K1543" s="144"/>
      <c r="L1543" s="61"/>
      <c r="N1543" s="37"/>
      <c r="O1543" s="37"/>
      <c r="P1543" s="37"/>
      <c r="Q1543" s="3"/>
      <c r="R1543" s="3"/>
      <c r="S1543" s="3"/>
      <c r="T1543" s="3"/>
      <c r="U1543" s="3"/>
      <c r="V1543" s="3"/>
      <c r="W1543" s="3"/>
      <c r="X1543" s="3"/>
      <c r="Y1543" s="3"/>
      <c r="Z1543" s="4"/>
      <c r="AA1543"/>
      <c r="AB1543"/>
    </row>
    <row r="1544" spans="1:28" s="49" customFormat="1" x14ac:dyDescent="0.15">
      <c r="A1544" s="224"/>
      <c r="B1544" s="93"/>
      <c r="C1544" s="102"/>
      <c r="D1544" s="62"/>
      <c r="E1544" s="102"/>
      <c r="F1544" s="102"/>
      <c r="G1544" s="102"/>
      <c r="H1544" s="175"/>
      <c r="I1544" s="98"/>
      <c r="J1544" s="98"/>
      <c r="K1544" s="135"/>
      <c r="L1544" s="61"/>
      <c r="N1544" s="37"/>
      <c r="O1544" s="37"/>
      <c r="P1544" s="37"/>
      <c r="Q1544" s="3"/>
      <c r="R1544" s="3"/>
      <c r="S1544" s="3"/>
      <c r="T1544" s="3"/>
      <c r="U1544" s="3"/>
      <c r="V1544" s="3"/>
      <c r="W1544" s="3"/>
      <c r="X1544" s="3"/>
      <c r="Y1544" s="3"/>
      <c r="Z1544" s="4"/>
      <c r="AA1544"/>
      <c r="AB1544"/>
    </row>
    <row r="1545" spans="1:28" s="49" customFormat="1" x14ac:dyDescent="0.15">
      <c r="A1545" s="224"/>
      <c r="B1545" s="93"/>
      <c r="C1545" s="102"/>
      <c r="D1545" s="62"/>
      <c r="E1545" s="102"/>
      <c r="F1545" s="102"/>
      <c r="G1545" s="102"/>
      <c r="H1545" s="175"/>
      <c r="I1545" s="85"/>
      <c r="J1545" s="104"/>
      <c r="K1545" s="144"/>
      <c r="L1545" s="61"/>
      <c r="N1545" s="37"/>
      <c r="O1545" s="37"/>
      <c r="P1545" s="37"/>
      <c r="Q1545" s="3"/>
      <c r="R1545" s="3"/>
      <c r="S1545" s="3"/>
      <c r="T1545" s="3"/>
      <c r="U1545" s="3"/>
      <c r="V1545" s="3"/>
      <c r="W1545" s="3"/>
      <c r="X1545" s="3"/>
      <c r="Y1545" s="3"/>
      <c r="Z1545" s="4"/>
      <c r="AA1545"/>
      <c r="AB1545"/>
    </row>
    <row r="1546" spans="1:28" s="49" customFormat="1" x14ac:dyDescent="0.15">
      <c r="A1546" s="224"/>
      <c r="B1546" s="93"/>
      <c r="C1546" s="102"/>
      <c r="D1546" s="62"/>
      <c r="E1546" s="102"/>
      <c r="F1546" s="102"/>
      <c r="G1546" s="102"/>
      <c r="H1546" s="175"/>
      <c r="I1546" s="85"/>
      <c r="J1546" s="104"/>
      <c r="K1546" s="144"/>
      <c r="L1546" s="61"/>
      <c r="N1546" s="37"/>
      <c r="O1546" s="37"/>
      <c r="P1546" s="37"/>
      <c r="Q1546" s="3"/>
      <c r="R1546" s="3"/>
      <c r="S1546" s="3"/>
      <c r="T1546" s="3"/>
      <c r="U1546" s="3"/>
      <c r="V1546" s="3"/>
      <c r="W1546" s="3"/>
      <c r="X1546" s="3"/>
      <c r="Y1546" s="3"/>
      <c r="Z1546" s="4"/>
      <c r="AA1546"/>
      <c r="AB1546"/>
    </row>
    <row r="1547" spans="1:28" s="49" customFormat="1" x14ac:dyDescent="0.15">
      <c r="A1547" s="224"/>
      <c r="B1547" s="93"/>
      <c r="C1547" s="102"/>
      <c r="D1547" s="62"/>
      <c r="E1547" s="102"/>
      <c r="F1547" s="102"/>
      <c r="G1547" s="102"/>
      <c r="H1547" s="175"/>
      <c r="I1547" s="85"/>
      <c r="J1547" s="104"/>
      <c r="K1547" s="144"/>
      <c r="L1547" s="61"/>
      <c r="N1547" s="37"/>
      <c r="O1547" s="37"/>
      <c r="P1547" s="37"/>
      <c r="Q1547" s="3"/>
      <c r="R1547" s="3"/>
      <c r="S1547" s="3"/>
      <c r="T1547" s="3"/>
      <c r="U1547" s="3"/>
      <c r="V1547" s="3"/>
      <c r="W1547" s="3"/>
      <c r="X1547" s="3"/>
      <c r="Y1547" s="3"/>
      <c r="Z1547" s="4"/>
      <c r="AA1547"/>
      <c r="AB1547"/>
    </row>
    <row r="1548" spans="1:28" s="49" customFormat="1" x14ac:dyDescent="0.15">
      <c r="A1548" s="224"/>
      <c r="B1548" s="93"/>
      <c r="C1548" s="100"/>
      <c r="D1548" s="61"/>
      <c r="E1548" s="100"/>
      <c r="F1548" s="100"/>
      <c r="G1548" s="100"/>
      <c r="H1548" s="177"/>
      <c r="I1548" s="85"/>
      <c r="J1548" s="101"/>
      <c r="K1548" s="144"/>
      <c r="L1548" s="61"/>
      <c r="N1548" s="37"/>
      <c r="O1548" s="37"/>
      <c r="P1548" s="37"/>
      <c r="Q1548" s="3"/>
      <c r="R1548" s="3"/>
      <c r="S1548" s="3"/>
      <c r="T1548" s="3"/>
      <c r="U1548" s="3"/>
      <c r="V1548" s="3"/>
      <c r="W1548" s="3"/>
      <c r="X1548" s="3"/>
      <c r="Y1548" s="3"/>
      <c r="Z1548" s="4"/>
      <c r="AA1548"/>
      <c r="AB1548"/>
    </row>
    <row r="1549" spans="1:28" s="49" customFormat="1" x14ac:dyDescent="0.15">
      <c r="A1549" s="224"/>
      <c r="B1549" s="93"/>
      <c r="C1549" s="102"/>
      <c r="D1549" s="62"/>
      <c r="E1549" s="102"/>
      <c r="F1549" s="102"/>
      <c r="G1549" s="102"/>
      <c r="H1549" s="175"/>
      <c r="I1549" s="85"/>
      <c r="J1549" s="104"/>
      <c r="K1549" s="144"/>
      <c r="L1549" s="61"/>
      <c r="N1549" s="37"/>
      <c r="O1549" s="37"/>
      <c r="P1549" s="37"/>
      <c r="Q1549" s="3"/>
      <c r="R1549" s="3"/>
      <c r="S1549" s="3"/>
      <c r="T1549" s="3"/>
      <c r="U1549" s="3"/>
      <c r="V1549" s="3"/>
      <c r="W1549" s="3"/>
      <c r="X1549" s="3"/>
      <c r="Y1549" s="3"/>
      <c r="Z1549" s="4"/>
      <c r="AA1549"/>
      <c r="AB1549"/>
    </row>
    <row r="1550" spans="1:28" x14ac:dyDescent="0.15">
      <c r="A1550" s="224"/>
      <c r="B1550" s="93"/>
      <c r="C1550" s="102"/>
      <c r="D1550" s="62"/>
      <c r="E1550" s="102"/>
      <c r="F1550" s="102"/>
      <c r="G1550" s="102"/>
      <c r="H1550" s="175"/>
      <c r="I1550" s="98"/>
      <c r="J1550" s="98"/>
      <c r="K1550" s="135"/>
      <c r="L1550" s="61"/>
    </row>
    <row r="1551" spans="1:28" x14ac:dyDescent="0.15">
      <c r="A1551" s="224"/>
      <c r="B1551" s="93"/>
      <c r="C1551" s="102"/>
      <c r="D1551" s="62"/>
      <c r="E1551" s="102"/>
      <c r="F1551" s="102"/>
      <c r="G1551" s="102"/>
      <c r="H1551" s="175"/>
      <c r="I1551" s="85"/>
      <c r="J1551" s="104"/>
      <c r="K1551" s="144"/>
      <c r="L1551" s="61"/>
    </row>
    <row r="1552" spans="1:28" x14ac:dyDescent="0.15">
      <c r="A1552" s="224"/>
      <c r="B1552" s="82"/>
      <c r="C1552" s="107"/>
      <c r="D1552" s="62"/>
      <c r="E1552" s="107"/>
      <c r="F1552" s="107"/>
      <c r="G1552" s="107"/>
      <c r="H1552" s="179"/>
      <c r="I1552" s="85"/>
      <c r="J1552" s="104"/>
      <c r="K1552" s="144"/>
      <c r="L1552" s="61"/>
    </row>
    <row r="1553" spans="1:28" x14ac:dyDescent="0.15">
      <c r="A1553" s="224"/>
      <c r="B1553" s="93"/>
      <c r="C1553" s="102"/>
      <c r="D1553" s="62"/>
      <c r="E1553" s="102"/>
      <c r="F1553" s="102"/>
      <c r="G1553" s="102"/>
      <c r="H1553" s="175"/>
      <c r="I1553" s="85"/>
      <c r="J1553" s="104"/>
      <c r="K1553" s="144"/>
      <c r="L1553" s="61"/>
    </row>
    <row r="1554" spans="1:28" x14ac:dyDescent="0.15">
      <c r="A1554" s="224"/>
      <c r="B1554" s="93"/>
      <c r="C1554" s="102"/>
      <c r="D1554" s="62"/>
      <c r="E1554" s="102"/>
      <c r="F1554" s="102"/>
      <c r="G1554" s="102"/>
      <c r="H1554" s="175"/>
      <c r="I1554" s="85"/>
      <c r="J1554" s="104"/>
      <c r="K1554" s="144"/>
      <c r="L1554" s="61"/>
    </row>
    <row r="1555" spans="1:28" x14ac:dyDescent="0.15">
      <c r="A1555" s="62"/>
      <c r="B1555" s="93"/>
      <c r="C1555" s="102"/>
      <c r="D1555" s="62"/>
      <c r="E1555" s="102"/>
      <c r="F1555" s="102"/>
      <c r="G1555" s="102"/>
      <c r="H1555" s="175"/>
      <c r="I1555" s="85"/>
      <c r="J1555" s="104"/>
      <c r="K1555" s="144"/>
      <c r="L1555" s="61"/>
    </row>
    <row r="1556" spans="1:28" x14ac:dyDescent="0.15">
      <c r="A1556" s="62"/>
      <c r="B1556" s="93"/>
      <c r="C1556" s="102"/>
      <c r="D1556" s="62"/>
      <c r="E1556" s="102"/>
      <c r="F1556" s="102"/>
      <c r="G1556" s="102"/>
      <c r="H1556" s="175"/>
      <c r="I1556" s="85"/>
      <c r="J1556" s="104"/>
      <c r="K1556" s="144"/>
      <c r="L1556" s="61"/>
    </row>
    <row r="1557" spans="1:28" x14ac:dyDescent="0.15">
      <c r="A1557" s="62"/>
      <c r="B1557" s="93"/>
      <c r="C1557" s="102"/>
      <c r="D1557" s="62"/>
      <c r="E1557" s="102"/>
      <c r="F1557" s="102"/>
      <c r="G1557" s="102"/>
      <c r="H1557" s="175"/>
      <c r="I1557" s="85"/>
      <c r="J1557" s="104"/>
      <c r="K1557" s="144"/>
      <c r="L1557" s="61"/>
    </row>
    <row r="1558" spans="1:28" x14ac:dyDescent="0.15">
      <c r="A1558" s="62"/>
      <c r="B1558" s="93"/>
      <c r="C1558" s="102"/>
      <c r="D1558" s="62"/>
      <c r="E1558" s="102"/>
      <c r="F1558" s="102"/>
      <c r="G1558" s="102"/>
      <c r="H1558" s="175"/>
      <c r="I1558" s="85"/>
      <c r="J1558" s="104"/>
      <c r="K1558" s="144"/>
      <c r="L1558" s="61"/>
    </row>
    <row r="1559" spans="1:28" x14ac:dyDescent="0.15">
      <c r="A1559" s="62"/>
      <c r="B1559" s="93"/>
      <c r="C1559" s="102"/>
      <c r="D1559" s="62"/>
      <c r="E1559" s="102"/>
      <c r="F1559" s="102"/>
      <c r="G1559" s="102"/>
      <c r="H1559" s="175"/>
      <c r="I1559" s="85"/>
      <c r="J1559" s="104"/>
      <c r="K1559" s="144"/>
      <c r="L1559" s="61"/>
    </row>
    <row r="1560" spans="1:28" x14ac:dyDescent="0.15">
      <c r="A1560" s="62"/>
      <c r="B1560" s="93"/>
      <c r="C1560" s="102"/>
      <c r="D1560" s="62"/>
      <c r="E1560" s="102"/>
      <c r="F1560" s="102"/>
      <c r="G1560" s="102"/>
      <c r="H1560" s="175"/>
      <c r="I1560" s="85"/>
      <c r="J1560" s="104"/>
      <c r="K1560" s="144"/>
      <c r="L1560" s="61"/>
    </row>
    <row r="1561" spans="1:28" x14ac:dyDescent="0.15">
      <c r="A1561" s="62"/>
      <c r="B1561" s="93"/>
      <c r="C1561" s="102"/>
      <c r="D1561" s="62"/>
      <c r="E1561" s="102"/>
      <c r="F1561" s="102"/>
      <c r="G1561" s="102"/>
      <c r="H1561" s="175"/>
      <c r="I1561" s="85"/>
      <c r="J1561" s="104"/>
      <c r="K1561" s="144"/>
      <c r="L1561" s="61"/>
    </row>
    <row r="1562" spans="1:28" x14ac:dyDescent="0.15">
      <c r="A1562" s="62"/>
      <c r="B1562" s="93"/>
      <c r="C1562" s="102"/>
      <c r="D1562" s="62"/>
      <c r="E1562" s="102"/>
      <c r="F1562" s="102"/>
      <c r="G1562" s="102"/>
      <c r="H1562" s="175"/>
      <c r="I1562" s="85"/>
      <c r="J1562" s="104"/>
      <c r="K1562" s="144"/>
      <c r="L1562" s="61"/>
    </row>
    <row r="1563" spans="1:28" s="15" customFormat="1" x14ac:dyDescent="0.15">
      <c r="A1563" s="62"/>
      <c r="B1563" s="93"/>
      <c r="C1563" s="102"/>
      <c r="D1563" s="62"/>
      <c r="E1563" s="102"/>
      <c r="F1563" s="102"/>
      <c r="G1563" s="102"/>
      <c r="H1563" s="175"/>
      <c r="I1563" s="85"/>
      <c r="J1563" s="104"/>
      <c r="K1563" s="144"/>
      <c r="L1563" s="61"/>
      <c r="M1563" s="49"/>
      <c r="N1563" s="37"/>
      <c r="O1563" s="37"/>
      <c r="P1563" s="37"/>
      <c r="Q1563" s="3"/>
      <c r="R1563" s="3"/>
      <c r="S1563" s="3"/>
      <c r="T1563" s="3"/>
      <c r="U1563" s="3"/>
      <c r="V1563" s="3"/>
      <c r="W1563" s="3"/>
      <c r="X1563" s="3"/>
      <c r="Y1563" s="3"/>
      <c r="Z1563" s="4"/>
      <c r="AA1563"/>
      <c r="AB1563"/>
    </row>
    <row r="1564" spans="1:28" x14ac:dyDescent="0.15">
      <c r="A1564" s="62"/>
      <c r="B1564" s="93"/>
      <c r="C1564" s="102"/>
      <c r="D1564" s="62"/>
      <c r="E1564" s="102"/>
      <c r="F1564" s="102"/>
      <c r="G1564" s="102"/>
      <c r="H1564" s="175"/>
      <c r="I1564" s="85"/>
      <c r="J1564" s="104"/>
      <c r="K1564" s="144"/>
      <c r="L1564" s="61"/>
    </row>
    <row r="1565" spans="1:28" x14ac:dyDescent="0.15">
      <c r="A1565" s="62"/>
      <c r="B1565" s="93"/>
      <c r="C1565" s="102"/>
      <c r="D1565" s="62"/>
      <c r="E1565" s="102"/>
      <c r="F1565" s="102"/>
      <c r="G1565" s="102"/>
      <c r="H1565" s="175"/>
      <c r="I1565" s="85"/>
      <c r="J1565" s="104"/>
      <c r="K1565" s="144"/>
      <c r="L1565" s="61"/>
    </row>
    <row r="1566" spans="1:28" x14ac:dyDescent="0.15">
      <c r="A1566" s="62"/>
      <c r="B1566" s="93"/>
      <c r="C1566" s="102"/>
      <c r="D1566" s="62"/>
      <c r="E1566" s="102"/>
      <c r="F1566" s="102"/>
      <c r="G1566" s="102"/>
      <c r="H1566" s="175"/>
      <c r="I1566" s="85"/>
      <c r="J1566" s="104"/>
      <c r="K1566" s="144"/>
      <c r="L1566" s="61"/>
    </row>
    <row r="1567" spans="1:28" x14ac:dyDescent="0.15">
      <c r="A1567" s="165"/>
      <c r="B1567" s="93"/>
      <c r="C1567" s="102"/>
      <c r="D1567" s="62"/>
      <c r="E1567" s="102"/>
      <c r="F1567" s="102"/>
      <c r="G1567" s="102"/>
      <c r="H1567" s="175"/>
      <c r="I1567" s="85"/>
      <c r="J1567" s="104"/>
      <c r="K1567" s="144"/>
      <c r="L1567" s="62"/>
    </row>
    <row r="1568" spans="1:28" x14ac:dyDescent="0.15">
      <c r="A1568" s="165"/>
      <c r="B1568" s="93"/>
      <c r="C1568" s="102"/>
      <c r="D1568" s="62"/>
      <c r="E1568" s="102"/>
      <c r="F1568" s="102"/>
      <c r="G1568" s="102"/>
      <c r="H1568" s="175"/>
      <c r="I1568" s="98"/>
      <c r="J1568" s="98"/>
      <c r="K1568" s="135"/>
      <c r="L1568" s="61"/>
    </row>
    <row r="1569" spans="1:28" s="15" customFormat="1" x14ac:dyDescent="0.15">
      <c r="A1569" s="165"/>
      <c r="B1569" s="93"/>
      <c r="C1569" s="102"/>
      <c r="D1569" s="62"/>
      <c r="E1569" s="102"/>
      <c r="F1569" s="102"/>
      <c r="G1569" s="102"/>
      <c r="H1569" s="175"/>
      <c r="I1569" s="98"/>
      <c r="J1569" s="98"/>
      <c r="K1569" s="135"/>
      <c r="L1569" s="61"/>
      <c r="M1569" s="49"/>
      <c r="N1569" s="37"/>
      <c r="O1569" s="37"/>
      <c r="P1569" s="37"/>
      <c r="Q1569" s="3"/>
      <c r="R1569" s="3"/>
      <c r="S1569" s="3"/>
      <c r="T1569" s="3"/>
      <c r="U1569" s="3"/>
      <c r="V1569" s="3"/>
      <c r="W1569" s="3"/>
      <c r="X1569" s="3"/>
      <c r="Y1569" s="3"/>
      <c r="Z1569" s="4"/>
      <c r="AA1569"/>
      <c r="AB1569"/>
    </row>
    <row r="1570" spans="1:28" x14ac:dyDescent="0.15">
      <c r="A1570" s="165"/>
      <c r="B1570" s="93"/>
      <c r="C1570" s="102"/>
      <c r="D1570" s="62"/>
      <c r="E1570" s="102"/>
      <c r="F1570" s="102"/>
      <c r="G1570" s="102"/>
      <c r="H1570" s="175"/>
      <c r="I1570" s="98"/>
      <c r="J1570" s="98"/>
      <c r="K1570" s="135"/>
      <c r="L1570" s="61"/>
    </row>
    <row r="1571" spans="1:28" s="15" customFormat="1" x14ac:dyDescent="0.15">
      <c r="A1571" s="165"/>
      <c r="B1571" s="93"/>
      <c r="C1571" s="102"/>
      <c r="D1571" s="62"/>
      <c r="E1571" s="102"/>
      <c r="F1571" s="102"/>
      <c r="G1571" s="102"/>
      <c r="H1571" s="175"/>
      <c r="I1571" s="98"/>
      <c r="J1571" s="98"/>
      <c r="K1571" s="135"/>
      <c r="L1571" s="61"/>
      <c r="M1571" s="49"/>
      <c r="N1571" s="37"/>
      <c r="O1571" s="37"/>
      <c r="P1571" s="37"/>
      <c r="Q1571" s="3"/>
      <c r="R1571" s="3"/>
      <c r="S1571" s="3"/>
      <c r="T1571" s="3"/>
      <c r="U1571" s="3"/>
      <c r="V1571" s="3"/>
      <c r="W1571" s="3"/>
      <c r="X1571" s="3"/>
      <c r="Y1571" s="3"/>
      <c r="Z1571" s="4"/>
      <c r="AA1571"/>
      <c r="AB1571"/>
    </row>
    <row r="1572" spans="1:28" x14ac:dyDescent="0.15">
      <c r="A1572" s="165"/>
      <c r="B1572" s="93"/>
      <c r="C1572" s="102"/>
      <c r="D1572" s="62"/>
      <c r="E1572" s="102"/>
      <c r="F1572" s="102"/>
      <c r="G1572" s="102"/>
      <c r="H1572" s="175"/>
      <c r="I1572" s="98"/>
      <c r="J1572" s="98"/>
      <c r="K1572" s="135"/>
      <c r="L1572" s="61"/>
    </row>
    <row r="1573" spans="1:28" x14ac:dyDescent="0.15">
      <c r="A1573" s="165"/>
      <c r="B1573" s="93"/>
      <c r="C1573" s="102"/>
      <c r="D1573" s="62"/>
      <c r="E1573" s="102"/>
      <c r="F1573" s="102"/>
      <c r="G1573" s="102"/>
      <c r="H1573" s="175"/>
      <c r="I1573" s="98"/>
      <c r="J1573" s="98"/>
      <c r="K1573" s="135"/>
      <c r="L1573" s="61"/>
    </row>
    <row r="1574" spans="1:28" x14ac:dyDescent="0.15">
      <c r="A1574" s="165"/>
      <c r="B1574" s="93"/>
      <c r="C1574" s="102"/>
      <c r="D1574" s="62"/>
      <c r="E1574" s="102"/>
      <c r="F1574" s="102"/>
      <c r="G1574" s="102"/>
      <c r="H1574" s="175"/>
      <c r="I1574" s="98"/>
      <c r="J1574" s="98"/>
      <c r="K1574" s="135"/>
      <c r="L1574" s="61"/>
    </row>
    <row r="1575" spans="1:28" x14ac:dyDescent="0.15">
      <c r="A1575" s="165"/>
      <c r="B1575" s="93"/>
      <c r="C1575" s="102"/>
      <c r="D1575" s="62"/>
      <c r="E1575" s="102"/>
      <c r="F1575" s="102"/>
      <c r="G1575" s="102"/>
      <c r="H1575" s="175"/>
      <c r="I1575" s="98"/>
      <c r="J1575" s="98"/>
      <c r="K1575" s="135"/>
      <c r="L1575" s="61"/>
    </row>
    <row r="1576" spans="1:28" x14ac:dyDescent="0.15">
      <c r="A1576" s="165"/>
      <c r="B1576" s="93"/>
      <c r="C1576" s="102"/>
      <c r="D1576" s="62"/>
      <c r="E1576" s="102"/>
      <c r="F1576" s="102"/>
      <c r="G1576" s="102"/>
      <c r="H1576" s="175"/>
      <c r="I1576" s="85"/>
      <c r="J1576" s="104"/>
      <c r="K1576" s="144"/>
      <c r="L1576" s="61"/>
    </row>
    <row r="1577" spans="1:28" x14ac:dyDescent="0.15">
      <c r="A1577" s="165"/>
      <c r="B1577" s="93"/>
      <c r="C1577" s="102"/>
      <c r="D1577" s="62"/>
      <c r="E1577" s="102"/>
      <c r="F1577" s="102"/>
      <c r="G1577" s="102"/>
      <c r="H1577" s="175"/>
      <c r="I1577" s="85"/>
      <c r="J1577" s="104"/>
      <c r="K1577" s="144"/>
      <c r="L1577" s="61"/>
    </row>
    <row r="1578" spans="1:28" x14ac:dyDescent="0.15">
      <c r="A1578" s="165"/>
      <c r="B1578" s="93"/>
      <c r="C1578" s="102"/>
      <c r="D1578" s="62"/>
      <c r="E1578" s="102"/>
      <c r="F1578" s="102"/>
      <c r="G1578" s="102"/>
      <c r="H1578" s="175"/>
      <c r="I1578" s="85"/>
      <c r="J1578" s="104"/>
      <c r="K1578" s="144"/>
      <c r="L1578" s="61"/>
    </row>
    <row r="1579" spans="1:28" x14ac:dyDescent="0.15">
      <c r="A1579" s="165"/>
      <c r="B1579" s="93"/>
      <c r="C1579" s="102"/>
      <c r="D1579" s="62"/>
      <c r="E1579" s="102"/>
      <c r="F1579" s="102"/>
      <c r="G1579" s="102"/>
      <c r="H1579" s="175"/>
      <c r="I1579" s="85"/>
      <c r="J1579" s="104"/>
      <c r="K1579" s="144"/>
      <c r="L1579" s="61"/>
    </row>
    <row r="1580" spans="1:28" x14ac:dyDescent="0.15">
      <c r="A1580" s="165"/>
      <c r="B1580" s="93"/>
      <c r="C1580" s="102"/>
      <c r="D1580" s="62"/>
      <c r="E1580" s="102"/>
      <c r="F1580" s="102"/>
      <c r="G1580" s="102"/>
      <c r="H1580" s="175"/>
      <c r="I1580" s="85"/>
      <c r="J1580" s="104"/>
      <c r="K1580" s="144"/>
      <c r="L1580" s="61"/>
    </row>
    <row r="1581" spans="1:28" x14ac:dyDescent="0.15">
      <c r="A1581" s="165"/>
      <c r="B1581" s="93"/>
      <c r="C1581" s="102"/>
      <c r="D1581" s="62"/>
      <c r="E1581" s="102"/>
      <c r="F1581" s="102"/>
      <c r="G1581" s="102"/>
      <c r="H1581" s="175"/>
      <c r="I1581" s="85"/>
      <c r="J1581" s="104"/>
      <c r="K1581" s="144"/>
      <c r="L1581" s="61"/>
    </row>
    <row r="1582" spans="1:28" x14ac:dyDescent="0.15">
      <c r="A1582" s="165"/>
      <c r="B1582" s="93"/>
      <c r="C1582" s="102"/>
      <c r="D1582" s="62"/>
      <c r="E1582" s="102"/>
      <c r="F1582" s="102"/>
      <c r="G1582" s="102"/>
      <c r="H1582" s="175"/>
      <c r="I1582" s="85"/>
      <c r="J1582" s="104"/>
      <c r="K1582" s="144"/>
      <c r="L1582" s="61"/>
      <c r="Q1582" s="14"/>
      <c r="R1582" s="14"/>
    </row>
    <row r="1583" spans="1:28" x14ac:dyDescent="0.15">
      <c r="A1583" s="165"/>
      <c r="B1583" s="93"/>
      <c r="C1583" s="102"/>
      <c r="D1583" s="62"/>
      <c r="E1583" s="102"/>
      <c r="F1583" s="102"/>
      <c r="G1583" s="102"/>
      <c r="H1583" s="175"/>
      <c r="I1583" s="85"/>
      <c r="J1583" s="104"/>
      <c r="K1583" s="144"/>
      <c r="L1583" s="61"/>
    </row>
    <row r="1584" spans="1:28" x14ac:dyDescent="0.15">
      <c r="A1584" s="165"/>
      <c r="B1584" s="93"/>
      <c r="C1584" s="102"/>
      <c r="D1584" s="62"/>
      <c r="E1584" s="102"/>
      <c r="F1584" s="102"/>
      <c r="G1584" s="102"/>
      <c r="H1584" s="175"/>
      <c r="I1584" s="98"/>
      <c r="J1584" s="98"/>
      <c r="K1584" s="135"/>
      <c r="L1584" s="61"/>
    </row>
    <row r="1585" spans="1:28" x14ac:dyDescent="0.15">
      <c r="A1585" s="165"/>
      <c r="B1585" s="93"/>
      <c r="C1585" s="102"/>
      <c r="D1585" s="62"/>
      <c r="E1585" s="102"/>
      <c r="F1585" s="102"/>
      <c r="G1585" s="102"/>
      <c r="H1585" s="175"/>
      <c r="I1585" s="85"/>
      <c r="J1585" s="104"/>
      <c r="K1585" s="144"/>
      <c r="L1585" s="61"/>
    </row>
    <row r="1586" spans="1:28" x14ac:dyDescent="0.15">
      <c r="A1586" s="165"/>
      <c r="B1586" s="93"/>
      <c r="C1586" s="102"/>
      <c r="D1586" s="62"/>
      <c r="E1586" s="102"/>
      <c r="F1586" s="102"/>
      <c r="G1586" s="102"/>
      <c r="H1586" s="175"/>
      <c r="I1586" s="85"/>
      <c r="J1586" s="104"/>
      <c r="K1586" s="144"/>
      <c r="L1586" s="61"/>
    </row>
    <row r="1587" spans="1:28" x14ac:dyDescent="0.15">
      <c r="A1587" s="165"/>
      <c r="B1587" s="93"/>
      <c r="C1587" s="102"/>
      <c r="D1587" s="62"/>
      <c r="E1587" s="102"/>
      <c r="F1587" s="102"/>
      <c r="G1587" s="102"/>
      <c r="H1587" s="175"/>
      <c r="I1587" s="85"/>
      <c r="J1587" s="104"/>
      <c r="K1587" s="144"/>
      <c r="L1587" s="61"/>
    </row>
    <row r="1588" spans="1:28" x14ac:dyDescent="0.15">
      <c r="A1588" s="165"/>
      <c r="B1588" s="93"/>
      <c r="C1588" s="102"/>
      <c r="D1588" s="62"/>
      <c r="E1588" s="102"/>
      <c r="F1588" s="102"/>
      <c r="G1588" s="102"/>
      <c r="H1588" s="175"/>
      <c r="I1588" s="85"/>
      <c r="J1588" s="104"/>
      <c r="K1588" s="144"/>
      <c r="L1588" s="61"/>
    </row>
    <row r="1589" spans="1:28" x14ac:dyDescent="0.15">
      <c r="A1589" s="165"/>
      <c r="B1589" s="93"/>
      <c r="C1589" s="102"/>
      <c r="D1589" s="62"/>
      <c r="E1589" s="102"/>
      <c r="F1589" s="102"/>
      <c r="G1589" s="102"/>
      <c r="H1589" s="175"/>
      <c r="I1589" s="85"/>
      <c r="J1589" s="104"/>
      <c r="K1589" s="144"/>
      <c r="L1589" s="61"/>
    </row>
    <row r="1590" spans="1:28" x14ac:dyDescent="0.15">
      <c r="A1590" s="165"/>
      <c r="B1590" s="93"/>
      <c r="C1590" s="102"/>
      <c r="D1590" s="62"/>
      <c r="E1590" s="102"/>
      <c r="F1590" s="102"/>
      <c r="G1590" s="102"/>
      <c r="H1590" s="175"/>
      <c r="I1590" s="85"/>
      <c r="J1590" s="104"/>
      <c r="K1590" s="144"/>
      <c r="L1590" s="61"/>
    </row>
    <row r="1591" spans="1:28" x14ac:dyDescent="0.15">
      <c r="A1591" s="165"/>
      <c r="B1591" s="93"/>
      <c r="C1591" s="102"/>
      <c r="D1591" s="62"/>
      <c r="E1591" s="102"/>
      <c r="F1591" s="102"/>
      <c r="G1591" s="102"/>
      <c r="H1591" s="175"/>
      <c r="I1591" s="85"/>
      <c r="J1591" s="104"/>
      <c r="K1591" s="144"/>
      <c r="L1591" s="61"/>
    </row>
    <row r="1592" spans="1:28" x14ac:dyDescent="0.15">
      <c r="A1592" s="165"/>
      <c r="B1592" s="93"/>
      <c r="C1592" s="102"/>
      <c r="D1592" s="62"/>
      <c r="E1592" s="102"/>
      <c r="F1592" s="102"/>
      <c r="G1592" s="102"/>
      <c r="H1592" s="175"/>
      <c r="I1592" s="85"/>
      <c r="J1592" s="104"/>
      <c r="K1592" s="144"/>
      <c r="L1592" s="61"/>
    </row>
    <row r="1593" spans="1:28" x14ac:dyDescent="0.15">
      <c r="A1593" s="165"/>
      <c r="B1593" s="93"/>
      <c r="C1593" s="102"/>
      <c r="D1593" s="62"/>
      <c r="E1593" s="102"/>
      <c r="F1593" s="102"/>
      <c r="G1593" s="102"/>
      <c r="H1593" s="175"/>
      <c r="I1593" s="85"/>
      <c r="J1593" s="104"/>
      <c r="K1593" s="144"/>
      <c r="L1593" s="61"/>
    </row>
    <row r="1594" spans="1:28" x14ac:dyDescent="0.15">
      <c r="A1594" s="165"/>
      <c r="B1594" s="93"/>
      <c r="C1594" s="102"/>
      <c r="D1594" s="62"/>
      <c r="E1594" s="102"/>
      <c r="F1594" s="102"/>
      <c r="G1594" s="102"/>
      <c r="H1594" s="175"/>
      <c r="I1594" s="98"/>
      <c r="J1594" s="98"/>
      <c r="K1594" s="135"/>
      <c r="L1594" s="61"/>
    </row>
    <row r="1595" spans="1:28" x14ac:dyDescent="0.15">
      <c r="A1595" s="165"/>
      <c r="B1595" s="93"/>
      <c r="C1595" s="102"/>
      <c r="D1595" s="62"/>
      <c r="E1595" s="102"/>
      <c r="F1595" s="102"/>
      <c r="G1595" s="102"/>
      <c r="H1595" s="175"/>
      <c r="I1595" s="85"/>
      <c r="J1595" s="104"/>
      <c r="K1595" s="144"/>
      <c r="L1595" s="61"/>
    </row>
    <row r="1596" spans="1:28" s="15" customFormat="1" x14ac:dyDescent="0.15">
      <c r="A1596" s="165"/>
      <c r="B1596" s="93"/>
      <c r="C1596" s="102"/>
      <c r="D1596" s="62"/>
      <c r="E1596" s="102"/>
      <c r="F1596" s="102"/>
      <c r="G1596" s="102"/>
      <c r="H1596" s="175"/>
      <c r="I1596" s="85"/>
      <c r="J1596" s="104"/>
      <c r="K1596" s="144"/>
      <c r="L1596" s="61"/>
      <c r="M1596" s="49"/>
      <c r="N1596" s="37"/>
      <c r="O1596" s="37"/>
      <c r="P1596" s="37"/>
      <c r="Q1596" s="3"/>
      <c r="R1596" s="3"/>
      <c r="S1596" s="3"/>
      <c r="T1596" s="3"/>
      <c r="U1596" s="3"/>
      <c r="V1596" s="3"/>
      <c r="W1596" s="3"/>
      <c r="X1596" s="3"/>
      <c r="Y1596" s="3"/>
      <c r="Z1596" s="4"/>
      <c r="AA1596"/>
      <c r="AB1596"/>
    </row>
    <row r="1597" spans="1:28" s="15" customFormat="1" x14ac:dyDescent="0.15">
      <c r="A1597" s="165"/>
      <c r="B1597" s="93"/>
      <c r="C1597" s="102"/>
      <c r="D1597" s="62"/>
      <c r="E1597" s="102"/>
      <c r="F1597" s="102"/>
      <c r="G1597" s="102"/>
      <c r="H1597" s="175"/>
      <c r="I1597" s="85"/>
      <c r="J1597" s="104"/>
      <c r="K1597" s="144"/>
      <c r="L1597" s="61"/>
      <c r="M1597" s="49"/>
      <c r="N1597" s="37"/>
      <c r="O1597" s="37"/>
      <c r="P1597" s="37"/>
      <c r="Q1597" s="3"/>
      <c r="R1597" s="3"/>
      <c r="S1597" s="3"/>
      <c r="T1597" s="3"/>
      <c r="U1597" s="3"/>
      <c r="V1597" s="3"/>
      <c r="W1597" s="3"/>
      <c r="X1597" s="3"/>
      <c r="Y1597" s="3"/>
      <c r="Z1597" s="4"/>
      <c r="AA1597"/>
      <c r="AB1597"/>
    </row>
    <row r="1598" spans="1:28" s="49" customFormat="1" x14ac:dyDescent="0.15">
      <c r="A1598" s="165"/>
      <c r="B1598" s="93"/>
      <c r="C1598" s="102"/>
      <c r="D1598" s="62"/>
      <c r="E1598" s="102"/>
      <c r="F1598" s="102"/>
      <c r="G1598" s="102"/>
      <c r="H1598" s="175"/>
      <c r="I1598" s="85"/>
      <c r="J1598" s="104"/>
      <c r="K1598" s="144"/>
      <c r="L1598" s="61"/>
      <c r="N1598" s="37"/>
      <c r="O1598" s="37"/>
      <c r="P1598" s="37"/>
      <c r="Q1598" s="3"/>
      <c r="R1598" s="3"/>
      <c r="S1598" s="3"/>
      <c r="T1598" s="3"/>
      <c r="U1598" s="3"/>
      <c r="V1598" s="3"/>
      <c r="W1598" s="3"/>
      <c r="X1598" s="3"/>
      <c r="Y1598" s="3"/>
      <c r="Z1598" s="4"/>
      <c r="AA1598"/>
      <c r="AB1598"/>
    </row>
    <row r="1599" spans="1:28" s="49" customFormat="1" x14ac:dyDescent="0.15">
      <c r="A1599" s="165"/>
      <c r="B1599" s="93"/>
      <c r="C1599" s="102"/>
      <c r="D1599" s="62"/>
      <c r="E1599" s="102"/>
      <c r="F1599" s="102"/>
      <c r="G1599" s="102"/>
      <c r="H1599" s="175"/>
      <c r="I1599" s="85"/>
      <c r="J1599" s="104"/>
      <c r="K1599" s="144"/>
      <c r="L1599" s="61"/>
      <c r="N1599" s="37"/>
      <c r="O1599" s="37"/>
      <c r="P1599" s="37"/>
      <c r="Q1599" s="3"/>
      <c r="R1599" s="3"/>
      <c r="S1599" s="3"/>
      <c r="T1599" s="3"/>
      <c r="U1599" s="3"/>
      <c r="V1599" s="3"/>
      <c r="W1599" s="3"/>
      <c r="X1599" s="3"/>
      <c r="Y1599" s="3"/>
      <c r="Z1599" s="4"/>
      <c r="AA1599"/>
      <c r="AB1599"/>
    </row>
    <row r="1600" spans="1:28" s="49" customFormat="1" x14ac:dyDescent="0.15">
      <c r="A1600" s="165"/>
      <c r="B1600" s="93"/>
      <c r="C1600" s="102"/>
      <c r="D1600" s="62"/>
      <c r="E1600" s="102"/>
      <c r="F1600" s="102"/>
      <c r="G1600" s="102"/>
      <c r="H1600" s="175"/>
      <c r="I1600" s="85"/>
      <c r="J1600" s="104"/>
      <c r="K1600" s="144"/>
      <c r="L1600" s="61"/>
      <c r="N1600" s="37"/>
      <c r="O1600" s="37"/>
      <c r="P1600" s="37"/>
      <c r="Q1600" s="3"/>
      <c r="R1600" s="3"/>
      <c r="S1600" s="3"/>
      <c r="T1600" s="3"/>
      <c r="U1600" s="3"/>
      <c r="V1600" s="3"/>
      <c r="W1600" s="3"/>
      <c r="X1600" s="3"/>
      <c r="Y1600" s="3"/>
      <c r="Z1600" s="4"/>
      <c r="AA1600"/>
      <c r="AB1600"/>
    </row>
    <row r="1601" spans="1:28" s="49" customFormat="1" x14ac:dyDescent="0.15">
      <c r="A1601" s="165"/>
      <c r="B1601" s="93"/>
      <c r="C1601" s="102"/>
      <c r="D1601" s="62"/>
      <c r="E1601" s="102"/>
      <c r="F1601" s="102"/>
      <c r="G1601" s="102"/>
      <c r="H1601" s="175"/>
      <c r="I1601" s="85"/>
      <c r="J1601" s="104"/>
      <c r="K1601" s="144"/>
      <c r="L1601" s="61"/>
      <c r="N1601" s="37"/>
      <c r="O1601" s="37"/>
      <c r="P1601" s="37"/>
      <c r="Q1601" s="3"/>
      <c r="R1601" s="3"/>
      <c r="S1601" s="3"/>
      <c r="T1601" s="3"/>
      <c r="U1601" s="3"/>
      <c r="V1601" s="3"/>
      <c r="W1601" s="3"/>
      <c r="X1601" s="3"/>
      <c r="Y1601" s="3"/>
      <c r="Z1601" s="4"/>
      <c r="AA1601"/>
      <c r="AB1601"/>
    </row>
    <row r="1602" spans="1:28" s="49" customFormat="1" x14ac:dyDescent="0.15">
      <c r="A1602" s="165"/>
      <c r="B1602" s="93"/>
      <c r="C1602" s="102"/>
      <c r="D1602" s="62"/>
      <c r="E1602" s="102"/>
      <c r="F1602" s="102"/>
      <c r="G1602" s="102"/>
      <c r="H1602" s="175"/>
      <c r="I1602" s="85"/>
      <c r="J1602" s="104"/>
      <c r="K1602" s="144"/>
      <c r="L1602" s="61"/>
      <c r="N1602" s="37"/>
      <c r="O1602" s="37"/>
      <c r="P1602" s="37"/>
      <c r="Q1602" s="3"/>
      <c r="R1602" s="3"/>
      <c r="S1602" s="3"/>
      <c r="T1602" s="3"/>
      <c r="U1602" s="3"/>
      <c r="V1602" s="3"/>
      <c r="W1602" s="3"/>
      <c r="X1602" s="3"/>
      <c r="Y1602" s="3"/>
      <c r="Z1602" s="4"/>
      <c r="AA1602"/>
      <c r="AB1602"/>
    </row>
    <row r="1603" spans="1:28" s="49" customFormat="1" x14ac:dyDescent="0.15">
      <c r="A1603" s="165"/>
      <c r="B1603" s="93"/>
      <c r="C1603" s="102"/>
      <c r="D1603" s="62"/>
      <c r="E1603" s="102"/>
      <c r="F1603" s="102"/>
      <c r="G1603" s="102"/>
      <c r="H1603" s="175"/>
      <c r="I1603" s="85"/>
      <c r="J1603" s="104"/>
      <c r="K1603" s="144"/>
      <c r="L1603" s="61"/>
      <c r="N1603" s="37"/>
      <c r="O1603" s="37"/>
      <c r="P1603" s="37"/>
      <c r="Q1603" s="3"/>
      <c r="R1603" s="3"/>
      <c r="S1603" s="3"/>
      <c r="T1603" s="3"/>
      <c r="U1603" s="3"/>
      <c r="V1603" s="3"/>
      <c r="W1603" s="3"/>
      <c r="X1603" s="3"/>
      <c r="Y1603" s="3"/>
      <c r="Z1603" s="4"/>
      <c r="AA1603"/>
      <c r="AB1603"/>
    </row>
    <row r="1604" spans="1:28" s="49" customFormat="1" x14ac:dyDescent="0.15">
      <c r="A1604" s="165"/>
      <c r="B1604" s="93"/>
      <c r="C1604" s="102"/>
      <c r="D1604" s="62"/>
      <c r="E1604" s="102"/>
      <c r="F1604" s="102"/>
      <c r="G1604" s="102"/>
      <c r="H1604" s="175"/>
      <c r="I1604" s="85"/>
      <c r="J1604" s="104"/>
      <c r="K1604" s="144"/>
      <c r="L1604" s="61"/>
      <c r="N1604" s="37"/>
      <c r="O1604" s="37"/>
      <c r="P1604" s="37"/>
      <c r="Q1604" s="3"/>
      <c r="R1604" s="3"/>
      <c r="S1604" s="3"/>
      <c r="T1604" s="3"/>
      <c r="U1604" s="3"/>
      <c r="V1604" s="3"/>
      <c r="W1604" s="3"/>
      <c r="X1604" s="3"/>
      <c r="Y1604" s="3"/>
      <c r="Z1604" s="4"/>
      <c r="AA1604"/>
      <c r="AB1604"/>
    </row>
    <row r="1605" spans="1:28" s="49" customFormat="1" x14ac:dyDescent="0.15">
      <c r="A1605" s="165"/>
      <c r="B1605" s="93"/>
      <c r="C1605" s="102"/>
      <c r="D1605" s="62"/>
      <c r="E1605" s="102"/>
      <c r="F1605" s="102"/>
      <c r="G1605" s="102"/>
      <c r="H1605" s="175"/>
      <c r="I1605" s="85"/>
      <c r="J1605" s="104"/>
      <c r="K1605" s="144"/>
      <c r="L1605" s="61"/>
      <c r="N1605" s="37"/>
      <c r="O1605" s="37"/>
      <c r="P1605" s="37"/>
      <c r="Q1605" s="3"/>
      <c r="R1605" s="3"/>
      <c r="S1605" s="3"/>
      <c r="T1605" s="3"/>
      <c r="U1605" s="3"/>
      <c r="V1605" s="3"/>
      <c r="W1605" s="3"/>
      <c r="X1605" s="3"/>
      <c r="Y1605" s="3"/>
      <c r="Z1605" s="4"/>
      <c r="AA1605"/>
      <c r="AB1605"/>
    </row>
    <row r="1606" spans="1:28" s="49" customFormat="1" x14ac:dyDescent="0.15">
      <c r="A1606" s="165"/>
      <c r="B1606" s="93"/>
      <c r="C1606" s="102"/>
      <c r="D1606" s="62"/>
      <c r="E1606" s="102"/>
      <c r="F1606" s="102"/>
      <c r="G1606" s="102"/>
      <c r="H1606" s="175"/>
      <c r="I1606" s="98"/>
      <c r="J1606" s="98"/>
      <c r="K1606" s="135"/>
      <c r="L1606" s="61"/>
      <c r="N1606" s="37"/>
      <c r="O1606" s="37"/>
      <c r="P1606" s="37"/>
      <c r="Q1606" s="3"/>
      <c r="R1606" s="3"/>
      <c r="S1606" s="3"/>
      <c r="T1606" s="3"/>
      <c r="U1606" s="3"/>
      <c r="V1606" s="3"/>
      <c r="W1606" s="3"/>
      <c r="X1606" s="3"/>
      <c r="Y1606" s="3"/>
      <c r="Z1606" s="4"/>
      <c r="AA1606"/>
      <c r="AB1606"/>
    </row>
    <row r="1607" spans="1:28" s="49" customFormat="1" x14ac:dyDescent="0.15">
      <c r="A1607" s="165"/>
      <c r="B1607" s="93"/>
      <c r="C1607" s="102"/>
      <c r="D1607" s="62"/>
      <c r="E1607" s="102"/>
      <c r="F1607" s="102"/>
      <c r="G1607" s="102"/>
      <c r="H1607" s="175"/>
      <c r="I1607" s="85"/>
      <c r="J1607" s="104"/>
      <c r="K1607" s="144"/>
      <c r="L1607" s="61"/>
      <c r="N1607" s="37"/>
      <c r="O1607" s="37"/>
      <c r="P1607" s="37"/>
      <c r="Q1607" s="3"/>
      <c r="R1607" s="3"/>
      <c r="S1607" s="3"/>
      <c r="T1607" s="3"/>
      <c r="U1607" s="3"/>
      <c r="V1607" s="3"/>
      <c r="W1607" s="3"/>
      <c r="X1607" s="3"/>
      <c r="Y1607" s="3"/>
      <c r="Z1607" s="4"/>
      <c r="AA1607"/>
      <c r="AB1607"/>
    </row>
    <row r="1608" spans="1:28" s="49" customFormat="1" x14ac:dyDescent="0.15">
      <c r="A1608" s="165"/>
      <c r="B1608" s="93"/>
      <c r="C1608" s="102"/>
      <c r="D1608" s="62"/>
      <c r="E1608" s="100"/>
      <c r="F1608" s="102"/>
      <c r="G1608" s="102"/>
      <c r="H1608" s="175"/>
      <c r="I1608" s="85"/>
      <c r="J1608" s="104"/>
      <c r="K1608" s="144"/>
      <c r="L1608" s="61"/>
      <c r="N1608" s="37"/>
      <c r="O1608" s="37"/>
      <c r="P1608" s="37"/>
      <c r="Q1608" s="3"/>
      <c r="R1608" s="3"/>
      <c r="S1608" s="3"/>
      <c r="T1608" s="3"/>
      <c r="U1608" s="3"/>
      <c r="V1608" s="3"/>
      <c r="W1608" s="3"/>
      <c r="X1608" s="3"/>
      <c r="Y1608" s="3"/>
      <c r="Z1608" s="4"/>
      <c r="AA1608"/>
      <c r="AB1608"/>
    </row>
    <row r="1609" spans="1:28" s="49" customFormat="1" x14ac:dyDescent="0.15">
      <c r="A1609" s="165"/>
      <c r="B1609" s="93"/>
      <c r="C1609" s="102"/>
      <c r="D1609" s="62"/>
      <c r="E1609" s="102"/>
      <c r="F1609" s="102"/>
      <c r="G1609" s="102"/>
      <c r="H1609" s="175"/>
      <c r="I1609" s="85"/>
      <c r="J1609" s="104"/>
      <c r="K1609" s="144"/>
      <c r="L1609" s="61"/>
      <c r="N1609" s="37"/>
      <c r="O1609" s="37"/>
      <c r="P1609" s="37"/>
      <c r="Q1609" s="3"/>
      <c r="R1609" s="3"/>
      <c r="S1609" s="3"/>
      <c r="T1609" s="3"/>
      <c r="U1609" s="3"/>
      <c r="V1609" s="3"/>
      <c r="W1609" s="3"/>
      <c r="X1609" s="3"/>
      <c r="Y1609" s="3"/>
      <c r="Z1609" s="4"/>
      <c r="AA1609"/>
      <c r="AB1609"/>
    </row>
    <row r="1610" spans="1:28" s="49" customFormat="1" x14ac:dyDescent="0.15">
      <c r="A1610" s="165"/>
      <c r="B1610" s="93"/>
      <c r="C1610" s="102"/>
      <c r="D1610" s="62"/>
      <c r="E1610" s="102"/>
      <c r="F1610" s="102"/>
      <c r="G1610" s="102"/>
      <c r="H1610" s="175"/>
      <c r="I1610" s="85"/>
      <c r="J1610" s="104"/>
      <c r="K1610" s="144"/>
      <c r="L1610" s="61"/>
      <c r="N1610" s="37"/>
      <c r="O1610" s="37"/>
      <c r="P1610" s="37"/>
      <c r="Q1610" s="3"/>
      <c r="R1610" s="3"/>
      <c r="S1610" s="3"/>
      <c r="T1610" s="3"/>
      <c r="U1610" s="3"/>
      <c r="V1610" s="3"/>
      <c r="W1610" s="3"/>
      <c r="X1610" s="3"/>
      <c r="Y1610" s="3"/>
      <c r="Z1610" s="4"/>
      <c r="AA1610"/>
      <c r="AB1610"/>
    </row>
    <row r="1611" spans="1:28" s="49" customFormat="1" x14ac:dyDescent="0.15">
      <c r="A1611" s="165"/>
      <c r="B1611" s="93"/>
      <c r="C1611" s="102"/>
      <c r="D1611" s="62"/>
      <c r="E1611" s="102"/>
      <c r="F1611" s="102"/>
      <c r="G1611" s="102"/>
      <c r="H1611" s="175"/>
      <c r="I1611" s="85"/>
      <c r="J1611" s="104"/>
      <c r="K1611" s="144"/>
      <c r="L1611" s="61"/>
      <c r="N1611" s="37"/>
      <c r="O1611" s="37"/>
      <c r="P1611" s="37"/>
      <c r="Q1611" s="3"/>
      <c r="R1611" s="3"/>
      <c r="S1611" s="3"/>
      <c r="T1611" s="3"/>
      <c r="U1611" s="3"/>
      <c r="V1611" s="3"/>
      <c r="W1611" s="3"/>
      <c r="X1611" s="3"/>
      <c r="Y1611" s="3"/>
      <c r="Z1611" s="4"/>
      <c r="AA1611"/>
      <c r="AB1611"/>
    </row>
    <row r="1612" spans="1:28" s="49" customFormat="1" x14ac:dyDescent="0.15">
      <c r="A1612" s="165"/>
      <c r="B1612" s="93"/>
      <c r="C1612" s="102"/>
      <c r="D1612" s="62"/>
      <c r="E1612" s="102"/>
      <c r="F1612" s="102"/>
      <c r="G1612" s="102"/>
      <c r="H1612" s="175"/>
      <c r="I1612" s="85"/>
      <c r="J1612" s="104"/>
      <c r="K1612" s="144"/>
      <c r="L1612" s="61"/>
      <c r="N1612" s="37"/>
      <c r="O1612" s="37"/>
      <c r="P1612" s="37"/>
      <c r="Q1612" s="3"/>
      <c r="R1612" s="3"/>
      <c r="S1612" s="3"/>
      <c r="T1612" s="3"/>
      <c r="U1612" s="3"/>
      <c r="V1612" s="3"/>
      <c r="W1612" s="3"/>
      <c r="X1612" s="3"/>
      <c r="Y1612" s="3"/>
      <c r="Z1612" s="4"/>
      <c r="AA1612"/>
      <c r="AB1612"/>
    </row>
    <row r="1613" spans="1:28" s="49" customFormat="1" x14ac:dyDescent="0.15">
      <c r="A1613" s="165"/>
      <c r="B1613" s="93"/>
      <c r="C1613" s="102"/>
      <c r="D1613" s="62"/>
      <c r="E1613" s="102"/>
      <c r="F1613" s="102"/>
      <c r="G1613" s="102"/>
      <c r="H1613" s="175"/>
      <c r="I1613" s="85"/>
      <c r="J1613" s="104"/>
      <c r="K1613" s="144"/>
      <c r="L1613" s="61"/>
      <c r="N1613" s="37"/>
      <c r="O1613" s="37"/>
      <c r="P1613" s="37"/>
      <c r="Q1613" s="3"/>
      <c r="R1613" s="3"/>
      <c r="S1613" s="3"/>
      <c r="T1613" s="3"/>
      <c r="U1613" s="3"/>
      <c r="V1613" s="3"/>
      <c r="W1613" s="3"/>
      <c r="X1613" s="3"/>
      <c r="Y1613" s="3"/>
      <c r="Z1613" s="4"/>
      <c r="AA1613"/>
      <c r="AB1613"/>
    </row>
    <row r="1614" spans="1:28" x14ac:dyDescent="0.15">
      <c r="A1614" s="165"/>
      <c r="B1614" s="93"/>
      <c r="C1614" s="102"/>
      <c r="D1614" s="62"/>
      <c r="E1614" s="102"/>
      <c r="F1614" s="102"/>
      <c r="G1614" s="102"/>
      <c r="H1614" s="175"/>
      <c r="I1614" s="85"/>
      <c r="J1614" s="98"/>
      <c r="K1614" s="135"/>
      <c r="L1614" s="61"/>
    </row>
    <row r="1615" spans="1:28" x14ac:dyDescent="0.15">
      <c r="A1615" s="165"/>
      <c r="B1615" s="93"/>
      <c r="C1615" s="102"/>
      <c r="D1615" s="62"/>
      <c r="E1615" s="102"/>
      <c r="F1615" s="102"/>
      <c r="G1615" s="102"/>
      <c r="H1615" s="175"/>
      <c r="I1615" s="85"/>
      <c r="J1615" s="104"/>
      <c r="K1615" s="144"/>
      <c r="L1615" s="61"/>
    </row>
    <row r="1616" spans="1:28" x14ac:dyDescent="0.15">
      <c r="A1616" s="165"/>
      <c r="B1616" s="93"/>
      <c r="C1616" s="102"/>
      <c r="D1616" s="62"/>
      <c r="E1616" s="102"/>
      <c r="F1616" s="102"/>
      <c r="G1616" s="102"/>
      <c r="H1616" s="175"/>
      <c r="I1616" s="85"/>
      <c r="J1616" s="104"/>
      <c r="K1616" s="144"/>
      <c r="L1616" s="61"/>
    </row>
    <row r="1617" spans="1:28" x14ac:dyDescent="0.15">
      <c r="A1617" s="165"/>
      <c r="B1617" s="93"/>
      <c r="C1617" s="102"/>
      <c r="D1617" s="62"/>
      <c r="E1617" s="102"/>
      <c r="F1617" s="102"/>
      <c r="G1617" s="102"/>
      <c r="H1617" s="175"/>
      <c r="I1617" s="85"/>
      <c r="J1617" s="104"/>
      <c r="K1617" s="144"/>
      <c r="L1617" s="61"/>
    </row>
    <row r="1618" spans="1:28" x14ac:dyDescent="0.15">
      <c r="A1618" s="165"/>
      <c r="B1618" s="93"/>
      <c r="C1618" s="102"/>
      <c r="D1618" s="62"/>
      <c r="E1618" s="102"/>
      <c r="F1618" s="102"/>
      <c r="G1618" s="102"/>
      <c r="H1618" s="175"/>
      <c r="I1618" s="98"/>
      <c r="J1618" s="98"/>
      <c r="K1618" s="135"/>
      <c r="L1618" s="61"/>
    </row>
    <row r="1619" spans="1:28" x14ac:dyDescent="0.15">
      <c r="A1619" s="165"/>
      <c r="B1619" s="93"/>
      <c r="C1619" s="102"/>
      <c r="D1619" s="62"/>
      <c r="E1619" s="102"/>
      <c r="F1619" s="102"/>
      <c r="G1619" s="102"/>
      <c r="H1619" s="175"/>
      <c r="I1619" s="98"/>
      <c r="J1619" s="98"/>
      <c r="K1619" s="135"/>
      <c r="L1619" s="61"/>
    </row>
    <row r="1620" spans="1:28" s="13" customFormat="1" x14ac:dyDescent="0.15">
      <c r="A1620" s="165"/>
      <c r="B1620" s="93"/>
      <c r="C1620" s="102"/>
      <c r="D1620" s="62"/>
      <c r="E1620" s="102"/>
      <c r="F1620" s="102"/>
      <c r="G1620" s="102"/>
      <c r="H1620" s="175"/>
      <c r="I1620" s="85"/>
      <c r="J1620" s="104"/>
      <c r="K1620" s="144"/>
      <c r="L1620" s="61"/>
      <c r="M1620" s="49"/>
      <c r="N1620" s="37"/>
      <c r="O1620" s="37"/>
      <c r="P1620" s="37"/>
      <c r="Q1620" s="3"/>
      <c r="R1620" s="3"/>
      <c r="S1620" s="3"/>
      <c r="T1620" s="3"/>
      <c r="U1620" s="3"/>
      <c r="V1620" s="3"/>
      <c r="W1620" s="3"/>
      <c r="X1620" s="3"/>
      <c r="Y1620" s="3"/>
      <c r="Z1620" s="4"/>
      <c r="AA1620"/>
      <c r="AB1620"/>
    </row>
    <row r="1621" spans="1:28" x14ac:dyDescent="0.15">
      <c r="A1621" s="165"/>
      <c r="B1621" s="93"/>
      <c r="C1621" s="102"/>
      <c r="D1621" s="62"/>
      <c r="E1621" s="102"/>
      <c r="F1621" s="102"/>
      <c r="G1621" s="102"/>
      <c r="H1621" s="175"/>
      <c r="I1621" s="85"/>
      <c r="J1621" s="104"/>
      <c r="K1621" s="144"/>
      <c r="L1621" s="61"/>
    </row>
    <row r="1622" spans="1:28" x14ac:dyDescent="0.15">
      <c r="A1622" s="165"/>
      <c r="B1622" s="93"/>
      <c r="C1622" s="102"/>
      <c r="D1622" s="62"/>
      <c r="E1622" s="102"/>
      <c r="F1622" s="102"/>
      <c r="G1622" s="102"/>
      <c r="H1622" s="175"/>
      <c r="I1622" s="85"/>
      <c r="J1622" s="104"/>
      <c r="K1622" s="144"/>
      <c r="L1622" s="61"/>
    </row>
    <row r="1623" spans="1:28" x14ac:dyDescent="0.15">
      <c r="A1623" s="165"/>
      <c r="B1623" s="93"/>
      <c r="C1623" s="102"/>
      <c r="D1623" s="62"/>
      <c r="E1623" s="102"/>
      <c r="F1623" s="102"/>
      <c r="G1623" s="102"/>
      <c r="H1623" s="175"/>
      <c r="I1623" s="85"/>
      <c r="J1623" s="104"/>
      <c r="K1623" s="144"/>
      <c r="L1623" s="61"/>
    </row>
    <row r="1624" spans="1:28" x14ac:dyDescent="0.15">
      <c r="A1624" s="165"/>
      <c r="B1624" s="93"/>
      <c r="C1624" s="102"/>
      <c r="D1624" s="62"/>
      <c r="E1624" s="102"/>
      <c r="F1624" s="102"/>
      <c r="G1624" s="102"/>
      <c r="H1624" s="175"/>
      <c r="I1624" s="85"/>
      <c r="J1624" s="104"/>
      <c r="K1624" s="144"/>
      <c r="L1624" s="61"/>
    </row>
    <row r="1625" spans="1:28" x14ac:dyDescent="0.15">
      <c r="A1625" s="165"/>
      <c r="B1625" s="93"/>
      <c r="C1625" s="102"/>
      <c r="D1625" s="62"/>
      <c r="E1625" s="102"/>
      <c r="F1625" s="102"/>
      <c r="G1625" s="102"/>
      <c r="H1625" s="175"/>
      <c r="I1625" s="85"/>
      <c r="J1625" s="104"/>
      <c r="K1625" s="144"/>
      <c r="L1625" s="61"/>
    </row>
    <row r="1626" spans="1:28" x14ac:dyDescent="0.15">
      <c r="A1626" s="165"/>
      <c r="B1626" s="93"/>
      <c r="C1626" s="102"/>
      <c r="D1626" s="62"/>
      <c r="E1626" s="102"/>
      <c r="F1626" s="102"/>
      <c r="G1626" s="102"/>
      <c r="H1626" s="175"/>
      <c r="I1626" s="85"/>
      <c r="J1626" s="104"/>
      <c r="K1626" s="144"/>
      <c r="L1626" s="61"/>
    </row>
    <row r="1627" spans="1:28" x14ac:dyDescent="0.15">
      <c r="A1627" s="165"/>
      <c r="B1627" s="93"/>
      <c r="C1627" s="102"/>
      <c r="D1627" s="62"/>
      <c r="E1627" s="102"/>
      <c r="F1627" s="102"/>
      <c r="G1627" s="102"/>
      <c r="H1627" s="175"/>
      <c r="I1627" s="85"/>
      <c r="J1627" s="104"/>
      <c r="K1627" s="144"/>
      <c r="L1627" s="61"/>
    </row>
    <row r="1628" spans="1:28" x14ac:dyDescent="0.15">
      <c r="A1628" s="165"/>
      <c r="B1628" s="93"/>
      <c r="C1628" s="102"/>
      <c r="D1628" s="62"/>
      <c r="E1628" s="102"/>
      <c r="F1628" s="102"/>
      <c r="G1628" s="102"/>
      <c r="H1628" s="175"/>
      <c r="I1628" s="98"/>
      <c r="J1628" s="98"/>
      <c r="K1628" s="135"/>
      <c r="L1628" s="61"/>
    </row>
    <row r="1629" spans="1:28" x14ac:dyDescent="0.15">
      <c r="A1629" s="165"/>
      <c r="B1629" s="93"/>
      <c r="C1629" s="102"/>
      <c r="D1629" s="62"/>
      <c r="E1629" s="102"/>
      <c r="F1629" s="102"/>
      <c r="G1629" s="102"/>
      <c r="H1629" s="175"/>
      <c r="I1629" s="85"/>
      <c r="J1629" s="104"/>
      <c r="K1629" s="144"/>
      <c r="L1629" s="61"/>
    </row>
    <row r="1630" spans="1:28" s="49" customFormat="1" x14ac:dyDescent="0.15">
      <c r="A1630" s="165"/>
      <c r="B1630" s="93"/>
      <c r="C1630" s="102"/>
      <c r="D1630" s="62"/>
      <c r="E1630" s="102"/>
      <c r="F1630" s="102"/>
      <c r="G1630" s="102"/>
      <c r="H1630" s="175"/>
      <c r="I1630" s="85"/>
      <c r="J1630" s="104"/>
      <c r="K1630" s="144"/>
      <c r="L1630" s="61"/>
      <c r="N1630" s="37"/>
      <c r="O1630" s="37"/>
      <c r="P1630" s="37"/>
      <c r="Q1630" s="3"/>
      <c r="R1630" s="3"/>
      <c r="S1630" s="3"/>
      <c r="T1630" s="3"/>
      <c r="U1630" s="3"/>
      <c r="V1630" s="3"/>
      <c r="W1630" s="3"/>
      <c r="X1630" s="3"/>
      <c r="Y1630" s="3"/>
      <c r="Z1630" s="4"/>
      <c r="AA1630"/>
      <c r="AB1630"/>
    </row>
    <row r="1631" spans="1:28" s="49" customFormat="1" x14ac:dyDescent="0.15">
      <c r="A1631" s="165"/>
      <c r="B1631" s="93"/>
      <c r="C1631" s="102"/>
      <c r="D1631" s="62"/>
      <c r="E1631" s="102"/>
      <c r="F1631" s="102"/>
      <c r="G1631" s="102"/>
      <c r="H1631" s="175"/>
      <c r="I1631" s="98"/>
      <c r="J1631" s="98"/>
      <c r="K1631" s="135"/>
      <c r="L1631" s="61"/>
      <c r="N1631" s="37"/>
      <c r="O1631" s="37"/>
      <c r="P1631" s="37"/>
      <c r="Q1631" s="3"/>
      <c r="R1631" s="3"/>
      <c r="S1631" s="3"/>
      <c r="T1631" s="3"/>
      <c r="U1631" s="3"/>
      <c r="V1631" s="3"/>
      <c r="W1631" s="3"/>
      <c r="X1631" s="3"/>
      <c r="Y1631" s="3"/>
      <c r="Z1631" s="4"/>
      <c r="AA1631"/>
      <c r="AB1631"/>
    </row>
    <row r="1632" spans="1:28" s="49" customFormat="1" x14ac:dyDescent="0.15">
      <c r="A1632" s="165"/>
      <c r="B1632" s="93"/>
      <c r="C1632" s="102"/>
      <c r="D1632" s="62"/>
      <c r="E1632" s="102"/>
      <c r="F1632" s="102"/>
      <c r="G1632" s="102"/>
      <c r="H1632" s="175"/>
      <c r="I1632" s="98"/>
      <c r="J1632" s="98"/>
      <c r="K1632" s="135"/>
      <c r="L1632" s="61"/>
      <c r="N1632" s="37"/>
      <c r="O1632" s="37"/>
      <c r="P1632" s="37"/>
      <c r="Q1632" s="3"/>
      <c r="R1632" s="3"/>
      <c r="S1632" s="3"/>
      <c r="T1632" s="3"/>
      <c r="U1632" s="3"/>
      <c r="V1632" s="3"/>
      <c r="W1632" s="3"/>
      <c r="X1632" s="3"/>
      <c r="Y1632" s="3"/>
      <c r="Z1632" s="4"/>
      <c r="AA1632"/>
      <c r="AB1632"/>
    </row>
    <row r="1633" spans="1:28" s="49" customFormat="1" x14ac:dyDescent="0.15">
      <c r="A1633" s="165"/>
      <c r="B1633" s="93"/>
      <c r="C1633" s="102"/>
      <c r="D1633" s="62"/>
      <c r="E1633" s="102"/>
      <c r="F1633" s="102"/>
      <c r="G1633" s="102"/>
      <c r="H1633" s="175"/>
      <c r="I1633" s="98"/>
      <c r="J1633" s="98"/>
      <c r="K1633" s="135"/>
      <c r="L1633" s="61"/>
      <c r="N1633" s="37"/>
      <c r="O1633" s="37"/>
      <c r="P1633" s="37"/>
      <c r="Q1633" s="3"/>
      <c r="R1633" s="3"/>
      <c r="S1633" s="3"/>
      <c r="T1633" s="3"/>
      <c r="U1633" s="3"/>
      <c r="V1633" s="3"/>
      <c r="W1633" s="3"/>
      <c r="X1633" s="3"/>
      <c r="Y1633" s="3"/>
      <c r="Z1633" s="4"/>
      <c r="AA1633"/>
      <c r="AB1633"/>
    </row>
    <row r="1634" spans="1:28" s="49" customFormat="1" x14ac:dyDescent="0.15">
      <c r="A1634" s="165"/>
      <c r="B1634" s="93"/>
      <c r="C1634" s="102"/>
      <c r="D1634" s="62"/>
      <c r="E1634" s="102"/>
      <c r="F1634" s="102"/>
      <c r="G1634" s="102"/>
      <c r="H1634" s="175"/>
      <c r="I1634" s="85"/>
      <c r="J1634" s="104"/>
      <c r="K1634" s="144"/>
      <c r="L1634" s="61"/>
      <c r="N1634" s="37"/>
      <c r="O1634" s="37"/>
      <c r="P1634" s="37"/>
      <c r="Q1634" s="3"/>
      <c r="R1634" s="3"/>
      <c r="S1634" s="3"/>
      <c r="T1634" s="3"/>
      <c r="U1634" s="3"/>
      <c r="V1634" s="3"/>
      <c r="W1634" s="3"/>
      <c r="X1634" s="3"/>
      <c r="Y1634" s="3"/>
      <c r="Z1634" s="4"/>
      <c r="AA1634"/>
      <c r="AB1634"/>
    </row>
    <row r="1635" spans="1:28" s="49" customFormat="1" x14ac:dyDescent="0.15">
      <c r="A1635" s="165"/>
      <c r="B1635" s="93"/>
      <c r="C1635" s="102"/>
      <c r="D1635" s="62"/>
      <c r="E1635" s="102"/>
      <c r="F1635" s="102"/>
      <c r="G1635" s="102"/>
      <c r="H1635" s="175"/>
      <c r="I1635" s="85"/>
      <c r="J1635" s="104"/>
      <c r="K1635" s="144"/>
      <c r="L1635" s="61"/>
      <c r="N1635" s="37"/>
      <c r="O1635" s="37"/>
      <c r="P1635" s="37"/>
      <c r="Q1635" s="3"/>
      <c r="R1635" s="3"/>
      <c r="S1635" s="3"/>
      <c r="T1635" s="3"/>
      <c r="U1635" s="3"/>
      <c r="V1635" s="3"/>
      <c r="W1635" s="3"/>
      <c r="X1635" s="3"/>
      <c r="Y1635" s="3"/>
      <c r="Z1635" s="4"/>
      <c r="AA1635"/>
      <c r="AB1635"/>
    </row>
    <row r="1636" spans="1:28" s="49" customFormat="1" x14ac:dyDescent="0.15">
      <c r="A1636" s="165"/>
      <c r="B1636" s="93"/>
      <c r="C1636" s="102"/>
      <c r="D1636" s="62"/>
      <c r="E1636" s="100"/>
      <c r="F1636" s="102"/>
      <c r="G1636" s="102"/>
      <c r="H1636" s="175"/>
      <c r="I1636" s="98"/>
      <c r="J1636" s="98"/>
      <c r="K1636" s="135"/>
      <c r="L1636" s="61"/>
      <c r="N1636" s="37"/>
      <c r="O1636" s="37"/>
      <c r="P1636" s="37"/>
      <c r="Q1636" s="3"/>
      <c r="R1636" s="3"/>
      <c r="S1636" s="3"/>
      <c r="T1636" s="3"/>
      <c r="U1636" s="3"/>
      <c r="V1636" s="3"/>
      <c r="W1636" s="3"/>
      <c r="X1636" s="3"/>
      <c r="Y1636" s="3"/>
      <c r="Z1636" s="4"/>
      <c r="AA1636"/>
      <c r="AB1636"/>
    </row>
    <row r="1637" spans="1:28" s="49" customFormat="1" x14ac:dyDescent="0.15">
      <c r="A1637" s="165"/>
      <c r="B1637" s="93"/>
      <c r="C1637" s="102"/>
      <c r="D1637" s="62"/>
      <c r="E1637" s="102"/>
      <c r="F1637" s="102"/>
      <c r="G1637" s="102"/>
      <c r="H1637" s="175"/>
      <c r="I1637" s="98"/>
      <c r="J1637" s="98"/>
      <c r="K1637" s="135"/>
      <c r="L1637" s="61"/>
      <c r="N1637" s="37"/>
      <c r="O1637" s="37"/>
      <c r="P1637" s="37"/>
      <c r="Q1637" s="3"/>
      <c r="R1637" s="3"/>
      <c r="S1637" s="3"/>
      <c r="T1637" s="3"/>
      <c r="U1637" s="3"/>
      <c r="V1637" s="3"/>
      <c r="W1637" s="3"/>
      <c r="X1637" s="3"/>
      <c r="Y1637" s="3"/>
      <c r="Z1637" s="4"/>
      <c r="AA1637"/>
      <c r="AB1637"/>
    </row>
    <row r="1638" spans="1:28" s="49" customFormat="1" x14ac:dyDescent="0.15">
      <c r="A1638" s="165"/>
      <c r="B1638" s="93"/>
      <c r="C1638" s="102"/>
      <c r="D1638" s="62"/>
      <c r="E1638" s="102"/>
      <c r="F1638" s="102"/>
      <c r="G1638" s="102"/>
      <c r="H1638" s="175"/>
      <c r="I1638" s="85"/>
      <c r="J1638" s="104"/>
      <c r="K1638" s="144"/>
      <c r="L1638" s="61"/>
      <c r="N1638" s="37"/>
      <c r="O1638" s="37"/>
      <c r="P1638" s="37"/>
      <c r="Q1638" s="3"/>
      <c r="R1638" s="3"/>
      <c r="S1638" s="3"/>
      <c r="T1638" s="3"/>
      <c r="U1638" s="3"/>
      <c r="V1638" s="3"/>
      <c r="W1638" s="3"/>
      <c r="X1638" s="3"/>
      <c r="Y1638" s="3"/>
      <c r="Z1638" s="4"/>
      <c r="AA1638"/>
      <c r="AB1638"/>
    </row>
    <row r="1639" spans="1:28" s="49" customFormat="1" x14ac:dyDescent="0.15">
      <c r="A1639" s="165"/>
      <c r="B1639" s="93"/>
      <c r="C1639" s="102"/>
      <c r="D1639" s="62"/>
      <c r="E1639" s="102"/>
      <c r="F1639" s="102"/>
      <c r="G1639" s="102"/>
      <c r="H1639" s="175"/>
      <c r="I1639" s="98"/>
      <c r="J1639" s="98"/>
      <c r="K1639" s="135"/>
      <c r="L1639" s="61"/>
      <c r="N1639" s="37"/>
      <c r="O1639" s="37"/>
      <c r="P1639" s="37"/>
      <c r="Q1639" s="3"/>
      <c r="R1639" s="3"/>
      <c r="S1639" s="3"/>
      <c r="T1639" s="3"/>
      <c r="U1639" s="3"/>
      <c r="V1639" s="3"/>
      <c r="W1639" s="3"/>
      <c r="X1639" s="3"/>
      <c r="Y1639" s="3"/>
      <c r="Z1639" s="4"/>
      <c r="AA1639"/>
      <c r="AB1639"/>
    </row>
    <row r="1640" spans="1:28" s="49" customFormat="1" x14ac:dyDescent="0.15">
      <c r="A1640" s="165"/>
      <c r="B1640" s="93"/>
      <c r="C1640" s="102"/>
      <c r="D1640" s="62"/>
      <c r="E1640" s="102"/>
      <c r="F1640" s="102"/>
      <c r="G1640" s="102"/>
      <c r="H1640" s="175"/>
      <c r="I1640" s="85"/>
      <c r="J1640" s="104"/>
      <c r="K1640" s="144"/>
      <c r="L1640" s="61"/>
      <c r="N1640" s="37"/>
      <c r="O1640" s="37"/>
      <c r="P1640" s="37"/>
      <c r="Q1640" s="3"/>
      <c r="R1640" s="3"/>
      <c r="S1640" s="3"/>
      <c r="T1640" s="3"/>
      <c r="U1640" s="3"/>
      <c r="V1640" s="3"/>
      <c r="W1640" s="3"/>
      <c r="X1640" s="3"/>
      <c r="Y1640" s="3"/>
      <c r="Z1640" s="4"/>
      <c r="AA1640"/>
      <c r="AB1640"/>
    </row>
    <row r="1641" spans="1:28" s="49" customFormat="1" x14ac:dyDescent="0.15">
      <c r="A1641" s="165"/>
      <c r="B1641" s="93"/>
      <c r="C1641" s="102"/>
      <c r="D1641" s="62"/>
      <c r="E1641" s="102"/>
      <c r="F1641" s="102"/>
      <c r="G1641" s="102"/>
      <c r="H1641" s="175"/>
      <c r="I1641" s="85"/>
      <c r="J1641" s="104"/>
      <c r="K1641" s="144"/>
      <c r="L1641" s="61"/>
      <c r="N1641" s="37"/>
      <c r="O1641" s="37"/>
      <c r="P1641" s="37"/>
      <c r="Q1641" s="3"/>
      <c r="R1641" s="3"/>
      <c r="S1641" s="3"/>
      <c r="T1641" s="3"/>
      <c r="U1641" s="3"/>
      <c r="V1641" s="3"/>
      <c r="W1641" s="3"/>
      <c r="X1641" s="3"/>
      <c r="Y1641" s="3"/>
      <c r="Z1641" s="4"/>
      <c r="AA1641"/>
      <c r="AB1641"/>
    </row>
    <row r="1642" spans="1:28" s="49" customFormat="1" x14ac:dyDescent="0.15">
      <c r="A1642" s="165"/>
      <c r="B1642" s="93"/>
      <c r="C1642" s="102"/>
      <c r="D1642" s="62"/>
      <c r="E1642" s="102"/>
      <c r="F1642" s="102"/>
      <c r="G1642" s="102"/>
      <c r="H1642" s="175"/>
      <c r="I1642" s="85"/>
      <c r="J1642" s="104"/>
      <c r="K1642" s="144"/>
      <c r="L1642" s="61"/>
      <c r="N1642" s="37"/>
      <c r="O1642" s="37"/>
      <c r="P1642" s="37"/>
      <c r="Q1642" s="3"/>
      <c r="R1642" s="3"/>
      <c r="S1642" s="3"/>
      <c r="T1642" s="3"/>
      <c r="U1642" s="3"/>
      <c r="V1642" s="3"/>
      <c r="W1642" s="3"/>
      <c r="X1642" s="3"/>
      <c r="Y1642" s="3"/>
      <c r="Z1642" s="4"/>
      <c r="AA1642"/>
      <c r="AB1642"/>
    </row>
    <row r="1643" spans="1:28" s="49" customFormat="1" x14ac:dyDescent="0.15">
      <c r="A1643" s="165"/>
      <c r="B1643" s="93"/>
      <c r="C1643" s="102"/>
      <c r="D1643" s="62"/>
      <c r="E1643" s="102"/>
      <c r="F1643" s="102"/>
      <c r="G1643" s="102"/>
      <c r="H1643" s="175"/>
      <c r="I1643" s="85"/>
      <c r="J1643" s="104"/>
      <c r="K1643" s="144"/>
      <c r="L1643" s="61"/>
      <c r="N1643" s="37"/>
      <c r="O1643" s="37"/>
      <c r="P1643" s="37"/>
      <c r="Q1643" s="3"/>
      <c r="R1643" s="3"/>
      <c r="S1643" s="3"/>
      <c r="T1643" s="3"/>
      <c r="U1643" s="3"/>
      <c r="V1643" s="3"/>
      <c r="W1643" s="3"/>
      <c r="X1643" s="3"/>
      <c r="Y1643" s="3"/>
      <c r="Z1643" s="4"/>
      <c r="AA1643"/>
      <c r="AB1643"/>
    </row>
    <row r="1644" spans="1:28" s="49" customFormat="1" x14ac:dyDescent="0.15">
      <c r="A1644" s="165"/>
      <c r="B1644" s="93"/>
      <c r="C1644" s="102"/>
      <c r="D1644" s="62"/>
      <c r="E1644" s="102"/>
      <c r="F1644" s="102"/>
      <c r="G1644" s="102"/>
      <c r="H1644" s="175"/>
      <c r="I1644" s="85"/>
      <c r="J1644" s="104"/>
      <c r="K1644" s="144"/>
      <c r="L1644" s="61"/>
      <c r="N1644" s="37"/>
      <c r="O1644" s="37"/>
      <c r="P1644" s="37"/>
      <c r="Q1644" s="3"/>
      <c r="R1644" s="3"/>
      <c r="S1644" s="3"/>
      <c r="T1644" s="3"/>
      <c r="U1644" s="3"/>
      <c r="V1644" s="3"/>
      <c r="W1644" s="3"/>
      <c r="X1644" s="3"/>
      <c r="Y1644" s="3"/>
      <c r="Z1644" s="4"/>
      <c r="AA1644"/>
      <c r="AB1644"/>
    </row>
    <row r="1645" spans="1:28" s="49" customFormat="1" x14ac:dyDescent="0.15">
      <c r="A1645" s="165"/>
      <c r="B1645" s="93"/>
      <c r="C1645" s="102"/>
      <c r="D1645" s="62"/>
      <c r="E1645" s="102"/>
      <c r="F1645" s="102"/>
      <c r="G1645" s="102"/>
      <c r="H1645" s="175"/>
      <c r="I1645" s="85"/>
      <c r="J1645" s="104"/>
      <c r="K1645" s="144"/>
      <c r="L1645" s="61"/>
      <c r="N1645" s="37"/>
      <c r="O1645" s="37"/>
      <c r="P1645" s="37"/>
      <c r="Q1645" s="3"/>
      <c r="R1645" s="3"/>
      <c r="S1645" s="3"/>
      <c r="T1645" s="3"/>
      <c r="U1645" s="3"/>
      <c r="V1645" s="3"/>
      <c r="W1645" s="3"/>
      <c r="X1645" s="3"/>
      <c r="Y1645" s="3"/>
      <c r="Z1645" s="4"/>
      <c r="AA1645"/>
      <c r="AB1645"/>
    </row>
    <row r="1646" spans="1:28" s="49" customFormat="1" x14ac:dyDescent="0.15">
      <c r="A1646" s="165"/>
      <c r="B1646" s="93"/>
      <c r="C1646" s="102"/>
      <c r="D1646" s="62"/>
      <c r="E1646" s="102"/>
      <c r="F1646" s="102"/>
      <c r="G1646" s="102"/>
      <c r="H1646" s="175"/>
      <c r="I1646" s="85"/>
      <c r="J1646" s="104"/>
      <c r="K1646" s="144"/>
      <c r="L1646" s="61"/>
      <c r="N1646" s="37"/>
      <c r="O1646" s="37"/>
      <c r="P1646" s="37"/>
      <c r="Q1646" s="3"/>
      <c r="R1646" s="3"/>
      <c r="S1646" s="3"/>
      <c r="T1646" s="3"/>
      <c r="U1646" s="3"/>
      <c r="V1646" s="3"/>
      <c r="W1646" s="3"/>
      <c r="X1646" s="3"/>
      <c r="Y1646" s="3"/>
      <c r="Z1646" s="4"/>
      <c r="AA1646"/>
      <c r="AB1646"/>
    </row>
    <row r="1647" spans="1:28" s="49" customFormat="1" x14ac:dyDescent="0.15">
      <c r="A1647" s="165"/>
      <c r="B1647" s="93"/>
      <c r="C1647" s="102"/>
      <c r="D1647" s="62"/>
      <c r="E1647" s="100"/>
      <c r="F1647" s="102"/>
      <c r="G1647" s="102"/>
      <c r="H1647" s="175"/>
      <c r="I1647" s="85"/>
      <c r="J1647" s="104"/>
      <c r="K1647" s="144"/>
      <c r="L1647" s="61"/>
      <c r="N1647" s="37"/>
      <c r="O1647" s="37"/>
      <c r="P1647" s="37"/>
      <c r="Q1647" s="3"/>
      <c r="R1647" s="3"/>
      <c r="S1647" s="3"/>
      <c r="T1647" s="3"/>
      <c r="U1647" s="3"/>
      <c r="V1647" s="3"/>
      <c r="W1647" s="3"/>
      <c r="X1647" s="3"/>
      <c r="Y1647" s="3"/>
      <c r="Z1647" s="4"/>
      <c r="AA1647"/>
      <c r="AB1647"/>
    </row>
    <row r="1648" spans="1:28" s="49" customFormat="1" x14ac:dyDescent="0.15">
      <c r="A1648" s="165"/>
      <c r="B1648" s="93"/>
      <c r="C1648" s="102"/>
      <c r="D1648" s="62"/>
      <c r="E1648" s="102"/>
      <c r="F1648" s="102"/>
      <c r="G1648" s="102"/>
      <c r="H1648" s="175"/>
      <c r="I1648" s="85"/>
      <c r="J1648" s="104"/>
      <c r="K1648" s="144"/>
      <c r="L1648" s="61"/>
      <c r="N1648" s="37"/>
      <c r="O1648" s="37"/>
      <c r="P1648" s="37"/>
      <c r="Q1648" s="3"/>
      <c r="R1648" s="3"/>
      <c r="S1648" s="3"/>
      <c r="T1648" s="3"/>
      <c r="U1648" s="3"/>
      <c r="V1648" s="3"/>
      <c r="W1648" s="3"/>
      <c r="X1648" s="3"/>
      <c r="Y1648" s="3"/>
      <c r="Z1648" s="4"/>
      <c r="AA1648"/>
      <c r="AB1648"/>
    </row>
    <row r="1649" spans="1:28" s="49" customFormat="1" x14ac:dyDescent="0.15">
      <c r="A1649" s="165"/>
      <c r="B1649" s="93"/>
      <c r="C1649" s="102"/>
      <c r="D1649" s="62"/>
      <c r="E1649" s="102"/>
      <c r="F1649" s="102"/>
      <c r="G1649" s="102"/>
      <c r="H1649" s="175"/>
      <c r="I1649" s="85"/>
      <c r="J1649" s="104"/>
      <c r="K1649" s="144"/>
      <c r="L1649" s="61"/>
      <c r="N1649" s="37"/>
      <c r="O1649" s="37"/>
      <c r="P1649" s="37"/>
      <c r="Q1649" s="3"/>
      <c r="R1649" s="3"/>
      <c r="S1649" s="3"/>
      <c r="T1649" s="3"/>
      <c r="U1649" s="3"/>
      <c r="V1649" s="3"/>
      <c r="W1649" s="3"/>
      <c r="X1649" s="3"/>
      <c r="Y1649" s="3"/>
      <c r="Z1649" s="4"/>
      <c r="AA1649"/>
      <c r="AB1649"/>
    </row>
    <row r="1650" spans="1:28" s="49" customFormat="1" x14ac:dyDescent="0.15">
      <c r="A1650" s="165"/>
      <c r="B1650" s="93"/>
      <c r="C1650" s="102"/>
      <c r="D1650" s="62"/>
      <c r="E1650" s="102"/>
      <c r="F1650" s="102"/>
      <c r="G1650" s="102"/>
      <c r="H1650" s="175"/>
      <c r="I1650" s="85"/>
      <c r="J1650" s="104"/>
      <c r="K1650" s="144"/>
      <c r="L1650" s="61"/>
      <c r="N1650" s="37"/>
      <c r="O1650" s="37"/>
      <c r="P1650" s="37"/>
      <c r="Q1650" s="3"/>
      <c r="R1650" s="3"/>
      <c r="S1650" s="3"/>
      <c r="T1650" s="3"/>
      <c r="U1650" s="3"/>
      <c r="V1650" s="3"/>
      <c r="W1650" s="3"/>
      <c r="X1650" s="3"/>
      <c r="Y1650" s="3"/>
      <c r="Z1650" s="4"/>
      <c r="AA1650"/>
      <c r="AB1650"/>
    </row>
    <row r="1651" spans="1:28" s="49" customFormat="1" x14ac:dyDescent="0.15">
      <c r="A1651" s="165"/>
      <c r="B1651" s="93"/>
      <c r="C1651" s="102"/>
      <c r="D1651" s="62"/>
      <c r="E1651" s="100"/>
      <c r="F1651" s="102"/>
      <c r="G1651" s="102"/>
      <c r="H1651" s="175"/>
      <c r="I1651" s="85"/>
      <c r="J1651" s="104"/>
      <c r="K1651" s="144"/>
      <c r="L1651" s="61"/>
      <c r="N1651" s="37"/>
      <c r="O1651" s="37"/>
      <c r="P1651" s="37"/>
      <c r="Q1651" s="3"/>
      <c r="R1651" s="3"/>
      <c r="S1651" s="3"/>
      <c r="T1651" s="3"/>
      <c r="U1651" s="3"/>
      <c r="V1651" s="3"/>
      <c r="W1651" s="3"/>
      <c r="X1651" s="3"/>
      <c r="Y1651" s="3"/>
      <c r="Z1651" s="4"/>
      <c r="AA1651"/>
      <c r="AB1651"/>
    </row>
    <row r="1652" spans="1:28" s="49" customFormat="1" x14ac:dyDescent="0.15">
      <c r="A1652" s="165"/>
      <c r="B1652" s="93"/>
      <c r="C1652" s="102"/>
      <c r="D1652" s="62"/>
      <c r="E1652" s="102"/>
      <c r="F1652" s="102"/>
      <c r="G1652" s="102"/>
      <c r="H1652" s="175"/>
      <c r="I1652" s="85"/>
      <c r="J1652" s="104"/>
      <c r="K1652" s="144"/>
      <c r="L1652" s="61"/>
      <c r="N1652" s="37"/>
      <c r="O1652" s="37"/>
      <c r="P1652" s="37"/>
      <c r="Q1652" s="3"/>
      <c r="R1652" s="3"/>
      <c r="S1652" s="3"/>
      <c r="T1652" s="3"/>
      <c r="U1652" s="3"/>
      <c r="V1652" s="3"/>
      <c r="W1652" s="3"/>
      <c r="X1652" s="3"/>
      <c r="Y1652" s="3"/>
      <c r="Z1652" s="4"/>
      <c r="AA1652"/>
      <c r="AB1652"/>
    </row>
    <row r="1653" spans="1:28" s="49" customFormat="1" x14ac:dyDescent="0.15">
      <c r="A1653" s="165"/>
      <c r="B1653" s="93"/>
      <c r="C1653" s="102"/>
      <c r="D1653" s="62"/>
      <c r="E1653" s="102"/>
      <c r="F1653" s="102"/>
      <c r="G1653" s="102"/>
      <c r="H1653" s="175"/>
      <c r="I1653" s="85"/>
      <c r="J1653" s="104"/>
      <c r="K1653" s="144"/>
      <c r="L1653" s="61"/>
      <c r="N1653" s="37"/>
      <c r="O1653" s="37"/>
      <c r="P1653" s="37"/>
      <c r="Q1653" s="3"/>
      <c r="R1653" s="3"/>
      <c r="S1653" s="3"/>
      <c r="T1653" s="3"/>
      <c r="U1653" s="3"/>
      <c r="V1653" s="3"/>
      <c r="W1653" s="3"/>
      <c r="X1653" s="3"/>
      <c r="Y1653" s="3"/>
      <c r="Z1653" s="4"/>
      <c r="AA1653"/>
      <c r="AB1653"/>
    </row>
    <row r="1654" spans="1:28" s="49" customFormat="1" x14ac:dyDescent="0.15">
      <c r="A1654" s="165"/>
      <c r="B1654" s="93"/>
      <c r="C1654" s="102"/>
      <c r="D1654" s="62"/>
      <c r="E1654" s="102"/>
      <c r="F1654" s="102"/>
      <c r="G1654" s="102"/>
      <c r="H1654" s="175"/>
      <c r="I1654" s="85"/>
      <c r="J1654" s="104"/>
      <c r="K1654" s="144"/>
      <c r="L1654" s="61"/>
      <c r="N1654" s="37"/>
      <c r="O1654" s="37"/>
      <c r="P1654" s="37"/>
      <c r="Q1654" s="3"/>
      <c r="R1654" s="3"/>
      <c r="S1654" s="3"/>
      <c r="T1654" s="3"/>
      <c r="U1654" s="3"/>
      <c r="V1654" s="3"/>
      <c r="W1654" s="3"/>
      <c r="X1654" s="3"/>
      <c r="Y1654" s="3"/>
      <c r="Z1654" s="4"/>
      <c r="AA1654"/>
      <c r="AB1654"/>
    </row>
    <row r="1655" spans="1:28" s="49" customFormat="1" x14ac:dyDescent="0.15">
      <c r="A1655" s="165"/>
      <c r="B1655" s="93"/>
      <c r="C1655" s="102"/>
      <c r="D1655" s="62"/>
      <c r="E1655" s="100"/>
      <c r="F1655" s="102"/>
      <c r="G1655" s="102"/>
      <c r="H1655" s="175"/>
      <c r="I1655" s="85"/>
      <c r="J1655" s="104"/>
      <c r="K1655" s="144"/>
      <c r="L1655" s="61"/>
      <c r="N1655" s="37"/>
      <c r="O1655" s="37"/>
      <c r="P1655" s="37"/>
      <c r="Q1655" s="3"/>
      <c r="R1655" s="3"/>
      <c r="S1655" s="3"/>
      <c r="T1655" s="3"/>
      <c r="U1655" s="3"/>
      <c r="V1655" s="3"/>
      <c r="W1655" s="3"/>
      <c r="X1655" s="3"/>
      <c r="Y1655" s="3"/>
      <c r="Z1655" s="4"/>
      <c r="AA1655"/>
      <c r="AB1655"/>
    </row>
    <row r="1656" spans="1:28" s="49" customFormat="1" x14ac:dyDescent="0.15">
      <c r="A1656" s="165"/>
      <c r="B1656" s="93"/>
      <c r="C1656" s="102"/>
      <c r="D1656" s="62"/>
      <c r="E1656" s="102"/>
      <c r="F1656" s="102"/>
      <c r="G1656" s="102"/>
      <c r="H1656" s="175"/>
      <c r="I1656" s="85"/>
      <c r="J1656" s="104"/>
      <c r="K1656" s="144"/>
      <c r="L1656" s="61"/>
      <c r="N1656" s="37"/>
      <c r="O1656" s="37"/>
      <c r="P1656" s="37"/>
      <c r="Q1656" s="3"/>
      <c r="R1656" s="3"/>
      <c r="S1656" s="3"/>
      <c r="T1656" s="3"/>
      <c r="U1656" s="3"/>
      <c r="V1656" s="3"/>
      <c r="W1656" s="3"/>
      <c r="X1656" s="3"/>
      <c r="Y1656" s="3"/>
      <c r="Z1656" s="4"/>
      <c r="AA1656"/>
      <c r="AB1656"/>
    </row>
    <row r="1657" spans="1:28" s="49" customFormat="1" x14ac:dyDescent="0.15">
      <c r="A1657" s="165"/>
      <c r="B1657" s="93"/>
      <c r="C1657" s="102"/>
      <c r="D1657" s="62"/>
      <c r="E1657" s="102"/>
      <c r="F1657" s="102"/>
      <c r="G1657" s="102"/>
      <c r="H1657" s="175"/>
      <c r="I1657" s="98"/>
      <c r="J1657" s="98"/>
      <c r="K1657" s="135"/>
      <c r="L1657" s="62"/>
      <c r="N1657" s="37"/>
      <c r="O1657" s="37"/>
      <c r="P1657" s="37"/>
      <c r="Q1657" s="3"/>
      <c r="R1657" s="3"/>
      <c r="S1657" s="3"/>
      <c r="T1657" s="3"/>
      <c r="U1657" s="3"/>
      <c r="V1657" s="3"/>
      <c r="W1657" s="3"/>
      <c r="X1657" s="3"/>
      <c r="Y1657" s="3"/>
      <c r="Z1657" s="4"/>
      <c r="AA1657"/>
      <c r="AB1657"/>
    </row>
    <row r="1658" spans="1:28" s="49" customFormat="1" x14ac:dyDescent="0.15">
      <c r="A1658" s="165"/>
      <c r="B1658" s="93"/>
      <c r="C1658" s="102"/>
      <c r="D1658" s="62"/>
      <c r="E1658" s="102"/>
      <c r="F1658" s="102"/>
      <c r="G1658" s="102"/>
      <c r="H1658" s="175"/>
      <c r="I1658" s="85"/>
      <c r="J1658" s="104"/>
      <c r="K1658" s="144"/>
      <c r="L1658" s="61"/>
      <c r="N1658" s="37"/>
      <c r="O1658" s="37"/>
      <c r="P1658" s="37"/>
      <c r="Q1658" s="3"/>
      <c r="R1658" s="3"/>
      <c r="S1658" s="3"/>
      <c r="T1658" s="3"/>
      <c r="U1658" s="3"/>
      <c r="V1658" s="3"/>
      <c r="W1658" s="3"/>
      <c r="X1658" s="3"/>
      <c r="Y1658" s="3"/>
      <c r="Z1658" s="4"/>
      <c r="AA1658"/>
      <c r="AB1658"/>
    </row>
    <row r="1659" spans="1:28" s="49" customFormat="1" x14ac:dyDescent="0.15">
      <c r="A1659" s="165"/>
      <c r="B1659" s="93"/>
      <c r="C1659" s="102"/>
      <c r="D1659" s="62"/>
      <c r="E1659" s="102"/>
      <c r="F1659" s="102"/>
      <c r="G1659" s="102"/>
      <c r="H1659" s="175"/>
      <c r="I1659" s="85"/>
      <c r="J1659" s="104"/>
      <c r="K1659" s="144"/>
      <c r="L1659" s="61"/>
      <c r="N1659" s="37"/>
      <c r="O1659" s="37"/>
      <c r="P1659" s="37"/>
      <c r="Q1659" s="3"/>
      <c r="R1659" s="3"/>
      <c r="S1659" s="3"/>
      <c r="T1659" s="3"/>
      <c r="U1659" s="3"/>
      <c r="V1659" s="3"/>
      <c r="W1659" s="3"/>
      <c r="X1659" s="3"/>
      <c r="Y1659" s="3"/>
      <c r="Z1659" s="4"/>
      <c r="AA1659"/>
      <c r="AB1659"/>
    </row>
    <row r="1660" spans="1:28" s="49" customFormat="1" x14ac:dyDescent="0.15">
      <c r="A1660" s="165"/>
      <c r="B1660" s="93"/>
      <c r="C1660" s="102"/>
      <c r="D1660" s="62"/>
      <c r="E1660" s="102"/>
      <c r="F1660" s="102"/>
      <c r="G1660" s="102"/>
      <c r="H1660" s="175"/>
      <c r="I1660" s="85"/>
      <c r="J1660" s="104"/>
      <c r="K1660" s="144"/>
      <c r="L1660" s="61"/>
      <c r="N1660" s="37"/>
      <c r="O1660" s="37"/>
      <c r="P1660" s="37"/>
      <c r="Q1660" s="3"/>
      <c r="R1660" s="3"/>
      <c r="S1660" s="3"/>
      <c r="T1660" s="3"/>
      <c r="U1660" s="3"/>
      <c r="V1660" s="3"/>
      <c r="W1660" s="3"/>
      <c r="X1660" s="3"/>
      <c r="Y1660" s="3"/>
      <c r="Z1660" s="4"/>
      <c r="AA1660"/>
      <c r="AB1660"/>
    </row>
    <row r="1661" spans="1:28" s="49" customFormat="1" x14ac:dyDescent="0.15">
      <c r="A1661" s="165"/>
      <c r="B1661" s="93"/>
      <c r="C1661" s="102"/>
      <c r="D1661" s="62"/>
      <c r="E1661" s="102"/>
      <c r="F1661" s="102"/>
      <c r="G1661" s="102"/>
      <c r="H1661" s="175"/>
      <c r="I1661" s="85"/>
      <c r="J1661" s="104"/>
      <c r="K1661" s="144"/>
      <c r="L1661" s="61"/>
      <c r="N1661" s="37"/>
      <c r="O1661" s="37"/>
      <c r="P1661" s="37"/>
      <c r="Q1661" s="3"/>
      <c r="R1661" s="3"/>
      <c r="S1661" s="3"/>
      <c r="T1661" s="3"/>
      <c r="U1661" s="3"/>
      <c r="V1661" s="3"/>
      <c r="W1661" s="3"/>
      <c r="X1661" s="3"/>
      <c r="Y1661" s="3"/>
      <c r="Z1661" s="4"/>
      <c r="AA1661"/>
      <c r="AB1661"/>
    </row>
    <row r="1662" spans="1:28" s="49" customFormat="1" x14ac:dyDescent="0.15">
      <c r="A1662" s="165"/>
      <c r="B1662" s="93"/>
      <c r="C1662" s="102"/>
      <c r="D1662" s="62"/>
      <c r="E1662" s="102"/>
      <c r="F1662" s="102"/>
      <c r="G1662" s="102"/>
      <c r="H1662" s="175"/>
      <c r="I1662" s="85"/>
      <c r="J1662" s="104"/>
      <c r="K1662" s="144"/>
      <c r="L1662" s="61"/>
      <c r="N1662" s="37"/>
      <c r="O1662" s="37"/>
      <c r="P1662" s="37"/>
      <c r="Q1662" s="3"/>
      <c r="R1662" s="3"/>
      <c r="S1662" s="3"/>
      <c r="T1662" s="3"/>
      <c r="U1662" s="3"/>
      <c r="V1662" s="3"/>
      <c r="W1662" s="3"/>
      <c r="X1662" s="3"/>
      <c r="Y1662" s="3"/>
      <c r="Z1662" s="4"/>
      <c r="AA1662"/>
      <c r="AB1662"/>
    </row>
    <row r="1663" spans="1:28" s="49" customFormat="1" x14ac:dyDescent="0.15">
      <c r="A1663" s="165"/>
      <c r="B1663" s="93"/>
      <c r="C1663" s="102"/>
      <c r="D1663" s="62"/>
      <c r="E1663" s="102"/>
      <c r="F1663" s="102"/>
      <c r="G1663" s="102"/>
      <c r="H1663" s="175"/>
      <c r="I1663" s="85"/>
      <c r="J1663" s="104"/>
      <c r="K1663" s="144"/>
      <c r="L1663" s="62"/>
      <c r="N1663" s="37"/>
      <c r="O1663" s="37"/>
      <c r="P1663" s="37"/>
      <c r="Q1663" s="3"/>
      <c r="R1663" s="3"/>
      <c r="S1663" s="3"/>
      <c r="T1663" s="3"/>
      <c r="U1663" s="3"/>
      <c r="V1663" s="3"/>
      <c r="W1663" s="3"/>
      <c r="X1663" s="3"/>
      <c r="Y1663" s="3"/>
      <c r="Z1663" s="4"/>
      <c r="AA1663"/>
      <c r="AB1663"/>
    </row>
    <row r="1664" spans="1:28" s="49" customFormat="1" x14ac:dyDescent="0.15">
      <c r="A1664" s="165"/>
      <c r="B1664" s="93"/>
      <c r="C1664" s="102"/>
      <c r="D1664" s="62"/>
      <c r="E1664" s="102"/>
      <c r="F1664" s="102"/>
      <c r="G1664" s="102"/>
      <c r="H1664" s="175"/>
      <c r="I1664" s="85"/>
      <c r="J1664" s="104"/>
      <c r="K1664" s="144"/>
      <c r="L1664" s="62"/>
      <c r="N1664" s="37"/>
      <c r="O1664" s="37"/>
      <c r="P1664" s="37"/>
      <c r="Q1664" s="3"/>
      <c r="R1664" s="3"/>
      <c r="S1664" s="3"/>
      <c r="T1664" s="3"/>
      <c r="U1664" s="3"/>
      <c r="V1664" s="3"/>
      <c r="W1664" s="3"/>
      <c r="X1664" s="3"/>
      <c r="Y1664" s="3"/>
      <c r="Z1664" s="4"/>
      <c r="AA1664"/>
      <c r="AB1664"/>
    </row>
    <row r="1665" spans="1:28" s="49" customFormat="1" x14ac:dyDescent="0.15">
      <c r="A1665" s="165"/>
      <c r="B1665" s="93"/>
      <c r="C1665" s="102"/>
      <c r="D1665" s="62"/>
      <c r="E1665" s="102"/>
      <c r="F1665" s="102"/>
      <c r="G1665" s="102"/>
      <c r="H1665" s="175"/>
      <c r="I1665" s="98"/>
      <c r="J1665" s="98"/>
      <c r="K1665" s="135"/>
      <c r="L1665" s="62"/>
      <c r="N1665" s="37"/>
      <c r="O1665" s="37"/>
      <c r="P1665" s="37"/>
      <c r="Q1665" s="3"/>
      <c r="R1665" s="3"/>
      <c r="S1665" s="3"/>
      <c r="T1665" s="3"/>
      <c r="U1665" s="3"/>
      <c r="V1665" s="3"/>
      <c r="W1665" s="3"/>
      <c r="X1665" s="3"/>
      <c r="Y1665" s="3"/>
      <c r="Z1665" s="4"/>
      <c r="AA1665"/>
      <c r="AB1665"/>
    </row>
    <row r="1666" spans="1:28" s="49" customFormat="1" x14ac:dyDescent="0.15">
      <c r="A1666" s="165"/>
      <c r="B1666" s="93"/>
      <c r="C1666" s="100"/>
      <c r="D1666" s="61"/>
      <c r="E1666" s="102"/>
      <c r="F1666" s="100"/>
      <c r="G1666" s="100"/>
      <c r="H1666" s="177"/>
      <c r="I1666" s="98"/>
      <c r="J1666" s="103"/>
      <c r="K1666" s="135"/>
      <c r="L1666" s="62"/>
      <c r="N1666" s="37"/>
      <c r="O1666" s="37"/>
      <c r="P1666" s="37"/>
      <c r="Q1666" s="3"/>
      <c r="R1666" s="3"/>
      <c r="S1666" s="3"/>
      <c r="T1666" s="3"/>
      <c r="U1666" s="3"/>
      <c r="V1666" s="3"/>
      <c r="W1666" s="3"/>
      <c r="X1666" s="3"/>
      <c r="Y1666" s="3"/>
      <c r="Z1666" s="4"/>
      <c r="AA1666"/>
      <c r="AB1666"/>
    </row>
    <row r="1667" spans="1:28" s="49" customFormat="1" x14ac:dyDescent="0.15">
      <c r="A1667" s="165"/>
      <c r="B1667" s="93"/>
      <c r="C1667" s="102"/>
      <c r="D1667" s="62"/>
      <c r="E1667" s="102"/>
      <c r="F1667" s="102"/>
      <c r="G1667" s="102"/>
      <c r="H1667" s="175"/>
      <c r="I1667" s="98"/>
      <c r="J1667" s="98"/>
      <c r="K1667" s="135"/>
      <c r="L1667" s="62"/>
      <c r="N1667" s="37"/>
      <c r="O1667" s="37"/>
      <c r="P1667" s="37"/>
      <c r="Q1667" s="3"/>
      <c r="R1667" s="3"/>
      <c r="S1667" s="3"/>
      <c r="T1667" s="3"/>
      <c r="U1667" s="3"/>
      <c r="V1667" s="3"/>
      <c r="W1667" s="3"/>
      <c r="X1667" s="3"/>
      <c r="Y1667" s="3"/>
      <c r="Z1667" s="4"/>
      <c r="AA1667"/>
      <c r="AB1667"/>
    </row>
    <row r="1668" spans="1:28" s="49" customFormat="1" x14ac:dyDescent="0.15">
      <c r="A1668" s="165"/>
      <c r="B1668" s="93"/>
      <c r="C1668" s="102"/>
      <c r="D1668" s="62"/>
      <c r="E1668" s="102"/>
      <c r="F1668" s="102"/>
      <c r="G1668" s="102"/>
      <c r="H1668" s="175"/>
      <c r="I1668" s="85"/>
      <c r="J1668" s="104"/>
      <c r="K1668" s="144"/>
      <c r="L1668" s="62"/>
      <c r="N1668" s="37"/>
      <c r="O1668" s="37"/>
      <c r="P1668" s="37"/>
      <c r="Q1668" s="3"/>
      <c r="R1668" s="3"/>
      <c r="S1668" s="3"/>
      <c r="T1668" s="3"/>
      <c r="U1668" s="3"/>
      <c r="V1668" s="3"/>
      <c r="W1668" s="3"/>
      <c r="X1668" s="3"/>
      <c r="Y1668" s="3"/>
      <c r="Z1668" s="4"/>
      <c r="AA1668"/>
      <c r="AB1668"/>
    </row>
    <row r="1669" spans="1:28" s="49" customFormat="1" x14ac:dyDescent="0.15">
      <c r="A1669" s="165"/>
      <c r="B1669" s="93"/>
      <c r="C1669" s="102"/>
      <c r="D1669" s="62"/>
      <c r="E1669" s="102"/>
      <c r="F1669" s="102"/>
      <c r="G1669" s="102"/>
      <c r="H1669" s="175"/>
      <c r="I1669" s="85"/>
      <c r="J1669" s="104"/>
      <c r="K1669" s="144"/>
      <c r="L1669" s="62"/>
      <c r="N1669" s="37"/>
      <c r="O1669" s="37"/>
      <c r="P1669" s="37"/>
      <c r="Q1669" s="3"/>
      <c r="R1669" s="3"/>
      <c r="S1669" s="3"/>
      <c r="T1669" s="3"/>
      <c r="U1669" s="3"/>
      <c r="V1669" s="3"/>
      <c r="W1669" s="3"/>
      <c r="X1669" s="3"/>
      <c r="Y1669" s="3"/>
      <c r="Z1669" s="4"/>
      <c r="AA1669"/>
      <c r="AB1669"/>
    </row>
    <row r="1670" spans="1:28" s="49" customFormat="1" x14ac:dyDescent="0.15">
      <c r="A1670" s="165"/>
      <c r="B1670" s="93"/>
      <c r="C1670" s="102"/>
      <c r="D1670" s="62"/>
      <c r="E1670" s="102"/>
      <c r="F1670" s="102"/>
      <c r="G1670" s="102"/>
      <c r="H1670" s="175"/>
      <c r="I1670" s="98"/>
      <c r="J1670" s="103"/>
      <c r="K1670" s="135"/>
      <c r="L1670" s="62"/>
      <c r="N1670" s="37"/>
      <c r="O1670" s="37"/>
      <c r="P1670" s="37"/>
      <c r="Q1670" s="3"/>
      <c r="R1670" s="3"/>
      <c r="S1670" s="3"/>
      <c r="T1670" s="3"/>
      <c r="U1670" s="3"/>
      <c r="V1670" s="3"/>
      <c r="W1670" s="3"/>
      <c r="X1670" s="3"/>
      <c r="Y1670" s="3"/>
      <c r="Z1670" s="4"/>
      <c r="AA1670"/>
      <c r="AB1670"/>
    </row>
    <row r="1671" spans="1:28" s="49" customFormat="1" x14ac:dyDescent="0.15">
      <c r="A1671" s="165"/>
      <c r="B1671" s="93"/>
      <c r="C1671" s="102"/>
      <c r="D1671" s="62"/>
      <c r="E1671" s="102"/>
      <c r="F1671" s="102"/>
      <c r="G1671" s="102"/>
      <c r="H1671" s="175"/>
      <c r="I1671" s="85"/>
      <c r="J1671" s="104"/>
      <c r="K1671" s="144"/>
      <c r="L1671" s="62"/>
      <c r="N1671" s="37"/>
      <c r="O1671" s="37"/>
      <c r="P1671" s="37"/>
      <c r="Q1671" s="3"/>
      <c r="R1671" s="3"/>
      <c r="S1671" s="3"/>
      <c r="T1671" s="3"/>
      <c r="U1671" s="3"/>
      <c r="V1671" s="3"/>
      <c r="W1671" s="3"/>
      <c r="X1671" s="3"/>
      <c r="Y1671" s="3"/>
      <c r="Z1671" s="4"/>
      <c r="AA1671"/>
      <c r="AB1671"/>
    </row>
    <row r="1672" spans="1:28" s="49" customFormat="1" x14ac:dyDescent="0.15">
      <c r="A1672" s="165"/>
      <c r="B1672" s="93"/>
      <c r="C1672" s="102"/>
      <c r="D1672" s="62"/>
      <c r="E1672" s="102"/>
      <c r="F1672" s="102"/>
      <c r="G1672" s="102"/>
      <c r="H1672" s="175"/>
      <c r="I1672" s="85"/>
      <c r="J1672" s="104"/>
      <c r="K1672" s="144"/>
      <c r="L1672" s="62"/>
      <c r="N1672" s="37"/>
      <c r="O1672" s="37"/>
      <c r="P1672" s="37"/>
      <c r="Q1672" s="3"/>
      <c r="R1672" s="3"/>
      <c r="S1672" s="3"/>
      <c r="T1672" s="3"/>
      <c r="U1672" s="3"/>
      <c r="V1672" s="3"/>
      <c r="W1672" s="3"/>
      <c r="X1672" s="3"/>
      <c r="Y1672" s="3"/>
      <c r="Z1672" s="4"/>
      <c r="AA1672"/>
      <c r="AB1672"/>
    </row>
    <row r="1673" spans="1:28" s="49" customFormat="1" x14ac:dyDescent="0.15">
      <c r="A1673" s="165"/>
      <c r="B1673" s="93"/>
      <c r="C1673" s="102"/>
      <c r="D1673" s="62"/>
      <c r="E1673" s="100"/>
      <c r="F1673" s="102"/>
      <c r="G1673" s="102"/>
      <c r="H1673" s="175"/>
      <c r="I1673" s="85"/>
      <c r="J1673" s="109"/>
      <c r="K1673" s="138"/>
      <c r="L1673" s="62"/>
      <c r="N1673" s="37"/>
      <c r="O1673" s="37"/>
      <c r="P1673" s="37"/>
      <c r="Q1673" s="3"/>
      <c r="R1673" s="3"/>
      <c r="S1673" s="3"/>
      <c r="T1673" s="3"/>
      <c r="U1673" s="3"/>
      <c r="V1673" s="3"/>
      <c r="W1673" s="3"/>
      <c r="X1673" s="3"/>
      <c r="Y1673" s="3"/>
      <c r="Z1673" s="4"/>
      <c r="AA1673"/>
      <c r="AB1673"/>
    </row>
    <row r="1674" spans="1:28" s="49" customFormat="1" x14ac:dyDescent="0.15">
      <c r="A1674" s="165"/>
      <c r="B1674" s="93"/>
      <c r="C1674" s="102"/>
      <c r="D1674" s="62"/>
      <c r="E1674" s="102"/>
      <c r="F1674" s="102"/>
      <c r="G1674" s="102"/>
      <c r="H1674" s="175"/>
      <c r="I1674" s="98"/>
      <c r="J1674" s="98"/>
      <c r="K1674" s="135"/>
      <c r="L1674" s="62"/>
      <c r="N1674" s="37"/>
      <c r="O1674" s="37"/>
      <c r="P1674" s="37"/>
      <c r="Q1674" s="3"/>
      <c r="R1674" s="3"/>
      <c r="S1674" s="3"/>
      <c r="T1674" s="3"/>
      <c r="U1674" s="3"/>
      <c r="V1674" s="3"/>
      <c r="W1674" s="3"/>
      <c r="X1674" s="3"/>
      <c r="Y1674" s="3"/>
      <c r="Z1674" s="4"/>
      <c r="AA1674"/>
      <c r="AB1674"/>
    </row>
    <row r="1675" spans="1:28" s="49" customFormat="1" x14ac:dyDescent="0.15">
      <c r="A1675" s="165"/>
      <c r="B1675" s="93"/>
      <c r="C1675" s="102"/>
      <c r="D1675" s="62"/>
      <c r="E1675" s="102"/>
      <c r="F1675" s="102"/>
      <c r="G1675" s="102"/>
      <c r="H1675" s="175"/>
      <c r="I1675" s="98"/>
      <c r="J1675" s="98"/>
      <c r="K1675" s="135"/>
      <c r="L1675" s="62"/>
      <c r="N1675" s="37"/>
      <c r="O1675" s="37"/>
      <c r="P1675" s="37"/>
      <c r="Q1675" s="3"/>
      <c r="R1675" s="3"/>
      <c r="S1675" s="3"/>
      <c r="T1675" s="3"/>
      <c r="U1675" s="3"/>
      <c r="V1675" s="3"/>
      <c r="W1675" s="3"/>
      <c r="X1675" s="3"/>
      <c r="Y1675" s="3"/>
      <c r="Z1675" s="4"/>
      <c r="AA1675"/>
      <c r="AB1675"/>
    </row>
    <row r="1676" spans="1:28" s="49" customFormat="1" x14ac:dyDescent="0.15">
      <c r="A1676" s="165"/>
      <c r="B1676" s="93"/>
      <c r="C1676" s="102"/>
      <c r="D1676" s="62"/>
      <c r="E1676" s="102"/>
      <c r="F1676" s="102"/>
      <c r="G1676" s="102"/>
      <c r="H1676" s="175"/>
      <c r="I1676" s="98"/>
      <c r="J1676" s="98"/>
      <c r="K1676" s="135"/>
      <c r="L1676" s="62"/>
      <c r="N1676" s="37"/>
      <c r="O1676" s="37"/>
      <c r="P1676" s="37"/>
      <c r="Q1676" s="3"/>
      <c r="R1676" s="3"/>
      <c r="S1676" s="3"/>
      <c r="T1676" s="3"/>
      <c r="U1676" s="3"/>
      <c r="V1676" s="3"/>
      <c r="W1676" s="3"/>
      <c r="X1676" s="3"/>
      <c r="Y1676" s="3"/>
      <c r="Z1676" s="4"/>
      <c r="AA1676"/>
      <c r="AB1676"/>
    </row>
    <row r="1677" spans="1:28" s="49" customFormat="1" x14ac:dyDescent="0.15">
      <c r="A1677" s="165"/>
      <c r="B1677" s="93"/>
      <c r="C1677" s="102"/>
      <c r="D1677" s="62"/>
      <c r="E1677" s="102"/>
      <c r="F1677" s="102"/>
      <c r="G1677" s="102"/>
      <c r="H1677" s="175"/>
      <c r="I1677" s="98"/>
      <c r="J1677" s="98"/>
      <c r="K1677" s="135"/>
      <c r="L1677" s="62"/>
      <c r="N1677" s="37"/>
      <c r="O1677" s="37"/>
      <c r="P1677" s="37"/>
      <c r="Q1677" s="3"/>
      <c r="R1677" s="3"/>
      <c r="S1677" s="3"/>
      <c r="T1677" s="3"/>
      <c r="U1677" s="3"/>
      <c r="V1677" s="3"/>
      <c r="W1677" s="3"/>
      <c r="X1677" s="3"/>
      <c r="Y1677" s="3"/>
      <c r="Z1677" s="4"/>
      <c r="AA1677"/>
      <c r="AB1677"/>
    </row>
    <row r="1678" spans="1:28" s="3" customFormat="1" x14ac:dyDescent="0.15">
      <c r="A1678" s="165"/>
      <c r="B1678" s="93"/>
      <c r="C1678" s="102"/>
      <c r="D1678" s="62"/>
      <c r="E1678" s="102"/>
      <c r="F1678" s="102"/>
      <c r="G1678" s="102"/>
      <c r="H1678" s="175"/>
      <c r="I1678" s="98"/>
      <c r="J1678" s="98"/>
      <c r="K1678" s="135"/>
      <c r="L1678" s="62"/>
      <c r="M1678" s="49"/>
      <c r="N1678" s="37"/>
      <c r="O1678" s="37"/>
      <c r="P1678" s="37"/>
      <c r="Z1678" s="4"/>
      <c r="AA1678"/>
      <c r="AB1678"/>
    </row>
    <row r="1679" spans="1:28" s="3" customFormat="1" x14ac:dyDescent="0.15">
      <c r="A1679" s="165"/>
      <c r="B1679" s="93"/>
      <c r="C1679" s="102"/>
      <c r="D1679" s="62"/>
      <c r="E1679" s="102"/>
      <c r="F1679" s="102"/>
      <c r="G1679" s="102"/>
      <c r="H1679" s="175"/>
      <c r="I1679" s="98"/>
      <c r="J1679" s="98"/>
      <c r="K1679" s="135"/>
      <c r="L1679" s="62"/>
      <c r="M1679" s="49"/>
      <c r="N1679" s="37"/>
      <c r="O1679" s="37"/>
      <c r="P1679" s="37"/>
      <c r="Z1679" s="4"/>
      <c r="AA1679"/>
      <c r="AB1679"/>
    </row>
    <row r="1680" spans="1:28" s="3" customFormat="1" x14ac:dyDescent="0.15">
      <c r="A1680" s="165"/>
      <c r="B1680" s="93"/>
      <c r="C1680" s="102"/>
      <c r="D1680" s="62"/>
      <c r="E1680" s="102"/>
      <c r="F1680" s="102"/>
      <c r="G1680" s="102"/>
      <c r="H1680" s="175"/>
      <c r="I1680" s="98"/>
      <c r="J1680" s="98"/>
      <c r="K1680" s="135"/>
      <c r="L1680" s="62"/>
      <c r="M1680" s="49"/>
      <c r="N1680" s="37"/>
      <c r="O1680" s="37"/>
      <c r="P1680" s="37"/>
      <c r="Z1680" s="4"/>
      <c r="AA1680"/>
      <c r="AB1680"/>
    </row>
    <row r="1681" spans="1:28" s="3" customFormat="1" x14ac:dyDescent="0.15">
      <c r="A1681" s="165"/>
      <c r="B1681" s="93"/>
      <c r="C1681" s="102"/>
      <c r="D1681" s="62"/>
      <c r="E1681" s="102"/>
      <c r="F1681" s="102"/>
      <c r="G1681" s="102"/>
      <c r="H1681" s="175"/>
      <c r="I1681" s="98"/>
      <c r="J1681" s="98"/>
      <c r="K1681" s="135"/>
      <c r="L1681" s="62"/>
      <c r="M1681" s="49"/>
      <c r="N1681" s="37"/>
      <c r="O1681" s="37"/>
      <c r="P1681" s="37"/>
      <c r="Z1681" s="4"/>
      <c r="AA1681"/>
      <c r="AB1681"/>
    </row>
    <row r="1682" spans="1:28" s="3" customFormat="1" x14ac:dyDescent="0.15">
      <c r="A1682" s="165"/>
      <c r="B1682" s="93"/>
      <c r="C1682" s="102"/>
      <c r="D1682" s="62"/>
      <c r="E1682" s="102"/>
      <c r="F1682" s="102"/>
      <c r="G1682" s="102"/>
      <c r="H1682" s="175"/>
      <c r="I1682" s="98"/>
      <c r="J1682" s="98"/>
      <c r="K1682" s="135"/>
      <c r="L1682" s="62"/>
      <c r="M1682" s="49"/>
      <c r="N1682" s="37"/>
      <c r="O1682" s="37"/>
      <c r="P1682" s="37"/>
      <c r="Z1682" s="4"/>
      <c r="AA1682"/>
      <c r="AB1682"/>
    </row>
    <row r="1683" spans="1:28" s="3" customFormat="1" x14ac:dyDescent="0.15">
      <c r="A1683" s="165"/>
      <c r="B1683" s="93"/>
      <c r="C1683" s="102"/>
      <c r="D1683" s="62"/>
      <c r="E1683" s="102"/>
      <c r="F1683" s="102"/>
      <c r="G1683" s="102"/>
      <c r="H1683" s="175"/>
      <c r="I1683" s="98"/>
      <c r="J1683" s="98"/>
      <c r="K1683" s="135"/>
      <c r="L1683" s="62"/>
      <c r="M1683" s="49"/>
      <c r="N1683" s="37"/>
      <c r="O1683" s="37"/>
      <c r="P1683" s="37"/>
      <c r="Z1683" s="4"/>
      <c r="AA1683"/>
      <c r="AB1683"/>
    </row>
    <row r="1684" spans="1:28" s="3" customFormat="1" x14ac:dyDescent="0.15">
      <c r="A1684" s="165"/>
      <c r="B1684" s="93"/>
      <c r="C1684" s="102"/>
      <c r="D1684" s="62"/>
      <c r="E1684" s="102"/>
      <c r="F1684" s="102"/>
      <c r="G1684" s="102"/>
      <c r="H1684" s="175"/>
      <c r="I1684" s="98"/>
      <c r="J1684" s="98"/>
      <c r="K1684" s="135"/>
      <c r="L1684" s="62"/>
      <c r="M1684" s="49"/>
      <c r="N1684" s="37"/>
      <c r="O1684" s="37"/>
      <c r="P1684" s="37"/>
      <c r="Z1684" s="4"/>
      <c r="AA1684"/>
      <c r="AB1684"/>
    </row>
    <row r="1685" spans="1:28" s="3" customFormat="1" x14ac:dyDescent="0.15">
      <c r="A1685" s="165"/>
      <c r="B1685" s="93"/>
      <c r="C1685" s="102"/>
      <c r="D1685" s="62"/>
      <c r="E1685" s="102"/>
      <c r="F1685" s="102"/>
      <c r="G1685" s="102"/>
      <c r="H1685" s="175"/>
      <c r="I1685" s="98"/>
      <c r="J1685" s="98"/>
      <c r="K1685" s="135"/>
      <c r="L1685" s="62"/>
      <c r="M1685" s="49"/>
      <c r="N1685" s="37"/>
      <c r="O1685" s="37"/>
      <c r="P1685" s="37"/>
      <c r="Z1685" s="4"/>
      <c r="AA1685"/>
      <c r="AB1685"/>
    </row>
    <row r="1686" spans="1:28" s="3" customFormat="1" x14ac:dyDescent="0.15">
      <c r="A1686" s="165"/>
      <c r="B1686" s="93"/>
      <c r="C1686" s="102"/>
      <c r="D1686" s="62"/>
      <c r="E1686" s="102"/>
      <c r="F1686" s="102"/>
      <c r="G1686" s="102"/>
      <c r="H1686" s="175"/>
      <c r="I1686" s="98"/>
      <c r="J1686" s="98"/>
      <c r="K1686" s="135"/>
      <c r="L1686" s="62"/>
      <c r="M1686" s="49"/>
      <c r="N1686" s="37"/>
      <c r="O1686" s="37"/>
      <c r="P1686" s="37"/>
      <c r="Q1686" s="14"/>
      <c r="R1686" s="14"/>
      <c r="Z1686" s="4"/>
      <c r="AA1686"/>
      <c r="AB1686"/>
    </row>
    <row r="1687" spans="1:28" s="3" customFormat="1" x14ac:dyDescent="0.15">
      <c r="A1687" s="165"/>
      <c r="B1687" s="93"/>
      <c r="C1687" s="102"/>
      <c r="D1687" s="62"/>
      <c r="E1687" s="102"/>
      <c r="F1687" s="102"/>
      <c r="G1687" s="102"/>
      <c r="H1687" s="175"/>
      <c r="I1687" s="98"/>
      <c r="J1687" s="98"/>
      <c r="K1687" s="135"/>
      <c r="L1687" s="62"/>
      <c r="M1687" s="49"/>
      <c r="N1687" s="37"/>
      <c r="O1687" s="37"/>
      <c r="P1687" s="37"/>
      <c r="Z1687" s="4"/>
      <c r="AA1687"/>
      <c r="AB1687"/>
    </row>
    <row r="1688" spans="1:28" s="3" customFormat="1" x14ac:dyDescent="0.15">
      <c r="A1688" s="165"/>
      <c r="B1688" s="93"/>
      <c r="C1688" s="102"/>
      <c r="D1688" s="62"/>
      <c r="E1688" s="102"/>
      <c r="F1688" s="102"/>
      <c r="G1688" s="102"/>
      <c r="H1688" s="175"/>
      <c r="I1688" s="85"/>
      <c r="J1688" s="104"/>
      <c r="K1688" s="144"/>
      <c r="L1688" s="62"/>
      <c r="M1688" s="49"/>
      <c r="N1688" s="37"/>
      <c r="O1688" s="37"/>
      <c r="P1688" s="37"/>
      <c r="Z1688" s="4"/>
      <c r="AA1688"/>
      <c r="AB1688"/>
    </row>
    <row r="1689" spans="1:28" s="3" customFormat="1" x14ac:dyDescent="0.15">
      <c r="A1689" s="165"/>
      <c r="B1689" s="93"/>
      <c r="C1689" s="102"/>
      <c r="D1689" s="62"/>
      <c r="E1689" s="102"/>
      <c r="F1689" s="102"/>
      <c r="G1689" s="102"/>
      <c r="H1689" s="175"/>
      <c r="I1689" s="85"/>
      <c r="J1689" s="104"/>
      <c r="K1689" s="144"/>
      <c r="L1689" s="62"/>
      <c r="M1689" s="49"/>
      <c r="N1689" s="37"/>
      <c r="O1689" s="37"/>
      <c r="P1689" s="37"/>
      <c r="Z1689" s="4"/>
      <c r="AA1689"/>
      <c r="AB1689"/>
    </row>
    <row r="1690" spans="1:28" s="3" customFormat="1" x14ac:dyDescent="0.15">
      <c r="A1690" s="165"/>
      <c r="B1690" s="93"/>
      <c r="C1690" s="102"/>
      <c r="D1690" s="62"/>
      <c r="E1690" s="102"/>
      <c r="F1690" s="102"/>
      <c r="G1690" s="102"/>
      <c r="H1690" s="175"/>
      <c r="I1690" s="85"/>
      <c r="J1690" s="104"/>
      <c r="K1690" s="144"/>
      <c r="L1690" s="62"/>
      <c r="M1690" s="49"/>
      <c r="N1690" s="37"/>
      <c r="O1690" s="37"/>
      <c r="P1690" s="37"/>
      <c r="Z1690" s="4"/>
      <c r="AA1690"/>
      <c r="AB1690"/>
    </row>
    <row r="1691" spans="1:28" s="3" customFormat="1" x14ac:dyDescent="0.15">
      <c r="A1691" s="165"/>
      <c r="B1691" s="93"/>
      <c r="C1691" s="102"/>
      <c r="D1691" s="62"/>
      <c r="E1691" s="102"/>
      <c r="F1691" s="102"/>
      <c r="G1691" s="102"/>
      <c r="H1691" s="175"/>
      <c r="I1691" s="85"/>
      <c r="J1691" s="104"/>
      <c r="K1691" s="144"/>
      <c r="L1691" s="62"/>
      <c r="M1691" s="49"/>
      <c r="N1691" s="37"/>
      <c r="O1691" s="37"/>
      <c r="P1691" s="37"/>
      <c r="Z1691" s="4"/>
      <c r="AA1691"/>
      <c r="AB1691"/>
    </row>
    <row r="1692" spans="1:28" s="3" customFormat="1" x14ac:dyDescent="0.15">
      <c r="A1692" s="165"/>
      <c r="B1692" s="93"/>
      <c r="C1692" s="102"/>
      <c r="D1692" s="62"/>
      <c r="E1692" s="102"/>
      <c r="F1692" s="102"/>
      <c r="G1692" s="102"/>
      <c r="H1692" s="175"/>
      <c r="I1692" s="85"/>
      <c r="J1692" s="104"/>
      <c r="K1692" s="144"/>
      <c r="L1692" s="62"/>
      <c r="M1692" s="49"/>
      <c r="N1692" s="37"/>
      <c r="O1692" s="37"/>
      <c r="P1692" s="37"/>
      <c r="Z1692" s="4"/>
      <c r="AA1692"/>
      <c r="AB1692"/>
    </row>
    <row r="1693" spans="1:28" s="3" customFormat="1" x14ac:dyDescent="0.15">
      <c r="A1693" s="165"/>
      <c r="B1693" s="93"/>
      <c r="C1693" s="102"/>
      <c r="D1693" s="62"/>
      <c r="E1693" s="102"/>
      <c r="F1693" s="102"/>
      <c r="G1693" s="102"/>
      <c r="H1693" s="175"/>
      <c r="I1693" s="85"/>
      <c r="J1693" s="101"/>
      <c r="K1693" s="144"/>
      <c r="L1693" s="62"/>
      <c r="M1693" s="49"/>
      <c r="N1693" s="37"/>
      <c r="O1693" s="37"/>
      <c r="P1693" s="37"/>
      <c r="Z1693" s="4"/>
      <c r="AA1693"/>
      <c r="AB1693"/>
    </row>
    <row r="1694" spans="1:28" s="49" customFormat="1" x14ac:dyDescent="0.15">
      <c r="A1694" s="165"/>
      <c r="B1694" s="93"/>
      <c r="C1694" s="102"/>
      <c r="D1694" s="62"/>
      <c r="E1694" s="102"/>
      <c r="F1694" s="102"/>
      <c r="G1694" s="102"/>
      <c r="H1694" s="175"/>
      <c r="I1694" s="85"/>
      <c r="J1694" s="104"/>
      <c r="K1694" s="144"/>
      <c r="L1694" s="62"/>
      <c r="N1694" s="37"/>
      <c r="O1694" s="37"/>
      <c r="P1694" s="37"/>
      <c r="Q1694" s="3"/>
      <c r="R1694" s="3"/>
      <c r="S1694" s="3"/>
      <c r="T1694" s="3"/>
      <c r="U1694" s="3"/>
      <c r="V1694" s="3"/>
      <c r="W1694" s="3"/>
      <c r="X1694" s="3"/>
      <c r="Y1694" s="3"/>
      <c r="Z1694" s="4"/>
      <c r="AA1694"/>
      <c r="AB1694"/>
    </row>
    <row r="1695" spans="1:28" s="49" customFormat="1" x14ac:dyDescent="0.15">
      <c r="A1695" s="165"/>
      <c r="B1695" s="93"/>
      <c r="C1695" s="102"/>
      <c r="D1695" s="62"/>
      <c r="E1695" s="102"/>
      <c r="F1695" s="102"/>
      <c r="G1695" s="102"/>
      <c r="H1695" s="175"/>
      <c r="I1695" s="85"/>
      <c r="J1695" s="104"/>
      <c r="K1695" s="144"/>
      <c r="L1695" s="62"/>
      <c r="N1695" s="37"/>
      <c r="O1695" s="37"/>
      <c r="P1695" s="37"/>
      <c r="Q1695" s="3"/>
      <c r="R1695" s="3"/>
      <c r="S1695" s="3"/>
      <c r="T1695" s="3"/>
      <c r="U1695" s="3"/>
      <c r="V1695" s="3"/>
      <c r="W1695" s="3"/>
      <c r="X1695" s="3"/>
      <c r="Y1695" s="3"/>
      <c r="Z1695" s="4"/>
      <c r="AA1695"/>
      <c r="AB1695"/>
    </row>
    <row r="1696" spans="1:28" s="49" customFormat="1" x14ac:dyDescent="0.15">
      <c r="A1696" s="165"/>
      <c r="B1696" s="93"/>
      <c r="C1696" s="102"/>
      <c r="D1696" s="62"/>
      <c r="E1696" s="102"/>
      <c r="F1696" s="102"/>
      <c r="G1696" s="102"/>
      <c r="H1696" s="175"/>
      <c r="I1696" s="85"/>
      <c r="J1696" s="104"/>
      <c r="K1696" s="144"/>
      <c r="L1696" s="62"/>
      <c r="N1696" s="37"/>
      <c r="O1696" s="37"/>
      <c r="P1696" s="37"/>
      <c r="Q1696" s="3"/>
      <c r="R1696" s="3"/>
      <c r="S1696" s="3"/>
      <c r="T1696" s="3"/>
      <c r="U1696" s="3"/>
      <c r="V1696" s="3"/>
      <c r="W1696" s="3"/>
      <c r="X1696" s="3"/>
      <c r="Y1696" s="3"/>
      <c r="Z1696" s="4"/>
      <c r="AA1696"/>
      <c r="AB1696"/>
    </row>
    <row r="1697" spans="1:28" s="49" customFormat="1" x14ac:dyDescent="0.15">
      <c r="A1697" s="165"/>
      <c r="B1697" s="93"/>
      <c r="C1697" s="102"/>
      <c r="D1697" s="62"/>
      <c r="E1697" s="102"/>
      <c r="F1697" s="102"/>
      <c r="G1697" s="102"/>
      <c r="H1697" s="175"/>
      <c r="I1697" s="85"/>
      <c r="J1697" s="104"/>
      <c r="K1697" s="144"/>
      <c r="L1697" s="62"/>
      <c r="N1697" s="37"/>
      <c r="O1697" s="37"/>
      <c r="P1697" s="37"/>
      <c r="Q1697" s="3"/>
      <c r="R1697" s="3"/>
      <c r="S1697" s="3"/>
      <c r="T1697" s="3"/>
      <c r="U1697" s="3"/>
      <c r="V1697" s="3"/>
      <c r="W1697" s="3"/>
      <c r="X1697" s="3"/>
      <c r="Y1697" s="3"/>
      <c r="Z1697" s="4"/>
      <c r="AA1697"/>
      <c r="AB1697"/>
    </row>
    <row r="1698" spans="1:28" s="49" customFormat="1" x14ac:dyDescent="0.15">
      <c r="A1698" s="165"/>
      <c r="B1698" s="93"/>
      <c r="C1698" s="102"/>
      <c r="D1698" s="62"/>
      <c r="E1698" s="102"/>
      <c r="F1698" s="102"/>
      <c r="G1698" s="102"/>
      <c r="H1698" s="175"/>
      <c r="I1698" s="85"/>
      <c r="J1698" s="104"/>
      <c r="K1698" s="144"/>
      <c r="L1698" s="62"/>
      <c r="N1698" s="37"/>
      <c r="O1698" s="37"/>
      <c r="P1698" s="37"/>
      <c r="Q1698" s="3"/>
      <c r="R1698" s="3"/>
      <c r="S1698" s="3"/>
      <c r="T1698" s="3"/>
      <c r="U1698" s="3"/>
      <c r="V1698" s="3"/>
      <c r="W1698" s="3"/>
      <c r="X1698" s="3"/>
      <c r="Y1698" s="3"/>
      <c r="Z1698" s="4"/>
      <c r="AA1698"/>
      <c r="AB1698"/>
    </row>
    <row r="1699" spans="1:28" s="49" customFormat="1" x14ac:dyDescent="0.15">
      <c r="A1699" s="165"/>
      <c r="B1699" s="93"/>
      <c r="C1699" s="102"/>
      <c r="D1699" s="62"/>
      <c r="E1699" s="102"/>
      <c r="F1699" s="102"/>
      <c r="G1699" s="102"/>
      <c r="H1699" s="175"/>
      <c r="I1699" s="85"/>
      <c r="J1699" s="104"/>
      <c r="K1699" s="144"/>
      <c r="L1699" s="62"/>
      <c r="N1699" s="37"/>
      <c r="O1699" s="37"/>
      <c r="P1699" s="37"/>
      <c r="Q1699" s="3"/>
      <c r="R1699" s="3"/>
      <c r="S1699" s="3"/>
      <c r="T1699" s="3"/>
      <c r="U1699" s="3"/>
      <c r="V1699" s="3"/>
      <c r="W1699" s="3"/>
      <c r="X1699" s="3"/>
      <c r="Y1699" s="3"/>
      <c r="Z1699" s="4"/>
      <c r="AA1699"/>
      <c r="AB1699"/>
    </row>
    <row r="1700" spans="1:28" s="49" customFormat="1" x14ac:dyDescent="0.15">
      <c r="A1700" s="165"/>
      <c r="B1700" s="93"/>
      <c r="C1700" s="102"/>
      <c r="D1700" s="62"/>
      <c r="E1700" s="102"/>
      <c r="F1700" s="102"/>
      <c r="G1700" s="102"/>
      <c r="H1700" s="175"/>
      <c r="I1700" s="85"/>
      <c r="J1700" s="104"/>
      <c r="K1700" s="144"/>
      <c r="L1700" s="62"/>
      <c r="N1700" s="37"/>
      <c r="O1700" s="37"/>
      <c r="P1700" s="37"/>
      <c r="Q1700" s="3"/>
      <c r="R1700" s="3"/>
      <c r="S1700" s="3"/>
      <c r="T1700" s="3"/>
      <c r="U1700" s="3"/>
      <c r="V1700" s="3"/>
      <c r="W1700" s="3"/>
      <c r="X1700" s="3"/>
      <c r="Y1700" s="3"/>
      <c r="Z1700" s="4"/>
      <c r="AA1700"/>
      <c r="AB1700"/>
    </row>
    <row r="1701" spans="1:28" s="49" customFormat="1" x14ac:dyDescent="0.15">
      <c r="A1701" s="165"/>
      <c r="B1701" s="93"/>
      <c r="C1701" s="102"/>
      <c r="D1701" s="62"/>
      <c r="E1701" s="102"/>
      <c r="F1701" s="102"/>
      <c r="G1701" s="102"/>
      <c r="H1701" s="175"/>
      <c r="I1701" s="85"/>
      <c r="J1701" s="104"/>
      <c r="K1701" s="144"/>
      <c r="L1701" s="62"/>
      <c r="N1701" s="37"/>
      <c r="O1701" s="37"/>
      <c r="P1701" s="37"/>
      <c r="Q1701" s="3"/>
      <c r="R1701" s="3"/>
      <c r="S1701" s="3"/>
      <c r="T1701" s="3"/>
      <c r="U1701" s="3"/>
      <c r="V1701" s="3"/>
      <c r="W1701" s="3"/>
      <c r="X1701" s="3"/>
      <c r="Y1701" s="3"/>
      <c r="Z1701" s="4"/>
      <c r="AA1701"/>
      <c r="AB1701"/>
    </row>
    <row r="1702" spans="1:28" s="49" customFormat="1" x14ac:dyDescent="0.15">
      <c r="A1702" s="165"/>
      <c r="B1702" s="93"/>
      <c r="C1702" s="102"/>
      <c r="D1702" s="62"/>
      <c r="E1702" s="102"/>
      <c r="F1702" s="102"/>
      <c r="G1702" s="102"/>
      <c r="H1702" s="175"/>
      <c r="I1702" s="85"/>
      <c r="J1702" s="104"/>
      <c r="K1702" s="144"/>
      <c r="L1702" s="62"/>
      <c r="N1702" s="37"/>
      <c r="O1702" s="37"/>
      <c r="P1702" s="37"/>
      <c r="Q1702" s="3"/>
      <c r="R1702" s="3"/>
      <c r="S1702" s="3"/>
      <c r="T1702" s="3"/>
      <c r="U1702" s="3"/>
      <c r="V1702" s="3"/>
      <c r="W1702" s="3"/>
      <c r="X1702" s="3"/>
      <c r="Y1702" s="3"/>
      <c r="Z1702" s="4"/>
      <c r="AA1702"/>
      <c r="AB1702"/>
    </row>
    <row r="1703" spans="1:28" s="49" customFormat="1" x14ac:dyDescent="0.15">
      <c r="A1703" s="165"/>
      <c r="B1703" s="93"/>
      <c r="C1703" s="102"/>
      <c r="D1703" s="62"/>
      <c r="E1703" s="102"/>
      <c r="F1703" s="102"/>
      <c r="G1703" s="102"/>
      <c r="H1703" s="175"/>
      <c r="I1703" s="85"/>
      <c r="J1703" s="104"/>
      <c r="K1703" s="144"/>
      <c r="L1703" s="62"/>
      <c r="N1703" s="37"/>
      <c r="O1703" s="37"/>
      <c r="P1703" s="37"/>
      <c r="Q1703" s="3"/>
      <c r="R1703" s="3"/>
      <c r="S1703" s="3"/>
      <c r="T1703" s="3"/>
      <c r="U1703" s="3"/>
      <c r="V1703" s="3"/>
      <c r="W1703" s="3"/>
      <c r="X1703" s="3"/>
      <c r="Y1703" s="3"/>
      <c r="Z1703" s="4"/>
      <c r="AA1703"/>
      <c r="AB1703"/>
    </row>
    <row r="1704" spans="1:28" s="49" customFormat="1" x14ac:dyDescent="0.15">
      <c r="A1704" s="165"/>
      <c r="B1704" s="93"/>
      <c r="C1704" s="102"/>
      <c r="D1704" s="62"/>
      <c r="E1704" s="102"/>
      <c r="F1704" s="102"/>
      <c r="G1704" s="102"/>
      <c r="H1704" s="175"/>
      <c r="I1704" s="85"/>
      <c r="J1704" s="104"/>
      <c r="K1704" s="144"/>
      <c r="L1704" s="62"/>
      <c r="N1704" s="37"/>
      <c r="O1704" s="37"/>
      <c r="P1704" s="37"/>
      <c r="Q1704" s="3"/>
      <c r="R1704" s="3"/>
      <c r="S1704" s="3"/>
      <c r="T1704" s="3"/>
      <c r="U1704" s="3"/>
      <c r="V1704" s="3"/>
      <c r="W1704" s="3"/>
      <c r="X1704" s="3"/>
      <c r="Y1704" s="3"/>
      <c r="Z1704" s="4"/>
      <c r="AA1704"/>
      <c r="AB1704"/>
    </row>
    <row r="1705" spans="1:28" s="49" customFormat="1" x14ac:dyDescent="0.15">
      <c r="A1705" s="165"/>
      <c r="B1705" s="93"/>
      <c r="C1705" s="102"/>
      <c r="D1705" s="62"/>
      <c r="E1705" s="102"/>
      <c r="F1705" s="102"/>
      <c r="G1705" s="102"/>
      <c r="H1705" s="175"/>
      <c r="I1705" s="85"/>
      <c r="J1705" s="104"/>
      <c r="K1705" s="144"/>
      <c r="L1705" s="62"/>
      <c r="N1705" s="37"/>
      <c r="O1705" s="37"/>
      <c r="P1705" s="37"/>
      <c r="Q1705" s="3"/>
      <c r="R1705" s="3"/>
      <c r="S1705" s="3"/>
      <c r="T1705" s="3"/>
      <c r="U1705" s="3"/>
      <c r="V1705" s="3"/>
      <c r="W1705" s="3"/>
      <c r="X1705" s="3"/>
      <c r="Y1705" s="3"/>
      <c r="Z1705" s="4"/>
      <c r="AA1705"/>
      <c r="AB1705"/>
    </row>
    <row r="1706" spans="1:28" s="49" customFormat="1" x14ac:dyDescent="0.15">
      <c r="A1706" s="62"/>
      <c r="B1706" s="93"/>
      <c r="C1706" s="102"/>
      <c r="D1706" s="62"/>
      <c r="E1706" s="102"/>
      <c r="F1706" s="102"/>
      <c r="G1706" s="102"/>
      <c r="H1706" s="175"/>
      <c r="I1706" s="85"/>
      <c r="J1706" s="104"/>
      <c r="K1706" s="144"/>
      <c r="L1706" s="62"/>
      <c r="N1706" s="37"/>
      <c r="O1706" s="37"/>
      <c r="P1706" s="37"/>
      <c r="Q1706" s="3"/>
      <c r="R1706" s="3"/>
      <c r="S1706" s="3"/>
      <c r="T1706" s="3"/>
      <c r="U1706" s="3"/>
      <c r="V1706" s="3"/>
      <c r="W1706" s="3"/>
      <c r="X1706" s="3"/>
      <c r="Y1706" s="3"/>
      <c r="Z1706" s="4"/>
      <c r="AA1706"/>
      <c r="AB1706"/>
    </row>
    <row r="1707" spans="1:28" s="49" customFormat="1" x14ac:dyDescent="0.15">
      <c r="A1707" s="62"/>
      <c r="B1707" s="93"/>
      <c r="C1707" s="102"/>
      <c r="D1707" s="62"/>
      <c r="E1707" s="102"/>
      <c r="F1707" s="102"/>
      <c r="G1707" s="102"/>
      <c r="H1707" s="175"/>
      <c r="I1707" s="85"/>
      <c r="J1707" s="104"/>
      <c r="K1707" s="144"/>
      <c r="L1707" s="62"/>
      <c r="N1707" s="37"/>
      <c r="O1707" s="37"/>
      <c r="P1707" s="37"/>
      <c r="Q1707" s="3"/>
      <c r="R1707" s="3"/>
      <c r="S1707" s="3"/>
      <c r="T1707" s="3"/>
      <c r="U1707" s="3"/>
      <c r="V1707" s="3"/>
      <c r="W1707" s="3"/>
      <c r="X1707" s="3"/>
      <c r="Y1707" s="3"/>
      <c r="Z1707" s="4"/>
      <c r="AA1707"/>
      <c r="AB1707"/>
    </row>
    <row r="1708" spans="1:28" s="49" customFormat="1" x14ac:dyDescent="0.15">
      <c r="A1708" s="62"/>
      <c r="B1708" s="93"/>
      <c r="C1708" s="102"/>
      <c r="D1708" s="62"/>
      <c r="E1708" s="102"/>
      <c r="F1708" s="102"/>
      <c r="G1708" s="102"/>
      <c r="H1708" s="175"/>
      <c r="I1708" s="85"/>
      <c r="J1708" s="104"/>
      <c r="K1708" s="144"/>
      <c r="L1708" s="62"/>
      <c r="N1708" s="37"/>
      <c r="O1708" s="37"/>
      <c r="P1708" s="37"/>
      <c r="Q1708" s="3"/>
      <c r="R1708" s="3"/>
      <c r="S1708" s="3"/>
      <c r="T1708" s="3"/>
      <c r="U1708" s="3"/>
      <c r="V1708" s="3"/>
      <c r="W1708" s="3"/>
      <c r="X1708" s="3"/>
      <c r="Y1708" s="3"/>
      <c r="Z1708" s="4"/>
      <c r="AA1708"/>
      <c r="AB1708"/>
    </row>
    <row r="1709" spans="1:28" s="49" customFormat="1" x14ac:dyDescent="0.15">
      <c r="A1709" s="165"/>
      <c r="B1709" s="93"/>
      <c r="C1709" s="102"/>
      <c r="D1709" s="62"/>
      <c r="E1709" s="100"/>
      <c r="F1709" s="102"/>
      <c r="G1709" s="102"/>
      <c r="H1709" s="175"/>
      <c r="I1709" s="85"/>
      <c r="J1709" s="104"/>
      <c r="K1709" s="144"/>
      <c r="L1709" s="62"/>
      <c r="N1709" s="37"/>
      <c r="O1709" s="37"/>
      <c r="P1709" s="37"/>
      <c r="Q1709" s="3"/>
      <c r="R1709" s="3"/>
      <c r="S1709" s="3"/>
      <c r="T1709" s="3"/>
      <c r="U1709" s="3"/>
      <c r="V1709" s="3"/>
      <c r="W1709" s="3"/>
      <c r="X1709" s="3"/>
      <c r="Y1709" s="3"/>
      <c r="Z1709" s="4"/>
      <c r="AA1709"/>
      <c r="AB1709"/>
    </row>
    <row r="1710" spans="1:28" s="49" customFormat="1" x14ac:dyDescent="0.15">
      <c r="A1710" s="62"/>
      <c r="B1710" s="93"/>
      <c r="C1710" s="102"/>
      <c r="D1710" s="62"/>
      <c r="E1710" s="102"/>
      <c r="F1710" s="102"/>
      <c r="G1710" s="102"/>
      <c r="H1710" s="175"/>
      <c r="I1710" s="85"/>
      <c r="J1710" s="98"/>
      <c r="K1710" s="135"/>
      <c r="L1710" s="62"/>
      <c r="N1710" s="37"/>
      <c r="O1710" s="37"/>
      <c r="P1710" s="37"/>
      <c r="Q1710" s="3"/>
      <c r="R1710" s="3"/>
      <c r="S1710" s="3"/>
      <c r="T1710" s="3"/>
      <c r="U1710" s="3"/>
      <c r="V1710" s="3"/>
      <c r="W1710" s="3"/>
      <c r="X1710" s="3"/>
      <c r="Y1710" s="3"/>
      <c r="Z1710" s="4"/>
      <c r="AA1710"/>
      <c r="AB1710"/>
    </row>
    <row r="1711" spans="1:28" s="49" customFormat="1" x14ac:dyDescent="0.15">
      <c r="A1711" s="62"/>
      <c r="B1711" s="93"/>
      <c r="C1711" s="102"/>
      <c r="D1711" s="62"/>
      <c r="E1711" s="102"/>
      <c r="F1711" s="102"/>
      <c r="G1711" s="102"/>
      <c r="H1711" s="175"/>
      <c r="I1711" s="98"/>
      <c r="J1711" s="98"/>
      <c r="K1711" s="135"/>
      <c r="L1711" s="62"/>
      <c r="N1711" s="37"/>
      <c r="O1711" s="37"/>
      <c r="P1711" s="37"/>
      <c r="Q1711" s="3"/>
      <c r="R1711" s="3"/>
      <c r="S1711" s="3"/>
      <c r="T1711" s="3"/>
      <c r="U1711" s="3"/>
      <c r="V1711" s="3"/>
      <c r="W1711" s="3"/>
      <c r="X1711" s="3"/>
      <c r="Y1711" s="3"/>
      <c r="Z1711" s="4"/>
      <c r="AA1711"/>
      <c r="AB1711"/>
    </row>
    <row r="1712" spans="1:28" s="49" customFormat="1" x14ac:dyDescent="0.15">
      <c r="A1712" s="165"/>
      <c r="B1712" s="93"/>
      <c r="C1712" s="102"/>
      <c r="D1712" s="62"/>
      <c r="E1712" s="102"/>
      <c r="F1712" s="102"/>
      <c r="G1712" s="102"/>
      <c r="H1712" s="175"/>
      <c r="I1712" s="98"/>
      <c r="J1712" s="98"/>
      <c r="K1712" s="135"/>
      <c r="L1712" s="62"/>
      <c r="N1712" s="37"/>
      <c r="O1712" s="37"/>
      <c r="P1712" s="37"/>
      <c r="Q1712" s="3"/>
      <c r="R1712" s="3"/>
      <c r="S1712" s="3"/>
      <c r="T1712" s="3"/>
      <c r="U1712" s="3"/>
      <c r="V1712" s="3"/>
      <c r="W1712" s="3"/>
      <c r="X1712" s="3"/>
      <c r="Y1712" s="3"/>
      <c r="Z1712" s="4"/>
      <c r="AA1712"/>
      <c r="AB1712"/>
    </row>
    <row r="1713" spans="1:28" s="49" customFormat="1" x14ac:dyDescent="0.15">
      <c r="A1713" s="165"/>
      <c r="B1713" s="93"/>
      <c r="C1713" s="102"/>
      <c r="D1713" s="62"/>
      <c r="E1713" s="102"/>
      <c r="F1713" s="102"/>
      <c r="G1713" s="102"/>
      <c r="H1713" s="175"/>
      <c r="I1713" s="85"/>
      <c r="J1713" s="104"/>
      <c r="K1713" s="144"/>
      <c r="L1713" s="62"/>
      <c r="N1713" s="37"/>
      <c r="O1713" s="37"/>
      <c r="P1713" s="37"/>
      <c r="Q1713" s="3"/>
      <c r="R1713" s="3"/>
      <c r="S1713" s="3"/>
      <c r="T1713" s="3"/>
      <c r="U1713" s="3"/>
      <c r="V1713" s="3"/>
      <c r="W1713" s="3"/>
      <c r="X1713" s="3"/>
      <c r="Y1713" s="3"/>
      <c r="Z1713" s="4"/>
      <c r="AA1713"/>
      <c r="AB1713"/>
    </row>
    <row r="1714" spans="1:28" s="49" customFormat="1" x14ac:dyDescent="0.15">
      <c r="A1714" s="165"/>
      <c r="B1714" s="93"/>
      <c r="C1714" s="102"/>
      <c r="D1714" s="62"/>
      <c r="E1714" s="102"/>
      <c r="F1714" s="102"/>
      <c r="G1714" s="102"/>
      <c r="H1714" s="175"/>
      <c r="I1714" s="85"/>
      <c r="J1714" s="104"/>
      <c r="K1714" s="144"/>
      <c r="L1714" s="62"/>
      <c r="N1714" s="37"/>
      <c r="O1714" s="37"/>
      <c r="P1714" s="37"/>
      <c r="Q1714" s="3"/>
      <c r="R1714" s="3"/>
      <c r="S1714" s="3"/>
      <c r="T1714" s="3"/>
      <c r="U1714" s="3"/>
      <c r="V1714" s="3"/>
      <c r="W1714" s="3"/>
      <c r="X1714" s="3"/>
      <c r="Y1714" s="3"/>
      <c r="Z1714" s="4"/>
      <c r="AA1714"/>
      <c r="AB1714"/>
    </row>
    <row r="1715" spans="1:28" s="49" customFormat="1" x14ac:dyDescent="0.15">
      <c r="A1715" s="165"/>
      <c r="B1715" s="93"/>
      <c r="C1715" s="100"/>
      <c r="D1715" s="61"/>
      <c r="E1715" s="102"/>
      <c r="F1715" s="100"/>
      <c r="G1715" s="100"/>
      <c r="H1715" s="177"/>
      <c r="I1715" s="85"/>
      <c r="J1715" s="101"/>
      <c r="K1715" s="144"/>
      <c r="L1715" s="62"/>
      <c r="N1715" s="37"/>
      <c r="O1715" s="37"/>
      <c r="P1715" s="37"/>
      <c r="Q1715" s="3"/>
      <c r="R1715" s="3"/>
      <c r="S1715" s="3"/>
      <c r="T1715" s="3"/>
      <c r="U1715" s="3"/>
      <c r="V1715" s="3"/>
      <c r="W1715" s="3"/>
      <c r="X1715" s="3"/>
      <c r="Y1715" s="3"/>
      <c r="Z1715" s="4"/>
      <c r="AA1715"/>
      <c r="AB1715"/>
    </row>
    <row r="1716" spans="1:28" s="49" customFormat="1" x14ac:dyDescent="0.15">
      <c r="A1716" s="165"/>
      <c r="B1716" s="93"/>
      <c r="C1716" s="102"/>
      <c r="D1716" s="62"/>
      <c r="E1716" s="102"/>
      <c r="F1716" s="102"/>
      <c r="G1716" s="102"/>
      <c r="H1716" s="175"/>
      <c r="I1716" s="85"/>
      <c r="J1716" s="104"/>
      <c r="K1716" s="144"/>
      <c r="L1716" s="62"/>
      <c r="N1716" s="37"/>
      <c r="O1716" s="37"/>
      <c r="P1716" s="37"/>
      <c r="Q1716" s="3"/>
      <c r="R1716" s="3"/>
      <c r="S1716" s="3"/>
      <c r="T1716" s="3"/>
      <c r="U1716" s="3"/>
      <c r="V1716" s="3"/>
      <c r="W1716" s="3"/>
      <c r="X1716" s="3"/>
      <c r="Y1716" s="3"/>
      <c r="Z1716" s="4"/>
      <c r="AA1716"/>
      <c r="AB1716"/>
    </row>
    <row r="1717" spans="1:28" s="49" customFormat="1" x14ac:dyDescent="0.15">
      <c r="A1717" s="165"/>
      <c r="B1717" s="93"/>
      <c r="C1717" s="102"/>
      <c r="D1717" s="62"/>
      <c r="E1717" s="102"/>
      <c r="F1717" s="102"/>
      <c r="G1717" s="102"/>
      <c r="H1717" s="175"/>
      <c r="I1717" s="98"/>
      <c r="J1717" s="98"/>
      <c r="K1717" s="135"/>
      <c r="L1717" s="62"/>
      <c r="N1717" s="37"/>
      <c r="O1717" s="37"/>
      <c r="P1717" s="37"/>
      <c r="Q1717" s="3"/>
      <c r="R1717" s="3"/>
      <c r="S1717" s="3"/>
      <c r="T1717" s="3"/>
      <c r="U1717" s="3"/>
      <c r="V1717" s="3"/>
      <c r="W1717" s="3"/>
      <c r="X1717" s="3"/>
      <c r="Y1717" s="3"/>
      <c r="Z1717" s="4"/>
      <c r="AA1717"/>
      <c r="AB1717"/>
    </row>
    <row r="1718" spans="1:28" s="49" customFormat="1" x14ac:dyDescent="0.15">
      <c r="A1718" s="165"/>
      <c r="B1718" s="93"/>
      <c r="C1718" s="102"/>
      <c r="D1718" s="62"/>
      <c r="E1718" s="102"/>
      <c r="F1718" s="102"/>
      <c r="G1718" s="102"/>
      <c r="H1718" s="175"/>
      <c r="I1718" s="98"/>
      <c r="J1718" s="98"/>
      <c r="K1718" s="135"/>
      <c r="L1718" s="62"/>
      <c r="N1718" s="37"/>
      <c r="O1718" s="37"/>
      <c r="P1718" s="37"/>
      <c r="Q1718" s="3"/>
      <c r="R1718" s="3"/>
      <c r="S1718" s="3"/>
      <c r="T1718" s="3"/>
      <c r="U1718" s="3"/>
      <c r="V1718" s="3"/>
      <c r="W1718" s="3"/>
      <c r="X1718" s="3"/>
      <c r="Y1718" s="3"/>
      <c r="Z1718" s="4"/>
      <c r="AA1718"/>
      <c r="AB1718"/>
    </row>
    <row r="1719" spans="1:28" s="49" customFormat="1" x14ac:dyDescent="0.15">
      <c r="A1719" s="165"/>
      <c r="B1719" s="93"/>
      <c r="C1719" s="102"/>
      <c r="D1719" s="62"/>
      <c r="E1719" s="102"/>
      <c r="F1719" s="102"/>
      <c r="G1719" s="102"/>
      <c r="H1719" s="175"/>
      <c r="I1719" s="85"/>
      <c r="J1719" s="104"/>
      <c r="K1719" s="144"/>
      <c r="L1719" s="62"/>
      <c r="N1719" s="37"/>
      <c r="O1719" s="37"/>
      <c r="P1719" s="37"/>
      <c r="Q1719" s="3"/>
      <c r="R1719" s="3"/>
      <c r="S1719" s="3"/>
      <c r="T1719" s="3"/>
      <c r="U1719" s="3"/>
      <c r="V1719" s="3"/>
      <c r="W1719" s="3"/>
      <c r="X1719" s="3"/>
      <c r="Y1719" s="3"/>
      <c r="Z1719" s="4"/>
      <c r="AA1719"/>
      <c r="AB1719"/>
    </row>
    <row r="1720" spans="1:28" s="49" customFormat="1" x14ac:dyDescent="0.15">
      <c r="A1720" s="165"/>
      <c r="B1720" s="93"/>
      <c r="C1720" s="102"/>
      <c r="D1720" s="62"/>
      <c r="E1720" s="102"/>
      <c r="F1720" s="102"/>
      <c r="G1720" s="102"/>
      <c r="H1720" s="175"/>
      <c r="I1720" s="85"/>
      <c r="J1720" s="104"/>
      <c r="K1720" s="144"/>
      <c r="L1720" s="62"/>
      <c r="N1720" s="37"/>
      <c r="O1720" s="37"/>
      <c r="P1720" s="37"/>
      <c r="Q1720" s="3"/>
      <c r="R1720" s="3"/>
      <c r="S1720" s="3"/>
      <c r="T1720" s="3"/>
      <c r="U1720" s="3"/>
      <c r="V1720" s="3"/>
      <c r="W1720" s="3"/>
      <c r="X1720" s="3"/>
      <c r="Y1720" s="3"/>
      <c r="Z1720" s="4"/>
      <c r="AA1720"/>
      <c r="AB1720"/>
    </row>
    <row r="1721" spans="1:28" s="49" customFormat="1" x14ac:dyDescent="0.15">
      <c r="A1721" s="165"/>
      <c r="B1721" s="93"/>
      <c r="C1721" s="102"/>
      <c r="D1721" s="62"/>
      <c r="E1721" s="102"/>
      <c r="F1721" s="102"/>
      <c r="G1721" s="102"/>
      <c r="H1721" s="175"/>
      <c r="I1721" s="85"/>
      <c r="J1721" s="104"/>
      <c r="K1721" s="144"/>
      <c r="L1721" s="62"/>
      <c r="N1721" s="37"/>
      <c r="O1721" s="37"/>
      <c r="P1721" s="37"/>
      <c r="Q1721" s="3"/>
      <c r="R1721" s="3"/>
      <c r="S1721" s="3"/>
      <c r="T1721" s="3"/>
      <c r="U1721" s="3"/>
      <c r="V1721" s="3"/>
      <c r="W1721" s="3"/>
      <c r="X1721" s="3"/>
      <c r="Y1721" s="3"/>
      <c r="Z1721" s="4"/>
      <c r="AA1721"/>
      <c r="AB1721"/>
    </row>
    <row r="1722" spans="1:28" s="49" customFormat="1" x14ac:dyDescent="0.15">
      <c r="A1722" s="62"/>
      <c r="B1722" s="93"/>
      <c r="C1722" s="102"/>
      <c r="D1722" s="62"/>
      <c r="E1722" s="102"/>
      <c r="F1722" s="102"/>
      <c r="G1722" s="102"/>
      <c r="H1722" s="175"/>
      <c r="I1722" s="85"/>
      <c r="J1722" s="104"/>
      <c r="K1722" s="141"/>
      <c r="L1722" s="62"/>
      <c r="N1722" s="37"/>
      <c r="O1722" s="37"/>
      <c r="P1722" s="37"/>
      <c r="Q1722" s="3"/>
      <c r="R1722" s="3"/>
      <c r="S1722" s="3"/>
      <c r="T1722" s="3"/>
      <c r="U1722" s="3"/>
      <c r="V1722" s="3"/>
      <c r="W1722" s="3"/>
      <c r="X1722" s="3"/>
      <c r="Y1722" s="3"/>
      <c r="Z1722" s="4"/>
      <c r="AA1722"/>
      <c r="AB1722"/>
    </row>
    <row r="1723" spans="1:28" s="49" customFormat="1" x14ac:dyDescent="0.15">
      <c r="A1723" s="62"/>
      <c r="B1723" s="93"/>
      <c r="C1723" s="102"/>
      <c r="D1723" s="62"/>
      <c r="E1723" s="102"/>
      <c r="F1723" s="102"/>
      <c r="G1723" s="102"/>
      <c r="H1723" s="175"/>
      <c r="I1723" s="98"/>
      <c r="J1723" s="98"/>
      <c r="K1723" s="135"/>
      <c r="L1723" s="62"/>
      <c r="N1723" s="37"/>
      <c r="O1723" s="37"/>
      <c r="P1723" s="37"/>
      <c r="Q1723" s="3"/>
      <c r="R1723" s="3"/>
      <c r="S1723" s="3"/>
      <c r="T1723" s="3"/>
      <c r="U1723" s="3"/>
      <c r="V1723" s="3"/>
      <c r="W1723" s="3"/>
      <c r="X1723" s="3"/>
      <c r="Y1723" s="3"/>
      <c r="Z1723" s="4"/>
      <c r="AA1723"/>
      <c r="AB1723"/>
    </row>
    <row r="1724" spans="1:28" s="49" customFormat="1" x14ac:dyDescent="0.15">
      <c r="A1724" s="165"/>
      <c r="B1724" s="93"/>
      <c r="C1724" s="102"/>
      <c r="D1724" s="62"/>
      <c r="E1724" s="102"/>
      <c r="F1724" s="102"/>
      <c r="G1724" s="102"/>
      <c r="H1724" s="175"/>
      <c r="I1724" s="85"/>
      <c r="J1724" s="104"/>
      <c r="K1724" s="144"/>
      <c r="L1724" s="62"/>
      <c r="N1724" s="37"/>
      <c r="O1724" s="37"/>
      <c r="P1724" s="37"/>
      <c r="Q1724" s="3"/>
      <c r="R1724" s="3"/>
      <c r="S1724" s="3"/>
      <c r="T1724" s="3"/>
      <c r="U1724" s="3"/>
      <c r="V1724" s="3"/>
      <c r="W1724" s="3"/>
      <c r="X1724" s="3"/>
      <c r="Y1724" s="3"/>
      <c r="Z1724" s="4"/>
      <c r="AA1724"/>
      <c r="AB1724"/>
    </row>
    <row r="1725" spans="1:28" s="49" customFormat="1" x14ac:dyDescent="0.15">
      <c r="A1725" s="165"/>
      <c r="B1725" s="93"/>
      <c r="C1725" s="102"/>
      <c r="D1725" s="62"/>
      <c r="E1725" s="102"/>
      <c r="F1725" s="102"/>
      <c r="G1725" s="102"/>
      <c r="H1725" s="175"/>
      <c r="I1725" s="98"/>
      <c r="J1725" s="98"/>
      <c r="K1725" s="135"/>
      <c r="L1725" s="62"/>
      <c r="N1725" s="37"/>
      <c r="O1725" s="37"/>
      <c r="P1725" s="37"/>
      <c r="Q1725" s="3"/>
      <c r="R1725" s="3"/>
      <c r="S1725" s="3"/>
      <c r="T1725" s="3"/>
      <c r="U1725" s="3"/>
      <c r="V1725" s="3"/>
      <c r="W1725" s="3"/>
      <c r="X1725" s="3"/>
      <c r="Y1725" s="3"/>
      <c r="Z1725" s="4"/>
      <c r="AA1725"/>
      <c r="AB1725"/>
    </row>
    <row r="1726" spans="1:28" s="49" customFormat="1" x14ac:dyDescent="0.15">
      <c r="A1726" s="165"/>
      <c r="B1726" s="93"/>
      <c r="C1726" s="102"/>
      <c r="D1726" s="62"/>
      <c r="E1726" s="102"/>
      <c r="F1726" s="102"/>
      <c r="G1726" s="102"/>
      <c r="H1726" s="175"/>
      <c r="I1726" s="98"/>
      <c r="J1726" s="98"/>
      <c r="K1726" s="135"/>
      <c r="L1726" s="62"/>
      <c r="N1726" s="37"/>
      <c r="O1726" s="37"/>
      <c r="P1726" s="37"/>
      <c r="Q1726" s="3"/>
      <c r="R1726" s="3"/>
      <c r="S1726" s="3"/>
      <c r="T1726" s="3"/>
      <c r="U1726" s="3"/>
      <c r="V1726" s="3"/>
      <c r="W1726" s="3"/>
      <c r="X1726" s="3"/>
      <c r="Y1726" s="3"/>
      <c r="Z1726" s="4"/>
      <c r="AA1726"/>
      <c r="AB1726"/>
    </row>
    <row r="1727" spans="1:28" s="49" customFormat="1" x14ac:dyDescent="0.15">
      <c r="A1727" s="168"/>
      <c r="B1727" s="93"/>
      <c r="C1727" s="102"/>
      <c r="D1727" s="62"/>
      <c r="E1727" s="102"/>
      <c r="F1727" s="102"/>
      <c r="G1727" s="102"/>
      <c r="H1727" s="175"/>
      <c r="I1727" s="98"/>
      <c r="J1727" s="98"/>
      <c r="K1727" s="135"/>
      <c r="L1727" s="62"/>
      <c r="N1727" s="37"/>
      <c r="O1727" s="37"/>
      <c r="P1727" s="37"/>
      <c r="Q1727" s="3"/>
      <c r="R1727" s="3"/>
      <c r="S1727" s="3"/>
      <c r="T1727" s="3"/>
      <c r="U1727" s="3"/>
      <c r="V1727" s="3"/>
      <c r="W1727" s="3"/>
      <c r="X1727" s="3"/>
      <c r="Y1727" s="3"/>
      <c r="Z1727" s="4"/>
      <c r="AA1727"/>
      <c r="AB1727"/>
    </row>
    <row r="1728" spans="1:28" s="49" customFormat="1" x14ac:dyDescent="0.15">
      <c r="A1728" s="229"/>
      <c r="B1728" s="93"/>
      <c r="C1728" s="102"/>
      <c r="D1728" s="62"/>
      <c r="E1728" s="102"/>
      <c r="F1728" s="102"/>
      <c r="G1728" s="102"/>
      <c r="H1728" s="175"/>
      <c r="I1728" s="98"/>
      <c r="J1728" s="98"/>
      <c r="K1728" s="135"/>
      <c r="L1728" s="62"/>
      <c r="N1728" s="37"/>
      <c r="O1728" s="37"/>
      <c r="P1728" s="37"/>
      <c r="Q1728" s="3"/>
      <c r="R1728" s="3"/>
      <c r="S1728" s="3"/>
      <c r="T1728" s="3"/>
      <c r="U1728" s="3"/>
      <c r="V1728" s="3"/>
      <c r="W1728" s="3"/>
      <c r="X1728" s="3"/>
      <c r="Y1728" s="3"/>
      <c r="Z1728" s="4"/>
      <c r="AA1728"/>
      <c r="AB1728"/>
    </row>
    <row r="1729" spans="1:28" s="49" customFormat="1" x14ac:dyDescent="0.15">
      <c r="A1729" s="168"/>
      <c r="B1729" s="93"/>
      <c r="C1729" s="102"/>
      <c r="D1729" s="62"/>
      <c r="E1729" s="102"/>
      <c r="F1729" s="102"/>
      <c r="G1729" s="102"/>
      <c r="H1729" s="175"/>
      <c r="I1729" s="98"/>
      <c r="J1729" s="98"/>
      <c r="K1729" s="135"/>
      <c r="L1729" s="62"/>
      <c r="N1729" s="37"/>
      <c r="O1729" s="37"/>
      <c r="P1729" s="37"/>
      <c r="Q1729" s="3"/>
      <c r="R1729" s="3"/>
      <c r="S1729" s="3"/>
      <c r="T1729" s="3"/>
      <c r="U1729" s="3"/>
      <c r="V1729" s="3"/>
      <c r="W1729" s="3"/>
      <c r="X1729" s="3"/>
      <c r="Y1729" s="3"/>
      <c r="Z1729" s="4"/>
      <c r="AA1729"/>
      <c r="AB1729"/>
    </row>
    <row r="1730" spans="1:28" s="49" customFormat="1" x14ac:dyDescent="0.15">
      <c r="A1730" s="229"/>
      <c r="B1730" s="93"/>
      <c r="C1730" s="102"/>
      <c r="D1730" s="62"/>
      <c r="E1730" s="102"/>
      <c r="F1730" s="102"/>
      <c r="G1730" s="102"/>
      <c r="H1730" s="175"/>
      <c r="I1730" s="98"/>
      <c r="J1730" s="98"/>
      <c r="K1730" s="135"/>
      <c r="L1730" s="62"/>
      <c r="N1730" s="37"/>
      <c r="O1730" s="37"/>
      <c r="P1730" s="37"/>
      <c r="Q1730" s="3"/>
      <c r="R1730" s="3"/>
      <c r="S1730" s="3"/>
      <c r="T1730" s="3"/>
      <c r="U1730" s="3"/>
      <c r="V1730" s="3"/>
      <c r="W1730" s="3"/>
      <c r="X1730" s="3"/>
      <c r="Y1730" s="3"/>
      <c r="Z1730" s="4"/>
      <c r="AA1730"/>
      <c r="AB1730"/>
    </row>
    <row r="1731" spans="1:28" s="49" customFormat="1" x14ac:dyDescent="0.15">
      <c r="A1731" s="62"/>
      <c r="B1731" s="93"/>
      <c r="C1731" s="102"/>
      <c r="D1731" s="62"/>
      <c r="E1731" s="102"/>
      <c r="F1731" s="102"/>
      <c r="G1731" s="102"/>
      <c r="H1731" s="175"/>
      <c r="I1731" s="85"/>
      <c r="J1731" s="104"/>
      <c r="K1731" s="144"/>
      <c r="L1731" s="62"/>
      <c r="N1731" s="37"/>
      <c r="O1731" s="37"/>
      <c r="P1731" s="37"/>
      <c r="Q1731" s="3"/>
      <c r="R1731" s="3"/>
      <c r="S1731" s="3"/>
      <c r="T1731" s="3"/>
      <c r="U1731" s="3"/>
      <c r="V1731" s="3"/>
      <c r="W1731" s="3"/>
      <c r="X1731" s="3"/>
      <c r="Y1731" s="3"/>
      <c r="Z1731" s="4"/>
      <c r="AA1731"/>
      <c r="AB1731"/>
    </row>
    <row r="1732" spans="1:28" s="49" customFormat="1" x14ac:dyDescent="0.15">
      <c r="A1732" s="62"/>
      <c r="B1732" s="93"/>
      <c r="C1732" s="102"/>
      <c r="D1732" s="62"/>
      <c r="E1732" s="102"/>
      <c r="F1732" s="102"/>
      <c r="G1732" s="102"/>
      <c r="H1732" s="175"/>
      <c r="I1732" s="85"/>
      <c r="J1732" s="104"/>
      <c r="K1732" s="144"/>
      <c r="L1732" s="62"/>
      <c r="N1732" s="37"/>
      <c r="O1732" s="37"/>
      <c r="P1732" s="37"/>
      <c r="Q1732" s="3"/>
      <c r="R1732" s="3"/>
      <c r="S1732" s="3"/>
      <c r="T1732" s="3"/>
      <c r="U1732" s="3"/>
      <c r="V1732" s="3"/>
      <c r="W1732" s="3"/>
      <c r="X1732" s="3"/>
      <c r="Y1732" s="3"/>
      <c r="Z1732" s="4"/>
      <c r="AA1732"/>
      <c r="AB1732"/>
    </row>
    <row r="1733" spans="1:28" s="49" customFormat="1" x14ac:dyDescent="0.15">
      <c r="A1733" s="229"/>
      <c r="B1733" s="93"/>
      <c r="C1733" s="102"/>
      <c r="D1733" s="62"/>
      <c r="E1733" s="100"/>
      <c r="F1733" s="102"/>
      <c r="G1733" s="102"/>
      <c r="H1733" s="175"/>
      <c r="I1733" s="85"/>
      <c r="J1733" s="104"/>
      <c r="K1733" s="144"/>
      <c r="L1733" s="62"/>
      <c r="N1733" s="37"/>
      <c r="O1733" s="37"/>
      <c r="P1733" s="37"/>
      <c r="Q1733" s="3"/>
      <c r="R1733" s="3"/>
      <c r="S1733" s="3"/>
      <c r="T1733" s="3"/>
      <c r="U1733" s="3"/>
      <c r="V1733" s="3"/>
      <c r="W1733" s="3"/>
      <c r="X1733" s="3"/>
      <c r="Y1733" s="3"/>
      <c r="Z1733" s="4"/>
      <c r="AA1733"/>
      <c r="AB1733"/>
    </row>
    <row r="1734" spans="1:28" s="49" customFormat="1" x14ac:dyDescent="0.15">
      <c r="A1734" s="62"/>
      <c r="B1734" s="93"/>
      <c r="C1734" s="102"/>
      <c r="D1734" s="62"/>
      <c r="E1734" s="102"/>
      <c r="F1734" s="102"/>
      <c r="G1734" s="102"/>
      <c r="H1734" s="175"/>
      <c r="I1734" s="85"/>
      <c r="J1734" s="104"/>
      <c r="K1734" s="144"/>
      <c r="L1734" s="62"/>
      <c r="N1734" s="37"/>
      <c r="O1734" s="37"/>
      <c r="P1734" s="37"/>
      <c r="Q1734" s="3"/>
      <c r="R1734" s="3"/>
      <c r="S1734" s="3"/>
      <c r="T1734" s="3"/>
      <c r="U1734" s="3"/>
      <c r="V1734" s="3"/>
      <c r="W1734" s="3"/>
      <c r="X1734" s="3"/>
      <c r="Y1734" s="3"/>
      <c r="Z1734" s="4"/>
      <c r="AA1734"/>
      <c r="AB1734"/>
    </row>
    <row r="1735" spans="1:28" s="49" customFormat="1" x14ac:dyDescent="0.15">
      <c r="A1735" s="62"/>
      <c r="B1735" s="93"/>
      <c r="C1735" s="102"/>
      <c r="D1735" s="62"/>
      <c r="E1735" s="102"/>
      <c r="F1735" s="102"/>
      <c r="G1735" s="102"/>
      <c r="H1735" s="175"/>
      <c r="I1735" s="85"/>
      <c r="J1735" s="104"/>
      <c r="K1735" s="144"/>
      <c r="L1735" s="62"/>
      <c r="N1735" s="37"/>
      <c r="O1735" s="37"/>
      <c r="P1735" s="37"/>
      <c r="Q1735" s="3"/>
      <c r="R1735" s="3"/>
      <c r="S1735" s="3"/>
      <c r="T1735" s="3"/>
      <c r="U1735" s="3"/>
      <c r="V1735" s="3"/>
      <c r="W1735" s="3"/>
      <c r="X1735" s="3"/>
      <c r="Y1735" s="3"/>
      <c r="Z1735" s="4"/>
      <c r="AA1735"/>
      <c r="AB1735"/>
    </row>
    <row r="1736" spans="1:28" s="49" customFormat="1" x14ac:dyDescent="0.15">
      <c r="A1736" s="62"/>
      <c r="B1736" s="93"/>
      <c r="C1736" s="102"/>
      <c r="D1736" s="62"/>
      <c r="E1736" s="102"/>
      <c r="F1736" s="102"/>
      <c r="G1736" s="102"/>
      <c r="H1736" s="175"/>
      <c r="I1736" s="85"/>
      <c r="J1736" s="104"/>
      <c r="K1736" s="144"/>
      <c r="L1736" s="62"/>
      <c r="N1736" s="37"/>
      <c r="O1736" s="37"/>
      <c r="P1736" s="37"/>
      <c r="Q1736" s="3"/>
      <c r="R1736" s="3"/>
      <c r="S1736" s="3"/>
      <c r="T1736" s="3"/>
      <c r="U1736" s="3"/>
      <c r="V1736" s="3"/>
      <c r="W1736" s="3"/>
      <c r="X1736" s="3"/>
      <c r="Y1736" s="3"/>
      <c r="Z1736" s="4"/>
      <c r="AA1736"/>
      <c r="AB1736"/>
    </row>
    <row r="1737" spans="1:28" s="49" customFormat="1" x14ac:dyDescent="0.15">
      <c r="A1737" s="62"/>
      <c r="B1737" s="93"/>
      <c r="C1737" s="100"/>
      <c r="D1737" s="61"/>
      <c r="E1737" s="100"/>
      <c r="F1737" s="100"/>
      <c r="G1737" s="100"/>
      <c r="H1737" s="177"/>
      <c r="I1737" s="98"/>
      <c r="J1737" s="103"/>
      <c r="K1737" s="135"/>
      <c r="L1737" s="62"/>
      <c r="N1737" s="37"/>
      <c r="O1737" s="37"/>
      <c r="P1737" s="37"/>
      <c r="Q1737" s="3"/>
      <c r="R1737" s="3"/>
      <c r="S1737" s="3"/>
      <c r="T1737" s="3"/>
      <c r="U1737" s="3"/>
      <c r="V1737" s="3"/>
      <c r="W1737" s="3"/>
      <c r="X1737" s="3"/>
      <c r="Y1737" s="3"/>
      <c r="Z1737" s="4"/>
      <c r="AA1737"/>
      <c r="AB1737"/>
    </row>
    <row r="1738" spans="1:28" s="49" customFormat="1" x14ac:dyDescent="0.15">
      <c r="A1738" s="62"/>
      <c r="B1738" s="93"/>
      <c r="C1738" s="102"/>
      <c r="D1738" s="62"/>
      <c r="E1738" s="102"/>
      <c r="F1738" s="102"/>
      <c r="G1738" s="102"/>
      <c r="H1738" s="175"/>
      <c r="I1738" s="85"/>
      <c r="J1738" s="104"/>
      <c r="K1738" s="144"/>
      <c r="L1738" s="62"/>
      <c r="N1738" s="37"/>
      <c r="O1738" s="37"/>
      <c r="P1738" s="37"/>
      <c r="Q1738" s="3"/>
      <c r="R1738" s="3"/>
      <c r="S1738" s="3"/>
      <c r="T1738" s="3"/>
      <c r="U1738" s="3"/>
      <c r="V1738" s="3"/>
      <c r="W1738" s="3"/>
      <c r="X1738" s="3"/>
      <c r="Y1738" s="3"/>
      <c r="Z1738" s="4"/>
      <c r="AA1738"/>
      <c r="AB1738"/>
    </row>
    <row r="1739" spans="1:28" s="49" customFormat="1" x14ac:dyDescent="0.15">
      <c r="A1739" s="62"/>
      <c r="B1739" s="93"/>
      <c r="C1739" s="102"/>
      <c r="D1739" s="62"/>
      <c r="E1739" s="102"/>
      <c r="F1739" s="102"/>
      <c r="G1739" s="102"/>
      <c r="H1739" s="175"/>
      <c r="I1739" s="85"/>
      <c r="J1739" s="104"/>
      <c r="K1739" s="144"/>
      <c r="L1739" s="62"/>
      <c r="N1739" s="37"/>
      <c r="O1739" s="37"/>
      <c r="P1739" s="37"/>
      <c r="Q1739" s="3"/>
      <c r="R1739" s="3"/>
      <c r="S1739" s="3"/>
      <c r="T1739" s="3"/>
      <c r="U1739" s="3"/>
      <c r="V1739" s="3"/>
      <c r="W1739" s="3"/>
      <c r="X1739" s="3"/>
      <c r="Y1739" s="3"/>
      <c r="Z1739" s="4"/>
      <c r="AA1739"/>
      <c r="AB1739"/>
    </row>
    <row r="1740" spans="1:28" s="49" customFormat="1" x14ac:dyDescent="0.15">
      <c r="A1740" s="62"/>
      <c r="B1740" s="93"/>
      <c r="C1740" s="102"/>
      <c r="D1740" s="62"/>
      <c r="E1740" s="102"/>
      <c r="F1740" s="102"/>
      <c r="G1740" s="102"/>
      <c r="H1740" s="175"/>
      <c r="I1740" s="85"/>
      <c r="J1740" s="104"/>
      <c r="K1740" s="144"/>
      <c r="L1740" s="62"/>
      <c r="N1740" s="37"/>
      <c r="O1740" s="37"/>
      <c r="P1740" s="37"/>
      <c r="Q1740" s="3"/>
      <c r="R1740" s="3"/>
      <c r="S1740" s="3"/>
      <c r="T1740" s="3"/>
      <c r="U1740" s="3"/>
      <c r="V1740" s="3"/>
      <c r="W1740" s="3"/>
      <c r="X1740" s="3"/>
      <c r="Y1740" s="3"/>
      <c r="Z1740" s="4"/>
      <c r="AA1740"/>
      <c r="AB1740"/>
    </row>
    <row r="1741" spans="1:28" s="49" customFormat="1" x14ac:dyDescent="0.15">
      <c r="A1741" s="229"/>
      <c r="B1741" s="93"/>
      <c r="C1741" s="102"/>
      <c r="D1741" s="62"/>
      <c r="E1741" s="102"/>
      <c r="F1741" s="102"/>
      <c r="G1741" s="102"/>
      <c r="H1741" s="175"/>
      <c r="I1741" s="85"/>
      <c r="J1741" s="104"/>
      <c r="K1741" s="144"/>
      <c r="L1741" s="62"/>
      <c r="N1741" s="37"/>
      <c r="O1741" s="37"/>
      <c r="P1741" s="37"/>
      <c r="Q1741" s="3"/>
      <c r="R1741" s="3"/>
      <c r="S1741" s="3"/>
      <c r="T1741" s="3"/>
      <c r="U1741" s="3"/>
      <c r="V1741" s="3"/>
      <c r="W1741" s="3"/>
      <c r="X1741" s="3"/>
      <c r="Y1741" s="3"/>
      <c r="Z1741" s="4"/>
      <c r="AA1741"/>
      <c r="AB1741"/>
    </row>
    <row r="1742" spans="1:28" s="49" customFormat="1" x14ac:dyDescent="0.15">
      <c r="A1742" s="62"/>
      <c r="B1742" s="93"/>
      <c r="C1742" s="102"/>
      <c r="D1742" s="62"/>
      <c r="E1742" s="102"/>
      <c r="F1742" s="102"/>
      <c r="G1742" s="102"/>
      <c r="H1742" s="175"/>
      <c r="I1742" s="85"/>
      <c r="J1742" s="104"/>
      <c r="K1742" s="144"/>
      <c r="L1742" s="62"/>
      <c r="N1742" s="37"/>
      <c r="O1742" s="37"/>
      <c r="P1742" s="37"/>
      <c r="Q1742" s="3"/>
      <c r="R1742" s="3"/>
      <c r="S1742" s="3"/>
      <c r="T1742" s="3"/>
      <c r="U1742" s="3"/>
      <c r="V1742" s="3"/>
      <c r="W1742" s="3"/>
      <c r="X1742" s="3"/>
      <c r="Y1742" s="3"/>
      <c r="Z1742" s="4"/>
      <c r="AA1742"/>
      <c r="AB1742"/>
    </row>
    <row r="1743" spans="1:28" s="49" customFormat="1" x14ac:dyDescent="0.15">
      <c r="A1743" s="62"/>
      <c r="B1743" s="93"/>
      <c r="C1743" s="102"/>
      <c r="D1743" s="62"/>
      <c r="E1743" s="102"/>
      <c r="F1743" s="102"/>
      <c r="G1743" s="102"/>
      <c r="H1743" s="175"/>
      <c r="I1743" s="98"/>
      <c r="J1743" s="98"/>
      <c r="K1743" s="135"/>
      <c r="L1743" s="62"/>
      <c r="N1743" s="37"/>
      <c r="O1743" s="37"/>
      <c r="P1743" s="37"/>
      <c r="Q1743" s="3"/>
      <c r="R1743" s="3"/>
      <c r="S1743" s="3"/>
      <c r="T1743" s="3"/>
      <c r="U1743" s="3"/>
      <c r="V1743" s="3"/>
      <c r="W1743" s="3"/>
      <c r="X1743" s="3"/>
      <c r="Y1743" s="3"/>
      <c r="Z1743" s="4"/>
      <c r="AA1743"/>
      <c r="AB1743"/>
    </row>
    <row r="1744" spans="1:28" s="49" customFormat="1" x14ac:dyDescent="0.15">
      <c r="A1744" s="62"/>
      <c r="B1744" s="93"/>
      <c r="C1744" s="102"/>
      <c r="D1744" s="62"/>
      <c r="E1744" s="102"/>
      <c r="F1744" s="102"/>
      <c r="G1744" s="102"/>
      <c r="H1744" s="175"/>
      <c r="I1744" s="85"/>
      <c r="J1744" s="104"/>
      <c r="K1744" s="144"/>
      <c r="L1744" s="62"/>
      <c r="N1744" s="37"/>
      <c r="O1744" s="37"/>
      <c r="P1744" s="37"/>
      <c r="Q1744" s="3"/>
      <c r="R1744" s="3"/>
      <c r="S1744" s="3"/>
      <c r="T1744" s="3"/>
      <c r="U1744" s="3"/>
      <c r="V1744" s="3"/>
      <c r="W1744" s="3"/>
      <c r="X1744" s="3"/>
      <c r="Y1744" s="3"/>
      <c r="Z1744" s="4"/>
      <c r="AA1744"/>
      <c r="AB1744"/>
    </row>
    <row r="1745" spans="1:28" s="49" customFormat="1" x14ac:dyDescent="0.15">
      <c r="A1745" s="62"/>
      <c r="B1745" s="93"/>
      <c r="C1745" s="102"/>
      <c r="D1745" s="62"/>
      <c r="E1745" s="102"/>
      <c r="F1745" s="102"/>
      <c r="G1745" s="102"/>
      <c r="H1745" s="175"/>
      <c r="I1745" s="85"/>
      <c r="J1745" s="104"/>
      <c r="K1745" s="144"/>
      <c r="L1745" s="62"/>
      <c r="N1745" s="37"/>
      <c r="O1745" s="37"/>
      <c r="P1745" s="37"/>
      <c r="Q1745" s="3"/>
      <c r="R1745" s="3"/>
      <c r="S1745" s="3"/>
      <c r="T1745" s="3"/>
      <c r="U1745" s="3"/>
      <c r="V1745" s="3"/>
      <c r="W1745" s="3"/>
      <c r="X1745" s="3"/>
      <c r="Y1745" s="3"/>
      <c r="Z1745" s="4"/>
      <c r="AA1745"/>
      <c r="AB1745"/>
    </row>
    <row r="1746" spans="1:28" s="49" customFormat="1" x14ac:dyDescent="0.15">
      <c r="A1746" s="62"/>
      <c r="B1746" s="93"/>
      <c r="C1746" s="102"/>
      <c r="D1746" s="62"/>
      <c r="E1746" s="102"/>
      <c r="F1746" s="102"/>
      <c r="G1746" s="102"/>
      <c r="H1746" s="175"/>
      <c r="I1746" s="85"/>
      <c r="J1746" s="104"/>
      <c r="K1746" s="144"/>
      <c r="L1746" s="62"/>
      <c r="N1746" s="37"/>
      <c r="O1746" s="37"/>
      <c r="P1746" s="37"/>
      <c r="Q1746" s="3"/>
      <c r="R1746" s="3"/>
      <c r="S1746" s="3"/>
      <c r="T1746" s="3"/>
      <c r="U1746" s="3"/>
      <c r="V1746" s="3"/>
      <c r="W1746" s="3"/>
      <c r="X1746" s="3"/>
      <c r="Y1746" s="3"/>
      <c r="Z1746" s="4"/>
      <c r="AA1746"/>
      <c r="AB1746"/>
    </row>
    <row r="1747" spans="1:28" s="49" customFormat="1" x14ac:dyDescent="0.15">
      <c r="A1747" s="62"/>
      <c r="B1747" s="93"/>
      <c r="C1747" s="102"/>
      <c r="D1747" s="62"/>
      <c r="E1747" s="102"/>
      <c r="F1747" s="102"/>
      <c r="G1747" s="102"/>
      <c r="H1747" s="175"/>
      <c r="I1747" s="85"/>
      <c r="J1747" s="104"/>
      <c r="K1747" s="144"/>
      <c r="L1747" s="62"/>
      <c r="N1747" s="37"/>
      <c r="O1747" s="37"/>
      <c r="P1747" s="37"/>
      <c r="Q1747" s="3"/>
      <c r="R1747" s="3"/>
      <c r="S1747" s="3"/>
      <c r="T1747" s="3"/>
      <c r="U1747" s="3"/>
      <c r="V1747" s="3"/>
      <c r="W1747" s="3"/>
      <c r="X1747" s="3"/>
      <c r="Y1747" s="3"/>
      <c r="Z1747" s="4"/>
      <c r="AA1747"/>
      <c r="AB1747"/>
    </row>
    <row r="1748" spans="1:28" s="49" customFormat="1" x14ac:dyDescent="0.15">
      <c r="A1748" s="62"/>
      <c r="B1748" s="93"/>
      <c r="C1748" s="102"/>
      <c r="D1748" s="62"/>
      <c r="E1748" s="102"/>
      <c r="F1748" s="102"/>
      <c r="G1748" s="102"/>
      <c r="H1748" s="175"/>
      <c r="I1748" s="85"/>
      <c r="J1748" s="104"/>
      <c r="K1748" s="144"/>
      <c r="L1748" s="62"/>
      <c r="N1748" s="37"/>
      <c r="O1748" s="37"/>
      <c r="P1748" s="37"/>
      <c r="Q1748" s="3"/>
      <c r="R1748" s="3"/>
      <c r="S1748" s="3"/>
      <c r="T1748" s="3"/>
      <c r="U1748" s="3"/>
      <c r="V1748" s="3"/>
      <c r="W1748" s="3"/>
      <c r="X1748" s="3"/>
      <c r="Y1748" s="3"/>
      <c r="Z1748" s="4"/>
      <c r="AA1748"/>
      <c r="AB1748"/>
    </row>
    <row r="1749" spans="1:28" s="49" customFormat="1" x14ac:dyDescent="0.15">
      <c r="A1749" s="62"/>
      <c r="B1749" s="93"/>
      <c r="C1749" s="102"/>
      <c r="D1749" s="62"/>
      <c r="E1749" s="102"/>
      <c r="F1749" s="102"/>
      <c r="G1749" s="102"/>
      <c r="H1749" s="175"/>
      <c r="I1749" s="85"/>
      <c r="J1749" s="104"/>
      <c r="K1749" s="144"/>
      <c r="L1749" s="62"/>
      <c r="N1749" s="37"/>
      <c r="O1749" s="37"/>
      <c r="P1749" s="37"/>
      <c r="Q1749" s="3"/>
      <c r="R1749" s="3"/>
      <c r="S1749" s="3"/>
      <c r="T1749" s="3"/>
      <c r="U1749" s="3"/>
      <c r="V1749" s="3"/>
      <c r="W1749" s="3"/>
      <c r="X1749" s="3"/>
      <c r="Y1749" s="3"/>
      <c r="Z1749" s="4"/>
      <c r="AA1749"/>
      <c r="AB1749"/>
    </row>
    <row r="1750" spans="1:28" s="49" customFormat="1" x14ac:dyDescent="0.15">
      <c r="A1750" s="62"/>
      <c r="B1750" s="93"/>
      <c r="C1750" s="102"/>
      <c r="D1750" s="62"/>
      <c r="E1750" s="102"/>
      <c r="F1750" s="102"/>
      <c r="G1750" s="102"/>
      <c r="H1750" s="175"/>
      <c r="I1750" s="98"/>
      <c r="J1750" s="98"/>
      <c r="K1750" s="135"/>
      <c r="L1750" s="62"/>
      <c r="N1750" s="37"/>
      <c r="O1750" s="37"/>
      <c r="P1750" s="37"/>
      <c r="Q1750" s="3"/>
      <c r="R1750" s="3"/>
      <c r="S1750" s="3"/>
      <c r="T1750" s="3"/>
      <c r="U1750" s="3"/>
      <c r="V1750" s="3"/>
      <c r="W1750" s="3"/>
      <c r="X1750" s="3"/>
      <c r="Y1750" s="3"/>
      <c r="Z1750" s="4"/>
      <c r="AA1750"/>
      <c r="AB1750"/>
    </row>
    <row r="1751" spans="1:28" s="49" customFormat="1" x14ac:dyDescent="0.15">
      <c r="A1751" s="62"/>
      <c r="B1751" s="93"/>
      <c r="C1751" s="102"/>
      <c r="D1751" s="62"/>
      <c r="E1751" s="102"/>
      <c r="F1751" s="102"/>
      <c r="G1751" s="102"/>
      <c r="H1751" s="175"/>
      <c r="I1751" s="98"/>
      <c r="J1751" s="98"/>
      <c r="K1751" s="135"/>
      <c r="L1751" s="62"/>
      <c r="N1751" s="37"/>
      <c r="O1751" s="37"/>
      <c r="P1751" s="37"/>
      <c r="Q1751" s="3"/>
      <c r="R1751" s="3"/>
      <c r="S1751" s="3"/>
      <c r="T1751" s="3"/>
      <c r="U1751" s="3"/>
      <c r="V1751" s="3"/>
      <c r="W1751" s="3"/>
      <c r="X1751" s="3"/>
      <c r="Y1751" s="3"/>
      <c r="Z1751" s="4"/>
      <c r="AA1751"/>
      <c r="AB1751"/>
    </row>
    <row r="1752" spans="1:28" s="49" customFormat="1" x14ac:dyDescent="0.15">
      <c r="A1752" s="62"/>
      <c r="B1752" s="93"/>
      <c r="C1752" s="102"/>
      <c r="D1752" s="62"/>
      <c r="E1752" s="102"/>
      <c r="F1752" s="102"/>
      <c r="G1752" s="102"/>
      <c r="H1752" s="175"/>
      <c r="I1752" s="85"/>
      <c r="J1752" s="104"/>
      <c r="K1752" s="144"/>
      <c r="L1752" s="62"/>
      <c r="N1752" s="37"/>
      <c r="O1752" s="37"/>
      <c r="P1752" s="37"/>
      <c r="Q1752" s="3"/>
      <c r="R1752" s="3"/>
      <c r="S1752" s="3"/>
      <c r="T1752" s="3"/>
      <c r="U1752" s="3"/>
      <c r="V1752" s="3"/>
      <c r="W1752" s="3"/>
      <c r="X1752" s="3"/>
      <c r="Y1752" s="3"/>
      <c r="Z1752" s="4"/>
      <c r="AA1752"/>
      <c r="AB1752"/>
    </row>
    <row r="1753" spans="1:28" s="49" customFormat="1" x14ac:dyDescent="0.15">
      <c r="A1753" s="62"/>
      <c r="B1753" s="93"/>
      <c r="C1753" s="102"/>
      <c r="D1753" s="62"/>
      <c r="E1753" s="102"/>
      <c r="F1753" s="102"/>
      <c r="G1753" s="102"/>
      <c r="H1753" s="175"/>
      <c r="I1753" s="85"/>
      <c r="J1753" s="104"/>
      <c r="K1753" s="144"/>
      <c r="L1753" s="62"/>
      <c r="N1753" s="37"/>
      <c r="O1753" s="37"/>
      <c r="P1753" s="37"/>
      <c r="Q1753" s="3"/>
      <c r="R1753" s="3"/>
      <c r="S1753" s="3"/>
      <c r="T1753" s="3"/>
      <c r="U1753" s="3"/>
      <c r="V1753" s="3"/>
      <c r="W1753" s="3"/>
      <c r="X1753" s="3"/>
      <c r="Y1753" s="3"/>
      <c r="Z1753" s="4"/>
      <c r="AA1753"/>
      <c r="AB1753"/>
    </row>
    <row r="1754" spans="1:28" s="49" customFormat="1" x14ac:dyDescent="0.15">
      <c r="A1754" s="62"/>
      <c r="B1754" s="93"/>
      <c r="C1754" s="102"/>
      <c r="D1754" s="62"/>
      <c r="E1754" s="102"/>
      <c r="F1754" s="102"/>
      <c r="G1754" s="102"/>
      <c r="H1754" s="175"/>
      <c r="I1754" s="85"/>
      <c r="J1754" s="104"/>
      <c r="K1754" s="144"/>
      <c r="L1754" s="62"/>
      <c r="N1754" s="37"/>
      <c r="O1754" s="37"/>
      <c r="P1754" s="37"/>
      <c r="Q1754" s="3"/>
      <c r="R1754" s="3"/>
      <c r="S1754" s="3"/>
      <c r="T1754" s="3"/>
      <c r="U1754" s="3"/>
      <c r="V1754" s="3"/>
      <c r="W1754" s="3"/>
      <c r="X1754" s="3"/>
      <c r="Y1754" s="3"/>
      <c r="Z1754" s="4"/>
      <c r="AA1754"/>
      <c r="AB1754"/>
    </row>
    <row r="1755" spans="1:28" s="49" customFormat="1" x14ac:dyDescent="0.15">
      <c r="A1755" s="62"/>
      <c r="B1755" s="93"/>
      <c r="C1755" s="102"/>
      <c r="D1755" s="62"/>
      <c r="E1755" s="102"/>
      <c r="F1755" s="102"/>
      <c r="G1755" s="102"/>
      <c r="H1755" s="175"/>
      <c r="I1755" s="85"/>
      <c r="J1755" s="104"/>
      <c r="K1755" s="144"/>
      <c r="L1755" s="62"/>
      <c r="N1755" s="37"/>
      <c r="O1755" s="37"/>
      <c r="P1755" s="37"/>
      <c r="Q1755" s="3"/>
      <c r="R1755" s="3"/>
      <c r="S1755" s="3"/>
      <c r="T1755" s="3"/>
      <c r="U1755" s="3"/>
      <c r="V1755" s="3"/>
      <c r="W1755" s="3"/>
      <c r="X1755" s="3"/>
      <c r="Y1755" s="3"/>
      <c r="Z1755" s="4"/>
      <c r="AA1755"/>
      <c r="AB1755"/>
    </row>
    <row r="1756" spans="1:28" s="49" customFormat="1" x14ac:dyDescent="0.15">
      <c r="A1756" s="62"/>
      <c r="B1756" s="93"/>
      <c r="C1756" s="102"/>
      <c r="D1756" s="62"/>
      <c r="E1756" s="102"/>
      <c r="F1756" s="102"/>
      <c r="G1756" s="102"/>
      <c r="H1756" s="175"/>
      <c r="I1756" s="85"/>
      <c r="J1756" s="104"/>
      <c r="K1756" s="144"/>
      <c r="L1756" s="62"/>
      <c r="N1756" s="37"/>
      <c r="O1756" s="37"/>
      <c r="P1756" s="37"/>
      <c r="Q1756" s="3"/>
      <c r="R1756" s="3"/>
      <c r="S1756" s="3"/>
      <c r="T1756" s="3"/>
      <c r="U1756" s="3"/>
      <c r="V1756" s="3"/>
      <c r="W1756" s="3"/>
      <c r="X1756" s="3"/>
      <c r="Y1756" s="3"/>
      <c r="Z1756" s="4"/>
      <c r="AA1756"/>
      <c r="AB1756"/>
    </row>
    <row r="1757" spans="1:28" s="49" customFormat="1" x14ac:dyDescent="0.15">
      <c r="A1757" s="62"/>
      <c r="B1757" s="93"/>
      <c r="C1757" s="102"/>
      <c r="D1757" s="62"/>
      <c r="E1757" s="102"/>
      <c r="F1757" s="102"/>
      <c r="G1757" s="102"/>
      <c r="H1757" s="175"/>
      <c r="I1757" s="98"/>
      <c r="J1757" s="98"/>
      <c r="K1757" s="135"/>
      <c r="L1757" s="62"/>
      <c r="N1757" s="37"/>
      <c r="O1757" s="37"/>
      <c r="P1757" s="37"/>
      <c r="Q1757" s="3"/>
      <c r="R1757" s="3"/>
      <c r="S1757" s="3"/>
      <c r="T1757" s="3"/>
      <c r="U1757" s="3"/>
      <c r="V1757" s="3"/>
      <c r="W1757" s="3"/>
      <c r="X1757" s="3"/>
      <c r="Y1757" s="3"/>
      <c r="Z1757" s="4"/>
      <c r="AA1757"/>
      <c r="AB1757"/>
    </row>
    <row r="1758" spans="1:28" s="37" customFormat="1" x14ac:dyDescent="0.15">
      <c r="A1758" s="62"/>
      <c r="B1758" s="93"/>
      <c r="C1758" s="102"/>
      <c r="D1758" s="62"/>
      <c r="E1758" s="102"/>
      <c r="F1758" s="102"/>
      <c r="G1758" s="102"/>
      <c r="H1758" s="175"/>
      <c r="I1758" s="98"/>
      <c r="J1758" s="98"/>
      <c r="K1758" s="135"/>
      <c r="L1758" s="62"/>
      <c r="M1758" s="49"/>
      <c r="Q1758" s="3"/>
      <c r="R1758" s="3"/>
      <c r="S1758" s="3"/>
      <c r="T1758" s="3"/>
      <c r="U1758" s="3"/>
      <c r="V1758" s="3"/>
      <c r="W1758" s="3"/>
      <c r="X1758" s="3"/>
      <c r="Y1758" s="3"/>
      <c r="Z1758" s="4"/>
      <c r="AA1758"/>
      <c r="AB1758"/>
    </row>
    <row r="1759" spans="1:28" s="37" customFormat="1" x14ac:dyDescent="0.15">
      <c r="A1759" s="62"/>
      <c r="B1759" s="93"/>
      <c r="C1759" s="102"/>
      <c r="D1759" s="62"/>
      <c r="E1759" s="102"/>
      <c r="F1759" s="102"/>
      <c r="G1759" s="102"/>
      <c r="H1759" s="175"/>
      <c r="I1759" s="85"/>
      <c r="J1759" s="104"/>
      <c r="K1759" s="144"/>
      <c r="L1759" s="62"/>
      <c r="M1759" s="49"/>
      <c r="Q1759" s="3"/>
      <c r="R1759" s="3"/>
      <c r="S1759" s="3"/>
      <c r="T1759" s="3"/>
      <c r="U1759" s="3"/>
      <c r="V1759" s="3"/>
      <c r="W1759" s="3"/>
      <c r="X1759" s="3"/>
      <c r="Y1759" s="3"/>
      <c r="Z1759" s="4"/>
      <c r="AA1759"/>
      <c r="AB1759"/>
    </row>
    <row r="1760" spans="1:28" s="37" customFormat="1" x14ac:dyDescent="0.15">
      <c r="A1760" s="62"/>
      <c r="B1760" s="93"/>
      <c r="C1760" s="102"/>
      <c r="D1760" s="62"/>
      <c r="E1760" s="102"/>
      <c r="F1760" s="102"/>
      <c r="G1760" s="102"/>
      <c r="H1760" s="175"/>
      <c r="I1760" s="85"/>
      <c r="J1760" s="104"/>
      <c r="K1760" s="144"/>
      <c r="L1760" s="62"/>
      <c r="M1760" s="49"/>
      <c r="Q1760" s="3"/>
      <c r="R1760" s="3"/>
      <c r="S1760" s="3"/>
      <c r="T1760" s="3"/>
      <c r="U1760" s="3"/>
      <c r="V1760" s="3"/>
      <c r="W1760" s="3"/>
      <c r="X1760" s="3"/>
      <c r="Y1760" s="3"/>
      <c r="Z1760" s="4"/>
      <c r="AA1760"/>
      <c r="AB1760"/>
    </row>
    <row r="1761" spans="1:28" s="37" customFormat="1" x14ac:dyDescent="0.15">
      <c r="A1761" s="62"/>
      <c r="B1761" s="93"/>
      <c r="C1761" s="102"/>
      <c r="D1761" s="62"/>
      <c r="E1761" s="102"/>
      <c r="F1761" s="102"/>
      <c r="G1761" s="102"/>
      <c r="H1761" s="175"/>
      <c r="I1761" s="85"/>
      <c r="J1761" s="104"/>
      <c r="K1761" s="144"/>
      <c r="L1761" s="62"/>
      <c r="M1761" s="49"/>
      <c r="Q1761" s="3"/>
      <c r="R1761" s="3"/>
      <c r="S1761" s="3"/>
      <c r="T1761" s="3"/>
      <c r="U1761" s="3"/>
      <c r="V1761" s="3"/>
      <c r="W1761" s="3"/>
      <c r="X1761" s="3"/>
      <c r="Y1761" s="3"/>
      <c r="Z1761" s="4"/>
      <c r="AA1761"/>
      <c r="AB1761"/>
    </row>
    <row r="1762" spans="1:28" s="37" customFormat="1" x14ac:dyDescent="0.15">
      <c r="A1762" s="62"/>
      <c r="B1762" s="93"/>
      <c r="C1762" s="102"/>
      <c r="D1762" s="62"/>
      <c r="E1762" s="102"/>
      <c r="F1762" s="102"/>
      <c r="G1762" s="102"/>
      <c r="H1762" s="175"/>
      <c r="I1762" s="85"/>
      <c r="J1762" s="104"/>
      <c r="K1762" s="144"/>
      <c r="L1762" s="62"/>
      <c r="M1762" s="49"/>
      <c r="Q1762" s="3"/>
      <c r="R1762" s="3"/>
      <c r="S1762" s="3"/>
      <c r="T1762" s="3"/>
      <c r="U1762" s="3"/>
      <c r="V1762" s="3"/>
      <c r="W1762" s="3"/>
      <c r="X1762" s="3"/>
      <c r="Y1762" s="3"/>
      <c r="Z1762" s="4"/>
      <c r="AA1762"/>
      <c r="AB1762"/>
    </row>
    <row r="1763" spans="1:28" s="37" customFormat="1" x14ac:dyDescent="0.15">
      <c r="A1763" s="62"/>
      <c r="B1763" s="93"/>
      <c r="C1763" s="102"/>
      <c r="D1763" s="62"/>
      <c r="E1763" s="102"/>
      <c r="F1763" s="102"/>
      <c r="G1763" s="102"/>
      <c r="H1763" s="175"/>
      <c r="I1763" s="85"/>
      <c r="J1763" s="104"/>
      <c r="K1763" s="144"/>
      <c r="L1763" s="62"/>
      <c r="M1763" s="49"/>
      <c r="Q1763" s="3"/>
      <c r="R1763" s="3"/>
      <c r="S1763" s="3"/>
      <c r="T1763" s="3"/>
      <c r="U1763" s="3"/>
      <c r="V1763" s="3"/>
      <c r="W1763" s="3"/>
      <c r="X1763" s="3"/>
      <c r="Y1763" s="3"/>
      <c r="Z1763" s="4"/>
      <c r="AA1763"/>
      <c r="AB1763"/>
    </row>
    <row r="1764" spans="1:28" s="37" customFormat="1" x14ac:dyDescent="0.15">
      <c r="A1764" s="62"/>
      <c r="B1764" s="93"/>
      <c r="C1764" s="102"/>
      <c r="D1764" s="62"/>
      <c r="E1764" s="102"/>
      <c r="F1764" s="102"/>
      <c r="G1764" s="102"/>
      <c r="H1764" s="175"/>
      <c r="I1764" s="85"/>
      <c r="J1764" s="104"/>
      <c r="K1764" s="144"/>
      <c r="L1764" s="62"/>
      <c r="M1764" s="49"/>
      <c r="Q1764" s="3"/>
      <c r="R1764" s="3"/>
      <c r="S1764" s="3"/>
      <c r="T1764" s="3"/>
      <c r="U1764" s="3"/>
      <c r="V1764" s="3"/>
      <c r="W1764" s="3"/>
      <c r="X1764" s="3"/>
      <c r="Y1764" s="3"/>
      <c r="Z1764" s="4"/>
      <c r="AA1764"/>
      <c r="AB1764"/>
    </row>
    <row r="1765" spans="1:28" s="37" customFormat="1" x14ac:dyDescent="0.15">
      <c r="A1765" s="62"/>
      <c r="B1765" s="93"/>
      <c r="C1765" s="102"/>
      <c r="D1765" s="62"/>
      <c r="E1765" s="102"/>
      <c r="F1765" s="102"/>
      <c r="G1765" s="102"/>
      <c r="H1765" s="175"/>
      <c r="I1765" s="85"/>
      <c r="J1765" s="104"/>
      <c r="K1765" s="144"/>
      <c r="L1765" s="62"/>
      <c r="M1765" s="49"/>
      <c r="Q1765" s="3"/>
      <c r="R1765" s="3"/>
      <c r="S1765" s="3"/>
      <c r="T1765" s="3"/>
      <c r="U1765" s="3"/>
      <c r="V1765" s="3"/>
      <c r="W1765" s="3"/>
      <c r="X1765" s="3"/>
      <c r="Y1765" s="3"/>
      <c r="Z1765" s="4"/>
      <c r="AA1765"/>
      <c r="AB1765"/>
    </row>
    <row r="1766" spans="1:28" s="37" customFormat="1" x14ac:dyDescent="0.15">
      <c r="A1766" s="62"/>
      <c r="B1766" s="93"/>
      <c r="C1766" s="100"/>
      <c r="D1766" s="61"/>
      <c r="E1766" s="100"/>
      <c r="F1766" s="100"/>
      <c r="G1766" s="100"/>
      <c r="H1766" s="177"/>
      <c r="I1766" s="85"/>
      <c r="J1766" s="101"/>
      <c r="K1766" s="143"/>
      <c r="L1766" s="61"/>
      <c r="M1766" s="49"/>
      <c r="N1766" s="51"/>
      <c r="Q1766" s="3"/>
      <c r="R1766" s="3"/>
      <c r="S1766" s="3"/>
      <c r="T1766" s="3"/>
      <c r="U1766" s="3"/>
      <c r="V1766" s="3"/>
      <c r="W1766" s="3"/>
      <c r="X1766" s="3"/>
      <c r="Y1766" s="3"/>
      <c r="Z1766" s="4"/>
      <c r="AA1766"/>
      <c r="AB1766"/>
    </row>
    <row r="1767" spans="1:28" s="37" customFormat="1" x14ac:dyDescent="0.15">
      <c r="A1767" s="165"/>
      <c r="B1767" s="93"/>
      <c r="C1767" s="100"/>
      <c r="D1767" s="61"/>
      <c r="E1767" s="100"/>
      <c r="F1767" s="100"/>
      <c r="G1767" s="100"/>
      <c r="H1767" s="177"/>
      <c r="I1767" s="85"/>
      <c r="J1767" s="101"/>
      <c r="K1767" s="143"/>
      <c r="L1767" s="61"/>
      <c r="M1767" s="50"/>
      <c r="N1767" s="51"/>
      <c r="Q1767" s="3"/>
      <c r="R1767" s="3"/>
      <c r="S1767" s="3"/>
      <c r="T1767" s="3"/>
      <c r="U1767" s="3"/>
      <c r="V1767" s="3"/>
      <c r="W1767" s="3"/>
      <c r="X1767" s="3"/>
      <c r="Y1767" s="3"/>
      <c r="Z1767" s="4"/>
      <c r="AA1767"/>
      <c r="AB1767"/>
    </row>
    <row r="1768" spans="1:28" s="37" customFormat="1" x14ac:dyDescent="0.15">
      <c r="A1768" s="165"/>
      <c r="B1768" s="93"/>
      <c r="C1768" s="100"/>
      <c r="D1768" s="61"/>
      <c r="E1768" s="100"/>
      <c r="F1768" s="100"/>
      <c r="G1768" s="100"/>
      <c r="H1768" s="177"/>
      <c r="I1768" s="103"/>
      <c r="J1768" s="103"/>
      <c r="K1768" s="141"/>
      <c r="L1768" s="61"/>
      <c r="M1768" s="50"/>
      <c r="N1768" s="36"/>
      <c r="Q1768" s="3"/>
      <c r="R1768" s="3"/>
      <c r="S1768" s="3"/>
      <c r="T1768" s="3"/>
      <c r="U1768" s="3"/>
      <c r="V1768" s="3"/>
      <c r="W1768" s="3"/>
      <c r="X1768" s="3"/>
      <c r="Y1768" s="3"/>
      <c r="Z1768" s="4"/>
      <c r="AA1768"/>
      <c r="AB1768"/>
    </row>
    <row r="1769" spans="1:28" s="37" customFormat="1" x14ac:dyDescent="0.15">
      <c r="A1769" s="62"/>
      <c r="B1769" s="93"/>
      <c r="C1769" s="100"/>
      <c r="D1769" s="61"/>
      <c r="E1769" s="100"/>
      <c r="F1769" s="100"/>
      <c r="G1769" s="100"/>
      <c r="H1769" s="177"/>
      <c r="I1769" s="85"/>
      <c r="J1769" s="101"/>
      <c r="K1769" s="143"/>
      <c r="L1769" s="61"/>
      <c r="M1769" s="50"/>
      <c r="N1769" s="35"/>
      <c r="Q1769" s="3"/>
      <c r="R1769" s="3"/>
      <c r="S1769" s="3"/>
      <c r="T1769" s="3"/>
      <c r="U1769" s="3"/>
      <c r="V1769" s="3"/>
      <c r="W1769" s="3"/>
      <c r="X1769" s="3"/>
      <c r="Y1769" s="3"/>
      <c r="Z1769" s="4"/>
      <c r="AA1769"/>
      <c r="AB1769"/>
    </row>
    <row r="1770" spans="1:28" s="37" customFormat="1" x14ac:dyDescent="0.15">
      <c r="A1770" s="62"/>
      <c r="B1770" s="93"/>
      <c r="C1770" s="100"/>
      <c r="D1770" s="61"/>
      <c r="E1770" s="100"/>
      <c r="F1770" s="100"/>
      <c r="G1770" s="100"/>
      <c r="H1770" s="177"/>
      <c r="I1770" s="85"/>
      <c r="J1770" s="101"/>
      <c r="K1770" s="143"/>
      <c r="L1770" s="61"/>
      <c r="M1770" s="50"/>
      <c r="N1770" s="35"/>
      <c r="Q1770" s="3"/>
      <c r="R1770" s="3"/>
      <c r="S1770" s="3"/>
      <c r="T1770" s="3"/>
      <c r="U1770" s="3"/>
      <c r="V1770" s="3"/>
      <c r="W1770" s="3"/>
      <c r="X1770" s="3"/>
      <c r="Y1770" s="3"/>
      <c r="Z1770" s="4"/>
      <c r="AA1770"/>
      <c r="AB1770"/>
    </row>
    <row r="1771" spans="1:28" s="37" customFormat="1" x14ac:dyDescent="0.15">
      <c r="A1771" s="62"/>
      <c r="B1771" s="93"/>
      <c r="C1771" s="100"/>
      <c r="D1771" s="61"/>
      <c r="E1771" s="100"/>
      <c r="F1771" s="100"/>
      <c r="G1771" s="100"/>
      <c r="H1771" s="177"/>
      <c r="I1771" s="85"/>
      <c r="J1771" s="101"/>
      <c r="K1771" s="143"/>
      <c r="L1771" s="61"/>
      <c r="M1771" s="50"/>
      <c r="N1771" s="35"/>
      <c r="O1771" s="51"/>
      <c r="Q1771" s="3"/>
      <c r="R1771" s="3"/>
      <c r="S1771" s="3"/>
      <c r="T1771" s="3"/>
      <c r="U1771" s="3"/>
      <c r="V1771" s="3"/>
      <c r="W1771" s="3"/>
      <c r="X1771" s="3"/>
      <c r="Y1771" s="3"/>
      <c r="Z1771" s="4"/>
      <c r="AA1771"/>
      <c r="AB1771"/>
    </row>
    <row r="1772" spans="1:28" s="37" customFormat="1" x14ac:dyDescent="0.15">
      <c r="A1772" s="165"/>
      <c r="B1772" s="82"/>
      <c r="C1772" s="105"/>
      <c r="D1772" s="61"/>
      <c r="E1772" s="105"/>
      <c r="F1772" s="105"/>
      <c r="G1772" s="105"/>
      <c r="H1772" s="178"/>
      <c r="I1772" s="85"/>
      <c r="J1772" s="101"/>
      <c r="K1772" s="143"/>
      <c r="L1772" s="61"/>
      <c r="M1772" s="50"/>
      <c r="O1772" s="51"/>
      <c r="Q1772" s="3"/>
      <c r="R1772" s="3"/>
      <c r="S1772" s="3"/>
      <c r="T1772" s="3"/>
      <c r="U1772" s="3"/>
      <c r="V1772" s="3"/>
      <c r="W1772" s="3"/>
      <c r="X1772" s="3"/>
      <c r="Y1772" s="3"/>
      <c r="Z1772" s="4"/>
      <c r="AA1772"/>
      <c r="AB1772"/>
    </row>
    <row r="1773" spans="1:28" s="37" customFormat="1" x14ac:dyDescent="0.15">
      <c r="A1773" s="165"/>
      <c r="B1773" s="93"/>
      <c r="C1773" s="100"/>
      <c r="D1773" s="61"/>
      <c r="E1773" s="100"/>
      <c r="F1773" s="100"/>
      <c r="G1773" s="100"/>
      <c r="H1773" s="177"/>
      <c r="I1773" s="85"/>
      <c r="J1773" s="101"/>
      <c r="K1773" s="143"/>
      <c r="L1773" s="61"/>
      <c r="M1773" s="50"/>
      <c r="O1773" s="35"/>
      <c r="Q1773" s="3"/>
      <c r="R1773" s="3"/>
      <c r="S1773" s="3"/>
      <c r="T1773" s="3"/>
      <c r="U1773" s="3"/>
      <c r="V1773" s="3"/>
      <c r="W1773" s="3"/>
      <c r="X1773" s="3"/>
      <c r="Y1773" s="3"/>
      <c r="Z1773" s="4"/>
      <c r="AA1773"/>
      <c r="AB1773"/>
    </row>
    <row r="1774" spans="1:28" s="37" customFormat="1" x14ac:dyDescent="0.15">
      <c r="A1774" s="165"/>
      <c r="B1774" s="93"/>
      <c r="C1774" s="100"/>
      <c r="D1774" s="61"/>
      <c r="E1774" s="100"/>
      <c r="F1774" s="100"/>
      <c r="G1774" s="100"/>
      <c r="H1774" s="177"/>
      <c r="I1774" s="85"/>
      <c r="J1774" s="101"/>
      <c r="K1774" s="143"/>
      <c r="L1774" s="61"/>
      <c r="M1774" s="50"/>
      <c r="O1774" s="51"/>
      <c r="Q1774" s="3"/>
      <c r="R1774" s="3"/>
      <c r="S1774" s="3"/>
      <c r="T1774" s="3"/>
      <c r="U1774" s="3"/>
      <c r="V1774" s="3"/>
      <c r="W1774" s="3"/>
      <c r="X1774" s="3"/>
      <c r="Y1774" s="3"/>
      <c r="Z1774" s="4"/>
      <c r="AA1774"/>
      <c r="AB1774"/>
    </row>
    <row r="1775" spans="1:28" s="37" customFormat="1" x14ac:dyDescent="0.15">
      <c r="A1775" s="165"/>
      <c r="B1775" s="93"/>
      <c r="C1775" s="100"/>
      <c r="D1775" s="61"/>
      <c r="E1775" s="100"/>
      <c r="F1775" s="100"/>
      <c r="G1775" s="100"/>
      <c r="H1775" s="177"/>
      <c r="I1775" s="85"/>
      <c r="J1775" s="101"/>
      <c r="K1775" s="143"/>
      <c r="L1775" s="61"/>
      <c r="M1775" s="35"/>
      <c r="O1775" s="35"/>
      <c r="Q1775" s="3"/>
      <c r="R1775" s="3"/>
      <c r="S1775" s="3"/>
      <c r="T1775" s="3"/>
      <c r="U1775" s="3"/>
      <c r="V1775" s="3"/>
      <c r="W1775" s="3"/>
      <c r="X1775" s="3"/>
      <c r="Y1775" s="3"/>
      <c r="Z1775" s="4"/>
      <c r="AA1775"/>
      <c r="AB1775"/>
    </row>
    <row r="1776" spans="1:28" s="37" customFormat="1" x14ac:dyDescent="0.15">
      <c r="A1776" s="165"/>
      <c r="B1776" s="93"/>
      <c r="C1776" s="102"/>
      <c r="D1776" s="62"/>
      <c r="E1776" s="102"/>
      <c r="F1776" s="102"/>
      <c r="G1776" s="102"/>
      <c r="H1776" s="175"/>
      <c r="I1776" s="85"/>
      <c r="J1776" s="104"/>
      <c r="K1776" s="143"/>
      <c r="L1776" s="61"/>
      <c r="M1776" s="35"/>
      <c r="O1776" s="35"/>
      <c r="Q1776" s="3"/>
      <c r="R1776" s="3"/>
      <c r="S1776" s="3"/>
      <c r="T1776" s="3"/>
      <c r="U1776" s="3"/>
      <c r="V1776" s="3"/>
      <c r="W1776" s="3"/>
      <c r="X1776" s="3"/>
      <c r="Y1776" s="3"/>
      <c r="Z1776" s="4"/>
      <c r="AA1776"/>
      <c r="AB1776"/>
    </row>
    <row r="1777" spans="1:28" s="37" customFormat="1" x14ac:dyDescent="0.15">
      <c r="A1777" s="165"/>
      <c r="B1777" s="93"/>
      <c r="C1777" s="100"/>
      <c r="D1777" s="61"/>
      <c r="E1777" s="100"/>
      <c r="F1777" s="100"/>
      <c r="G1777" s="100"/>
      <c r="H1777" s="177"/>
      <c r="I1777" s="85"/>
      <c r="J1777" s="101"/>
      <c r="K1777" s="143"/>
      <c r="L1777" s="61"/>
      <c r="M1777" s="50"/>
      <c r="N1777" s="51"/>
      <c r="Q1777" s="3"/>
      <c r="R1777" s="3"/>
      <c r="S1777" s="3"/>
      <c r="T1777" s="3"/>
      <c r="U1777" s="3"/>
      <c r="V1777" s="3"/>
      <c r="W1777" s="3"/>
      <c r="X1777" s="3"/>
      <c r="Y1777" s="3"/>
      <c r="Z1777" s="4"/>
      <c r="AA1777"/>
      <c r="AB1777"/>
    </row>
    <row r="1778" spans="1:28" s="37" customFormat="1" x14ac:dyDescent="0.15">
      <c r="A1778" s="165"/>
      <c r="B1778" s="93"/>
      <c r="C1778" s="100"/>
      <c r="D1778" s="61"/>
      <c r="E1778" s="100"/>
      <c r="F1778" s="100"/>
      <c r="G1778" s="100"/>
      <c r="H1778" s="177"/>
      <c r="I1778" s="85"/>
      <c r="J1778" s="101"/>
      <c r="K1778" s="143"/>
      <c r="L1778" s="61"/>
      <c r="M1778" s="49"/>
      <c r="Q1778" s="3"/>
      <c r="R1778" s="3"/>
      <c r="S1778" s="3"/>
      <c r="T1778" s="3"/>
      <c r="U1778" s="3"/>
      <c r="V1778" s="3"/>
      <c r="W1778" s="3"/>
      <c r="X1778" s="3"/>
      <c r="Y1778" s="3"/>
      <c r="Z1778" s="4"/>
      <c r="AA1778"/>
      <c r="AB1778"/>
    </row>
    <row r="1779" spans="1:28" s="37" customFormat="1" x14ac:dyDescent="0.15">
      <c r="A1779" s="165"/>
      <c r="B1779" s="93"/>
      <c r="C1779" s="102"/>
      <c r="D1779" s="62"/>
      <c r="E1779" s="100"/>
      <c r="F1779" s="102"/>
      <c r="G1779" s="102"/>
      <c r="H1779" s="175"/>
      <c r="I1779" s="85"/>
      <c r="J1779" s="104"/>
      <c r="K1779" s="143"/>
      <c r="L1779" s="61"/>
      <c r="M1779" s="49"/>
      <c r="Q1779" s="3"/>
      <c r="R1779" s="3"/>
      <c r="S1779" s="3"/>
      <c r="T1779" s="3"/>
      <c r="U1779" s="3"/>
      <c r="V1779" s="3"/>
      <c r="W1779" s="3"/>
      <c r="X1779" s="3"/>
      <c r="Y1779" s="3"/>
      <c r="Z1779" s="4"/>
      <c r="AA1779"/>
      <c r="AB1779"/>
    </row>
    <row r="1780" spans="1:28" s="37" customFormat="1" x14ac:dyDescent="0.15">
      <c r="A1780" s="165"/>
      <c r="B1780" s="93"/>
      <c r="C1780" s="102"/>
      <c r="D1780" s="62"/>
      <c r="E1780" s="102"/>
      <c r="F1780" s="102"/>
      <c r="G1780" s="102"/>
      <c r="H1780" s="175"/>
      <c r="I1780" s="85"/>
      <c r="J1780" s="104"/>
      <c r="K1780" s="143"/>
      <c r="L1780" s="61"/>
      <c r="M1780" s="49"/>
      <c r="Q1780" s="3"/>
      <c r="R1780" s="3"/>
      <c r="S1780" s="3"/>
      <c r="T1780" s="3"/>
      <c r="U1780" s="3"/>
      <c r="V1780" s="3"/>
      <c r="W1780" s="3"/>
      <c r="X1780" s="3"/>
      <c r="Y1780" s="3"/>
      <c r="Z1780" s="4"/>
      <c r="AA1780"/>
      <c r="AB1780"/>
    </row>
    <row r="1781" spans="1:28" s="37" customFormat="1" x14ac:dyDescent="0.15">
      <c r="A1781" s="165"/>
      <c r="B1781" s="93"/>
      <c r="C1781" s="102"/>
      <c r="D1781" s="62"/>
      <c r="E1781" s="102"/>
      <c r="F1781" s="102"/>
      <c r="G1781" s="102"/>
      <c r="H1781" s="175"/>
      <c r="I1781" s="85"/>
      <c r="J1781" s="104"/>
      <c r="K1781" s="143"/>
      <c r="L1781" s="61"/>
      <c r="M1781" s="49"/>
      <c r="Q1781" s="3"/>
      <c r="R1781" s="3"/>
      <c r="S1781" s="3"/>
      <c r="T1781" s="3"/>
      <c r="U1781" s="3"/>
      <c r="V1781" s="3"/>
      <c r="W1781" s="3"/>
      <c r="X1781" s="3"/>
      <c r="Y1781" s="3"/>
      <c r="Z1781" s="4"/>
      <c r="AA1781"/>
      <c r="AB1781"/>
    </row>
    <row r="1782" spans="1:28" s="37" customFormat="1" x14ac:dyDescent="0.15">
      <c r="A1782" s="165"/>
      <c r="B1782" s="82"/>
      <c r="C1782" s="107"/>
      <c r="D1782" s="62"/>
      <c r="E1782" s="107"/>
      <c r="F1782" s="107"/>
      <c r="G1782" s="107"/>
      <c r="H1782" s="179"/>
      <c r="I1782" s="85"/>
      <c r="J1782" s="104"/>
      <c r="K1782" s="143"/>
      <c r="L1782" s="61"/>
      <c r="M1782" s="49"/>
      <c r="Q1782" s="3"/>
      <c r="R1782" s="3"/>
      <c r="S1782" s="3"/>
      <c r="T1782" s="3"/>
      <c r="U1782" s="3"/>
      <c r="V1782" s="3"/>
      <c r="W1782" s="3"/>
      <c r="X1782" s="3"/>
      <c r="Y1782" s="3"/>
      <c r="Z1782" s="4"/>
      <c r="AA1782"/>
      <c r="AB1782"/>
    </row>
    <row r="1783" spans="1:28" s="37" customFormat="1" x14ac:dyDescent="0.15">
      <c r="A1783" s="165"/>
      <c r="B1783" s="93"/>
      <c r="C1783" s="102"/>
      <c r="D1783" s="62"/>
      <c r="E1783" s="102"/>
      <c r="F1783" s="102"/>
      <c r="G1783" s="102"/>
      <c r="H1783" s="175"/>
      <c r="I1783" s="85"/>
      <c r="J1783" s="104"/>
      <c r="K1783" s="143"/>
      <c r="L1783" s="61"/>
      <c r="M1783" s="49"/>
      <c r="Q1783" s="3"/>
      <c r="R1783" s="3"/>
      <c r="S1783" s="3"/>
      <c r="T1783" s="3"/>
      <c r="U1783" s="3"/>
      <c r="V1783" s="3"/>
      <c r="W1783" s="3"/>
      <c r="X1783" s="3"/>
      <c r="Y1783" s="3"/>
      <c r="Z1783" s="4"/>
      <c r="AA1783"/>
      <c r="AB1783"/>
    </row>
    <row r="1784" spans="1:28" s="37" customFormat="1" x14ac:dyDescent="0.15">
      <c r="A1784" s="165"/>
      <c r="B1784" s="93"/>
      <c r="C1784" s="100"/>
      <c r="D1784" s="61"/>
      <c r="E1784" s="100"/>
      <c r="F1784" s="100"/>
      <c r="G1784" s="100"/>
      <c r="H1784" s="177"/>
      <c r="I1784" s="85"/>
      <c r="J1784" s="101"/>
      <c r="K1784" s="143"/>
      <c r="L1784" s="61"/>
      <c r="M1784" s="49"/>
      <c r="Q1784" s="3"/>
      <c r="R1784" s="3"/>
      <c r="S1784" s="3"/>
      <c r="T1784" s="3"/>
      <c r="U1784" s="3"/>
      <c r="V1784" s="3"/>
      <c r="W1784" s="3"/>
      <c r="X1784" s="3"/>
      <c r="Y1784" s="3"/>
      <c r="Z1784" s="4"/>
      <c r="AA1784"/>
      <c r="AB1784"/>
    </row>
    <row r="1785" spans="1:28" s="37" customFormat="1" x14ac:dyDescent="0.15">
      <c r="A1785" s="165"/>
      <c r="B1785" s="93"/>
      <c r="C1785" s="102"/>
      <c r="D1785" s="62"/>
      <c r="E1785" s="100"/>
      <c r="F1785" s="102"/>
      <c r="G1785" s="102"/>
      <c r="H1785" s="175"/>
      <c r="I1785" s="85"/>
      <c r="J1785" s="104"/>
      <c r="K1785" s="143"/>
      <c r="L1785" s="61"/>
      <c r="M1785" s="49"/>
      <c r="Q1785" s="3"/>
      <c r="R1785" s="3"/>
      <c r="S1785" s="3"/>
      <c r="T1785" s="3"/>
      <c r="U1785" s="3"/>
      <c r="V1785" s="3"/>
      <c r="W1785" s="3"/>
      <c r="X1785" s="3"/>
      <c r="Y1785" s="3"/>
      <c r="Z1785" s="4"/>
      <c r="AA1785"/>
      <c r="AB1785"/>
    </row>
    <row r="1786" spans="1:28" s="37" customFormat="1" x14ac:dyDescent="0.15">
      <c r="A1786" s="165"/>
      <c r="B1786" s="82"/>
      <c r="C1786" s="105"/>
      <c r="D1786" s="61"/>
      <c r="E1786" s="105"/>
      <c r="F1786" s="105"/>
      <c r="G1786" s="105"/>
      <c r="H1786" s="178"/>
      <c r="I1786" s="85"/>
      <c r="J1786" s="101"/>
      <c r="K1786" s="143"/>
      <c r="L1786" s="61"/>
      <c r="M1786" s="49"/>
      <c r="Q1786" s="3"/>
      <c r="R1786" s="3"/>
      <c r="S1786" s="3"/>
      <c r="T1786" s="3"/>
      <c r="U1786" s="3"/>
      <c r="V1786" s="3"/>
      <c r="W1786" s="3"/>
      <c r="X1786" s="3"/>
      <c r="Y1786" s="3"/>
      <c r="Z1786" s="4"/>
      <c r="AA1786"/>
      <c r="AB1786"/>
    </row>
    <row r="1787" spans="1:28" s="37" customFormat="1" x14ac:dyDescent="0.15">
      <c r="A1787" s="165"/>
      <c r="B1787" s="82"/>
      <c r="C1787" s="105"/>
      <c r="D1787" s="61"/>
      <c r="E1787" s="105"/>
      <c r="F1787" s="105"/>
      <c r="G1787" s="105"/>
      <c r="H1787" s="178"/>
      <c r="I1787" s="85"/>
      <c r="J1787" s="101"/>
      <c r="K1787" s="143"/>
      <c r="L1787" s="61"/>
      <c r="M1787" s="49"/>
      <c r="Q1787" s="3"/>
      <c r="R1787" s="3"/>
      <c r="S1787" s="3"/>
      <c r="T1787" s="3"/>
      <c r="U1787" s="3"/>
      <c r="V1787" s="3"/>
      <c r="W1787" s="3"/>
      <c r="X1787" s="3"/>
      <c r="Y1787" s="3"/>
      <c r="Z1787" s="4"/>
      <c r="AA1787"/>
      <c r="AB1787"/>
    </row>
    <row r="1788" spans="1:28" s="37" customFormat="1" x14ac:dyDescent="0.15">
      <c r="A1788" s="165"/>
      <c r="B1788" s="96"/>
      <c r="C1788" s="107"/>
      <c r="D1788" s="62"/>
      <c r="E1788" s="105"/>
      <c r="F1788" s="107"/>
      <c r="G1788" s="107"/>
      <c r="H1788" s="179"/>
      <c r="I1788" s="85"/>
      <c r="J1788" s="104"/>
      <c r="K1788" s="143"/>
      <c r="L1788" s="61"/>
      <c r="M1788" s="49"/>
      <c r="Q1788" s="3"/>
      <c r="R1788" s="3"/>
      <c r="S1788" s="3"/>
      <c r="T1788" s="3"/>
      <c r="U1788" s="3"/>
      <c r="V1788" s="3"/>
      <c r="W1788" s="3"/>
      <c r="X1788" s="3"/>
      <c r="Y1788" s="3"/>
      <c r="Z1788" s="4"/>
      <c r="AA1788"/>
      <c r="AB1788"/>
    </row>
    <row r="1789" spans="1:28" s="37" customFormat="1" x14ac:dyDescent="0.15">
      <c r="A1789" s="165"/>
      <c r="B1789" s="93"/>
      <c r="C1789" s="102"/>
      <c r="D1789" s="62"/>
      <c r="E1789" s="102"/>
      <c r="F1789" s="102"/>
      <c r="G1789" s="102"/>
      <c r="H1789" s="175"/>
      <c r="I1789" s="85"/>
      <c r="J1789" s="103"/>
      <c r="K1789" s="135"/>
      <c r="L1789" s="61"/>
      <c r="M1789" s="49"/>
      <c r="Q1789" s="3"/>
      <c r="R1789" s="3"/>
      <c r="S1789" s="3"/>
      <c r="T1789" s="3"/>
      <c r="U1789" s="3"/>
      <c r="V1789" s="3"/>
      <c r="W1789" s="3"/>
      <c r="X1789" s="3"/>
      <c r="Y1789" s="3"/>
      <c r="Z1789" s="4"/>
      <c r="AA1789"/>
      <c r="AB1789"/>
    </row>
    <row r="1790" spans="1:28" s="49" customFormat="1" x14ac:dyDescent="0.15">
      <c r="A1790" s="165"/>
      <c r="B1790" s="82"/>
      <c r="C1790" s="107"/>
      <c r="D1790" s="62"/>
      <c r="E1790" s="107"/>
      <c r="F1790" s="107"/>
      <c r="G1790" s="107"/>
      <c r="H1790" s="179"/>
      <c r="I1790" s="85"/>
      <c r="J1790" s="104"/>
      <c r="K1790" s="143"/>
      <c r="L1790" s="61"/>
      <c r="N1790" s="37"/>
      <c r="O1790" s="37"/>
      <c r="P1790" s="37"/>
      <c r="Q1790" s="3"/>
      <c r="R1790" s="3"/>
      <c r="S1790" s="3"/>
      <c r="T1790" s="3"/>
      <c r="U1790" s="3"/>
      <c r="V1790" s="3"/>
      <c r="W1790" s="3"/>
      <c r="X1790" s="3"/>
      <c r="Y1790" s="3"/>
      <c r="Z1790" s="4"/>
      <c r="AA1790"/>
      <c r="AB1790"/>
    </row>
    <row r="1791" spans="1:28" s="49" customFormat="1" x14ac:dyDescent="0.15">
      <c r="A1791" s="165"/>
      <c r="B1791" s="82"/>
      <c r="C1791" s="105"/>
      <c r="D1791" s="61"/>
      <c r="E1791" s="105"/>
      <c r="F1791" s="105"/>
      <c r="G1791" s="105"/>
      <c r="H1791" s="178"/>
      <c r="I1791" s="85"/>
      <c r="J1791" s="101"/>
      <c r="K1791" s="143"/>
      <c r="L1791" s="61"/>
      <c r="N1791" s="37"/>
      <c r="O1791" s="37"/>
      <c r="P1791" s="37"/>
      <c r="Q1791" s="3"/>
      <c r="R1791" s="3"/>
      <c r="S1791" s="3"/>
      <c r="T1791" s="3"/>
      <c r="U1791" s="3"/>
      <c r="V1791" s="3"/>
      <c r="W1791" s="3"/>
      <c r="X1791" s="3"/>
      <c r="Y1791" s="3"/>
      <c r="Z1791" s="4"/>
      <c r="AA1791"/>
      <c r="AB1791"/>
    </row>
    <row r="1792" spans="1:28" s="49" customFormat="1" x14ac:dyDescent="0.15">
      <c r="A1792" s="165"/>
      <c r="B1792" s="93"/>
      <c r="C1792" s="102"/>
      <c r="D1792" s="62"/>
      <c r="E1792" s="100"/>
      <c r="F1792" s="102"/>
      <c r="G1792" s="102"/>
      <c r="H1792" s="175"/>
      <c r="I1792" s="85"/>
      <c r="J1792" s="104"/>
      <c r="K1792" s="143"/>
      <c r="L1792" s="61"/>
      <c r="N1792" s="37"/>
      <c r="O1792" s="37"/>
      <c r="P1792" s="37"/>
      <c r="Q1792" s="3"/>
      <c r="R1792" s="3"/>
      <c r="S1792" s="3"/>
      <c r="T1792" s="3"/>
      <c r="U1792" s="3"/>
      <c r="V1792" s="3"/>
      <c r="W1792" s="3"/>
      <c r="X1792" s="3"/>
      <c r="Y1792" s="3"/>
      <c r="Z1792" s="4"/>
      <c r="AA1792"/>
      <c r="AB1792"/>
    </row>
    <row r="1793" spans="1:28" s="49" customFormat="1" x14ac:dyDescent="0.15">
      <c r="A1793" s="165"/>
      <c r="B1793" s="93"/>
      <c r="C1793" s="102"/>
      <c r="D1793" s="62"/>
      <c r="E1793" s="100"/>
      <c r="F1793" s="102"/>
      <c r="G1793" s="102"/>
      <c r="H1793" s="175"/>
      <c r="I1793" s="85"/>
      <c r="J1793" s="104"/>
      <c r="K1793" s="143"/>
      <c r="L1793" s="61"/>
      <c r="N1793" s="37"/>
      <c r="O1793" s="37"/>
      <c r="P1793" s="37"/>
      <c r="Q1793" s="3"/>
      <c r="R1793" s="3"/>
      <c r="S1793" s="3"/>
      <c r="T1793" s="3"/>
      <c r="U1793" s="3"/>
      <c r="V1793" s="3"/>
      <c r="W1793" s="3"/>
      <c r="X1793" s="3"/>
      <c r="Y1793" s="3"/>
      <c r="Z1793" s="4"/>
      <c r="AA1793"/>
      <c r="AB1793"/>
    </row>
    <row r="1794" spans="1:28" s="49" customFormat="1" x14ac:dyDescent="0.15">
      <c r="A1794" s="165"/>
      <c r="B1794" s="93"/>
      <c r="C1794" s="102"/>
      <c r="D1794" s="62"/>
      <c r="E1794" s="100"/>
      <c r="F1794" s="102"/>
      <c r="G1794" s="102"/>
      <c r="H1794" s="175"/>
      <c r="I1794" s="85"/>
      <c r="J1794" s="104"/>
      <c r="K1794" s="143"/>
      <c r="L1794" s="61"/>
      <c r="N1794" s="37"/>
      <c r="O1794" s="37"/>
      <c r="P1794" s="37"/>
      <c r="Q1794" s="3"/>
      <c r="R1794" s="3"/>
      <c r="S1794" s="3"/>
      <c r="T1794" s="3"/>
      <c r="U1794" s="3"/>
      <c r="V1794" s="3"/>
      <c r="W1794" s="3"/>
      <c r="X1794" s="3"/>
      <c r="Y1794" s="3"/>
      <c r="Z1794" s="4"/>
      <c r="AA1794"/>
      <c r="AB1794"/>
    </row>
    <row r="1795" spans="1:28" s="49" customFormat="1" x14ac:dyDescent="0.15">
      <c r="A1795" s="165"/>
      <c r="B1795" s="82"/>
      <c r="C1795" s="107"/>
      <c r="D1795" s="62"/>
      <c r="E1795" s="107"/>
      <c r="F1795" s="107"/>
      <c r="G1795" s="107"/>
      <c r="H1795" s="179"/>
      <c r="I1795" s="85"/>
      <c r="J1795" s="104"/>
      <c r="K1795" s="143"/>
      <c r="L1795" s="61"/>
      <c r="N1795" s="37"/>
      <c r="O1795" s="37"/>
      <c r="P1795" s="37"/>
      <c r="Q1795" s="3"/>
      <c r="R1795" s="3"/>
      <c r="S1795" s="3"/>
      <c r="T1795" s="3"/>
      <c r="U1795" s="3"/>
      <c r="V1795" s="3"/>
      <c r="W1795" s="3"/>
      <c r="X1795" s="3"/>
      <c r="Y1795" s="3"/>
      <c r="Z1795" s="4"/>
      <c r="AA1795"/>
      <c r="AB1795"/>
    </row>
    <row r="1796" spans="1:28" s="49" customFormat="1" x14ac:dyDescent="0.15">
      <c r="A1796" s="165"/>
      <c r="B1796" s="82"/>
      <c r="C1796" s="107"/>
      <c r="D1796" s="62"/>
      <c r="E1796" s="107"/>
      <c r="F1796" s="107"/>
      <c r="G1796" s="107"/>
      <c r="H1796" s="179"/>
      <c r="I1796" s="85"/>
      <c r="J1796" s="104"/>
      <c r="K1796" s="143"/>
      <c r="L1796" s="61"/>
      <c r="N1796" s="37"/>
      <c r="O1796" s="37"/>
      <c r="P1796" s="37"/>
      <c r="Q1796" s="3"/>
      <c r="R1796" s="3"/>
      <c r="S1796" s="3"/>
      <c r="T1796" s="3"/>
      <c r="U1796" s="3"/>
      <c r="V1796" s="3"/>
      <c r="W1796" s="3"/>
      <c r="X1796" s="3"/>
      <c r="Y1796" s="3"/>
      <c r="Z1796" s="4"/>
      <c r="AA1796"/>
      <c r="AB1796"/>
    </row>
    <row r="1797" spans="1:28" s="49" customFormat="1" x14ac:dyDescent="0.15">
      <c r="A1797" s="165"/>
      <c r="B1797" s="82"/>
      <c r="C1797" s="107"/>
      <c r="D1797" s="62"/>
      <c r="E1797" s="105"/>
      <c r="F1797" s="107"/>
      <c r="G1797" s="107"/>
      <c r="H1797" s="179"/>
      <c r="I1797" s="85"/>
      <c r="J1797" s="104"/>
      <c r="K1797" s="143"/>
      <c r="L1797" s="61"/>
      <c r="N1797" s="37"/>
      <c r="O1797" s="37"/>
      <c r="P1797" s="37"/>
      <c r="Q1797" s="3"/>
      <c r="R1797" s="3"/>
      <c r="S1797" s="3"/>
      <c r="T1797" s="3"/>
      <c r="U1797" s="3"/>
      <c r="V1797" s="3"/>
      <c r="W1797" s="3"/>
      <c r="X1797" s="3"/>
      <c r="Y1797" s="3"/>
      <c r="Z1797" s="4"/>
      <c r="AA1797"/>
      <c r="AB1797"/>
    </row>
    <row r="1798" spans="1:28" s="49" customFormat="1" x14ac:dyDescent="0.15">
      <c r="A1798" s="165"/>
      <c r="B1798" s="93"/>
      <c r="C1798" s="100"/>
      <c r="D1798" s="61"/>
      <c r="E1798" s="100"/>
      <c r="F1798" s="100"/>
      <c r="G1798" s="100"/>
      <c r="H1798" s="177"/>
      <c r="I1798" s="85"/>
      <c r="J1798" s="101"/>
      <c r="K1798" s="143"/>
      <c r="L1798" s="61"/>
      <c r="N1798" s="37"/>
      <c r="O1798" s="37"/>
      <c r="P1798" s="37"/>
      <c r="Q1798" s="3"/>
      <c r="R1798" s="3"/>
      <c r="S1798" s="3"/>
      <c r="T1798" s="3"/>
      <c r="U1798" s="3"/>
      <c r="V1798" s="3"/>
      <c r="W1798" s="3"/>
      <c r="X1798" s="3"/>
      <c r="Y1798" s="3"/>
      <c r="Z1798" s="4"/>
      <c r="AA1798"/>
      <c r="AB1798"/>
    </row>
    <row r="1799" spans="1:28" s="49" customFormat="1" x14ac:dyDescent="0.15">
      <c r="A1799" s="165"/>
      <c r="B1799" s="82"/>
      <c r="C1799" s="105"/>
      <c r="D1799" s="61"/>
      <c r="E1799" s="105"/>
      <c r="F1799" s="105"/>
      <c r="G1799" s="105"/>
      <c r="H1799" s="178"/>
      <c r="I1799" s="85"/>
      <c r="J1799" s="101"/>
      <c r="K1799" s="143"/>
      <c r="L1799" s="61"/>
      <c r="N1799" s="37"/>
      <c r="O1799" s="37"/>
      <c r="P1799" s="37"/>
      <c r="Q1799" s="3"/>
      <c r="R1799" s="3"/>
      <c r="S1799" s="3"/>
      <c r="T1799" s="3"/>
      <c r="U1799" s="3"/>
      <c r="V1799" s="3"/>
      <c r="W1799" s="3"/>
      <c r="X1799" s="3"/>
      <c r="Y1799" s="3"/>
      <c r="Z1799" s="4"/>
      <c r="AA1799"/>
      <c r="AB1799"/>
    </row>
    <row r="1800" spans="1:28" s="49" customFormat="1" x14ac:dyDescent="0.15">
      <c r="A1800" s="165"/>
      <c r="B1800" s="93"/>
      <c r="C1800" s="100"/>
      <c r="D1800" s="61"/>
      <c r="E1800" s="100"/>
      <c r="F1800" s="100"/>
      <c r="G1800" s="100"/>
      <c r="H1800" s="177"/>
      <c r="I1800" s="85"/>
      <c r="J1800" s="101"/>
      <c r="K1800" s="143"/>
      <c r="L1800" s="61"/>
      <c r="N1800" s="37"/>
      <c r="O1800" s="37"/>
      <c r="P1800" s="37"/>
      <c r="Q1800" s="3"/>
      <c r="R1800" s="3"/>
      <c r="S1800" s="3"/>
      <c r="T1800" s="3"/>
      <c r="U1800" s="3"/>
      <c r="V1800" s="3"/>
      <c r="W1800" s="3"/>
      <c r="X1800" s="3"/>
      <c r="Y1800" s="3"/>
      <c r="Z1800" s="4"/>
      <c r="AA1800"/>
      <c r="AB1800"/>
    </row>
    <row r="1801" spans="1:28" s="49" customFormat="1" x14ac:dyDescent="0.15">
      <c r="A1801" s="165"/>
      <c r="B1801" s="82"/>
      <c r="C1801" s="107"/>
      <c r="D1801" s="62"/>
      <c r="E1801" s="105"/>
      <c r="F1801" s="107"/>
      <c r="G1801" s="107"/>
      <c r="H1801" s="179"/>
      <c r="I1801" s="85"/>
      <c r="J1801" s="104"/>
      <c r="K1801" s="143"/>
      <c r="L1801" s="61"/>
      <c r="N1801" s="37"/>
      <c r="O1801" s="37"/>
      <c r="P1801" s="37"/>
      <c r="Q1801" s="3"/>
      <c r="R1801" s="3"/>
      <c r="S1801" s="3"/>
      <c r="T1801" s="3"/>
      <c r="U1801" s="3"/>
      <c r="V1801" s="3"/>
      <c r="W1801" s="3"/>
      <c r="X1801" s="3"/>
      <c r="Y1801" s="3"/>
      <c r="Z1801" s="4"/>
      <c r="AA1801"/>
      <c r="AB1801"/>
    </row>
    <row r="1802" spans="1:28" s="49" customFormat="1" x14ac:dyDescent="0.15">
      <c r="A1802" s="165"/>
      <c r="B1802" s="93"/>
      <c r="C1802" s="100"/>
      <c r="D1802" s="61"/>
      <c r="E1802" s="100"/>
      <c r="F1802" s="100"/>
      <c r="G1802" s="100"/>
      <c r="H1802" s="177"/>
      <c r="I1802" s="85"/>
      <c r="J1802" s="101"/>
      <c r="K1802" s="143"/>
      <c r="L1802" s="61"/>
      <c r="N1802" s="37"/>
      <c r="O1802" s="37"/>
      <c r="P1802" s="37"/>
      <c r="Q1802" s="3"/>
      <c r="R1802" s="3"/>
      <c r="S1802" s="3"/>
      <c r="T1802" s="3"/>
      <c r="U1802" s="3"/>
      <c r="V1802" s="3"/>
      <c r="W1802" s="3"/>
      <c r="X1802" s="3"/>
      <c r="Y1802" s="3"/>
      <c r="Z1802" s="4"/>
      <c r="AA1802"/>
      <c r="AB1802"/>
    </row>
    <row r="1803" spans="1:28" s="49" customFormat="1" x14ac:dyDescent="0.15">
      <c r="A1803" s="165"/>
      <c r="B1803" s="93"/>
      <c r="C1803" s="102"/>
      <c r="D1803" s="62"/>
      <c r="E1803" s="102"/>
      <c r="F1803" s="102"/>
      <c r="G1803" s="102"/>
      <c r="H1803" s="175"/>
      <c r="I1803" s="85"/>
      <c r="J1803" s="104"/>
      <c r="K1803" s="143"/>
      <c r="L1803" s="61"/>
      <c r="N1803" s="37"/>
      <c r="O1803" s="37"/>
      <c r="P1803" s="37"/>
      <c r="Q1803" s="3"/>
      <c r="R1803" s="3"/>
      <c r="S1803" s="3"/>
      <c r="T1803" s="3"/>
      <c r="U1803" s="3"/>
      <c r="V1803" s="3"/>
      <c r="W1803" s="3"/>
      <c r="X1803" s="3"/>
      <c r="Y1803" s="3"/>
      <c r="Z1803" s="4"/>
      <c r="AA1803"/>
      <c r="AB1803"/>
    </row>
    <row r="1804" spans="1:28" s="49" customFormat="1" x14ac:dyDescent="0.15">
      <c r="A1804" s="165"/>
      <c r="B1804" s="82"/>
      <c r="C1804" s="107"/>
      <c r="D1804" s="62"/>
      <c r="E1804" s="107"/>
      <c r="F1804" s="107"/>
      <c r="G1804" s="107"/>
      <c r="H1804" s="179"/>
      <c r="I1804" s="85"/>
      <c r="J1804" s="104"/>
      <c r="K1804" s="143"/>
      <c r="L1804" s="61"/>
      <c r="N1804" s="37"/>
      <c r="O1804" s="37"/>
      <c r="P1804" s="37"/>
      <c r="Q1804" s="3"/>
      <c r="R1804" s="3"/>
      <c r="S1804" s="3"/>
      <c r="T1804" s="3"/>
      <c r="U1804" s="3"/>
      <c r="V1804" s="3"/>
      <c r="W1804" s="3"/>
      <c r="X1804" s="3"/>
      <c r="Y1804" s="3"/>
      <c r="Z1804" s="4"/>
      <c r="AA1804"/>
      <c r="AB1804"/>
    </row>
    <row r="1805" spans="1:28" s="49" customFormat="1" x14ac:dyDescent="0.15">
      <c r="A1805" s="165"/>
      <c r="B1805" s="82"/>
      <c r="C1805" s="105"/>
      <c r="D1805" s="61"/>
      <c r="E1805" s="105"/>
      <c r="F1805" s="105"/>
      <c r="G1805" s="105"/>
      <c r="H1805" s="178"/>
      <c r="I1805" s="85"/>
      <c r="J1805" s="101"/>
      <c r="K1805" s="143"/>
      <c r="L1805" s="61"/>
      <c r="N1805" s="37"/>
      <c r="O1805" s="37"/>
      <c r="P1805" s="37"/>
      <c r="Q1805" s="3"/>
      <c r="R1805" s="3"/>
      <c r="S1805" s="3"/>
      <c r="T1805" s="3"/>
      <c r="U1805" s="3"/>
      <c r="V1805" s="3"/>
      <c r="W1805" s="3"/>
      <c r="X1805" s="3"/>
      <c r="Y1805" s="3"/>
      <c r="Z1805" s="4"/>
      <c r="AA1805"/>
      <c r="AB1805"/>
    </row>
    <row r="1806" spans="1:28" s="49" customFormat="1" x14ac:dyDescent="0.15">
      <c r="A1806" s="165"/>
      <c r="B1806" s="82"/>
      <c r="C1806" s="107"/>
      <c r="D1806" s="62"/>
      <c r="E1806" s="105"/>
      <c r="F1806" s="107"/>
      <c r="G1806" s="107"/>
      <c r="H1806" s="179"/>
      <c r="I1806" s="85"/>
      <c r="J1806" s="104"/>
      <c r="K1806" s="143"/>
      <c r="L1806" s="61"/>
      <c r="N1806" s="37"/>
      <c r="O1806" s="37"/>
      <c r="P1806" s="37"/>
      <c r="Q1806" s="3"/>
      <c r="R1806" s="3"/>
      <c r="S1806" s="3"/>
      <c r="T1806" s="3"/>
      <c r="U1806" s="3"/>
      <c r="V1806" s="3"/>
      <c r="W1806" s="3"/>
      <c r="X1806" s="3"/>
      <c r="Y1806" s="3"/>
      <c r="Z1806" s="4"/>
      <c r="AA1806"/>
      <c r="AB1806"/>
    </row>
    <row r="1807" spans="1:28" s="49" customFormat="1" x14ac:dyDescent="0.15">
      <c r="A1807" s="165"/>
      <c r="B1807" s="93"/>
      <c r="C1807" s="102"/>
      <c r="D1807" s="62"/>
      <c r="E1807" s="100"/>
      <c r="F1807" s="102"/>
      <c r="G1807" s="102"/>
      <c r="H1807" s="175"/>
      <c r="I1807" s="85"/>
      <c r="J1807" s="104"/>
      <c r="K1807" s="143"/>
      <c r="L1807" s="61"/>
      <c r="N1807" s="37"/>
      <c r="O1807" s="37"/>
      <c r="P1807" s="37"/>
      <c r="Q1807" s="3"/>
      <c r="R1807" s="3"/>
      <c r="S1807" s="3"/>
      <c r="T1807" s="3"/>
      <c r="U1807" s="3"/>
      <c r="V1807" s="3"/>
      <c r="W1807" s="3"/>
      <c r="X1807" s="3"/>
      <c r="Y1807" s="3"/>
      <c r="Z1807" s="4"/>
      <c r="AA1807"/>
      <c r="AB1807"/>
    </row>
    <row r="1808" spans="1:28" s="49" customFormat="1" x14ac:dyDescent="0.15">
      <c r="A1808" s="165"/>
      <c r="B1808" s="82"/>
      <c r="C1808" s="105"/>
      <c r="D1808" s="61"/>
      <c r="E1808" s="105"/>
      <c r="F1808" s="105"/>
      <c r="G1808" s="105"/>
      <c r="H1808" s="178"/>
      <c r="I1808" s="85"/>
      <c r="J1808" s="101"/>
      <c r="K1808" s="143"/>
      <c r="L1808" s="61"/>
      <c r="N1808" s="37"/>
      <c r="O1808" s="37"/>
      <c r="P1808" s="37"/>
      <c r="Q1808" s="3"/>
      <c r="R1808" s="3"/>
      <c r="S1808" s="3"/>
      <c r="T1808" s="3"/>
      <c r="U1808" s="3"/>
      <c r="V1808" s="3"/>
      <c r="W1808" s="3"/>
      <c r="X1808" s="3"/>
      <c r="Y1808" s="3"/>
      <c r="Z1808" s="4"/>
      <c r="AA1808"/>
      <c r="AB1808"/>
    </row>
    <row r="1809" spans="1:28" s="49" customFormat="1" x14ac:dyDescent="0.15">
      <c r="A1809" s="165"/>
      <c r="B1809" s="93"/>
      <c r="C1809" s="100"/>
      <c r="D1809" s="61"/>
      <c r="E1809" s="100"/>
      <c r="F1809" s="100"/>
      <c r="G1809" s="100"/>
      <c r="H1809" s="177"/>
      <c r="I1809" s="85"/>
      <c r="J1809" s="101"/>
      <c r="K1809" s="143"/>
      <c r="L1809" s="61"/>
      <c r="N1809" s="37"/>
      <c r="O1809" s="37"/>
      <c r="P1809" s="37"/>
      <c r="Q1809" s="3"/>
      <c r="R1809" s="3"/>
      <c r="S1809" s="3"/>
      <c r="T1809" s="3"/>
      <c r="U1809" s="3"/>
      <c r="V1809" s="3"/>
      <c r="W1809" s="3"/>
      <c r="X1809" s="3"/>
      <c r="Y1809" s="3"/>
      <c r="Z1809" s="4"/>
      <c r="AA1809"/>
      <c r="AB1809"/>
    </row>
    <row r="1810" spans="1:28" s="49" customFormat="1" x14ac:dyDescent="0.15">
      <c r="A1810" s="165"/>
      <c r="B1810" s="93"/>
      <c r="C1810" s="102"/>
      <c r="D1810" s="62"/>
      <c r="E1810" s="100"/>
      <c r="F1810" s="102"/>
      <c r="G1810" s="102"/>
      <c r="H1810" s="175"/>
      <c r="I1810" s="85"/>
      <c r="J1810" s="104"/>
      <c r="K1810" s="143"/>
      <c r="L1810" s="61"/>
      <c r="N1810" s="37"/>
      <c r="O1810" s="37"/>
      <c r="P1810" s="37"/>
      <c r="Q1810" s="3"/>
      <c r="R1810" s="3"/>
      <c r="S1810" s="3"/>
      <c r="T1810" s="3"/>
      <c r="U1810" s="3"/>
      <c r="V1810" s="3"/>
      <c r="W1810" s="3"/>
      <c r="X1810" s="3"/>
      <c r="Y1810" s="3"/>
      <c r="Z1810" s="4"/>
      <c r="AA1810"/>
      <c r="AB1810"/>
    </row>
    <row r="1811" spans="1:28" s="49" customFormat="1" x14ac:dyDescent="0.15">
      <c r="A1811" s="165"/>
      <c r="B1811" s="93"/>
      <c r="C1811" s="102"/>
      <c r="D1811" s="62"/>
      <c r="E1811" s="100"/>
      <c r="F1811" s="102"/>
      <c r="G1811" s="102"/>
      <c r="H1811" s="175"/>
      <c r="I1811" s="85"/>
      <c r="J1811" s="104"/>
      <c r="K1811" s="143"/>
      <c r="L1811" s="61"/>
      <c r="N1811" s="37"/>
      <c r="O1811" s="37"/>
      <c r="P1811" s="37"/>
      <c r="Q1811" s="3"/>
      <c r="R1811" s="3"/>
      <c r="S1811" s="3"/>
      <c r="T1811" s="3"/>
      <c r="U1811" s="3"/>
      <c r="V1811" s="3"/>
      <c r="W1811" s="3"/>
      <c r="X1811" s="3"/>
      <c r="Y1811" s="3"/>
      <c r="Z1811" s="4"/>
      <c r="AA1811"/>
      <c r="AB1811"/>
    </row>
    <row r="1812" spans="1:28" s="49" customFormat="1" x14ac:dyDescent="0.15">
      <c r="A1812" s="165"/>
      <c r="B1812" s="93"/>
      <c r="C1812" s="102"/>
      <c r="D1812" s="62"/>
      <c r="E1812" s="100"/>
      <c r="F1812" s="102"/>
      <c r="G1812" s="102"/>
      <c r="H1812" s="175"/>
      <c r="I1812" s="85"/>
      <c r="J1812" s="104"/>
      <c r="K1812" s="143"/>
      <c r="L1812" s="61"/>
      <c r="N1812" s="37"/>
      <c r="O1812" s="37"/>
      <c r="P1812" s="37"/>
      <c r="Q1812" s="3"/>
      <c r="R1812" s="3"/>
      <c r="S1812" s="3"/>
      <c r="T1812" s="3"/>
      <c r="U1812" s="3"/>
      <c r="V1812" s="3"/>
      <c r="W1812" s="3"/>
      <c r="X1812" s="3"/>
      <c r="Y1812" s="3"/>
      <c r="Z1812" s="4"/>
      <c r="AA1812"/>
      <c r="AB1812"/>
    </row>
    <row r="1813" spans="1:28" s="49" customFormat="1" x14ac:dyDescent="0.15">
      <c r="A1813" s="165"/>
      <c r="B1813" s="93"/>
      <c r="C1813" s="100"/>
      <c r="D1813" s="61"/>
      <c r="E1813" s="100"/>
      <c r="F1813" s="100"/>
      <c r="G1813" s="100"/>
      <c r="H1813" s="177"/>
      <c r="I1813" s="103"/>
      <c r="J1813" s="103"/>
      <c r="K1813" s="141"/>
      <c r="L1813" s="61"/>
      <c r="N1813" s="37"/>
      <c r="O1813" s="37"/>
      <c r="P1813" s="37"/>
      <c r="Q1813" s="3"/>
      <c r="R1813" s="3"/>
      <c r="S1813" s="3"/>
      <c r="T1813" s="3"/>
      <c r="U1813" s="3"/>
      <c r="V1813" s="3"/>
      <c r="W1813" s="3"/>
      <c r="X1813" s="3"/>
      <c r="Y1813" s="3"/>
      <c r="Z1813" s="4"/>
      <c r="AA1813"/>
      <c r="AB1813"/>
    </row>
    <row r="1814" spans="1:28" s="49" customFormat="1" x14ac:dyDescent="0.15">
      <c r="A1814" s="165"/>
      <c r="B1814" s="93"/>
      <c r="C1814" s="102"/>
      <c r="D1814" s="62"/>
      <c r="E1814" s="102"/>
      <c r="F1814" s="102"/>
      <c r="G1814" s="102"/>
      <c r="H1814" s="175"/>
      <c r="I1814" s="85"/>
      <c r="J1814" s="104"/>
      <c r="K1814" s="143"/>
      <c r="L1814" s="61"/>
      <c r="N1814" s="37"/>
      <c r="O1814" s="37"/>
      <c r="P1814" s="37"/>
      <c r="Q1814" s="3"/>
      <c r="R1814" s="3"/>
      <c r="S1814" s="3"/>
      <c r="T1814" s="3"/>
      <c r="U1814" s="3"/>
      <c r="V1814" s="3"/>
      <c r="W1814" s="3"/>
      <c r="X1814" s="3"/>
      <c r="Y1814" s="3"/>
      <c r="Z1814" s="4"/>
      <c r="AA1814"/>
      <c r="AB1814"/>
    </row>
    <row r="1815" spans="1:28" s="49" customFormat="1" x14ac:dyDescent="0.15">
      <c r="A1815" s="165"/>
      <c r="B1815" s="82"/>
      <c r="C1815" s="107"/>
      <c r="D1815" s="62"/>
      <c r="E1815" s="107"/>
      <c r="F1815" s="107"/>
      <c r="G1815" s="107"/>
      <c r="H1815" s="179"/>
      <c r="I1815" s="85"/>
      <c r="J1815" s="104"/>
      <c r="K1815" s="143"/>
      <c r="L1815" s="61"/>
      <c r="N1815" s="37"/>
      <c r="O1815" s="37"/>
      <c r="P1815" s="37"/>
      <c r="Q1815" s="3"/>
      <c r="R1815" s="3"/>
      <c r="S1815" s="3"/>
      <c r="T1815" s="3"/>
      <c r="U1815" s="3"/>
      <c r="V1815" s="3"/>
      <c r="W1815" s="3"/>
      <c r="X1815" s="3"/>
      <c r="Y1815" s="3"/>
      <c r="Z1815" s="4"/>
      <c r="AA1815"/>
      <c r="AB1815"/>
    </row>
    <row r="1816" spans="1:28" s="49" customFormat="1" x14ac:dyDescent="0.15">
      <c r="A1816" s="165"/>
      <c r="B1816" s="82"/>
      <c r="C1816" s="107"/>
      <c r="D1816" s="62"/>
      <c r="E1816" s="107"/>
      <c r="F1816" s="107"/>
      <c r="G1816" s="107"/>
      <c r="H1816" s="179"/>
      <c r="I1816" s="85"/>
      <c r="J1816" s="104"/>
      <c r="K1816" s="143"/>
      <c r="L1816" s="61"/>
      <c r="N1816" s="37"/>
      <c r="O1816" s="37"/>
      <c r="P1816" s="37"/>
      <c r="Q1816" s="3"/>
      <c r="R1816" s="3"/>
      <c r="S1816" s="3"/>
      <c r="T1816" s="3"/>
      <c r="U1816" s="3"/>
      <c r="V1816" s="3"/>
      <c r="W1816" s="3"/>
      <c r="X1816" s="3"/>
      <c r="Y1816" s="3"/>
      <c r="Z1816" s="4"/>
      <c r="AA1816"/>
      <c r="AB1816"/>
    </row>
    <row r="1817" spans="1:28" s="49" customFormat="1" x14ac:dyDescent="0.15">
      <c r="A1817" s="165"/>
      <c r="B1817" s="108"/>
      <c r="C1817" s="100"/>
      <c r="D1817" s="61"/>
      <c r="E1817" s="100"/>
      <c r="F1817" s="100"/>
      <c r="G1817" s="100"/>
      <c r="H1817" s="177"/>
      <c r="I1817" s="85"/>
      <c r="J1817" s="101"/>
      <c r="K1817" s="143"/>
      <c r="L1817" s="61"/>
      <c r="N1817" s="37"/>
      <c r="O1817" s="37"/>
      <c r="P1817" s="37"/>
      <c r="Q1817" s="3"/>
      <c r="R1817" s="3"/>
      <c r="S1817" s="3"/>
      <c r="T1817" s="3"/>
      <c r="U1817" s="3"/>
      <c r="V1817" s="3"/>
      <c r="W1817" s="3"/>
      <c r="X1817" s="3"/>
      <c r="Y1817" s="3"/>
      <c r="Z1817" s="4"/>
      <c r="AA1817"/>
      <c r="AB1817"/>
    </row>
    <row r="1818" spans="1:28" s="49" customFormat="1" x14ac:dyDescent="0.15">
      <c r="A1818" s="165"/>
      <c r="B1818" s="93"/>
      <c r="C1818" s="100"/>
      <c r="D1818" s="61"/>
      <c r="E1818" s="100"/>
      <c r="F1818" s="100"/>
      <c r="G1818" s="100"/>
      <c r="H1818" s="177"/>
      <c r="I1818" s="85"/>
      <c r="J1818" s="101"/>
      <c r="K1818" s="143"/>
      <c r="L1818" s="61"/>
      <c r="N1818" s="37"/>
      <c r="O1818" s="37"/>
      <c r="P1818" s="37"/>
      <c r="Q1818" s="3"/>
      <c r="R1818" s="3"/>
      <c r="S1818" s="3"/>
      <c r="T1818" s="3"/>
      <c r="U1818" s="3"/>
      <c r="V1818" s="3"/>
      <c r="W1818" s="3"/>
      <c r="X1818" s="3"/>
      <c r="Y1818" s="3"/>
      <c r="Z1818" s="4"/>
      <c r="AA1818"/>
      <c r="AB1818"/>
    </row>
    <row r="1819" spans="1:28" s="49" customFormat="1" x14ac:dyDescent="0.15">
      <c r="A1819" s="165"/>
      <c r="B1819" s="93"/>
      <c r="C1819" s="102"/>
      <c r="D1819" s="62"/>
      <c r="E1819" s="100"/>
      <c r="F1819" s="102"/>
      <c r="G1819" s="102"/>
      <c r="H1819" s="175"/>
      <c r="I1819" s="85"/>
      <c r="J1819" s="104"/>
      <c r="K1819" s="143"/>
      <c r="L1819" s="61"/>
      <c r="N1819" s="37"/>
      <c r="O1819" s="37"/>
      <c r="P1819" s="37"/>
      <c r="Q1819" s="3"/>
      <c r="R1819" s="3"/>
      <c r="S1819" s="3"/>
      <c r="T1819" s="3"/>
      <c r="U1819" s="3"/>
      <c r="V1819" s="3"/>
      <c r="W1819" s="3"/>
      <c r="X1819" s="3"/>
      <c r="Y1819" s="3"/>
      <c r="Z1819" s="4"/>
      <c r="AA1819"/>
      <c r="AB1819"/>
    </row>
    <row r="1820" spans="1:28" s="49" customFormat="1" x14ac:dyDescent="0.15">
      <c r="A1820" s="165"/>
      <c r="B1820" s="82"/>
      <c r="C1820" s="105"/>
      <c r="D1820" s="61"/>
      <c r="E1820" s="105"/>
      <c r="F1820" s="105"/>
      <c r="G1820" s="105"/>
      <c r="H1820" s="178"/>
      <c r="I1820" s="85"/>
      <c r="J1820" s="101"/>
      <c r="K1820" s="143"/>
      <c r="L1820" s="61"/>
      <c r="N1820" s="37"/>
      <c r="O1820" s="37"/>
      <c r="P1820" s="37"/>
      <c r="Q1820" s="3"/>
      <c r="R1820" s="3"/>
      <c r="S1820" s="3"/>
      <c r="T1820" s="3"/>
      <c r="U1820" s="3"/>
      <c r="V1820" s="3"/>
      <c r="W1820" s="3"/>
      <c r="X1820" s="3"/>
      <c r="Y1820" s="3"/>
      <c r="Z1820" s="4"/>
      <c r="AA1820"/>
      <c r="AB1820"/>
    </row>
    <row r="1821" spans="1:28" s="49" customFormat="1" x14ac:dyDescent="0.15">
      <c r="A1821" s="165"/>
      <c r="B1821" s="82"/>
      <c r="C1821" s="107"/>
      <c r="D1821" s="62"/>
      <c r="E1821" s="105"/>
      <c r="F1821" s="107"/>
      <c r="G1821" s="107"/>
      <c r="H1821" s="179"/>
      <c r="I1821" s="85"/>
      <c r="J1821" s="104"/>
      <c r="K1821" s="143"/>
      <c r="L1821" s="61"/>
      <c r="N1821" s="37"/>
      <c r="O1821" s="37"/>
      <c r="P1821" s="37"/>
      <c r="Q1821" s="3"/>
      <c r="R1821" s="3"/>
      <c r="S1821" s="3"/>
      <c r="T1821" s="3"/>
      <c r="U1821" s="3"/>
      <c r="V1821" s="3"/>
      <c r="W1821" s="3"/>
      <c r="X1821" s="3"/>
      <c r="Y1821" s="3"/>
      <c r="Z1821" s="4"/>
      <c r="AA1821"/>
      <c r="AB1821"/>
    </row>
    <row r="1822" spans="1:28" s="49" customFormat="1" x14ac:dyDescent="0.15">
      <c r="A1822" s="165"/>
      <c r="B1822" s="82"/>
      <c r="C1822" s="105"/>
      <c r="D1822" s="61"/>
      <c r="E1822" s="105"/>
      <c r="F1822" s="105"/>
      <c r="G1822" s="105"/>
      <c r="H1822" s="178"/>
      <c r="I1822" s="85"/>
      <c r="J1822" s="101"/>
      <c r="K1822" s="143"/>
      <c r="L1822" s="61"/>
      <c r="N1822" s="37"/>
      <c r="O1822" s="37"/>
      <c r="P1822" s="37"/>
      <c r="Q1822" s="3"/>
      <c r="R1822" s="3"/>
      <c r="S1822" s="3"/>
      <c r="T1822" s="3"/>
      <c r="U1822" s="3"/>
      <c r="V1822" s="3"/>
      <c r="W1822" s="3"/>
      <c r="X1822" s="3"/>
      <c r="Y1822" s="3"/>
      <c r="Z1822" s="4"/>
      <c r="AA1822"/>
      <c r="AB1822"/>
    </row>
    <row r="1823" spans="1:28" s="49" customFormat="1" x14ac:dyDescent="0.15">
      <c r="A1823" s="165"/>
      <c r="B1823" s="82"/>
      <c r="C1823" s="107"/>
      <c r="D1823" s="62"/>
      <c r="E1823" s="107"/>
      <c r="F1823" s="107"/>
      <c r="G1823" s="107"/>
      <c r="H1823" s="179"/>
      <c r="I1823" s="85"/>
      <c r="J1823" s="104"/>
      <c r="K1823" s="143"/>
      <c r="L1823" s="61"/>
      <c r="N1823" s="37"/>
      <c r="O1823" s="37"/>
      <c r="P1823" s="37"/>
      <c r="Q1823" s="3"/>
      <c r="R1823" s="3"/>
      <c r="S1823" s="3"/>
      <c r="T1823" s="3"/>
      <c r="U1823" s="3"/>
      <c r="V1823" s="3"/>
      <c r="W1823" s="3"/>
      <c r="X1823" s="3"/>
      <c r="Y1823" s="3"/>
      <c r="Z1823" s="4"/>
      <c r="AA1823"/>
      <c r="AB1823"/>
    </row>
    <row r="1824" spans="1:28" s="49" customFormat="1" x14ac:dyDescent="0.15">
      <c r="A1824" s="165"/>
      <c r="B1824" s="93"/>
      <c r="C1824" s="102"/>
      <c r="D1824" s="62"/>
      <c r="E1824" s="102"/>
      <c r="F1824" s="102"/>
      <c r="G1824" s="102"/>
      <c r="H1824" s="175"/>
      <c r="I1824" s="85"/>
      <c r="J1824" s="104"/>
      <c r="K1824" s="143"/>
      <c r="L1824" s="61"/>
      <c r="N1824" s="37"/>
      <c r="O1824" s="37"/>
      <c r="P1824" s="37"/>
      <c r="Q1824" s="3"/>
      <c r="R1824" s="3"/>
      <c r="S1824" s="3"/>
      <c r="T1824" s="3"/>
      <c r="U1824" s="3"/>
      <c r="V1824" s="3"/>
      <c r="W1824" s="3"/>
      <c r="X1824" s="3"/>
      <c r="Y1824" s="3"/>
      <c r="Z1824" s="4"/>
      <c r="AA1824"/>
      <c r="AB1824"/>
    </row>
    <row r="1825" spans="1:28" s="49" customFormat="1" x14ac:dyDescent="0.15">
      <c r="A1825" s="165"/>
      <c r="B1825" s="93"/>
      <c r="C1825" s="100"/>
      <c r="D1825" s="61"/>
      <c r="E1825" s="100"/>
      <c r="F1825" s="100"/>
      <c r="G1825" s="100"/>
      <c r="H1825" s="177"/>
      <c r="I1825" s="85"/>
      <c r="J1825" s="101"/>
      <c r="K1825" s="143"/>
      <c r="L1825" s="61"/>
      <c r="N1825" s="37"/>
      <c r="O1825" s="37"/>
      <c r="P1825" s="37"/>
      <c r="Q1825" s="3"/>
      <c r="R1825" s="3"/>
      <c r="S1825" s="3"/>
      <c r="T1825" s="3"/>
      <c r="U1825" s="3"/>
      <c r="V1825" s="3"/>
      <c r="W1825" s="3"/>
      <c r="X1825" s="3"/>
      <c r="Y1825" s="3"/>
      <c r="Z1825" s="4"/>
      <c r="AA1825"/>
      <c r="AB1825"/>
    </row>
    <row r="1826" spans="1:28" s="49" customFormat="1" x14ac:dyDescent="0.15">
      <c r="A1826" s="165"/>
      <c r="B1826" s="93"/>
      <c r="C1826" s="102"/>
      <c r="D1826" s="62"/>
      <c r="E1826" s="100"/>
      <c r="F1826" s="102"/>
      <c r="G1826" s="102"/>
      <c r="H1826" s="175"/>
      <c r="I1826" s="85"/>
      <c r="J1826" s="104"/>
      <c r="K1826" s="143"/>
      <c r="L1826" s="61"/>
      <c r="N1826" s="37"/>
      <c r="O1826" s="37"/>
      <c r="P1826" s="37"/>
      <c r="Q1826" s="3"/>
      <c r="R1826" s="3"/>
      <c r="S1826" s="3"/>
      <c r="T1826" s="3"/>
      <c r="U1826" s="3"/>
      <c r="V1826" s="3"/>
      <c r="W1826" s="3"/>
      <c r="X1826" s="3"/>
      <c r="Y1826" s="3"/>
      <c r="Z1826" s="4"/>
      <c r="AA1826"/>
      <c r="AB1826"/>
    </row>
    <row r="1827" spans="1:28" s="49" customFormat="1" x14ac:dyDescent="0.15">
      <c r="A1827" s="165"/>
      <c r="B1827" s="93"/>
      <c r="C1827" s="102"/>
      <c r="D1827" s="62"/>
      <c r="E1827" s="102"/>
      <c r="F1827" s="102"/>
      <c r="G1827" s="102"/>
      <c r="H1827" s="175"/>
      <c r="I1827" s="85"/>
      <c r="J1827" s="104"/>
      <c r="K1827" s="143"/>
      <c r="L1827" s="61"/>
      <c r="N1827" s="37"/>
      <c r="O1827" s="37"/>
      <c r="P1827" s="37"/>
      <c r="Q1827" s="3"/>
      <c r="R1827" s="3"/>
      <c r="S1827" s="3"/>
      <c r="T1827" s="3"/>
      <c r="U1827" s="3"/>
      <c r="V1827" s="3"/>
      <c r="W1827" s="3"/>
      <c r="X1827" s="3"/>
      <c r="Y1827" s="3"/>
      <c r="Z1827" s="4"/>
      <c r="AA1827"/>
      <c r="AB1827"/>
    </row>
    <row r="1828" spans="1:28" s="49" customFormat="1" x14ac:dyDescent="0.15">
      <c r="A1828" s="165"/>
      <c r="B1828" s="82"/>
      <c r="C1828" s="107"/>
      <c r="D1828" s="62"/>
      <c r="E1828" s="107"/>
      <c r="F1828" s="107"/>
      <c r="G1828" s="107"/>
      <c r="H1828" s="179"/>
      <c r="I1828" s="85"/>
      <c r="J1828" s="104"/>
      <c r="K1828" s="143"/>
      <c r="L1828" s="61"/>
      <c r="N1828" s="37"/>
      <c r="O1828" s="37"/>
      <c r="P1828" s="37"/>
      <c r="Q1828" s="3"/>
      <c r="R1828" s="3"/>
      <c r="S1828" s="3"/>
      <c r="T1828" s="3"/>
      <c r="U1828" s="3"/>
      <c r="V1828" s="3"/>
      <c r="W1828" s="3"/>
      <c r="X1828" s="3"/>
      <c r="Y1828" s="3"/>
      <c r="Z1828" s="4"/>
      <c r="AA1828"/>
      <c r="AB1828"/>
    </row>
    <row r="1829" spans="1:28" s="49" customFormat="1" x14ac:dyDescent="0.15">
      <c r="A1829" s="165"/>
      <c r="B1829" s="93"/>
      <c r="C1829" s="102"/>
      <c r="D1829" s="62"/>
      <c r="E1829" s="100"/>
      <c r="F1829" s="102"/>
      <c r="G1829" s="102"/>
      <c r="H1829" s="175"/>
      <c r="I1829" s="85"/>
      <c r="J1829" s="104"/>
      <c r="K1829" s="143"/>
      <c r="L1829" s="61"/>
      <c r="N1829" s="37"/>
      <c r="O1829" s="37"/>
      <c r="P1829" s="37"/>
      <c r="Q1829" s="3"/>
      <c r="R1829" s="3"/>
      <c r="S1829" s="3"/>
      <c r="T1829" s="3"/>
      <c r="U1829" s="3"/>
      <c r="V1829" s="3"/>
      <c r="W1829" s="3"/>
      <c r="X1829" s="3"/>
      <c r="Y1829" s="3"/>
      <c r="Z1829" s="4"/>
      <c r="AA1829"/>
      <c r="AB1829"/>
    </row>
    <row r="1830" spans="1:28" s="49" customFormat="1" x14ac:dyDescent="0.15">
      <c r="A1830" s="165"/>
      <c r="B1830" s="93"/>
      <c r="C1830" s="102"/>
      <c r="D1830" s="62"/>
      <c r="E1830" s="102"/>
      <c r="F1830" s="102"/>
      <c r="G1830" s="102"/>
      <c r="H1830" s="175"/>
      <c r="I1830" s="85"/>
      <c r="J1830" s="104"/>
      <c r="K1830" s="143"/>
      <c r="L1830" s="61"/>
      <c r="N1830" s="37"/>
      <c r="O1830" s="37"/>
      <c r="P1830" s="37"/>
      <c r="Q1830" s="3"/>
      <c r="R1830" s="3"/>
      <c r="S1830" s="3"/>
      <c r="T1830" s="3"/>
      <c r="U1830" s="3"/>
      <c r="V1830" s="3"/>
      <c r="W1830" s="3"/>
      <c r="X1830" s="3"/>
      <c r="Y1830" s="3"/>
      <c r="Z1830" s="4"/>
      <c r="AA1830"/>
      <c r="AB1830"/>
    </row>
    <row r="1831" spans="1:28" s="49" customFormat="1" x14ac:dyDescent="0.15">
      <c r="A1831" s="165"/>
      <c r="B1831" s="93"/>
      <c r="C1831" s="100"/>
      <c r="D1831" s="61"/>
      <c r="E1831" s="100"/>
      <c r="F1831" s="100"/>
      <c r="G1831" s="100"/>
      <c r="H1831" s="177"/>
      <c r="I1831" s="85"/>
      <c r="J1831" s="101"/>
      <c r="K1831" s="143"/>
      <c r="L1831" s="61"/>
      <c r="N1831" s="37"/>
      <c r="O1831" s="37"/>
      <c r="P1831" s="37"/>
      <c r="Q1831" s="3"/>
      <c r="R1831" s="3"/>
      <c r="S1831" s="3"/>
      <c r="T1831" s="3"/>
      <c r="U1831" s="3"/>
      <c r="V1831" s="3"/>
      <c r="W1831" s="3"/>
      <c r="X1831" s="3"/>
      <c r="Y1831" s="3"/>
      <c r="Z1831" s="4"/>
      <c r="AA1831"/>
      <c r="AB1831"/>
    </row>
    <row r="1832" spans="1:28" s="49" customFormat="1" x14ac:dyDescent="0.15">
      <c r="A1832" s="165"/>
      <c r="B1832" s="93"/>
      <c r="C1832" s="102"/>
      <c r="D1832" s="62"/>
      <c r="E1832" s="102"/>
      <c r="F1832" s="102"/>
      <c r="G1832" s="102"/>
      <c r="H1832" s="175"/>
      <c r="I1832" s="85"/>
      <c r="J1832" s="104"/>
      <c r="K1832" s="144"/>
      <c r="L1832" s="61"/>
      <c r="N1832" s="37"/>
      <c r="O1832" s="37"/>
      <c r="P1832" s="37"/>
      <c r="Q1832" s="3"/>
      <c r="R1832" s="3"/>
      <c r="S1832" s="3"/>
      <c r="T1832" s="3"/>
      <c r="U1832" s="3"/>
      <c r="V1832" s="3"/>
      <c r="W1832" s="3"/>
      <c r="X1832" s="3"/>
      <c r="Y1832" s="3"/>
      <c r="Z1832" s="4"/>
      <c r="AA1832"/>
      <c r="AB1832"/>
    </row>
    <row r="1833" spans="1:28" s="49" customFormat="1" x14ac:dyDescent="0.15">
      <c r="A1833" s="165"/>
      <c r="B1833" s="93"/>
      <c r="C1833" s="100"/>
      <c r="D1833" s="61"/>
      <c r="E1833" s="100"/>
      <c r="F1833" s="100"/>
      <c r="G1833" s="100"/>
      <c r="H1833" s="177"/>
      <c r="I1833" s="85"/>
      <c r="J1833" s="101"/>
      <c r="K1833" s="143"/>
      <c r="L1833" s="61"/>
      <c r="N1833" s="37"/>
      <c r="O1833" s="37"/>
      <c r="P1833" s="37"/>
      <c r="Q1833" s="3"/>
      <c r="R1833" s="3"/>
      <c r="S1833" s="3"/>
      <c r="T1833" s="3"/>
      <c r="U1833" s="3"/>
      <c r="V1833" s="3"/>
      <c r="W1833" s="3"/>
      <c r="X1833" s="3"/>
      <c r="Y1833" s="3"/>
      <c r="Z1833" s="4"/>
      <c r="AA1833"/>
      <c r="AB1833"/>
    </row>
    <row r="1834" spans="1:28" s="49" customFormat="1" x14ac:dyDescent="0.15">
      <c r="A1834" s="165"/>
      <c r="B1834" s="82"/>
      <c r="C1834" s="105"/>
      <c r="D1834" s="61"/>
      <c r="E1834" s="105"/>
      <c r="F1834" s="105"/>
      <c r="G1834" s="105"/>
      <c r="H1834" s="178"/>
      <c r="I1834" s="85"/>
      <c r="J1834" s="101"/>
      <c r="K1834" s="143"/>
      <c r="L1834" s="61"/>
      <c r="N1834" s="37"/>
      <c r="O1834" s="37"/>
      <c r="P1834" s="37"/>
      <c r="Q1834" s="3"/>
      <c r="R1834" s="3"/>
      <c r="S1834" s="3"/>
      <c r="T1834" s="3"/>
      <c r="U1834" s="3"/>
      <c r="V1834" s="3"/>
      <c r="W1834" s="3"/>
      <c r="X1834" s="3"/>
      <c r="Y1834" s="3"/>
      <c r="Z1834" s="4"/>
      <c r="AA1834"/>
      <c r="AB1834"/>
    </row>
    <row r="1835" spans="1:28" s="49" customFormat="1" x14ac:dyDescent="0.15">
      <c r="A1835" s="165"/>
      <c r="B1835" s="93"/>
      <c r="C1835" s="100"/>
      <c r="D1835" s="61"/>
      <c r="E1835" s="100"/>
      <c r="F1835" s="100"/>
      <c r="G1835" s="100"/>
      <c r="H1835" s="177"/>
      <c r="I1835" s="85"/>
      <c r="J1835" s="101"/>
      <c r="K1835" s="143"/>
      <c r="L1835" s="61"/>
      <c r="N1835" s="37"/>
      <c r="O1835" s="37"/>
      <c r="P1835" s="37"/>
      <c r="Q1835" s="3"/>
      <c r="R1835" s="3"/>
      <c r="S1835" s="3"/>
      <c r="T1835" s="3"/>
      <c r="U1835" s="3"/>
      <c r="V1835" s="3"/>
      <c r="W1835" s="3"/>
      <c r="X1835" s="3"/>
      <c r="Y1835" s="3"/>
      <c r="Z1835" s="4"/>
      <c r="AA1835"/>
      <c r="AB1835"/>
    </row>
    <row r="1836" spans="1:28" s="49" customFormat="1" x14ac:dyDescent="0.15">
      <c r="A1836" s="165"/>
      <c r="B1836" s="93"/>
      <c r="C1836" s="100"/>
      <c r="D1836" s="61"/>
      <c r="E1836" s="100"/>
      <c r="F1836" s="100"/>
      <c r="G1836" s="100"/>
      <c r="H1836" s="177"/>
      <c r="I1836" s="85"/>
      <c r="J1836" s="101"/>
      <c r="K1836" s="143"/>
      <c r="L1836" s="61"/>
      <c r="N1836" s="37"/>
      <c r="O1836" s="37"/>
      <c r="P1836" s="37"/>
      <c r="Q1836" s="3"/>
      <c r="R1836" s="3"/>
      <c r="S1836" s="3"/>
      <c r="T1836" s="3"/>
      <c r="U1836" s="3"/>
      <c r="V1836" s="3"/>
      <c r="W1836" s="3"/>
      <c r="X1836" s="3"/>
      <c r="Y1836" s="3"/>
      <c r="Z1836" s="4"/>
      <c r="AA1836"/>
      <c r="AB1836"/>
    </row>
    <row r="1837" spans="1:28" s="49" customFormat="1" x14ac:dyDescent="0.15">
      <c r="A1837" s="165"/>
      <c r="B1837" s="93"/>
      <c r="C1837" s="102"/>
      <c r="D1837" s="62"/>
      <c r="E1837" s="102"/>
      <c r="F1837" s="102"/>
      <c r="G1837" s="102"/>
      <c r="H1837" s="175"/>
      <c r="I1837" s="85"/>
      <c r="J1837" s="104"/>
      <c r="K1837" s="143"/>
      <c r="L1837" s="61"/>
      <c r="N1837" s="37"/>
      <c r="O1837" s="37"/>
      <c r="P1837" s="37"/>
      <c r="Q1837" s="3"/>
      <c r="R1837" s="3"/>
      <c r="S1837" s="3"/>
      <c r="T1837" s="3"/>
      <c r="U1837" s="3"/>
      <c r="V1837" s="3"/>
      <c r="W1837" s="3"/>
      <c r="X1837" s="3"/>
      <c r="Y1837" s="3"/>
      <c r="Z1837" s="4"/>
      <c r="AA1837"/>
      <c r="AB1837"/>
    </row>
    <row r="1838" spans="1:28" x14ac:dyDescent="0.15">
      <c r="A1838" s="62"/>
      <c r="B1838" s="93"/>
      <c r="C1838" s="102"/>
      <c r="D1838" s="62"/>
      <c r="E1838" s="102"/>
      <c r="F1838" s="102"/>
      <c r="G1838" s="102"/>
      <c r="H1838" s="175"/>
      <c r="I1838" s="85"/>
      <c r="J1838" s="104"/>
      <c r="K1838" s="143"/>
      <c r="L1838" s="61"/>
    </row>
    <row r="1839" spans="1:28" x14ac:dyDescent="0.15">
      <c r="A1839" s="62"/>
      <c r="B1839" s="93"/>
      <c r="C1839" s="100"/>
      <c r="D1839" s="61"/>
      <c r="E1839" s="100"/>
      <c r="F1839" s="100"/>
      <c r="G1839" s="100"/>
      <c r="H1839" s="177"/>
      <c r="I1839" s="85"/>
      <c r="J1839" s="101"/>
      <c r="K1839" s="143"/>
      <c r="L1839" s="61"/>
    </row>
    <row r="1840" spans="1:28" x14ac:dyDescent="0.15">
      <c r="A1840" s="62"/>
      <c r="B1840" s="93"/>
      <c r="C1840" s="100"/>
      <c r="D1840" s="61"/>
      <c r="E1840" s="100"/>
      <c r="F1840" s="100"/>
      <c r="G1840" s="100"/>
      <c r="H1840" s="177"/>
      <c r="I1840" s="85"/>
      <c r="J1840" s="101"/>
      <c r="K1840" s="143"/>
      <c r="L1840" s="61"/>
    </row>
    <row r="1841" spans="1:28" x14ac:dyDescent="0.15">
      <c r="A1841" s="62"/>
      <c r="B1841" s="93"/>
      <c r="C1841" s="100"/>
      <c r="D1841" s="61"/>
      <c r="E1841" s="100"/>
      <c r="F1841" s="100"/>
      <c r="G1841" s="100"/>
      <c r="H1841" s="177"/>
      <c r="I1841" s="85"/>
      <c r="J1841" s="101"/>
      <c r="K1841" s="143"/>
      <c r="L1841" s="61"/>
    </row>
    <row r="1842" spans="1:28" x14ac:dyDescent="0.15">
      <c r="A1842" s="61"/>
      <c r="B1842" s="93"/>
      <c r="C1842" s="100"/>
      <c r="D1842" s="61"/>
      <c r="E1842" s="100"/>
      <c r="F1842" s="100"/>
      <c r="G1842" s="100"/>
      <c r="H1842" s="177"/>
      <c r="I1842" s="85"/>
      <c r="J1842" s="101"/>
      <c r="K1842" s="143"/>
      <c r="L1842" s="61"/>
    </row>
    <row r="1843" spans="1:28" x14ac:dyDescent="0.15">
      <c r="A1843" s="62"/>
      <c r="B1843" s="93"/>
      <c r="C1843" s="100"/>
      <c r="D1843" s="61"/>
      <c r="E1843" s="100"/>
      <c r="F1843" s="100"/>
      <c r="G1843" s="100"/>
      <c r="H1843" s="177"/>
      <c r="I1843" s="85"/>
      <c r="J1843" s="101"/>
      <c r="K1843" s="143"/>
      <c r="L1843" s="61"/>
    </row>
    <row r="1844" spans="1:28" x14ac:dyDescent="0.15">
      <c r="A1844" s="62"/>
      <c r="B1844" s="93"/>
      <c r="C1844" s="100"/>
      <c r="D1844" s="61"/>
      <c r="E1844" s="100"/>
      <c r="F1844" s="100"/>
      <c r="G1844" s="100"/>
      <c r="H1844" s="177"/>
      <c r="I1844" s="85"/>
      <c r="J1844" s="101"/>
      <c r="K1844" s="143"/>
      <c r="L1844" s="61"/>
      <c r="Q1844"/>
      <c r="R1844"/>
    </row>
    <row r="1845" spans="1:28" x14ac:dyDescent="0.15">
      <c r="A1845" s="62"/>
      <c r="B1845" s="93"/>
      <c r="C1845" s="100"/>
      <c r="D1845" s="61"/>
      <c r="E1845" s="100"/>
      <c r="F1845" s="100"/>
      <c r="G1845" s="100"/>
      <c r="H1845" s="177"/>
      <c r="I1845" s="85"/>
      <c r="J1845" s="101"/>
      <c r="K1845" s="143"/>
      <c r="L1845" s="61"/>
    </row>
    <row r="1846" spans="1:28" x14ac:dyDescent="0.15">
      <c r="A1846" s="62"/>
      <c r="B1846" s="93"/>
      <c r="C1846" s="100"/>
      <c r="D1846" s="61"/>
      <c r="E1846" s="100"/>
      <c r="F1846" s="100"/>
      <c r="G1846" s="100"/>
      <c r="H1846" s="177"/>
      <c r="I1846" s="85"/>
      <c r="J1846" s="101"/>
      <c r="K1846" s="143"/>
      <c r="L1846" s="61"/>
    </row>
    <row r="1847" spans="1:28" x14ac:dyDescent="0.15">
      <c r="A1847" s="62"/>
      <c r="B1847" s="93"/>
      <c r="C1847" s="100"/>
      <c r="D1847" s="61"/>
      <c r="E1847" s="100"/>
      <c r="F1847" s="100"/>
      <c r="G1847" s="100"/>
      <c r="H1847" s="177"/>
      <c r="I1847" s="85"/>
      <c r="J1847" s="101"/>
      <c r="K1847" s="143"/>
      <c r="L1847" s="61"/>
    </row>
    <row r="1848" spans="1:28" x14ac:dyDescent="0.15">
      <c r="A1848" s="62"/>
      <c r="B1848" s="82"/>
      <c r="C1848" s="105"/>
      <c r="D1848" s="61"/>
      <c r="E1848" s="105"/>
      <c r="F1848" s="105"/>
      <c r="G1848" s="105"/>
      <c r="H1848" s="178"/>
      <c r="I1848" s="85"/>
      <c r="J1848" s="101"/>
      <c r="K1848" s="143"/>
      <c r="L1848" s="61"/>
    </row>
    <row r="1849" spans="1:28" x14ac:dyDescent="0.15">
      <c r="A1849" s="62"/>
      <c r="B1849" s="82"/>
      <c r="C1849" s="105"/>
      <c r="D1849" s="61"/>
      <c r="E1849" s="105"/>
      <c r="F1849" s="105"/>
      <c r="G1849" s="105"/>
      <c r="H1849" s="178"/>
      <c r="I1849" s="85"/>
      <c r="J1849" s="101"/>
      <c r="K1849" s="143"/>
      <c r="L1849" s="61"/>
    </row>
    <row r="1850" spans="1:28" x14ac:dyDescent="0.15">
      <c r="A1850" s="62"/>
      <c r="B1850" s="93"/>
      <c r="C1850" s="100"/>
      <c r="D1850" s="61"/>
      <c r="E1850" s="100"/>
      <c r="F1850" s="100"/>
      <c r="G1850" s="100"/>
      <c r="H1850" s="177"/>
      <c r="I1850" s="85"/>
      <c r="J1850" s="101"/>
      <c r="K1850" s="143"/>
      <c r="L1850" s="61"/>
    </row>
    <row r="1851" spans="1:28" s="15" customFormat="1" x14ac:dyDescent="0.15">
      <c r="A1851" s="62"/>
      <c r="B1851" s="82"/>
      <c r="C1851" s="105"/>
      <c r="D1851" s="61"/>
      <c r="E1851" s="105"/>
      <c r="F1851" s="105"/>
      <c r="G1851" s="105"/>
      <c r="H1851" s="178"/>
      <c r="I1851" s="85"/>
      <c r="J1851" s="101"/>
      <c r="K1851" s="143"/>
      <c r="L1851" s="61"/>
      <c r="M1851" s="49"/>
      <c r="N1851" s="37"/>
      <c r="O1851" s="37"/>
      <c r="P1851" s="37"/>
      <c r="Q1851" s="3"/>
      <c r="R1851" s="3"/>
      <c r="S1851" s="3"/>
      <c r="T1851" s="3"/>
      <c r="U1851" s="3"/>
      <c r="V1851" s="3"/>
      <c r="W1851" s="3"/>
      <c r="X1851" s="3"/>
      <c r="Y1851" s="3"/>
      <c r="Z1851" s="4"/>
      <c r="AA1851"/>
      <c r="AB1851"/>
    </row>
    <row r="1852" spans="1:28" x14ac:dyDescent="0.15">
      <c r="A1852" s="165"/>
      <c r="B1852" s="82"/>
      <c r="C1852" s="105"/>
      <c r="D1852" s="61"/>
      <c r="E1852" s="105"/>
      <c r="F1852" s="105"/>
      <c r="G1852" s="105"/>
      <c r="H1852" s="178"/>
      <c r="I1852" s="85"/>
      <c r="J1852" s="101"/>
      <c r="K1852" s="143"/>
      <c r="L1852" s="61"/>
    </row>
    <row r="1853" spans="1:28" x14ac:dyDescent="0.15">
      <c r="A1853" s="165"/>
      <c r="B1853" s="93"/>
      <c r="C1853" s="100"/>
      <c r="D1853" s="61"/>
      <c r="E1853" s="100"/>
      <c r="F1853" s="100"/>
      <c r="G1853" s="100"/>
      <c r="H1853" s="177"/>
      <c r="I1853" s="85"/>
      <c r="J1853" s="101"/>
      <c r="K1853" s="143"/>
      <c r="L1853" s="61"/>
    </row>
    <row r="1854" spans="1:28" x14ac:dyDescent="0.15">
      <c r="A1854" s="165"/>
      <c r="B1854" s="82"/>
      <c r="C1854" s="105"/>
      <c r="D1854" s="61"/>
      <c r="E1854" s="105"/>
      <c r="F1854" s="105"/>
      <c r="G1854" s="105"/>
      <c r="H1854" s="178"/>
      <c r="I1854" s="85"/>
      <c r="J1854" s="101"/>
      <c r="K1854" s="143"/>
      <c r="L1854" s="61"/>
    </row>
    <row r="1855" spans="1:28" x14ac:dyDescent="0.15">
      <c r="A1855" s="165"/>
      <c r="B1855" s="93"/>
      <c r="C1855" s="102"/>
      <c r="D1855" s="62"/>
      <c r="E1855" s="100"/>
      <c r="F1855" s="102"/>
      <c r="G1855" s="102"/>
      <c r="H1855" s="175"/>
      <c r="I1855" s="85"/>
      <c r="J1855" s="104"/>
      <c r="K1855" s="143"/>
      <c r="L1855" s="61"/>
    </row>
    <row r="1856" spans="1:28" x14ac:dyDescent="0.15">
      <c r="A1856" s="165"/>
      <c r="B1856" s="82"/>
      <c r="C1856" s="105"/>
      <c r="D1856" s="61"/>
      <c r="E1856" s="105"/>
      <c r="F1856" s="105"/>
      <c r="G1856" s="105"/>
      <c r="H1856" s="178"/>
      <c r="I1856" s="85"/>
      <c r="J1856" s="101"/>
      <c r="K1856" s="143"/>
      <c r="L1856" s="61"/>
    </row>
    <row r="1857" spans="1:28" x14ac:dyDescent="0.15">
      <c r="A1857" s="165"/>
      <c r="B1857" s="93"/>
      <c r="C1857" s="102"/>
      <c r="D1857" s="62"/>
      <c r="E1857" s="102"/>
      <c r="F1857" s="102"/>
      <c r="G1857" s="102"/>
      <c r="H1857" s="175"/>
      <c r="I1857" s="85"/>
      <c r="J1857" s="103"/>
      <c r="K1857" s="135"/>
      <c r="L1857" s="62"/>
    </row>
    <row r="1858" spans="1:28" x14ac:dyDescent="0.15">
      <c r="A1858" s="165"/>
      <c r="B1858" s="93"/>
      <c r="C1858" s="100"/>
      <c r="D1858" s="61"/>
      <c r="E1858" s="100"/>
      <c r="F1858" s="100"/>
      <c r="G1858" s="100"/>
      <c r="H1858" s="177"/>
      <c r="I1858" s="103"/>
      <c r="J1858" s="103"/>
      <c r="K1858" s="141"/>
      <c r="L1858" s="61"/>
    </row>
    <row r="1859" spans="1:28" x14ac:dyDescent="0.15">
      <c r="A1859" s="165"/>
      <c r="B1859" s="93"/>
      <c r="C1859" s="102"/>
      <c r="D1859" s="62"/>
      <c r="E1859" s="102"/>
      <c r="F1859" s="102"/>
      <c r="G1859" s="102"/>
      <c r="H1859" s="175"/>
      <c r="I1859" s="85"/>
      <c r="J1859" s="104"/>
      <c r="K1859" s="143"/>
      <c r="L1859" s="61"/>
    </row>
    <row r="1860" spans="1:28" s="15" customFormat="1" x14ac:dyDescent="0.15">
      <c r="A1860" s="165"/>
      <c r="B1860" s="82"/>
      <c r="C1860" s="107"/>
      <c r="D1860" s="62"/>
      <c r="E1860" s="107"/>
      <c r="F1860" s="107"/>
      <c r="G1860" s="107"/>
      <c r="H1860" s="179"/>
      <c r="I1860" s="85"/>
      <c r="J1860" s="104"/>
      <c r="K1860" s="143"/>
      <c r="L1860" s="61"/>
      <c r="M1860" s="49"/>
      <c r="N1860" s="37"/>
      <c r="O1860" s="37"/>
      <c r="P1860" s="37"/>
      <c r="Q1860" s="3"/>
      <c r="R1860" s="3"/>
      <c r="S1860" s="3"/>
      <c r="T1860" s="3"/>
      <c r="U1860" s="3"/>
      <c r="V1860" s="3"/>
      <c r="W1860" s="3"/>
      <c r="X1860" s="3"/>
      <c r="Y1860" s="3"/>
      <c r="Z1860" s="4"/>
      <c r="AA1860"/>
      <c r="AB1860"/>
    </row>
    <row r="1861" spans="1:28" x14ac:dyDescent="0.15">
      <c r="A1861" s="165"/>
      <c r="B1861" s="82"/>
      <c r="C1861" s="107"/>
      <c r="D1861" s="62"/>
      <c r="E1861" s="107"/>
      <c r="F1861" s="107"/>
      <c r="G1861" s="107"/>
      <c r="H1861" s="179"/>
      <c r="I1861" s="85"/>
      <c r="J1861" s="104"/>
      <c r="K1861" s="143"/>
      <c r="L1861" s="61"/>
    </row>
    <row r="1862" spans="1:28" x14ac:dyDescent="0.15">
      <c r="A1862" s="165"/>
      <c r="B1862" s="93"/>
      <c r="C1862" s="100"/>
      <c r="D1862" s="61"/>
      <c r="E1862" s="100"/>
      <c r="F1862" s="100"/>
      <c r="G1862" s="100"/>
      <c r="H1862" s="177"/>
      <c r="I1862" s="85"/>
      <c r="J1862" s="101"/>
      <c r="K1862" s="143"/>
      <c r="L1862" s="61"/>
    </row>
    <row r="1863" spans="1:28" x14ac:dyDescent="0.15">
      <c r="A1863" s="165"/>
      <c r="B1863" s="93"/>
      <c r="C1863" s="102"/>
      <c r="D1863" s="62"/>
      <c r="E1863" s="102"/>
      <c r="F1863" s="102"/>
      <c r="G1863" s="102"/>
      <c r="H1863" s="175"/>
      <c r="I1863" s="85"/>
      <c r="J1863" s="104"/>
      <c r="K1863" s="143"/>
      <c r="L1863" s="61"/>
    </row>
    <row r="1864" spans="1:28" x14ac:dyDescent="0.15">
      <c r="A1864" s="165"/>
      <c r="B1864" s="93"/>
      <c r="C1864" s="102"/>
      <c r="D1864" s="62"/>
      <c r="E1864" s="102"/>
      <c r="F1864" s="102"/>
      <c r="G1864" s="102"/>
      <c r="H1864" s="175"/>
      <c r="I1864" s="85"/>
      <c r="J1864" s="104"/>
      <c r="K1864" s="143"/>
      <c r="L1864" s="61"/>
    </row>
    <row r="1865" spans="1:28" x14ac:dyDescent="0.15">
      <c r="A1865" s="165"/>
      <c r="B1865" s="93"/>
      <c r="C1865" s="102"/>
      <c r="D1865" s="62"/>
      <c r="E1865" s="102"/>
      <c r="F1865" s="102"/>
      <c r="G1865" s="102"/>
      <c r="H1865" s="175"/>
      <c r="I1865" s="85"/>
      <c r="J1865" s="104"/>
      <c r="K1865" s="143"/>
      <c r="L1865" s="61"/>
    </row>
    <row r="1866" spans="1:28" x14ac:dyDescent="0.15">
      <c r="A1866" s="165"/>
      <c r="B1866" s="93"/>
      <c r="C1866" s="102"/>
      <c r="D1866" s="62"/>
      <c r="E1866" s="102"/>
      <c r="F1866" s="102"/>
      <c r="G1866" s="102"/>
      <c r="H1866" s="175"/>
      <c r="I1866" s="103"/>
      <c r="J1866" s="98"/>
      <c r="K1866" s="141"/>
      <c r="L1866" s="61"/>
    </row>
    <row r="1867" spans="1:28" x14ac:dyDescent="0.15">
      <c r="A1867" s="165"/>
      <c r="B1867" s="93"/>
      <c r="C1867" s="102"/>
      <c r="D1867" s="62"/>
      <c r="E1867" s="102"/>
      <c r="F1867" s="102"/>
      <c r="G1867" s="102"/>
      <c r="H1867" s="175"/>
      <c r="I1867" s="85"/>
      <c r="J1867" s="104"/>
      <c r="K1867" s="143"/>
      <c r="L1867" s="61"/>
    </row>
    <row r="1868" spans="1:28" x14ac:dyDescent="0.15">
      <c r="A1868" s="165"/>
      <c r="B1868" s="93"/>
      <c r="C1868" s="102"/>
      <c r="D1868" s="62"/>
      <c r="E1868" s="102"/>
      <c r="F1868" s="102"/>
      <c r="G1868" s="102"/>
      <c r="H1868" s="175"/>
      <c r="I1868" s="85"/>
      <c r="J1868" s="104"/>
      <c r="K1868" s="143"/>
      <c r="L1868" s="61"/>
    </row>
    <row r="1869" spans="1:28" x14ac:dyDescent="0.15">
      <c r="A1869" s="165"/>
      <c r="B1869" s="93"/>
      <c r="C1869" s="102"/>
      <c r="D1869" s="62"/>
      <c r="E1869" s="102"/>
      <c r="F1869" s="102"/>
      <c r="G1869" s="102"/>
      <c r="H1869" s="175"/>
      <c r="I1869" s="85"/>
      <c r="J1869" s="103"/>
      <c r="K1869" s="135"/>
      <c r="L1869" s="62"/>
    </row>
    <row r="1870" spans="1:28" s="49" customFormat="1" x14ac:dyDescent="0.15">
      <c r="A1870" s="165"/>
      <c r="B1870" s="82"/>
      <c r="C1870" s="107"/>
      <c r="D1870" s="62"/>
      <c r="E1870" s="107"/>
      <c r="F1870" s="107"/>
      <c r="G1870" s="107"/>
      <c r="H1870" s="179"/>
      <c r="I1870" s="85"/>
      <c r="J1870" s="104"/>
      <c r="K1870" s="144"/>
      <c r="L1870" s="61"/>
      <c r="N1870" s="37"/>
      <c r="O1870" s="37"/>
      <c r="P1870" s="37"/>
      <c r="Q1870" s="3"/>
      <c r="R1870" s="3"/>
      <c r="S1870" s="3"/>
      <c r="T1870" s="3"/>
      <c r="U1870" s="3"/>
      <c r="V1870" s="3"/>
      <c r="W1870" s="3"/>
      <c r="X1870" s="3"/>
      <c r="Y1870" s="3"/>
      <c r="Z1870" s="4"/>
      <c r="AA1870"/>
      <c r="AB1870"/>
    </row>
    <row r="1871" spans="1:28" s="49" customFormat="1" x14ac:dyDescent="0.15">
      <c r="A1871" s="165"/>
      <c r="B1871" s="93"/>
      <c r="C1871" s="102"/>
      <c r="D1871" s="62"/>
      <c r="E1871" s="102"/>
      <c r="F1871" s="102"/>
      <c r="G1871" s="102"/>
      <c r="H1871" s="175"/>
      <c r="I1871" s="85"/>
      <c r="J1871" s="104"/>
      <c r="K1871" s="144"/>
      <c r="L1871" s="61"/>
      <c r="N1871" s="37"/>
      <c r="O1871" s="37"/>
      <c r="P1871" s="37"/>
      <c r="Q1871" s="3"/>
      <c r="R1871" s="3"/>
      <c r="S1871" s="3"/>
      <c r="T1871" s="3"/>
      <c r="U1871" s="3"/>
      <c r="V1871" s="3"/>
      <c r="W1871" s="3"/>
      <c r="X1871" s="3"/>
      <c r="Y1871" s="3"/>
      <c r="Z1871" s="4"/>
      <c r="AA1871"/>
      <c r="AB1871"/>
    </row>
    <row r="1872" spans="1:28" s="49" customFormat="1" x14ac:dyDescent="0.15">
      <c r="A1872" s="165"/>
      <c r="B1872" s="82"/>
      <c r="C1872" s="107"/>
      <c r="D1872" s="62"/>
      <c r="E1872" s="107"/>
      <c r="F1872" s="107"/>
      <c r="G1872" s="107"/>
      <c r="H1872" s="179"/>
      <c r="I1872" s="85"/>
      <c r="J1872" s="104"/>
      <c r="K1872" s="144"/>
      <c r="L1872" s="61"/>
      <c r="N1872" s="37"/>
      <c r="O1872" s="37"/>
      <c r="P1872" s="37"/>
      <c r="Q1872" s="3"/>
      <c r="R1872" s="3"/>
      <c r="S1872" s="3"/>
      <c r="T1872" s="3"/>
      <c r="U1872" s="3"/>
      <c r="V1872" s="3"/>
      <c r="W1872" s="3"/>
      <c r="X1872" s="3"/>
      <c r="Y1872" s="3"/>
      <c r="Z1872" s="4"/>
      <c r="AA1872"/>
      <c r="AB1872"/>
    </row>
    <row r="1873" spans="1:28" s="49" customFormat="1" x14ac:dyDescent="0.15">
      <c r="A1873" s="165"/>
      <c r="B1873" s="93"/>
      <c r="C1873" s="102"/>
      <c r="D1873" s="62"/>
      <c r="E1873" s="102"/>
      <c r="F1873" s="102"/>
      <c r="G1873" s="102"/>
      <c r="H1873" s="175"/>
      <c r="I1873" s="85"/>
      <c r="J1873" s="104"/>
      <c r="K1873" s="144"/>
      <c r="L1873" s="61"/>
      <c r="N1873" s="37"/>
      <c r="O1873" s="37"/>
      <c r="P1873" s="37"/>
      <c r="Q1873" s="3"/>
      <c r="R1873" s="3"/>
      <c r="S1873" s="3"/>
      <c r="T1873" s="3"/>
      <c r="U1873" s="3"/>
      <c r="V1873" s="3"/>
      <c r="W1873" s="3"/>
      <c r="X1873" s="3"/>
      <c r="Y1873" s="3"/>
      <c r="Z1873" s="4"/>
      <c r="AA1873"/>
      <c r="AB1873"/>
    </row>
    <row r="1874" spans="1:28" s="49" customFormat="1" x14ac:dyDescent="0.15">
      <c r="A1874" s="165"/>
      <c r="B1874" s="82"/>
      <c r="C1874" s="107"/>
      <c r="D1874" s="62"/>
      <c r="E1874" s="107"/>
      <c r="F1874" s="107"/>
      <c r="G1874" s="107"/>
      <c r="H1874" s="179"/>
      <c r="I1874" s="85"/>
      <c r="J1874" s="104"/>
      <c r="K1874" s="144"/>
      <c r="L1874" s="61"/>
      <c r="N1874" s="37"/>
      <c r="O1874" s="37"/>
      <c r="P1874" s="37"/>
      <c r="Q1874" s="3"/>
      <c r="R1874" s="3"/>
      <c r="S1874" s="3"/>
      <c r="T1874" s="3"/>
      <c r="U1874" s="3"/>
      <c r="V1874" s="3"/>
      <c r="W1874" s="3"/>
      <c r="X1874" s="3"/>
      <c r="Y1874" s="3"/>
      <c r="Z1874" s="4"/>
      <c r="AA1874"/>
      <c r="AB1874"/>
    </row>
    <row r="1875" spans="1:28" s="49" customFormat="1" x14ac:dyDescent="0.15">
      <c r="A1875" s="165"/>
      <c r="B1875" s="82"/>
      <c r="C1875" s="107"/>
      <c r="D1875" s="62"/>
      <c r="E1875" s="107"/>
      <c r="F1875" s="107"/>
      <c r="G1875" s="107"/>
      <c r="H1875" s="179"/>
      <c r="I1875" s="85"/>
      <c r="J1875" s="104"/>
      <c r="K1875" s="144"/>
      <c r="L1875" s="61"/>
      <c r="N1875" s="37"/>
      <c r="O1875" s="37"/>
      <c r="P1875" s="37"/>
      <c r="Q1875" s="3"/>
      <c r="R1875" s="3"/>
      <c r="S1875" s="3"/>
      <c r="T1875" s="3"/>
      <c r="U1875" s="3"/>
      <c r="V1875" s="3"/>
      <c r="W1875" s="3"/>
      <c r="X1875" s="3"/>
      <c r="Y1875" s="3"/>
      <c r="Z1875" s="4"/>
      <c r="AA1875"/>
      <c r="AB1875"/>
    </row>
    <row r="1876" spans="1:28" s="49" customFormat="1" x14ac:dyDescent="0.15">
      <c r="A1876" s="165"/>
      <c r="B1876" s="93"/>
      <c r="C1876" s="102"/>
      <c r="D1876" s="62"/>
      <c r="E1876" s="102"/>
      <c r="F1876" s="102"/>
      <c r="G1876" s="102"/>
      <c r="H1876" s="175"/>
      <c r="I1876" s="85"/>
      <c r="J1876" s="104"/>
      <c r="K1876" s="144"/>
      <c r="L1876" s="61"/>
      <c r="N1876" s="37"/>
      <c r="O1876" s="37"/>
      <c r="P1876" s="37"/>
      <c r="Q1876" s="3"/>
      <c r="R1876" s="3"/>
      <c r="S1876" s="3"/>
      <c r="T1876" s="3"/>
      <c r="U1876" s="3"/>
      <c r="V1876" s="3"/>
      <c r="W1876" s="3"/>
      <c r="X1876" s="3"/>
      <c r="Y1876" s="3"/>
      <c r="Z1876" s="4"/>
      <c r="AA1876"/>
      <c r="AB1876"/>
    </row>
    <row r="1877" spans="1:28" s="49" customFormat="1" x14ac:dyDescent="0.15">
      <c r="A1877" s="165"/>
      <c r="B1877" s="93"/>
      <c r="C1877" s="102"/>
      <c r="D1877" s="62"/>
      <c r="E1877" s="102"/>
      <c r="F1877" s="102"/>
      <c r="G1877" s="102"/>
      <c r="H1877" s="175"/>
      <c r="I1877" s="85"/>
      <c r="J1877" s="104"/>
      <c r="K1877" s="144"/>
      <c r="L1877" s="62"/>
      <c r="N1877" s="37"/>
      <c r="O1877" s="37"/>
      <c r="P1877" s="37"/>
      <c r="Q1877" s="3"/>
      <c r="R1877" s="3"/>
      <c r="S1877" s="3"/>
      <c r="T1877" s="3"/>
      <c r="U1877" s="3"/>
      <c r="V1877" s="3"/>
      <c r="W1877" s="3"/>
      <c r="X1877" s="3"/>
      <c r="Y1877" s="3"/>
      <c r="Z1877" s="4"/>
      <c r="AA1877"/>
      <c r="AB1877"/>
    </row>
    <row r="1878" spans="1:28" s="49" customFormat="1" x14ac:dyDescent="0.15">
      <c r="A1878" s="165"/>
      <c r="B1878" s="93"/>
      <c r="C1878" s="102"/>
      <c r="D1878" s="62"/>
      <c r="E1878" s="102"/>
      <c r="F1878" s="102"/>
      <c r="G1878" s="102"/>
      <c r="H1878" s="175"/>
      <c r="I1878" s="85"/>
      <c r="J1878" s="98"/>
      <c r="K1878" s="135"/>
      <c r="L1878" s="62"/>
      <c r="N1878" s="37"/>
      <c r="O1878" s="37"/>
      <c r="P1878" s="37"/>
      <c r="Q1878" s="3"/>
      <c r="R1878" s="3"/>
      <c r="S1878" s="3"/>
      <c r="T1878" s="3"/>
      <c r="U1878" s="3"/>
      <c r="V1878" s="3"/>
      <c r="W1878" s="3"/>
      <c r="X1878" s="3"/>
      <c r="Y1878" s="3"/>
      <c r="Z1878" s="4"/>
      <c r="AA1878"/>
      <c r="AB1878"/>
    </row>
    <row r="1879" spans="1:28" s="49" customFormat="1" x14ac:dyDescent="0.15">
      <c r="A1879" s="165"/>
      <c r="B1879" s="82"/>
      <c r="C1879" s="107"/>
      <c r="D1879" s="62"/>
      <c r="E1879" s="105"/>
      <c r="F1879" s="107"/>
      <c r="G1879" s="107"/>
      <c r="H1879" s="179"/>
      <c r="I1879" s="85"/>
      <c r="J1879" s="104"/>
      <c r="K1879" s="143"/>
      <c r="L1879" s="61"/>
      <c r="N1879" s="37"/>
      <c r="O1879" s="37"/>
      <c r="P1879" s="37"/>
      <c r="Q1879" s="3"/>
      <c r="R1879" s="3"/>
      <c r="S1879" s="3"/>
      <c r="T1879" s="3"/>
      <c r="U1879" s="3"/>
      <c r="V1879" s="3"/>
      <c r="W1879" s="3"/>
      <c r="X1879" s="3"/>
      <c r="Y1879" s="3"/>
      <c r="Z1879" s="4"/>
      <c r="AA1879"/>
      <c r="AB1879"/>
    </row>
    <row r="1880" spans="1:28" s="49" customFormat="1" x14ac:dyDescent="0.15">
      <c r="A1880" s="165"/>
      <c r="B1880" s="82"/>
      <c r="C1880" s="107"/>
      <c r="D1880" s="62"/>
      <c r="E1880" s="107"/>
      <c r="F1880" s="107"/>
      <c r="G1880" s="107"/>
      <c r="H1880" s="179"/>
      <c r="I1880" s="85"/>
      <c r="J1880" s="104"/>
      <c r="K1880" s="144"/>
      <c r="L1880" s="62"/>
      <c r="N1880" s="37"/>
      <c r="O1880" s="37"/>
      <c r="P1880" s="37"/>
      <c r="Q1880" s="3"/>
      <c r="R1880" s="3"/>
      <c r="S1880" s="3"/>
      <c r="T1880" s="3"/>
      <c r="U1880" s="3"/>
      <c r="V1880" s="3"/>
      <c r="W1880" s="3"/>
      <c r="X1880" s="3"/>
      <c r="Y1880" s="3"/>
      <c r="Z1880" s="4"/>
      <c r="AA1880"/>
      <c r="AB1880"/>
    </row>
    <row r="1881" spans="1:28" s="49" customFormat="1" x14ac:dyDescent="0.15">
      <c r="A1881" s="165"/>
      <c r="B1881" s="93"/>
      <c r="C1881" s="102"/>
      <c r="D1881" s="62"/>
      <c r="E1881" s="102"/>
      <c r="F1881" s="102"/>
      <c r="G1881" s="102"/>
      <c r="H1881" s="175"/>
      <c r="I1881" s="85"/>
      <c r="J1881" s="104"/>
      <c r="K1881" s="144"/>
      <c r="L1881" s="61"/>
      <c r="N1881" s="37"/>
      <c r="O1881" s="37"/>
      <c r="P1881" s="37"/>
      <c r="Q1881" s="3"/>
      <c r="R1881" s="3"/>
      <c r="S1881" s="3"/>
      <c r="T1881" s="3"/>
      <c r="U1881" s="3"/>
      <c r="V1881" s="3"/>
      <c r="W1881" s="3"/>
      <c r="X1881" s="3"/>
      <c r="Y1881" s="3"/>
      <c r="Z1881" s="4"/>
      <c r="AA1881"/>
      <c r="AB1881"/>
    </row>
    <row r="1882" spans="1:28" s="49" customFormat="1" x14ac:dyDescent="0.15">
      <c r="A1882" s="165"/>
      <c r="B1882" s="93"/>
      <c r="C1882" s="102"/>
      <c r="D1882" s="62"/>
      <c r="E1882" s="102"/>
      <c r="F1882" s="102"/>
      <c r="G1882" s="102"/>
      <c r="H1882" s="175"/>
      <c r="I1882" s="85"/>
      <c r="J1882" s="104"/>
      <c r="K1882" s="144"/>
      <c r="L1882" s="61"/>
      <c r="N1882" s="37"/>
      <c r="O1882" s="37"/>
      <c r="P1882" s="37"/>
      <c r="Q1882" s="3"/>
      <c r="R1882" s="3"/>
      <c r="S1882" s="3"/>
      <c r="T1882" s="3"/>
      <c r="U1882" s="3"/>
      <c r="V1882" s="3"/>
      <c r="W1882" s="3"/>
      <c r="X1882" s="3"/>
      <c r="Y1882" s="3"/>
      <c r="Z1882" s="4"/>
      <c r="AA1882"/>
      <c r="AB1882"/>
    </row>
    <row r="1883" spans="1:28" s="49" customFormat="1" x14ac:dyDescent="0.15">
      <c r="A1883" s="165"/>
      <c r="B1883" s="93"/>
      <c r="C1883" s="102"/>
      <c r="D1883" s="62"/>
      <c r="E1883" s="102"/>
      <c r="F1883" s="102"/>
      <c r="G1883" s="102"/>
      <c r="H1883" s="175"/>
      <c r="I1883" s="85"/>
      <c r="J1883" s="104"/>
      <c r="K1883" s="144"/>
      <c r="L1883" s="61"/>
      <c r="N1883" s="37"/>
      <c r="O1883" s="37"/>
      <c r="P1883" s="37"/>
      <c r="Q1883" s="3"/>
      <c r="R1883" s="3"/>
      <c r="S1883" s="3"/>
      <c r="T1883" s="3"/>
      <c r="U1883" s="3"/>
      <c r="V1883" s="3"/>
      <c r="W1883" s="3"/>
      <c r="X1883" s="3"/>
      <c r="Y1883" s="3"/>
      <c r="Z1883" s="4"/>
      <c r="AA1883"/>
      <c r="AB1883"/>
    </row>
    <row r="1884" spans="1:28" s="49" customFormat="1" x14ac:dyDescent="0.15">
      <c r="A1884" s="165"/>
      <c r="B1884" s="93"/>
      <c r="C1884" s="102"/>
      <c r="D1884" s="62"/>
      <c r="E1884" s="102"/>
      <c r="F1884" s="102"/>
      <c r="G1884" s="102"/>
      <c r="H1884" s="175"/>
      <c r="I1884" s="85"/>
      <c r="J1884" s="104"/>
      <c r="K1884" s="144"/>
      <c r="L1884" s="61"/>
      <c r="N1884" s="37"/>
      <c r="O1884" s="37"/>
      <c r="P1884" s="37"/>
      <c r="Q1884" s="3"/>
      <c r="R1884" s="3"/>
      <c r="S1884" s="3"/>
      <c r="T1884" s="3"/>
      <c r="U1884" s="3"/>
      <c r="V1884" s="3"/>
      <c r="W1884" s="3"/>
      <c r="X1884" s="3"/>
      <c r="Y1884" s="3"/>
      <c r="Z1884" s="4"/>
      <c r="AA1884"/>
      <c r="AB1884"/>
    </row>
    <row r="1885" spans="1:28" s="49" customFormat="1" x14ac:dyDescent="0.15">
      <c r="A1885" s="165"/>
      <c r="B1885" s="93"/>
      <c r="C1885" s="102"/>
      <c r="D1885" s="62"/>
      <c r="E1885" s="102"/>
      <c r="F1885" s="102"/>
      <c r="G1885" s="102"/>
      <c r="H1885" s="175"/>
      <c r="I1885" s="85"/>
      <c r="J1885" s="104"/>
      <c r="K1885" s="144"/>
      <c r="L1885" s="61"/>
      <c r="N1885" s="37"/>
      <c r="O1885" s="37"/>
      <c r="P1885" s="37"/>
      <c r="Q1885" s="3"/>
      <c r="R1885" s="3"/>
      <c r="S1885" s="3"/>
      <c r="T1885" s="3"/>
      <c r="U1885" s="3"/>
      <c r="V1885" s="3"/>
      <c r="W1885" s="3"/>
      <c r="X1885" s="3"/>
      <c r="Y1885" s="3"/>
      <c r="Z1885" s="4"/>
      <c r="AA1885"/>
      <c r="AB1885"/>
    </row>
    <row r="1886" spans="1:28" x14ac:dyDescent="0.15">
      <c r="A1886" s="165"/>
      <c r="B1886" s="93"/>
      <c r="C1886" s="102"/>
      <c r="D1886" s="62"/>
      <c r="E1886" s="102"/>
      <c r="F1886" s="102"/>
      <c r="G1886" s="102"/>
      <c r="H1886" s="175"/>
      <c r="I1886" s="85"/>
      <c r="J1886" s="104"/>
      <c r="K1886" s="144"/>
      <c r="L1886" s="61"/>
    </row>
    <row r="1887" spans="1:28" x14ac:dyDescent="0.15">
      <c r="A1887" s="62"/>
      <c r="B1887" s="93"/>
      <c r="C1887" s="102"/>
      <c r="D1887" s="62"/>
      <c r="E1887" s="102"/>
      <c r="F1887" s="102"/>
      <c r="G1887" s="102"/>
      <c r="H1887" s="175"/>
      <c r="I1887" s="85"/>
      <c r="J1887" s="104"/>
      <c r="K1887" s="144"/>
      <c r="L1887" s="61"/>
    </row>
    <row r="1888" spans="1:28" s="15" customFormat="1" x14ac:dyDescent="0.15">
      <c r="A1888" s="165"/>
      <c r="B1888" s="93"/>
      <c r="C1888" s="102"/>
      <c r="D1888" s="62"/>
      <c r="E1888" s="102"/>
      <c r="F1888" s="102"/>
      <c r="G1888" s="102"/>
      <c r="H1888" s="175"/>
      <c r="I1888" s="85"/>
      <c r="J1888" s="104"/>
      <c r="K1888" s="144"/>
      <c r="L1888" s="61"/>
      <c r="M1888" s="49"/>
      <c r="N1888" s="37"/>
      <c r="O1888" s="37"/>
      <c r="P1888" s="37"/>
      <c r="Q1888" s="3"/>
      <c r="R1888" s="3"/>
      <c r="S1888" s="3"/>
      <c r="T1888" s="3"/>
      <c r="U1888" s="3"/>
      <c r="V1888" s="3"/>
      <c r="W1888" s="3"/>
      <c r="X1888" s="3"/>
      <c r="Y1888" s="3"/>
      <c r="Z1888" s="4"/>
      <c r="AA1888"/>
      <c r="AB1888"/>
    </row>
    <row r="1889" spans="1:12" x14ac:dyDescent="0.15">
      <c r="A1889" s="165"/>
      <c r="B1889" s="93"/>
      <c r="C1889" s="102"/>
      <c r="D1889" s="62"/>
      <c r="E1889" s="102"/>
      <c r="F1889" s="102"/>
      <c r="G1889" s="102"/>
      <c r="H1889" s="175"/>
      <c r="I1889" s="85"/>
      <c r="J1889" s="104"/>
      <c r="K1889" s="144"/>
      <c r="L1889" s="61"/>
    </row>
    <row r="1890" spans="1:12" x14ac:dyDescent="0.15">
      <c r="A1890" s="165"/>
      <c r="B1890" s="93"/>
      <c r="C1890" s="102"/>
      <c r="D1890" s="62"/>
      <c r="E1890" s="102"/>
      <c r="F1890" s="102"/>
      <c r="G1890" s="102"/>
      <c r="H1890" s="175"/>
      <c r="I1890" s="85"/>
      <c r="J1890" s="104"/>
      <c r="K1890" s="144"/>
      <c r="L1890" s="61"/>
    </row>
    <row r="1891" spans="1:12" x14ac:dyDescent="0.15">
      <c r="A1891" s="165"/>
      <c r="B1891" s="93"/>
      <c r="C1891" s="102"/>
      <c r="D1891" s="62"/>
      <c r="E1891" s="102"/>
      <c r="F1891" s="102"/>
      <c r="G1891" s="102"/>
      <c r="H1891" s="175"/>
      <c r="I1891" s="85"/>
      <c r="J1891" s="104"/>
      <c r="K1891" s="144"/>
      <c r="L1891" s="61"/>
    </row>
    <row r="1892" spans="1:12" x14ac:dyDescent="0.15">
      <c r="A1892" s="165"/>
      <c r="B1892" s="93"/>
      <c r="C1892" s="102"/>
      <c r="D1892" s="62"/>
      <c r="E1892" s="102"/>
      <c r="F1892" s="102"/>
      <c r="G1892" s="102"/>
      <c r="H1892" s="175"/>
      <c r="I1892" s="98"/>
      <c r="J1892" s="98"/>
      <c r="K1892" s="135"/>
      <c r="L1892" s="61"/>
    </row>
    <row r="1893" spans="1:12" x14ac:dyDescent="0.15">
      <c r="A1893" s="165"/>
      <c r="B1893" s="93"/>
      <c r="C1893" s="102"/>
      <c r="D1893" s="62"/>
      <c r="E1893" s="102"/>
      <c r="F1893" s="102"/>
      <c r="G1893" s="102"/>
      <c r="H1893" s="175"/>
      <c r="I1893" s="85"/>
      <c r="J1893" s="104"/>
      <c r="K1893" s="144"/>
      <c r="L1893" s="61"/>
    </row>
    <row r="1894" spans="1:12" x14ac:dyDescent="0.15">
      <c r="A1894" s="165"/>
      <c r="B1894" s="93"/>
      <c r="C1894" s="102"/>
      <c r="D1894" s="62"/>
      <c r="E1894" s="102"/>
      <c r="F1894" s="102"/>
      <c r="G1894" s="102"/>
      <c r="H1894" s="175"/>
      <c r="I1894" s="85"/>
      <c r="J1894" s="104"/>
      <c r="K1894" s="144"/>
      <c r="L1894" s="61"/>
    </row>
    <row r="1895" spans="1:12" x14ac:dyDescent="0.15">
      <c r="A1895" s="165"/>
      <c r="B1895" s="93"/>
      <c r="C1895" s="102"/>
      <c r="D1895" s="62"/>
      <c r="E1895" s="102"/>
      <c r="F1895" s="102"/>
      <c r="G1895" s="102"/>
      <c r="H1895" s="175"/>
      <c r="I1895" s="85"/>
      <c r="J1895" s="104"/>
      <c r="K1895" s="144"/>
      <c r="L1895" s="61"/>
    </row>
    <row r="1896" spans="1:12" x14ac:dyDescent="0.15">
      <c r="A1896" s="165"/>
      <c r="B1896" s="93"/>
      <c r="C1896" s="102"/>
      <c r="D1896" s="62"/>
      <c r="E1896" s="102"/>
      <c r="F1896" s="102"/>
      <c r="G1896" s="102"/>
      <c r="H1896" s="175"/>
      <c r="I1896" s="85"/>
      <c r="J1896" s="104"/>
      <c r="K1896" s="144"/>
      <c r="L1896" s="61"/>
    </row>
    <row r="1897" spans="1:12" x14ac:dyDescent="0.15">
      <c r="A1897" s="165"/>
      <c r="B1897" s="93"/>
      <c r="C1897" s="102"/>
      <c r="D1897" s="62"/>
      <c r="E1897" s="102"/>
      <c r="F1897" s="102"/>
      <c r="G1897" s="102"/>
      <c r="H1897" s="175"/>
      <c r="I1897" s="85"/>
      <c r="J1897" s="104"/>
      <c r="K1897" s="144"/>
      <c r="L1897" s="61"/>
    </row>
    <row r="1898" spans="1:12" x14ac:dyDescent="0.15">
      <c r="A1898" s="165"/>
      <c r="B1898" s="93"/>
      <c r="C1898" s="102"/>
      <c r="D1898" s="62"/>
      <c r="E1898" s="102"/>
      <c r="F1898" s="102"/>
      <c r="G1898" s="102"/>
      <c r="H1898" s="175"/>
      <c r="I1898" s="85"/>
      <c r="J1898" s="104"/>
      <c r="K1898" s="144"/>
      <c r="L1898" s="61"/>
    </row>
    <row r="1899" spans="1:12" x14ac:dyDescent="0.15">
      <c r="A1899" s="165"/>
      <c r="B1899" s="93"/>
      <c r="C1899" s="102"/>
      <c r="D1899" s="62"/>
      <c r="E1899" s="102"/>
      <c r="F1899" s="102"/>
      <c r="G1899" s="102"/>
      <c r="H1899" s="175"/>
      <c r="I1899" s="98"/>
      <c r="J1899" s="98"/>
      <c r="K1899" s="135"/>
      <c r="L1899" s="62"/>
    </row>
    <row r="1900" spans="1:12" x14ac:dyDescent="0.15">
      <c r="A1900" s="165"/>
      <c r="B1900" s="93"/>
      <c r="C1900" s="102"/>
      <c r="D1900" s="62"/>
      <c r="E1900" s="102"/>
      <c r="F1900" s="102"/>
      <c r="G1900" s="102"/>
      <c r="H1900" s="175"/>
      <c r="I1900" s="98"/>
      <c r="J1900" s="98"/>
      <c r="K1900" s="135"/>
      <c r="L1900" s="62"/>
    </row>
    <row r="1901" spans="1:12" x14ac:dyDescent="0.15">
      <c r="A1901" s="165"/>
      <c r="B1901" s="93"/>
      <c r="C1901" s="102"/>
      <c r="D1901" s="62"/>
      <c r="E1901" s="102"/>
      <c r="F1901" s="102"/>
      <c r="G1901" s="102"/>
      <c r="H1901" s="175"/>
      <c r="I1901" s="98"/>
      <c r="J1901" s="98"/>
      <c r="K1901" s="135"/>
      <c r="L1901" s="62"/>
    </row>
    <row r="1902" spans="1:12" x14ac:dyDescent="0.15">
      <c r="A1902" s="165"/>
      <c r="B1902" s="93"/>
      <c r="C1902" s="102"/>
      <c r="D1902" s="62"/>
      <c r="E1902" s="102"/>
      <c r="F1902" s="102"/>
      <c r="G1902" s="102"/>
      <c r="H1902" s="175"/>
      <c r="I1902" s="98"/>
      <c r="J1902" s="98"/>
      <c r="K1902" s="135"/>
      <c r="L1902" s="62"/>
    </row>
    <row r="1903" spans="1:12" x14ac:dyDescent="0.15">
      <c r="A1903" s="165"/>
      <c r="B1903" s="93"/>
      <c r="C1903" s="102"/>
      <c r="D1903" s="62"/>
      <c r="E1903" s="102"/>
      <c r="F1903" s="102"/>
      <c r="G1903" s="102"/>
      <c r="H1903" s="175"/>
      <c r="I1903" s="85"/>
      <c r="J1903" s="104"/>
      <c r="K1903" s="144"/>
      <c r="L1903" s="62"/>
    </row>
    <row r="1904" spans="1:12" x14ac:dyDescent="0.15">
      <c r="A1904" s="165"/>
      <c r="B1904" s="93"/>
      <c r="C1904" s="102"/>
      <c r="D1904" s="62"/>
      <c r="E1904" s="102"/>
      <c r="F1904" s="102"/>
      <c r="G1904" s="102"/>
      <c r="H1904" s="175"/>
      <c r="I1904" s="85"/>
      <c r="J1904" s="104"/>
      <c r="K1904" s="144"/>
      <c r="L1904" s="62"/>
    </row>
    <row r="1905" spans="1:28" x14ac:dyDescent="0.15">
      <c r="A1905" s="165"/>
      <c r="B1905" s="93"/>
      <c r="C1905" s="102"/>
      <c r="D1905" s="62"/>
      <c r="E1905" s="102"/>
      <c r="F1905" s="102"/>
      <c r="G1905" s="102"/>
      <c r="H1905" s="175"/>
      <c r="I1905" s="85"/>
      <c r="J1905" s="104"/>
      <c r="K1905" s="144"/>
      <c r="L1905" s="62"/>
    </row>
    <row r="1906" spans="1:28" x14ac:dyDescent="0.15">
      <c r="A1906" s="165"/>
      <c r="B1906" s="93"/>
      <c r="C1906" s="102"/>
      <c r="D1906" s="62"/>
      <c r="E1906" s="102"/>
      <c r="F1906" s="102"/>
      <c r="G1906" s="102"/>
      <c r="H1906" s="175"/>
      <c r="I1906" s="85"/>
      <c r="J1906" s="104"/>
      <c r="K1906" s="144"/>
      <c r="L1906" s="62"/>
      <c r="Q1906" s="14"/>
      <c r="R1906" s="14"/>
    </row>
    <row r="1907" spans="1:28" x14ac:dyDescent="0.15">
      <c r="A1907" s="165"/>
      <c r="B1907" s="93"/>
      <c r="C1907" s="102"/>
      <c r="D1907" s="62"/>
      <c r="E1907" s="102"/>
      <c r="F1907" s="102"/>
      <c r="G1907" s="102"/>
      <c r="H1907" s="175"/>
      <c r="I1907" s="85"/>
      <c r="J1907" s="104"/>
      <c r="K1907" s="144"/>
      <c r="L1907" s="62"/>
      <c r="Q1907" s="14"/>
      <c r="R1907" s="14"/>
    </row>
    <row r="1908" spans="1:28" x14ac:dyDescent="0.15">
      <c r="A1908" s="165"/>
      <c r="B1908" s="93"/>
      <c r="C1908" s="102"/>
      <c r="D1908" s="62"/>
      <c r="E1908" s="102"/>
      <c r="F1908" s="102"/>
      <c r="G1908" s="102"/>
      <c r="H1908" s="175"/>
      <c r="I1908" s="85"/>
      <c r="J1908" s="104"/>
      <c r="K1908" s="144"/>
      <c r="L1908" s="62"/>
    </row>
    <row r="1909" spans="1:28" s="15" customFormat="1" x14ac:dyDescent="0.15">
      <c r="A1909" s="165"/>
      <c r="B1909" s="93"/>
      <c r="C1909" s="102"/>
      <c r="D1909" s="62"/>
      <c r="E1909" s="102"/>
      <c r="F1909" s="102"/>
      <c r="G1909" s="102"/>
      <c r="H1909" s="175"/>
      <c r="I1909" s="85"/>
      <c r="J1909" s="104"/>
      <c r="K1909" s="144"/>
      <c r="L1909" s="62"/>
      <c r="M1909" s="49"/>
      <c r="N1909" s="37"/>
      <c r="O1909" s="37"/>
      <c r="P1909" s="37"/>
      <c r="Q1909" s="3"/>
      <c r="R1909" s="3"/>
      <c r="S1909" s="3"/>
      <c r="T1909" s="3"/>
      <c r="U1909" s="3"/>
      <c r="V1909" s="3"/>
      <c r="W1909" s="3"/>
      <c r="X1909" s="3"/>
      <c r="Y1909" s="3"/>
      <c r="Z1909" s="4"/>
      <c r="AA1909"/>
      <c r="AB1909"/>
    </row>
    <row r="1910" spans="1:28" x14ac:dyDescent="0.15">
      <c r="A1910" s="165"/>
      <c r="B1910" s="93"/>
      <c r="C1910" s="102"/>
      <c r="D1910" s="62"/>
      <c r="E1910" s="102"/>
      <c r="F1910" s="102"/>
      <c r="G1910" s="102"/>
      <c r="H1910" s="175"/>
      <c r="I1910" s="85"/>
      <c r="J1910" s="104"/>
      <c r="K1910" s="144"/>
      <c r="L1910" s="62"/>
    </row>
    <row r="1911" spans="1:28" x14ac:dyDescent="0.15">
      <c r="A1911" s="165"/>
      <c r="B1911" s="93"/>
      <c r="C1911" s="102"/>
      <c r="D1911" s="62"/>
      <c r="E1911" s="102"/>
      <c r="F1911" s="102"/>
      <c r="G1911" s="102"/>
      <c r="H1911" s="175"/>
      <c r="I1911" s="85"/>
      <c r="J1911" s="104"/>
      <c r="K1911" s="144"/>
      <c r="L1911" s="62"/>
    </row>
    <row r="1912" spans="1:28" x14ac:dyDescent="0.15">
      <c r="A1912" s="165"/>
      <c r="B1912" s="93"/>
      <c r="C1912" s="102"/>
      <c r="D1912" s="62"/>
      <c r="E1912" s="102"/>
      <c r="F1912" s="102"/>
      <c r="G1912" s="102"/>
      <c r="H1912" s="175"/>
      <c r="I1912" s="85"/>
      <c r="J1912" s="104"/>
      <c r="K1912" s="144"/>
      <c r="L1912" s="62"/>
    </row>
    <row r="1913" spans="1:28" x14ac:dyDescent="0.15">
      <c r="A1913" s="165"/>
      <c r="B1913" s="93"/>
      <c r="C1913" s="102"/>
      <c r="D1913" s="62"/>
      <c r="E1913" s="102"/>
      <c r="F1913" s="102"/>
      <c r="G1913" s="102"/>
      <c r="H1913" s="175"/>
      <c r="I1913" s="85"/>
      <c r="J1913" s="104"/>
      <c r="K1913" s="144"/>
      <c r="L1913" s="62"/>
    </row>
    <row r="1914" spans="1:28" s="15" customFormat="1" x14ac:dyDescent="0.15">
      <c r="A1914" s="165"/>
      <c r="B1914" s="93"/>
      <c r="C1914" s="102"/>
      <c r="D1914" s="62"/>
      <c r="E1914" s="102"/>
      <c r="F1914" s="102"/>
      <c r="G1914" s="102"/>
      <c r="H1914" s="175"/>
      <c r="I1914" s="85"/>
      <c r="J1914" s="104"/>
      <c r="K1914" s="144"/>
      <c r="L1914" s="62"/>
      <c r="M1914" s="49"/>
      <c r="N1914" s="37"/>
      <c r="O1914" s="37"/>
      <c r="P1914" s="37"/>
      <c r="Q1914" s="3"/>
      <c r="R1914" s="3"/>
      <c r="S1914" s="3"/>
      <c r="T1914" s="3"/>
      <c r="U1914" s="3"/>
      <c r="V1914" s="3"/>
      <c r="W1914" s="3"/>
      <c r="X1914" s="3"/>
      <c r="Y1914" s="3"/>
      <c r="Z1914" s="4"/>
      <c r="AA1914"/>
      <c r="AB1914"/>
    </row>
    <row r="1915" spans="1:28" x14ac:dyDescent="0.15">
      <c r="A1915" s="165"/>
      <c r="B1915" s="93"/>
      <c r="C1915" s="102"/>
      <c r="D1915" s="62"/>
      <c r="E1915" s="102"/>
      <c r="F1915" s="102"/>
      <c r="G1915" s="102"/>
      <c r="H1915" s="175"/>
      <c r="I1915" s="85"/>
      <c r="J1915" s="104"/>
      <c r="K1915" s="144"/>
      <c r="L1915" s="62"/>
    </row>
    <row r="1916" spans="1:28" x14ac:dyDescent="0.15">
      <c r="A1916" s="165"/>
      <c r="B1916" s="93"/>
      <c r="C1916" s="102"/>
      <c r="D1916" s="62"/>
      <c r="E1916" s="100"/>
      <c r="F1916" s="102"/>
      <c r="G1916" s="102"/>
      <c r="H1916" s="175"/>
      <c r="I1916" s="85"/>
      <c r="J1916" s="104"/>
      <c r="K1916" s="144"/>
      <c r="L1916" s="62"/>
    </row>
    <row r="1917" spans="1:28" x14ac:dyDescent="0.15">
      <c r="A1917" s="165"/>
      <c r="B1917" s="93"/>
      <c r="C1917" s="102"/>
      <c r="D1917" s="62"/>
      <c r="E1917" s="102"/>
      <c r="F1917" s="102"/>
      <c r="G1917" s="102"/>
      <c r="H1917" s="175"/>
      <c r="I1917" s="85"/>
      <c r="J1917" s="104"/>
      <c r="K1917" s="144"/>
      <c r="L1917" s="62"/>
    </row>
    <row r="1918" spans="1:28" s="49" customFormat="1" x14ac:dyDescent="0.15">
      <c r="A1918" s="165"/>
      <c r="B1918" s="93"/>
      <c r="C1918" s="102"/>
      <c r="D1918" s="62"/>
      <c r="E1918" s="102"/>
      <c r="F1918" s="102"/>
      <c r="G1918" s="102"/>
      <c r="H1918" s="175"/>
      <c r="I1918" s="85"/>
      <c r="J1918" s="104"/>
      <c r="K1918" s="144"/>
      <c r="L1918" s="62"/>
      <c r="N1918" s="37"/>
      <c r="O1918" s="37"/>
      <c r="P1918" s="37"/>
      <c r="Q1918" s="3"/>
      <c r="R1918" s="3"/>
      <c r="S1918" s="3"/>
      <c r="T1918" s="3"/>
      <c r="U1918" s="3"/>
      <c r="V1918" s="3"/>
      <c r="W1918" s="3"/>
      <c r="X1918" s="3"/>
      <c r="Y1918" s="3"/>
      <c r="Z1918" s="4"/>
      <c r="AA1918"/>
      <c r="AB1918"/>
    </row>
    <row r="1919" spans="1:28" s="49" customFormat="1" x14ac:dyDescent="0.15">
      <c r="A1919" s="165"/>
      <c r="B1919" s="93"/>
      <c r="C1919" s="102"/>
      <c r="D1919" s="62"/>
      <c r="E1919" s="102"/>
      <c r="F1919" s="102"/>
      <c r="G1919" s="102"/>
      <c r="H1919" s="175"/>
      <c r="I1919" s="85"/>
      <c r="J1919" s="104"/>
      <c r="K1919" s="144"/>
      <c r="L1919" s="62"/>
      <c r="N1919" s="37"/>
      <c r="O1919" s="37"/>
      <c r="P1919" s="37"/>
      <c r="Q1919" s="3"/>
      <c r="R1919" s="3"/>
      <c r="S1919" s="3"/>
      <c r="T1919" s="3"/>
      <c r="U1919" s="3"/>
      <c r="V1919" s="3"/>
      <c r="W1919" s="3"/>
      <c r="X1919" s="3"/>
      <c r="Y1919" s="3"/>
      <c r="Z1919" s="4"/>
      <c r="AA1919"/>
      <c r="AB1919"/>
    </row>
    <row r="1920" spans="1:28" s="49" customFormat="1" x14ac:dyDescent="0.15">
      <c r="A1920" s="165"/>
      <c r="B1920" s="93"/>
      <c r="C1920" s="102"/>
      <c r="D1920" s="62"/>
      <c r="E1920" s="102"/>
      <c r="F1920" s="102"/>
      <c r="G1920" s="102"/>
      <c r="H1920" s="175"/>
      <c r="I1920" s="85"/>
      <c r="J1920" s="104"/>
      <c r="K1920" s="144"/>
      <c r="L1920" s="62"/>
      <c r="N1920" s="37"/>
      <c r="O1920" s="37"/>
      <c r="P1920" s="37"/>
      <c r="Q1920" s="3"/>
      <c r="R1920" s="3"/>
      <c r="S1920" s="3"/>
      <c r="T1920" s="3"/>
      <c r="U1920" s="3"/>
      <c r="V1920" s="3"/>
      <c r="W1920" s="3"/>
      <c r="X1920" s="3"/>
      <c r="Y1920" s="3"/>
      <c r="Z1920" s="4"/>
      <c r="AA1920"/>
      <c r="AB1920"/>
    </row>
    <row r="1921" spans="1:28" s="49" customFormat="1" x14ac:dyDescent="0.15">
      <c r="A1921" s="165"/>
      <c r="B1921" s="93"/>
      <c r="C1921" s="102"/>
      <c r="D1921" s="62"/>
      <c r="E1921" s="102"/>
      <c r="F1921" s="102"/>
      <c r="G1921" s="102"/>
      <c r="H1921" s="175"/>
      <c r="I1921" s="85"/>
      <c r="J1921" s="104"/>
      <c r="K1921" s="144"/>
      <c r="L1921" s="62"/>
      <c r="N1921" s="37"/>
      <c r="O1921" s="37"/>
      <c r="P1921" s="37"/>
      <c r="Q1921" s="3"/>
      <c r="R1921" s="3"/>
      <c r="S1921" s="3"/>
      <c r="T1921" s="3"/>
      <c r="U1921" s="3"/>
      <c r="V1921" s="3"/>
      <c r="W1921" s="3"/>
      <c r="X1921" s="3"/>
      <c r="Y1921" s="3"/>
      <c r="Z1921" s="4"/>
      <c r="AA1921"/>
      <c r="AB1921"/>
    </row>
    <row r="1922" spans="1:28" s="49" customFormat="1" x14ac:dyDescent="0.15">
      <c r="A1922" s="165"/>
      <c r="B1922" s="93"/>
      <c r="C1922" s="102"/>
      <c r="D1922" s="62"/>
      <c r="E1922" s="102"/>
      <c r="F1922" s="102"/>
      <c r="G1922" s="102"/>
      <c r="H1922" s="175"/>
      <c r="I1922" s="85"/>
      <c r="J1922" s="104"/>
      <c r="K1922" s="144"/>
      <c r="L1922" s="62"/>
      <c r="N1922" s="37"/>
      <c r="O1922" s="37"/>
      <c r="P1922" s="37"/>
      <c r="Q1922" s="3"/>
      <c r="R1922" s="3"/>
      <c r="S1922" s="3"/>
      <c r="T1922" s="3"/>
      <c r="U1922" s="3"/>
      <c r="V1922" s="3"/>
      <c r="W1922" s="3"/>
      <c r="X1922" s="3"/>
      <c r="Y1922" s="3"/>
      <c r="Z1922" s="4"/>
      <c r="AA1922"/>
      <c r="AB1922"/>
    </row>
    <row r="1923" spans="1:28" s="49" customFormat="1" x14ac:dyDescent="0.15">
      <c r="A1923" s="165"/>
      <c r="B1923" s="93"/>
      <c r="C1923" s="102"/>
      <c r="D1923" s="62"/>
      <c r="E1923" s="102"/>
      <c r="F1923" s="102"/>
      <c r="G1923" s="102"/>
      <c r="H1923" s="175"/>
      <c r="I1923" s="85"/>
      <c r="J1923" s="104"/>
      <c r="K1923" s="144"/>
      <c r="L1923" s="62"/>
      <c r="N1923" s="37"/>
      <c r="O1923" s="37"/>
      <c r="P1923" s="37"/>
      <c r="Q1923" s="3"/>
      <c r="R1923" s="3"/>
      <c r="S1923" s="3"/>
      <c r="T1923" s="3"/>
      <c r="U1923" s="3"/>
      <c r="V1923" s="3"/>
      <c r="W1923" s="3"/>
      <c r="X1923" s="3"/>
      <c r="Y1923" s="3"/>
      <c r="Z1923" s="4"/>
      <c r="AA1923"/>
      <c r="AB1923"/>
    </row>
    <row r="1924" spans="1:28" s="49" customFormat="1" x14ac:dyDescent="0.15">
      <c r="A1924" s="165"/>
      <c r="B1924" s="93"/>
      <c r="C1924" s="102"/>
      <c r="D1924" s="62"/>
      <c r="E1924" s="100"/>
      <c r="F1924" s="102"/>
      <c r="G1924" s="102"/>
      <c r="H1924" s="175"/>
      <c r="I1924" s="85"/>
      <c r="J1924" s="104"/>
      <c r="K1924" s="144"/>
      <c r="L1924" s="62"/>
      <c r="N1924" s="37"/>
      <c r="O1924" s="37"/>
      <c r="P1924" s="37"/>
      <c r="Q1924" s="3"/>
      <c r="R1924" s="3"/>
      <c r="S1924" s="3"/>
      <c r="T1924" s="3"/>
      <c r="U1924" s="3"/>
      <c r="V1924" s="3"/>
      <c r="W1924" s="3"/>
      <c r="X1924" s="3"/>
      <c r="Y1924" s="3"/>
      <c r="Z1924" s="4"/>
      <c r="AA1924"/>
      <c r="AB1924"/>
    </row>
    <row r="1925" spans="1:28" s="49" customFormat="1" x14ac:dyDescent="0.15">
      <c r="A1925" s="165"/>
      <c r="B1925" s="93"/>
      <c r="C1925" s="102"/>
      <c r="D1925" s="62"/>
      <c r="E1925" s="102"/>
      <c r="F1925" s="102"/>
      <c r="G1925" s="102"/>
      <c r="H1925" s="175"/>
      <c r="I1925" s="85"/>
      <c r="J1925" s="104"/>
      <c r="K1925" s="144"/>
      <c r="L1925" s="62"/>
      <c r="N1925" s="37"/>
      <c r="O1925" s="37"/>
      <c r="P1925" s="37"/>
      <c r="Q1925" s="3"/>
      <c r="R1925" s="3"/>
      <c r="S1925" s="3"/>
      <c r="T1925" s="3"/>
      <c r="U1925" s="3"/>
      <c r="V1925" s="3"/>
      <c r="W1925" s="3"/>
      <c r="X1925" s="3"/>
      <c r="Y1925" s="3"/>
      <c r="Z1925" s="4"/>
      <c r="AA1925"/>
      <c r="AB1925"/>
    </row>
    <row r="1926" spans="1:28" s="49" customFormat="1" x14ac:dyDescent="0.15">
      <c r="A1926" s="165"/>
      <c r="B1926" s="93"/>
      <c r="C1926" s="102"/>
      <c r="D1926" s="62"/>
      <c r="E1926" s="102"/>
      <c r="F1926" s="102"/>
      <c r="G1926" s="102"/>
      <c r="H1926" s="175"/>
      <c r="I1926" s="85"/>
      <c r="J1926" s="104"/>
      <c r="K1926" s="144"/>
      <c r="L1926" s="62"/>
      <c r="N1926" s="37"/>
      <c r="O1926" s="37"/>
      <c r="P1926" s="37"/>
      <c r="Q1926" s="3"/>
      <c r="R1926" s="3"/>
      <c r="S1926" s="3"/>
      <c r="T1926" s="3"/>
      <c r="U1926" s="3"/>
      <c r="V1926" s="3"/>
      <c r="W1926" s="3"/>
      <c r="X1926" s="3"/>
      <c r="Y1926" s="3"/>
      <c r="Z1926" s="4"/>
      <c r="AA1926"/>
      <c r="AB1926"/>
    </row>
    <row r="1927" spans="1:28" s="49" customFormat="1" x14ac:dyDescent="0.15">
      <c r="A1927" s="165"/>
      <c r="B1927" s="93"/>
      <c r="C1927" s="102"/>
      <c r="D1927" s="62"/>
      <c r="E1927" s="102"/>
      <c r="F1927" s="102"/>
      <c r="G1927" s="102"/>
      <c r="H1927" s="175"/>
      <c r="I1927" s="85"/>
      <c r="J1927" s="104"/>
      <c r="K1927" s="144"/>
      <c r="L1927" s="62"/>
      <c r="N1927" s="37"/>
      <c r="O1927" s="37"/>
      <c r="P1927" s="37"/>
      <c r="Q1927" s="3"/>
      <c r="R1927" s="3"/>
      <c r="S1927" s="3"/>
      <c r="T1927" s="3"/>
      <c r="U1927" s="3"/>
      <c r="V1927" s="3"/>
      <c r="W1927" s="3"/>
      <c r="X1927" s="3"/>
      <c r="Y1927" s="3"/>
      <c r="Z1927" s="4"/>
      <c r="AA1927"/>
      <c r="AB1927"/>
    </row>
    <row r="1928" spans="1:28" s="49" customFormat="1" x14ac:dyDescent="0.15">
      <c r="A1928" s="165"/>
      <c r="B1928" s="93"/>
      <c r="C1928" s="102"/>
      <c r="D1928" s="62"/>
      <c r="E1928" s="102"/>
      <c r="F1928" s="102"/>
      <c r="G1928" s="102"/>
      <c r="H1928" s="175"/>
      <c r="I1928" s="85"/>
      <c r="J1928" s="104"/>
      <c r="K1928" s="144"/>
      <c r="L1928" s="62"/>
      <c r="N1928" s="37"/>
      <c r="O1928" s="37"/>
      <c r="P1928" s="37"/>
      <c r="Q1928" s="3"/>
      <c r="R1928" s="3"/>
      <c r="S1928" s="3"/>
      <c r="T1928" s="3"/>
      <c r="U1928" s="3"/>
      <c r="V1928" s="3"/>
      <c r="W1928" s="3"/>
      <c r="X1928" s="3"/>
      <c r="Y1928" s="3"/>
      <c r="Z1928" s="4"/>
      <c r="AA1928"/>
      <c r="AB1928"/>
    </row>
    <row r="1929" spans="1:28" s="49" customFormat="1" x14ac:dyDescent="0.15">
      <c r="A1929" s="165"/>
      <c r="B1929" s="93"/>
      <c r="C1929" s="102"/>
      <c r="D1929" s="62"/>
      <c r="E1929" s="102"/>
      <c r="F1929" s="102"/>
      <c r="G1929" s="102"/>
      <c r="H1929" s="175"/>
      <c r="I1929" s="85"/>
      <c r="J1929" s="104"/>
      <c r="K1929" s="144"/>
      <c r="L1929" s="62"/>
      <c r="N1929" s="37"/>
      <c r="O1929" s="37"/>
      <c r="P1929" s="37"/>
      <c r="Q1929" s="3"/>
      <c r="R1929" s="3"/>
      <c r="S1929" s="3"/>
      <c r="T1929" s="3"/>
      <c r="U1929" s="3"/>
      <c r="V1929" s="3"/>
      <c r="W1929" s="3"/>
      <c r="X1929" s="3"/>
      <c r="Y1929" s="3"/>
      <c r="Z1929" s="4"/>
      <c r="AA1929"/>
      <c r="AB1929"/>
    </row>
    <row r="1930" spans="1:28" s="49" customFormat="1" x14ac:dyDescent="0.15">
      <c r="A1930" s="165"/>
      <c r="B1930" s="93"/>
      <c r="C1930" s="102"/>
      <c r="D1930" s="62"/>
      <c r="E1930" s="102"/>
      <c r="F1930" s="102"/>
      <c r="G1930" s="102"/>
      <c r="H1930" s="175"/>
      <c r="I1930" s="98"/>
      <c r="J1930" s="98"/>
      <c r="K1930" s="135"/>
      <c r="L1930" s="62"/>
      <c r="N1930" s="37"/>
      <c r="O1930" s="37"/>
      <c r="P1930" s="37"/>
      <c r="Q1930" s="3"/>
      <c r="R1930" s="3"/>
      <c r="S1930" s="3"/>
      <c r="T1930" s="3"/>
      <c r="U1930" s="3"/>
      <c r="V1930" s="3"/>
      <c r="W1930" s="3"/>
      <c r="X1930" s="3"/>
      <c r="Y1930" s="3"/>
      <c r="Z1930" s="4"/>
      <c r="AA1930"/>
      <c r="AB1930"/>
    </row>
    <row r="1931" spans="1:28" s="49" customFormat="1" x14ac:dyDescent="0.15">
      <c r="A1931" s="165"/>
      <c r="B1931" s="93"/>
      <c r="C1931" s="102"/>
      <c r="D1931" s="62"/>
      <c r="E1931" s="102"/>
      <c r="F1931" s="102"/>
      <c r="G1931" s="102"/>
      <c r="H1931" s="175"/>
      <c r="I1931" s="98"/>
      <c r="J1931" s="98"/>
      <c r="K1931" s="135"/>
      <c r="L1931" s="62"/>
      <c r="N1931" s="37"/>
      <c r="O1931" s="37"/>
      <c r="P1931" s="37"/>
      <c r="Q1931" s="3"/>
      <c r="R1931" s="3"/>
      <c r="S1931" s="3"/>
      <c r="T1931" s="3"/>
      <c r="U1931" s="3"/>
      <c r="V1931" s="3"/>
      <c r="W1931" s="3"/>
      <c r="X1931" s="3"/>
      <c r="Y1931" s="3"/>
      <c r="Z1931" s="4"/>
      <c r="AA1931"/>
      <c r="AB1931"/>
    </row>
    <row r="1932" spans="1:28" s="49" customFormat="1" x14ac:dyDescent="0.15">
      <c r="A1932" s="165"/>
      <c r="B1932" s="93"/>
      <c r="C1932" s="102"/>
      <c r="D1932" s="62"/>
      <c r="E1932" s="102"/>
      <c r="F1932" s="102"/>
      <c r="G1932" s="102"/>
      <c r="H1932" s="175"/>
      <c r="I1932" s="98"/>
      <c r="J1932" s="98"/>
      <c r="K1932" s="135"/>
      <c r="L1932" s="62"/>
      <c r="N1932" s="37"/>
      <c r="O1932" s="37"/>
      <c r="P1932" s="37"/>
      <c r="Q1932" s="3"/>
      <c r="R1932" s="3"/>
      <c r="S1932" s="3"/>
      <c r="T1932" s="3"/>
      <c r="U1932" s="3"/>
      <c r="V1932" s="3"/>
      <c r="W1932" s="3"/>
      <c r="X1932" s="3"/>
      <c r="Y1932" s="3"/>
      <c r="Z1932" s="4"/>
      <c r="AA1932"/>
      <c r="AB1932"/>
    </row>
    <row r="1933" spans="1:28" s="49" customFormat="1" x14ac:dyDescent="0.15">
      <c r="A1933" s="165"/>
      <c r="B1933" s="93"/>
      <c r="C1933" s="102"/>
      <c r="D1933" s="62"/>
      <c r="E1933" s="102"/>
      <c r="F1933" s="102"/>
      <c r="G1933" s="102"/>
      <c r="H1933" s="175"/>
      <c r="I1933" s="98"/>
      <c r="J1933" s="98"/>
      <c r="K1933" s="135"/>
      <c r="L1933" s="62"/>
      <c r="N1933" s="37"/>
      <c r="O1933" s="37"/>
      <c r="P1933" s="37"/>
      <c r="Q1933" s="3"/>
      <c r="R1933" s="3"/>
      <c r="S1933" s="3"/>
      <c r="T1933" s="3"/>
      <c r="U1933" s="3"/>
      <c r="V1933" s="3"/>
      <c r="W1933" s="3"/>
      <c r="X1933" s="3"/>
      <c r="Y1933" s="3"/>
      <c r="Z1933" s="4"/>
      <c r="AA1933"/>
      <c r="AB1933"/>
    </row>
    <row r="1934" spans="1:28" s="37" customFormat="1" x14ac:dyDescent="0.15">
      <c r="A1934" s="165"/>
      <c r="B1934" s="93"/>
      <c r="C1934" s="102"/>
      <c r="D1934" s="62"/>
      <c r="E1934" s="102"/>
      <c r="F1934" s="102"/>
      <c r="G1934" s="102"/>
      <c r="H1934" s="175"/>
      <c r="I1934" s="85"/>
      <c r="J1934" s="104"/>
      <c r="K1934" s="144"/>
      <c r="L1934" s="62"/>
      <c r="M1934" s="49"/>
      <c r="Q1934" s="3"/>
      <c r="R1934" s="3"/>
      <c r="S1934" s="3"/>
      <c r="T1934" s="3"/>
      <c r="U1934" s="3"/>
      <c r="V1934" s="3"/>
      <c r="W1934" s="3"/>
      <c r="X1934" s="3"/>
      <c r="Y1934" s="3"/>
      <c r="Z1934" s="4"/>
      <c r="AA1934"/>
      <c r="AB1934"/>
    </row>
    <row r="1935" spans="1:28" s="37" customFormat="1" x14ac:dyDescent="0.15">
      <c r="A1935" s="165"/>
      <c r="B1935" s="82"/>
      <c r="C1935" s="107"/>
      <c r="D1935" s="62"/>
      <c r="E1935" s="107"/>
      <c r="F1935" s="107"/>
      <c r="G1935" s="107"/>
      <c r="H1935" s="179"/>
      <c r="I1935" s="85"/>
      <c r="J1935" s="104"/>
      <c r="K1935" s="144"/>
      <c r="L1935" s="62"/>
      <c r="M1935" s="49"/>
      <c r="Q1935" s="3"/>
      <c r="R1935" s="3"/>
      <c r="S1935" s="3"/>
      <c r="T1935" s="3"/>
      <c r="U1935" s="3"/>
      <c r="V1935" s="3"/>
      <c r="W1935" s="3"/>
      <c r="X1935" s="3"/>
      <c r="Y1935" s="3"/>
      <c r="Z1935" s="4"/>
      <c r="AA1935"/>
      <c r="AB1935"/>
    </row>
    <row r="1936" spans="1:28" s="37" customFormat="1" x14ac:dyDescent="0.15">
      <c r="A1936" s="165"/>
      <c r="B1936" s="93"/>
      <c r="C1936" s="100"/>
      <c r="D1936" s="61"/>
      <c r="E1936" s="102"/>
      <c r="F1936" s="100"/>
      <c r="G1936" s="100"/>
      <c r="H1936" s="177"/>
      <c r="I1936" s="103"/>
      <c r="J1936" s="103"/>
      <c r="K1936" s="135"/>
      <c r="L1936" s="62"/>
      <c r="M1936" s="50"/>
      <c r="N1936" s="51"/>
      <c r="O1936" s="35"/>
      <c r="Q1936" s="3"/>
      <c r="R1936" s="3"/>
      <c r="S1936" s="3"/>
      <c r="T1936" s="3"/>
      <c r="U1936" s="3"/>
      <c r="V1936" s="3"/>
      <c r="W1936" s="3"/>
      <c r="X1936" s="3"/>
      <c r="Y1936" s="3"/>
      <c r="Z1936" s="4"/>
      <c r="AA1936"/>
      <c r="AB1936"/>
    </row>
    <row r="1937" spans="1:28" s="37" customFormat="1" x14ac:dyDescent="0.15">
      <c r="A1937" s="165"/>
      <c r="B1937" s="93"/>
      <c r="C1937" s="102"/>
      <c r="D1937" s="62"/>
      <c r="E1937" s="102"/>
      <c r="F1937" s="102"/>
      <c r="G1937" s="102"/>
      <c r="H1937" s="175"/>
      <c r="I1937" s="85"/>
      <c r="J1937" s="104"/>
      <c r="K1937" s="144"/>
      <c r="L1937" s="62"/>
      <c r="M1937" s="50"/>
      <c r="N1937" s="51"/>
      <c r="Q1937" s="3"/>
      <c r="R1937" s="3"/>
      <c r="S1937" s="3"/>
      <c r="T1937" s="3"/>
      <c r="U1937" s="3"/>
      <c r="V1937" s="3"/>
      <c r="W1937" s="3"/>
      <c r="X1937" s="3"/>
      <c r="Y1937" s="3"/>
      <c r="Z1937" s="4"/>
      <c r="AA1937"/>
      <c r="AB1937"/>
    </row>
    <row r="1938" spans="1:28" s="37" customFormat="1" x14ac:dyDescent="0.15">
      <c r="A1938" s="165"/>
      <c r="B1938" s="93"/>
      <c r="C1938" s="102"/>
      <c r="D1938" s="62"/>
      <c r="E1938" s="102"/>
      <c r="F1938" s="102"/>
      <c r="G1938" s="102"/>
      <c r="H1938" s="175"/>
      <c r="I1938" s="85"/>
      <c r="J1938" s="103"/>
      <c r="K1938" s="135"/>
      <c r="L1938" s="62"/>
      <c r="M1938" s="50"/>
      <c r="N1938" s="35"/>
      <c r="O1938" s="35"/>
      <c r="Q1938" s="3"/>
      <c r="R1938" s="3"/>
      <c r="S1938" s="3"/>
      <c r="T1938" s="3"/>
      <c r="U1938" s="3"/>
      <c r="V1938" s="3"/>
      <c r="W1938" s="3"/>
      <c r="X1938" s="3"/>
      <c r="Y1938" s="3"/>
      <c r="Z1938" s="4"/>
      <c r="AA1938"/>
      <c r="AB1938"/>
    </row>
    <row r="1939" spans="1:28" s="37" customFormat="1" x14ac:dyDescent="0.15">
      <c r="A1939" s="165"/>
      <c r="B1939" s="93"/>
      <c r="C1939" s="102"/>
      <c r="D1939" s="62"/>
      <c r="E1939" s="102"/>
      <c r="F1939" s="102"/>
      <c r="G1939" s="102"/>
      <c r="H1939" s="175"/>
      <c r="I1939" s="85"/>
      <c r="J1939" s="104"/>
      <c r="K1939" s="144"/>
      <c r="L1939" s="62"/>
      <c r="M1939" s="50"/>
      <c r="N1939" s="35"/>
      <c r="Q1939" s="3"/>
      <c r="R1939" s="3"/>
      <c r="S1939" s="3"/>
      <c r="T1939" s="3"/>
      <c r="U1939" s="3"/>
      <c r="V1939" s="3"/>
      <c r="W1939" s="3"/>
      <c r="X1939" s="3"/>
      <c r="Y1939" s="3"/>
      <c r="Z1939" s="4"/>
      <c r="AA1939"/>
      <c r="AB1939"/>
    </row>
    <row r="1940" spans="1:28" s="37" customFormat="1" x14ac:dyDescent="0.15">
      <c r="A1940" s="165"/>
      <c r="B1940" s="93"/>
      <c r="C1940" s="102"/>
      <c r="D1940" s="62"/>
      <c r="E1940" s="102"/>
      <c r="F1940" s="102"/>
      <c r="G1940" s="102"/>
      <c r="H1940" s="175"/>
      <c r="I1940" s="85"/>
      <c r="J1940" s="104"/>
      <c r="K1940" s="144"/>
      <c r="L1940" s="62"/>
      <c r="M1940" s="50"/>
      <c r="N1940" s="35"/>
      <c r="Q1940" s="3"/>
      <c r="R1940" s="3"/>
      <c r="S1940" s="3"/>
      <c r="T1940" s="3"/>
      <c r="U1940" s="3"/>
      <c r="V1940" s="3"/>
      <c r="W1940" s="3"/>
      <c r="X1940" s="3"/>
      <c r="Y1940" s="3"/>
      <c r="Z1940" s="4"/>
      <c r="AA1940"/>
      <c r="AB1940"/>
    </row>
    <row r="1941" spans="1:28" s="37" customFormat="1" x14ac:dyDescent="0.15">
      <c r="A1941" s="165"/>
      <c r="B1941" s="93"/>
      <c r="C1941" s="102"/>
      <c r="D1941" s="62"/>
      <c r="E1941" s="102"/>
      <c r="F1941" s="102"/>
      <c r="G1941" s="102"/>
      <c r="H1941" s="175"/>
      <c r="I1941" s="85"/>
      <c r="J1941" s="104"/>
      <c r="K1941" s="144"/>
      <c r="L1941" s="62"/>
      <c r="M1941" s="50"/>
      <c r="N1941" s="35"/>
      <c r="O1941" s="35"/>
      <c r="Q1941" s="3"/>
      <c r="R1941" s="3"/>
      <c r="S1941" s="3"/>
      <c r="T1941" s="3"/>
      <c r="U1941" s="3"/>
      <c r="V1941" s="3"/>
      <c r="W1941" s="3"/>
      <c r="X1941" s="3"/>
      <c r="Y1941" s="3"/>
      <c r="Z1941" s="4"/>
      <c r="AA1941"/>
      <c r="AB1941"/>
    </row>
    <row r="1942" spans="1:28" s="37" customFormat="1" x14ac:dyDescent="0.15">
      <c r="A1942" s="165"/>
      <c r="B1942" s="93"/>
      <c r="C1942" s="102"/>
      <c r="D1942" s="62"/>
      <c r="E1942" s="102"/>
      <c r="F1942" s="102"/>
      <c r="G1942" s="102"/>
      <c r="H1942" s="175"/>
      <c r="I1942" s="85"/>
      <c r="J1942" s="104"/>
      <c r="K1942" s="144"/>
      <c r="L1942" s="62"/>
      <c r="M1942" s="50"/>
      <c r="N1942" s="35"/>
      <c r="O1942" s="35"/>
      <c r="Q1942" s="3"/>
      <c r="R1942" s="3"/>
      <c r="S1942" s="3"/>
      <c r="T1942" s="3"/>
      <c r="U1942" s="3"/>
      <c r="V1942" s="3"/>
      <c r="W1942" s="3"/>
      <c r="X1942" s="3"/>
      <c r="Y1942" s="3"/>
      <c r="Z1942" s="4"/>
      <c r="AA1942"/>
      <c r="AB1942"/>
    </row>
    <row r="1943" spans="1:28" s="37" customFormat="1" x14ac:dyDescent="0.15">
      <c r="A1943" s="165"/>
      <c r="B1943" s="93"/>
      <c r="C1943" s="102"/>
      <c r="D1943" s="62"/>
      <c r="E1943" s="100"/>
      <c r="F1943" s="102"/>
      <c r="G1943" s="102"/>
      <c r="H1943" s="175"/>
      <c r="I1943" s="85"/>
      <c r="J1943" s="104"/>
      <c r="K1943" s="144"/>
      <c r="L1943" s="62"/>
      <c r="M1943" s="50"/>
      <c r="N1943" s="35"/>
      <c r="O1943" s="51"/>
      <c r="Q1943" s="3"/>
      <c r="R1943" s="3"/>
      <c r="S1943" s="3"/>
      <c r="T1943" s="3"/>
      <c r="U1943" s="3"/>
      <c r="V1943" s="3"/>
      <c r="W1943" s="3"/>
      <c r="X1943" s="3"/>
      <c r="Y1943" s="3"/>
      <c r="Z1943" s="4"/>
      <c r="AA1943"/>
      <c r="AB1943"/>
    </row>
    <row r="1944" spans="1:28" s="37" customFormat="1" x14ac:dyDescent="0.15">
      <c r="A1944" s="165"/>
      <c r="B1944" s="93"/>
      <c r="C1944" s="102"/>
      <c r="D1944" s="62"/>
      <c r="E1944" s="102"/>
      <c r="F1944" s="102"/>
      <c r="G1944" s="102"/>
      <c r="H1944" s="175"/>
      <c r="I1944" s="85"/>
      <c r="J1944" s="98"/>
      <c r="K1944" s="135"/>
      <c r="L1944" s="62"/>
      <c r="M1944" s="50"/>
      <c r="N1944" s="35"/>
      <c r="Q1944" s="3"/>
      <c r="R1944" s="3"/>
      <c r="S1944" s="3"/>
      <c r="T1944" s="3"/>
      <c r="U1944" s="3"/>
      <c r="V1944" s="3"/>
      <c r="W1944" s="3"/>
      <c r="X1944" s="3"/>
      <c r="Y1944" s="3"/>
      <c r="Z1944" s="4"/>
      <c r="AA1944"/>
      <c r="AB1944"/>
    </row>
    <row r="1945" spans="1:28" s="37" customFormat="1" x14ac:dyDescent="0.15">
      <c r="A1945" s="165"/>
      <c r="B1945" s="93"/>
      <c r="C1945" s="102"/>
      <c r="D1945" s="62"/>
      <c r="E1945" s="102"/>
      <c r="F1945" s="102"/>
      <c r="G1945" s="102"/>
      <c r="H1945" s="175"/>
      <c r="I1945" s="85"/>
      <c r="J1945" s="104"/>
      <c r="K1945" s="144"/>
      <c r="L1945" s="62"/>
      <c r="M1945" s="50"/>
      <c r="O1945" s="51"/>
      <c r="Q1945" s="3"/>
      <c r="R1945" s="3"/>
      <c r="S1945" s="3"/>
      <c r="T1945" s="3"/>
      <c r="U1945" s="3"/>
      <c r="V1945" s="3"/>
      <c r="W1945" s="3"/>
      <c r="X1945" s="3"/>
      <c r="Y1945" s="3"/>
      <c r="Z1945" s="4"/>
      <c r="AA1945"/>
      <c r="AB1945"/>
    </row>
    <row r="1946" spans="1:28" s="37" customFormat="1" x14ac:dyDescent="0.15">
      <c r="A1946" s="165"/>
      <c r="B1946" s="93"/>
      <c r="C1946" s="102"/>
      <c r="D1946" s="62"/>
      <c r="E1946" s="102"/>
      <c r="F1946" s="102"/>
      <c r="G1946" s="102"/>
      <c r="H1946" s="175"/>
      <c r="I1946" s="103"/>
      <c r="J1946" s="98"/>
      <c r="K1946" s="135"/>
      <c r="L1946" s="62"/>
      <c r="M1946" s="50"/>
      <c r="Q1946" s="3"/>
      <c r="R1946" s="3"/>
      <c r="S1946" s="3"/>
      <c r="T1946" s="3"/>
      <c r="U1946" s="3"/>
      <c r="V1946" s="3"/>
      <c r="W1946" s="3"/>
      <c r="X1946" s="3"/>
      <c r="Y1946" s="3"/>
      <c r="Z1946" s="4"/>
      <c r="AA1946"/>
      <c r="AB1946"/>
    </row>
    <row r="1947" spans="1:28" s="37" customFormat="1" x14ac:dyDescent="0.15">
      <c r="A1947" s="165"/>
      <c r="B1947" s="93"/>
      <c r="C1947" s="102"/>
      <c r="D1947" s="62"/>
      <c r="E1947" s="102"/>
      <c r="F1947" s="102"/>
      <c r="G1947" s="102"/>
      <c r="H1947" s="175"/>
      <c r="I1947" s="85"/>
      <c r="J1947" s="104"/>
      <c r="K1947" s="144"/>
      <c r="L1947" s="62"/>
      <c r="M1947" s="50"/>
      <c r="O1947" s="35"/>
      <c r="Q1947" s="3"/>
      <c r="R1947" s="3"/>
      <c r="S1947" s="3"/>
      <c r="T1947" s="3"/>
      <c r="U1947" s="3"/>
      <c r="V1947" s="3"/>
      <c r="W1947" s="3"/>
      <c r="X1947" s="3"/>
      <c r="Y1947" s="3"/>
      <c r="Z1947" s="4"/>
      <c r="AA1947"/>
      <c r="AB1947"/>
    </row>
    <row r="1948" spans="1:28" s="37" customFormat="1" x14ac:dyDescent="0.15">
      <c r="A1948" s="165"/>
      <c r="B1948" s="93"/>
      <c r="C1948" s="102"/>
      <c r="D1948" s="62"/>
      <c r="E1948" s="102"/>
      <c r="F1948" s="102"/>
      <c r="G1948" s="102"/>
      <c r="H1948" s="175"/>
      <c r="I1948" s="85"/>
      <c r="J1948" s="104"/>
      <c r="K1948" s="144"/>
      <c r="L1948" s="62"/>
      <c r="M1948" s="50"/>
      <c r="Q1948" s="3"/>
      <c r="R1948" s="3"/>
      <c r="S1948" s="3"/>
      <c r="T1948" s="3"/>
      <c r="U1948" s="3"/>
      <c r="V1948" s="3"/>
      <c r="W1948" s="3"/>
      <c r="X1948" s="3"/>
      <c r="Y1948" s="3"/>
      <c r="Z1948" s="4"/>
      <c r="AA1948"/>
      <c r="AB1948"/>
    </row>
    <row r="1949" spans="1:28" s="37" customFormat="1" x14ac:dyDescent="0.15">
      <c r="A1949" s="165"/>
      <c r="B1949" s="93"/>
      <c r="C1949" s="102"/>
      <c r="D1949" s="62"/>
      <c r="E1949" s="102"/>
      <c r="F1949" s="102"/>
      <c r="G1949" s="102"/>
      <c r="H1949" s="175"/>
      <c r="I1949" s="103"/>
      <c r="J1949" s="98"/>
      <c r="K1949" s="135"/>
      <c r="L1949" s="62"/>
      <c r="M1949" s="35"/>
      <c r="Q1949" s="3"/>
      <c r="R1949" s="3"/>
      <c r="S1949" s="3"/>
      <c r="T1949" s="3"/>
      <c r="U1949" s="3"/>
      <c r="V1949" s="3"/>
      <c r="W1949" s="3"/>
      <c r="X1949" s="3"/>
      <c r="Y1949" s="3"/>
      <c r="Z1949" s="4"/>
      <c r="AA1949"/>
      <c r="AB1949"/>
    </row>
    <row r="1950" spans="1:28" s="37" customFormat="1" x14ac:dyDescent="0.15">
      <c r="A1950" s="165"/>
      <c r="B1950" s="93"/>
      <c r="C1950" s="102"/>
      <c r="D1950" s="62"/>
      <c r="E1950" s="102"/>
      <c r="F1950" s="102"/>
      <c r="G1950" s="102"/>
      <c r="H1950" s="175"/>
      <c r="I1950" s="85"/>
      <c r="J1950" s="104"/>
      <c r="K1950" s="144"/>
      <c r="L1950" s="62"/>
      <c r="M1950" s="35"/>
      <c r="Q1950" s="3"/>
      <c r="R1950" s="3"/>
      <c r="S1950" s="3"/>
      <c r="T1950" s="3"/>
      <c r="U1950" s="3"/>
      <c r="V1950" s="3"/>
      <c r="W1950" s="3"/>
      <c r="X1950" s="3"/>
      <c r="Y1950" s="3"/>
      <c r="Z1950" s="4"/>
      <c r="AA1950"/>
      <c r="AB1950"/>
    </row>
    <row r="1951" spans="1:28" s="37" customFormat="1" x14ac:dyDescent="0.15">
      <c r="A1951" s="165"/>
      <c r="B1951" s="93"/>
      <c r="C1951" s="102"/>
      <c r="D1951" s="62"/>
      <c r="E1951" s="102"/>
      <c r="F1951" s="102"/>
      <c r="G1951" s="102"/>
      <c r="H1951" s="175"/>
      <c r="I1951" s="85"/>
      <c r="J1951" s="104"/>
      <c r="K1951" s="144"/>
      <c r="L1951" s="62"/>
      <c r="M1951" s="35"/>
      <c r="O1951" s="35"/>
      <c r="Q1951" s="3"/>
      <c r="R1951" s="3"/>
      <c r="S1951" s="3"/>
      <c r="T1951" s="3"/>
      <c r="U1951" s="3"/>
      <c r="V1951" s="3"/>
      <c r="W1951" s="3"/>
      <c r="X1951" s="3"/>
      <c r="Y1951" s="3"/>
      <c r="Z1951" s="4"/>
      <c r="AA1951"/>
      <c r="AB1951"/>
    </row>
    <row r="1952" spans="1:28" s="37" customFormat="1" x14ac:dyDescent="0.15">
      <c r="A1952" s="165"/>
      <c r="B1952" s="93"/>
      <c r="C1952" s="102"/>
      <c r="D1952" s="62"/>
      <c r="E1952" s="102"/>
      <c r="F1952" s="102"/>
      <c r="G1952" s="102"/>
      <c r="H1952" s="175"/>
      <c r="I1952" s="85"/>
      <c r="J1952" s="104"/>
      <c r="K1952" s="144"/>
      <c r="L1952" s="62"/>
      <c r="M1952" s="35"/>
      <c r="O1952" s="35"/>
      <c r="Q1952" s="3"/>
      <c r="R1952" s="3"/>
      <c r="S1952" s="3"/>
      <c r="T1952" s="3"/>
      <c r="U1952" s="3"/>
      <c r="V1952" s="3"/>
      <c r="W1952" s="3"/>
      <c r="X1952" s="3"/>
      <c r="Y1952" s="3"/>
      <c r="Z1952" s="4"/>
      <c r="AA1952"/>
      <c r="AB1952"/>
    </row>
    <row r="1953" spans="1:28" s="37" customFormat="1" x14ac:dyDescent="0.15">
      <c r="A1953" s="165"/>
      <c r="B1953" s="93"/>
      <c r="C1953" s="102"/>
      <c r="D1953" s="62"/>
      <c r="E1953" s="102"/>
      <c r="F1953" s="102"/>
      <c r="G1953" s="102"/>
      <c r="H1953" s="177"/>
      <c r="I1953" s="103"/>
      <c r="J1953" s="98"/>
      <c r="K1953" s="135"/>
      <c r="L1953" s="62"/>
      <c r="M1953" s="50"/>
      <c r="N1953" s="51"/>
      <c r="O1953" s="51"/>
      <c r="Q1953" s="3"/>
      <c r="R1953" s="3"/>
      <c r="S1953" s="3"/>
      <c r="T1953" s="3"/>
      <c r="U1953" s="3"/>
      <c r="V1953" s="3"/>
      <c r="W1953" s="3"/>
      <c r="X1953" s="3"/>
      <c r="Y1953" s="3"/>
      <c r="Z1953" s="4"/>
      <c r="AA1953"/>
      <c r="AB1953"/>
    </row>
    <row r="1954" spans="1:28" s="37" customFormat="1" x14ac:dyDescent="0.15">
      <c r="A1954" s="165"/>
      <c r="B1954" s="93"/>
      <c r="C1954" s="102"/>
      <c r="D1954" s="62"/>
      <c r="E1954" s="102"/>
      <c r="F1954" s="102"/>
      <c r="G1954" s="102"/>
      <c r="H1954" s="175"/>
      <c r="I1954" s="85"/>
      <c r="J1954" s="104"/>
      <c r="K1954" s="144"/>
      <c r="L1954" s="62"/>
      <c r="M1954" s="50"/>
      <c r="N1954" s="51"/>
      <c r="Q1954" s="3"/>
      <c r="R1954" s="3"/>
      <c r="S1954" s="3"/>
      <c r="T1954" s="3"/>
      <c r="U1954" s="3"/>
      <c r="V1954" s="3"/>
      <c r="W1954" s="3"/>
      <c r="X1954" s="3"/>
      <c r="Y1954" s="3"/>
      <c r="Z1954" s="4"/>
      <c r="AA1954"/>
      <c r="AB1954"/>
    </row>
    <row r="1955" spans="1:28" s="37" customFormat="1" x14ac:dyDescent="0.15">
      <c r="A1955" s="165"/>
      <c r="B1955" s="93"/>
      <c r="C1955" s="102"/>
      <c r="D1955" s="62"/>
      <c r="E1955" s="102"/>
      <c r="F1955" s="102"/>
      <c r="G1955" s="102"/>
      <c r="H1955" s="175"/>
      <c r="I1955" s="103"/>
      <c r="J1955" s="98"/>
      <c r="K1955" s="135"/>
      <c r="L1955" s="62"/>
      <c r="M1955" s="49"/>
      <c r="Q1955" s="3"/>
      <c r="R1955" s="3"/>
      <c r="S1955" s="3"/>
      <c r="T1955" s="3"/>
      <c r="U1955" s="3"/>
      <c r="V1955" s="3"/>
      <c r="W1955" s="3"/>
      <c r="X1955" s="3"/>
      <c r="Y1955" s="3"/>
      <c r="Z1955" s="4"/>
      <c r="AA1955"/>
      <c r="AB1955"/>
    </row>
    <row r="1956" spans="1:28" s="37" customFormat="1" x14ac:dyDescent="0.15">
      <c r="A1956" s="165"/>
      <c r="B1956" s="93"/>
      <c r="C1956" s="102"/>
      <c r="D1956" s="62"/>
      <c r="E1956" s="102"/>
      <c r="F1956" s="102"/>
      <c r="G1956" s="102"/>
      <c r="H1956" s="177"/>
      <c r="I1956" s="85"/>
      <c r="J1956" s="104"/>
      <c r="K1956" s="144"/>
      <c r="L1956" s="62"/>
      <c r="M1956" s="49"/>
      <c r="Q1956" s="3"/>
      <c r="R1956" s="3"/>
      <c r="S1956" s="3"/>
      <c r="T1956" s="3"/>
      <c r="U1956" s="3"/>
      <c r="V1956" s="3"/>
      <c r="W1956" s="3"/>
      <c r="X1956" s="3"/>
      <c r="Y1956" s="3"/>
      <c r="Z1956" s="4"/>
      <c r="AA1956"/>
      <c r="AB1956"/>
    </row>
    <row r="1957" spans="1:28" s="37" customFormat="1" x14ac:dyDescent="0.15">
      <c r="A1957" s="165"/>
      <c r="B1957" s="93"/>
      <c r="C1957" s="102"/>
      <c r="D1957" s="62"/>
      <c r="E1957" s="102"/>
      <c r="F1957" s="102"/>
      <c r="G1957" s="102"/>
      <c r="H1957" s="175"/>
      <c r="I1957" s="85"/>
      <c r="J1957" s="104"/>
      <c r="K1957" s="144"/>
      <c r="L1957" s="62"/>
      <c r="M1957" s="49"/>
      <c r="Q1957" s="3"/>
      <c r="R1957" s="3"/>
      <c r="S1957" s="3"/>
      <c r="T1957" s="3"/>
      <c r="U1957" s="3"/>
      <c r="V1957" s="3"/>
      <c r="W1957" s="3"/>
      <c r="X1957" s="3"/>
      <c r="Y1957" s="3"/>
      <c r="Z1957" s="4"/>
      <c r="AA1957"/>
      <c r="AB1957"/>
    </row>
    <row r="1958" spans="1:28" s="37" customFormat="1" x14ac:dyDescent="0.15">
      <c r="A1958" s="165"/>
      <c r="B1958" s="93"/>
      <c r="C1958" s="102"/>
      <c r="D1958" s="62"/>
      <c r="E1958" s="102"/>
      <c r="F1958" s="102"/>
      <c r="G1958" s="102"/>
      <c r="H1958" s="175"/>
      <c r="I1958" s="85"/>
      <c r="J1958" s="104"/>
      <c r="K1958" s="144"/>
      <c r="L1958" s="62"/>
      <c r="M1958" s="49"/>
      <c r="Q1958" s="3"/>
      <c r="R1958" s="3"/>
      <c r="S1958" s="3"/>
      <c r="T1958" s="3"/>
      <c r="U1958" s="3"/>
      <c r="V1958" s="3"/>
      <c r="W1958" s="3"/>
      <c r="X1958" s="3"/>
      <c r="Y1958" s="3"/>
      <c r="Z1958" s="4"/>
      <c r="AA1958"/>
      <c r="AB1958"/>
    </row>
    <row r="1959" spans="1:28" s="37" customFormat="1" x14ac:dyDescent="0.15">
      <c r="A1959" s="165"/>
      <c r="B1959" s="93"/>
      <c r="C1959" s="102"/>
      <c r="D1959" s="62"/>
      <c r="E1959" s="102"/>
      <c r="F1959" s="102"/>
      <c r="G1959" s="102"/>
      <c r="H1959" s="177"/>
      <c r="I1959" s="85"/>
      <c r="J1959" s="104"/>
      <c r="K1959" s="144"/>
      <c r="L1959" s="62"/>
      <c r="M1959" s="49"/>
      <c r="Q1959" s="3"/>
      <c r="R1959" s="3"/>
      <c r="S1959" s="3"/>
      <c r="T1959" s="3"/>
      <c r="U1959" s="3"/>
      <c r="V1959" s="3"/>
      <c r="W1959" s="3"/>
      <c r="X1959" s="3"/>
      <c r="Y1959" s="3"/>
      <c r="Z1959" s="4"/>
      <c r="AA1959"/>
      <c r="AB1959"/>
    </row>
    <row r="1960" spans="1:28" s="37" customFormat="1" x14ac:dyDescent="0.15">
      <c r="A1960" s="165"/>
      <c r="B1960" s="93"/>
      <c r="C1960" s="102"/>
      <c r="D1960" s="62"/>
      <c r="E1960" s="102"/>
      <c r="F1960" s="102"/>
      <c r="G1960" s="102"/>
      <c r="H1960" s="175"/>
      <c r="I1960" s="85"/>
      <c r="J1960" s="104"/>
      <c r="K1960" s="144"/>
      <c r="L1960" s="62"/>
      <c r="M1960" s="49"/>
      <c r="Q1960" s="3"/>
      <c r="R1960" s="3"/>
      <c r="S1960" s="3"/>
      <c r="T1960" s="3"/>
      <c r="U1960" s="3"/>
      <c r="V1960" s="3"/>
      <c r="W1960" s="3"/>
      <c r="X1960" s="3"/>
      <c r="Y1960" s="3"/>
      <c r="Z1960" s="4"/>
      <c r="AA1960"/>
      <c r="AB1960"/>
    </row>
    <row r="1961" spans="1:28" s="37" customFormat="1" x14ac:dyDescent="0.15">
      <c r="A1961" s="165"/>
      <c r="B1961" s="93"/>
      <c r="C1961" s="102"/>
      <c r="D1961" s="62"/>
      <c r="E1961" s="102"/>
      <c r="F1961" s="102"/>
      <c r="G1961" s="102"/>
      <c r="H1961" s="175"/>
      <c r="I1961" s="85"/>
      <c r="J1961" s="104"/>
      <c r="K1961" s="144"/>
      <c r="L1961" s="62"/>
      <c r="M1961" s="49"/>
      <c r="Q1961" s="3"/>
      <c r="R1961" s="3"/>
      <c r="S1961" s="3"/>
      <c r="T1961" s="3"/>
      <c r="U1961" s="3"/>
      <c r="V1961" s="3"/>
      <c r="W1961" s="3"/>
      <c r="X1961" s="3"/>
      <c r="Y1961" s="3"/>
      <c r="Z1961" s="4"/>
      <c r="AA1961"/>
      <c r="AB1961"/>
    </row>
    <row r="1962" spans="1:28" s="37" customFormat="1" x14ac:dyDescent="0.15">
      <c r="A1962" s="165"/>
      <c r="B1962" s="93"/>
      <c r="C1962" s="102"/>
      <c r="D1962" s="62"/>
      <c r="E1962" s="102"/>
      <c r="F1962" s="102"/>
      <c r="G1962" s="102"/>
      <c r="H1962" s="175"/>
      <c r="I1962" s="103"/>
      <c r="J1962" s="98"/>
      <c r="K1962" s="135"/>
      <c r="L1962" s="62"/>
      <c r="M1962" s="49"/>
      <c r="Q1962" s="3"/>
      <c r="R1962" s="3"/>
      <c r="S1962" s="3"/>
      <c r="T1962" s="3"/>
      <c r="U1962" s="3"/>
      <c r="V1962" s="3"/>
      <c r="W1962" s="3"/>
      <c r="X1962" s="3"/>
      <c r="Y1962" s="3"/>
      <c r="Z1962" s="4"/>
      <c r="AA1962"/>
      <c r="AB1962"/>
    </row>
    <row r="1963" spans="1:28" s="37" customFormat="1" x14ac:dyDescent="0.15">
      <c r="A1963" s="165"/>
      <c r="B1963" s="93"/>
      <c r="C1963" s="102"/>
      <c r="D1963" s="62"/>
      <c r="E1963" s="102"/>
      <c r="F1963" s="102"/>
      <c r="G1963" s="102"/>
      <c r="H1963" s="175"/>
      <c r="I1963" s="85"/>
      <c r="J1963" s="104"/>
      <c r="K1963" s="144"/>
      <c r="L1963" s="62"/>
      <c r="M1963" s="49"/>
      <c r="Q1963" s="3"/>
      <c r="R1963" s="3"/>
      <c r="S1963" s="3"/>
      <c r="T1963" s="3"/>
      <c r="U1963" s="3"/>
      <c r="V1963" s="3"/>
      <c r="W1963" s="3"/>
      <c r="X1963" s="3"/>
      <c r="Y1963" s="3"/>
      <c r="Z1963" s="4"/>
      <c r="AA1963"/>
      <c r="AB1963"/>
    </row>
    <row r="1964" spans="1:28" s="37" customFormat="1" x14ac:dyDescent="0.15">
      <c r="A1964" s="165"/>
      <c r="B1964" s="93"/>
      <c r="C1964" s="102"/>
      <c r="D1964" s="62"/>
      <c r="E1964" s="102"/>
      <c r="F1964" s="102"/>
      <c r="G1964" s="102"/>
      <c r="H1964" s="175"/>
      <c r="I1964" s="85"/>
      <c r="J1964" s="104"/>
      <c r="K1964" s="144"/>
      <c r="L1964" s="62"/>
      <c r="M1964" s="49"/>
      <c r="Q1964" s="3"/>
      <c r="R1964" s="3"/>
      <c r="S1964" s="3"/>
      <c r="T1964" s="3"/>
      <c r="U1964" s="3"/>
      <c r="V1964" s="3"/>
      <c r="W1964" s="3"/>
      <c r="X1964" s="3"/>
      <c r="Y1964" s="3"/>
      <c r="Z1964" s="4"/>
      <c r="AA1964"/>
      <c r="AB1964"/>
    </row>
    <row r="1965" spans="1:28" s="37" customFormat="1" x14ac:dyDescent="0.15">
      <c r="A1965" s="165"/>
      <c r="B1965" s="93"/>
      <c r="C1965" s="102"/>
      <c r="D1965" s="62"/>
      <c r="E1965" s="102"/>
      <c r="F1965" s="102"/>
      <c r="G1965" s="102"/>
      <c r="H1965" s="175"/>
      <c r="I1965" s="103"/>
      <c r="J1965" s="98"/>
      <c r="K1965" s="135"/>
      <c r="L1965" s="62"/>
      <c r="M1965" s="49"/>
      <c r="Q1965" s="3"/>
      <c r="R1965" s="3"/>
      <c r="S1965" s="3"/>
      <c r="T1965" s="3"/>
      <c r="U1965" s="3"/>
      <c r="V1965" s="3"/>
      <c r="W1965" s="3"/>
      <c r="X1965" s="3"/>
      <c r="Y1965" s="3"/>
      <c r="Z1965" s="4"/>
      <c r="AA1965"/>
      <c r="AB1965"/>
    </row>
    <row r="1966" spans="1:28" x14ac:dyDescent="0.15">
      <c r="A1966" s="165"/>
      <c r="B1966" s="93"/>
      <c r="C1966" s="102"/>
      <c r="D1966" s="62"/>
      <c r="E1966" s="102"/>
      <c r="F1966" s="102"/>
      <c r="G1966" s="102"/>
      <c r="H1966" s="175"/>
      <c r="I1966" s="85"/>
      <c r="J1966" s="104"/>
      <c r="K1966" s="144"/>
      <c r="L1966" s="62"/>
    </row>
    <row r="1967" spans="1:28" x14ac:dyDescent="0.15">
      <c r="A1967" s="165"/>
      <c r="B1967" s="93"/>
      <c r="C1967" s="102"/>
      <c r="D1967" s="62"/>
      <c r="E1967" s="102"/>
      <c r="F1967" s="102"/>
      <c r="G1967" s="102"/>
      <c r="H1967" s="175"/>
      <c r="I1967" s="85"/>
      <c r="J1967" s="104"/>
      <c r="K1967" s="144"/>
      <c r="L1967" s="62"/>
    </row>
    <row r="1968" spans="1:28" x14ac:dyDescent="0.15">
      <c r="A1968" s="165"/>
      <c r="B1968" s="93"/>
      <c r="C1968" s="102"/>
      <c r="D1968" s="62"/>
      <c r="E1968" s="102"/>
      <c r="F1968" s="102"/>
      <c r="G1968" s="102"/>
      <c r="H1968" s="175"/>
      <c r="I1968" s="85"/>
      <c r="J1968" s="104"/>
      <c r="K1968" s="144"/>
      <c r="L1968" s="62"/>
    </row>
    <row r="1969" spans="1:28" x14ac:dyDescent="0.15">
      <c r="A1969" s="165"/>
      <c r="B1969" s="93"/>
      <c r="C1969" s="102"/>
      <c r="D1969" s="62"/>
      <c r="E1969" s="102"/>
      <c r="F1969" s="102"/>
      <c r="G1969" s="102"/>
      <c r="H1969" s="175"/>
      <c r="I1969" s="85"/>
      <c r="J1969" s="104"/>
      <c r="K1969" s="144"/>
      <c r="L1969" s="62"/>
    </row>
    <row r="1970" spans="1:28" x14ac:dyDescent="0.15">
      <c r="A1970" s="165"/>
      <c r="B1970" s="93"/>
      <c r="C1970" s="102"/>
      <c r="D1970" s="62"/>
      <c r="E1970" s="102"/>
      <c r="F1970" s="102"/>
      <c r="G1970" s="102"/>
      <c r="H1970" s="175"/>
      <c r="I1970" s="85"/>
      <c r="J1970" s="104"/>
      <c r="K1970" s="144"/>
      <c r="L1970" s="62"/>
    </row>
    <row r="1971" spans="1:28" x14ac:dyDescent="0.15">
      <c r="A1971" s="165"/>
      <c r="B1971" s="93"/>
      <c r="C1971" s="102"/>
      <c r="D1971" s="62"/>
      <c r="E1971" s="102"/>
      <c r="F1971" s="102"/>
      <c r="G1971" s="102"/>
      <c r="H1971" s="175"/>
      <c r="I1971" s="85"/>
      <c r="J1971" s="104"/>
      <c r="K1971" s="144"/>
      <c r="L1971" s="62"/>
    </row>
    <row r="1972" spans="1:28" s="15" customFormat="1" x14ac:dyDescent="0.15">
      <c r="A1972" s="165"/>
      <c r="B1972" s="93"/>
      <c r="C1972" s="102"/>
      <c r="D1972" s="62"/>
      <c r="E1972" s="102"/>
      <c r="F1972" s="102"/>
      <c r="G1972" s="102"/>
      <c r="H1972" s="175"/>
      <c r="I1972" s="103"/>
      <c r="J1972" s="98"/>
      <c r="K1972" s="135"/>
      <c r="L1972" s="62"/>
      <c r="M1972" s="49"/>
      <c r="N1972" s="37"/>
      <c r="O1972" s="37"/>
      <c r="P1972" s="37"/>
      <c r="Q1972" s="3"/>
      <c r="R1972" s="3"/>
      <c r="S1972" s="3"/>
      <c r="T1972" s="3"/>
      <c r="U1972" s="3"/>
      <c r="V1972" s="3"/>
      <c r="W1972" s="3"/>
      <c r="X1972" s="3"/>
      <c r="Y1972" s="3"/>
      <c r="Z1972" s="4"/>
      <c r="AA1972"/>
      <c r="AB1972"/>
    </row>
    <row r="1973" spans="1:28" x14ac:dyDescent="0.15">
      <c r="A1973" s="165"/>
      <c r="B1973" s="93"/>
      <c r="C1973" s="102"/>
      <c r="D1973" s="62"/>
      <c r="E1973" s="102"/>
      <c r="F1973" s="102"/>
      <c r="G1973" s="102"/>
      <c r="H1973" s="175"/>
      <c r="I1973" s="85"/>
      <c r="J1973" s="104"/>
      <c r="K1973" s="144"/>
      <c r="L1973" s="62"/>
    </row>
    <row r="1974" spans="1:28" x14ac:dyDescent="0.15">
      <c r="A1974" s="165"/>
      <c r="B1974" s="93"/>
      <c r="C1974" s="102"/>
      <c r="D1974" s="62"/>
      <c r="E1974" s="102"/>
      <c r="F1974" s="102"/>
      <c r="G1974" s="102"/>
      <c r="H1974" s="175"/>
      <c r="I1974" s="103"/>
      <c r="J1974" s="98"/>
      <c r="K1974" s="135"/>
      <c r="L1974" s="62"/>
    </row>
    <row r="1975" spans="1:28" x14ac:dyDescent="0.15">
      <c r="A1975" s="165"/>
      <c r="B1975" s="93"/>
      <c r="C1975" s="102"/>
      <c r="D1975" s="62"/>
      <c r="E1975" s="102"/>
      <c r="F1975" s="102"/>
      <c r="G1975" s="102"/>
      <c r="H1975" s="175"/>
      <c r="I1975" s="103"/>
      <c r="J1975" s="98"/>
      <c r="K1975" s="135"/>
      <c r="L1975" s="62"/>
    </row>
    <row r="1976" spans="1:28" x14ac:dyDescent="0.15">
      <c r="A1976" s="165"/>
      <c r="B1976" s="93"/>
      <c r="C1976" s="102"/>
      <c r="D1976" s="62"/>
      <c r="E1976" s="102"/>
      <c r="F1976" s="102"/>
      <c r="G1976" s="102"/>
      <c r="H1976" s="175"/>
      <c r="I1976" s="85"/>
      <c r="J1976" s="104"/>
      <c r="K1976" s="144"/>
      <c r="L1976" s="62"/>
    </row>
    <row r="1977" spans="1:28" x14ac:dyDescent="0.15">
      <c r="A1977" s="165"/>
      <c r="B1977" s="93"/>
      <c r="C1977" s="102"/>
      <c r="D1977" s="62"/>
      <c r="E1977" s="102"/>
      <c r="F1977" s="102"/>
      <c r="G1977" s="102"/>
      <c r="H1977" s="175"/>
      <c r="I1977" s="85"/>
      <c r="J1977" s="104"/>
      <c r="K1977" s="144"/>
      <c r="L1977" s="62"/>
    </row>
    <row r="1978" spans="1:28" x14ac:dyDescent="0.15">
      <c r="A1978" s="165"/>
      <c r="B1978" s="82"/>
      <c r="C1978" s="107"/>
      <c r="D1978" s="62"/>
      <c r="E1978" s="107"/>
      <c r="F1978" s="107"/>
      <c r="G1978" s="107"/>
      <c r="H1978" s="179"/>
      <c r="I1978" s="85"/>
      <c r="J1978" s="104"/>
      <c r="K1978" s="144"/>
      <c r="L1978" s="62"/>
    </row>
    <row r="1979" spans="1:28" x14ac:dyDescent="0.15">
      <c r="A1979" s="165"/>
      <c r="B1979" s="93"/>
      <c r="C1979" s="102"/>
      <c r="D1979" s="62"/>
      <c r="E1979" s="100"/>
      <c r="F1979" s="102"/>
      <c r="G1979" s="102"/>
      <c r="H1979" s="175"/>
      <c r="I1979" s="85"/>
      <c r="J1979" s="104"/>
      <c r="K1979" s="143"/>
      <c r="L1979" s="61"/>
    </row>
    <row r="1980" spans="1:28" x14ac:dyDescent="0.15">
      <c r="A1980" s="165"/>
      <c r="B1980" s="93"/>
      <c r="C1980" s="102"/>
      <c r="D1980" s="62"/>
      <c r="E1980" s="102"/>
      <c r="F1980" s="102"/>
      <c r="G1980" s="102"/>
      <c r="H1980" s="175"/>
      <c r="I1980" s="85"/>
      <c r="J1980" s="104"/>
      <c r="K1980" s="144"/>
      <c r="L1980" s="62"/>
    </row>
    <row r="1981" spans="1:28" x14ac:dyDescent="0.15">
      <c r="A1981" s="165"/>
      <c r="B1981" s="93"/>
      <c r="C1981" s="102"/>
      <c r="D1981" s="62"/>
      <c r="E1981" s="102"/>
      <c r="F1981" s="102"/>
      <c r="G1981" s="102"/>
      <c r="H1981" s="177"/>
      <c r="I1981" s="103"/>
      <c r="J1981" s="98"/>
      <c r="K1981" s="135"/>
      <c r="L1981" s="62"/>
    </row>
    <row r="1982" spans="1:28" s="49" customFormat="1" x14ac:dyDescent="0.15">
      <c r="A1982" s="165"/>
      <c r="B1982" s="93"/>
      <c r="C1982" s="102"/>
      <c r="D1982" s="62"/>
      <c r="E1982" s="102"/>
      <c r="F1982" s="102"/>
      <c r="G1982" s="102"/>
      <c r="H1982" s="177"/>
      <c r="I1982" s="85"/>
      <c r="J1982" s="104"/>
      <c r="K1982" s="144"/>
      <c r="L1982" s="62"/>
      <c r="N1982" s="37"/>
      <c r="O1982" s="37"/>
      <c r="P1982" s="37"/>
      <c r="Q1982" s="3"/>
      <c r="R1982" s="3"/>
      <c r="S1982" s="3"/>
      <c r="T1982" s="3"/>
      <c r="U1982" s="3"/>
      <c r="V1982" s="3"/>
      <c r="W1982" s="3"/>
      <c r="X1982" s="3"/>
      <c r="Y1982" s="3"/>
      <c r="Z1982" s="4"/>
      <c r="AA1982"/>
      <c r="AB1982"/>
    </row>
    <row r="1983" spans="1:28" s="49" customFormat="1" x14ac:dyDescent="0.15">
      <c r="A1983" s="165"/>
      <c r="B1983" s="93"/>
      <c r="C1983" s="102"/>
      <c r="D1983" s="62"/>
      <c r="E1983" s="102"/>
      <c r="F1983" s="102"/>
      <c r="G1983" s="102"/>
      <c r="H1983" s="177"/>
      <c r="I1983" s="85"/>
      <c r="J1983" s="104"/>
      <c r="K1983" s="144"/>
      <c r="L1983" s="62"/>
      <c r="N1983" s="37"/>
      <c r="O1983" s="37"/>
      <c r="P1983" s="37"/>
      <c r="Q1983" s="3"/>
      <c r="R1983" s="3"/>
      <c r="S1983" s="3"/>
      <c r="T1983" s="3"/>
      <c r="U1983" s="3"/>
      <c r="V1983" s="3"/>
      <c r="W1983" s="3"/>
      <c r="X1983" s="3"/>
      <c r="Y1983" s="3"/>
      <c r="Z1983" s="4"/>
      <c r="AA1983"/>
      <c r="AB1983"/>
    </row>
    <row r="1984" spans="1:28" s="49" customFormat="1" x14ac:dyDescent="0.15">
      <c r="A1984" s="165"/>
      <c r="B1984" s="93"/>
      <c r="C1984" s="102"/>
      <c r="D1984" s="62"/>
      <c r="E1984" s="102"/>
      <c r="F1984" s="102"/>
      <c r="G1984" s="102"/>
      <c r="H1984" s="175"/>
      <c r="I1984" s="85"/>
      <c r="J1984" s="104"/>
      <c r="K1984" s="144"/>
      <c r="L1984" s="62"/>
      <c r="N1984" s="37"/>
      <c r="O1984" s="37"/>
      <c r="P1984" s="37"/>
      <c r="Q1984" s="3"/>
      <c r="R1984" s="3"/>
      <c r="S1984" s="3"/>
      <c r="T1984" s="3"/>
      <c r="U1984" s="3"/>
      <c r="V1984" s="3"/>
      <c r="W1984" s="3"/>
      <c r="X1984" s="3"/>
      <c r="Y1984" s="3"/>
      <c r="Z1984" s="4"/>
      <c r="AA1984"/>
      <c r="AB1984"/>
    </row>
    <row r="1985" spans="1:28" s="49" customFormat="1" x14ac:dyDescent="0.15">
      <c r="A1985" s="165"/>
      <c r="B1985" s="93"/>
      <c r="C1985" s="102"/>
      <c r="D1985" s="62"/>
      <c r="E1985" s="102"/>
      <c r="F1985" s="102"/>
      <c r="G1985" s="102"/>
      <c r="H1985" s="175"/>
      <c r="I1985" s="85"/>
      <c r="J1985" s="104"/>
      <c r="K1985" s="144"/>
      <c r="L1985" s="62"/>
      <c r="N1985" s="37"/>
      <c r="O1985" s="37"/>
      <c r="P1985" s="37"/>
      <c r="Q1985" s="3"/>
      <c r="R1985" s="3"/>
      <c r="S1985" s="3"/>
      <c r="T1985" s="3"/>
      <c r="U1985" s="3"/>
      <c r="V1985" s="3"/>
      <c r="W1985" s="3"/>
      <c r="X1985" s="3"/>
      <c r="Y1985" s="3"/>
      <c r="Z1985" s="4"/>
      <c r="AA1985"/>
      <c r="AB1985"/>
    </row>
    <row r="1986" spans="1:28" s="49" customFormat="1" x14ac:dyDescent="0.15">
      <c r="A1986" s="165"/>
      <c r="B1986" s="93"/>
      <c r="C1986" s="102"/>
      <c r="D1986" s="62"/>
      <c r="E1986" s="102"/>
      <c r="F1986" s="102"/>
      <c r="G1986" s="102"/>
      <c r="H1986" s="175"/>
      <c r="I1986" s="85"/>
      <c r="J1986" s="104"/>
      <c r="K1986" s="144"/>
      <c r="L1986" s="62"/>
      <c r="N1986" s="37"/>
      <c r="O1986" s="37"/>
      <c r="P1986" s="37"/>
      <c r="Q1986" s="3"/>
      <c r="R1986" s="3"/>
      <c r="S1986" s="3"/>
      <c r="T1986" s="3"/>
      <c r="U1986" s="3"/>
      <c r="V1986" s="3"/>
      <c r="W1986" s="3"/>
      <c r="X1986" s="3"/>
      <c r="Y1986" s="3"/>
      <c r="Z1986" s="4"/>
      <c r="AA1986"/>
      <c r="AB1986"/>
    </row>
    <row r="1987" spans="1:28" s="49" customFormat="1" x14ac:dyDescent="0.15">
      <c r="A1987" s="165"/>
      <c r="B1987" s="93"/>
      <c r="C1987" s="102"/>
      <c r="D1987" s="62"/>
      <c r="E1987" s="102"/>
      <c r="F1987" s="102"/>
      <c r="G1987" s="102"/>
      <c r="H1987" s="175"/>
      <c r="I1987" s="85"/>
      <c r="J1987" s="104"/>
      <c r="K1987" s="144"/>
      <c r="L1987" s="62"/>
      <c r="N1987" s="37"/>
      <c r="O1987" s="37"/>
      <c r="P1987" s="37"/>
      <c r="Q1987" s="3"/>
      <c r="R1987" s="3"/>
      <c r="S1987" s="3"/>
      <c r="T1987" s="3"/>
      <c r="U1987" s="3"/>
      <c r="V1987" s="3"/>
      <c r="W1987" s="3"/>
      <c r="X1987" s="3"/>
      <c r="Y1987" s="3"/>
      <c r="Z1987" s="4"/>
      <c r="AA1987"/>
      <c r="AB1987"/>
    </row>
    <row r="1988" spans="1:28" s="49" customFormat="1" x14ac:dyDescent="0.15">
      <c r="A1988" s="165"/>
      <c r="B1988" s="93"/>
      <c r="C1988" s="102"/>
      <c r="D1988" s="62"/>
      <c r="E1988" s="102"/>
      <c r="F1988" s="102"/>
      <c r="G1988" s="102"/>
      <c r="H1988" s="175"/>
      <c r="I1988" s="85"/>
      <c r="J1988" s="104"/>
      <c r="K1988" s="144"/>
      <c r="L1988" s="62"/>
      <c r="N1988" s="37"/>
      <c r="O1988" s="37"/>
      <c r="P1988" s="37"/>
      <c r="Q1988" s="3"/>
      <c r="R1988" s="3"/>
      <c r="S1988" s="3"/>
      <c r="T1988" s="3"/>
      <c r="U1988" s="3"/>
      <c r="V1988" s="3"/>
      <c r="W1988" s="3"/>
      <c r="X1988" s="3"/>
      <c r="Y1988" s="3"/>
      <c r="Z1988" s="4"/>
      <c r="AA1988"/>
      <c r="AB1988"/>
    </row>
    <row r="1989" spans="1:28" s="49" customFormat="1" x14ac:dyDescent="0.15">
      <c r="A1989" s="165"/>
      <c r="B1989" s="93"/>
      <c r="C1989" s="102"/>
      <c r="D1989" s="62"/>
      <c r="E1989" s="102"/>
      <c r="F1989" s="102"/>
      <c r="G1989" s="102"/>
      <c r="H1989" s="177"/>
      <c r="I1989" s="85"/>
      <c r="J1989" s="104"/>
      <c r="K1989" s="144"/>
      <c r="L1989" s="62"/>
      <c r="N1989" s="37"/>
      <c r="O1989" s="37"/>
      <c r="P1989" s="37"/>
      <c r="Q1989" s="3"/>
      <c r="R1989" s="3"/>
      <c r="S1989" s="3"/>
      <c r="T1989" s="3"/>
      <c r="U1989" s="3"/>
      <c r="V1989" s="3"/>
      <c r="W1989" s="3"/>
      <c r="X1989" s="3"/>
      <c r="Y1989" s="3"/>
      <c r="Z1989" s="4"/>
      <c r="AA1989"/>
      <c r="AB1989"/>
    </row>
    <row r="1990" spans="1:28" s="49" customFormat="1" x14ac:dyDescent="0.15">
      <c r="A1990" s="165"/>
      <c r="B1990" s="93"/>
      <c r="C1990" s="102"/>
      <c r="D1990" s="62"/>
      <c r="E1990" s="102"/>
      <c r="F1990" s="102"/>
      <c r="G1990" s="102"/>
      <c r="H1990" s="175"/>
      <c r="I1990" s="85"/>
      <c r="J1990" s="104"/>
      <c r="K1990" s="144"/>
      <c r="L1990" s="62"/>
      <c r="N1990" s="37"/>
      <c r="O1990" s="37"/>
      <c r="P1990" s="37"/>
      <c r="Q1990" s="3"/>
      <c r="R1990" s="3"/>
      <c r="S1990" s="3"/>
      <c r="T1990" s="3"/>
      <c r="U1990" s="3"/>
      <c r="V1990" s="3"/>
      <c r="W1990" s="3"/>
      <c r="X1990" s="3"/>
      <c r="Y1990" s="3"/>
      <c r="Z1990" s="4"/>
      <c r="AA1990"/>
      <c r="AB1990"/>
    </row>
    <row r="1991" spans="1:28" s="49" customFormat="1" x14ac:dyDescent="0.15">
      <c r="A1991" s="165"/>
      <c r="B1991" s="93"/>
      <c r="C1991" s="102"/>
      <c r="D1991" s="62"/>
      <c r="E1991" s="102"/>
      <c r="F1991" s="102"/>
      <c r="G1991" s="102"/>
      <c r="H1991" s="175"/>
      <c r="I1991" s="85"/>
      <c r="J1991" s="104"/>
      <c r="K1991" s="144"/>
      <c r="L1991" s="62"/>
      <c r="N1991" s="37"/>
      <c r="O1991" s="37"/>
      <c r="P1991" s="37"/>
      <c r="Q1991" s="3"/>
      <c r="R1991" s="3"/>
      <c r="S1991" s="3"/>
      <c r="T1991" s="3"/>
      <c r="U1991" s="3"/>
      <c r="V1991" s="3"/>
      <c r="W1991" s="3"/>
      <c r="X1991" s="3"/>
      <c r="Y1991" s="3"/>
      <c r="Z1991" s="4"/>
      <c r="AA1991"/>
      <c r="AB1991"/>
    </row>
    <row r="1992" spans="1:28" s="49" customFormat="1" x14ac:dyDescent="0.15">
      <c r="A1992" s="165"/>
      <c r="B1992" s="93"/>
      <c r="C1992" s="102"/>
      <c r="D1992" s="62"/>
      <c r="E1992" s="102"/>
      <c r="F1992" s="102"/>
      <c r="G1992" s="102"/>
      <c r="H1992" s="175"/>
      <c r="I1992" s="85"/>
      <c r="J1992" s="104"/>
      <c r="K1992" s="144"/>
      <c r="L1992" s="62"/>
      <c r="N1992" s="37"/>
      <c r="O1992" s="37"/>
      <c r="P1992" s="37"/>
      <c r="Q1992" s="3"/>
      <c r="R1992" s="3"/>
      <c r="S1992" s="3"/>
      <c r="T1992" s="3"/>
      <c r="U1992" s="3"/>
      <c r="V1992" s="3"/>
      <c r="W1992" s="3"/>
      <c r="X1992" s="3"/>
      <c r="Y1992" s="3"/>
      <c r="Z1992" s="4"/>
      <c r="AA1992"/>
      <c r="AB1992"/>
    </row>
    <row r="1993" spans="1:28" s="49" customFormat="1" x14ac:dyDescent="0.15">
      <c r="A1993" s="165"/>
      <c r="B1993" s="93"/>
      <c r="C1993" s="102"/>
      <c r="D1993" s="62"/>
      <c r="E1993" s="100"/>
      <c r="F1993" s="102"/>
      <c r="G1993" s="102"/>
      <c r="H1993" s="175"/>
      <c r="I1993" s="85"/>
      <c r="J1993" s="104"/>
      <c r="K1993" s="143"/>
      <c r="L1993" s="61"/>
      <c r="N1993" s="37"/>
      <c r="O1993" s="37"/>
      <c r="P1993" s="37"/>
      <c r="Q1993" s="3"/>
      <c r="R1993" s="3"/>
      <c r="S1993" s="3"/>
      <c r="T1993" s="3"/>
      <c r="U1993" s="3"/>
      <c r="V1993" s="3"/>
      <c r="W1993" s="3"/>
      <c r="X1993" s="3"/>
      <c r="Y1993" s="3"/>
      <c r="Z1993" s="4"/>
      <c r="AA1993"/>
      <c r="AB1993"/>
    </row>
    <row r="1994" spans="1:28" s="49" customFormat="1" x14ac:dyDescent="0.15">
      <c r="A1994" s="165"/>
      <c r="B1994" s="93"/>
      <c r="C1994" s="102"/>
      <c r="D1994" s="62"/>
      <c r="E1994" s="102"/>
      <c r="F1994" s="102"/>
      <c r="G1994" s="102"/>
      <c r="H1994" s="175"/>
      <c r="I1994" s="85"/>
      <c r="J1994" s="104"/>
      <c r="K1994" s="144"/>
      <c r="L1994" s="62"/>
      <c r="N1994" s="37"/>
      <c r="O1994" s="37"/>
      <c r="P1994" s="37"/>
      <c r="Q1994" s="3"/>
      <c r="R1994" s="3"/>
      <c r="S1994" s="3"/>
      <c r="T1994" s="3"/>
      <c r="U1994" s="3"/>
      <c r="V1994" s="3"/>
      <c r="W1994" s="3"/>
      <c r="X1994" s="3"/>
      <c r="Y1994" s="3"/>
      <c r="Z1994" s="4"/>
      <c r="AA1994"/>
      <c r="AB1994"/>
    </row>
    <row r="1995" spans="1:28" s="49" customFormat="1" x14ac:dyDescent="0.15">
      <c r="A1995" s="165"/>
      <c r="B1995" s="93"/>
      <c r="C1995" s="102"/>
      <c r="D1995" s="62"/>
      <c r="E1995" s="102"/>
      <c r="F1995" s="102"/>
      <c r="G1995" s="102"/>
      <c r="H1995" s="175"/>
      <c r="I1995" s="85"/>
      <c r="J1995" s="104"/>
      <c r="K1995" s="144"/>
      <c r="L1995" s="62"/>
      <c r="N1995" s="37"/>
      <c r="O1995" s="37"/>
      <c r="P1995" s="37"/>
      <c r="Q1995" s="3"/>
      <c r="R1995" s="3"/>
      <c r="S1995" s="3"/>
      <c r="T1995" s="3"/>
      <c r="U1995" s="3"/>
      <c r="V1995" s="3"/>
      <c r="W1995" s="3"/>
      <c r="X1995" s="3"/>
      <c r="Y1995" s="3"/>
      <c r="Z1995" s="4"/>
      <c r="AA1995"/>
      <c r="AB1995"/>
    </row>
    <row r="1996" spans="1:28" s="49" customFormat="1" x14ac:dyDescent="0.15">
      <c r="A1996" s="165"/>
      <c r="B1996" s="93"/>
      <c r="C1996" s="102"/>
      <c r="D1996" s="62"/>
      <c r="E1996" s="102"/>
      <c r="F1996" s="102"/>
      <c r="G1996" s="102"/>
      <c r="H1996" s="175"/>
      <c r="I1996" s="103"/>
      <c r="J1996" s="98"/>
      <c r="K1996" s="135"/>
      <c r="L1996" s="62"/>
      <c r="N1996" s="37"/>
      <c r="O1996" s="37"/>
      <c r="P1996" s="37"/>
      <c r="Q1996" s="3"/>
      <c r="R1996" s="3"/>
      <c r="S1996" s="3"/>
      <c r="T1996" s="3"/>
      <c r="U1996" s="3"/>
      <c r="V1996" s="3"/>
      <c r="W1996" s="3"/>
      <c r="X1996" s="3"/>
      <c r="Y1996" s="3"/>
      <c r="Z1996" s="4"/>
      <c r="AA1996"/>
      <c r="AB1996"/>
    </row>
    <row r="1997" spans="1:28" s="49" customFormat="1" x14ac:dyDescent="0.15">
      <c r="A1997" s="165"/>
      <c r="B1997" s="93"/>
      <c r="C1997" s="102"/>
      <c r="D1997" s="62"/>
      <c r="E1997" s="102"/>
      <c r="F1997" s="102"/>
      <c r="G1997" s="102"/>
      <c r="H1997" s="175"/>
      <c r="I1997" s="85"/>
      <c r="J1997" s="104"/>
      <c r="K1997" s="144"/>
      <c r="L1997" s="62"/>
      <c r="N1997" s="37"/>
      <c r="O1997" s="37"/>
      <c r="P1997" s="37"/>
      <c r="Q1997" s="3"/>
      <c r="R1997" s="3"/>
      <c r="S1997" s="3"/>
      <c r="T1997" s="3"/>
      <c r="U1997" s="3"/>
      <c r="V1997" s="3"/>
      <c r="W1997" s="3"/>
      <c r="X1997" s="3"/>
      <c r="Y1997" s="3"/>
      <c r="Z1997" s="4"/>
      <c r="AA1997"/>
      <c r="AB1997"/>
    </row>
    <row r="1998" spans="1:28" s="49" customFormat="1" x14ac:dyDescent="0.15">
      <c r="A1998" s="165"/>
      <c r="B1998" s="93"/>
      <c r="C1998" s="102"/>
      <c r="D1998" s="62"/>
      <c r="E1998" s="102"/>
      <c r="F1998" s="102"/>
      <c r="G1998" s="102"/>
      <c r="H1998" s="175"/>
      <c r="I1998" s="85"/>
      <c r="J1998" s="104"/>
      <c r="K1998" s="144"/>
      <c r="L1998" s="62"/>
      <c r="N1998" s="37"/>
      <c r="O1998" s="37"/>
      <c r="P1998" s="37"/>
      <c r="Q1998" s="3"/>
      <c r="R1998" s="3"/>
      <c r="S1998" s="3"/>
      <c r="T1998" s="3"/>
      <c r="U1998" s="3"/>
      <c r="V1998" s="3"/>
      <c r="W1998" s="3"/>
      <c r="X1998" s="3"/>
      <c r="Y1998" s="3"/>
      <c r="Z1998" s="4"/>
      <c r="AA1998"/>
      <c r="AB1998"/>
    </row>
    <row r="1999" spans="1:28" s="49" customFormat="1" x14ac:dyDescent="0.15">
      <c r="A1999" s="165"/>
      <c r="B1999" s="93"/>
      <c r="C1999" s="102"/>
      <c r="D1999" s="62"/>
      <c r="E1999" s="102"/>
      <c r="F1999" s="102"/>
      <c r="G1999" s="102"/>
      <c r="H1999" s="175"/>
      <c r="I1999" s="85"/>
      <c r="J1999" s="104"/>
      <c r="K1999" s="144"/>
      <c r="L1999" s="62"/>
      <c r="N1999" s="37"/>
      <c r="O1999" s="37"/>
      <c r="P1999" s="37"/>
      <c r="Q1999" s="3"/>
      <c r="R1999" s="3"/>
      <c r="S1999" s="3"/>
      <c r="T1999" s="3"/>
      <c r="U1999" s="3"/>
      <c r="V1999" s="3"/>
      <c r="W1999" s="3"/>
      <c r="X1999" s="3"/>
      <c r="Y1999" s="3"/>
      <c r="Z1999" s="4"/>
      <c r="AA1999"/>
      <c r="AB1999"/>
    </row>
    <row r="2000" spans="1:28" s="49" customFormat="1" x14ac:dyDescent="0.15">
      <c r="A2000" s="165"/>
      <c r="B2000" s="93"/>
      <c r="C2000" s="102"/>
      <c r="D2000" s="62"/>
      <c r="E2000" s="102"/>
      <c r="F2000" s="102"/>
      <c r="G2000" s="102"/>
      <c r="H2000" s="175"/>
      <c r="I2000" s="85"/>
      <c r="J2000" s="104"/>
      <c r="K2000" s="144"/>
      <c r="L2000" s="62"/>
      <c r="N2000" s="37"/>
      <c r="O2000" s="37"/>
      <c r="P2000" s="37"/>
      <c r="Q2000" s="3"/>
      <c r="R2000" s="3"/>
      <c r="S2000" s="3"/>
      <c r="T2000" s="3"/>
      <c r="U2000" s="3"/>
      <c r="V2000" s="3"/>
      <c r="W2000" s="3"/>
      <c r="X2000" s="3"/>
      <c r="Y2000" s="3"/>
      <c r="Z2000" s="4"/>
      <c r="AA2000"/>
      <c r="AB2000"/>
    </row>
    <row r="2001" spans="1:28" s="49" customFormat="1" x14ac:dyDescent="0.15">
      <c r="A2001" s="165"/>
      <c r="B2001" s="93"/>
      <c r="C2001" s="102"/>
      <c r="D2001" s="62"/>
      <c r="E2001" s="102"/>
      <c r="F2001" s="102"/>
      <c r="G2001" s="102"/>
      <c r="H2001" s="175"/>
      <c r="I2001" s="85"/>
      <c r="J2001" s="104"/>
      <c r="K2001" s="144"/>
      <c r="L2001" s="62"/>
      <c r="N2001" s="37"/>
      <c r="O2001" s="37"/>
      <c r="P2001" s="37"/>
      <c r="Q2001" s="3"/>
      <c r="R2001" s="3"/>
      <c r="S2001" s="3"/>
      <c r="T2001" s="3"/>
      <c r="U2001" s="3"/>
      <c r="V2001" s="3"/>
      <c r="W2001" s="3"/>
      <c r="X2001" s="3"/>
      <c r="Y2001" s="3"/>
      <c r="Z2001" s="4"/>
      <c r="AA2001"/>
      <c r="AB2001"/>
    </row>
    <row r="2002" spans="1:28" s="49" customFormat="1" x14ac:dyDescent="0.15">
      <c r="A2002" s="165"/>
      <c r="B2002" s="93"/>
      <c r="C2002" s="102"/>
      <c r="D2002" s="62"/>
      <c r="E2002" s="102"/>
      <c r="F2002" s="102"/>
      <c r="G2002" s="102"/>
      <c r="H2002" s="175"/>
      <c r="I2002" s="85"/>
      <c r="J2002" s="104"/>
      <c r="K2002" s="144"/>
      <c r="L2002" s="62"/>
      <c r="N2002" s="37"/>
      <c r="O2002" s="37"/>
      <c r="P2002" s="37"/>
      <c r="Q2002" s="3"/>
      <c r="R2002" s="3"/>
      <c r="S2002" s="3"/>
      <c r="T2002" s="3"/>
      <c r="U2002" s="3"/>
      <c r="V2002" s="3"/>
      <c r="W2002" s="3"/>
      <c r="X2002" s="3"/>
      <c r="Y2002" s="3"/>
      <c r="Z2002" s="4"/>
      <c r="AA2002"/>
      <c r="AB2002"/>
    </row>
    <row r="2003" spans="1:28" s="49" customFormat="1" x14ac:dyDescent="0.15">
      <c r="A2003" s="165"/>
      <c r="B2003" s="93"/>
      <c r="C2003" s="102"/>
      <c r="D2003" s="62"/>
      <c r="E2003" s="102"/>
      <c r="F2003" s="102"/>
      <c r="G2003" s="102"/>
      <c r="H2003" s="175"/>
      <c r="I2003" s="85"/>
      <c r="J2003" s="104"/>
      <c r="K2003" s="144"/>
      <c r="L2003" s="62"/>
      <c r="N2003" s="37"/>
      <c r="O2003" s="37"/>
      <c r="P2003" s="37"/>
      <c r="Q2003" s="3"/>
      <c r="R2003" s="3"/>
      <c r="S2003" s="3"/>
      <c r="T2003" s="3"/>
      <c r="U2003" s="3"/>
      <c r="V2003" s="3"/>
      <c r="W2003" s="3"/>
      <c r="X2003" s="3"/>
      <c r="Y2003" s="3"/>
      <c r="Z2003" s="4"/>
      <c r="AA2003"/>
      <c r="AB2003"/>
    </row>
    <row r="2004" spans="1:28" s="49" customFormat="1" x14ac:dyDescent="0.15">
      <c r="A2004" s="165"/>
      <c r="B2004" s="93"/>
      <c r="C2004" s="102"/>
      <c r="D2004" s="62"/>
      <c r="E2004" s="102"/>
      <c r="F2004" s="102"/>
      <c r="G2004" s="102"/>
      <c r="H2004" s="175"/>
      <c r="I2004" s="85"/>
      <c r="J2004" s="104"/>
      <c r="K2004" s="144"/>
      <c r="L2004" s="62"/>
      <c r="N2004" s="37"/>
      <c r="O2004" s="37"/>
      <c r="P2004" s="37"/>
      <c r="Q2004" s="3"/>
      <c r="R2004" s="3"/>
      <c r="S2004" s="3"/>
      <c r="T2004" s="3"/>
      <c r="U2004" s="3"/>
      <c r="V2004" s="3"/>
      <c r="W2004" s="3"/>
      <c r="X2004" s="3"/>
      <c r="Y2004" s="3"/>
      <c r="Z2004" s="4"/>
      <c r="AA2004"/>
      <c r="AB2004"/>
    </row>
    <row r="2005" spans="1:28" s="49" customFormat="1" x14ac:dyDescent="0.15">
      <c r="A2005" s="165"/>
      <c r="B2005" s="93"/>
      <c r="C2005" s="102"/>
      <c r="D2005" s="62"/>
      <c r="E2005" s="102"/>
      <c r="F2005" s="102"/>
      <c r="G2005" s="102"/>
      <c r="H2005" s="177"/>
      <c r="I2005" s="85"/>
      <c r="J2005" s="104"/>
      <c r="K2005" s="144"/>
      <c r="L2005" s="62"/>
      <c r="N2005" s="37"/>
      <c r="O2005" s="37"/>
      <c r="P2005" s="37"/>
      <c r="Q2005" s="3"/>
      <c r="R2005" s="3"/>
      <c r="S2005" s="3"/>
      <c r="T2005" s="3"/>
      <c r="U2005" s="3"/>
      <c r="V2005" s="3"/>
      <c r="W2005" s="3"/>
      <c r="X2005" s="3"/>
      <c r="Y2005" s="3"/>
      <c r="Z2005" s="4"/>
      <c r="AA2005"/>
      <c r="AB2005"/>
    </row>
    <row r="2006" spans="1:28" s="49" customFormat="1" x14ac:dyDescent="0.15">
      <c r="A2006" s="165"/>
      <c r="B2006" s="93"/>
      <c r="C2006" s="102"/>
      <c r="D2006" s="62"/>
      <c r="E2006" s="102"/>
      <c r="F2006" s="102"/>
      <c r="G2006" s="102"/>
      <c r="H2006" s="175"/>
      <c r="I2006" s="85"/>
      <c r="J2006" s="104"/>
      <c r="K2006" s="144"/>
      <c r="L2006" s="62"/>
      <c r="N2006" s="37"/>
      <c r="O2006" s="37"/>
      <c r="P2006" s="37"/>
      <c r="Q2006" s="3"/>
      <c r="R2006" s="3"/>
      <c r="S2006" s="3"/>
      <c r="T2006" s="3"/>
      <c r="U2006" s="3"/>
      <c r="V2006" s="3"/>
      <c r="W2006" s="3"/>
      <c r="X2006" s="3"/>
      <c r="Y2006" s="3"/>
      <c r="Z2006" s="4"/>
      <c r="AA2006"/>
      <c r="AB2006"/>
    </row>
    <row r="2007" spans="1:28" s="49" customFormat="1" x14ac:dyDescent="0.15">
      <c r="A2007" s="165"/>
      <c r="B2007" s="93"/>
      <c r="C2007" s="102"/>
      <c r="D2007" s="62"/>
      <c r="E2007" s="102"/>
      <c r="F2007" s="102"/>
      <c r="G2007" s="102"/>
      <c r="H2007" s="177"/>
      <c r="I2007" s="85"/>
      <c r="J2007" s="104"/>
      <c r="K2007" s="144"/>
      <c r="L2007" s="62"/>
      <c r="N2007" s="37"/>
      <c r="O2007" s="37"/>
      <c r="P2007" s="37"/>
      <c r="Q2007" s="3"/>
      <c r="R2007" s="3"/>
      <c r="S2007" s="3"/>
      <c r="T2007" s="3"/>
      <c r="U2007" s="3"/>
      <c r="V2007" s="3"/>
      <c r="W2007" s="3"/>
      <c r="X2007" s="3"/>
      <c r="Y2007" s="3"/>
      <c r="Z2007" s="4"/>
      <c r="AA2007"/>
      <c r="AB2007"/>
    </row>
    <row r="2008" spans="1:28" s="49" customFormat="1" x14ac:dyDescent="0.15">
      <c r="A2008" s="165"/>
      <c r="B2008" s="93"/>
      <c r="C2008" s="102"/>
      <c r="D2008" s="62"/>
      <c r="E2008" s="102"/>
      <c r="F2008" s="102"/>
      <c r="G2008" s="102"/>
      <c r="H2008" s="175"/>
      <c r="I2008" s="85"/>
      <c r="J2008" s="104"/>
      <c r="K2008" s="144"/>
      <c r="L2008" s="62"/>
      <c r="N2008" s="37"/>
      <c r="O2008" s="37"/>
      <c r="P2008" s="37"/>
      <c r="Q2008" s="3"/>
      <c r="R2008" s="3"/>
      <c r="S2008" s="3"/>
      <c r="T2008" s="3"/>
      <c r="U2008" s="3"/>
      <c r="V2008" s="3"/>
      <c r="W2008" s="3"/>
      <c r="X2008" s="3"/>
      <c r="Y2008" s="3"/>
      <c r="Z2008" s="4"/>
      <c r="AA2008"/>
      <c r="AB2008"/>
    </row>
    <row r="2009" spans="1:28" s="49" customFormat="1" x14ac:dyDescent="0.15">
      <c r="A2009" s="165"/>
      <c r="B2009" s="93"/>
      <c r="C2009" s="102"/>
      <c r="D2009" s="62"/>
      <c r="E2009" s="102"/>
      <c r="F2009" s="102"/>
      <c r="G2009" s="102"/>
      <c r="H2009" s="175"/>
      <c r="I2009" s="85"/>
      <c r="J2009" s="104"/>
      <c r="K2009" s="144"/>
      <c r="L2009" s="62"/>
      <c r="N2009" s="37"/>
      <c r="O2009" s="37"/>
      <c r="P2009" s="37"/>
      <c r="Q2009" s="3"/>
      <c r="R2009" s="3"/>
      <c r="S2009" s="3"/>
      <c r="T2009" s="3"/>
      <c r="U2009" s="3"/>
      <c r="V2009" s="3"/>
      <c r="W2009" s="3"/>
      <c r="X2009" s="3"/>
      <c r="Y2009" s="3"/>
      <c r="Z2009" s="4"/>
      <c r="AA2009"/>
      <c r="AB2009"/>
    </row>
    <row r="2010" spans="1:28" s="49" customFormat="1" x14ac:dyDescent="0.15">
      <c r="A2010" s="165"/>
      <c r="B2010" s="93"/>
      <c r="C2010" s="102"/>
      <c r="D2010" s="62"/>
      <c r="E2010" s="102"/>
      <c r="F2010" s="102"/>
      <c r="G2010" s="102"/>
      <c r="H2010" s="175"/>
      <c r="I2010" s="85"/>
      <c r="J2010" s="104"/>
      <c r="K2010" s="144"/>
      <c r="L2010" s="62"/>
      <c r="N2010" s="37"/>
      <c r="O2010" s="37"/>
      <c r="P2010" s="37"/>
      <c r="Q2010" s="3"/>
      <c r="R2010" s="3"/>
      <c r="S2010" s="3"/>
      <c r="T2010" s="3"/>
      <c r="U2010" s="3"/>
      <c r="V2010" s="3"/>
      <c r="W2010" s="3"/>
      <c r="X2010" s="3"/>
      <c r="Y2010" s="3"/>
      <c r="Z2010" s="4"/>
      <c r="AA2010"/>
      <c r="AB2010"/>
    </row>
    <row r="2011" spans="1:28" s="49" customFormat="1" x14ac:dyDescent="0.15">
      <c r="A2011" s="165"/>
      <c r="B2011" s="93"/>
      <c r="C2011" s="102"/>
      <c r="D2011" s="62"/>
      <c r="E2011" s="102"/>
      <c r="F2011" s="102"/>
      <c r="G2011" s="102"/>
      <c r="H2011" s="175"/>
      <c r="I2011" s="85"/>
      <c r="J2011" s="104"/>
      <c r="K2011" s="144"/>
      <c r="L2011" s="62"/>
      <c r="N2011" s="37"/>
      <c r="O2011" s="37"/>
      <c r="P2011" s="37"/>
      <c r="Q2011" s="3"/>
      <c r="R2011" s="3"/>
      <c r="S2011" s="3"/>
      <c r="T2011" s="3"/>
      <c r="U2011" s="3"/>
      <c r="V2011" s="3"/>
      <c r="W2011" s="3"/>
      <c r="X2011" s="3"/>
      <c r="Y2011" s="3"/>
      <c r="Z2011" s="4"/>
      <c r="AA2011"/>
      <c r="AB2011"/>
    </row>
    <row r="2012" spans="1:28" s="49" customFormat="1" x14ac:dyDescent="0.15">
      <c r="A2012" s="165"/>
      <c r="B2012" s="93"/>
      <c r="C2012" s="102"/>
      <c r="D2012" s="62"/>
      <c r="E2012" s="102"/>
      <c r="F2012" s="102"/>
      <c r="G2012" s="102"/>
      <c r="H2012" s="175"/>
      <c r="I2012" s="85"/>
      <c r="J2012" s="104"/>
      <c r="K2012" s="144"/>
      <c r="L2012" s="62"/>
      <c r="N2012" s="37"/>
      <c r="O2012" s="37"/>
      <c r="P2012" s="37"/>
      <c r="Q2012" s="3"/>
      <c r="R2012" s="3"/>
      <c r="S2012" s="3"/>
      <c r="T2012" s="3"/>
      <c r="U2012" s="3"/>
      <c r="V2012" s="3"/>
      <c r="W2012" s="3"/>
      <c r="X2012" s="3"/>
      <c r="Y2012" s="3"/>
      <c r="Z2012" s="4"/>
      <c r="AA2012"/>
      <c r="AB2012"/>
    </row>
    <row r="2013" spans="1:28" s="49" customFormat="1" x14ac:dyDescent="0.15">
      <c r="A2013" s="165"/>
      <c r="B2013" s="93"/>
      <c r="C2013" s="102"/>
      <c r="D2013" s="62"/>
      <c r="E2013" s="102"/>
      <c r="F2013" s="102"/>
      <c r="G2013" s="102"/>
      <c r="H2013" s="175"/>
      <c r="I2013" s="85"/>
      <c r="J2013" s="104"/>
      <c r="K2013" s="144"/>
      <c r="L2013" s="62"/>
      <c r="N2013" s="37"/>
      <c r="O2013" s="37"/>
      <c r="P2013" s="37"/>
      <c r="Q2013" s="3"/>
      <c r="R2013" s="3"/>
      <c r="S2013" s="3"/>
      <c r="T2013" s="3"/>
      <c r="U2013" s="3"/>
      <c r="V2013" s="3"/>
      <c r="W2013" s="3"/>
      <c r="X2013" s="3"/>
      <c r="Y2013" s="3"/>
      <c r="Z2013" s="4"/>
      <c r="AA2013"/>
      <c r="AB2013"/>
    </row>
    <row r="2014" spans="1:28" s="49" customFormat="1" x14ac:dyDescent="0.15">
      <c r="A2014" s="165"/>
      <c r="B2014" s="93"/>
      <c r="C2014" s="102"/>
      <c r="D2014" s="62"/>
      <c r="E2014" s="102"/>
      <c r="F2014" s="102"/>
      <c r="G2014" s="102"/>
      <c r="H2014" s="175"/>
      <c r="I2014" s="85"/>
      <c r="J2014" s="104"/>
      <c r="K2014" s="144"/>
      <c r="L2014" s="62"/>
      <c r="N2014" s="37"/>
      <c r="O2014" s="37"/>
      <c r="P2014" s="37"/>
      <c r="Q2014" s="3"/>
      <c r="R2014" s="3"/>
      <c r="S2014" s="3"/>
      <c r="T2014" s="3"/>
      <c r="U2014" s="3"/>
      <c r="V2014" s="3"/>
      <c r="W2014" s="3"/>
      <c r="X2014" s="3"/>
      <c r="Y2014" s="3"/>
      <c r="Z2014" s="4"/>
      <c r="AA2014"/>
      <c r="AB2014"/>
    </row>
    <row r="2015" spans="1:28" s="49" customFormat="1" x14ac:dyDescent="0.15">
      <c r="A2015" s="165"/>
      <c r="B2015" s="93"/>
      <c r="C2015" s="102"/>
      <c r="D2015" s="62"/>
      <c r="E2015" s="102"/>
      <c r="F2015" s="102"/>
      <c r="G2015" s="102"/>
      <c r="H2015" s="175"/>
      <c r="I2015" s="85"/>
      <c r="J2015" s="104"/>
      <c r="K2015" s="144"/>
      <c r="L2015" s="62"/>
      <c r="N2015" s="37"/>
      <c r="O2015" s="37"/>
      <c r="P2015" s="37"/>
      <c r="Q2015" s="3"/>
      <c r="R2015" s="3"/>
      <c r="S2015" s="3"/>
      <c r="T2015" s="3"/>
      <c r="U2015" s="3"/>
      <c r="V2015" s="3"/>
      <c r="W2015" s="3"/>
      <c r="X2015" s="3"/>
      <c r="Y2015" s="3"/>
      <c r="Z2015" s="4"/>
      <c r="AA2015"/>
      <c r="AB2015"/>
    </row>
    <row r="2016" spans="1:28" s="49" customFormat="1" x14ac:dyDescent="0.15">
      <c r="A2016" s="165"/>
      <c r="B2016" s="93"/>
      <c r="C2016" s="102"/>
      <c r="D2016" s="62"/>
      <c r="E2016" s="100"/>
      <c r="F2016" s="102"/>
      <c r="G2016" s="102"/>
      <c r="H2016" s="175"/>
      <c r="I2016" s="85"/>
      <c r="J2016" s="104"/>
      <c r="K2016" s="144"/>
      <c r="L2016" s="62"/>
      <c r="N2016" s="37"/>
      <c r="O2016" s="37"/>
      <c r="P2016" s="37"/>
      <c r="Q2016" s="3"/>
      <c r="R2016" s="3"/>
      <c r="S2016" s="3"/>
      <c r="T2016" s="3"/>
      <c r="U2016" s="3"/>
      <c r="V2016" s="3"/>
      <c r="W2016" s="3"/>
      <c r="X2016" s="3"/>
      <c r="Y2016" s="3"/>
      <c r="Z2016" s="4"/>
      <c r="AA2016"/>
      <c r="AB2016"/>
    </row>
    <row r="2017" spans="1:28" s="49" customFormat="1" x14ac:dyDescent="0.15">
      <c r="A2017" s="165"/>
      <c r="B2017" s="93"/>
      <c r="C2017" s="102"/>
      <c r="D2017" s="62"/>
      <c r="E2017" s="102"/>
      <c r="F2017" s="102"/>
      <c r="G2017" s="102"/>
      <c r="H2017" s="175"/>
      <c r="I2017" s="85"/>
      <c r="J2017" s="104"/>
      <c r="K2017" s="144"/>
      <c r="L2017" s="62"/>
      <c r="N2017" s="37"/>
      <c r="O2017" s="37"/>
      <c r="P2017" s="37"/>
      <c r="Q2017" s="3"/>
      <c r="R2017" s="3"/>
      <c r="S2017" s="3"/>
      <c r="T2017" s="3"/>
      <c r="U2017" s="3"/>
      <c r="V2017" s="3"/>
      <c r="W2017" s="3"/>
      <c r="X2017" s="3"/>
      <c r="Y2017" s="3"/>
      <c r="Z2017" s="4"/>
      <c r="AA2017"/>
      <c r="AB2017"/>
    </row>
    <row r="2018" spans="1:28" s="49" customFormat="1" x14ac:dyDescent="0.15">
      <c r="A2018" s="165"/>
      <c r="B2018" s="93"/>
      <c r="C2018" s="102"/>
      <c r="D2018" s="62"/>
      <c r="E2018" s="100"/>
      <c r="F2018" s="102"/>
      <c r="G2018" s="102"/>
      <c r="H2018" s="177"/>
      <c r="I2018" s="103"/>
      <c r="J2018" s="98"/>
      <c r="K2018" s="141"/>
      <c r="L2018" s="61"/>
      <c r="N2018" s="37"/>
      <c r="O2018" s="37"/>
      <c r="P2018" s="37"/>
      <c r="Q2018" s="3"/>
      <c r="R2018" s="3"/>
      <c r="S2018" s="3"/>
      <c r="T2018" s="3"/>
      <c r="U2018" s="3"/>
      <c r="V2018" s="3"/>
      <c r="W2018" s="3"/>
      <c r="X2018" s="3"/>
      <c r="Y2018" s="3"/>
      <c r="Z2018" s="4"/>
      <c r="AA2018"/>
      <c r="AB2018"/>
    </row>
    <row r="2019" spans="1:28" s="49" customFormat="1" x14ac:dyDescent="0.15">
      <c r="A2019" s="165"/>
      <c r="B2019" s="93"/>
      <c r="C2019" s="102"/>
      <c r="D2019" s="62"/>
      <c r="E2019" s="102"/>
      <c r="F2019" s="102"/>
      <c r="G2019" s="102"/>
      <c r="H2019" s="175"/>
      <c r="I2019" s="85"/>
      <c r="J2019" s="104"/>
      <c r="K2019" s="144"/>
      <c r="L2019" s="62"/>
      <c r="N2019" s="37"/>
      <c r="O2019" s="37"/>
      <c r="P2019" s="37"/>
      <c r="Q2019" s="3"/>
      <c r="R2019" s="3"/>
      <c r="S2019" s="3"/>
      <c r="T2019" s="3"/>
      <c r="U2019" s="3"/>
      <c r="V2019" s="3"/>
      <c r="W2019" s="3"/>
      <c r="X2019" s="3"/>
      <c r="Y2019" s="3"/>
      <c r="Z2019" s="4"/>
      <c r="AA2019"/>
      <c r="AB2019"/>
    </row>
    <row r="2020" spans="1:28" s="49" customFormat="1" x14ac:dyDescent="0.15">
      <c r="A2020" s="165"/>
      <c r="B2020" s="93"/>
      <c r="C2020" s="102"/>
      <c r="D2020" s="62"/>
      <c r="E2020" s="102"/>
      <c r="F2020" s="102"/>
      <c r="G2020" s="102"/>
      <c r="H2020" s="175"/>
      <c r="I2020" s="85"/>
      <c r="J2020" s="104"/>
      <c r="K2020" s="144"/>
      <c r="L2020" s="62"/>
      <c r="N2020" s="37"/>
      <c r="O2020" s="37"/>
      <c r="P2020" s="37"/>
      <c r="Q2020" s="3"/>
      <c r="R2020" s="3"/>
      <c r="S2020" s="3"/>
      <c r="T2020" s="3"/>
      <c r="U2020" s="3"/>
      <c r="V2020" s="3"/>
      <c r="W2020" s="3"/>
      <c r="X2020" s="3"/>
      <c r="Y2020" s="3"/>
      <c r="Z2020" s="4"/>
      <c r="AA2020"/>
      <c r="AB2020"/>
    </row>
    <row r="2021" spans="1:28" s="49" customFormat="1" x14ac:dyDescent="0.15">
      <c r="A2021" s="165"/>
      <c r="B2021" s="93"/>
      <c r="C2021" s="102"/>
      <c r="D2021" s="62"/>
      <c r="E2021" s="100"/>
      <c r="F2021" s="102"/>
      <c r="G2021" s="102"/>
      <c r="H2021" s="175"/>
      <c r="I2021" s="85"/>
      <c r="J2021" s="104"/>
      <c r="K2021" s="143"/>
      <c r="L2021" s="61"/>
      <c r="N2021" s="37"/>
      <c r="O2021" s="37"/>
      <c r="P2021" s="37"/>
      <c r="Q2021" s="3"/>
      <c r="R2021" s="3"/>
      <c r="S2021" s="3"/>
      <c r="T2021" s="3"/>
      <c r="U2021" s="3"/>
      <c r="V2021" s="3"/>
      <c r="W2021" s="3"/>
      <c r="X2021" s="3"/>
      <c r="Y2021" s="3"/>
      <c r="Z2021" s="4"/>
      <c r="AA2021"/>
      <c r="AB2021"/>
    </row>
    <row r="2022" spans="1:28" s="49" customFormat="1" x14ac:dyDescent="0.15">
      <c r="A2022" s="165"/>
      <c r="B2022" s="93"/>
      <c r="C2022" s="102"/>
      <c r="D2022" s="62"/>
      <c r="E2022" s="102"/>
      <c r="F2022" s="102"/>
      <c r="G2022" s="102"/>
      <c r="H2022" s="175"/>
      <c r="I2022" s="85"/>
      <c r="J2022" s="104"/>
      <c r="K2022" s="144"/>
      <c r="L2022" s="62"/>
      <c r="N2022" s="37"/>
      <c r="O2022" s="37"/>
      <c r="P2022" s="37"/>
      <c r="Q2022" s="3"/>
      <c r="R2022" s="3"/>
      <c r="S2022" s="3"/>
      <c r="T2022" s="3"/>
      <c r="U2022" s="3"/>
      <c r="V2022" s="3"/>
      <c r="W2022" s="3"/>
      <c r="X2022" s="3"/>
      <c r="Y2022" s="3"/>
      <c r="Z2022" s="4"/>
      <c r="AA2022"/>
      <c r="AB2022"/>
    </row>
    <row r="2023" spans="1:28" s="49" customFormat="1" x14ac:dyDescent="0.15">
      <c r="A2023" s="165"/>
      <c r="B2023" s="93"/>
      <c r="C2023" s="102"/>
      <c r="D2023" s="62"/>
      <c r="E2023" s="102"/>
      <c r="F2023" s="102"/>
      <c r="G2023" s="102"/>
      <c r="H2023" s="175"/>
      <c r="I2023" s="85"/>
      <c r="J2023" s="104"/>
      <c r="K2023" s="144"/>
      <c r="L2023" s="62"/>
      <c r="N2023" s="37"/>
      <c r="O2023" s="37"/>
      <c r="P2023" s="37"/>
      <c r="Q2023" s="3"/>
      <c r="R2023" s="3"/>
      <c r="S2023" s="3"/>
      <c r="T2023" s="3"/>
      <c r="U2023" s="3"/>
      <c r="V2023" s="3"/>
      <c r="W2023" s="3"/>
      <c r="X2023" s="3"/>
      <c r="Y2023" s="3"/>
      <c r="Z2023" s="4"/>
      <c r="AA2023"/>
      <c r="AB2023"/>
    </row>
    <row r="2024" spans="1:28" s="49" customFormat="1" x14ac:dyDescent="0.15">
      <c r="A2024" s="165"/>
      <c r="B2024" s="93"/>
      <c r="C2024" s="102"/>
      <c r="D2024" s="62"/>
      <c r="E2024" s="102"/>
      <c r="F2024" s="102"/>
      <c r="G2024" s="102"/>
      <c r="H2024" s="175"/>
      <c r="I2024" s="85"/>
      <c r="J2024" s="104"/>
      <c r="K2024" s="144"/>
      <c r="L2024" s="62"/>
      <c r="N2024" s="37"/>
      <c r="O2024" s="37"/>
      <c r="P2024" s="37"/>
      <c r="Q2024" s="3"/>
      <c r="R2024" s="3"/>
      <c r="S2024" s="3"/>
      <c r="T2024" s="3"/>
      <c r="U2024" s="3"/>
      <c r="V2024" s="3"/>
      <c r="W2024" s="3"/>
      <c r="X2024" s="3"/>
      <c r="Y2024" s="3"/>
      <c r="Z2024" s="4"/>
      <c r="AA2024"/>
      <c r="AB2024"/>
    </row>
    <row r="2025" spans="1:28" s="49" customFormat="1" x14ac:dyDescent="0.15">
      <c r="A2025" s="165"/>
      <c r="B2025" s="93"/>
      <c r="C2025" s="102"/>
      <c r="D2025" s="62"/>
      <c r="E2025" s="102"/>
      <c r="F2025" s="102"/>
      <c r="G2025" s="102"/>
      <c r="H2025" s="175"/>
      <c r="I2025" s="85"/>
      <c r="J2025" s="104"/>
      <c r="K2025" s="144"/>
      <c r="L2025" s="62"/>
      <c r="N2025" s="37"/>
      <c r="O2025" s="37"/>
      <c r="P2025" s="37"/>
      <c r="Q2025" s="3"/>
      <c r="R2025" s="3"/>
      <c r="S2025" s="3"/>
      <c r="T2025" s="3"/>
      <c r="U2025" s="3"/>
      <c r="V2025" s="3"/>
      <c r="W2025" s="3"/>
      <c r="X2025" s="3"/>
      <c r="Y2025" s="3"/>
      <c r="Z2025" s="4"/>
      <c r="AA2025"/>
      <c r="AB2025"/>
    </row>
    <row r="2026" spans="1:28" s="49" customFormat="1" x14ac:dyDescent="0.15">
      <c r="A2026" s="165"/>
      <c r="B2026" s="93"/>
      <c r="C2026" s="102"/>
      <c r="D2026" s="62"/>
      <c r="E2026" s="102"/>
      <c r="F2026" s="102"/>
      <c r="G2026" s="102"/>
      <c r="H2026" s="175"/>
      <c r="I2026" s="85"/>
      <c r="J2026" s="104"/>
      <c r="K2026" s="144"/>
      <c r="L2026" s="62"/>
      <c r="N2026" s="37"/>
      <c r="O2026" s="37"/>
      <c r="P2026" s="37"/>
      <c r="Q2026" s="3"/>
      <c r="R2026" s="3"/>
      <c r="S2026" s="3"/>
      <c r="T2026" s="3"/>
      <c r="U2026" s="3"/>
      <c r="V2026" s="3"/>
      <c r="W2026" s="3"/>
      <c r="X2026" s="3"/>
      <c r="Y2026" s="3"/>
      <c r="Z2026" s="4"/>
      <c r="AA2026"/>
      <c r="AB2026"/>
    </row>
    <row r="2027" spans="1:28" s="49" customFormat="1" x14ac:dyDescent="0.15">
      <c r="A2027" s="165"/>
      <c r="B2027" s="93"/>
      <c r="C2027" s="102"/>
      <c r="D2027" s="62"/>
      <c r="E2027" s="102"/>
      <c r="F2027" s="102"/>
      <c r="G2027" s="102"/>
      <c r="H2027" s="175"/>
      <c r="I2027" s="85"/>
      <c r="J2027" s="104"/>
      <c r="K2027" s="144"/>
      <c r="L2027" s="62"/>
      <c r="N2027" s="37"/>
      <c r="O2027" s="37"/>
      <c r="P2027" s="37"/>
      <c r="Q2027" s="3"/>
      <c r="R2027" s="3"/>
      <c r="S2027" s="3"/>
      <c r="T2027" s="3"/>
      <c r="U2027" s="3"/>
      <c r="V2027" s="3"/>
      <c r="W2027" s="3"/>
      <c r="X2027" s="3"/>
      <c r="Y2027" s="3"/>
      <c r="Z2027" s="4"/>
      <c r="AA2027"/>
      <c r="AB2027"/>
    </row>
    <row r="2028" spans="1:28" s="49" customFormat="1" x14ac:dyDescent="0.15">
      <c r="A2028" s="165"/>
      <c r="B2028" s="93"/>
      <c r="C2028" s="102"/>
      <c r="D2028" s="62"/>
      <c r="E2028" s="102"/>
      <c r="F2028" s="102"/>
      <c r="G2028" s="102"/>
      <c r="H2028" s="175"/>
      <c r="I2028" s="85"/>
      <c r="J2028" s="104"/>
      <c r="K2028" s="144"/>
      <c r="L2028" s="62"/>
      <c r="N2028" s="37"/>
      <c r="O2028" s="37"/>
      <c r="P2028" s="37"/>
      <c r="Q2028" s="3"/>
      <c r="R2028" s="3"/>
      <c r="S2028" s="3"/>
      <c r="T2028" s="3"/>
      <c r="U2028" s="3"/>
      <c r="V2028" s="3"/>
      <c r="W2028" s="3"/>
      <c r="X2028" s="3"/>
      <c r="Y2028" s="3"/>
      <c r="Z2028" s="4"/>
      <c r="AA2028"/>
      <c r="AB2028"/>
    </row>
    <row r="2029" spans="1:28" s="49" customFormat="1" x14ac:dyDescent="0.15">
      <c r="A2029" s="165"/>
      <c r="B2029" s="93"/>
      <c r="C2029" s="102"/>
      <c r="D2029" s="62"/>
      <c r="E2029" s="102"/>
      <c r="F2029" s="102"/>
      <c r="G2029" s="102"/>
      <c r="H2029" s="175"/>
      <c r="I2029" s="85"/>
      <c r="J2029" s="104"/>
      <c r="K2029" s="144"/>
      <c r="L2029" s="62"/>
      <c r="N2029" s="37"/>
      <c r="O2029" s="37"/>
      <c r="P2029" s="37"/>
      <c r="Q2029" s="3"/>
      <c r="R2029" s="3"/>
      <c r="S2029" s="3"/>
      <c r="T2029" s="3"/>
      <c r="U2029" s="3"/>
      <c r="V2029" s="3"/>
      <c r="W2029" s="3"/>
      <c r="X2029" s="3"/>
      <c r="Y2029" s="3"/>
      <c r="Z2029" s="4"/>
      <c r="AA2029"/>
      <c r="AB2029"/>
    </row>
    <row r="2030" spans="1:28" s="49" customFormat="1" x14ac:dyDescent="0.15">
      <c r="A2030" s="165"/>
      <c r="B2030" s="93"/>
      <c r="C2030" s="102"/>
      <c r="D2030" s="62"/>
      <c r="E2030" s="102"/>
      <c r="F2030" s="102"/>
      <c r="G2030" s="102"/>
      <c r="H2030" s="175"/>
      <c r="I2030" s="85"/>
      <c r="J2030" s="104"/>
      <c r="K2030" s="144"/>
      <c r="L2030" s="62"/>
      <c r="N2030" s="37"/>
      <c r="O2030" s="37"/>
      <c r="P2030" s="37"/>
      <c r="Q2030" s="3"/>
      <c r="R2030" s="3"/>
      <c r="S2030" s="3"/>
      <c r="T2030" s="3"/>
      <c r="U2030" s="3"/>
      <c r="V2030" s="3"/>
      <c r="W2030" s="3"/>
      <c r="X2030" s="3"/>
      <c r="Y2030" s="3"/>
      <c r="Z2030" s="4"/>
      <c r="AA2030"/>
      <c r="AB2030"/>
    </row>
    <row r="2031" spans="1:28" s="49" customFormat="1" x14ac:dyDescent="0.15">
      <c r="A2031" s="165"/>
      <c r="B2031" s="93"/>
      <c r="C2031" s="102"/>
      <c r="D2031" s="62"/>
      <c r="E2031" s="102"/>
      <c r="F2031" s="102"/>
      <c r="G2031" s="102"/>
      <c r="H2031" s="175"/>
      <c r="I2031" s="85"/>
      <c r="J2031" s="104"/>
      <c r="K2031" s="144"/>
      <c r="L2031" s="62"/>
      <c r="N2031" s="37"/>
      <c r="O2031" s="37"/>
      <c r="P2031" s="37"/>
      <c r="Q2031" s="3"/>
      <c r="R2031" s="3"/>
      <c r="S2031" s="3"/>
      <c r="T2031" s="3"/>
      <c r="U2031" s="3"/>
      <c r="V2031" s="3"/>
      <c r="W2031" s="3"/>
      <c r="X2031" s="3"/>
      <c r="Y2031" s="3"/>
      <c r="Z2031" s="4"/>
      <c r="AA2031"/>
      <c r="AB2031"/>
    </row>
    <row r="2032" spans="1:28" s="49" customFormat="1" x14ac:dyDescent="0.15">
      <c r="A2032" s="165"/>
      <c r="B2032" s="93"/>
      <c r="C2032" s="102"/>
      <c r="D2032" s="62"/>
      <c r="E2032" s="102"/>
      <c r="F2032" s="102"/>
      <c r="G2032" s="102"/>
      <c r="H2032" s="175"/>
      <c r="I2032" s="85"/>
      <c r="J2032" s="104"/>
      <c r="K2032" s="144"/>
      <c r="L2032" s="62"/>
      <c r="N2032" s="37"/>
      <c r="O2032" s="37"/>
      <c r="P2032" s="37"/>
      <c r="Q2032" s="3"/>
      <c r="R2032" s="3"/>
      <c r="S2032" s="3"/>
      <c r="T2032" s="3"/>
      <c r="U2032" s="3"/>
      <c r="V2032" s="3"/>
      <c r="W2032" s="3"/>
      <c r="X2032" s="3"/>
      <c r="Y2032" s="3"/>
      <c r="Z2032" s="4"/>
      <c r="AA2032"/>
      <c r="AB2032"/>
    </row>
    <row r="2033" spans="1:28" s="49" customFormat="1" x14ac:dyDescent="0.15">
      <c r="A2033" s="165"/>
      <c r="B2033" s="93"/>
      <c r="C2033" s="102"/>
      <c r="D2033" s="62"/>
      <c r="E2033" s="102"/>
      <c r="F2033" s="102"/>
      <c r="G2033" s="102"/>
      <c r="H2033" s="175"/>
      <c r="I2033" s="103"/>
      <c r="J2033" s="98"/>
      <c r="K2033" s="135"/>
      <c r="L2033" s="62"/>
      <c r="N2033" s="37"/>
      <c r="O2033" s="37"/>
      <c r="P2033" s="37"/>
      <c r="Q2033" s="3"/>
      <c r="R2033" s="3"/>
      <c r="S2033" s="3"/>
      <c r="T2033" s="3"/>
      <c r="U2033" s="3"/>
      <c r="V2033" s="3"/>
      <c r="W2033" s="3"/>
      <c r="X2033" s="3"/>
      <c r="Y2033" s="3"/>
      <c r="Z2033" s="4"/>
      <c r="AA2033"/>
      <c r="AB2033"/>
    </row>
    <row r="2034" spans="1:28" s="49" customFormat="1" x14ac:dyDescent="0.15">
      <c r="A2034" s="165"/>
      <c r="B2034" s="93"/>
      <c r="C2034" s="102"/>
      <c r="D2034" s="62"/>
      <c r="E2034" s="102"/>
      <c r="F2034" s="102"/>
      <c r="G2034" s="102"/>
      <c r="H2034" s="175"/>
      <c r="I2034" s="103"/>
      <c r="J2034" s="98"/>
      <c r="K2034" s="135"/>
      <c r="L2034" s="62"/>
      <c r="N2034" s="37"/>
      <c r="O2034" s="37"/>
      <c r="P2034" s="37"/>
      <c r="Q2034" s="3"/>
      <c r="R2034" s="3"/>
      <c r="S2034" s="3"/>
      <c r="T2034" s="3"/>
      <c r="U2034" s="3"/>
      <c r="V2034" s="3"/>
      <c r="W2034" s="3"/>
      <c r="X2034" s="3"/>
      <c r="Y2034" s="3"/>
      <c r="Z2034" s="4"/>
      <c r="AA2034"/>
      <c r="AB2034"/>
    </row>
    <row r="2035" spans="1:28" s="49" customFormat="1" x14ac:dyDescent="0.15">
      <c r="A2035" s="165"/>
      <c r="B2035" s="93"/>
      <c r="C2035" s="102"/>
      <c r="D2035" s="62"/>
      <c r="E2035" s="100"/>
      <c r="F2035" s="102"/>
      <c r="G2035" s="102"/>
      <c r="H2035" s="175"/>
      <c r="I2035" s="103"/>
      <c r="J2035" s="98"/>
      <c r="K2035" s="135"/>
      <c r="L2035" s="62"/>
      <c r="N2035" s="37"/>
      <c r="O2035" s="37"/>
      <c r="P2035" s="37"/>
      <c r="Q2035" s="3"/>
      <c r="R2035" s="3"/>
      <c r="S2035" s="3"/>
      <c r="T2035" s="3"/>
      <c r="U2035" s="3"/>
      <c r="V2035" s="3"/>
      <c r="W2035" s="3"/>
      <c r="X2035" s="3"/>
      <c r="Y2035" s="3"/>
      <c r="Z2035" s="4"/>
      <c r="AA2035"/>
      <c r="AB2035"/>
    </row>
    <row r="2036" spans="1:28" s="49" customFormat="1" x14ac:dyDescent="0.15">
      <c r="A2036" s="165"/>
      <c r="B2036" s="93"/>
      <c r="C2036" s="102"/>
      <c r="D2036" s="62"/>
      <c r="E2036" s="102"/>
      <c r="F2036" s="102"/>
      <c r="G2036" s="102"/>
      <c r="H2036" s="175"/>
      <c r="I2036" s="85"/>
      <c r="J2036" s="104"/>
      <c r="K2036" s="144"/>
      <c r="L2036" s="62"/>
      <c r="N2036" s="37"/>
      <c r="O2036" s="37"/>
      <c r="P2036" s="37"/>
      <c r="Q2036" s="3"/>
      <c r="R2036" s="3"/>
      <c r="S2036" s="3"/>
      <c r="T2036" s="3"/>
      <c r="U2036" s="3"/>
      <c r="V2036" s="3"/>
      <c r="W2036" s="3"/>
      <c r="X2036" s="3"/>
      <c r="Y2036" s="3"/>
      <c r="Z2036" s="4"/>
      <c r="AA2036"/>
      <c r="AB2036"/>
    </row>
    <row r="2037" spans="1:28" s="49" customFormat="1" x14ac:dyDescent="0.15">
      <c r="A2037" s="165"/>
      <c r="B2037" s="93"/>
      <c r="C2037" s="102"/>
      <c r="D2037" s="62"/>
      <c r="E2037" s="102"/>
      <c r="F2037" s="102"/>
      <c r="G2037" s="102"/>
      <c r="H2037" s="175"/>
      <c r="I2037" s="85"/>
      <c r="J2037" s="104"/>
      <c r="K2037" s="144"/>
      <c r="L2037" s="62"/>
      <c r="N2037" s="37"/>
      <c r="O2037" s="37"/>
      <c r="P2037" s="37"/>
      <c r="Q2037" s="3"/>
      <c r="R2037" s="3"/>
      <c r="S2037" s="3"/>
      <c r="T2037" s="3"/>
      <c r="U2037" s="3"/>
      <c r="V2037" s="3"/>
      <c r="W2037" s="3"/>
      <c r="X2037" s="3"/>
      <c r="Y2037" s="3"/>
      <c r="Z2037" s="4"/>
      <c r="AA2037"/>
      <c r="AB2037"/>
    </row>
    <row r="2038" spans="1:28" s="49" customFormat="1" x14ac:dyDescent="0.15">
      <c r="A2038" s="165"/>
      <c r="B2038" s="93"/>
      <c r="C2038" s="102"/>
      <c r="D2038" s="62"/>
      <c r="E2038" s="102"/>
      <c r="F2038" s="102"/>
      <c r="G2038" s="102"/>
      <c r="H2038" s="175"/>
      <c r="I2038" s="85"/>
      <c r="J2038" s="104"/>
      <c r="K2038" s="144"/>
      <c r="L2038" s="62"/>
      <c r="N2038" s="37"/>
      <c r="O2038" s="37"/>
      <c r="P2038" s="37"/>
      <c r="Q2038" s="3"/>
      <c r="R2038" s="3"/>
      <c r="S2038" s="3"/>
      <c r="T2038" s="3"/>
      <c r="U2038" s="3"/>
      <c r="V2038" s="3"/>
      <c r="W2038" s="3"/>
      <c r="X2038" s="3"/>
      <c r="Y2038" s="3"/>
      <c r="Z2038" s="4"/>
      <c r="AA2038"/>
      <c r="AB2038"/>
    </row>
    <row r="2039" spans="1:28" s="49" customFormat="1" x14ac:dyDescent="0.15">
      <c r="A2039" s="165"/>
      <c r="B2039" s="93"/>
      <c r="C2039" s="102"/>
      <c r="D2039" s="62"/>
      <c r="E2039" s="102"/>
      <c r="F2039" s="102"/>
      <c r="G2039" s="102"/>
      <c r="H2039" s="175"/>
      <c r="I2039" s="103"/>
      <c r="J2039" s="98"/>
      <c r="K2039" s="135"/>
      <c r="L2039" s="62"/>
      <c r="N2039" s="37"/>
      <c r="O2039" s="37"/>
      <c r="P2039" s="37"/>
      <c r="Q2039" s="3"/>
      <c r="R2039" s="3"/>
      <c r="S2039" s="3"/>
      <c r="T2039" s="3"/>
      <c r="U2039" s="3"/>
      <c r="V2039" s="3"/>
      <c r="W2039" s="3"/>
      <c r="X2039" s="3"/>
      <c r="Y2039" s="3"/>
      <c r="Z2039" s="4"/>
      <c r="AA2039"/>
      <c r="AB2039"/>
    </row>
    <row r="2040" spans="1:28" s="49" customFormat="1" x14ac:dyDescent="0.15">
      <c r="A2040" s="165"/>
      <c r="B2040" s="93"/>
      <c r="C2040" s="102"/>
      <c r="D2040" s="62"/>
      <c r="E2040" s="102"/>
      <c r="F2040" s="102"/>
      <c r="G2040" s="102"/>
      <c r="H2040" s="175"/>
      <c r="I2040" s="103"/>
      <c r="J2040" s="98"/>
      <c r="K2040" s="135"/>
      <c r="L2040" s="62"/>
      <c r="N2040" s="37"/>
      <c r="O2040" s="37"/>
      <c r="P2040" s="37"/>
      <c r="Q2040" s="3"/>
      <c r="R2040" s="3"/>
      <c r="S2040" s="3"/>
      <c r="T2040" s="3"/>
      <c r="U2040" s="3"/>
      <c r="V2040" s="3"/>
      <c r="W2040" s="3"/>
      <c r="X2040" s="3"/>
      <c r="Y2040" s="3"/>
      <c r="Z2040" s="4"/>
      <c r="AA2040"/>
      <c r="AB2040"/>
    </row>
    <row r="2041" spans="1:28" s="49" customFormat="1" x14ac:dyDescent="0.15">
      <c r="A2041" s="165"/>
      <c r="B2041" s="93"/>
      <c r="C2041" s="102"/>
      <c r="D2041" s="62"/>
      <c r="E2041" s="102"/>
      <c r="F2041" s="102"/>
      <c r="G2041" s="102"/>
      <c r="H2041" s="175"/>
      <c r="I2041" s="85"/>
      <c r="J2041" s="104"/>
      <c r="K2041" s="144"/>
      <c r="L2041" s="62"/>
      <c r="N2041" s="37"/>
      <c r="O2041" s="37"/>
      <c r="P2041" s="37"/>
      <c r="Q2041" s="3"/>
      <c r="R2041" s="3"/>
      <c r="S2041" s="3"/>
      <c r="T2041" s="3"/>
      <c r="U2041" s="3"/>
      <c r="V2041" s="3"/>
      <c r="W2041" s="3"/>
      <c r="X2041" s="3"/>
      <c r="Y2041" s="3"/>
      <c r="Z2041" s="4"/>
      <c r="AA2041"/>
      <c r="AB2041"/>
    </row>
    <row r="2042" spans="1:28" s="49" customFormat="1" x14ac:dyDescent="0.15">
      <c r="A2042" s="165"/>
      <c r="B2042" s="82"/>
      <c r="C2042" s="107"/>
      <c r="D2042" s="62"/>
      <c r="E2042" s="107"/>
      <c r="F2042" s="107"/>
      <c r="G2042" s="107"/>
      <c r="H2042" s="179"/>
      <c r="I2042" s="85"/>
      <c r="J2042" s="104"/>
      <c r="K2042" s="144"/>
      <c r="L2042" s="62"/>
      <c r="N2042" s="37"/>
      <c r="O2042" s="37"/>
      <c r="P2042" s="37"/>
      <c r="Q2042" s="3"/>
      <c r="R2042" s="3"/>
      <c r="S2042" s="3"/>
      <c r="T2042" s="3"/>
      <c r="U2042" s="3"/>
      <c r="V2042" s="3"/>
      <c r="W2042" s="3"/>
      <c r="X2042" s="3"/>
      <c r="Y2042" s="3"/>
      <c r="Z2042" s="4"/>
      <c r="AA2042"/>
      <c r="AB2042"/>
    </row>
    <row r="2043" spans="1:28" s="49" customFormat="1" x14ac:dyDescent="0.15">
      <c r="A2043" s="165"/>
      <c r="B2043" s="93"/>
      <c r="C2043" s="102"/>
      <c r="D2043" s="62"/>
      <c r="E2043" s="102"/>
      <c r="F2043" s="102"/>
      <c r="G2043" s="102"/>
      <c r="H2043" s="175"/>
      <c r="I2043" s="85"/>
      <c r="J2043" s="104"/>
      <c r="K2043" s="144"/>
      <c r="L2043" s="62"/>
      <c r="N2043" s="37"/>
      <c r="O2043" s="37"/>
      <c r="P2043" s="37"/>
      <c r="Q2043" s="3"/>
      <c r="R2043" s="3"/>
      <c r="S2043" s="3"/>
      <c r="T2043" s="3"/>
      <c r="U2043" s="3"/>
      <c r="V2043" s="3"/>
      <c r="W2043" s="3"/>
      <c r="X2043" s="3"/>
      <c r="Y2043" s="3"/>
      <c r="Z2043" s="4"/>
      <c r="AA2043"/>
      <c r="AB2043"/>
    </row>
    <row r="2044" spans="1:28" s="49" customFormat="1" x14ac:dyDescent="0.15">
      <c r="A2044" s="165"/>
      <c r="B2044" s="93"/>
      <c r="C2044" s="102"/>
      <c r="D2044" s="62"/>
      <c r="E2044" s="102"/>
      <c r="F2044" s="102"/>
      <c r="G2044" s="102"/>
      <c r="H2044" s="175"/>
      <c r="I2044" s="85"/>
      <c r="J2044" s="104"/>
      <c r="K2044" s="144"/>
      <c r="L2044" s="62"/>
      <c r="N2044" s="37"/>
      <c r="O2044" s="37"/>
      <c r="P2044" s="37"/>
      <c r="Q2044" s="3"/>
      <c r="R2044" s="3"/>
      <c r="S2044" s="3"/>
      <c r="T2044" s="3"/>
      <c r="U2044" s="3"/>
      <c r="V2044" s="3"/>
      <c r="W2044" s="3"/>
      <c r="X2044" s="3"/>
      <c r="Y2044" s="3"/>
      <c r="Z2044" s="4"/>
      <c r="AA2044"/>
      <c r="AB2044"/>
    </row>
    <row r="2045" spans="1:28" s="49" customFormat="1" x14ac:dyDescent="0.15">
      <c r="A2045" s="165"/>
      <c r="B2045" s="82"/>
      <c r="C2045" s="107"/>
      <c r="D2045" s="62"/>
      <c r="E2045" s="107"/>
      <c r="F2045" s="107"/>
      <c r="G2045" s="107"/>
      <c r="H2045" s="179"/>
      <c r="I2045" s="85"/>
      <c r="J2045" s="104"/>
      <c r="K2045" s="144"/>
      <c r="L2045" s="62"/>
      <c r="N2045" s="37"/>
      <c r="O2045" s="37"/>
      <c r="P2045" s="37"/>
      <c r="Q2045" s="3"/>
      <c r="R2045" s="3"/>
      <c r="S2045" s="3"/>
      <c r="T2045" s="3"/>
      <c r="U2045" s="3"/>
      <c r="V2045" s="3"/>
      <c r="W2045" s="3"/>
      <c r="X2045" s="3"/>
      <c r="Y2045" s="3"/>
      <c r="Z2045" s="4"/>
      <c r="AA2045"/>
      <c r="AB2045"/>
    </row>
    <row r="2046" spans="1:28" s="49" customFormat="1" x14ac:dyDescent="0.15">
      <c r="A2046" s="165"/>
      <c r="B2046" s="93"/>
      <c r="C2046" s="102"/>
      <c r="D2046" s="62"/>
      <c r="E2046" s="102"/>
      <c r="F2046" s="102"/>
      <c r="G2046" s="102"/>
      <c r="H2046" s="175"/>
      <c r="I2046" s="103"/>
      <c r="J2046" s="98"/>
      <c r="K2046" s="135"/>
      <c r="L2046" s="62"/>
      <c r="N2046" s="37"/>
      <c r="O2046" s="37"/>
      <c r="P2046" s="37"/>
      <c r="Q2046" s="3"/>
      <c r="R2046" s="3"/>
      <c r="S2046" s="3"/>
      <c r="T2046" s="3"/>
      <c r="U2046" s="3"/>
      <c r="V2046" s="3"/>
      <c r="W2046" s="3"/>
      <c r="X2046" s="3"/>
      <c r="Y2046" s="3"/>
      <c r="Z2046" s="4"/>
      <c r="AA2046"/>
      <c r="AB2046"/>
    </row>
    <row r="2047" spans="1:28" s="49" customFormat="1" x14ac:dyDescent="0.15">
      <c r="A2047" s="165"/>
      <c r="B2047" s="93"/>
      <c r="C2047" s="102"/>
      <c r="D2047" s="62"/>
      <c r="E2047" s="102"/>
      <c r="F2047" s="102"/>
      <c r="G2047" s="102"/>
      <c r="H2047" s="175"/>
      <c r="I2047" s="103"/>
      <c r="J2047" s="98"/>
      <c r="K2047" s="135"/>
      <c r="L2047" s="62"/>
      <c r="N2047" s="37"/>
      <c r="O2047" s="37"/>
      <c r="P2047" s="37"/>
      <c r="Q2047" s="3"/>
      <c r="R2047" s="3"/>
      <c r="S2047" s="3"/>
      <c r="T2047" s="3"/>
      <c r="U2047" s="3"/>
      <c r="V2047" s="3"/>
      <c r="W2047" s="3"/>
      <c r="X2047" s="3"/>
      <c r="Y2047" s="3"/>
      <c r="Z2047" s="4"/>
      <c r="AA2047"/>
      <c r="AB2047"/>
    </row>
    <row r="2048" spans="1:28" s="49" customFormat="1" x14ac:dyDescent="0.15">
      <c r="A2048" s="165"/>
      <c r="B2048" s="93"/>
      <c r="C2048" s="102"/>
      <c r="D2048" s="62"/>
      <c r="E2048" s="102"/>
      <c r="F2048" s="102"/>
      <c r="G2048" s="102"/>
      <c r="H2048" s="175"/>
      <c r="I2048" s="85"/>
      <c r="J2048" s="104"/>
      <c r="K2048" s="144"/>
      <c r="L2048" s="62"/>
      <c r="N2048" s="37"/>
      <c r="O2048" s="37"/>
      <c r="P2048" s="37"/>
      <c r="Q2048" s="3"/>
      <c r="R2048" s="3"/>
      <c r="S2048" s="3"/>
      <c r="T2048" s="3"/>
      <c r="U2048" s="3"/>
      <c r="V2048" s="3"/>
      <c r="W2048" s="3"/>
      <c r="X2048" s="3"/>
      <c r="Y2048" s="3"/>
      <c r="Z2048" s="4"/>
      <c r="AA2048"/>
      <c r="AB2048"/>
    </row>
    <row r="2049" spans="1:28" s="49" customFormat="1" x14ac:dyDescent="0.15">
      <c r="A2049" s="165"/>
      <c r="B2049" s="93"/>
      <c r="C2049" s="102"/>
      <c r="D2049" s="62"/>
      <c r="E2049" s="102"/>
      <c r="F2049" s="102"/>
      <c r="G2049" s="102"/>
      <c r="H2049" s="175"/>
      <c r="I2049" s="85"/>
      <c r="J2049" s="104"/>
      <c r="K2049" s="144"/>
      <c r="L2049" s="62"/>
      <c r="N2049" s="37"/>
      <c r="O2049" s="37"/>
      <c r="P2049" s="37"/>
      <c r="Q2049" s="3"/>
      <c r="R2049" s="3"/>
      <c r="S2049" s="3"/>
      <c r="T2049" s="3"/>
      <c r="U2049" s="3"/>
      <c r="V2049" s="3"/>
      <c r="W2049" s="3"/>
      <c r="X2049" s="3"/>
      <c r="Y2049" s="3"/>
      <c r="Z2049" s="4"/>
      <c r="AA2049"/>
      <c r="AB2049"/>
    </row>
    <row r="2050" spans="1:28" s="49" customFormat="1" x14ac:dyDescent="0.15">
      <c r="A2050" s="165"/>
      <c r="B2050" s="93"/>
      <c r="C2050" s="102"/>
      <c r="D2050" s="62"/>
      <c r="E2050" s="102"/>
      <c r="F2050" s="102"/>
      <c r="G2050" s="102"/>
      <c r="H2050" s="175"/>
      <c r="I2050" s="85"/>
      <c r="J2050" s="104"/>
      <c r="K2050" s="144"/>
      <c r="L2050" s="62"/>
      <c r="N2050" s="37"/>
      <c r="O2050" s="37"/>
      <c r="P2050" s="37"/>
      <c r="Q2050" s="3"/>
      <c r="R2050" s="3"/>
      <c r="S2050" s="3"/>
      <c r="T2050" s="3"/>
      <c r="U2050" s="3"/>
      <c r="V2050" s="3"/>
      <c r="W2050" s="3"/>
      <c r="X2050" s="3"/>
      <c r="Y2050" s="3"/>
      <c r="Z2050" s="4"/>
      <c r="AA2050"/>
      <c r="AB2050"/>
    </row>
    <row r="2051" spans="1:28" s="49" customFormat="1" x14ac:dyDescent="0.15">
      <c r="A2051" s="165"/>
      <c r="B2051" s="93"/>
      <c r="C2051" s="102"/>
      <c r="D2051" s="62"/>
      <c r="E2051" s="102"/>
      <c r="F2051" s="102"/>
      <c r="G2051" s="102"/>
      <c r="H2051" s="175"/>
      <c r="I2051" s="85"/>
      <c r="J2051" s="104"/>
      <c r="K2051" s="144"/>
      <c r="L2051" s="62"/>
      <c r="N2051" s="37"/>
      <c r="O2051" s="37"/>
      <c r="P2051" s="37"/>
      <c r="Q2051" s="3"/>
      <c r="R2051" s="3"/>
      <c r="S2051" s="3"/>
      <c r="T2051" s="3"/>
      <c r="U2051" s="3"/>
      <c r="V2051" s="3"/>
      <c r="W2051" s="3"/>
      <c r="X2051" s="3"/>
      <c r="Y2051" s="3"/>
      <c r="Z2051" s="4"/>
      <c r="AA2051"/>
      <c r="AB2051"/>
    </row>
    <row r="2052" spans="1:28" s="49" customFormat="1" x14ac:dyDescent="0.15">
      <c r="A2052" s="165"/>
      <c r="B2052" s="93"/>
      <c r="C2052" s="102"/>
      <c r="D2052" s="62"/>
      <c r="E2052" s="102"/>
      <c r="F2052" s="102"/>
      <c r="G2052" s="102"/>
      <c r="H2052" s="175"/>
      <c r="I2052" s="85"/>
      <c r="J2052" s="104"/>
      <c r="K2052" s="144"/>
      <c r="L2052" s="62"/>
      <c r="N2052" s="37"/>
      <c r="O2052" s="37"/>
      <c r="P2052" s="37"/>
      <c r="Q2052" s="3"/>
      <c r="R2052" s="3"/>
      <c r="S2052" s="3"/>
      <c r="T2052" s="3"/>
      <c r="U2052" s="3"/>
      <c r="V2052" s="3"/>
      <c r="W2052" s="3"/>
      <c r="X2052" s="3"/>
      <c r="Y2052" s="3"/>
      <c r="Z2052" s="4"/>
      <c r="AA2052"/>
      <c r="AB2052"/>
    </row>
    <row r="2053" spans="1:28" s="49" customFormat="1" x14ac:dyDescent="0.15">
      <c r="A2053" s="165"/>
      <c r="B2053" s="82"/>
      <c r="C2053" s="107"/>
      <c r="D2053" s="62"/>
      <c r="E2053" s="107"/>
      <c r="F2053" s="107"/>
      <c r="G2053" s="107"/>
      <c r="H2053" s="179"/>
      <c r="I2053" s="85"/>
      <c r="J2053" s="104"/>
      <c r="K2053" s="144"/>
      <c r="L2053" s="62"/>
      <c r="N2053" s="37"/>
      <c r="O2053" s="37"/>
      <c r="P2053" s="37"/>
      <c r="Q2053" s="3"/>
      <c r="R2053" s="3"/>
      <c r="S2053" s="3"/>
      <c r="T2053" s="3"/>
      <c r="U2053" s="3"/>
      <c r="V2053" s="3"/>
      <c r="W2053" s="3"/>
      <c r="X2053" s="3"/>
      <c r="Y2053" s="3"/>
      <c r="Z2053" s="4"/>
      <c r="AA2053"/>
      <c r="AB2053"/>
    </row>
    <row r="2054" spans="1:28" s="49" customFormat="1" x14ac:dyDescent="0.15">
      <c r="A2054" s="165"/>
      <c r="B2054" s="93"/>
      <c r="C2054" s="102"/>
      <c r="D2054" s="62"/>
      <c r="E2054" s="102"/>
      <c r="F2054" s="102"/>
      <c r="G2054" s="102"/>
      <c r="H2054" s="175"/>
      <c r="I2054" s="85"/>
      <c r="J2054" s="104"/>
      <c r="K2054" s="144"/>
      <c r="L2054" s="62"/>
      <c r="N2054" s="37"/>
      <c r="O2054" s="37"/>
      <c r="P2054" s="37"/>
      <c r="Q2054" s="3"/>
      <c r="R2054" s="3"/>
      <c r="S2054" s="3"/>
      <c r="T2054" s="3"/>
      <c r="U2054" s="3"/>
      <c r="V2054" s="3"/>
      <c r="W2054" s="3"/>
      <c r="X2054" s="3"/>
      <c r="Y2054" s="3"/>
      <c r="Z2054" s="4"/>
      <c r="AA2054"/>
      <c r="AB2054"/>
    </row>
    <row r="2055" spans="1:28" s="49" customFormat="1" x14ac:dyDescent="0.15">
      <c r="A2055" s="165"/>
      <c r="B2055" s="93"/>
      <c r="C2055" s="102"/>
      <c r="D2055" s="62"/>
      <c r="E2055" s="102"/>
      <c r="F2055" s="102"/>
      <c r="G2055" s="102"/>
      <c r="H2055" s="175"/>
      <c r="I2055" s="85"/>
      <c r="J2055" s="104"/>
      <c r="K2055" s="144"/>
      <c r="L2055" s="62"/>
      <c r="N2055" s="37"/>
      <c r="O2055" s="37"/>
      <c r="P2055" s="37"/>
      <c r="Q2055" s="3"/>
      <c r="R2055" s="3"/>
      <c r="S2055" s="3"/>
      <c r="T2055" s="3"/>
      <c r="U2055" s="3"/>
      <c r="V2055" s="3"/>
      <c r="W2055" s="3"/>
      <c r="X2055" s="3"/>
      <c r="Y2055" s="3"/>
      <c r="Z2055" s="4"/>
      <c r="AA2055"/>
      <c r="AB2055"/>
    </row>
    <row r="2056" spans="1:28" s="49" customFormat="1" x14ac:dyDescent="0.15">
      <c r="A2056" s="165"/>
      <c r="B2056" s="93"/>
      <c r="C2056" s="102"/>
      <c r="D2056" s="62"/>
      <c r="E2056" s="102"/>
      <c r="F2056" s="102"/>
      <c r="G2056" s="102"/>
      <c r="H2056" s="175"/>
      <c r="I2056" s="85"/>
      <c r="J2056" s="104"/>
      <c r="K2056" s="144"/>
      <c r="L2056" s="62"/>
      <c r="N2056" s="37"/>
      <c r="O2056" s="37"/>
      <c r="P2056" s="37"/>
      <c r="Q2056" s="3"/>
      <c r="R2056" s="3"/>
      <c r="S2056" s="3"/>
      <c r="T2056" s="3"/>
      <c r="U2056" s="3"/>
      <c r="V2056" s="3"/>
      <c r="W2056" s="3"/>
      <c r="X2056" s="3"/>
      <c r="Y2056" s="3"/>
      <c r="Z2056" s="4"/>
      <c r="AA2056"/>
      <c r="AB2056"/>
    </row>
    <row r="2057" spans="1:28" s="49" customFormat="1" x14ac:dyDescent="0.15">
      <c r="A2057" s="165"/>
      <c r="B2057" s="93"/>
      <c r="C2057" s="102"/>
      <c r="D2057" s="62"/>
      <c r="E2057" s="102"/>
      <c r="F2057" s="102"/>
      <c r="G2057" s="102"/>
      <c r="H2057" s="175"/>
      <c r="I2057" s="85"/>
      <c r="J2057" s="98"/>
      <c r="K2057" s="135"/>
      <c r="L2057" s="61"/>
      <c r="N2057" s="37"/>
      <c r="O2057" s="37"/>
      <c r="P2057" s="37"/>
      <c r="Q2057" s="3"/>
      <c r="R2057" s="3"/>
      <c r="S2057" s="3"/>
      <c r="T2057" s="3"/>
      <c r="U2057" s="3"/>
      <c r="V2057" s="3"/>
      <c r="W2057" s="3"/>
      <c r="X2057" s="3"/>
      <c r="Y2057" s="3"/>
      <c r="Z2057" s="4"/>
      <c r="AA2057"/>
      <c r="AB2057"/>
    </row>
    <row r="2058" spans="1:28" s="49" customFormat="1" x14ac:dyDescent="0.15">
      <c r="A2058" s="165"/>
      <c r="B2058" s="93"/>
      <c r="C2058" s="102"/>
      <c r="D2058" s="62"/>
      <c r="E2058" s="102"/>
      <c r="F2058" s="102"/>
      <c r="G2058" s="102"/>
      <c r="H2058" s="175"/>
      <c r="I2058" s="85"/>
      <c r="J2058" s="104"/>
      <c r="K2058" s="144"/>
      <c r="L2058" s="62"/>
      <c r="N2058" s="37"/>
      <c r="O2058" s="37"/>
      <c r="P2058" s="37"/>
      <c r="Q2058" s="3"/>
      <c r="R2058" s="3"/>
      <c r="S2058" s="3"/>
      <c r="T2058" s="3"/>
      <c r="U2058" s="3"/>
      <c r="V2058" s="3"/>
      <c r="W2058" s="3"/>
      <c r="X2058" s="3"/>
      <c r="Y2058" s="3"/>
      <c r="Z2058" s="4"/>
      <c r="AA2058"/>
      <c r="AB2058"/>
    </row>
    <row r="2059" spans="1:28" s="49" customFormat="1" x14ac:dyDescent="0.15">
      <c r="A2059" s="165"/>
      <c r="B2059" s="93"/>
      <c r="C2059" s="102"/>
      <c r="D2059" s="62"/>
      <c r="E2059" s="102"/>
      <c r="F2059" s="102"/>
      <c r="G2059" s="102"/>
      <c r="H2059" s="175"/>
      <c r="I2059" s="85"/>
      <c r="J2059" s="104"/>
      <c r="K2059" s="144"/>
      <c r="L2059" s="62"/>
      <c r="N2059" s="37"/>
      <c r="O2059" s="37"/>
      <c r="P2059" s="37"/>
      <c r="Q2059" s="3"/>
      <c r="R2059" s="3"/>
      <c r="S2059" s="3"/>
      <c r="T2059" s="3"/>
      <c r="U2059" s="3"/>
      <c r="V2059" s="3"/>
      <c r="W2059" s="3"/>
      <c r="X2059" s="3"/>
      <c r="Y2059" s="3"/>
      <c r="Z2059" s="4"/>
      <c r="AA2059"/>
      <c r="AB2059"/>
    </row>
    <row r="2060" spans="1:28" s="49" customFormat="1" x14ac:dyDescent="0.15">
      <c r="A2060" s="165"/>
      <c r="B2060" s="93"/>
      <c r="C2060" s="102"/>
      <c r="D2060" s="62"/>
      <c r="E2060" s="102"/>
      <c r="F2060" s="102"/>
      <c r="G2060" s="102"/>
      <c r="H2060" s="175"/>
      <c r="I2060" s="85"/>
      <c r="J2060" s="104"/>
      <c r="K2060" s="144"/>
      <c r="L2060" s="62"/>
      <c r="N2060" s="37"/>
      <c r="O2060" s="37"/>
      <c r="P2060" s="37"/>
      <c r="Q2060" s="3"/>
      <c r="R2060" s="3"/>
      <c r="S2060" s="3"/>
      <c r="T2060" s="3"/>
      <c r="U2060" s="3"/>
      <c r="V2060" s="3"/>
      <c r="W2060" s="3"/>
      <c r="X2060" s="3"/>
      <c r="Y2060" s="3"/>
      <c r="Z2060" s="4"/>
      <c r="AA2060"/>
      <c r="AB2060"/>
    </row>
    <row r="2061" spans="1:28" s="49" customFormat="1" x14ac:dyDescent="0.15">
      <c r="A2061" s="165"/>
      <c r="B2061" s="93"/>
      <c r="C2061" s="102"/>
      <c r="D2061" s="62"/>
      <c r="E2061" s="102"/>
      <c r="F2061" s="102"/>
      <c r="G2061" s="102"/>
      <c r="H2061" s="175"/>
      <c r="I2061" s="85"/>
      <c r="J2061" s="104"/>
      <c r="K2061" s="144"/>
      <c r="L2061" s="62"/>
      <c r="N2061" s="37"/>
      <c r="O2061" s="37"/>
      <c r="P2061" s="37"/>
      <c r="Q2061" s="3"/>
      <c r="R2061" s="3"/>
      <c r="S2061" s="3"/>
      <c r="T2061" s="3"/>
      <c r="U2061" s="3"/>
      <c r="V2061" s="3"/>
      <c r="W2061" s="3"/>
      <c r="X2061" s="3"/>
      <c r="Y2061" s="3"/>
      <c r="Z2061" s="4"/>
      <c r="AA2061"/>
      <c r="AB2061"/>
    </row>
    <row r="2062" spans="1:28" s="49" customFormat="1" x14ac:dyDescent="0.15">
      <c r="A2062" s="165"/>
      <c r="B2062" s="93"/>
      <c r="C2062" s="102"/>
      <c r="D2062" s="62"/>
      <c r="E2062" s="102"/>
      <c r="F2062" s="102"/>
      <c r="G2062" s="102"/>
      <c r="H2062" s="175"/>
      <c r="I2062" s="85"/>
      <c r="J2062" s="98"/>
      <c r="K2062" s="135"/>
      <c r="L2062" s="62"/>
      <c r="N2062" s="37"/>
      <c r="O2062" s="37"/>
      <c r="P2062" s="37"/>
      <c r="Q2062" s="3"/>
      <c r="R2062" s="3"/>
      <c r="S2062" s="3"/>
      <c r="T2062" s="3"/>
      <c r="U2062" s="3"/>
      <c r="V2062" s="3"/>
      <c r="W2062" s="3"/>
      <c r="X2062" s="3"/>
      <c r="Y2062" s="3"/>
      <c r="Z2062" s="4"/>
      <c r="AA2062"/>
      <c r="AB2062"/>
    </row>
    <row r="2063" spans="1:28" s="49" customFormat="1" x14ac:dyDescent="0.15">
      <c r="A2063" s="165"/>
      <c r="B2063" s="93"/>
      <c r="C2063" s="102"/>
      <c r="D2063" s="62"/>
      <c r="E2063" s="100"/>
      <c r="F2063" s="102"/>
      <c r="G2063" s="102"/>
      <c r="H2063" s="175"/>
      <c r="I2063" s="103"/>
      <c r="J2063" s="98"/>
      <c r="K2063" s="135"/>
      <c r="L2063" s="62"/>
      <c r="N2063" s="37"/>
      <c r="O2063" s="37"/>
      <c r="P2063" s="37"/>
      <c r="Q2063" s="3"/>
      <c r="R2063" s="3"/>
      <c r="S2063" s="3"/>
      <c r="T2063" s="3"/>
      <c r="U2063" s="3"/>
      <c r="V2063" s="3"/>
      <c r="W2063" s="3"/>
      <c r="X2063" s="3"/>
      <c r="Y2063" s="3"/>
      <c r="Z2063" s="4"/>
      <c r="AA2063"/>
      <c r="AB2063"/>
    </row>
    <row r="2064" spans="1:28" s="49" customFormat="1" x14ac:dyDescent="0.15">
      <c r="A2064" s="165"/>
      <c r="B2064" s="93"/>
      <c r="C2064" s="102"/>
      <c r="D2064" s="62"/>
      <c r="E2064" s="102"/>
      <c r="F2064" s="102"/>
      <c r="G2064" s="102"/>
      <c r="H2064" s="175"/>
      <c r="I2064" s="103"/>
      <c r="J2064" s="98"/>
      <c r="K2064" s="135"/>
      <c r="L2064" s="62"/>
      <c r="N2064" s="37"/>
      <c r="O2064" s="37"/>
      <c r="P2064" s="37"/>
      <c r="Q2064" s="3"/>
      <c r="R2064" s="3"/>
      <c r="S2064" s="3"/>
      <c r="T2064" s="3"/>
      <c r="U2064" s="3"/>
      <c r="V2064" s="3"/>
      <c r="W2064" s="3"/>
      <c r="X2064" s="3"/>
      <c r="Y2064" s="3"/>
      <c r="Z2064" s="4"/>
      <c r="AA2064"/>
      <c r="AB2064"/>
    </row>
    <row r="2065" spans="1:28" s="49" customFormat="1" x14ac:dyDescent="0.15">
      <c r="A2065" s="165"/>
      <c r="B2065" s="93"/>
      <c r="C2065" s="102"/>
      <c r="D2065" s="62"/>
      <c r="E2065" s="102"/>
      <c r="F2065" s="102"/>
      <c r="G2065" s="102"/>
      <c r="H2065" s="175"/>
      <c r="I2065" s="103"/>
      <c r="J2065" s="98"/>
      <c r="K2065" s="135"/>
      <c r="L2065" s="62"/>
      <c r="N2065" s="37"/>
      <c r="O2065" s="37"/>
      <c r="P2065" s="37"/>
      <c r="Q2065" s="3"/>
      <c r="R2065" s="3"/>
      <c r="S2065" s="3"/>
      <c r="T2065" s="3"/>
      <c r="U2065" s="3"/>
      <c r="V2065" s="3"/>
      <c r="W2065" s="3"/>
      <c r="X2065" s="3"/>
      <c r="Y2065" s="3"/>
      <c r="Z2065" s="4"/>
      <c r="AA2065"/>
      <c r="AB2065"/>
    </row>
    <row r="2066" spans="1:28" s="49" customFormat="1" x14ac:dyDescent="0.15">
      <c r="A2066" s="165"/>
      <c r="B2066" s="93"/>
      <c r="C2066" s="102"/>
      <c r="D2066" s="62"/>
      <c r="E2066" s="102"/>
      <c r="F2066" s="102"/>
      <c r="G2066" s="102"/>
      <c r="H2066" s="175"/>
      <c r="I2066" s="85"/>
      <c r="J2066" s="104"/>
      <c r="K2066" s="144"/>
      <c r="L2066" s="62"/>
      <c r="N2066" s="37"/>
      <c r="O2066" s="37"/>
      <c r="P2066" s="37"/>
      <c r="Q2066" s="3"/>
      <c r="R2066" s="3"/>
      <c r="S2066" s="3"/>
      <c r="T2066" s="3"/>
      <c r="U2066" s="3"/>
      <c r="V2066" s="3"/>
      <c r="W2066" s="3"/>
      <c r="X2066" s="3"/>
      <c r="Y2066" s="3"/>
      <c r="Z2066" s="4"/>
      <c r="AA2066"/>
      <c r="AB2066"/>
    </row>
    <row r="2067" spans="1:28" s="49" customFormat="1" x14ac:dyDescent="0.15">
      <c r="A2067" s="165"/>
      <c r="B2067" s="93"/>
      <c r="C2067" s="102"/>
      <c r="D2067" s="62"/>
      <c r="E2067" s="100"/>
      <c r="F2067" s="102"/>
      <c r="G2067" s="102"/>
      <c r="H2067" s="175"/>
      <c r="I2067" s="85"/>
      <c r="J2067" s="104"/>
      <c r="K2067" s="144"/>
      <c r="L2067" s="62"/>
      <c r="N2067" s="37"/>
      <c r="O2067" s="37"/>
      <c r="P2067" s="37"/>
      <c r="Q2067" s="3"/>
      <c r="R2067" s="3"/>
      <c r="S2067" s="3"/>
      <c r="T2067" s="3"/>
      <c r="U2067" s="3"/>
      <c r="V2067" s="3"/>
      <c r="W2067" s="3"/>
      <c r="X2067" s="3"/>
      <c r="Y2067" s="3"/>
      <c r="Z2067" s="4"/>
      <c r="AA2067"/>
      <c r="AB2067"/>
    </row>
    <row r="2068" spans="1:28" s="49" customFormat="1" x14ac:dyDescent="0.15">
      <c r="A2068" s="165"/>
      <c r="B2068" s="93"/>
      <c r="C2068" s="102"/>
      <c r="D2068" s="62"/>
      <c r="E2068" s="102"/>
      <c r="F2068" s="102"/>
      <c r="G2068" s="102"/>
      <c r="H2068" s="175"/>
      <c r="I2068" s="85"/>
      <c r="J2068" s="104"/>
      <c r="K2068" s="144"/>
      <c r="L2068" s="62"/>
      <c r="N2068" s="37"/>
      <c r="O2068" s="37"/>
      <c r="P2068" s="37"/>
      <c r="Q2068" s="3"/>
      <c r="R2068" s="3"/>
      <c r="S2068" s="3"/>
      <c r="T2068" s="3"/>
      <c r="U2068" s="3"/>
      <c r="V2068" s="3"/>
      <c r="W2068" s="3"/>
      <c r="X2068" s="3"/>
      <c r="Y2068" s="3"/>
      <c r="Z2068" s="4"/>
      <c r="AA2068"/>
      <c r="AB2068"/>
    </row>
    <row r="2069" spans="1:28" s="49" customFormat="1" x14ac:dyDescent="0.15">
      <c r="A2069" s="165"/>
      <c r="B2069" s="93"/>
      <c r="C2069" s="102"/>
      <c r="D2069" s="62"/>
      <c r="E2069" s="102"/>
      <c r="F2069" s="102"/>
      <c r="G2069" s="102"/>
      <c r="H2069" s="177"/>
      <c r="I2069" s="85"/>
      <c r="J2069" s="104"/>
      <c r="K2069" s="144"/>
      <c r="L2069" s="62"/>
      <c r="N2069" s="37"/>
      <c r="O2069" s="37"/>
      <c r="P2069" s="37"/>
      <c r="Q2069" s="3"/>
      <c r="R2069" s="3"/>
      <c r="S2069" s="3"/>
      <c r="T2069" s="3"/>
      <c r="U2069" s="3"/>
      <c r="V2069" s="3"/>
      <c r="W2069" s="3"/>
      <c r="X2069" s="3"/>
      <c r="Y2069" s="3"/>
      <c r="Z2069" s="4"/>
      <c r="AA2069"/>
      <c r="AB2069"/>
    </row>
    <row r="2070" spans="1:28" s="49" customFormat="1" x14ac:dyDescent="0.15">
      <c r="A2070" s="165"/>
      <c r="B2070" s="93"/>
      <c r="C2070" s="102"/>
      <c r="D2070" s="62"/>
      <c r="E2070" s="100"/>
      <c r="F2070" s="102"/>
      <c r="G2070" s="102"/>
      <c r="H2070" s="175"/>
      <c r="I2070" s="85"/>
      <c r="J2070" s="104"/>
      <c r="K2070" s="144"/>
      <c r="L2070" s="62"/>
      <c r="N2070" s="37"/>
      <c r="O2070" s="37"/>
      <c r="P2070" s="37"/>
      <c r="Q2070" s="3"/>
      <c r="R2070" s="3"/>
      <c r="S2070" s="3"/>
      <c r="T2070" s="3"/>
      <c r="U2070" s="3"/>
      <c r="V2070" s="3"/>
      <c r="W2070" s="3"/>
      <c r="X2070" s="3"/>
      <c r="Y2070" s="3"/>
      <c r="Z2070" s="4"/>
      <c r="AA2070"/>
      <c r="AB2070"/>
    </row>
    <row r="2071" spans="1:28" s="49" customFormat="1" x14ac:dyDescent="0.15">
      <c r="A2071" s="165"/>
      <c r="B2071" s="93"/>
      <c r="C2071" s="102"/>
      <c r="D2071" s="62"/>
      <c r="E2071" s="102"/>
      <c r="F2071" s="102"/>
      <c r="G2071" s="102"/>
      <c r="H2071" s="175"/>
      <c r="I2071" s="85"/>
      <c r="J2071" s="104"/>
      <c r="K2071" s="144"/>
      <c r="L2071" s="62"/>
      <c r="N2071" s="37"/>
      <c r="O2071" s="37"/>
      <c r="P2071" s="37"/>
      <c r="Q2071" s="3"/>
      <c r="R2071" s="3"/>
      <c r="S2071" s="3"/>
      <c r="T2071" s="3"/>
      <c r="U2071" s="3"/>
      <c r="V2071" s="3"/>
      <c r="W2071" s="3"/>
      <c r="X2071" s="3"/>
      <c r="Y2071" s="3"/>
      <c r="Z2071" s="4"/>
      <c r="AA2071"/>
      <c r="AB2071"/>
    </row>
    <row r="2072" spans="1:28" s="49" customFormat="1" x14ac:dyDescent="0.15">
      <c r="A2072" s="165"/>
      <c r="B2072" s="93"/>
      <c r="C2072" s="102"/>
      <c r="D2072" s="62"/>
      <c r="E2072" s="102"/>
      <c r="F2072" s="102"/>
      <c r="G2072" s="102"/>
      <c r="H2072" s="175"/>
      <c r="I2072" s="85"/>
      <c r="J2072" s="104"/>
      <c r="K2072" s="144"/>
      <c r="L2072" s="62"/>
      <c r="N2072" s="37"/>
      <c r="O2072" s="37"/>
      <c r="P2072" s="37"/>
      <c r="Q2072" s="3"/>
      <c r="R2072" s="3"/>
      <c r="S2072" s="3"/>
      <c r="T2072" s="3"/>
      <c r="U2072" s="3"/>
      <c r="V2072" s="3"/>
      <c r="W2072" s="3"/>
      <c r="X2072" s="3"/>
      <c r="Y2072" s="3"/>
      <c r="Z2072" s="4"/>
      <c r="AA2072"/>
      <c r="AB2072"/>
    </row>
    <row r="2073" spans="1:28" s="49" customFormat="1" x14ac:dyDescent="0.15">
      <c r="A2073" s="165"/>
      <c r="B2073" s="93"/>
      <c r="C2073" s="102"/>
      <c r="D2073" s="62"/>
      <c r="E2073" s="102"/>
      <c r="F2073" s="102"/>
      <c r="G2073" s="102"/>
      <c r="H2073" s="175"/>
      <c r="I2073" s="85"/>
      <c r="J2073" s="104"/>
      <c r="K2073" s="144"/>
      <c r="L2073" s="61"/>
      <c r="N2073" s="37"/>
      <c r="O2073" s="37"/>
      <c r="P2073" s="37"/>
      <c r="Q2073" s="3"/>
      <c r="R2073" s="3"/>
      <c r="S2073" s="3"/>
      <c r="T2073" s="3"/>
      <c r="U2073" s="3"/>
      <c r="V2073" s="3"/>
      <c r="W2073" s="3"/>
      <c r="X2073" s="3"/>
      <c r="Y2073" s="3"/>
      <c r="Z2073" s="4"/>
      <c r="AA2073"/>
      <c r="AB2073"/>
    </row>
    <row r="2074" spans="1:28" s="49" customFormat="1" x14ac:dyDescent="0.15">
      <c r="A2074" s="165"/>
      <c r="B2074" s="93"/>
      <c r="C2074" s="102"/>
      <c r="D2074" s="62"/>
      <c r="E2074" s="102"/>
      <c r="F2074" s="102"/>
      <c r="G2074" s="102"/>
      <c r="H2074" s="175"/>
      <c r="I2074" s="85"/>
      <c r="J2074" s="104"/>
      <c r="K2074" s="144"/>
      <c r="L2074" s="62"/>
      <c r="N2074" s="37"/>
      <c r="O2074" s="37"/>
      <c r="P2074" s="37"/>
      <c r="Q2074" s="3"/>
      <c r="R2074" s="3"/>
      <c r="S2074" s="3"/>
      <c r="T2074" s="3"/>
      <c r="U2074" s="3"/>
      <c r="V2074" s="3"/>
      <c r="W2074" s="3"/>
      <c r="X2074" s="3"/>
      <c r="Y2074" s="3"/>
      <c r="Z2074" s="4"/>
      <c r="AA2074"/>
      <c r="AB2074"/>
    </row>
    <row r="2075" spans="1:28" s="49" customFormat="1" x14ac:dyDescent="0.15">
      <c r="A2075" s="165"/>
      <c r="B2075" s="93"/>
      <c r="C2075" s="102"/>
      <c r="D2075" s="62"/>
      <c r="E2075" s="102"/>
      <c r="F2075" s="102"/>
      <c r="G2075" s="102"/>
      <c r="H2075" s="175"/>
      <c r="I2075" s="103"/>
      <c r="J2075" s="98"/>
      <c r="K2075" s="135"/>
      <c r="L2075" s="62"/>
      <c r="N2075" s="37"/>
      <c r="O2075" s="37"/>
      <c r="P2075" s="37"/>
      <c r="Q2075" s="3"/>
      <c r="R2075" s="3"/>
      <c r="S2075" s="3"/>
      <c r="T2075" s="3"/>
      <c r="U2075" s="3"/>
      <c r="V2075" s="3"/>
      <c r="W2075" s="3"/>
      <c r="X2075" s="3"/>
      <c r="Y2075" s="3"/>
      <c r="Z2075" s="4"/>
      <c r="AA2075"/>
      <c r="AB2075"/>
    </row>
    <row r="2076" spans="1:28" s="49" customFormat="1" x14ac:dyDescent="0.15">
      <c r="A2076" s="165"/>
      <c r="B2076" s="93"/>
      <c r="C2076" s="102"/>
      <c r="D2076" s="62"/>
      <c r="E2076" s="102"/>
      <c r="F2076" s="102"/>
      <c r="G2076" s="102"/>
      <c r="H2076" s="175"/>
      <c r="I2076" s="103"/>
      <c r="J2076" s="98"/>
      <c r="K2076" s="135"/>
      <c r="L2076" s="62"/>
      <c r="N2076" s="37"/>
      <c r="O2076" s="37"/>
      <c r="P2076" s="37"/>
      <c r="Q2076" s="3"/>
      <c r="R2076" s="3"/>
      <c r="S2076" s="3"/>
      <c r="T2076" s="3"/>
      <c r="U2076" s="3"/>
      <c r="V2076" s="3"/>
      <c r="W2076" s="3"/>
      <c r="X2076" s="3"/>
      <c r="Y2076" s="3"/>
      <c r="Z2076" s="4"/>
      <c r="AA2076"/>
      <c r="AB2076"/>
    </row>
    <row r="2077" spans="1:28" s="49" customFormat="1" x14ac:dyDescent="0.15">
      <c r="A2077" s="165"/>
      <c r="B2077" s="93"/>
      <c r="C2077" s="102"/>
      <c r="D2077" s="62"/>
      <c r="E2077" s="100"/>
      <c r="F2077" s="102"/>
      <c r="G2077" s="102"/>
      <c r="H2077" s="175"/>
      <c r="I2077" s="85"/>
      <c r="J2077" s="104"/>
      <c r="K2077" s="144"/>
      <c r="L2077" s="62"/>
      <c r="N2077" s="37"/>
      <c r="O2077" s="37"/>
      <c r="P2077" s="37"/>
      <c r="Q2077" s="3"/>
      <c r="R2077" s="3"/>
      <c r="S2077" s="3"/>
      <c r="T2077" s="3"/>
      <c r="U2077" s="3"/>
      <c r="V2077" s="3"/>
      <c r="W2077" s="3"/>
      <c r="X2077" s="3"/>
      <c r="Y2077" s="3"/>
      <c r="Z2077" s="4"/>
      <c r="AA2077"/>
      <c r="AB2077"/>
    </row>
    <row r="2078" spans="1:28" s="49" customFormat="1" x14ac:dyDescent="0.15">
      <c r="A2078" s="165"/>
      <c r="B2078" s="93"/>
      <c r="C2078" s="102"/>
      <c r="D2078" s="62"/>
      <c r="E2078" s="102"/>
      <c r="F2078" s="102"/>
      <c r="G2078" s="102"/>
      <c r="H2078" s="175"/>
      <c r="I2078" s="85"/>
      <c r="J2078" s="98"/>
      <c r="K2078" s="135"/>
      <c r="L2078" s="62"/>
      <c r="N2078" s="37"/>
      <c r="O2078" s="37"/>
      <c r="P2078" s="37"/>
      <c r="Q2078" s="3"/>
      <c r="R2078" s="3"/>
      <c r="S2078" s="3"/>
      <c r="T2078" s="3"/>
      <c r="U2078" s="3"/>
      <c r="V2078" s="3"/>
      <c r="W2078" s="3"/>
      <c r="X2078" s="3"/>
      <c r="Y2078" s="3"/>
      <c r="Z2078" s="4"/>
      <c r="AA2078"/>
      <c r="AB2078"/>
    </row>
    <row r="2079" spans="1:28" s="49" customFormat="1" x14ac:dyDescent="0.15">
      <c r="A2079" s="165"/>
      <c r="B2079" s="93"/>
      <c r="C2079" s="102"/>
      <c r="D2079" s="62"/>
      <c r="E2079" s="102"/>
      <c r="F2079" s="102"/>
      <c r="G2079" s="102"/>
      <c r="H2079" s="175"/>
      <c r="I2079" s="85"/>
      <c r="J2079" s="104"/>
      <c r="K2079" s="144"/>
      <c r="L2079" s="62"/>
      <c r="N2079" s="37"/>
      <c r="O2079" s="37"/>
      <c r="P2079" s="37"/>
      <c r="Q2079" s="3"/>
      <c r="R2079" s="3"/>
      <c r="S2079" s="3"/>
      <c r="T2079" s="3"/>
      <c r="U2079" s="3"/>
      <c r="V2079" s="3"/>
      <c r="W2079" s="3"/>
      <c r="X2079" s="3"/>
      <c r="Y2079" s="3"/>
      <c r="Z2079" s="4"/>
      <c r="AA2079"/>
      <c r="AB2079"/>
    </row>
    <row r="2080" spans="1:28" s="49" customFormat="1" x14ac:dyDescent="0.15">
      <c r="A2080" s="165"/>
      <c r="B2080" s="93"/>
      <c r="C2080" s="102"/>
      <c r="D2080" s="62"/>
      <c r="E2080" s="102"/>
      <c r="F2080" s="102"/>
      <c r="G2080" s="102"/>
      <c r="H2080" s="175"/>
      <c r="I2080" s="103"/>
      <c r="J2080" s="98"/>
      <c r="K2080" s="135"/>
      <c r="L2080" s="62"/>
      <c r="N2080" s="37"/>
      <c r="O2080" s="37"/>
      <c r="P2080" s="37"/>
      <c r="Q2080" s="3"/>
      <c r="R2080" s="3"/>
      <c r="S2080" s="3"/>
      <c r="T2080" s="3"/>
      <c r="U2080" s="3"/>
      <c r="V2080" s="3"/>
      <c r="W2080" s="3"/>
      <c r="X2080" s="3"/>
      <c r="Y2080" s="3"/>
      <c r="Z2080" s="4"/>
      <c r="AA2080"/>
      <c r="AB2080"/>
    </row>
    <row r="2081" spans="1:28" s="49" customFormat="1" x14ac:dyDescent="0.15">
      <c r="A2081" s="165"/>
      <c r="B2081" s="93"/>
      <c r="C2081" s="102"/>
      <c r="D2081" s="62"/>
      <c r="E2081" s="102"/>
      <c r="F2081" s="102"/>
      <c r="G2081" s="102"/>
      <c r="H2081" s="175"/>
      <c r="I2081" s="103"/>
      <c r="J2081" s="98"/>
      <c r="K2081" s="135"/>
      <c r="L2081" s="62"/>
      <c r="N2081" s="37"/>
      <c r="O2081" s="37"/>
      <c r="P2081" s="37"/>
      <c r="Q2081" s="3"/>
      <c r="R2081" s="3"/>
      <c r="S2081" s="3"/>
      <c r="T2081" s="3"/>
      <c r="U2081" s="3"/>
      <c r="V2081" s="3"/>
      <c r="W2081" s="3"/>
      <c r="X2081" s="3"/>
      <c r="Y2081" s="3"/>
      <c r="Z2081" s="4"/>
      <c r="AA2081"/>
      <c r="AB2081"/>
    </row>
    <row r="2082" spans="1:28" s="49" customFormat="1" x14ac:dyDescent="0.15">
      <c r="A2082" s="165"/>
      <c r="B2082" s="93"/>
      <c r="C2082" s="102"/>
      <c r="D2082" s="62"/>
      <c r="E2082" s="102"/>
      <c r="F2082" s="102"/>
      <c r="G2082" s="102"/>
      <c r="H2082" s="175"/>
      <c r="I2082" s="103"/>
      <c r="J2082" s="98"/>
      <c r="K2082" s="135"/>
      <c r="L2082" s="62"/>
      <c r="N2082" s="37"/>
      <c r="O2082" s="37"/>
      <c r="P2082" s="37"/>
      <c r="Q2082" s="3"/>
      <c r="R2082" s="3"/>
      <c r="S2082" s="3"/>
      <c r="T2082" s="3"/>
      <c r="U2082" s="3"/>
      <c r="V2082" s="3"/>
      <c r="W2082" s="3"/>
      <c r="X2082" s="3"/>
      <c r="Y2082" s="3"/>
      <c r="Z2082" s="4"/>
      <c r="AA2082"/>
      <c r="AB2082"/>
    </row>
    <row r="2083" spans="1:28" s="49" customFormat="1" x14ac:dyDescent="0.15">
      <c r="A2083" s="165"/>
      <c r="B2083" s="93"/>
      <c r="C2083" s="102"/>
      <c r="D2083" s="62"/>
      <c r="E2083" s="102"/>
      <c r="F2083" s="102"/>
      <c r="G2083" s="102"/>
      <c r="H2083" s="175"/>
      <c r="I2083" s="85"/>
      <c r="J2083" s="104"/>
      <c r="K2083" s="144"/>
      <c r="L2083" s="62"/>
      <c r="N2083" s="37"/>
      <c r="O2083" s="37"/>
      <c r="P2083" s="37"/>
      <c r="Q2083" s="3"/>
      <c r="R2083" s="3"/>
      <c r="S2083" s="3"/>
      <c r="T2083" s="3"/>
      <c r="U2083" s="3"/>
      <c r="V2083" s="3"/>
      <c r="W2083" s="3"/>
      <c r="X2083" s="3"/>
      <c r="Y2083" s="3"/>
      <c r="Z2083" s="4"/>
      <c r="AA2083"/>
      <c r="AB2083"/>
    </row>
    <row r="2084" spans="1:28" s="49" customFormat="1" x14ac:dyDescent="0.15">
      <c r="A2084" s="165"/>
      <c r="B2084" s="93"/>
      <c r="C2084" s="102"/>
      <c r="D2084" s="62"/>
      <c r="E2084" s="102"/>
      <c r="F2084" s="102"/>
      <c r="G2084" s="102"/>
      <c r="H2084" s="175"/>
      <c r="I2084" s="85"/>
      <c r="J2084" s="104"/>
      <c r="K2084" s="144"/>
      <c r="L2084" s="62"/>
      <c r="N2084" s="37"/>
      <c r="O2084" s="37"/>
      <c r="P2084" s="37"/>
      <c r="Q2084" s="3"/>
      <c r="R2084" s="3"/>
      <c r="S2084" s="3"/>
      <c r="T2084" s="3"/>
      <c r="U2084" s="3"/>
      <c r="V2084" s="3"/>
      <c r="W2084" s="3"/>
      <c r="X2084" s="3"/>
      <c r="Y2084" s="3"/>
      <c r="Z2084" s="4"/>
      <c r="AA2084"/>
      <c r="AB2084"/>
    </row>
    <row r="2085" spans="1:28" s="49" customFormat="1" x14ac:dyDescent="0.15">
      <c r="A2085" s="165"/>
      <c r="B2085" s="93"/>
      <c r="C2085" s="102"/>
      <c r="D2085" s="62"/>
      <c r="E2085" s="102"/>
      <c r="F2085" s="102"/>
      <c r="G2085" s="102"/>
      <c r="H2085" s="175"/>
      <c r="I2085" s="85"/>
      <c r="J2085" s="104"/>
      <c r="K2085" s="144"/>
      <c r="L2085" s="62"/>
      <c r="N2085" s="37"/>
      <c r="O2085" s="37"/>
      <c r="P2085" s="37"/>
      <c r="Q2085" s="3"/>
      <c r="R2085" s="3"/>
      <c r="S2085" s="3"/>
      <c r="T2085" s="3"/>
      <c r="U2085" s="3"/>
      <c r="V2085" s="3"/>
      <c r="W2085" s="3"/>
      <c r="X2085" s="3"/>
      <c r="Y2085" s="3"/>
      <c r="Z2085" s="4"/>
      <c r="AA2085"/>
      <c r="AB2085"/>
    </row>
    <row r="2086" spans="1:28" s="49" customFormat="1" x14ac:dyDescent="0.15">
      <c r="A2086" s="165"/>
      <c r="B2086" s="93"/>
      <c r="C2086" s="102"/>
      <c r="D2086" s="62"/>
      <c r="E2086" s="102"/>
      <c r="F2086" s="102"/>
      <c r="G2086" s="102"/>
      <c r="H2086" s="175"/>
      <c r="I2086" s="85"/>
      <c r="J2086" s="104"/>
      <c r="K2086" s="144"/>
      <c r="L2086" s="62"/>
      <c r="N2086" s="37"/>
      <c r="O2086" s="37"/>
      <c r="P2086" s="37"/>
      <c r="Q2086" s="3"/>
      <c r="R2086" s="3"/>
      <c r="S2086" s="3"/>
      <c r="T2086" s="3"/>
      <c r="U2086" s="3"/>
      <c r="V2086" s="3"/>
      <c r="W2086" s="3"/>
      <c r="X2086" s="3"/>
      <c r="Y2086" s="3"/>
      <c r="Z2086" s="4"/>
      <c r="AA2086"/>
      <c r="AB2086"/>
    </row>
    <row r="2087" spans="1:28" s="49" customFormat="1" x14ac:dyDescent="0.15">
      <c r="A2087" s="165"/>
      <c r="B2087" s="93"/>
      <c r="C2087" s="102"/>
      <c r="D2087" s="62"/>
      <c r="E2087" s="102"/>
      <c r="F2087" s="102"/>
      <c r="G2087" s="102"/>
      <c r="H2087" s="175"/>
      <c r="I2087" s="85"/>
      <c r="J2087" s="104"/>
      <c r="K2087" s="144"/>
      <c r="L2087" s="62"/>
      <c r="N2087" s="37"/>
      <c r="O2087" s="37"/>
      <c r="P2087" s="37"/>
      <c r="Q2087" s="3"/>
      <c r="R2087" s="3"/>
      <c r="S2087" s="3"/>
      <c r="T2087" s="3"/>
      <c r="U2087" s="3"/>
      <c r="V2087" s="3"/>
      <c r="W2087" s="3"/>
      <c r="X2087" s="3"/>
      <c r="Y2087" s="3"/>
      <c r="Z2087" s="4"/>
      <c r="AA2087"/>
      <c r="AB2087"/>
    </row>
    <row r="2088" spans="1:28" s="49" customFormat="1" x14ac:dyDescent="0.15">
      <c r="A2088" s="165"/>
      <c r="B2088" s="93"/>
      <c r="C2088" s="102"/>
      <c r="D2088" s="62"/>
      <c r="E2088" s="102"/>
      <c r="F2088" s="102"/>
      <c r="G2088" s="102"/>
      <c r="H2088" s="175"/>
      <c r="I2088" s="85"/>
      <c r="J2088" s="104"/>
      <c r="K2088" s="144"/>
      <c r="L2088" s="62"/>
      <c r="N2088" s="37"/>
      <c r="O2088" s="37"/>
      <c r="P2088" s="37"/>
      <c r="Q2088" s="3"/>
      <c r="R2088" s="3"/>
      <c r="S2088" s="3"/>
      <c r="T2088" s="3"/>
      <c r="U2088" s="3"/>
      <c r="V2088" s="3"/>
      <c r="W2088" s="3"/>
      <c r="X2088" s="3"/>
      <c r="Y2088" s="3"/>
      <c r="Z2088" s="4"/>
      <c r="AA2088"/>
      <c r="AB2088"/>
    </row>
    <row r="2089" spans="1:28" s="49" customFormat="1" x14ac:dyDescent="0.15">
      <c r="A2089" s="165"/>
      <c r="B2089" s="93"/>
      <c r="C2089" s="102"/>
      <c r="D2089" s="62"/>
      <c r="E2089" s="102"/>
      <c r="F2089" s="102"/>
      <c r="G2089" s="102"/>
      <c r="H2089" s="175"/>
      <c r="I2089" s="85"/>
      <c r="J2089" s="104"/>
      <c r="K2089" s="144"/>
      <c r="L2089" s="62"/>
      <c r="N2089" s="37"/>
      <c r="O2089" s="37"/>
      <c r="P2089" s="37"/>
      <c r="Q2089" s="3"/>
      <c r="R2089" s="3"/>
      <c r="S2089" s="3"/>
      <c r="T2089" s="3"/>
      <c r="U2089" s="3"/>
      <c r="V2089" s="3"/>
      <c r="W2089" s="3"/>
      <c r="X2089" s="3"/>
      <c r="Y2089" s="3"/>
      <c r="Z2089" s="4"/>
      <c r="AA2089"/>
      <c r="AB2089"/>
    </row>
    <row r="2090" spans="1:28" s="49" customFormat="1" x14ac:dyDescent="0.15">
      <c r="A2090" s="165"/>
      <c r="B2090" s="93"/>
      <c r="C2090" s="102"/>
      <c r="D2090" s="62"/>
      <c r="E2090" s="102"/>
      <c r="F2090" s="102"/>
      <c r="G2090" s="102"/>
      <c r="H2090" s="175"/>
      <c r="I2090" s="85"/>
      <c r="J2090" s="104"/>
      <c r="K2090" s="144"/>
      <c r="L2090" s="62"/>
      <c r="N2090" s="37"/>
      <c r="O2090" s="37"/>
      <c r="P2090" s="37"/>
      <c r="Q2090" s="3"/>
      <c r="R2090" s="3"/>
      <c r="S2090" s="3"/>
      <c r="T2090" s="3"/>
      <c r="U2090" s="3"/>
      <c r="V2090" s="3"/>
      <c r="W2090" s="3"/>
      <c r="X2090" s="3"/>
      <c r="Y2090" s="3"/>
      <c r="Z2090" s="4"/>
      <c r="AA2090"/>
      <c r="AB2090"/>
    </row>
    <row r="2091" spans="1:28" s="49" customFormat="1" x14ac:dyDescent="0.15">
      <c r="A2091" s="165"/>
      <c r="B2091" s="93"/>
      <c r="C2091" s="102"/>
      <c r="D2091" s="62"/>
      <c r="E2091" s="102"/>
      <c r="F2091" s="102"/>
      <c r="G2091" s="102"/>
      <c r="H2091" s="175"/>
      <c r="I2091" s="85"/>
      <c r="J2091" s="104"/>
      <c r="K2091" s="144"/>
      <c r="L2091" s="62"/>
      <c r="N2091" s="37"/>
      <c r="O2091" s="37"/>
      <c r="P2091" s="37"/>
      <c r="Q2091" s="3"/>
      <c r="R2091" s="3"/>
      <c r="S2091" s="3"/>
      <c r="T2091" s="3"/>
      <c r="U2091" s="3"/>
      <c r="V2091" s="3"/>
      <c r="W2091" s="3"/>
      <c r="X2091" s="3"/>
      <c r="Y2091" s="3"/>
      <c r="Z2091" s="4"/>
      <c r="AA2091"/>
      <c r="AB2091"/>
    </row>
    <row r="2092" spans="1:28" s="49" customFormat="1" x14ac:dyDescent="0.15">
      <c r="A2092" s="165"/>
      <c r="B2092" s="93"/>
      <c r="C2092" s="102"/>
      <c r="D2092" s="62"/>
      <c r="E2092" s="102"/>
      <c r="F2092" s="102"/>
      <c r="G2092" s="102"/>
      <c r="H2092" s="175"/>
      <c r="I2092" s="85"/>
      <c r="J2092" s="104"/>
      <c r="K2092" s="144"/>
      <c r="L2092" s="62"/>
      <c r="N2092" s="37"/>
      <c r="O2092" s="37"/>
      <c r="P2092" s="37"/>
      <c r="Q2092" s="3"/>
      <c r="R2092" s="3"/>
      <c r="S2092" s="3"/>
      <c r="T2092" s="3"/>
      <c r="U2092" s="3"/>
      <c r="V2092" s="3"/>
      <c r="W2092" s="3"/>
      <c r="X2092" s="3"/>
      <c r="Y2092" s="3"/>
      <c r="Z2092" s="4"/>
      <c r="AA2092"/>
      <c r="AB2092"/>
    </row>
    <row r="2093" spans="1:28" s="49" customFormat="1" x14ac:dyDescent="0.15">
      <c r="A2093" s="165"/>
      <c r="B2093" s="93"/>
      <c r="C2093" s="102"/>
      <c r="D2093" s="62"/>
      <c r="E2093" s="102"/>
      <c r="F2093" s="102"/>
      <c r="G2093" s="102"/>
      <c r="H2093" s="175"/>
      <c r="I2093" s="85"/>
      <c r="J2093" s="104"/>
      <c r="K2093" s="144"/>
      <c r="L2093" s="62"/>
      <c r="N2093" s="37"/>
      <c r="O2093" s="37"/>
      <c r="P2093" s="37"/>
      <c r="Q2093" s="3"/>
      <c r="R2093" s="3"/>
      <c r="S2093" s="3"/>
      <c r="T2093" s="3"/>
      <c r="U2093" s="3"/>
      <c r="V2093" s="3"/>
      <c r="W2093" s="3"/>
      <c r="X2093" s="3"/>
      <c r="Y2093" s="3"/>
      <c r="Z2093" s="4"/>
      <c r="AA2093"/>
      <c r="AB2093"/>
    </row>
    <row r="2094" spans="1:28" s="49" customFormat="1" x14ac:dyDescent="0.15">
      <c r="A2094" s="165"/>
      <c r="B2094" s="93"/>
      <c r="C2094" s="102"/>
      <c r="D2094" s="62"/>
      <c r="E2094" s="102"/>
      <c r="F2094" s="102"/>
      <c r="G2094" s="102"/>
      <c r="H2094" s="177"/>
      <c r="I2094" s="85"/>
      <c r="J2094" s="104"/>
      <c r="K2094" s="144"/>
      <c r="L2094" s="62"/>
      <c r="N2094" s="37"/>
      <c r="O2094" s="37"/>
      <c r="P2094" s="37"/>
      <c r="Q2094" s="3"/>
      <c r="R2094" s="3"/>
      <c r="S2094" s="3"/>
      <c r="T2094" s="3"/>
      <c r="U2094" s="3"/>
      <c r="V2094" s="3"/>
      <c r="W2094" s="3"/>
      <c r="X2094" s="3"/>
      <c r="Y2094" s="3"/>
      <c r="Z2094" s="4"/>
      <c r="AA2094"/>
      <c r="AB2094"/>
    </row>
    <row r="2095" spans="1:28" s="49" customFormat="1" x14ac:dyDescent="0.15">
      <c r="A2095" s="165"/>
      <c r="B2095" s="93"/>
      <c r="C2095" s="102"/>
      <c r="D2095" s="62"/>
      <c r="E2095" s="102"/>
      <c r="F2095" s="102"/>
      <c r="G2095" s="102"/>
      <c r="H2095" s="175"/>
      <c r="I2095" s="85"/>
      <c r="J2095" s="104"/>
      <c r="K2095" s="144"/>
      <c r="L2095" s="62"/>
      <c r="N2095" s="37"/>
      <c r="O2095" s="37"/>
      <c r="P2095" s="37"/>
      <c r="Q2095" s="3"/>
      <c r="R2095" s="3"/>
      <c r="S2095" s="3"/>
      <c r="T2095" s="3"/>
      <c r="U2095" s="3"/>
      <c r="V2095" s="3"/>
      <c r="W2095" s="3"/>
      <c r="X2095" s="3"/>
      <c r="Y2095" s="3"/>
      <c r="Z2095" s="4"/>
      <c r="AA2095"/>
      <c r="AB2095"/>
    </row>
    <row r="2096" spans="1:28" s="49" customFormat="1" x14ac:dyDescent="0.15">
      <c r="A2096" s="165"/>
      <c r="B2096" s="93"/>
      <c r="C2096" s="102"/>
      <c r="D2096" s="62"/>
      <c r="E2096" s="102"/>
      <c r="F2096" s="102"/>
      <c r="G2096" s="102"/>
      <c r="H2096" s="175"/>
      <c r="I2096" s="85"/>
      <c r="J2096" s="104"/>
      <c r="K2096" s="144"/>
      <c r="L2096" s="62"/>
      <c r="N2096" s="37"/>
      <c r="O2096" s="37"/>
      <c r="P2096" s="37"/>
      <c r="Q2096" s="3"/>
      <c r="R2096" s="3"/>
      <c r="S2096" s="3"/>
      <c r="T2096" s="3"/>
      <c r="U2096" s="3"/>
      <c r="V2096" s="3"/>
      <c r="W2096" s="3"/>
      <c r="X2096" s="3"/>
      <c r="Y2096" s="3"/>
      <c r="Z2096" s="4"/>
      <c r="AA2096"/>
      <c r="AB2096"/>
    </row>
    <row r="2097" spans="1:28" s="49" customFormat="1" x14ac:dyDescent="0.15">
      <c r="A2097" s="165"/>
      <c r="B2097" s="93"/>
      <c r="C2097" s="102"/>
      <c r="D2097" s="62"/>
      <c r="E2097" s="102"/>
      <c r="F2097" s="102"/>
      <c r="G2097" s="102"/>
      <c r="H2097" s="175"/>
      <c r="I2097" s="85"/>
      <c r="J2097" s="104"/>
      <c r="K2097" s="144"/>
      <c r="L2097" s="62"/>
      <c r="N2097" s="37"/>
      <c r="O2097" s="37"/>
      <c r="P2097" s="37"/>
      <c r="Q2097" s="3"/>
      <c r="R2097" s="3"/>
      <c r="S2097" s="3"/>
      <c r="T2097" s="3"/>
      <c r="U2097" s="3"/>
      <c r="V2097" s="3"/>
      <c r="W2097" s="3"/>
      <c r="X2097" s="3"/>
      <c r="Y2097" s="3"/>
      <c r="Z2097" s="4"/>
      <c r="AA2097"/>
      <c r="AB2097"/>
    </row>
    <row r="2098" spans="1:28" s="49" customFormat="1" x14ac:dyDescent="0.15">
      <c r="A2098" s="165"/>
      <c r="B2098" s="93"/>
      <c r="C2098" s="102"/>
      <c r="D2098" s="62"/>
      <c r="E2098" s="102"/>
      <c r="F2098" s="102"/>
      <c r="G2098" s="102"/>
      <c r="H2098" s="175"/>
      <c r="I2098" s="85"/>
      <c r="J2098" s="104"/>
      <c r="K2098" s="144"/>
      <c r="L2098" s="62"/>
      <c r="N2098" s="37"/>
      <c r="O2098" s="37"/>
      <c r="P2098" s="37"/>
      <c r="Q2098" s="3"/>
      <c r="R2098" s="3"/>
      <c r="S2098" s="3"/>
      <c r="T2098" s="3"/>
      <c r="U2098" s="3"/>
      <c r="V2098" s="3"/>
      <c r="W2098" s="3"/>
      <c r="X2098" s="3"/>
      <c r="Y2098" s="3"/>
      <c r="Z2098" s="4"/>
      <c r="AA2098"/>
      <c r="AB2098"/>
    </row>
    <row r="2099" spans="1:28" s="49" customFormat="1" x14ac:dyDescent="0.15">
      <c r="A2099" s="165"/>
      <c r="B2099" s="93"/>
      <c r="C2099" s="102"/>
      <c r="D2099" s="62"/>
      <c r="E2099" s="102"/>
      <c r="F2099" s="102"/>
      <c r="G2099" s="102"/>
      <c r="H2099" s="175"/>
      <c r="I2099" s="85"/>
      <c r="J2099" s="98"/>
      <c r="K2099" s="135"/>
      <c r="L2099" s="62"/>
      <c r="N2099" s="37"/>
      <c r="O2099" s="37"/>
      <c r="P2099" s="37"/>
      <c r="Q2099" s="3"/>
      <c r="R2099" s="3"/>
      <c r="S2099" s="3"/>
      <c r="T2099" s="3"/>
      <c r="U2099" s="3"/>
      <c r="V2099" s="3"/>
      <c r="W2099" s="3"/>
      <c r="X2099" s="3"/>
      <c r="Y2099" s="3"/>
      <c r="Z2099" s="4"/>
      <c r="AA2099"/>
      <c r="AB2099"/>
    </row>
    <row r="2100" spans="1:28" s="49" customFormat="1" x14ac:dyDescent="0.15">
      <c r="A2100" s="165"/>
      <c r="B2100" s="93"/>
      <c r="C2100" s="102"/>
      <c r="D2100" s="62"/>
      <c r="E2100" s="102"/>
      <c r="F2100" s="102"/>
      <c r="G2100" s="102"/>
      <c r="H2100" s="175"/>
      <c r="I2100" s="85"/>
      <c r="J2100" s="104"/>
      <c r="K2100" s="144"/>
      <c r="L2100" s="62"/>
      <c r="N2100" s="37"/>
      <c r="O2100" s="37"/>
      <c r="P2100" s="37"/>
      <c r="Q2100" s="3"/>
      <c r="R2100" s="3"/>
      <c r="S2100" s="3"/>
      <c r="T2100" s="3"/>
      <c r="U2100" s="3"/>
      <c r="V2100" s="3"/>
      <c r="W2100" s="3"/>
      <c r="X2100" s="3"/>
      <c r="Y2100" s="3"/>
      <c r="Z2100" s="4"/>
      <c r="AA2100"/>
      <c r="AB2100"/>
    </row>
    <row r="2101" spans="1:28" s="49" customFormat="1" x14ac:dyDescent="0.15">
      <c r="A2101" s="165"/>
      <c r="B2101" s="93"/>
      <c r="C2101" s="102"/>
      <c r="D2101" s="62"/>
      <c r="E2101" s="102"/>
      <c r="F2101" s="102"/>
      <c r="G2101" s="102"/>
      <c r="H2101" s="175"/>
      <c r="I2101" s="85"/>
      <c r="J2101" s="98"/>
      <c r="K2101" s="135"/>
      <c r="L2101" s="62"/>
      <c r="N2101" s="37"/>
      <c r="O2101" s="37"/>
      <c r="P2101" s="37"/>
      <c r="Q2101" s="3"/>
      <c r="R2101" s="3"/>
      <c r="S2101" s="3"/>
      <c r="T2101" s="3"/>
      <c r="U2101" s="3"/>
      <c r="V2101" s="3"/>
      <c r="W2101" s="3"/>
      <c r="X2101" s="3"/>
      <c r="Y2101" s="3"/>
      <c r="Z2101" s="4"/>
      <c r="AA2101"/>
      <c r="AB2101"/>
    </row>
    <row r="2102" spans="1:28" s="49" customFormat="1" x14ac:dyDescent="0.15">
      <c r="A2102" s="165"/>
      <c r="B2102" s="93"/>
      <c r="C2102" s="102"/>
      <c r="D2102" s="62"/>
      <c r="E2102" s="102"/>
      <c r="F2102" s="102"/>
      <c r="G2102" s="102"/>
      <c r="H2102" s="175"/>
      <c r="I2102" s="85"/>
      <c r="J2102" s="104"/>
      <c r="K2102" s="144"/>
      <c r="L2102" s="62"/>
      <c r="N2102" s="37"/>
      <c r="O2102" s="37"/>
      <c r="P2102" s="37"/>
      <c r="Q2102" s="3"/>
      <c r="R2102" s="3"/>
      <c r="S2102" s="3"/>
      <c r="T2102" s="3"/>
      <c r="U2102" s="3"/>
      <c r="V2102" s="3"/>
      <c r="W2102" s="3"/>
      <c r="X2102" s="3"/>
      <c r="Y2102" s="3"/>
      <c r="Z2102" s="4"/>
      <c r="AA2102"/>
      <c r="AB2102"/>
    </row>
    <row r="2103" spans="1:28" s="49" customFormat="1" x14ac:dyDescent="0.15">
      <c r="A2103" s="165"/>
      <c r="B2103" s="93"/>
      <c r="C2103" s="102"/>
      <c r="D2103" s="62"/>
      <c r="E2103" s="102"/>
      <c r="F2103" s="102"/>
      <c r="G2103" s="102"/>
      <c r="H2103" s="175"/>
      <c r="I2103" s="85"/>
      <c r="J2103" s="104"/>
      <c r="K2103" s="144"/>
      <c r="L2103" s="62"/>
      <c r="N2103" s="37"/>
      <c r="O2103" s="37"/>
      <c r="P2103" s="37"/>
      <c r="Q2103" s="3"/>
      <c r="R2103" s="3"/>
      <c r="S2103" s="3"/>
      <c r="T2103" s="3"/>
      <c r="U2103" s="3"/>
      <c r="V2103" s="3"/>
      <c r="W2103" s="3"/>
      <c r="X2103" s="3"/>
      <c r="Y2103" s="3"/>
      <c r="Z2103" s="4"/>
      <c r="AA2103"/>
      <c r="AB2103"/>
    </row>
    <row r="2104" spans="1:28" s="49" customFormat="1" x14ac:dyDescent="0.15">
      <c r="A2104" s="165"/>
      <c r="B2104" s="93"/>
      <c r="C2104" s="102"/>
      <c r="D2104" s="62"/>
      <c r="E2104" s="100"/>
      <c r="F2104" s="102"/>
      <c r="G2104" s="102"/>
      <c r="H2104" s="175"/>
      <c r="I2104" s="85"/>
      <c r="J2104" s="104"/>
      <c r="K2104" s="144"/>
      <c r="L2104" s="62"/>
      <c r="N2104" s="37"/>
      <c r="O2104" s="37"/>
      <c r="P2104" s="37"/>
      <c r="Q2104" s="3"/>
      <c r="R2104" s="3"/>
      <c r="S2104" s="3"/>
      <c r="T2104" s="3"/>
      <c r="U2104" s="3"/>
      <c r="V2104" s="3"/>
      <c r="W2104" s="3"/>
      <c r="X2104" s="3"/>
      <c r="Y2104" s="3"/>
      <c r="Z2104" s="4"/>
      <c r="AA2104"/>
      <c r="AB2104"/>
    </row>
    <row r="2105" spans="1:28" s="49" customFormat="1" x14ac:dyDescent="0.15">
      <c r="A2105" s="165"/>
      <c r="B2105" s="93"/>
      <c r="C2105" s="102"/>
      <c r="D2105" s="62"/>
      <c r="E2105" s="102"/>
      <c r="F2105" s="102"/>
      <c r="G2105" s="102"/>
      <c r="H2105" s="175"/>
      <c r="I2105" s="85"/>
      <c r="J2105" s="104"/>
      <c r="K2105" s="144"/>
      <c r="L2105" s="62"/>
      <c r="N2105" s="37"/>
      <c r="O2105" s="37"/>
      <c r="P2105" s="37"/>
      <c r="Q2105" s="3"/>
      <c r="R2105" s="3"/>
      <c r="S2105" s="3"/>
      <c r="T2105" s="3"/>
      <c r="U2105" s="3"/>
      <c r="V2105" s="3"/>
      <c r="W2105" s="3"/>
      <c r="X2105" s="3"/>
      <c r="Y2105" s="3"/>
      <c r="Z2105" s="4"/>
      <c r="AA2105"/>
      <c r="AB2105"/>
    </row>
    <row r="2106" spans="1:28" s="49" customFormat="1" x14ac:dyDescent="0.15">
      <c r="A2106" s="165"/>
      <c r="B2106" s="93"/>
      <c r="C2106" s="102"/>
      <c r="D2106" s="62"/>
      <c r="E2106" s="102"/>
      <c r="F2106" s="102"/>
      <c r="G2106" s="102"/>
      <c r="H2106" s="175"/>
      <c r="I2106" s="85"/>
      <c r="J2106" s="104"/>
      <c r="K2106" s="144"/>
      <c r="L2106" s="62"/>
      <c r="N2106" s="37"/>
      <c r="O2106" s="37"/>
      <c r="P2106" s="37"/>
      <c r="Q2106" s="3"/>
      <c r="R2106" s="3"/>
      <c r="S2106" s="3"/>
      <c r="T2106" s="3"/>
      <c r="U2106" s="3"/>
      <c r="V2106" s="3"/>
      <c r="W2106" s="3"/>
      <c r="X2106" s="3"/>
      <c r="Y2106" s="3"/>
      <c r="Z2106" s="4"/>
      <c r="AA2106"/>
      <c r="AB2106"/>
    </row>
    <row r="2107" spans="1:28" s="49" customFormat="1" x14ac:dyDescent="0.15">
      <c r="A2107" s="165"/>
      <c r="B2107" s="93"/>
      <c r="C2107" s="102"/>
      <c r="D2107" s="62"/>
      <c r="E2107" s="102"/>
      <c r="F2107" s="102"/>
      <c r="G2107" s="102"/>
      <c r="H2107" s="175"/>
      <c r="I2107" s="85"/>
      <c r="J2107" s="104"/>
      <c r="K2107" s="144"/>
      <c r="L2107" s="62"/>
      <c r="N2107" s="37"/>
      <c r="O2107" s="37"/>
      <c r="P2107" s="37"/>
      <c r="Q2107" s="3"/>
      <c r="R2107" s="3"/>
      <c r="S2107" s="3"/>
      <c r="T2107" s="3"/>
      <c r="U2107" s="3"/>
      <c r="V2107" s="3"/>
      <c r="W2107" s="3"/>
      <c r="X2107" s="3"/>
      <c r="Y2107" s="3"/>
      <c r="Z2107" s="4"/>
      <c r="AA2107"/>
      <c r="AB2107"/>
    </row>
    <row r="2108" spans="1:28" s="49" customFormat="1" x14ac:dyDescent="0.15">
      <c r="A2108" s="165"/>
      <c r="B2108" s="93"/>
      <c r="C2108" s="102"/>
      <c r="D2108" s="62"/>
      <c r="E2108" s="102"/>
      <c r="F2108" s="102"/>
      <c r="G2108" s="102"/>
      <c r="H2108" s="175"/>
      <c r="I2108" s="98"/>
      <c r="J2108" s="98"/>
      <c r="K2108" s="135"/>
      <c r="L2108" s="62"/>
      <c r="N2108" s="37"/>
      <c r="O2108" s="37"/>
      <c r="P2108" s="37"/>
      <c r="Q2108" s="3"/>
      <c r="R2108" s="3"/>
      <c r="S2108" s="3"/>
      <c r="T2108" s="3"/>
      <c r="U2108" s="3"/>
      <c r="V2108" s="3"/>
      <c r="W2108" s="3"/>
      <c r="X2108" s="3"/>
      <c r="Y2108" s="3"/>
      <c r="Z2108" s="4"/>
      <c r="AA2108"/>
      <c r="AB2108"/>
    </row>
    <row r="2109" spans="1:28" s="49" customFormat="1" x14ac:dyDescent="0.15">
      <c r="A2109" s="165"/>
      <c r="B2109" s="93"/>
      <c r="C2109" s="102"/>
      <c r="D2109" s="62"/>
      <c r="E2109" s="102"/>
      <c r="F2109" s="102"/>
      <c r="G2109" s="102"/>
      <c r="H2109" s="175"/>
      <c r="I2109" s="85"/>
      <c r="J2109" s="104"/>
      <c r="K2109" s="144"/>
      <c r="L2109" s="62"/>
      <c r="N2109" s="37"/>
      <c r="O2109" s="37"/>
      <c r="P2109" s="37"/>
      <c r="Q2109" s="3"/>
      <c r="R2109" s="3"/>
      <c r="S2109" s="3"/>
      <c r="T2109" s="3"/>
      <c r="U2109" s="3"/>
      <c r="V2109" s="3"/>
      <c r="W2109" s="3"/>
      <c r="X2109" s="3"/>
      <c r="Y2109" s="3"/>
      <c r="Z2109" s="4"/>
      <c r="AA2109"/>
      <c r="AB2109"/>
    </row>
    <row r="2110" spans="1:28" s="49" customFormat="1" x14ac:dyDescent="0.15">
      <c r="A2110" s="165"/>
      <c r="B2110" s="93"/>
      <c r="C2110" s="102"/>
      <c r="D2110" s="62"/>
      <c r="E2110" s="102"/>
      <c r="F2110" s="102"/>
      <c r="G2110" s="102"/>
      <c r="H2110" s="175"/>
      <c r="I2110" s="85"/>
      <c r="J2110" s="104"/>
      <c r="K2110" s="144"/>
      <c r="L2110" s="62"/>
      <c r="N2110" s="37"/>
      <c r="O2110" s="37"/>
      <c r="P2110" s="37"/>
      <c r="Q2110" s="3"/>
      <c r="R2110" s="3"/>
      <c r="S2110" s="3"/>
      <c r="T2110" s="3"/>
      <c r="U2110" s="3"/>
      <c r="V2110" s="3"/>
      <c r="W2110" s="3"/>
      <c r="X2110" s="3"/>
      <c r="Y2110" s="3"/>
      <c r="Z2110" s="4"/>
      <c r="AA2110"/>
      <c r="AB2110"/>
    </row>
    <row r="2111" spans="1:28" s="49" customFormat="1" x14ac:dyDescent="0.15">
      <c r="A2111" s="165"/>
      <c r="B2111" s="93"/>
      <c r="C2111" s="102"/>
      <c r="D2111" s="62"/>
      <c r="E2111" s="102"/>
      <c r="F2111" s="102"/>
      <c r="G2111" s="102"/>
      <c r="H2111" s="175"/>
      <c r="I2111" s="85"/>
      <c r="J2111" s="104"/>
      <c r="K2111" s="144"/>
      <c r="L2111" s="62"/>
      <c r="N2111" s="37"/>
      <c r="O2111" s="37"/>
      <c r="P2111" s="37"/>
      <c r="Q2111" s="3"/>
      <c r="R2111" s="3"/>
      <c r="S2111" s="3"/>
      <c r="T2111" s="3"/>
      <c r="U2111" s="3"/>
      <c r="V2111" s="3"/>
      <c r="W2111" s="3"/>
      <c r="X2111" s="3"/>
      <c r="Y2111" s="3"/>
      <c r="Z2111" s="4"/>
      <c r="AA2111"/>
      <c r="AB2111"/>
    </row>
    <row r="2112" spans="1:28" s="49" customFormat="1" x14ac:dyDescent="0.15">
      <c r="A2112" s="165"/>
      <c r="B2112" s="93"/>
      <c r="C2112" s="102"/>
      <c r="D2112" s="62"/>
      <c r="E2112" s="102"/>
      <c r="F2112" s="102"/>
      <c r="G2112" s="102"/>
      <c r="H2112" s="175"/>
      <c r="I2112" s="85"/>
      <c r="J2112" s="104"/>
      <c r="K2112" s="144"/>
      <c r="L2112" s="62"/>
      <c r="N2112" s="37"/>
      <c r="O2112" s="37"/>
      <c r="P2112" s="37"/>
      <c r="Q2112" s="3"/>
      <c r="R2112" s="3"/>
      <c r="S2112" s="3"/>
      <c r="T2112" s="3"/>
      <c r="U2112" s="3"/>
      <c r="V2112" s="3"/>
      <c r="W2112" s="3"/>
      <c r="X2112" s="3"/>
      <c r="Y2112" s="3"/>
      <c r="Z2112" s="4"/>
      <c r="AA2112"/>
      <c r="AB2112"/>
    </row>
    <row r="2113" spans="1:28" s="49" customFormat="1" x14ac:dyDescent="0.15">
      <c r="A2113" s="165"/>
      <c r="B2113" s="93"/>
      <c r="C2113" s="102"/>
      <c r="D2113" s="62"/>
      <c r="E2113" s="102"/>
      <c r="F2113" s="102"/>
      <c r="G2113" s="102"/>
      <c r="H2113" s="175"/>
      <c r="I2113" s="98"/>
      <c r="J2113" s="98"/>
      <c r="K2113" s="135"/>
      <c r="L2113" s="62"/>
      <c r="N2113" s="37"/>
      <c r="O2113" s="37"/>
      <c r="P2113" s="37"/>
      <c r="Q2113" s="3"/>
      <c r="R2113" s="3"/>
      <c r="S2113" s="3"/>
      <c r="T2113" s="3"/>
      <c r="U2113" s="3"/>
      <c r="V2113" s="3"/>
      <c r="W2113" s="3"/>
      <c r="X2113" s="3"/>
      <c r="Y2113" s="3"/>
      <c r="Z2113" s="4"/>
      <c r="AA2113"/>
      <c r="AB2113"/>
    </row>
    <row r="2114" spans="1:28" s="49" customFormat="1" x14ac:dyDescent="0.15">
      <c r="A2114" s="165"/>
      <c r="B2114" s="93"/>
      <c r="C2114" s="102"/>
      <c r="D2114" s="62"/>
      <c r="E2114" s="102"/>
      <c r="F2114" s="102"/>
      <c r="G2114" s="102"/>
      <c r="H2114" s="175"/>
      <c r="I2114" s="98"/>
      <c r="J2114" s="98"/>
      <c r="K2114" s="135"/>
      <c r="L2114" s="62"/>
      <c r="N2114" s="37"/>
      <c r="O2114" s="37"/>
      <c r="P2114" s="37"/>
      <c r="Q2114" s="3"/>
      <c r="R2114" s="3"/>
      <c r="S2114" s="3"/>
      <c r="T2114" s="3"/>
      <c r="U2114" s="3"/>
      <c r="V2114" s="3"/>
      <c r="W2114" s="3"/>
      <c r="X2114" s="3"/>
      <c r="Y2114" s="3"/>
      <c r="Z2114" s="4"/>
      <c r="AA2114"/>
      <c r="AB2114"/>
    </row>
    <row r="2115" spans="1:28" s="49" customFormat="1" x14ac:dyDescent="0.15">
      <c r="A2115" s="165"/>
      <c r="B2115" s="93"/>
      <c r="C2115" s="102"/>
      <c r="D2115" s="62"/>
      <c r="E2115" s="102"/>
      <c r="F2115" s="102"/>
      <c r="G2115" s="102"/>
      <c r="H2115" s="175"/>
      <c r="I2115" s="85"/>
      <c r="J2115" s="104"/>
      <c r="K2115" s="144"/>
      <c r="L2115" s="62"/>
      <c r="N2115" s="37"/>
      <c r="O2115" s="37"/>
      <c r="P2115" s="37"/>
      <c r="Q2115" s="3"/>
      <c r="R2115" s="3"/>
      <c r="S2115" s="3"/>
      <c r="T2115" s="3"/>
      <c r="U2115" s="3"/>
      <c r="V2115" s="3"/>
      <c r="W2115" s="3"/>
      <c r="X2115" s="3"/>
      <c r="Y2115" s="3"/>
      <c r="Z2115" s="4"/>
      <c r="AA2115"/>
      <c r="AB2115"/>
    </row>
    <row r="2116" spans="1:28" s="49" customFormat="1" x14ac:dyDescent="0.15">
      <c r="A2116" s="165"/>
      <c r="B2116" s="93"/>
      <c r="C2116" s="102"/>
      <c r="D2116" s="62"/>
      <c r="E2116" s="102"/>
      <c r="F2116" s="102"/>
      <c r="G2116" s="102"/>
      <c r="H2116" s="175"/>
      <c r="I2116" s="85"/>
      <c r="J2116" s="104"/>
      <c r="K2116" s="144"/>
      <c r="L2116" s="62"/>
      <c r="N2116" s="37"/>
      <c r="O2116" s="37"/>
      <c r="P2116" s="37"/>
      <c r="Q2116" s="3"/>
      <c r="R2116" s="3"/>
      <c r="S2116" s="3"/>
      <c r="T2116" s="3"/>
      <c r="U2116" s="3"/>
      <c r="V2116" s="3"/>
      <c r="W2116" s="3"/>
      <c r="X2116" s="3"/>
      <c r="Y2116" s="3"/>
      <c r="Z2116" s="4"/>
      <c r="AA2116"/>
      <c r="AB2116"/>
    </row>
    <row r="2117" spans="1:28" s="49" customFormat="1" x14ac:dyDescent="0.15">
      <c r="A2117" s="165"/>
      <c r="B2117" s="93"/>
      <c r="C2117" s="102"/>
      <c r="D2117" s="62"/>
      <c r="E2117" s="102"/>
      <c r="F2117" s="102"/>
      <c r="G2117" s="102"/>
      <c r="H2117" s="175"/>
      <c r="I2117" s="98"/>
      <c r="J2117" s="98"/>
      <c r="K2117" s="135"/>
      <c r="L2117" s="62"/>
      <c r="N2117" s="37"/>
      <c r="O2117" s="37"/>
      <c r="P2117" s="37"/>
      <c r="Q2117" s="3"/>
      <c r="R2117" s="3"/>
      <c r="S2117" s="3"/>
      <c r="T2117" s="3"/>
      <c r="U2117" s="3"/>
      <c r="V2117" s="3"/>
      <c r="W2117" s="3"/>
      <c r="X2117" s="3"/>
      <c r="Y2117" s="3"/>
      <c r="Z2117" s="4"/>
      <c r="AA2117"/>
      <c r="AB2117"/>
    </row>
    <row r="2118" spans="1:28" s="49" customFormat="1" x14ac:dyDescent="0.15">
      <c r="A2118" s="165"/>
      <c r="B2118" s="93"/>
      <c r="C2118" s="102"/>
      <c r="D2118" s="62"/>
      <c r="E2118" s="102"/>
      <c r="F2118" s="102"/>
      <c r="G2118" s="102"/>
      <c r="H2118" s="175"/>
      <c r="I2118" s="85"/>
      <c r="J2118" s="104"/>
      <c r="K2118" s="144"/>
      <c r="L2118" s="62"/>
      <c r="N2118" s="37"/>
      <c r="O2118" s="37"/>
      <c r="P2118" s="37"/>
      <c r="Q2118" s="3"/>
      <c r="R2118" s="3"/>
      <c r="S2118" s="3"/>
      <c r="T2118" s="3"/>
      <c r="U2118" s="3"/>
      <c r="V2118" s="3"/>
      <c r="W2118" s="3"/>
      <c r="X2118" s="3"/>
      <c r="Y2118" s="3"/>
      <c r="Z2118" s="4"/>
      <c r="AA2118"/>
      <c r="AB2118"/>
    </row>
    <row r="2119" spans="1:28" s="49" customFormat="1" x14ac:dyDescent="0.15">
      <c r="A2119" s="165"/>
      <c r="B2119" s="93"/>
      <c r="C2119" s="102"/>
      <c r="D2119" s="62"/>
      <c r="E2119" s="102"/>
      <c r="F2119" s="102"/>
      <c r="G2119" s="102"/>
      <c r="H2119" s="175"/>
      <c r="I2119" s="85"/>
      <c r="J2119" s="104"/>
      <c r="K2119" s="144"/>
      <c r="L2119" s="62"/>
      <c r="N2119" s="37"/>
      <c r="O2119" s="37"/>
      <c r="P2119" s="37"/>
      <c r="Q2119" s="3"/>
      <c r="R2119" s="3"/>
      <c r="S2119" s="3"/>
      <c r="T2119" s="3"/>
      <c r="U2119" s="3"/>
      <c r="V2119" s="3"/>
      <c r="W2119" s="3"/>
      <c r="X2119" s="3"/>
      <c r="Y2119" s="3"/>
      <c r="Z2119" s="4"/>
      <c r="AA2119"/>
      <c r="AB2119"/>
    </row>
    <row r="2120" spans="1:28" s="49" customFormat="1" x14ac:dyDescent="0.15">
      <c r="A2120" s="165"/>
      <c r="B2120" s="93"/>
      <c r="C2120" s="102"/>
      <c r="D2120" s="62"/>
      <c r="E2120" s="102"/>
      <c r="F2120" s="102"/>
      <c r="G2120" s="102"/>
      <c r="H2120" s="175"/>
      <c r="I2120" s="85"/>
      <c r="J2120" s="104"/>
      <c r="K2120" s="144"/>
      <c r="L2120" s="62"/>
      <c r="N2120" s="37"/>
      <c r="O2120" s="37"/>
      <c r="P2120" s="37"/>
      <c r="Q2120" s="3"/>
      <c r="R2120" s="3"/>
      <c r="S2120" s="3"/>
      <c r="T2120" s="3"/>
      <c r="U2120" s="3"/>
      <c r="V2120" s="3"/>
      <c r="W2120" s="3"/>
      <c r="X2120" s="3"/>
      <c r="Y2120" s="3"/>
      <c r="Z2120" s="4"/>
      <c r="AA2120"/>
      <c r="AB2120"/>
    </row>
    <row r="2121" spans="1:28" s="49" customFormat="1" x14ac:dyDescent="0.15">
      <c r="A2121" s="165"/>
      <c r="B2121" s="93"/>
      <c r="C2121" s="102"/>
      <c r="D2121" s="62"/>
      <c r="E2121" s="102"/>
      <c r="F2121" s="102"/>
      <c r="G2121" s="102"/>
      <c r="H2121" s="175"/>
      <c r="I2121" s="98"/>
      <c r="J2121" s="98"/>
      <c r="K2121" s="135"/>
      <c r="L2121" s="62"/>
      <c r="N2121" s="37"/>
      <c r="O2121" s="37"/>
      <c r="P2121" s="37"/>
      <c r="Q2121" s="3"/>
      <c r="R2121" s="3"/>
      <c r="S2121" s="3"/>
      <c r="T2121" s="3"/>
      <c r="U2121" s="3"/>
      <c r="V2121" s="3"/>
      <c r="W2121" s="3"/>
      <c r="X2121" s="3"/>
      <c r="Y2121" s="3"/>
      <c r="Z2121" s="4"/>
      <c r="AA2121"/>
      <c r="AB2121"/>
    </row>
    <row r="2122" spans="1:28" s="49" customFormat="1" x14ac:dyDescent="0.15">
      <c r="A2122" s="165"/>
      <c r="B2122" s="93"/>
      <c r="C2122" s="102"/>
      <c r="D2122" s="62"/>
      <c r="E2122" s="102"/>
      <c r="F2122" s="102"/>
      <c r="G2122" s="102"/>
      <c r="H2122" s="177"/>
      <c r="I2122" s="98"/>
      <c r="J2122" s="98"/>
      <c r="K2122" s="135"/>
      <c r="L2122" s="62"/>
      <c r="N2122" s="37"/>
      <c r="O2122" s="37"/>
      <c r="P2122" s="37"/>
      <c r="Q2122" s="3"/>
      <c r="R2122" s="3"/>
      <c r="S2122" s="3"/>
      <c r="T2122" s="3"/>
      <c r="U2122" s="3"/>
      <c r="V2122" s="3"/>
      <c r="W2122" s="3"/>
      <c r="X2122" s="3"/>
      <c r="Y2122" s="3"/>
      <c r="Z2122" s="4"/>
      <c r="AA2122"/>
      <c r="AB2122"/>
    </row>
    <row r="2123" spans="1:28" s="49" customFormat="1" x14ac:dyDescent="0.15">
      <c r="A2123" s="165"/>
      <c r="B2123" s="93"/>
      <c r="C2123" s="102"/>
      <c r="D2123" s="62"/>
      <c r="E2123" s="102"/>
      <c r="F2123" s="102"/>
      <c r="G2123" s="102"/>
      <c r="H2123" s="175"/>
      <c r="I2123" s="85"/>
      <c r="J2123" s="104"/>
      <c r="K2123" s="144"/>
      <c r="L2123" s="62"/>
      <c r="N2123" s="37"/>
      <c r="O2123" s="37"/>
      <c r="P2123" s="37"/>
      <c r="Q2123" s="3"/>
      <c r="R2123" s="3"/>
      <c r="S2123" s="3"/>
      <c r="T2123" s="3"/>
      <c r="U2123" s="3"/>
      <c r="V2123" s="3"/>
      <c r="W2123" s="3"/>
      <c r="X2123" s="3"/>
      <c r="Y2123" s="3"/>
      <c r="Z2123" s="4"/>
      <c r="AA2123"/>
      <c r="AB2123"/>
    </row>
    <row r="2124" spans="1:28" s="49" customFormat="1" x14ac:dyDescent="0.15">
      <c r="A2124" s="165"/>
      <c r="B2124" s="93"/>
      <c r="C2124" s="102"/>
      <c r="D2124" s="62"/>
      <c r="E2124" s="102"/>
      <c r="F2124" s="102"/>
      <c r="G2124" s="102"/>
      <c r="H2124" s="175"/>
      <c r="I2124" s="85"/>
      <c r="J2124" s="104"/>
      <c r="K2124" s="144"/>
      <c r="L2124" s="62"/>
      <c r="N2124" s="37"/>
      <c r="O2124" s="37"/>
      <c r="P2124" s="37"/>
      <c r="Q2124" s="3"/>
      <c r="R2124" s="3"/>
      <c r="S2124" s="3"/>
      <c r="T2124" s="3"/>
      <c r="U2124" s="3"/>
      <c r="V2124" s="3"/>
      <c r="W2124" s="3"/>
      <c r="X2124" s="3"/>
      <c r="Y2124" s="3"/>
      <c r="Z2124" s="4"/>
      <c r="AA2124"/>
      <c r="AB2124"/>
    </row>
    <row r="2125" spans="1:28" s="49" customFormat="1" x14ac:dyDescent="0.15">
      <c r="A2125" s="165"/>
      <c r="B2125" s="93"/>
      <c r="C2125" s="102"/>
      <c r="D2125" s="62"/>
      <c r="E2125" s="102"/>
      <c r="F2125" s="102"/>
      <c r="G2125" s="102"/>
      <c r="H2125" s="175"/>
      <c r="I2125" s="85"/>
      <c r="J2125" s="104"/>
      <c r="K2125" s="144"/>
      <c r="L2125" s="62"/>
      <c r="N2125" s="37"/>
      <c r="O2125" s="37"/>
      <c r="P2125" s="37"/>
      <c r="Q2125" s="3"/>
      <c r="R2125" s="3"/>
      <c r="S2125" s="3"/>
      <c r="T2125" s="3"/>
      <c r="U2125" s="3"/>
      <c r="V2125" s="3"/>
      <c r="W2125" s="3"/>
      <c r="X2125" s="3"/>
      <c r="Y2125" s="3"/>
      <c r="Z2125" s="4"/>
      <c r="AA2125"/>
      <c r="AB2125"/>
    </row>
    <row r="2126" spans="1:28" s="3" customFormat="1" x14ac:dyDescent="0.15">
      <c r="A2126" s="165"/>
      <c r="B2126" s="93"/>
      <c r="C2126" s="102"/>
      <c r="D2126" s="62"/>
      <c r="E2126" s="102"/>
      <c r="F2126" s="102"/>
      <c r="G2126" s="102"/>
      <c r="H2126" s="175"/>
      <c r="I2126" s="85"/>
      <c r="J2126" s="104"/>
      <c r="K2126" s="144"/>
      <c r="L2126" s="62"/>
      <c r="M2126" s="49"/>
      <c r="N2126" s="37"/>
      <c r="O2126" s="37"/>
      <c r="P2126" s="37"/>
      <c r="Z2126" s="4"/>
      <c r="AA2126"/>
      <c r="AB2126"/>
    </row>
    <row r="2127" spans="1:28" s="3" customFormat="1" x14ac:dyDescent="0.15">
      <c r="A2127" s="165"/>
      <c r="B2127" s="93"/>
      <c r="C2127" s="102"/>
      <c r="D2127" s="62"/>
      <c r="E2127" s="102"/>
      <c r="F2127" s="102"/>
      <c r="G2127" s="102"/>
      <c r="H2127" s="175"/>
      <c r="I2127" s="85"/>
      <c r="J2127" s="104"/>
      <c r="K2127" s="144"/>
      <c r="L2127" s="62"/>
      <c r="M2127" s="49"/>
      <c r="N2127" s="37"/>
      <c r="O2127" s="37"/>
      <c r="P2127" s="37"/>
      <c r="Z2127" s="4"/>
      <c r="AA2127"/>
      <c r="AB2127"/>
    </row>
    <row r="2128" spans="1:28" s="3" customFormat="1" x14ac:dyDescent="0.15">
      <c r="A2128" s="165"/>
      <c r="B2128" s="93"/>
      <c r="C2128" s="102"/>
      <c r="D2128" s="62"/>
      <c r="E2128" s="102"/>
      <c r="F2128" s="102"/>
      <c r="G2128" s="102"/>
      <c r="H2128" s="175"/>
      <c r="I2128" s="85"/>
      <c r="J2128" s="104"/>
      <c r="K2128" s="144"/>
      <c r="L2128" s="62"/>
      <c r="M2128" s="49"/>
      <c r="N2128" s="37"/>
      <c r="O2128" s="37"/>
      <c r="P2128" s="37"/>
      <c r="Z2128" s="4"/>
      <c r="AA2128"/>
      <c r="AB2128"/>
    </row>
    <row r="2129" spans="1:28" s="3" customFormat="1" x14ac:dyDescent="0.15">
      <c r="A2129" s="165"/>
      <c r="B2129" s="93"/>
      <c r="C2129" s="102"/>
      <c r="D2129" s="62"/>
      <c r="E2129" s="102"/>
      <c r="F2129" s="102"/>
      <c r="G2129" s="102"/>
      <c r="H2129" s="175"/>
      <c r="I2129" s="85"/>
      <c r="J2129" s="104"/>
      <c r="K2129" s="144"/>
      <c r="L2129" s="62"/>
      <c r="M2129" s="49"/>
      <c r="N2129" s="37"/>
      <c r="O2129" s="37"/>
      <c r="P2129" s="37"/>
      <c r="Z2129" s="4"/>
      <c r="AA2129"/>
      <c r="AB2129"/>
    </row>
    <row r="2130" spans="1:28" s="3" customFormat="1" x14ac:dyDescent="0.15">
      <c r="A2130" s="165"/>
      <c r="B2130" s="97"/>
      <c r="C2130" s="107"/>
      <c r="D2130" s="62"/>
      <c r="E2130" s="107"/>
      <c r="F2130" s="107"/>
      <c r="G2130" s="107"/>
      <c r="H2130" s="179"/>
      <c r="I2130" s="103"/>
      <c r="J2130" s="104"/>
      <c r="K2130" s="143"/>
      <c r="L2130" s="61"/>
      <c r="M2130" s="35"/>
      <c r="N2130" s="35"/>
      <c r="O2130" s="35"/>
      <c r="P2130" s="35"/>
      <c r="Z2130" s="4"/>
      <c r="AA2130"/>
      <c r="AB2130"/>
    </row>
    <row r="2131" spans="1:28" s="3" customFormat="1" x14ac:dyDescent="0.15">
      <c r="A2131" s="165"/>
      <c r="B2131" s="93"/>
      <c r="C2131" s="102"/>
      <c r="D2131" s="62"/>
      <c r="E2131" s="102"/>
      <c r="F2131" s="102"/>
      <c r="G2131" s="102"/>
      <c r="H2131" s="175"/>
      <c r="I2131" s="98"/>
      <c r="J2131" s="98"/>
      <c r="K2131" s="135"/>
      <c r="L2131" s="62"/>
      <c r="M2131" s="49"/>
      <c r="N2131" s="37"/>
      <c r="O2131" s="37"/>
      <c r="P2131" s="37"/>
      <c r="Z2131" s="4"/>
      <c r="AA2131"/>
      <c r="AB2131"/>
    </row>
    <row r="2132" spans="1:28" s="3" customFormat="1" x14ac:dyDescent="0.15">
      <c r="A2132" s="165"/>
      <c r="B2132" s="93"/>
      <c r="C2132" s="102"/>
      <c r="D2132" s="62"/>
      <c r="E2132" s="102"/>
      <c r="F2132" s="102"/>
      <c r="G2132" s="102"/>
      <c r="H2132" s="175"/>
      <c r="I2132" s="98"/>
      <c r="J2132" s="98"/>
      <c r="K2132" s="135"/>
      <c r="L2132" s="62"/>
      <c r="M2132" s="49"/>
      <c r="N2132" s="37"/>
      <c r="O2132" s="37"/>
      <c r="P2132" s="37"/>
      <c r="Z2132" s="4"/>
      <c r="AA2132"/>
      <c r="AB2132"/>
    </row>
    <row r="2133" spans="1:28" s="3" customFormat="1" x14ac:dyDescent="0.15">
      <c r="A2133" s="165"/>
      <c r="B2133" s="93"/>
      <c r="C2133" s="102"/>
      <c r="D2133" s="62"/>
      <c r="E2133" s="102"/>
      <c r="F2133" s="102"/>
      <c r="G2133" s="102"/>
      <c r="H2133" s="175"/>
      <c r="I2133" s="85"/>
      <c r="J2133" s="104"/>
      <c r="K2133" s="144"/>
      <c r="L2133" s="62"/>
      <c r="M2133" s="49"/>
      <c r="N2133" s="37"/>
      <c r="O2133" s="37"/>
      <c r="P2133" s="37"/>
      <c r="Z2133" s="4"/>
      <c r="AA2133"/>
      <c r="AB2133"/>
    </row>
    <row r="2134" spans="1:28" s="3" customFormat="1" x14ac:dyDescent="0.15">
      <c r="A2134" s="165"/>
      <c r="B2134" s="93"/>
      <c r="C2134" s="102"/>
      <c r="D2134" s="62"/>
      <c r="E2134" s="102"/>
      <c r="F2134" s="102"/>
      <c r="G2134" s="102"/>
      <c r="H2134" s="175"/>
      <c r="I2134" s="85"/>
      <c r="J2134" s="104"/>
      <c r="K2134" s="144"/>
      <c r="L2134" s="62"/>
      <c r="M2134" s="49"/>
      <c r="N2134" s="37"/>
      <c r="O2134" s="37"/>
      <c r="P2134" s="37"/>
      <c r="Z2134" s="4"/>
      <c r="AA2134"/>
      <c r="AB2134"/>
    </row>
    <row r="2135" spans="1:28" s="3" customFormat="1" x14ac:dyDescent="0.15">
      <c r="A2135" s="165"/>
      <c r="B2135" s="93"/>
      <c r="C2135" s="102"/>
      <c r="D2135" s="62"/>
      <c r="E2135" s="102"/>
      <c r="F2135" s="102"/>
      <c r="G2135" s="102"/>
      <c r="H2135" s="175"/>
      <c r="I2135" s="98"/>
      <c r="J2135" s="98"/>
      <c r="K2135" s="135"/>
      <c r="L2135" s="62"/>
      <c r="M2135" s="49"/>
      <c r="N2135" s="37"/>
      <c r="O2135" s="37"/>
      <c r="P2135" s="37"/>
      <c r="Z2135" s="4"/>
      <c r="AA2135"/>
      <c r="AB2135"/>
    </row>
    <row r="2136" spans="1:28" s="3" customFormat="1" x14ac:dyDescent="0.15">
      <c r="A2136" s="167"/>
      <c r="B2136" s="87"/>
      <c r="C2136" s="88"/>
      <c r="D2136" s="86"/>
      <c r="E2136" s="86"/>
      <c r="F2136" s="86"/>
      <c r="G2136" s="86"/>
      <c r="H2136" s="87"/>
      <c r="I2136" s="85"/>
      <c r="J2136" s="89"/>
      <c r="K2136" s="132"/>
      <c r="L2136" s="68"/>
      <c r="M2136" s="49"/>
      <c r="N2136" s="37"/>
      <c r="O2136" s="37"/>
      <c r="P2136" s="37"/>
      <c r="Z2136" s="4"/>
      <c r="AA2136"/>
      <c r="AB2136"/>
    </row>
    <row r="2137" spans="1:28" s="3" customFormat="1" x14ac:dyDescent="0.15">
      <c r="A2137" s="167"/>
      <c r="B2137" s="87"/>
      <c r="C2137" s="88"/>
      <c r="D2137" s="86"/>
      <c r="E2137" s="86"/>
      <c r="F2137" s="86"/>
      <c r="G2137" s="86"/>
      <c r="H2137" s="87"/>
      <c r="I2137" s="85"/>
      <c r="J2137" s="89"/>
      <c r="K2137" s="132"/>
      <c r="L2137" s="68"/>
      <c r="M2137" s="49"/>
      <c r="N2137" s="37"/>
      <c r="O2137" s="37"/>
      <c r="P2137" s="37"/>
      <c r="Z2137" s="4"/>
      <c r="AA2137"/>
      <c r="AB2137"/>
    </row>
    <row r="2138" spans="1:28" s="3" customFormat="1" x14ac:dyDescent="0.15">
      <c r="A2138" s="167"/>
      <c r="B2138" s="87"/>
      <c r="C2138" s="88"/>
      <c r="D2138" s="86"/>
      <c r="E2138" s="86"/>
      <c r="F2138" s="86"/>
      <c r="G2138" s="86"/>
      <c r="H2138" s="87"/>
      <c r="I2138" s="85"/>
      <c r="J2138" s="89"/>
      <c r="K2138" s="135"/>
      <c r="L2138" s="61"/>
      <c r="M2138" s="49"/>
      <c r="N2138" s="37"/>
      <c r="O2138" s="37"/>
      <c r="P2138" s="37"/>
      <c r="Z2138" s="4"/>
      <c r="AA2138"/>
      <c r="AB2138"/>
    </row>
    <row r="2139" spans="1:28" s="3" customFormat="1" x14ac:dyDescent="0.15">
      <c r="A2139" s="167"/>
      <c r="B2139" s="87"/>
      <c r="C2139" s="88"/>
      <c r="D2139" s="86"/>
      <c r="E2139" s="86"/>
      <c r="F2139" s="86"/>
      <c r="G2139" s="86"/>
      <c r="H2139" s="87"/>
      <c r="I2139" s="85"/>
      <c r="J2139" s="89"/>
      <c r="K2139" s="132"/>
      <c r="L2139" s="61"/>
      <c r="M2139" s="49"/>
      <c r="N2139" s="37"/>
      <c r="O2139" s="37"/>
      <c r="P2139" s="37"/>
      <c r="Z2139" s="4"/>
      <c r="AA2139"/>
      <c r="AB2139"/>
    </row>
    <row r="2140" spans="1:28" s="3" customFormat="1" x14ac:dyDescent="0.15">
      <c r="A2140" s="167"/>
      <c r="B2140" s="93"/>
      <c r="C2140" s="70"/>
      <c r="D2140" s="86"/>
      <c r="E2140" s="70"/>
      <c r="F2140" s="70"/>
      <c r="G2140" s="70"/>
      <c r="H2140" s="93"/>
      <c r="I2140" s="85"/>
      <c r="J2140" s="85"/>
      <c r="K2140" s="131"/>
      <c r="L2140" s="61"/>
      <c r="M2140" s="35"/>
      <c r="N2140" s="37"/>
      <c r="O2140" s="37"/>
      <c r="P2140" s="37"/>
      <c r="Z2140" s="4"/>
      <c r="AA2140"/>
      <c r="AB2140"/>
    </row>
    <row r="2141" spans="1:28" s="3" customFormat="1" x14ac:dyDescent="0.15">
      <c r="A2141" s="166"/>
      <c r="B2141" s="82"/>
      <c r="C2141" s="70"/>
      <c r="D2141" s="70"/>
      <c r="E2141" s="70"/>
      <c r="F2141" s="70"/>
      <c r="G2141" s="70"/>
      <c r="H2141" s="93"/>
      <c r="I2141" s="85"/>
      <c r="J2141" s="85"/>
      <c r="K2141" s="131"/>
      <c r="L2141" s="60"/>
      <c r="M2141" s="49"/>
      <c r="N2141" s="37"/>
      <c r="O2141" s="37"/>
      <c r="P2141" s="37"/>
      <c r="Z2141" s="4"/>
      <c r="AA2141"/>
      <c r="AB2141"/>
    </row>
    <row r="2142" spans="1:28" s="3" customFormat="1" x14ac:dyDescent="0.15">
      <c r="A2142" s="166"/>
      <c r="B2142" s="82"/>
      <c r="C2142" s="70"/>
      <c r="D2142" s="70"/>
      <c r="E2142" s="70"/>
      <c r="F2142" s="70"/>
      <c r="G2142" s="70"/>
      <c r="H2142" s="93"/>
      <c r="I2142" s="85"/>
      <c r="J2142" s="85"/>
      <c r="K2142" s="131"/>
      <c r="L2142" s="60"/>
      <c r="M2142" s="49"/>
      <c r="N2142" s="35"/>
      <c r="O2142" s="37"/>
      <c r="P2142" s="37"/>
      <c r="Z2142" s="4"/>
      <c r="AA2142"/>
      <c r="AB2142"/>
    </row>
    <row r="2143" spans="1:28" s="3" customFormat="1" x14ac:dyDescent="0.15">
      <c r="A2143" s="166"/>
      <c r="B2143" s="82"/>
      <c r="C2143" s="70"/>
      <c r="D2143" s="70"/>
      <c r="E2143" s="70"/>
      <c r="F2143" s="70"/>
      <c r="G2143" s="70"/>
      <c r="H2143" s="93"/>
      <c r="I2143" s="85"/>
      <c r="J2143" s="85"/>
      <c r="K2143" s="131"/>
      <c r="L2143" s="60"/>
      <c r="M2143" s="49"/>
      <c r="N2143" s="35"/>
      <c r="O2143" s="37"/>
      <c r="P2143" s="37"/>
      <c r="Z2143" s="4"/>
      <c r="AA2143"/>
      <c r="AB2143"/>
    </row>
    <row r="2144" spans="1:28" s="3" customFormat="1" x14ac:dyDescent="0.15">
      <c r="A2144" s="166"/>
      <c r="B2144" s="82"/>
      <c r="C2144" s="70"/>
      <c r="D2144" s="70"/>
      <c r="E2144" s="70"/>
      <c r="F2144" s="70"/>
      <c r="G2144" s="70"/>
      <c r="H2144" s="93"/>
      <c r="I2144" s="85"/>
      <c r="J2144" s="85"/>
      <c r="K2144" s="131"/>
      <c r="L2144" s="60"/>
      <c r="M2144" s="49"/>
      <c r="N2144" s="37"/>
      <c r="O2144" s="37"/>
      <c r="P2144" s="37"/>
      <c r="Z2144" s="4"/>
      <c r="AA2144"/>
      <c r="AB2144"/>
    </row>
    <row r="2145" spans="1:28" s="3" customFormat="1" x14ac:dyDescent="0.15">
      <c r="A2145" s="166"/>
      <c r="B2145" s="82"/>
      <c r="C2145" s="70"/>
      <c r="D2145" s="70"/>
      <c r="E2145" s="70"/>
      <c r="F2145" s="70"/>
      <c r="G2145" s="70"/>
      <c r="H2145" s="93"/>
      <c r="I2145" s="85"/>
      <c r="J2145" s="85"/>
      <c r="K2145" s="131"/>
      <c r="L2145" s="60"/>
      <c r="M2145" s="49"/>
      <c r="N2145" s="37"/>
      <c r="O2145" s="37"/>
      <c r="P2145" s="37"/>
      <c r="Z2145" s="4"/>
      <c r="AA2145"/>
      <c r="AB2145"/>
    </row>
    <row r="2146" spans="1:28" s="3" customFormat="1" x14ac:dyDescent="0.15">
      <c r="A2146" s="166"/>
      <c r="B2146" s="82"/>
      <c r="C2146" s="70"/>
      <c r="D2146" s="70"/>
      <c r="E2146" s="70"/>
      <c r="F2146" s="70"/>
      <c r="G2146" s="70"/>
      <c r="H2146" s="93"/>
      <c r="I2146" s="85"/>
      <c r="J2146" s="85"/>
      <c r="K2146" s="131"/>
      <c r="L2146" s="60"/>
      <c r="M2146" s="49"/>
      <c r="N2146" s="37"/>
      <c r="O2146" s="37"/>
      <c r="P2146" s="37"/>
      <c r="Z2146" s="4"/>
      <c r="AA2146"/>
      <c r="AB2146"/>
    </row>
    <row r="2147" spans="1:28" s="3" customFormat="1" x14ac:dyDescent="0.15">
      <c r="A2147" s="166"/>
      <c r="B2147" s="82"/>
      <c r="C2147" s="70"/>
      <c r="D2147" s="70"/>
      <c r="E2147" s="70"/>
      <c r="F2147" s="70"/>
      <c r="G2147" s="70"/>
      <c r="H2147" s="93"/>
      <c r="I2147" s="85"/>
      <c r="J2147" s="85"/>
      <c r="K2147" s="131"/>
      <c r="L2147" s="60"/>
      <c r="M2147" s="49"/>
      <c r="N2147" s="37"/>
      <c r="O2147" s="37"/>
      <c r="P2147" s="37"/>
      <c r="Z2147" s="4"/>
      <c r="AA2147"/>
      <c r="AB2147"/>
    </row>
    <row r="2148" spans="1:28" s="3" customFormat="1" x14ac:dyDescent="0.15">
      <c r="A2148" s="166"/>
      <c r="B2148" s="82"/>
      <c r="C2148" s="70"/>
      <c r="D2148" s="70"/>
      <c r="E2148" s="70"/>
      <c r="F2148" s="70"/>
      <c r="G2148" s="70"/>
      <c r="H2148" s="93"/>
      <c r="I2148" s="85"/>
      <c r="J2148" s="85"/>
      <c r="K2148" s="131"/>
      <c r="L2148" s="60"/>
      <c r="M2148" s="49"/>
      <c r="N2148" s="37"/>
      <c r="O2148" s="37"/>
      <c r="P2148" s="37"/>
      <c r="Z2148" s="4"/>
      <c r="AA2148"/>
      <c r="AB2148"/>
    </row>
    <row r="2149" spans="1:28" s="3" customFormat="1" x14ac:dyDescent="0.15">
      <c r="A2149" s="166"/>
      <c r="B2149" s="82"/>
      <c r="C2149" s="70"/>
      <c r="D2149" s="70"/>
      <c r="E2149" s="70"/>
      <c r="F2149" s="70"/>
      <c r="G2149" s="70"/>
      <c r="H2149" s="93"/>
      <c r="I2149" s="85"/>
      <c r="J2149" s="85"/>
      <c r="K2149" s="131"/>
      <c r="L2149" s="60"/>
      <c r="M2149" s="49"/>
      <c r="N2149" s="37"/>
      <c r="O2149" s="37"/>
      <c r="P2149" s="35"/>
      <c r="Z2149" s="4"/>
      <c r="AA2149"/>
      <c r="AB2149"/>
    </row>
    <row r="2150" spans="1:28" s="3" customFormat="1" x14ac:dyDescent="0.15">
      <c r="A2150" s="166"/>
      <c r="B2150" s="82"/>
      <c r="C2150" s="70"/>
      <c r="D2150" s="70"/>
      <c r="E2150" s="70"/>
      <c r="F2150" s="70"/>
      <c r="G2150" s="70"/>
      <c r="H2150" s="93"/>
      <c r="I2150" s="85"/>
      <c r="J2150" s="85"/>
      <c r="K2150" s="131"/>
      <c r="L2150" s="60"/>
      <c r="M2150" s="49"/>
      <c r="N2150" s="37"/>
      <c r="O2150" s="37"/>
      <c r="P2150" s="37"/>
      <c r="Z2150" s="4"/>
      <c r="AA2150"/>
      <c r="AB2150"/>
    </row>
    <row r="2151" spans="1:28" s="3" customFormat="1" x14ac:dyDescent="0.15">
      <c r="A2151" s="166"/>
      <c r="B2151" s="82"/>
      <c r="C2151" s="70"/>
      <c r="D2151" s="70"/>
      <c r="E2151" s="70"/>
      <c r="F2151" s="70"/>
      <c r="G2151" s="70"/>
      <c r="H2151" s="93"/>
      <c r="I2151" s="85"/>
      <c r="J2151" s="85"/>
      <c r="K2151" s="131"/>
      <c r="L2151" s="60"/>
      <c r="M2151" s="49"/>
      <c r="N2151" s="37"/>
      <c r="O2151" s="37"/>
      <c r="P2151" s="37"/>
      <c r="Z2151" s="4"/>
      <c r="AA2151"/>
      <c r="AB2151"/>
    </row>
    <row r="2152" spans="1:28" s="3" customFormat="1" x14ac:dyDescent="0.15">
      <c r="A2152" s="166"/>
      <c r="B2152" s="82"/>
      <c r="C2152" s="70"/>
      <c r="D2152" s="70"/>
      <c r="E2152" s="70"/>
      <c r="F2152" s="70"/>
      <c r="G2152" s="70"/>
      <c r="H2152" s="93"/>
      <c r="I2152" s="85"/>
      <c r="J2152" s="85"/>
      <c r="K2152" s="131"/>
      <c r="L2152" s="60"/>
      <c r="M2152" s="49"/>
      <c r="N2152" s="37"/>
      <c r="O2152" s="37"/>
      <c r="P2152" s="37"/>
      <c r="Z2152" s="4"/>
      <c r="AA2152"/>
      <c r="AB2152"/>
    </row>
    <row r="2153" spans="1:28" s="3" customFormat="1" x14ac:dyDescent="0.15">
      <c r="A2153" s="166"/>
      <c r="B2153" s="82"/>
      <c r="C2153" s="70"/>
      <c r="D2153" s="70"/>
      <c r="E2153" s="70"/>
      <c r="F2153" s="70"/>
      <c r="G2153" s="70"/>
      <c r="H2153" s="93"/>
      <c r="I2153" s="85"/>
      <c r="J2153" s="85"/>
      <c r="K2153" s="131"/>
      <c r="L2153" s="60"/>
      <c r="M2153" s="49"/>
      <c r="N2153" s="37"/>
      <c r="O2153" s="37"/>
      <c r="P2153" s="37"/>
      <c r="Z2153" s="4"/>
      <c r="AA2153"/>
      <c r="AB2153"/>
    </row>
    <row r="2154" spans="1:28" s="3" customFormat="1" x14ac:dyDescent="0.15">
      <c r="A2154" s="166"/>
      <c r="B2154" s="82"/>
      <c r="C2154" s="70"/>
      <c r="D2154" s="70"/>
      <c r="E2154" s="70"/>
      <c r="F2154" s="70"/>
      <c r="G2154" s="70"/>
      <c r="H2154" s="93"/>
      <c r="I2154" s="85"/>
      <c r="J2154" s="85"/>
      <c r="K2154" s="131"/>
      <c r="L2154" s="60"/>
      <c r="M2154" s="49"/>
      <c r="N2154" s="37"/>
      <c r="O2154" s="37"/>
      <c r="P2154" s="37"/>
      <c r="Z2154" s="4"/>
      <c r="AA2154"/>
      <c r="AB2154"/>
    </row>
    <row r="2155" spans="1:28" s="3" customFormat="1" x14ac:dyDescent="0.15">
      <c r="A2155" s="166"/>
      <c r="B2155" s="82"/>
      <c r="C2155" s="70"/>
      <c r="D2155" s="70"/>
      <c r="E2155" s="70"/>
      <c r="F2155" s="70"/>
      <c r="G2155" s="70"/>
      <c r="H2155" s="93"/>
      <c r="I2155" s="85"/>
      <c r="J2155" s="85"/>
      <c r="K2155" s="131"/>
      <c r="L2155" s="60"/>
      <c r="M2155" s="49"/>
      <c r="N2155" s="37"/>
      <c r="O2155" s="37"/>
      <c r="P2155" s="37"/>
      <c r="Z2155" s="4"/>
      <c r="AA2155"/>
      <c r="AB2155"/>
    </row>
    <row r="2156" spans="1:28" s="3" customFormat="1" x14ac:dyDescent="0.15">
      <c r="A2156" s="166"/>
      <c r="B2156" s="82"/>
      <c r="C2156" s="70"/>
      <c r="D2156" s="70"/>
      <c r="E2156" s="70"/>
      <c r="F2156" s="70"/>
      <c r="G2156" s="70"/>
      <c r="H2156" s="93"/>
      <c r="I2156" s="85"/>
      <c r="J2156" s="85"/>
      <c r="K2156" s="131"/>
      <c r="L2156" s="60"/>
      <c r="M2156" s="49"/>
      <c r="N2156" s="37"/>
      <c r="O2156" s="37"/>
      <c r="P2156" s="37"/>
      <c r="Z2156" s="4"/>
      <c r="AA2156"/>
      <c r="AB2156"/>
    </row>
    <row r="2157" spans="1:28" s="3" customFormat="1" x14ac:dyDescent="0.15">
      <c r="A2157" s="166"/>
      <c r="B2157" s="82"/>
      <c r="C2157" s="70"/>
      <c r="D2157" s="70"/>
      <c r="E2157" s="70"/>
      <c r="F2157" s="70"/>
      <c r="G2157" s="70"/>
      <c r="H2157" s="93"/>
      <c r="I2157" s="85"/>
      <c r="J2157" s="85"/>
      <c r="K2157" s="131"/>
      <c r="L2157" s="60"/>
      <c r="M2157" s="49"/>
      <c r="N2157" s="37"/>
      <c r="O2157" s="37"/>
      <c r="P2157" s="37"/>
      <c r="Z2157" s="4"/>
      <c r="AA2157"/>
      <c r="AB2157"/>
    </row>
    <row r="2158" spans="1:28" s="3" customFormat="1" x14ac:dyDescent="0.15">
      <c r="A2158" s="166"/>
      <c r="B2158" s="82"/>
      <c r="C2158" s="70"/>
      <c r="D2158" s="70"/>
      <c r="E2158" s="70"/>
      <c r="F2158" s="70"/>
      <c r="G2158" s="70"/>
      <c r="H2158" s="93"/>
      <c r="I2158" s="85"/>
      <c r="J2158" s="85"/>
      <c r="K2158" s="131"/>
      <c r="L2158" s="60"/>
      <c r="M2158" s="49"/>
      <c r="N2158" s="37"/>
      <c r="O2158" s="37"/>
      <c r="P2158" s="37"/>
      <c r="Z2158" s="4"/>
      <c r="AA2158"/>
      <c r="AB2158"/>
    </row>
    <row r="2159" spans="1:28" s="3" customFormat="1" x14ac:dyDescent="0.15">
      <c r="A2159" s="166"/>
      <c r="B2159" s="82"/>
      <c r="C2159" s="70"/>
      <c r="D2159" s="70"/>
      <c r="E2159" s="70"/>
      <c r="F2159" s="70"/>
      <c r="G2159" s="70"/>
      <c r="H2159" s="93"/>
      <c r="I2159" s="85"/>
      <c r="J2159" s="85"/>
      <c r="K2159" s="131"/>
      <c r="L2159" s="60"/>
      <c r="M2159" s="49"/>
      <c r="N2159" s="37"/>
      <c r="O2159" s="37"/>
      <c r="P2159" s="35"/>
      <c r="Z2159" s="4"/>
      <c r="AA2159"/>
      <c r="AB2159"/>
    </row>
    <row r="2160" spans="1:28" s="3" customFormat="1" ht="16" x14ac:dyDescent="0.2">
      <c r="A2160" s="166"/>
      <c r="B2160" s="82"/>
      <c r="C2160" s="70"/>
      <c r="D2160" s="70"/>
      <c r="E2160" s="70"/>
      <c r="F2160" s="70"/>
      <c r="G2160" s="70"/>
      <c r="H2160" s="93"/>
      <c r="I2160" s="85"/>
      <c r="J2160" s="85"/>
      <c r="K2160" s="131"/>
      <c r="L2160" s="60"/>
      <c r="M2160" s="49"/>
      <c r="N2160" s="48"/>
      <c r="O2160" s="37"/>
      <c r="P2160" s="37"/>
      <c r="Z2160" s="4"/>
      <c r="AA2160"/>
      <c r="AB2160"/>
    </row>
    <row r="2161" spans="1:28" s="3" customFormat="1" x14ac:dyDescent="0.15">
      <c r="A2161" s="166"/>
      <c r="B2161" s="82"/>
      <c r="C2161" s="70"/>
      <c r="D2161" s="70"/>
      <c r="E2161" s="70"/>
      <c r="F2161" s="70"/>
      <c r="G2161" s="70"/>
      <c r="H2161" s="93"/>
      <c r="I2161" s="85"/>
      <c r="J2161" s="85"/>
      <c r="K2161" s="131"/>
      <c r="L2161" s="60"/>
      <c r="M2161" s="49"/>
      <c r="N2161" s="37"/>
      <c r="O2161" s="37"/>
      <c r="P2161" s="37"/>
      <c r="Z2161" s="4"/>
      <c r="AA2161"/>
      <c r="AB2161"/>
    </row>
    <row r="2162" spans="1:28" s="3" customFormat="1" x14ac:dyDescent="0.15">
      <c r="A2162" s="166"/>
      <c r="B2162" s="82"/>
      <c r="C2162" s="70"/>
      <c r="D2162" s="70"/>
      <c r="E2162" s="70"/>
      <c r="F2162" s="70"/>
      <c r="G2162" s="70"/>
      <c r="H2162" s="93"/>
      <c r="I2162" s="85"/>
      <c r="J2162" s="85"/>
      <c r="K2162" s="131"/>
      <c r="L2162" s="60"/>
      <c r="M2162" s="49"/>
      <c r="N2162" s="37"/>
      <c r="O2162" s="37"/>
      <c r="P2162" s="37"/>
      <c r="Z2162" s="4"/>
      <c r="AA2162"/>
      <c r="AB2162"/>
    </row>
    <row r="2163" spans="1:28" s="3" customFormat="1" x14ac:dyDescent="0.15">
      <c r="A2163" s="166"/>
      <c r="B2163" s="82"/>
      <c r="C2163" s="70"/>
      <c r="D2163" s="70"/>
      <c r="E2163" s="70"/>
      <c r="F2163" s="70"/>
      <c r="G2163" s="70"/>
      <c r="H2163" s="93"/>
      <c r="I2163" s="85"/>
      <c r="J2163" s="85"/>
      <c r="K2163" s="131"/>
      <c r="L2163" s="60"/>
      <c r="M2163" s="49"/>
      <c r="N2163" s="37"/>
      <c r="O2163" s="37"/>
      <c r="P2163" s="37"/>
      <c r="Z2163" s="4"/>
      <c r="AA2163"/>
      <c r="AB2163"/>
    </row>
    <row r="2164" spans="1:28" s="3" customFormat="1" x14ac:dyDescent="0.15">
      <c r="A2164" s="166"/>
      <c r="B2164" s="82"/>
      <c r="C2164" s="70"/>
      <c r="D2164" s="70"/>
      <c r="E2164" s="70"/>
      <c r="F2164" s="70"/>
      <c r="G2164" s="70"/>
      <c r="H2164" s="93"/>
      <c r="I2164" s="85"/>
      <c r="J2164" s="85"/>
      <c r="K2164" s="131"/>
      <c r="L2164" s="60"/>
      <c r="M2164" s="49"/>
      <c r="N2164" s="37"/>
      <c r="O2164" s="37"/>
      <c r="P2164" s="37"/>
      <c r="Z2164" s="4"/>
      <c r="AA2164"/>
      <c r="AB2164"/>
    </row>
    <row r="2165" spans="1:28" s="3" customFormat="1" ht="16" x14ac:dyDescent="0.2">
      <c r="A2165" s="166"/>
      <c r="B2165" s="82"/>
      <c r="C2165" s="70"/>
      <c r="D2165" s="70"/>
      <c r="E2165" s="70"/>
      <c r="F2165" s="70"/>
      <c r="G2165" s="70"/>
      <c r="H2165" s="93"/>
      <c r="I2165" s="85"/>
      <c r="J2165" s="85"/>
      <c r="K2165" s="131"/>
      <c r="L2165" s="60"/>
      <c r="M2165" s="49"/>
      <c r="N2165" s="48"/>
      <c r="O2165" s="37"/>
      <c r="P2165" s="37"/>
      <c r="Z2165" s="4"/>
      <c r="AA2165"/>
      <c r="AB2165"/>
    </row>
    <row r="2166" spans="1:28" s="3" customFormat="1" ht="16" x14ac:dyDescent="0.2">
      <c r="A2166" s="166"/>
      <c r="B2166" s="82"/>
      <c r="C2166" s="70"/>
      <c r="D2166" s="70"/>
      <c r="E2166" s="70"/>
      <c r="F2166" s="70"/>
      <c r="G2166" s="70"/>
      <c r="H2166" s="93"/>
      <c r="I2166" s="85"/>
      <c r="J2166" s="85"/>
      <c r="K2166" s="131"/>
      <c r="L2166" s="60"/>
      <c r="M2166" s="49"/>
      <c r="N2166" s="48"/>
      <c r="O2166" s="37"/>
      <c r="P2166" s="37"/>
      <c r="Z2166" s="4"/>
      <c r="AA2166"/>
      <c r="AB2166"/>
    </row>
    <row r="2167" spans="1:28" s="3" customFormat="1" x14ac:dyDescent="0.15">
      <c r="A2167" s="166"/>
      <c r="B2167" s="82"/>
      <c r="C2167" s="70"/>
      <c r="D2167" s="70"/>
      <c r="E2167" s="70"/>
      <c r="F2167" s="70"/>
      <c r="G2167" s="70"/>
      <c r="H2167" s="93"/>
      <c r="I2167" s="85"/>
      <c r="J2167" s="85"/>
      <c r="K2167" s="131"/>
      <c r="L2167" s="60"/>
      <c r="M2167" s="49"/>
      <c r="N2167" s="37"/>
      <c r="O2167" s="37"/>
      <c r="P2167" s="37"/>
      <c r="Z2167" s="4"/>
      <c r="AA2167"/>
      <c r="AB2167"/>
    </row>
    <row r="2168" spans="1:28" s="3" customFormat="1" x14ac:dyDescent="0.15">
      <c r="A2168" s="166"/>
      <c r="B2168" s="82"/>
      <c r="C2168" s="70"/>
      <c r="D2168" s="70"/>
      <c r="E2168" s="70"/>
      <c r="F2168" s="70"/>
      <c r="G2168" s="70"/>
      <c r="H2168" s="93"/>
      <c r="I2168" s="85"/>
      <c r="J2168" s="85"/>
      <c r="K2168" s="131"/>
      <c r="L2168" s="60"/>
      <c r="M2168" s="49"/>
      <c r="N2168" s="37"/>
      <c r="O2168" s="37"/>
      <c r="P2168" s="37"/>
      <c r="Z2168" s="4"/>
      <c r="AA2168"/>
      <c r="AB2168"/>
    </row>
    <row r="2169" spans="1:28" s="3" customFormat="1" x14ac:dyDescent="0.15">
      <c r="A2169" s="166"/>
      <c r="B2169" s="93"/>
      <c r="C2169" s="70"/>
      <c r="D2169" s="70"/>
      <c r="E2169" s="70"/>
      <c r="F2169" s="70"/>
      <c r="G2169" s="70"/>
      <c r="H2169" s="93"/>
      <c r="I2169" s="85"/>
      <c r="J2169" s="85"/>
      <c r="K2169" s="131"/>
      <c r="L2169" s="60"/>
      <c r="M2169" s="33"/>
      <c r="N2169" s="37"/>
      <c r="O2169" s="37"/>
      <c r="P2169" s="37"/>
      <c r="Z2169" s="4"/>
      <c r="AA2169"/>
      <c r="AB2169"/>
    </row>
    <row r="2170" spans="1:28" s="3" customFormat="1" x14ac:dyDescent="0.15">
      <c r="A2170" s="166"/>
      <c r="B2170" s="82"/>
      <c r="C2170" s="70"/>
      <c r="D2170" s="70"/>
      <c r="E2170" s="70"/>
      <c r="F2170" s="70"/>
      <c r="G2170" s="70"/>
      <c r="H2170" s="93"/>
      <c r="I2170" s="85"/>
      <c r="J2170" s="85"/>
      <c r="K2170" s="131"/>
      <c r="L2170" s="60"/>
      <c r="M2170" s="49"/>
      <c r="N2170" s="37"/>
      <c r="O2170" s="37"/>
      <c r="P2170" s="37"/>
      <c r="Z2170" s="4"/>
      <c r="AA2170"/>
      <c r="AB2170"/>
    </row>
    <row r="2171" spans="1:28" s="3" customFormat="1" x14ac:dyDescent="0.15">
      <c r="A2171" s="166"/>
      <c r="B2171" s="82"/>
      <c r="C2171" s="70"/>
      <c r="D2171" s="70"/>
      <c r="E2171" s="70"/>
      <c r="F2171" s="70"/>
      <c r="G2171" s="70"/>
      <c r="H2171" s="93"/>
      <c r="I2171" s="85"/>
      <c r="J2171" s="95"/>
      <c r="K2171" s="131"/>
      <c r="L2171" s="60"/>
      <c r="M2171" s="49"/>
      <c r="N2171" s="37"/>
      <c r="O2171" s="37"/>
      <c r="P2171" s="37"/>
      <c r="Z2171" s="4"/>
      <c r="AA2171"/>
      <c r="AB2171"/>
    </row>
    <row r="2172" spans="1:28" s="3" customFormat="1" x14ac:dyDescent="0.15">
      <c r="A2172" s="166"/>
      <c r="B2172" s="82"/>
      <c r="C2172" s="70"/>
      <c r="D2172" s="70"/>
      <c r="E2172" s="70"/>
      <c r="F2172" s="70"/>
      <c r="G2172" s="70"/>
      <c r="H2172" s="93"/>
      <c r="I2172" s="85"/>
      <c r="J2172" s="85"/>
      <c r="K2172" s="131"/>
      <c r="L2172" s="60"/>
      <c r="M2172" s="49"/>
      <c r="N2172" s="37"/>
      <c r="O2172" s="37"/>
      <c r="P2172" s="37"/>
      <c r="Z2172" s="4"/>
      <c r="AA2172"/>
      <c r="AB2172"/>
    </row>
    <row r="2173" spans="1:28" s="3" customFormat="1" ht="16" x14ac:dyDescent="0.2">
      <c r="A2173" s="166"/>
      <c r="B2173" s="82"/>
      <c r="C2173" s="70"/>
      <c r="D2173" s="70"/>
      <c r="E2173" s="70"/>
      <c r="F2173" s="70"/>
      <c r="G2173" s="70"/>
      <c r="H2173" s="93"/>
      <c r="I2173" s="85"/>
      <c r="J2173" s="85"/>
      <c r="K2173" s="131"/>
      <c r="L2173" s="60"/>
      <c r="M2173" s="49"/>
      <c r="N2173" s="48"/>
      <c r="O2173" s="37"/>
      <c r="P2173" s="37"/>
      <c r="Z2173" s="4"/>
      <c r="AA2173"/>
      <c r="AB2173"/>
    </row>
    <row r="2174" spans="1:28" s="37" customFormat="1" x14ac:dyDescent="0.15">
      <c r="A2174" s="166"/>
      <c r="B2174" s="82"/>
      <c r="C2174" s="70"/>
      <c r="D2174" s="70"/>
      <c r="E2174" s="70"/>
      <c r="F2174" s="70"/>
      <c r="G2174" s="70"/>
      <c r="H2174" s="93"/>
      <c r="I2174" s="85"/>
      <c r="J2174" s="85"/>
      <c r="K2174" s="131"/>
      <c r="L2174" s="60"/>
      <c r="M2174" s="49"/>
      <c r="Q2174" s="3"/>
      <c r="R2174" s="3"/>
      <c r="S2174" s="3"/>
      <c r="T2174" s="3"/>
      <c r="U2174" s="3"/>
      <c r="V2174" s="3"/>
      <c r="W2174" s="3"/>
      <c r="X2174" s="3"/>
      <c r="Y2174" s="3"/>
      <c r="Z2174" s="4"/>
      <c r="AA2174"/>
      <c r="AB2174"/>
    </row>
    <row r="2175" spans="1:28" s="37" customFormat="1" ht="16" x14ac:dyDescent="0.2">
      <c r="A2175" s="166"/>
      <c r="B2175" s="82"/>
      <c r="C2175" s="70"/>
      <c r="D2175" s="70"/>
      <c r="E2175" s="70"/>
      <c r="F2175" s="70"/>
      <c r="G2175" s="70"/>
      <c r="H2175" s="93"/>
      <c r="I2175" s="85"/>
      <c r="J2175" s="85"/>
      <c r="K2175" s="131"/>
      <c r="L2175" s="60"/>
      <c r="M2175" s="49"/>
      <c r="N2175" s="48"/>
      <c r="Q2175" s="3"/>
      <c r="R2175" s="3"/>
      <c r="S2175" s="3"/>
      <c r="T2175" s="3"/>
      <c r="U2175" s="3"/>
      <c r="V2175" s="3"/>
      <c r="W2175" s="3"/>
      <c r="X2175" s="3"/>
      <c r="Y2175" s="3"/>
      <c r="Z2175" s="4"/>
      <c r="AA2175"/>
      <c r="AB2175"/>
    </row>
    <row r="2176" spans="1:28" s="37" customFormat="1" x14ac:dyDescent="0.15">
      <c r="A2176" s="166"/>
      <c r="B2176" s="82"/>
      <c r="C2176" s="70"/>
      <c r="D2176" s="70"/>
      <c r="E2176" s="70"/>
      <c r="F2176" s="70"/>
      <c r="G2176" s="70"/>
      <c r="H2176" s="93"/>
      <c r="I2176" s="85"/>
      <c r="J2176" s="85"/>
      <c r="K2176" s="131"/>
      <c r="L2176" s="60"/>
      <c r="M2176" s="49"/>
      <c r="Q2176" s="3"/>
      <c r="R2176" s="3"/>
      <c r="S2176" s="3"/>
      <c r="T2176" s="3"/>
      <c r="U2176" s="3"/>
      <c r="V2176" s="3"/>
      <c r="W2176" s="3"/>
      <c r="X2176" s="3"/>
      <c r="Y2176" s="3"/>
      <c r="Z2176" s="4"/>
      <c r="AA2176"/>
      <c r="AB2176"/>
    </row>
    <row r="2177" spans="1:28" s="37" customFormat="1" x14ac:dyDescent="0.15">
      <c r="A2177" s="166"/>
      <c r="B2177" s="82"/>
      <c r="C2177" s="73"/>
      <c r="D2177" s="73"/>
      <c r="E2177" s="70"/>
      <c r="F2177" s="73"/>
      <c r="G2177" s="73"/>
      <c r="H2177" s="108"/>
      <c r="I2177" s="85"/>
      <c r="J2177" s="95"/>
      <c r="K2177" s="131"/>
      <c r="L2177" s="60"/>
      <c r="M2177" s="49"/>
      <c r="Q2177" s="3"/>
      <c r="R2177" s="3"/>
      <c r="S2177" s="3"/>
      <c r="T2177" s="3"/>
      <c r="U2177" s="3"/>
      <c r="V2177" s="3"/>
      <c r="W2177" s="3"/>
      <c r="X2177" s="3"/>
      <c r="Y2177" s="3"/>
      <c r="Z2177" s="4"/>
      <c r="AA2177"/>
      <c r="AB2177"/>
    </row>
    <row r="2178" spans="1:28" s="37" customFormat="1" x14ac:dyDescent="0.15">
      <c r="A2178" s="166"/>
      <c r="B2178" s="82"/>
      <c r="C2178" s="70"/>
      <c r="D2178" s="70"/>
      <c r="E2178" s="70"/>
      <c r="F2178" s="70"/>
      <c r="G2178" s="70"/>
      <c r="H2178" s="93"/>
      <c r="I2178" s="85"/>
      <c r="J2178" s="85"/>
      <c r="K2178" s="131"/>
      <c r="L2178" s="60"/>
      <c r="M2178" s="49"/>
      <c r="Q2178" s="3"/>
      <c r="R2178" s="3"/>
      <c r="S2178" s="3"/>
      <c r="T2178" s="3"/>
      <c r="U2178" s="3"/>
      <c r="V2178" s="3"/>
      <c r="W2178" s="3"/>
      <c r="X2178" s="3"/>
      <c r="Y2178" s="3"/>
      <c r="Z2178" s="4"/>
      <c r="AA2178"/>
      <c r="AB2178"/>
    </row>
    <row r="2179" spans="1:28" s="37" customFormat="1" x14ac:dyDescent="0.15">
      <c r="A2179" s="166"/>
      <c r="B2179" s="82"/>
      <c r="C2179" s="70"/>
      <c r="D2179" s="70"/>
      <c r="E2179" s="70"/>
      <c r="F2179" s="70"/>
      <c r="G2179" s="70"/>
      <c r="H2179" s="93"/>
      <c r="I2179" s="85"/>
      <c r="J2179" s="85"/>
      <c r="K2179" s="131"/>
      <c r="L2179" s="60"/>
      <c r="M2179" s="49"/>
      <c r="Q2179" s="3"/>
      <c r="R2179" s="3"/>
      <c r="S2179" s="3"/>
      <c r="T2179" s="3"/>
      <c r="U2179" s="3"/>
      <c r="V2179" s="3"/>
      <c r="W2179" s="3"/>
      <c r="X2179" s="3"/>
      <c r="Y2179" s="3"/>
      <c r="Z2179" s="4"/>
      <c r="AA2179"/>
      <c r="AB2179"/>
    </row>
    <row r="2180" spans="1:28" s="37" customFormat="1" x14ac:dyDescent="0.15">
      <c r="A2180" s="166"/>
      <c r="B2180" s="82"/>
      <c r="C2180" s="70"/>
      <c r="D2180" s="70"/>
      <c r="E2180" s="70"/>
      <c r="F2180" s="70"/>
      <c r="G2180" s="70"/>
      <c r="H2180" s="93"/>
      <c r="I2180" s="85"/>
      <c r="J2180" s="85"/>
      <c r="K2180" s="131"/>
      <c r="L2180" s="60"/>
      <c r="M2180" s="49"/>
      <c r="Q2180" s="3"/>
      <c r="R2180" s="3"/>
      <c r="S2180" s="3"/>
      <c r="T2180" s="3"/>
      <c r="U2180" s="3"/>
      <c r="V2180" s="3"/>
      <c r="W2180" s="3"/>
      <c r="X2180" s="3"/>
      <c r="Y2180" s="3"/>
      <c r="Z2180" s="4"/>
      <c r="AA2180"/>
      <c r="AB2180"/>
    </row>
    <row r="2181" spans="1:28" s="37" customFormat="1" x14ac:dyDescent="0.15">
      <c r="A2181" s="166"/>
      <c r="B2181" s="82"/>
      <c r="C2181" s="70"/>
      <c r="D2181" s="70"/>
      <c r="E2181" s="70"/>
      <c r="F2181" s="70"/>
      <c r="G2181" s="70"/>
      <c r="H2181" s="93"/>
      <c r="I2181" s="85"/>
      <c r="J2181" s="85"/>
      <c r="K2181" s="131"/>
      <c r="L2181" s="60"/>
      <c r="M2181" s="49"/>
      <c r="Q2181" s="3"/>
      <c r="R2181" s="3"/>
      <c r="S2181" s="3"/>
      <c r="T2181" s="3"/>
      <c r="U2181" s="3"/>
      <c r="V2181" s="3"/>
      <c r="W2181" s="3"/>
      <c r="X2181" s="3"/>
      <c r="Y2181" s="3"/>
      <c r="Z2181" s="4"/>
      <c r="AA2181"/>
      <c r="AB2181"/>
    </row>
    <row r="2182" spans="1:28" s="37" customFormat="1" x14ac:dyDescent="0.15">
      <c r="A2182" s="169"/>
      <c r="B2182" s="90"/>
      <c r="C2182" s="91"/>
      <c r="D2182" s="91"/>
      <c r="E2182" s="91"/>
      <c r="F2182" s="91"/>
      <c r="G2182" s="91"/>
      <c r="H2182" s="176"/>
      <c r="I2182" s="85"/>
      <c r="J2182" s="92"/>
      <c r="K2182" s="133"/>
      <c r="L2182" s="65"/>
      <c r="M2182" s="49"/>
      <c r="Q2182" s="3"/>
      <c r="R2182" s="3"/>
      <c r="S2182" s="3"/>
      <c r="T2182" s="3"/>
      <c r="U2182" s="3"/>
      <c r="V2182" s="3"/>
      <c r="W2182" s="3"/>
      <c r="X2182" s="3"/>
      <c r="Y2182" s="3"/>
      <c r="Z2182" s="4"/>
      <c r="AA2182"/>
      <c r="AB2182"/>
    </row>
    <row r="2183" spans="1:28" s="37" customFormat="1" x14ac:dyDescent="0.15">
      <c r="A2183" s="166"/>
      <c r="B2183" s="82"/>
      <c r="C2183" s="70"/>
      <c r="D2183" s="70"/>
      <c r="E2183" s="70"/>
      <c r="F2183" s="70"/>
      <c r="G2183" s="70"/>
      <c r="H2183" s="93"/>
      <c r="I2183" s="85"/>
      <c r="J2183" s="85"/>
      <c r="K2183" s="131"/>
      <c r="L2183" s="60"/>
      <c r="M2183" s="49"/>
      <c r="Q2183" s="3"/>
      <c r="R2183" s="3"/>
      <c r="S2183" s="3"/>
      <c r="T2183" s="3"/>
      <c r="U2183" s="3"/>
      <c r="V2183" s="3"/>
      <c r="W2183" s="3"/>
      <c r="X2183" s="3"/>
      <c r="Y2183" s="3"/>
      <c r="Z2183" s="4"/>
      <c r="AA2183"/>
      <c r="AB2183"/>
    </row>
    <row r="2184" spans="1:28" s="37" customFormat="1" x14ac:dyDescent="0.15">
      <c r="A2184" s="166"/>
      <c r="B2184" s="82"/>
      <c r="C2184" s="70"/>
      <c r="D2184" s="70"/>
      <c r="E2184" s="70"/>
      <c r="F2184" s="70"/>
      <c r="G2184" s="70"/>
      <c r="H2184" s="93"/>
      <c r="I2184" s="85"/>
      <c r="J2184" s="85"/>
      <c r="K2184" s="131"/>
      <c r="L2184" s="60"/>
      <c r="M2184" s="49"/>
      <c r="Q2184" s="3"/>
      <c r="R2184" s="3"/>
      <c r="S2184" s="3"/>
      <c r="T2184" s="3"/>
      <c r="U2184" s="3"/>
      <c r="V2184" s="3"/>
      <c r="W2184" s="3"/>
      <c r="X2184" s="3"/>
      <c r="Y2184" s="3"/>
      <c r="Z2184" s="4"/>
      <c r="AA2184"/>
      <c r="AB2184"/>
    </row>
    <row r="2185" spans="1:28" s="37" customFormat="1" x14ac:dyDescent="0.15">
      <c r="A2185" s="166"/>
      <c r="B2185" s="82"/>
      <c r="C2185" s="70"/>
      <c r="D2185" s="70"/>
      <c r="E2185" s="70"/>
      <c r="F2185" s="70"/>
      <c r="G2185" s="70"/>
      <c r="H2185" s="93"/>
      <c r="I2185" s="85"/>
      <c r="J2185" s="85"/>
      <c r="K2185" s="131"/>
      <c r="L2185" s="60"/>
      <c r="M2185" s="49"/>
      <c r="Q2185" s="3"/>
      <c r="R2185" s="3"/>
      <c r="S2185" s="3"/>
      <c r="T2185" s="3"/>
      <c r="U2185" s="3"/>
      <c r="V2185" s="3"/>
      <c r="W2185" s="3"/>
      <c r="X2185" s="3"/>
      <c r="Y2185" s="3"/>
      <c r="Z2185" s="4"/>
      <c r="AA2185"/>
      <c r="AB2185"/>
    </row>
    <row r="2186" spans="1:28" s="37" customFormat="1" x14ac:dyDescent="0.15">
      <c r="A2186" s="166"/>
      <c r="B2186" s="82"/>
      <c r="C2186" s="70"/>
      <c r="D2186" s="70"/>
      <c r="E2186" s="70"/>
      <c r="F2186" s="70"/>
      <c r="G2186" s="70"/>
      <c r="H2186" s="93"/>
      <c r="I2186" s="85"/>
      <c r="J2186" s="85"/>
      <c r="K2186" s="131"/>
      <c r="L2186" s="60"/>
      <c r="M2186" s="49"/>
      <c r="Q2186" s="3"/>
      <c r="R2186" s="3"/>
      <c r="S2186" s="3"/>
      <c r="T2186" s="3"/>
      <c r="U2186" s="3"/>
      <c r="V2186" s="3"/>
      <c r="W2186" s="3"/>
      <c r="X2186" s="3"/>
      <c r="Y2186" s="3"/>
      <c r="Z2186" s="4"/>
      <c r="AA2186"/>
      <c r="AB2186"/>
    </row>
    <row r="2187" spans="1:28" s="37" customFormat="1" x14ac:dyDescent="0.15">
      <c r="A2187" s="166"/>
      <c r="B2187" s="82"/>
      <c r="C2187" s="70"/>
      <c r="D2187" s="70"/>
      <c r="E2187" s="70"/>
      <c r="F2187" s="70"/>
      <c r="G2187" s="70"/>
      <c r="H2187" s="93"/>
      <c r="I2187" s="85"/>
      <c r="J2187" s="85"/>
      <c r="K2187" s="131"/>
      <c r="L2187" s="60"/>
      <c r="M2187" s="49"/>
      <c r="Q2187" s="3"/>
      <c r="R2187" s="3"/>
      <c r="S2187" s="3"/>
      <c r="T2187" s="3"/>
      <c r="U2187" s="3"/>
      <c r="V2187" s="3"/>
      <c r="W2187" s="3"/>
      <c r="X2187" s="3"/>
      <c r="Y2187" s="3"/>
      <c r="Z2187" s="4"/>
      <c r="AA2187"/>
      <c r="AB2187"/>
    </row>
    <row r="2188" spans="1:28" s="37" customFormat="1" x14ac:dyDescent="0.15">
      <c r="A2188" s="166"/>
      <c r="B2188" s="82"/>
      <c r="C2188" s="73"/>
      <c r="D2188" s="73"/>
      <c r="E2188" s="70"/>
      <c r="F2188" s="73"/>
      <c r="G2188" s="73"/>
      <c r="H2188" s="108"/>
      <c r="I2188" s="85"/>
      <c r="J2188" s="95"/>
      <c r="K2188" s="131"/>
      <c r="L2188" s="60"/>
      <c r="M2188" s="49"/>
      <c r="Q2188" s="3"/>
      <c r="R2188" s="3"/>
      <c r="S2188" s="3"/>
      <c r="T2188" s="3"/>
      <c r="U2188" s="3"/>
      <c r="V2188" s="3"/>
      <c r="W2188" s="3"/>
      <c r="X2188" s="3"/>
      <c r="Y2188" s="3"/>
      <c r="Z2188" s="4"/>
      <c r="AA2188"/>
      <c r="AB2188"/>
    </row>
    <row r="2189" spans="1:28" s="37" customFormat="1" x14ac:dyDescent="0.15">
      <c r="A2189" s="166"/>
      <c r="B2189" s="82"/>
      <c r="C2189" s="70"/>
      <c r="D2189" s="70"/>
      <c r="E2189" s="70"/>
      <c r="F2189" s="70"/>
      <c r="G2189" s="70"/>
      <c r="H2189" s="93"/>
      <c r="I2189" s="85"/>
      <c r="J2189" s="85"/>
      <c r="K2189" s="131"/>
      <c r="L2189" s="60"/>
      <c r="M2189" s="49"/>
      <c r="Q2189" s="3"/>
      <c r="R2189" s="3"/>
      <c r="S2189" s="3"/>
      <c r="T2189" s="3"/>
      <c r="U2189" s="3"/>
      <c r="V2189" s="3"/>
      <c r="W2189" s="3"/>
      <c r="X2189" s="3"/>
      <c r="Y2189" s="3"/>
      <c r="Z2189" s="4"/>
      <c r="AA2189"/>
      <c r="AB2189"/>
    </row>
    <row r="2190" spans="1:28" s="37" customFormat="1" x14ac:dyDescent="0.15">
      <c r="A2190" s="166"/>
      <c r="B2190" s="93"/>
      <c r="C2190" s="70"/>
      <c r="D2190" s="70"/>
      <c r="E2190" s="70"/>
      <c r="F2190" s="70"/>
      <c r="G2190" s="70"/>
      <c r="H2190" s="93"/>
      <c r="I2190" s="85"/>
      <c r="J2190" s="85"/>
      <c r="K2190" s="131"/>
      <c r="L2190" s="60"/>
      <c r="N2190" s="32"/>
      <c r="Q2190" s="3"/>
      <c r="R2190" s="3"/>
      <c r="S2190" s="3"/>
      <c r="T2190" s="3"/>
      <c r="U2190" s="3"/>
      <c r="V2190" s="3"/>
      <c r="W2190" s="3"/>
      <c r="X2190" s="3"/>
      <c r="Y2190" s="3"/>
      <c r="Z2190" s="4"/>
      <c r="AA2190"/>
      <c r="AB2190"/>
    </row>
    <row r="2191" spans="1:28" s="37" customFormat="1" x14ac:dyDescent="0.15">
      <c r="A2191" s="166"/>
      <c r="B2191" s="93"/>
      <c r="C2191" s="70"/>
      <c r="D2191" s="70"/>
      <c r="E2191" s="70"/>
      <c r="F2191" s="70"/>
      <c r="G2191" s="70"/>
      <c r="H2191" s="93"/>
      <c r="I2191" s="85"/>
      <c r="J2191" s="85"/>
      <c r="K2191" s="131"/>
      <c r="L2191" s="60"/>
      <c r="Q2191" s="3"/>
      <c r="R2191" s="3"/>
      <c r="S2191" s="3"/>
      <c r="T2191" s="3"/>
      <c r="U2191" s="3"/>
      <c r="V2191" s="3"/>
      <c r="W2191" s="3"/>
      <c r="X2191" s="3"/>
      <c r="Y2191" s="3"/>
      <c r="Z2191" s="4"/>
      <c r="AA2191"/>
      <c r="AB2191"/>
    </row>
    <row r="2192" spans="1:28" s="37" customFormat="1" x14ac:dyDescent="0.15">
      <c r="A2192" s="166"/>
      <c r="B2192" s="93"/>
      <c r="C2192" s="70"/>
      <c r="D2192" s="70"/>
      <c r="E2192" s="70"/>
      <c r="F2192" s="70"/>
      <c r="G2192" s="70"/>
      <c r="H2192" s="93"/>
      <c r="I2192" s="85"/>
      <c r="J2192" s="85"/>
      <c r="K2192" s="131"/>
      <c r="L2192" s="60"/>
      <c r="N2192" s="32"/>
      <c r="Q2192" s="3"/>
      <c r="R2192" s="3"/>
      <c r="S2192" s="3"/>
      <c r="T2192" s="3"/>
      <c r="U2192" s="3"/>
      <c r="V2192" s="3"/>
      <c r="W2192" s="3"/>
      <c r="X2192" s="3"/>
      <c r="Y2192" s="3"/>
      <c r="Z2192" s="4"/>
      <c r="AA2192"/>
      <c r="AB2192"/>
    </row>
    <row r="2193" spans="1:28" s="37" customFormat="1" x14ac:dyDescent="0.15">
      <c r="A2193" s="166"/>
      <c r="B2193" s="93"/>
      <c r="C2193" s="70"/>
      <c r="D2193" s="70"/>
      <c r="E2193" s="70"/>
      <c r="F2193" s="70"/>
      <c r="G2193" s="70"/>
      <c r="H2193" s="93"/>
      <c r="I2193" s="85"/>
      <c r="J2193" s="85"/>
      <c r="K2193" s="131"/>
      <c r="L2193" s="60"/>
      <c r="Q2193" s="3"/>
      <c r="R2193" s="3"/>
      <c r="S2193" s="3"/>
      <c r="T2193" s="3"/>
      <c r="U2193" s="3"/>
      <c r="V2193" s="3"/>
      <c r="W2193" s="3"/>
      <c r="X2193" s="3"/>
      <c r="Y2193" s="3"/>
      <c r="Z2193" s="4"/>
      <c r="AA2193"/>
      <c r="AB2193"/>
    </row>
    <row r="2194" spans="1:28" s="37" customFormat="1" x14ac:dyDescent="0.15">
      <c r="A2194" s="166"/>
      <c r="B2194" s="93"/>
      <c r="C2194" s="70"/>
      <c r="D2194" s="70"/>
      <c r="E2194" s="70"/>
      <c r="F2194" s="70"/>
      <c r="G2194" s="70"/>
      <c r="H2194" s="93"/>
      <c r="I2194" s="85"/>
      <c r="J2194" s="85"/>
      <c r="K2194" s="131"/>
      <c r="L2194" s="60"/>
      <c r="N2194" s="32"/>
      <c r="Q2194" s="3"/>
      <c r="R2194" s="3"/>
      <c r="S2194" s="3"/>
      <c r="T2194" s="3"/>
      <c r="U2194" s="3"/>
      <c r="V2194" s="3"/>
      <c r="W2194" s="3"/>
      <c r="X2194" s="3"/>
      <c r="Y2194" s="3"/>
      <c r="Z2194" s="4"/>
      <c r="AA2194"/>
      <c r="AB2194"/>
    </row>
    <row r="2195" spans="1:28" s="37" customFormat="1" x14ac:dyDescent="0.15">
      <c r="A2195" s="166"/>
      <c r="B2195" s="93"/>
      <c r="C2195" s="70"/>
      <c r="D2195" s="70"/>
      <c r="E2195" s="70"/>
      <c r="F2195" s="70"/>
      <c r="G2195" s="70"/>
      <c r="H2195" s="93"/>
      <c r="I2195" s="85"/>
      <c r="J2195" s="85"/>
      <c r="K2195" s="131"/>
      <c r="L2195" s="60"/>
      <c r="Q2195" s="3"/>
      <c r="R2195" s="3"/>
      <c r="S2195" s="3"/>
      <c r="T2195" s="3"/>
      <c r="U2195" s="3"/>
      <c r="V2195" s="3"/>
      <c r="W2195" s="3"/>
      <c r="X2195" s="3"/>
      <c r="Y2195" s="3"/>
      <c r="Z2195" s="4"/>
      <c r="AA2195"/>
      <c r="AB2195"/>
    </row>
    <row r="2196" spans="1:28" s="37" customFormat="1" ht="16" x14ac:dyDescent="0.2">
      <c r="A2196" s="166"/>
      <c r="B2196" s="93"/>
      <c r="C2196" s="70"/>
      <c r="D2196" s="70"/>
      <c r="E2196" s="70"/>
      <c r="F2196" s="70"/>
      <c r="G2196" s="70"/>
      <c r="H2196" s="93"/>
      <c r="I2196" s="85"/>
      <c r="J2196" s="85"/>
      <c r="K2196" s="131"/>
      <c r="L2196" s="60"/>
      <c r="M2196" s="33"/>
      <c r="N2196" s="48"/>
      <c r="Q2196" s="3"/>
      <c r="R2196" s="3"/>
      <c r="S2196" s="3"/>
      <c r="T2196" s="3"/>
      <c r="U2196" s="3"/>
      <c r="V2196" s="3"/>
      <c r="W2196" s="3"/>
      <c r="X2196" s="3"/>
      <c r="Y2196" s="3"/>
      <c r="Z2196" s="4"/>
      <c r="AA2196"/>
      <c r="AB2196"/>
    </row>
    <row r="2197" spans="1:28" s="37" customFormat="1" x14ac:dyDescent="0.15">
      <c r="A2197" s="166"/>
      <c r="B2197" s="93"/>
      <c r="C2197" s="70"/>
      <c r="D2197" s="70"/>
      <c r="E2197" s="70"/>
      <c r="F2197" s="70"/>
      <c r="G2197" s="70"/>
      <c r="H2197" s="93"/>
      <c r="I2197" s="85"/>
      <c r="J2197" s="85"/>
      <c r="K2197" s="131"/>
      <c r="L2197" s="60"/>
      <c r="M2197" s="33"/>
      <c r="Q2197" s="3"/>
      <c r="R2197" s="3"/>
      <c r="S2197" s="3"/>
      <c r="T2197" s="3"/>
      <c r="U2197" s="3"/>
      <c r="V2197" s="3"/>
      <c r="W2197" s="3"/>
      <c r="X2197" s="3"/>
      <c r="Y2197" s="3"/>
      <c r="Z2197" s="4"/>
      <c r="AA2197"/>
      <c r="AB2197"/>
    </row>
    <row r="2198" spans="1:28" s="37" customFormat="1" x14ac:dyDescent="0.15">
      <c r="A2198" s="166"/>
      <c r="B2198" s="93"/>
      <c r="C2198" s="70"/>
      <c r="D2198" s="70"/>
      <c r="E2198" s="70"/>
      <c r="F2198" s="70"/>
      <c r="G2198" s="70"/>
      <c r="H2198" s="93"/>
      <c r="I2198" s="85"/>
      <c r="J2198" s="85"/>
      <c r="K2198" s="131"/>
      <c r="L2198" s="70"/>
      <c r="M2198" s="33"/>
      <c r="Q2198" s="3"/>
      <c r="R2198" s="3"/>
      <c r="S2198" s="3"/>
      <c r="T2198" s="3"/>
      <c r="U2198" s="3"/>
      <c r="V2198" s="3"/>
      <c r="W2198" s="3"/>
      <c r="X2198" s="3"/>
      <c r="Y2198" s="3"/>
      <c r="Z2198" s="4"/>
      <c r="AA2198"/>
      <c r="AB2198"/>
    </row>
    <row r="2199" spans="1:28" s="37" customFormat="1" x14ac:dyDescent="0.15">
      <c r="A2199" s="166"/>
      <c r="B2199" s="93"/>
      <c r="C2199" s="70"/>
      <c r="D2199" s="70"/>
      <c r="E2199" s="70"/>
      <c r="F2199" s="70"/>
      <c r="G2199" s="70"/>
      <c r="H2199" s="93"/>
      <c r="I2199" s="85"/>
      <c r="J2199" s="85"/>
      <c r="K2199" s="131"/>
      <c r="L2199" s="60"/>
      <c r="M2199" s="33"/>
      <c r="Q2199" s="3"/>
      <c r="R2199" s="3"/>
      <c r="S2199" s="3"/>
      <c r="T2199" s="3"/>
      <c r="U2199" s="3"/>
      <c r="V2199" s="3"/>
      <c r="W2199" s="3"/>
      <c r="X2199" s="3"/>
      <c r="Y2199" s="3"/>
      <c r="Z2199" s="4"/>
      <c r="AA2199"/>
      <c r="AB2199"/>
    </row>
    <row r="2200" spans="1:28" s="37" customFormat="1" x14ac:dyDescent="0.15">
      <c r="A2200" s="166"/>
      <c r="B2200" s="93"/>
      <c r="C2200" s="70"/>
      <c r="D2200" s="70"/>
      <c r="E2200" s="70"/>
      <c r="F2200" s="70"/>
      <c r="G2200" s="70"/>
      <c r="H2200" s="93"/>
      <c r="I2200" s="85"/>
      <c r="J2200" s="85"/>
      <c r="K2200" s="131"/>
      <c r="L2200" s="60"/>
      <c r="M2200" s="33"/>
      <c r="Q2200" s="3"/>
      <c r="R2200" s="3"/>
      <c r="S2200" s="3"/>
      <c r="T2200" s="3"/>
      <c r="U2200" s="3"/>
      <c r="V2200" s="3"/>
      <c r="W2200" s="3"/>
      <c r="X2200" s="3"/>
      <c r="Y2200" s="3"/>
      <c r="Z2200" s="4"/>
      <c r="AA2200"/>
      <c r="AB2200"/>
    </row>
    <row r="2201" spans="1:28" s="37" customFormat="1" x14ac:dyDescent="0.15">
      <c r="A2201" s="166"/>
      <c r="B2201" s="93"/>
      <c r="C2201" s="70"/>
      <c r="D2201" s="70"/>
      <c r="E2201" s="70"/>
      <c r="F2201" s="70"/>
      <c r="G2201" s="70"/>
      <c r="H2201" s="93"/>
      <c r="I2201" s="85"/>
      <c r="J2201" s="85"/>
      <c r="K2201" s="131"/>
      <c r="L2201" s="60"/>
      <c r="Q2201" s="3"/>
      <c r="R2201" s="3"/>
      <c r="S2201" s="3"/>
      <c r="T2201" s="3"/>
      <c r="U2201" s="3"/>
      <c r="V2201" s="3"/>
      <c r="W2201" s="3"/>
      <c r="X2201" s="3"/>
      <c r="Y2201" s="3"/>
      <c r="Z2201" s="4"/>
      <c r="AA2201"/>
      <c r="AB2201"/>
    </row>
    <row r="2202" spans="1:28" s="37" customFormat="1" x14ac:dyDescent="0.15">
      <c r="A2202" s="166"/>
      <c r="B2202" s="93"/>
      <c r="C2202" s="70"/>
      <c r="D2202" s="70"/>
      <c r="E2202" s="70"/>
      <c r="F2202" s="70"/>
      <c r="G2202" s="70"/>
      <c r="H2202" s="93"/>
      <c r="I2202" s="85"/>
      <c r="J2202" s="85"/>
      <c r="K2202" s="131"/>
      <c r="L2202" s="60"/>
      <c r="Q2202" s="3"/>
      <c r="R2202" s="3"/>
      <c r="S2202" s="3"/>
      <c r="T2202" s="3"/>
      <c r="U2202" s="3"/>
      <c r="V2202" s="3"/>
      <c r="W2202" s="3"/>
      <c r="X2202" s="3"/>
      <c r="Y2202" s="3"/>
      <c r="Z2202" s="4"/>
      <c r="AA2202"/>
      <c r="AB2202"/>
    </row>
    <row r="2203" spans="1:28" s="37" customFormat="1" x14ac:dyDescent="0.15">
      <c r="A2203" s="166"/>
      <c r="B2203" s="93"/>
      <c r="C2203" s="70"/>
      <c r="D2203" s="70"/>
      <c r="E2203" s="70"/>
      <c r="F2203" s="70"/>
      <c r="G2203" s="70"/>
      <c r="H2203" s="93"/>
      <c r="I2203" s="85"/>
      <c r="J2203" s="85"/>
      <c r="K2203" s="131"/>
      <c r="L2203" s="60"/>
      <c r="Q2203" s="3"/>
      <c r="R2203" s="3"/>
      <c r="S2203" s="3"/>
      <c r="T2203" s="3"/>
      <c r="U2203" s="3"/>
      <c r="V2203" s="3"/>
      <c r="W2203" s="3"/>
      <c r="X2203" s="3"/>
      <c r="Y2203" s="3"/>
      <c r="Z2203" s="4"/>
      <c r="AA2203"/>
      <c r="AB2203"/>
    </row>
    <row r="2204" spans="1:28" s="37" customFormat="1" x14ac:dyDescent="0.15">
      <c r="A2204" s="166"/>
      <c r="B2204" s="93"/>
      <c r="C2204" s="70"/>
      <c r="D2204" s="70"/>
      <c r="E2204" s="70"/>
      <c r="F2204" s="70"/>
      <c r="G2204" s="70"/>
      <c r="H2204" s="93"/>
      <c r="I2204" s="85"/>
      <c r="J2204" s="85"/>
      <c r="K2204" s="131"/>
      <c r="L2204" s="60"/>
      <c r="M2204" s="49"/>
      <c r="N2204" s="32"/>
      <c r="Q2204" s="3"/>
      <c r="R2204" s="3"/>
      <c r="S2204" s="3"/>
      <c r="T2204" s="3"/>
      <c r="U2204" s="3"/>
      <c r="V2204" s="3"/>
      <c r="W2204" s="3"/>
      <c r="X2204" s="3"/>
      <c r="Y2204" s="3"/>
      <c r="Z2204" s="4"/>
      <c r="AA2204"/>
      <c r="AB2204"/>
    </row>
    <row r="2205" spans="1:28" s="37" customFormat="1" x14ac:dyDescent="0.15">
      <c r="A2205" s="166"/>
      <c r="B2205" s="93"/>
      <c r="C2205" s="70"/>
      <c r="D2205" s="70"/>
      <c r="E2205" s="70"/>
      <c r="F2205" s="70"/>
      <c r="G2205" s="70"/>
      <c r="H2205" s="93"/>
      <c r="I2205" s="85"/>
      <c r="J2205" s="85"/>
      <c r="K2205" s="131"/>
      <c r="L2205" s="60"/>
      <c r="Q2205" s="3"/>
      <c r="R2205" s="3"/>
      <c r="S2205" s="3"/>
      <c r="T2205" s="3"/>
      <c r="U2205" s="3"/>
      <c r="V2205" s="3"/>
      <c r="W2205" s="3"/>
      <c r="X2205" s="3"/>
      <c r="Y2205" s="3"/>
      <c r="Z2205" s="4"/>
      <c r="AA2205"/>
      <c r="AB2205"/>
    </row>
    <row r="2206" spans="1:28" s="37" customFormat="1" x14ac:dyDescent="0.15">
      <c r="A2206" s="166"/>
      <c r="B2206" s="93"/>
      <c r="C2206" s="70"/>
      <c r="D2206" s="70"/>
      <c r="E2206" s="70"/>
      <c r="F2206" s="70"/>
      <c r="G2206" s="70"/>
      <c r="H2206" s="93"/>
      <c r="I2206" s="85"/>
      <c r="J2206" s="85"/>
      <c r="K2206" s="131"/>
      <c r="L2206" s="60"/>
      <c r="Q2206" s="3"/>
      <c r="R2206" s="3"/>
      <c r="S2206" s="3"/>
      <c r="T2206" s="3"/>
      <c r="U2206" s="3"/>
      <c r="V2206" s="3"/>
      <c r="W2206" s="3"/>
      <c r="X2206" s="3"/>
      <c r="Y2206" s="3"/>
      <c r="Z2206" s="4"/>
      <c r="AA2206"/>
      <c r="AB2206"/>
    </row>
    <row r="2207" spans="1:28" s="37" customFormat="1" x14ac:dyDescent="0.15">
      <c r="A2207" s="166"/>
      <c r="B2207" s="93"/>
      <c r="C2207" s="70"/>
      <c r="D2207" s="70"/>
      <c r="E2207" s="70"/>
      <c r="F2207" s="70"/>
      <c r="G2207" s="70"/>
      <c r="H2207" s="93"/>
      <c r="I2207" s="85"/>
      <c r="J2207" s="85"/>
      <c r="K2207" s="131"/>
      <c r="L2207" s="60"/>
      <c r="Q2207" s="3"/>
      <c r="R2207" s="3"/>
      <c r="S2207" s="3"/>
      <c r="T2207" s="3"/>
      <c r="U2207" s="3"/>
      <c r="V2207" s="3"/>
      <c r="W2207" s="3"/>
      <c r="X2207" s="3"/>
      <c r="Y2207" s="3"/>
      <c r="Z2207" s="4"/>
      <c r="AA2207"/>
      <c r="AB2207"/>
    </row>
    <row r="2208" spans="1:28" s="37" customFormat="1" x14ac:dyDescent="0.15">
      <c r="A2208" s="166"/>
      <c r="B2208" s="82"/>
      <c r="C2208" s="70"/>
      <c r="D2208" s="70"/>
      <c r="E2208" s="70"/>
      <c r="F2208" s="70"/>
      <c r="G2208" s="70"/>
      <c r="H2208" s="93"/>
      <c r="I2208" s="85"/>
      <c r="J2208" s="85"/>
      <c r="K2208" s="131"/>
      <c r="L2208" s="60"/>
      <c r="M2208" s="49"/>
      <c r="Q2208" s="3"/>
      <c r="R2208" s="3"/>
      <c r="S2208" s="3"/>
      <c r="T2208" s="3"/>
      <c r="U2208" s="3"/>
      <c r="V2208" s="3"/>
      <c r="W2208" s="3"/>
      <c r="X2208" s="3"/>
      <c r="Y2208" s="3"/>
      <c r="Z2208" s="4"/>
      <c r="AA2208"/>
      <c r="AB2208"/>
    </row>
    <row r="2209" spans="1:28" s="37" customFormat="1" x14ac:dyDescent="0.15">
      <c r="A2209" s="166"/>
      <c r="B2209" s="82"/>
      <c r="C2209" s="70"/>
      <c r="D2209" s="70"/>
      <c r="E2209" s="70"/>
      <c r="F2209" s="70"/>
      <c r="G2209" s="70"/>
      <c r="H2209" s="93"/>
      <c r="I2209" s="85"/>
      <c r="J2209" s="85"/>
      <c r="K2209" s="131"/>
      <c r="L2209" s="60"/>
      <c r="M2209" s="49"/>
      <c r="Q2209" s="3"/>
      <c r="R2209" s="3"/>
      <c r="S2209" s="3"/>
      <c r="T2209" s="3"/>
      <c r="U2209" s="3"/>
      <c r="V2209" s="3"/>
      <c r="W2209" s="3"/>
      <c r="X2209" s="3"/>
      <c r="Y2209" s="3"/>
      <c r="Z2209" s="4"/>
      <c r="AA2209"/>
      <c r="AB2209"/>
    </row>
    <row r="2210" spans="1:28" s="37" customFormat="1" x14ac:dyDescent="0.15">
      <c r="A2210" s="166"/>
      <c r="B2210" s="82"/>
      <c r="C2210" s="70"/>
      <c r="D2210" s="70"/>
      <c r="E2210" s="70"/>
      <c r="F2210" s="70"/>
      <c r="G2210" s="70"/>
      <c r="H2210" s="93"/>
      <c r="I2210" s="85"/>
      <c r="J2210" s="85"/>
      <c r="K2210" s="131"/>
      <c r="L2210" s="60"/>
      <c r="M2210" s="33"/>
      <c r="Q2210" s="3"/>
      <c r="R2210" s="3"/>
      <c r="S2210" s="3"/>
      <c r="T2210" s="3"/>
      <c r="U2210" s="3"/>
      <c r="V2210" s="3"/>
      <c r="W2210" s="3"/>
      <c r="X2210" s="3"/>
      <c r="Y2210" s="3"/>
      <c r="Z2210" s="4"/>
      <c r="AA2210"/>
      <c r="AB2210"/>
    </row>
    <row r="2211" spans="1:28" s="37" customFormat="1" x14ac:dyDescent="0.15">
      <c r="A2211" s="166"/>
      <c r="B2211" s="93"/>
      <c r="C2211" s="70"/>
      <c r="D2211" s="70"/>
      <c r="E2211" s="70"/>
      <c r="F2211" s="70"/>
      <c r="G2211" s="70"/>
      <c r="H2211" s="93"/>
      <c r="I2211" s="85"/>
      <c r="J2211" s="85"/>
      <c r="K2211" s="131"/>
      <c r="L2211" s="60"/>
      <c r="M2211" s="33"/>
      <c r="Q2211" s="3"/>
      <c r="R2211" s="3"/>
      <c r="S2211" s="3"/>
      <c r="T2211" s="3"/>
      <c r="U2211" s="3"/>
      <c r="V2211" s="3"/>
      <c r="W2211" s="3"/>
      <c r="X2211" s="3"/>
      <c r="Y2211" s="3"/>
      <c r="Z2211" s="4"/>
      <c r="AA2211"/>
      <c r="AB2211"/>
    </row>
    <row r="2212" spans="1:28" s="37" customFormat="1" ht="16" x14ac:dyDescent="0.2">
      <c r="A2212" s="166"/>
      <c r="B2212" s="82"/>
      <c r="C2212" s="70"/>
      <c r="D2212" s="70"/>
      <c r="E2212" s="70"/>
      <c r="F2212" s="70"/>
      <c r="G2212" s="70"/>
      <c r="H2212" s="93"/>
      <c r="I2212" s="85"/>
      <c r="J2212" s="85"/>
      <c r="K2212" s="131"/>
      <c r="L2212" s="60"/>
      <c r="M2212" s="47"/>
      <c r="Q2212" s="3"/>
      <c r="R2212" s="3"/>
      <c r="S2212" s="3"/>
      <c r="T2212" s="3"/>
      <c r="U2212" s="3"/>
      <c r="V2212" s="3"/>
      <c r="W2212" s="3"/>
      <c r="X2212" s="3"/>
      <c r="Y2212" s="3"/>
      <c r="Z2212" s="4"/>
      <c r="AA2212"/>
      <c r="AB2212"/>
    </row>
    <row r="2213" spans="1:28" s="37" customFormat="1" x14ac:dyDescent="0.15">
      <c r="A2213" s="166"/>
      <c r="B2213" s="82"/>
      <c r="C2213" s="70"/>
      <c r="D2213" s="70"/>
      <c r="E2213" s="70"/>
      <c r="F2213" s="70"/>
      <c r="G2213" s="70"/>
      <c r="H2213" s="93"/>
      <c r="I2213" s="85"/>
      <c r="J2213" s="85"/>
      <c r="K2213" s="131"/>
      <c r="L2213" s="69"/>
      <c r="M2213" s="49"/>
      <c r="Q2213" s="3"/>
      <c r="R2213" s="3"/>
      <c r="S2213" s="3"/>
      <c r="T2213" s="3"/>
      <c r="U2213" s="3"/>
      <c r="V2213" s="3"/>
      <c r="W2213" s="3"/>
      <c r="X2213" s="3"/>
      <c r="Y2213" s="3"/>
      <c r="Z2213" s="4"/>
      <c r="AA2213"/>
      <c r="AB2213"/>
    </row>
    <row r="2214" spans="1:28" s="37" customFormat="1" x14ac:dyDescent="0.15">
      <c r="A2214" s="166"/>
      <c r="B2214" s="82"/>
      <c r="C2214" s="70"/>
      <c r="D2214" s="70"/>
      <c r="E2214" s="70"/>
      <c r="F2214" s="70"/>
      <c r="G2214" s="70"/>
      <c r="H2214" s="93"/>
      <c r="I2214" s="85"/>
      <c r="J2214" s="85"/>
      <c r="K2214" s="131"/>
      <c r="L2214" s="60"/>
      <c r="M2214" s="49"/>
      <c r="Q2214" s="3"/>
      <c r="R2214" s="3"/>
      <c r="S2214" s="3"/>
      <c r="T2214" s="3"/>
      <c r="U2214" s="3"/>
      <c r="V2214" s="3"/>
      <c r="W2214" s="3"/>
      <c r="X2214" s="3"/>
      <c r="Y2214" s="3"/>
      <c r="Z2214" s="4"/>
      <c r="AA2214"/>
      <c r="AB2214"/>
    </row>
    <row r="2215" spans="1:28" s="37" customFormat="1" x14ac:dyDescent="0.15">
      <c r="A2215" s="166"/>
      <c r="B2215" s="82"/>
      <c r="C2215" s="70"/>
      <c r="D2215" s="70"/>
      <c r="E2215" s="70"/>
      <c r="F2215" s="70"/>
      <c r="G2215" s="70"/>
      <c r="H2215" s="93"/>
      <c r="I2215" s="85"/>
      <c r="J2215" s="85"/>
      <c r="K2215" s="131"/>
      <c r="L2215" s="60"/>
      <c r="M2215" s="49"/>
      <c r="Q2215" s="3"/>
      <c r="R2215" s="3"/>
      <c r="S2215" s="3"/>
      <c r="T2215" s="3"/>
      <c r="U2215" s="3"/>
      <c r="V2215" s="3"/>
      <c r="W2215" s="3"/>
      <c r="X2215" s="3"/>
      <c r="Y2215" s="3"/>
      <c r="Z2215" s="4"/>
      <c r="AA2215"/>
      <c r="AB2215"/>
    </row>
    <row r="2216" spans="1:28" s="37" customFormat="1" x14ac:dyDescent="0.15">
      <c r="A2216" s="166"/>
      <c r="B2216" s="82"/>
      <c r="C2216" s="70"/>
      <c r="D2216" s="70"/>
      <c r="E2216" s="70"/>
      <c r="F2216" s="70"/>
      <c r="G2216" s="70"/>
      <c r="H2216" s="93"/>
      <c r="I2216" s="85"/>
      <c r="J2216" s="85"/>
      <c r="K2216" s="131"/>
      <c r="L2216" s="60"/>
      <c r="M2216" s="49"/>
      <c r="Q2216" s="3"/>
      <c r="R2216" s="3"/>
      <c r="S2216" s="3"/>
      <c r="T2216" s="3"/>
      <c r="U2216" s="3"/>
      <c r="V2216" s="3"/>
      <c r="W2216" s="3"/>
      <c r="X2216" s="3"/>
      <c r="Y2216" s="3"/>
      <c r="Z2216" s="4"/>
      <c r="AA2216"/>
      <c r="AB2216"/>
    </row>
    <row r="2217" spans="1:28" s="37" customFormat="1" x14ac:dyDescent="0.15">
      <c r="A2217" s="166"/>
      <c r="B2217" s="82"/>
      <c r="C2217" s="70"/>
      <c r="D2217" s="70"/>
      <c r="E2217" s="70"/>
      <c r="F2217" s="70"/>
      <c r="G2217" s="70"/>
      <c r="H2217" s="93"/>
      <c r="I2217" s="85"/>
      <c r="J2217" s="85"/>
      <c r="K2217" s="131"/>
      <c r="L2217" s="69"/>
      <c r="M2217" s="49"/>
      <c r="Q2217" s="3"/>
      <c r="R2217" s="3"/>
      <c r="S2217" s="3"/>
      <c r="T2217" s="3"/>
      <c r="U2217" s="3"/>
      <c r="V2217" s="3"/>
      <c r="W2217" s="3"/>
      <c r="X2217" s="3"/>
      <c r="Y2217" s="3"/>
      <c r="Z2217" s="4"/>
      <c r="AA2217"/>
      <c r="AB2217"/>
    </row>
    <row r="2218" spans="1:28" s="37" customFormat="1" x14ac:dyDescent="0.15">
      <c r="A2218" s="166"/>
      <c r="B2218" s="82"/>
      <c r="C2218" s="70"/>
      <c r="D2218" s="70"/>
      <c r="E2218" s="70"/>
      <c r="F2218" s="70"/>
      <c r="G2218" s="70"/>
      <c r="H2218" s="93"/>
      <c r="I2218" s="85"/>
      <c r="J2218" s="85"/>
      <c r="K2218" s="131"/>
      <c r="L2218" s="69"/>
      <c r="M2218" s="49"/>
      <c r="Q2218" s="3"/>
      <c r="R2218" s="3"/>
      <c r="S2218" s="3"/>
      <c r="T2218" s="3"/>
      <c r="U2218" s="3"/>
      <c r="V2218" s="3"/>
      <c r="W2218" s="3"/>
      <c r="X2218" s="3"/>
      <c r="Y2218" s="3"/>
      <c r="Z2218" s="4"/>
      <c r="AA2218"/>
      <c r="AB2218"/>
    </row>
    <row r="2219" spans="1:28" s="37" customFormat="1" x14ac:dyDescent="0.15">
      <c r="A2219" s="166"/>
      <c r="B2219" s="82"/>
      <c r="C2219" s="70"/>
      <c r="D2219" s="70"/>
      <c r="E2219" s="70"/>
      <c r="F2219" s="70"/>
      <c r="G2219" s="70"/>
      <c r="H2219" s="93"/>
      <c r="I2219" s="85"/>
      <c r="J2219" s="85"/>
      <c r="K2219" s="131"/>
      <c r="L2219" s="60"/>
      <c r="M2219" s="49"/>
      <c r="Q2219" s="3"/>
      <c r="R2219" s="3"/>
      <c r="S2219" s="3"/>
      <c r="T2219" s="3"/>
      <c r="U2219" s="3"/>
      <c r="V2219" s="3"/>
      <c r="W2219" s="3"/>
      <c r="X2219" s="3"/>
      <c r="Y2219" s="3"/>
      <c r="Z2219" s="4"/>
      <c r="AA2219"/>
      <c r="AB2219"/>
    </row>
    <row r="2220" spans="1:28" s="37" customFormat="1" x14ac:dyDescent="0.15">
      <c r="A2220" s="166"/>
      <c r="B2220" s="82"/>
      <c r="C2220" s="70"/>
      <c r="D2220" s="70"/>
      <c r="E2220" s="70"/>
      <c r="F2220" s="70"/>
      <c r="G2220" s="70"/>
      <c r="H2220" s="93"/>
      <c r="I2220" s="85"/>
      <c r="J2220" s="85"/>
      <c r="K2220" s="131"/>
      <c r="L2220" s="60"/>
      <c r="M2220" s="49"/>
      <c r="Q2220" s="3"/>
      <c r="R2220" s="3"/>
      <c r="S2220" s="3"/>
      <c r="T2220" s="3"/>
      <c r="U2220" s="3"/>
      <c r="V2220" s="3"/>
      <c r="W2220" s="3"/>
      <c r="X2220" s="3"/>
      <c r="Y2220" s="3"/>
      <c r="Z2220" s="4"/>
      <c r="AA2220"/>
      <c r="AB2220"/>
    </row>
    <row r="2221" spans="1:28" s="37" customFormat="1" x14ac:dyDescent="0.15">
      <c r="A2221" s="166"/>
      <c r="B2221" s="82"/>
      <c r="C2221" s="70"/>
      <c r="D2221" s="70"/>
      <c r="E2221" s="70"/>
      <c r="F2221" s="70"/>
      <c r="G2221" s="70"/>
      <c r="H2221" s="93"/>
      <c r="I2221" s="85"/>
      <c r="J2221" s="85"/>
      <c r="K2221" s="131"/>
      <c r="L2221" s="60"/>
      <c r="M2221" s="49"/>
      <c r="Q2221" s="3"/>
      <c r="R2221" s="3"/>
      <c r="S2221" s="3"/>
      <c r="T2221" s="3"/>
      <c r="U2221" s="3"/>
      <c r="V2221" s="3"/>
      <c r="W2221" s="3"/>
      <c r="X2221" s="3"/>
      <c r="Y2221" s="3"/>
      <c r="Z2221" s="4"/>
      <c r="AA2221"/>
      <c r="AB2221"/>
    </row>
    <row r="2222" spans="1:28" s="37" customFormat="1" x14ac:dyDescent="0.15">
      <c r="A2222" s="166"/>
      <c r="B2222" s="82"/>
      <c r="C2222" s="70"/>
      <c r="D2222" s="70"/>
      <c r="E2222" s="70"/>
      <c r="F2222" s="70"/>
      <c r="G2222" s="70"/>
      <c r="H2222" s="93"/>
      <c r="I2222" s="85"/>
      <c r="J2222" s="85"/>
      <c r="K2222" s="131"/>
      <c r="L2222" s="60"/>
      <c r="M2222" s="49"/>
      <c r="Q2222" s="3"/>
      <c r="R2222" s="3"/>
      <c r="S2222" s="3"/>
      <c r="T2222" s="3"/>
      <c r="U2222" s="3"/>
      <c r="V2222" s="3"/>
      <c r="W2222" s="3"/>
      <c r="X2222" s="3"/>
      <c r="Y2222" s="3"/>
      <c r="Z2222" s="4"/>
      <c r="AA2222"/>
      <c r="AB2222"/>
    </row>
    <row r="2223" spans="1:28" s="37" customFormat="1" x14ac:dyDescent="0.15">
      <c r="A2223" s="166"/>
      <c r="B2223" s="82"/>
      <c r="C2223" s="70"/>
      <c r="D2223" s="70"/>
      <c r="E2223" s="70"/>
      <c r="F2223" s="70"/>
      <c r="G2223" s="70"/>
      <c r="H2223" s="93"/>
      <c r="I2223" s="85"/>
      <c r="J2223" s="85"/>
      <c r="K2223" s="131"/>
      <c r="L2223" s="60"/>
      <c r="M2223" s="49"/>
      <c r="Q2223" s="3"/>
      <c r="R2223" s="3"/>
      <c r="S2223" s="3"/>
      <c r="T2223" s="3"/>
      <c r="U2223" s="3"/>
      <c r="V2223" s="3"/>
      <c r="W2223" s="3"/>
      <c r="X2223" s="3"/>
      <c r="Y2223" s="3"/>
      <c r="Z2223" s="4"/>
      <c r="AA2223"/>
      <c r="AB2223"/>
    </row>
    <row r="2224" spans="1:28" s="37" customFormat="1" x14ac:dyDescent="0.15">
      <c r="A2224" s="166"/>
      <c r="B2224" s="82"/>
      <c r="C2224" s="70"/>
      <c r="D2224" s="70"/>
      <c r="E2224" s="70"/>
      <c r="F2224" s="70"/>
      <c r="G2224" s="70"/>
      <c r="H2224" s="93"/>
      <c r="I2224" s="85"/>
      <c r="J2224" s="85"/>
      <c r="K2224" s="131"/>
      <c r="L2224" s="60"/>
      <c r="M2224" s="50"/>
      <c r="Q2224" s="3"/>
      <c r="R2224" s="3"/>
      <c r="S2224" s="3"/>
      <c r="T2224" s="3"/>
      <c r="U2224" s="3"/>
      <c r="V2224" s="3"/>
      <c r="W2224" s="3"/>
      <c r="X2224" s="3"/>
      <c r="Y2224" s="3"/>
      <c r="Z2224" s="4"/>
      <c r="AA2224"/>
      <c r="AB2224"/>
    </row>
    <row r="2225" spans="1:28" s="37" customFormat="1" x14ac:dyDescent="0.15">
      <c r="A2225" s="166"/>
      <c r="B2225" s="82"/>
      <c r="C2225" s="70"/>
      <c r="D2225" s="70"/>
      <c r="E2225" s="70"/>
      <c r="F2225" s="70"/>
      <c r="G2225" s="70"/>
      <c r="H2225" s="93"/>
      <c r="I2225" s="85"/>
      <c r="J2225" s="85"/>
      <c r="K2225" s="131"/>
      <c r="L2225" s="60"/>
      <c r="M2225" s="50"/>
      <c r="Q2225" s="3"/>
      <c r="R2225" s="3"/>
      <c r="S2225" s="3"/>
      <c r="T2225" s="3"/>
      <c r="U2225" s="3"/>
      <c r="V2225" s="3"/>
      <c r="W2225" s="3"/>
      <c r="X2225" s="3"/>
      <c r="Y2225" s="3"/>
      <c r="Z2225" s="4"/>
      <c r="AA2225"/>
      <c r="AB2225"/>
    </row>
    <row r="2226" spans="1:28" s="37" customFormat="1" x14ac:dyDescent="0.15">
      <c r="A2226" s="166"/>
      <c r="B2226" s="82"/>
      <c r="C2226" s="70"/>
      <c r="D2226" s="70"/>
      <c r="E2226" s="70"/>
      <c r="F2226" s="70"/>
      <c r="G2226" s="70"/>
      <c r="H2226" s="93"/>
      <c r="I2226" s="85"/>
      <c r="J2226" s="85"/>
      <c r="K2226" s="131"/>
      <c r="L2226" s="60"/>
      <c r="M2226" s="50"/>
      <c r="Q2226" s="3"/>
      <c r="R2226" s="3"/>
      <c r="S2226" s="3"/>
      <c r="T2226" s="3"/>
      <c r="U2226" s="3"/>
      <c r="V2226" s="3"/>
      <c r="W2226" s="3"/>
      <c r="X2226" s="3"/>
      <c r="Y2226" s="3"/>
      <c r="Z2226" s="4"/>
      <c r="AA2226"/>
      <c r="AB2226"/>
    </row>
    <row r="2227" spans="1:28" s="37" customFormat="1" x14ac:dyDescent="0.15">
      <c r="A2227" s="166"/>
      <c r="B2227" s="82"/>
      <c r="C2227" s="70"/>
      <c r="D2227" s="70"/>
      <c r="E2227" s="70"/>
      <c r="F2227" s="70"/>
      <c r="G2227" s="70"/>
      <c r="H2227" s="93"/>
      <c r="I2227" s="85"/>
      <c r="J2227" s="85"/>
      <c r="K2227" s="131"/>
      <c r="L2227" s="69"/>
      <c r="M2227" s="50"/>
      <c r="Q2227" s="3"/>
      <c r="R2227" s="3"/>
      <c r="S2227" s="3"/>
      <c r="T2227" s="3"/>
      <c r="U2227" s="3"/>
      <c r="V2227" s="3"/>
      <c r="W2227" s="3"/>
      <c r="X2227" s="3"/>
      <c r="Y2227" s="3"/>
      <c r="Z2227" s="4"/>
      <c r="AA2227"/>
      <c r="AB2227"/>
    </row>
    <row r="2228" spans="1:28" s="37" customFormat="1" x14ac:dyDescent="0.15">
      <c r="A2228" s="166"/>
      <c r="B2228" s="82"/>
      <c r="C2228" s="70"/>
      <c r="D2228" s="70"/>
      <c r="E2228" s="70"/>
      <c r="F2228" s="70"/>
      <c r="G2228" s="70"/>
      <c r="H2228" s="93"/>
      <c r="I2228" s="85"/>
      <c r="J2228" s="85"/>
      <c r="K2228" s="131"/>
      <c r="L2228" s="69"/>
      <c r="M2228" s="50"/>
      <c r="Q2228" s="3"/>
      <c r="R2228" s="3"/>
      <c r="S2228" s="3"/>
      <c r="T2228" s="3"/>
      <c r="U2228" s="3"/>
      <c r="V2228" s="3"/>
      <c r="W2228" s="3"/>
      <c r="X2228" s="3"/>
      <c r="Y2228" s="3"/>
      <c r="Z2228" s="4"/>
      <c r="AA2228"/>
      <c r="AB2228"/>
    </row>
    <row r="2229" spans="1:28" s="37" customFormat="1" x14ac:dyDescent="0.15">
      <c r="A2229" s="166"/>
      <c r="B2229" s="82"/>
      <c r="C2229" s="70"/>
      <c r="D2229" s="70"/>
      <c r="E2229" s="70"/>
      <c r="F2229" s="70"/>
      <c r="G2229" s="70"/>
      <c r="H2229" s="93"/>
      <c r="I2229" s="85"/>
      <c r="J2229" s="85"/>
      <c r="K2229" s="131"/>
      <c r="L2229" s="69"/>
      <c r="M2229" s="50"/>
      <c r="Q2229" s="3"/>
      <c r="R2229" s="3"/>
      <c r="S2229" s="3"/>
      <c r="T2229" s="3"/>
      <c r="U2229" s="3"/>
      <c r="V2229" s="3"/>
      <c r="W2229" s="3"/>
      <c r="X2229" s="3"/>
      <c r="Y2229" s="3"/>
      <c r="Z2229" s="4"/>
      <c r="AA2229"/>
      <c r="AB2229"/>
    </row>
    <row r="2230" spans="1:28" s="37" customFormat="1" x14ac:dyDescent="0.15">
      <c r="A2230" s="166"/>
      <c r="B2230" s="82"/>
      <c r="C2230" s="70"/>
      <c r="D2230" s="70"/>
      <c r="E2230" s="70"/>
      <c r="F2230" s="70"/>
      <c r="G2230" s="70"/>
      <c r="H2230" s="93"/>
      <c r="I2230" s="85"/>
      <c r="J2230" s="85"/>
      <c r="K2230" s="131"/>
      <c r="L2230" s="69"/>
      <c r="M2230" s="50"/>
      <c r="Q2230" s="3"/>
      <c r="R2230" s="3"/>
      <c r="S2230" s="3"/>
      <c r="T2230" s="3"/>
      <c r="U2230" s="3"/>
      <c r="V2230" s="3"/>
      <c r="W2230" s="3"/>
      <c r="X2230" s="3"/>
      <c r="Y2230" s="3"/>
      <c r="Z2230" s="4"/>
      <c r="AA2230"/>
      <c r="AB2230"/>
    </row>
    <row r="2231" spans="1:28" s="37" customFormat="1" x14ac:dyDescent="0.15">
      <c r="A2231" s="166"/>
      <c r="B2231" s="82"/>
      <c r="C2231" s="70"/>
      <c r="D2231" s="70"/>
      <c r="E2231" s="70"/>
      <c r="F2231" s="70"/>
      <c r="G2231" s="70"/>
      <c r="H2231" s="93"/>
      <c r="I2231" s="85"/>
      <c r="J2231" s="85"/>
      <c r="K2231" s="131"/>
      <c r="L2231" s="69"/>
      <c r="M2231" s="50"/>
      <c r="O2231" s="51"/>
      <c r="Q2231" s="3"/>
      <c r="R2231" s="3"/>
      <c r="S2231" s="3"/>
      <c r="T2231" s="3"/>
      <c r="U2231" s="3"/>
      <c r="V2231" s="3"/>
      <c r="W2231" s="3"/>
      <c r="X2231" s="3"/>
      <c r="Y2231" s="3"/>
      <c r="Z2231" s="4"/>
      <c r="AA2231"/>
      <c r="AB2231"/>
    </row>
    <row r="2232" spans="1:28" s="37" customFormat="1" x14ac:dyDescent="0.15">
      <c r="A2232" s="166"/>
      <c r="B2232" s="82"/>
      <c r="C2232" s="70"/>
      <c r="D2232" s="70"/>
      <c r="E2232" s="70"/>
      <c r="F2232" s="70"/>
      <c r="G2232" s="70"/>
      <c r="H2232" s="93"/>
      <c r="I2232" s="85"/>
      <c r="J2232" s="85"/>
      <c r="K2232" s="131"/>
      <c r="L2232" s="69"/>
      <c r="M2232" s="50"/>
      <c r="Q2232" s="3"/>
      <c r="R2232" s="3"/>
      <c r="S2232" s="3"/>
      <c r="T2232" s="3"/>
      <c r="U2232" s="3"/>
      <c r="V2232" s="3"/>
      <c r="W2232" s="3"/>
      <c r="X2232" s="3"/>
      <c r="Y2232" s="3"/>
      <c r="Z2232" s="4"/>
      <c r="AA2232"/>
      <c r="AB2232"/>
    </row>
    <row r="2233" spans="1:28" s="37" customFormat="1" x14ac:dyDescent="0.15">
      <c r="A2233" s="166"/>
      <c r="B2233" s="82"/>
      <c r="C2233" s="70"/>
      <c r="D2233" s="70"/>
      <c r="E2233" s="70"/>
      <c r="F2233" s="70"/>
      <c r="G2233" s="70"/>
      <c r="H2233" s="93"/>
      <c r="I2233" s="85"/>
      <c r="J2233" s="85"/>
      <c r="K2233" s="131"/>
      <c r="L2233" s="69"/>
      <c r="M2233" s="50"/>
      <c r="Q2233" s="3"/>
      <c r="R2233" s="3"/>
      <c r="S2233" s="3"/>
      <c r="T2233" s="3"/>
      <c r="U2233" s="3"/>
      <c r="V2233" s="3"/>
      <c r="W2233" s="3"/>
      <c r="X2233" s="3"/>
      <c r="Y2233" s="3"/>
      <c r="Z2233" s="4"/>
      <c r="AA2233"/>
      <c r="AB2233"/>
    </row>
    <row r="2234" spans="1:28" s="37" customFormat="1" x14ac:dyDescent="0.15">
      <c r="A2234" s="166"/>
      <c r="B2234" s="82"/>
      <c r="C2234" s="70"/>
      <c r="D2234" s="70"/>
      <c r="E2234" s="70"/>
      <c r="F2234" s="70"/>
      <c r="G2234" s="70"/>
      <c r="H2234" s="93"/>
      <c r="I2234" s="85"/>
      <c r="J2234" s="85"/>
      <c r="K2234" s="131"/>
      <c r="L2234" s="69"/>
      <c r="M2234" s="50"/>
      <c r="N2234" s="35"/>
      <c r="Q2234" s="3"/>
      <c r="R2234" s="3"/>
      <c r="S2234" s="3"/>
      <c r="T2234" s="3"/>
      <c r="U2234" s="3"/>
      <c r="V2234" s="3"/>
      <c r="W2234" s="3"/>
      <c r="X2234" s="3"/>
      <c r="Y2234" s="3"/>
      <c r="Z2234" s="4"/>
      <c r="AA2234"/>
      <c r="AB2234"/>
    </row>
    <row r="2235" spans="1:28" s="37" customFormat="1" x14ac:dyDescent="0.15">
      <c r="A2235" s="166"/>
      <c r="B2235" s="82"/>
      <c r="C2235" s="70"/>
      <c r="D2235" s="70"/>
      <c r="E2235" s="70"/>
      <c r="F2235" s="70"/>
      <c r="G2235" s="70"/>
      <c r="H2235" s="93"/>
      <c r="I2235" s="85"/>
      <c r="J2235" s="85"/>
      <c r="K2235" s="131"/>
      <c r="L2235" s="69"/>
      <c r="M2235" s="50"/>
      <c r="Q2235" s="3"/>
      <c r="R2235" s="3"/>
      <c r="S2235" s="3"/>
      <c r="T2235" s="3"/>
      <c r="U2235" s="3"/>
      <c r="V2235" s="3"/>
      <c r="W2235" s="3"/>
      <c r="X2235" s="3"/>
      <c r="Y2235" s="3"/>
      <c r="Z2235" s="4"/>
      <c r="AA2235"/>
      <c r="AB2235"/>
    </row>
    <row r="2236" spans="1:28" s="37" customFormat="1" x14ac:dyDescent="0.15">
      <c r="A2236" s="166"/>
      <c r="B2236" s="82"/>
      <c r="C2236" s="70"/>
      <c r="D2236" s="70"/>
      <c r="E2236" s="70"/>
      <c r="F2236" s="70"/>
      <c r="G2236" s="70"/>
      <c r="H2236" s="108"/>
      <c r="I2236" s="85"/>
      <c r="J2236" s="85"/>
      <c r="K2236" s="131"/>
      <c r="L2236" s="69"/>
      <c r="M2236" s="50"/>
      <c r="Q2236" s="3"/>
      <c r="R2236" s="3"/>
      <c r="S2236" s="3"/>
      <c r="T2236" s="3"/>
      <c r="U2236" s="3"/>
      <c r="V2236" s="3"/>
      <c r="W2236" s="3"/>
      <c r="X2236" s="3"/>
      <c r="Y2236" s="3"/>
      <c r="Z2236" s="4"/>
      <c r="AA2236"/>
      <c r="AB2236"/>
    </row>
    <row r="2237" spans="1:28" s="37" customFormat="1" x14ac:dyDescent="0.15">
      <c r="A2237" s="166"/>
      <c r="B2237" s="82"/>
      <c r="C2237" s="70"/>
      <c r="D2237" s="70"/>
      <c r="E2237" s="70"/>
      <c r="F2237" s="70"/>
      <c r="G2237" s="70"/>
      <c r="H2237" s="93"/>
      <c r="I2237" s="85"/>
      <c r="J2237" s="85"/>
      <c r="K2237" s="131"/>
      <c r="L2237" s="60"/>
      <c r="M2237" s="50"/>
      <c r="O2237" s="51"/>
      <c r="Q2237" s="3"/>
      <c r="R2237" s="3"/>
      <c r="S2237" s="3"/>
      <c r="T2237" s="3"/>
      <c r="U2237" s="3"/>
      <c r="V2237" s="3"/>
      <c r="W2237" s="3"/>
      <c r="X2237" s="3"/>
      <c r="Y2237" s="3"/>
      <c r="Z2237" s="4"/>
      <c r="AA2237"/>
      <c r="AB2237"/>
    </row>
    <row r="2238" spans="1:28" s="37" customFormat="1" ht="16" x14ac:dyDescent="0.2">
      <c r="A2238" s="166"/>
      <c r="B2238" s="82"/>
      <c r="C2238" s="70"/>
      <c r="D2238" s="70"/>
      <c r="E2238" s="70"/>
      <c r="F2238" s="70"/>
      <c r="G2238" s="70"/>
      <c r="H2238" s="93"/>
      <c r="I2238" s="85"/>
      <c r="J2238" s="85"/>
      <c r="K2238" s="131"/>
      <c r="L2238" s="69"/>
      <c r="M2238" s="50"/>
      <c r="N2238" s="48"/>
      <c r="O2238" s="51"/>
      <c r="Q2238" s="3"/>
      <c r="R2238" s="3"/>
      <c r="S2238" s="3"/>
      <c r="T2238" s="3"/>
      <c r="U2238" s="3"/>
      <c r="V2238" s="3"/>
      <c r="W2238" s="3"/>
      <c r="X2238" s="3"/>
      <c r="Y2238" s="3"/>
      <c r="Z2238" s="4"/>
      <c r="AA2238"/>
      <c r="AB2238"/>
    </row>
    <row r="2239" spans="1:28" s="37" customFormat="1" x14ac:dyDescent="0.15">
      <c r="A2239" s="166"/>
      <c r="B2239" s="82"/>
      <c r="C2239" s="70"/>
      <c r="D2239" s="70"/>
      <c r="E2239" s="70"/>
      <c r="F2239" s="70"/>
      <c r="G2239" s="70"/>
      <c r="H2239" s="93"/>
      <c r="I2239" s="85"/>
      <c r="J2239" s="85"/>
      <c r="K2239" s="131"/>
      <c r="L2239" s="69"/>
      <c r="M2239" s="50"/>
      <c r="Q2239" s="3"/>
      <c r="R2239" s="3"/>
      <c r="S2239" s="3"/>
      <c r="T2239" s="3"/>
      <c r="U2239" s="3"/>
      <c r="V2239" s="3"/>
      <c r="W2239" s="3"/>
      <c r="X2239" s="3"/>
      <c r="Y2239" s="3"/>
      <c r="Z2239" s="4"/>
      <c r="AA2239"/>
      <c r="AB2239"/>
    </row>
    <row r="2240" spans="1:28" s="37" customFormat="1" x14ac:dyDescent="0.15">
      <c r="A2240" s="166"/>
      <c r="B2240" s="82"/>
      <c r="C2240" s="70"/>
      <c r="D2240" s="70"/>
      <c r="E2240" s="70"/>
      <c r="F2240" s="70"/>
      <c r="G2240" s="70"/>
      <c r="H2240" s="93"/>
      <c r="I2240" s="85"/>
      <c r="J2240" s="85"/>
      <c r="K2240" s="131"/>
      <c r="L2240" s="69"/>
      <c r="M2240" s="50"/>
      <c r="Q2240" s="3"/>
      <c r="R2240" s="3"/>
      <c r="S2240" s="3"/>
      <c r="T2240" s="3"/>
      <c r="U2240" s="3"/>
      <c r="V2240" s="3"/>
      <c r="W2240" s="3"/>
      <c r="X2240" s="3"/>
      <c r="Y2240" s="3"/>
      <c r="Z2240" s="4"/>
      <c r="AA2240"/>
      <c r="AB2240"/>
    </row>
    <row r="2241" spans="1:28" s="37" customFormat="1" x14ac:dyDescent="0.15">
      <c r="A2241" s="166"/>
      <c r="B2241" s="82"/>
      <c r="C2241" s="70"/>
      <c r="D2241" s="70"/>
      <c r="E2241" s="70"/>
      <c r="F2241" s="70"/>
      <c r="G2241" s="70"/>
      <c r="H2241" s="93"/>
      <c r="I2241" s="85"/>
      <c r="J2241" s="85"/>
      <c r="K2241" s="131"/>
      <c r="L2241" s="69"/>
      <c r="M2241" s="50"/>
      <c r="Q2241" s="3"/>
      <c r="R2241" s="3"/>
      <c r="S2241" s="3"/>
      <c r="T2241" s="3"/>
      <c r="U2241" s="3"/>
      <c r="V2241" s="3"/>
      <c r="W2241" s="3"/>
      <c r="X2241" s="3"/>
      <c r="Y2241" s="3"/>
      <c r="Z2241" s="4"/>
      <c r="AA2241"/>
      <c r="AB2241"/>
    </row>
    <row r="2242" spans="1:28" s="37" customFormat="1" ht="16" x14ac:dyDescent="0.2">
      <c r="A2242" s="166"/>
      <c r="B2242" s="82"/>
      <c r="C2242" s="70"/>
      <c r="D2242" s="70"/>
      <c r="E2242" s="70"/>
      <c r="F2242" s="70"/>
      <c r="G2242" s="70"/>
      <c r="H2242" s="93"/>
      <c r="I2242" s="85"/>
      <c r="J2242" s="85"/>
      <c r="K2242" s="131"/>
      <c r="L2242" s="60"/>
      <c r="M2242" s="50"/>
      <c r="N2242" s="48"/>
      <c r="Q2242" s="3"/>
      <c r="R2242" s="3"/>
      <c r="S2242" s="3"/>
      <c r="T2242" s="3"/>
      <c r="U2242" s="3"/>
      <c r="V2242" s="3"/>
      <c r="W2242" s="3"/>
      <c r="X2242" s="3"/>
      <c r="Y2242" s="3"/>
      <c r="Z2242" s="4"/>
      <c r="AA2242"/>
      <c r="AB2242"/>
    </row>
    <row r="2243" spans="1:28" s="37" customFormat="1" x14ac:dyDescent="0.15">
      <c r="A2243" s="166"/>
      <c r="B2243" s="82"/>
      <c r="C2243" s="70"/>
      <c r="D2243" s="70"/>
      <c r="E2243" s="70"/>
      <c r="F2243" s="70"/>
      <c r="G2243" s="70"/>
      <c r="H2243" s="93"/>
      <c r="I2243" s="85"/>
      <c r="J2243" s="85"/>
      <c r="K2243" s="131"/>
      <c r="L2243" s="60"/>
      <c r="M2243" s="50"/>
      <c r="Q2243" s="3"/>
      <c r="R2243" s="3"/>
      <c r="S2243" s="3"/>
      <c r="T2243" s="3"/>
      <c r="U2243" s="3"/>
      <c r="V2243" s="3"/>
      <c r="W2243" s="3"/>
      <c r="X2243" s="3"/>
      <c r="Y2243" s="3"/>
      <c r="Z2243" s="4"/>
      <c r="AA2243"/>
      <c r="AB2243"/>
    </row>
    <row r="2244" spans="1:28" s="37" customFormat="1" x14ac:dyDescent="0.15">
      <c r="A2244" s="166"/>
      <c r="B2244" s="82"/>
      <c r="C2244" s="70"/>
      <c r="D2244" s="70"/>
      <c r="E2244" s="70"/>
      <c r="F2244" s="70"/>
      <c r="G2244" s="70"/>
      <c r="H2244" s="93"/>
      <c r="I2244" s="85"/>
      <c r="J2244" s="85"/>
      <c r="K2244" s="131"/>
      <c r="L2244" s="69"/>
      <c r="M2244" s="50"/>
      <c r="Q2244" s="3"/>
      <c r="R2244" s="3"/>
      <c r="S2244" s="3"/>
      <c r="T2244" s="3"/>
      <c r="U2244" s="3"/>
      <c r="V2244" s="3"/>
      <c r="W2244" s="3"/>
      <c r="X2244" s="3"/>
      <c r="Y2244" s="3"/>
      <c r="Z2244" s="4"/>
      <c r="AA2244"/>
      <c r="AB2244"/>
    </row>
    <row r="2245" spans="1:28" s="37" customFormat="1" x14ac:dyDescent="0.15">
      <c r="A2245" s="166"/>
      <c r="B2245" s="82"/>
      <c r="C2245" s="70"/>
      <c r="D2245" s="70"/>
      <c r="E2245" s="70"/>
      <c r="F2245" s="70"/>
      <c r="G2245" s="70"/>
      <c r="H2245" s="93"/>
      <c r="I2245" s="85"/>
      <c r="J2245" s="85"/>
      <c r="K2245" s="131"/>
      <c r="L2245" s="60"/>
      <c r="M2245" s="50"/>
      <c r="Q2245" s="3"/>
      <c r="R2245" s="3"/>
      <c r="S2245" s="3"/>
      <c r="T2245" s="3"/>
      <c r="U2245" s="3"/>
      <c r="V2245" s="3"/>
      <c r="W2245" s="3"/>
      <c r="X2245" s="3"/>
      <c r="Y2245" s="3"/>
      <c r="Z2245" s="4"/>
      <c r="AA2245"/>
      <c r="AB2245"/>
    </row>
    <row r="2246" spans="1:28" s="37" customFormat="1" x14ac:dyDescent="0.15">
      <c r="A2246" s="166"/>
      <c r="B2246" s="82"/>
      <c r="C2246" s="70"/>
      <c r="D2246" s="70"/>
      <c r="E2246" s="70"/>
      <c r="F2246" s="70"/>
      <c r="G2246" s="70"/>
      <c r="H2246" s="93"/>
      <c r="I2246" s="85"/>
      <c r="J2246" s="85"/>
      <c r="K2246" s="131"/>
      <c r="L2246" s="69"/>
      <c r="M2246" s="49"/>
      <c r="Q2246" s="3"/>
      <c r="R2246" s="3"/>
      <c r="S2246" s="3"/>
      <c r="T2246" s="3"/>
      <c r="U2246" s="3"/>
      <c r="V2246" s="3"/>
      <c r="W2246" s="3"/>
      <c r="X2246" s="3"/>
      <c r="Y2246" s="3"/>
      <c r="Z2246" s="4"/>
      <c r="AA2246"/>
      <c r="AB2246"/>
    </row>
    <row r="2247" spans="1:28" s="37" customFormat="1" ht="16" x14ac:dyDescent="0.2">
      <c r="A2247" s="166"/>
      <c r="B2247" s="82"/>
      <c r="C2247" s="70"/>
      <c r="D2247" s="70"/>
      <c r="E2247" s="70"/>
      <c r="F2247" s="70"/>
      <c r="G2247" s="70"/>
      <c r="H2247" s="93"/>
      <c r="I2247" s="85"/>
      <c r="J2247" s="85"/>
      <c r="K2247" s="131"/>
      <c r="L2247" s="69"/>
      <c r="M2247" s="50"/>
      <c r="N2247" s="48"/>
      <c r="Q2247" s="3"/>
      <c r="R2247" s="3"/>
      <c r="S2247" s="3"/>
      <c r="T2247" s="3"/>
      <c r="U2247" s="3"/>
      <c r="V2247" s="3"/>
      <c r="W2247" s="3"/>
      <c r="X2247" s="3"/>
      <c r="Y2247" s="3"/>
      <c r="Z2247" s="4"/>
      <c r="AA2247"/>
      <c r="AB2247"/>
    </row>
    <row r="2248" spans="1:28" s="37" customFormat="1" x14ac:dyDescent="0.15">
      <c r="A2248" s="166"/>
      <c r="B2248" s="82"/>
      <c r="C2248" s="70"/>
      <c r="D2248" s="70"/>
      <c r="E2248" s="70"/>
      <c r="F2248" s="70"/>
      <c r="G2248" s="70"/>
      <c r="H2248" s="93"/>
      <c r="I2248" s="85"/>
      <c r="J2248" s="85"/>
      <c r="K2248" s="131"/>
      <c r="L2248" s="69"/>
      <c r="M2248" s="49"/>
      <c r="Q2248" s="3"/>
      <c r="R2248" s="3"/>
      <c r="S2248" s="3"/>
      <c r="T2248" s="3"/>
      <c r="U2248" s="3"/>
      <c r="V2248" s="3"/>
      <c r="W2248" s="3"/>
      <c r="X2248" s="3"/>
      <c r="Y2248" s="3"/>
      <c r="Z2248" s="4"/>
      <c r="AA2248"/>
      <c r="AB2248"/>
    </row>
    <row r="2249" spans="1:28" s="37" customFormat="1" x14ac:dyDescent="0.15">
      <c r="A2249" s="166"/>
      <c r="B2249" s="82"/>
      <c r="C2249" s="70"/>
      <c r="D2249" s="70"/>
      <c r="E2249" s="70"/>
      <c r="F2249" s="70"/>
      <c r="G2249" s="70"/>
      <c r="H2249" s="93"/>
      <c r="I2249" s="85"/>
      <c r="J2249" s="85"/>
      <c r="K2249" s="131"/>
      <c r="L2249" s="69"/>
      <c r="M2249" s="50"/>
      <c r="Q2249" s="3"/>
      <c r="R2249" s="3"/>
      <c r="S2249" s="3"/>
      <c r="T2249" s="3"/>
      <c r="U2249" s="3"/>
      <c r="V2249" s="3"/>
      <c r="W2249" s="3"/>
      <c r="X2249" s="3"/>
      <c r="Y2249" s="3"/>
      <c r="Z2249" s="4"/>
      <c r="AA2249"/>
      <c r="AB2249"/>
    </row>
    <row r="2250" spans="1:28" s="37" customFormat="1" x14ac:dyDescent="0.15">
      <c r="A2250" s="166"/>
      <c r="B2250" s="82"/>
      <c r="C2250" s="70"/>
      <c r="D2250" s="70"/>
      <c r="E2250" s="70"/>
      <c r="F2250" s="70"/>
      <c r="G2250" s="70"/>
      <c r="H2250" s="93"/>
      <c r="I2250" s="85"/>
      <c r="J2250" s="85"/>
      <c r="K2250" s="131"/>
      <c r="L2250" s="69"/>
      <c r="M2250" s="50"/>
      <c r="Q2250" s="3"/>
      <c r="R2250" s="3"/>
      <c r="S2250" s="3"/>
      <c r="T2250" s="3"/>
      <c r="U2250" s="3"/>
      <c r="V2250" s="3"/>
      <c r="W2250" s="3"/>
      <c r="X2250" s="3"/>
      <c r="Y2250" s="3"/>
      <c r="Z2250" s="4"/>
      <c r="AA2250"/>
      <c r="AB2250"/>
    </row>
    <row r="2251" spans="1:28" s="37" customFormat="1" x14ac:dyDescent="0.15">
      <c r="A2251" s="166"/>
      <c r="B2251" s="82"/>
      <c r="C2251" s="70"/>
      <c r="D2251" s="70"/>
      <c r="E2251" s="70"/>
      <c r="F2251" s="70"/>
      <c r="G2251" s="70"/>
      <c r="H2251" s="93"/>
      <c r="I2251" s="85"/>
      <c r="J2251" s="85"/>
      <c r="K2251" s="131"/>
      <c r="L2251" s="69"/>
      <c r="M2251" s="50"/>
      <c r="O2251" s="51"/>
      <c r="Q2251" s="3"/>
      <c r="R2251" s="3"/>
      <c r="S2251" s="3"/>
      <c r="T2251" s="3"/>
      <c r="U2251" s="3"/>
      <c r="V2251" s="3"/>
      <c r="W2251" s="3"/>
      <c r="X2251" s="3"/>
      <c r="Y2251" s="3"/>
      <c r="Z2251" s="4"/>
      <c r="AA2251"/>
      <c r="AB2251"/>
    </row>
    <row r="2252" spans="1:28" s="37" customFormat="1" x14ac:dyDescent="0.15">
      <c r="A2252" s="166"/>
      <c r="B2252" s="82"/>
      <c r="C2252" s="70"/>
      <c r="D2252" s="70"/>
      <c r="E2252" s="70"/>
      <c r="F2252" s="70"/>
      <c r="G2252" s="70"/>
      <c r="H2252" s="93"/>
      <c r="I2252" s="85"/>
      <c r="J2252" s="85"/>
      <c r="K2252" s="131"/>
      <c r="L2252" s="60"/>
      <c r="M2252" s="50"/>
      <c r="Q2252" s="3"/>
      <c r="R2252" s="3"/>
      <c r="S2252" s="3"/>
      <c r="T2252" s="3"/>
      <c r="U2252" s="3"/>
      <c r="V2252" s="3"/>
      <c r="W2252" s="3"/>
      <c r="X2252" s="3"/>
      <c r="Y2252" s="3"/>
      <c r="Z2252" s="4"/>
      <c r="AA2252"/>
      <c r="AB2252"/>
    </row>
    <row r="2253" spans="1:28" s="37" customFormat="1" x14ac:dyDescent="0.15">
      <c r="A2253" s="166"/>
      <c r="B2253" s="82"/>
      <c r="C2253" s="70"/>
      <c r="D2253" s="70"/>
      <c r="E2253" s="70"/>
      <c r="F2253" s="70"/>
      <c r="G2253" s="70"/>
      <c r="H2253" s="93"/>
      <c r="I2253" s="85"/>
      <c r="J2253" s="85"/>
      <c r="K2253" s="131"/>
      <c r="L2253" s="60"/>
      <c r="M2253" s="50"/>
      <c r="Q2253" s="3"/>
      <c r="R2253" s="3"/>
      <c r="S2253" s="3"/>
      <c r="T2253" s="3"/>
      <c r="U2253" s="3"/>
      <c r="V2253" s="3"/>
      <c r="W2253" s="3"/>
      <c r="X2253" s="3"/>
      <c r="Y2253" s="3"/>
      <c r="Z2253" s="4"/>
      <c r="AA2253"/>
      <c r="AB2253"/>
    </row>
    <row r="2254" spans="1:28" s="49" customFormat="1" x14ac:dyDescent="0.15">
      <c r="A2254" s="166"/>
      <c r="B2254" s="82"/>
      <c r="C2254" s="70"/>
      <c r="D2254" s="70"/>
      <c r="E2254" s="70"/>
      <c r="F2254" s="70"/>
      <c r="G2254" s="70"/>
      <c r="H2254" s="93"/>
      <c r="I2254" s="85"/>
      <c r="J2254" s="85"/>
      <c r="K2254" s="131"/>
      <c r="L2254" s="69"/>
      <c r="N2254" s="37"/>
      <c r="O2254" s="37"/>
      <c r="P2254" s="37"/>
      <c r="Q2254" s="3"/>
      <c r="R2254" s="3"/>
      <c r="S2254" s="3"/>
      <c r="T2254" s="3"/>
      <c r="U2254" s="3"/>
      <c r="V2254" s="3"/>
      <c r="W2254" s="3"/>
      <c r="X2254" s="3"/>
      <c r="Y2254" s="3"/>
      <c r="Z2254" s="4"/>
      <c r="AA2254"/>
      <c r="AB2254"/>
    </row>
    <row r="2255" spans="1:28" s="49" customFormat="1" x14ac:dyDescent="0.15">
      <c r="A2255" s="166"/>
      <c r="B2255" s="82"/>
      <c r="C2255" s="70"/>
      <c r="D2255" s="70"/>
      <c r="E2255" s="70"/>
      <c r="F2255" s="70"/>
      <c r="G2255" s="70"/>
      <c r="H2255" s="93"/>
      <c r="I2255" s="85"/>
      <c r="J2255" s="85"/>
      <c r="K2255" s="131"/>
      <c r="L2255" s="69"/>
      <c r="N2255" s="37"/>
      <c r="O2255" s="37"/>
      <c r="P2255" s="37"/>
      <c r="Q2255" s="3"/>
      <c r="R2255" s="3"/>
      <c r="S2255" s="3"/>
      <c r="T2255" s="3"/>
      <c r="U2255" s="3"/>
      <c r="V2255" s="3"/>
      <c r="W2255" s="3"/>
      <c r="X2255" s="3"/>
      <c r="Y2255" s="3"/>
      <c r="Z2255" s="4"/>
      <c r="AA2255"/>
      <c r="AB2255"/>
    </row>
    <row r="2256" spans="1:28" s="49" customFormat="1" x14ac:dyDescent="0.15">
      <c r="A2256" s="166"/>
      <c r="B2256" s="82"/>
      <c r="C2256" s="70"/>
      <c r="D2256" s="70"/>
      <c r="E2256" s="70"/>
      <c r="F2256" s="70"/>
      <c r="G2256" s="70"/>
      <c r="H2256" s="93"/>
      <c r="I2256" s="85"/>
      <c r="J2256" s="85"/>
      <c r="K2256" s="131"/>
      <c r="L2256" s="69"/>
      <c r="N2256" s="37"/>
      <c r="O2256" s="37"/>
      <c r="P2256" s="37"/>
      <c r="Q2256" s="3"/>
      <c r="R2256" s="3"/>
      <c r="S2256" s="3"/>
      <c r="T2256" s="3"/>
      <c r="U2256" s="3"/>
      <c r="V2256" s="3"/>
      <c r="W2256" s="3"/>
      <c r="X2256" s="3"/>
      <c r="Y2256" s="3"/>
      <c r="Z2256" s="4"/>
      <c r="AA2256"/>
      <c r="AB2256"/>
    </row>
    <row r="2257" spans="1:28" s="49" customFormat="1" x14ac:dyDescent="0.15">
      <c r="A2257" s="166"/>
      <c r="B2257" s="82"/>
      <c r="C2257" s="70"/>
      <c r="D2257" s="70"/>
      <c r="E2257" s="70"/>
      <c r="F2257" s="70"/>
      <c r="G2257" s="70"/>
      <c r="H2257" s="93"/>
      <c r="I2257" s="85"/>
      <c r="J2257" s="85"/>
      <c r="K2257" s="131"/>
      <c r="L2257" s="69"/>
      <c r="N2257" s="37"/>
      <c r="O2257" s="37"/>
      <c r="P2257" s="37"/>
      <c r="Q2257" s="3"/>
      <c r="R2257" s="3"/>
      <c r="S2257" s="3"/>
      <c r="T2257" s="3"/>
      <c r="U2257" s="3"/>
      <c r="V2257" s="3"/>
      <c r="W2257" s="3"/>
      <c r="X2257" s="3"/>
      <c r="Y2257" s="3"/>
      <c r="Z2257" s="4"/>
      <c r="AA2257"/>
      <c r="AB2257"/>
    </row>
    <row r="2258" spans="1:28" s="49" customFormat="1" x14ac:dyDescent="0.15">
      <c r="A2258" s="166"/>
      <c r="B2258" s="82"/>
      <c r="C2258" s="70"/>
      <c r="D2258" s="70"/>
      <c r="E2258" s="70"/>
      <c r="F2258" s="70"/>
      <c r="G2258" s="70"/>
      <c r="H2258" s="93"/>
      <c r="I2258" s="85"/>
      <c r="J2258" s="85"/>
      <c r="K2258" s="131"/>
      <c r="L2258" s="69"/>
      <c r="N2258" s="37"/>
      <c r="O2258" s="37"/>
      <c r="P2258" s="37"/>
      <c r="Q2258" s="3"/>
      <c r="R2258" s="3"/>
      <c r="S2258" s="3"/>
      <c r="T2258" s="3"/>
      <c r="U2258" s="3"/>
      <c r="V2258" s="3"/>
      <c r="W2258" s="3"/>
      <c r="X2258" s="3"/>
      <c r="Y2258" s="3"/>
      <c r="Z2258" s="4"/>
      <c r="AA2258"/>
      <c r="AB2258"/>
    </row>
    <row r="2259" spans="1:28" s="49" customFormat="1" x14ac:dyDescent="0.15">
      <c r="A2259" s="166"/>
      <c r="B2259" s="82"/>
      <c r="C2259" s="70"/>
      <c r="D2259" s="70"/>
      <c r="E2259" s="70"/>
      <c r="F2259" s="70"/>
      <c r="G2259" s="70"/>
      <c r="H2259" s="93"/>
      <c r="I2259" s="85"/>
      <c r="J2259" s="85"/>
      <c r="K2259" s="131"/>
      <c r="L2259" s="69"/>
      <c r="N2259" s="37"/>
      <c r="O2259" s="37"/>
      <c r="P2259" s="37"/>
      <c r="Q2259" s="3"/>
      <c r="R2259" s="3"/>
      <c r="S2259" s="3"/>
      <c r="T2259" s="3"/>
      <c r="U2259" s="3"/>
      <c r="V2259" s="3"/>
      <c r="W2259" s="3"/>
      <c r="X2259" s="3"/>
      <c r="Y2259" s="3"/>
      <c r="Z2259" s="4"/>
      <c r="AA2259"/>
      <c r="AB2259"/>
    </row>
    <row r="2260" spans="1:28" s="49" customFormat="1" x14ac:dyDescent="0.15">
      <c r="A2260" s="166"/>
      <c r="B2260" s="82"/>
      <c r="C2260" s="70"/>
      <c r="D2260" s="70"/>
      <c r="E2260" s="70"/>
      <c r="F2260" s="70"/>
      <c r="G2260" s="70"/>
      <c r="H2260" s="93"/>
      <c r="I2260" s="85"/>
      <c r="J2260" s="85"/>
      <c r="K2260" s="131"/>
      <c r="L2260" s="60"/>
      <c r="N2260" s="37"/>
      <c r="O2260" s="37"/>
      <c r="P2260" s="37"/>
      <c r="Q2260" s="3"/>
      <c r="R2260" s="3"/>
      <c r="S2260" s="3"/>
      <c r="T2260" s="3"/>
      <c r="U2260" s="3"/>
      <c r="V2260" s="3"/>
      <c r="W2260" s="3"/>
      <c r="X2260" s="3"/>
      <c r="Y2260" s="3"/>
      <c r="Z2260" s="4"/>
      <c r="AA2260"/>
      <c r="AB2260"/>
    </row>
    <row r="2261" spans="1:28" s="49" customFormat="1" x14ac:dyDescent="0.15">
      <c r="A2261" s="166"/>
      <c r="B2261" s="82"/>
      <c r="C2261" s="70"/>
      <c r="D2261" s="70"/>
      <c r="E2261" s="70"/>
      <c r="F2261" s="70"/>
      <c r="G2261" s="70"/>
      <c r="H2261" s="93"/>
      <c r="I2261" s="85"/>
      <c r="J2261" s="85"/>
      <c r="K2261" s="131"/>
      <c r="L2261" s="69"/>
      <c r="N2261" s="37"/>
      <c r="O2261" s="37"/>
      <c r="P2261" s="37"/>
      <c r="Q2261" s="3"/>
      <c r="R2261" s="3"/>
      <c r="S2261" s="3"/>
      <c r="T2261" s="3"/>
      <c r="U2261" s="3"/>
      <c r="V2261" s="3"/>
      <c r="W2261" s="3"/>
      <c r="X2261" s="3"/>
      <c r="Y2261" s="3"/>
      <c r="Z2261" s="4"/>
      <c r="AA2261"/>
      <c r="AB2261"/>
    </row>
    <row r="2262" spans="1:28" s="49" customFormat="1" x14ac:dyDescent="0.15">
      <c r="A2262" s="166"/>
      <c r="B2262" s="82"/>
      <c r="C2262" s="70"/>
      <c r="D2262" s="70"/>
      <c r="E2262" s="70"/>
      <c r="F2262" s="70"/>
      <c r="G2262" s="70"/>
      <c r="H2262" s="93"/>
      <c r="I2262" s="85"/>
      <c r="J2262" s="85"/>
      <c r="K2262" s="131"/>
      <c r="L2262" s="60"/>
      <c r="N2262" s="37"/>
      <c r="O2262" s="37"/>
      <c r="P2262" s="37"/>
      <c r="Q2262" s="3"/>
      <c r="R2262" s="3"/>
      <c r="S2262" s="3"/>
      <c r="T2262" s="3"/>
      <c r="U2262" s="3"/>
      <c r="V2262" s="3"/>
      <c r="W2262" s="3"/>
      <c r="X2262" s="3"/>
      <c r="Y2262" s="3"/>
      <c r="Z2262" s="4"/>
      <c r="AA2262"/>
      <c r="AB2262"/>
    </row>
    <row r="2263" spans="1:28" s="49" customFormat="1" x14ac:dyDescent="0.15">
      <c r="A2263" s="166"/>
      <c r="B2263" s="82"/>
      <c r="C2263" s="70"/>
      <c r="D2263" s="70"/>
      <c r="E2263" s="70"/>
      <c r="F2263" s="70"/>
      <c r="G2263" s="70"/>
      <c r="H2263" s="93"/>
      <c r="I2263" s="85"/>
      <c r="J2263" s="85"/>
      <c r="K2263" s="131"/>
      <c r="L2263" s="69"/>
      <c r="N2263" s="37"/>
      <c r="O2263" s="37"/>
      <c r="P2263" s="37"/>
      <c r="Q2263" s="3"/>
      <c r="R2263" s="3"/>
      <c r="S2263" s="3"/>
      <c r="T2263" s="3"/>
      <c r="U2263" s="3"/>
      <c r="V2263" s="3"/>
      <c r="W2263" s="3"/>
      <c r="X2263" s="3"/>
      <c r="Y2263" s="3"/>
      <c r="Z2263" s="4"/>
      <c r="AA2263"/>
      <c r="AB2263"/>
    </row>
    <row r="2264" spans="1:28" s="49" customFormat="1" x14ac:dyDescent="0.15">
      <c r="A2264" s="166"/>
      <c r="B2264" s="82"/>
      <c r="C2264" s="70"/>
      <c r="D2264" s="70"/>
      <c r="E2264" s="70"/>
      <c r="F2264" s="70"/>
      <c r="G2264" s="70"/>
      <c r="H2264" s="93"/>
      <c r="I2264" s="85"/>
      <c r="J2264" s="85"/>
      <c r="K2264" s="131"/>
      <c r="L2264" s="69"/>
      <c r="N2264" s="37"/>
      <c r="O2264" s="37"/>
      <c r="P2264" s="37"/>
      <c r="Q2264" s="3"/>
      <c r="R2264" s="3"/>
      <c r="S2264" s="3"/>
      <c r="T2264" s="3"/>
      <c r="U2264" s="3"/>
      <c r="V2264" s="3"/>
      <c r="W2264" s="3"/>
      <c r="X2264" s="3"/>
      <c r="Y2264" s="3"/>
      <c r="Z2264" s="4"/>
      <c r="AA2264"/>
      <c r="AB2264"/>
    </row>
    <row r="2265" spans="1:28" s="49" customFormat="1" x14ac:dyDescent="0.15">
      <c r="A2265" s="166"/>
      <c r="B2265" s="82"/>
      <c r="C2265" s="70"/>
      <c r="D2265" s="70"/>
      <c r="E2265" s="70"/>
      <c r="F2265" s="70"/>
      <c r="G2265" s="70"/>
      <c r="H2265" s="93"/>
      <c r="I2265" s="85"/>
      <c r="J2265" s="85"/>
      <c r="K2265" s="131"/>
      <c r="L2265" s="69"/>
      <c r="N2265" s="37"/>
      <c r="O2265" s="37"/>
      <c r="P2265" s="37"/>
      <c r="Q2265" s="3"/>
      <c r="R2265" s="3"/>
      <c r="S2265" s="3"/>
      <c r="T2265" s="3"/>
      <c r="U2265" s="3"/>
      <c r="V2265" s="3"/>
      <c r="W2265" s="3"/>
      <c r="X2265" s="3"/>
      <c r="Y2265" s="3"/>
      <c r="Z2265" s="4"/>
      <c r="AA2265"/>
      <c r="AB2265"/>
    </row>
    <row r="2266" spans="1:28" s="49" customFormat="1" x14ac:dyDescent="0.15">
      <c r="A2266" s="166"/>
      <c r="B2266" s="82"/>
      <c r="C2266" s="70"/>
      <c r="D2266" s="70"/>
      <c r="E2266" s="70"/>
      <c r="F2266" s="70"/>
      <c r="G2266" s="70"/>
      <c r="H2266" s="93"/>
      <c r="I2266" s="85"/>
      <c r="J2266" s="85"/>
      <c r="K2266" s="131"/>
      <c r="L2266" s="60"/>
      <c r="N2266" s="37"/>
      <c r="O2266" s="37"/>
      <c r="P2266" s="37"/>
      <c r="Q2266" s="3"/>
      <c r="R2266" s="3"/>
      <c r="S2266" s="3"/>
      <c r="T2266" s="3"/>
      <c r="U2266" s="3"/>
      <c r="V2266" s="3"/>
      <c r="W2266" s="3"/>
      <c r="X2266" s="3"/>
      <c r="Y2266" s="3"/>
      <c r="Z2266" s="4"/>
      <c r="AA2266"/>
      <c r="AB2266"/>
    </row>
    <row r="2267" spans="1:28" s="49" customFormat="1" x14ac:dyDescent="0.15">
      <c r="A2267" s="166"/>
      <c r="B2267" s="82"/>
      <c r="C2267" s="70"/>
      <c r="D2267" s="70"/>
      <c r="E2267" s="70"/>
      <c r="F2267" s="70"/>
      <c r="G2267" s="70"/>
      <c r="H2267" s="93"/>
      <c r="I2267" s="85"/>
      <c r="J2267" s="85"/>
      <c r="K2267" s="131"/>
      <c r="L2267" s="60"/>
      <c r="N2267" s="37"/>
      <c r="O2267" s="37"/>
      <c r="P2267" s="37"/>
      <c r="Q2267" s="3"/>
      <c r="R2267" s="3"/>
      <c r="S2267" s="3"/>
      <c r="T2267" s="3"/>
      <c r="U2267" s="3"/>
      <c r="V2267" s="3"/>
      <c r="W2267" s="3"/>
      <c r="X2267" s="3"/>
      <c r="Y2267" s="3"/>
      <c r="Z2267" s="4"/>
      <c r="AA2267"/>
      <c r="AB2267"/>
    </row>
    <row r="2268" spans="1:28" s="49" customFormat="1" x14ac:dyDescent="0.15">
      <c r="A2268" s="166"/>
      <c r="B2268" s="82"/>
      <c r="C2268" s="70"/>
      <c r="D2268" s="70"/>
      <c r="E2268" s="70"/>
      <c r="F2268" s="70"/>
      <c r="G2268" s="70"/>
      <c r="H2268" s="93"/>
      <c r="I2268" s="85"/>
      <c r="J2268" s="85"/>
      <c r="K2268" s="131"/>
      <c r="L2268" s="69"/>
      <c r="N2268" s="37"/>
      <c r="O2268" s="37"/>
      <c r="P2268" s="37"/>
      <c r="Q2268" s="3"/>
      <c r="R2268" s="3"/>
      <c r="S2268" s="3"/>
      <c r="T2268" s="3"/>
      <c r="U2268" s="3"/>
      <c r="V2268" s="3"/>
      <c r="W2268" s="3"/>
      <c r="X2268" s="3"/>
      <c r="Y2268" s="3"/>
      <c r="Z2268" s="4"/>
      <c r="AA2268"/>
      <c r="AB2268"/>
    </row>
    <row r="2269" spans="1:28" s="49" customFormat="1" x14ac:dyDescent="0.15">
      <c r="A2269" s="166"/>
      <c r="B2269" s="82"/>
      <c r="C2269" s="70"/>
      <c r="D2269" s="70"/>
      <c r="E2269" s="70"/>
      <c r="F2269" s="70"/>
      <c r="G2269" s="70"/>
      <c r="H2269" s="93"/>
      <c r="I2269" s="85"/>
      <c r="J2269" s="85"/>
      <c r="K2269" s="131"/>
      <c r="L2269" s="69"/>
      <c r="N2269" s="37"/>
      <c r="O2269" s="37"/>
      <c r="P2269" s="37"/>
      <c r="Q2269" s="3"/>
      <c r="R2269" s="3"/>
      <c r="S2269" s="3"/>
      <c r="T2269" s="3"/>
      <c r="U2269" s="3"/>
      <c r="V2269" s="3"/>
      <c r="W2269" s="3"/>
      <c r="X2269" s="3"/>
      <c r="Y2269" s="3"/>
      <c r="Z2269" s="4"/>
      <c r="AA2269"/>
      <c r="AB2269"/>
    </row>
    <row r="2270" spans="1:28" x14ac:dyDescent="0.15">
      <c r="A2270" s="166"/>
      <c r="B2270" s="82"/>
      <c r="C2270" s="70"/>
      <c r="D2270" s="70"/>
      <c r="E2270" s="70"/>
      <c r="F2270" s="70"/>
      <c r="G2270" s="70"/>
      <c r="H2270" s="93"/>
      <c r="I2270" s="85"/>
      <c r="J2270" s="85"/>
      <c r="K2270" s="131"/>
      <c r="L2270" s="69"/>
    </row>
    <row r="2271" spans="1:28" x14ac:dyDescent="0.15">
      <c r="A2271" s="166"/>
      <c r="B2271" s="82"/>
      <c r="C2271" s="70"/>
      <c r="D2271" s="70"/>
      <c r="E2271" s="70"/>
      <c r="F2271" s="70"/>
      <c r="G2271" s="70"/>
      <c r="H2271" s="93"/>
      <c r="I2271" s="85"/>
      <c r="J2271" s="85"/>
      <c r="K2271" s="131"/>
      <c r="L2271" s="69"/>
    </row>
    <row r="2272" spans="1:28" x14ac:dyDescent="0.15">
      <c r="A2272" s="166"/>
      <c r="B2272" s="82"/>
      <c r="C2272" s="70"/>
      <c r="D2272" s="70"/>
      <c r="E2272" s="70"/>
      <c r="F2272" s="70"/>
      <c r="G2272" s="70"/>
      <c r="H2272" s="93"/>
      <c r="I2272" s="85"/>
      <c r="J2272" s="85"/>
      <c r="K2272" s="131"/>
      <c r="L2272" s="69"/>
    </row>
    <row r="2273" spans="1:28" x14ac:dyDescent="0.15">
      <c r="A2273" s="166"/>
      <c r="B2273" s="82"/>
      <c r="C2273" s="70"/>
      <c r="D2273" s="70"/>
      <c r="E2273" s="70"/>
      <c r="F2273" s="70"/>
      <c r="G2273" s="70"/>
      <c r="H2273" s="93"/>
      <c r="I2273" s="85"/>
      <c r="J2273" s="85"/>
      <c r="K2273" s="131"/>
      <c r="L2273" s="69"/>
    </row>
    <row r="2274" spans="1:28" x14ac:dyDescent="0.15">
      <c r="A2274" s="166"/>
      <c r="B2274" s="82"/>
      <c r="C2274" s="70"/>
      <c r="D2274" s="70"/>
      <c r="E2274" s="70"/>
      <c r="F2274" s="70"/>
      <c r="G2274" s="70"/>
      <c r="H2274" s="93"/>
      <c r="I2274" s="85"/>
      <c r="J2274" s="85"/>
      <c r="K2274" s="131"/>
      <c r="L2274" s="69"/>
    </row>
    <row r="2275" spans="1:28" x14ac:dyDescent="0.15">
      <c r="A2275" s="166"/>
      <c r="B2275" s="82"/>
      <c r="C2275" s="70"/>
      <c r="D2275" s="70"/>
      <c r="E2275" s="70"/>
      <c r="F2275" s="70"/>
      <c r="G2275" s="70"/>
      <c r="H2275" s="93"/>
      <c r="I2275" s="85"/>
      <c r="J2275" s="85"/>
      <c r="K2275" s="131"/>
      <c r="L2275" s="69"/>
    </row>
    <row r="2276" spans="1:28" x14ac:dyDescent="0.15">
      <c r="A2276" s="166"/>
      <c r="B2276" s="82"/>
      <c r="C2276" s="70"/>
      <c r="D2276" s="70"/>
      <c r="E2276" s="70"/>
      <c r="F2276" s="70"/>
      <c r="G2276" s="70"/>
      <c r="H2276" s="93"/>
      <c r="I2276" s="85"/>
      <c r="J2276" s="85"/>
      <c r="K2276" s="131"/>
      <c r="L2276" s="69"/>
    </row>
    <row r="2277" spans="1:28" x14ac:dyDescent="0.15">
      <c r="A2277" s="166"/>
      <c r="B2277" s="82"/>
      <c r="C2277" s="70"/>
      <c r="D2277" s="70"/>
      <c r="E2277" s="70"/>
      <c r="F2277" s="70"/>
      <c r="G2277" s="70"/>
      <c r="H2277" s="93"/>
      <c r="I2277" s="85"/>
      <c r="J2277" s="85"/>
      <c r="K2277" s="131"/>
      <c r="L2277" s="69"/>
      <c r="O2277" s="51"/>
    </row>
    <row r="2278" spans="1:28" ht="16" x14ac:dyDescent="0.2">
      <c r="A2278" s="166"/>
      <c r="B2278" s="82"/>
      <c r="C2278" s="70"/>
      <c r="D2278" s="70"/>
      <c r="E2278" s="70"/>
      <c r="F2278" s="70"/>
      <c r="G2278" s="70"/>
      <c r="H2278" s="93"/>
      <c r="I2278" s="85"/>
      <c r="J2278" s="85"/>
      <c r="K2278" s="131"/>
      <c r="L2278" s="69"/>
      <c r="N2278" s="48"/>
    </row>
    <row r="2279" spans="1:28" x14ac:dyDescent="0.15">
      <c r="A2279" s="166"/>
      <c r="B2279" s="82"/>
      <c r="C2279" s="70"/>
      <c r="D2279" s="70"/>
      <c r="E2279" s="70"/>
      <c r="F2279" s="70"/>
      <c r="G2279" s="70"/>
      <c r="H2279" s="93"/>
      <c r="I2279" s="85"/>
      <c r="J2279" s="85"/>
      <c r="K2279" s="131"/>
      <c r="L2279" s="69"/>
    </row>
    <row r="2280" spans="1:28" x14ac:dyDescent="0.15">
      <c r="A2280" s="167"/>
      <c r="B2280" s="87"/>
      <c r="C2280" s="88"/>
      <c r="D2280" s="86"/>
      <c r="E2280" s="86"/>
      <c r="F2280" s="86"/>
      <c r="G2280" s="86"/>
      <c r="H2280" s="87"/>
      <c r="I2280" s="85"/>
      <c r="J2280" s="89"/>
      <c r="K2280" s="132"/>
      <c r="L2280" s="68"/>
    </row>
    <row r="2281" spans="1:28" x14ac:dyDescent="0.15">
      <c r="A2281" s="167"/>
      <c r="B2281" s="87"/>
      <c r="C2281" s="88"/>
      <c r="D2281" s="86"/>
      <c r="E2281" s="86"/>
      <c r="F2281" s="86"/>
      <c r="G2281" s="86"/>
      <c r="H2281" s="87"/>
      <c r="I2281" s="85"/>
      <c r="J2281" s="89"/>
      <c r="K2281" s="132"/>
      <c r="L2281" s="68"/>
    </row>
    <row r="2282" spans="1:28" x14ac:dyDescent="0.15">
      <c r="A2282" s="166"/>
      <c r="B2282" s="82"/>
      <c r="C2282" s="70"/>
      <c r="D2282" s="70"/>
      <c r="E2282" s="70"/>
      <c r="F2282" s="70"/>
      <c r="G2282" s="70"/>
      <c r="H2282" s="93"/>
      <c r="I2282" s="85"/>
      <c r="J2282" s="85"/>
      <c r="K2282" s="131"/>
      <c r="L2282" s="60"/>
      <c r="S2282" s="187"/>
      <c r="T2282" s="187"/>
      <c r="U2282" s="187"/>
      <c r="V2282" s="187"/>
      <c r="W2282" s="187"/>
      <c r="X2282" s="187"/>
      <c r="Y2282" s="187"/>
      <c r="Z2282" s="188"/>
      <c r="AA2282" s="189"/>
      <c r="AB2282" s="189"/>
    </row>
    <row r="2283" spans="1:28" x14ac:dyDescent="0.15">
      <c r="A2283" s="167"/>
      <c r="B2283" s="87"/>
      <c r="C2283" s="88"/>
      <c r="D2283" s="86"/>
      <c r="E2283" s="86"/>
      <c r="F2283" s="86"/>
      <c r="G2283" s="86"/>
      <c r="H2283" s="87"/>
      <c r="I2283" s="85"/>
      <c r="J2283" s="89"/>
      <c r="K2283" s="132"/>
      <c r="L2283" s="68"/>
    </row>
    <row r="2284" spans="1:28" x14ac:dyDescent="0.15">
      <c r="A2284" s="167"/>
      <c r="B2284" s="87"/>
      <c r="C2284" s="88"/>
      <c r="D2284" s="86"/>
      <c r="E2284" s="86"/>
      <c r="F2284" s="86"/>
      <c r="G2284" s="86"/>
      <c r="H2284" s="87"/>
      <c r="I2284" s="85"/>
      <c r="J2284" s="89"/>
      <c r="K2284" s="132"/>
      <c r="L2284" s="68"/>
    </row>
    <row r="2285" spans="1:28" x14ac:dyDescent="0.15">
      <c r="A2285" s="167"/>
      <c r="B2285" s="87"/>
      <c r="C2285" s="88"/>
      <c r="D2285" s="86"/>
      <c r="E2285" s="86"/>
      <c r="F2285" s="86"/>
      <c r="G2285" s="86"/>
      <c r="H2285" s="87"/>
      <c r="I2285" s="85"/>
      <c r="J2285" s="89"/>
      <c r="K2285" s="132"/>
      <c r="L2285" s="68"/>
    </row>
    <row r="2286" spans="1:28" s="3" customFormat="1" x14ac:dyDescent="0.15">
      <c r="A2286" s="167"/>
      <c r="B2286" s="87"/>
      <c r="C2286" s="88"/>
      <c r="D2286" s="86"/>
      <c r="E2286" s="86"/>
      <c r="F2286" s="86"/>
      <c r="G2286" s="86"/>
      <c r="H2286" s="87"/>
      <c r="I2286" s="85"/>
      <c r="J2286" s="89"/>
      <c r="K2286" s="132"/>
      <c r="L2286" s="62"/>
      <c r="M2286" s="49"/>
      <c r="N2286" s="37"/>
      <c r="O2286" s="37"/>
      <c r="P2286" s="37"/>
      <c r="Z2286" s="4"/>
      <c r="AA2286"/>
      <c r="AB2286"/>
    </row>
    <row r="2287" spans="1:28" s="3" customFormat="1" x14ac:dyDescent="0.15">
      <c r="A2287" s="167"/>
      <c r="B2287" s="87"/>
      <c r="C2287" s="88"/>
      <c r="D2287" s="86"/>
      <c r="E2287" s="86"/>
      <c r="F2287" s="86"/>
      <c r="G2287" s="86"/>
      <c r="H2287" s="87"/>
      <c r="I2287" s="85"/>
      <c r="J2287" s="89"/>
      <c r="K2287" s="132"/>
      <c r="L2287" s="62"/>
      <c r="M2287" s="49"/>
      <c r="N2287" s="37"/>
      <c r="O2287" s="37"/>
      <c r="P2287" s="37"/>
      <c r="Z2287" s="4"/>
      <c r="AA2287"/>
      <c r="AB2287"/>
    </row>
    <row r="2288" spans="1:28" s="3" customFormat="1" x14ac:dyDescent="0.15">
      <c r="A2288" s="167"/>
      <c r="B2288" s="87"/>
      <c r="C2288" s="88"/>
      <c r="D2288" s="86"/>
      <c r="E2288" s="86"/>
      <c r="F2288" s="86"/>
      <c r="G2288" s="86"/>
      <c r="H2288" s="87"/>
      <c r="I2288" s="85"/>
      <c r="J2288" s="89"/>
      <c r="K2288" s="132"/>
      <c r="L2288" s="61"/>
      <c r="M2288" s="49"/>
      <c r="N2288" s="37"/>
      <c r="O2288" s="37"/>
      <c r="P2288" s="37"/>
      <c r="Z2288" s="4"/>
      <c r="AA2288"/>
      <c r="AB2288"/>
    </row>
    <row r="2289" spans="1:28" s="3" customFormat="1" x14ac:dyDescent="0.15">
      <c r="A2289" s="167"/>
      <c r="B2289" s="87"/>
      <c r="C2289" s="88"/>
      <c r="D2289" s="86"/>
      <c r="E2289" s="86"/>
      <c r="F2289" s="86"/>
      <c r="G2289" s="86"/>
      <c r="H2289" s="87"/>
      <c r="I2289" s="85"/>
      <c r="J2289" s="89"/>
      <c r="K2289" s="132"/>
      <c r="L2289" s="61"/>
      <c r="M2289" s="49"/>
      <c r="N2289" s="37"/>
      <c r="O2289" s="37"/>
      <c r="P2289" s="37"/>
      <c r="Z2289" s="4"/>
      <c r="AA2289"/>
      <c r="AB2289"/>
    </row>
    <row r="2290" spans="1:28" s="3" customFormat="1" x14ac:dyDescent="0.15">
      <c r="A2290" s="167"/>
      <c r="B2290" s="87"/>
      <c r="C2290" s="88"/>
      <c r="D2290" s="86"/>
      <c r="E2290" s="86"/>
      <c r="F2290" s="86"/>
      <c r="G2290" s="86"/>
      <c r="H2290" s="87"/>
      <c r="I2290" s="85"/>
      <c r="J2290" s="89"/>
      <c r="K2290" s="132"/>
      <c r="L2290" s="61"/>
      <c r="M2290" s="49"/>
      <c r="N2290" s="37"/>
      <c r="O2290" s="37"/>
      <c r="P2290" s="37"/>
      <c r="Z2290" s="4"/>
      <c r="AA2290"/>
      <c r="AB2290"/>
    </row>
    <row r="2291" spans="1:28" s="3" customFormat="1" x14ac:dyDescent="0.15">
      <c r="A2291" s="167"/>
      <c r="B2291" s="87"/>
      <c r="C2291" s="88"/>
      <c r="D2291" s="86"/>
      <c r="E2291" s="86"/>
      <c r="F2291" s="86"/>
      <c r="G2291" s="86"/>
      <c r="H2291" s="87"/>
      <c r="I2291" s="85"/>
      <c r="J2291" s="89"/>
      <c r="K2291" s="132"/>
      <c r="L2291" s="61"/>
      <c r="M2291" s="49"/>
      <c r="N2291" s="37"/>
      <c r="O2291" s="37"/>
      <c r="P2291" s="37"/>
      <c r="Z2291" s="4"/>
      <c r="AA2291"/>
      <c r="AB2291"/>
    </row>
    <row r="2292" spans="1:28" s="3" customFormat="1" x14ac:dyDescent="0.15">
      <c r="A2292" s="167"/>
      <c r="B2292" s="87"/>
      <c r="C2292" s="88"/>
      <c r="D2292" s="86"/>
      <c r="E2292" s="86"/>
      <c r="F2292" s="86"/>
      <c r="G2292" s="86"/>
      <c r="H2292" s="87"/>
      <c r="I2292" s="85"/>
      <c r="J2292" s="89"/>
      <c r="K2292" s="132"/>
      <c r="L2292" s="61"/>
      <c r="M2292" s="49"/>
      <c r="N2292" s="37"/>
      <c r="O2292" s="37"/>
      <c r="P2292" s="37"/>
      <c r="Z2292" s="4"/>
      <c r="AA2292"/>
      <c r="AB2292"/>
    </row>
    <row r="2293" spans="1:28" s="3" customFormat="1" x14ac:dyDescent="0.15">
      <c r="A2293" s="167"/>
      <c r="B2293" s="87"/>
      <c r="C2293" s="88"/>
      <c r="D2293" s="86"/>
      <c r="E2293" s="86"/>
      <c r="F2293" s="86"/>
      <c r="G2293" s="86"/>
      <c r="H2293" s="87"/>
      <c r="I2293" s="85"/>
      <c r="J2293" s="89"/>
      <c r="K2293" s="132"/>
      <c r="L2293" s="62"/>
      <c r="M2293" s="49"/>
      <c r="N2293" s="37"/>
      <c r="O2293" s="37"/>
      <c r="P2293" s="37"/>
      <c r="Z2293" s="4"/>
      <c r="AA2293"/>
      <c r="AB2293"/>
    </row>
    <row r="2294" spans="1:28" s="3" customFormat="1" x14ac:dyDescent="0.15">
      <c r="A2294" s="167"/>
      <c r="B2294" s="87"/>
      <c r="C2294" s="88"/>
      <c r="D2294" s="86"/>
      <c r="E2294" s="86"/>
      <c r="F2294" s="86"/>
      <c r="G2294" s="86"/>
      <c r="H2294" s="87"/>
      <c r="I2294" s="85"/>
      <c r="J2294" s="89"/>
      <c r="K2294" s="132"/>
      <c r="L2294" s="61"/>
      <c r="M2294" s="49"/>
      <c r="N2294" s="37"/>
      <c r="O2294" s="37"/>
      <c r="P2294" s="37"/>
      <c r="Z2294" s="4"/>
      <c r="AA2294"/>
      <c r="AB2294"/>
    </row>
    <row r="2295" spans="1:28" s="3" customFormat="1" x14ac:dyDescent="0.15">
      <c r="A2295" s="167"/>
      <c r="B2295" s="87"/>
      <c r="C2295" s="88"/>
      <c r="D2295" s="86"/>
      <c r="E2295" s="86"/>
      <c r="F2295" s="86"/>
      <c r="G2295" s="86"/>
      <c r="H2295" s="87"/>
      <c r="I2295" s="85"/>
      <c r="J2295" s="89"/>
      <c r="K2295" s="132"/>
      <c r="L2295" s="61"/>
      <c r="M2295" s="49"/>
      <c r="N2295" s="37"/>
      <c r="O2295" s="37"/>
      <c r="P2295" s="37"/>
      <c r="Z2295" s="4"/>
      <c r="AA2295"/>
      <c r="AB2295"/>
    </row>
    <row r="2296" spans="1:28" s="3" customFormat="1" x14ac:dyDescent="0.15">
      <c r="A2296" s="167"/>
      <c r="B2296" s="87"/>
      <c r="C2296" s="88"/>
      <c r="D2296" s="86"/>
      <c r="E2296" s="86"/>
      <c r="F2296" s="86"/>
      <c r="G2296" s="86"/>
      <c r="H2296" s="87"/>
      <c r="I2296" s="85"/>
      <c r="J2296" s="89"/>
      <c r="K2296" s="132"/>
      <c r="L2296" s="61"/>
      <c r="M2296" s="49"/>
      <c r="N2296" s="37"/>
      <c r="O2296" s="37"/>
      <c r="P2296" s="37"/>
      <c r="Z2296" s="4"/>
      <c r="AA2296"/>
      <c r="AB2296"/>
    </row>
    <row r="2297" spans="1:28" s="3" customFormat="1" x14ac:dyDescent="0.15">
      <c r="A2297" s="167"/>
      <c r="B2297" s="87"/>
      <c r="C2297" s="88"/>
      <c r="D2297" s="86"/>
      <c r="E2297" s="86"/>
      <c r="F2297" s="86"/>
      <c r="G2297" s="86"/>
      <c r="H2297" s="87"/>
      <c r="I2297" s="85"/>
      <c r="J2297" s="89"/>
      <c r="K2297" s="132"/>
      <c r="L2297" s="61"/>
      <c r="M2297" s="49"/>
      <c r="N2297" s="37"/>
      <c r="O2297" s="37"/>
      <c r="P2297" s="37"/>
      <c r="Z2297" s="4"/>
      <c r="AA2297"/>
      <c r="AB2297"/>
    </row>
    <row r="2298" spans="1:28" s="3" customFormat="1" x14ac:dyDescent="0.15">
      <c r="A2298" s="167"/>
      <c r="B2298" s="87"/>
      <c r="C2298" s="88"/>
      <c r="D2298" s="86"/>
      <c r="E2298" s="86"/>
      <c r="F2298" s="86"/>
      <c r="G2298" s="86"/>
      <c r="H2298" s="87"/>
      <c r="I2298" s="85"/>
      <c r="J2298" s="89"/>
      <c r="K2298" s="132"/>
      <c r="L2298" s="61"/>
      <c r="M2298" s="49"/>
      <c r="N2298" s="37"/>
      <c r="O2298" s="37"/>
      <c r="P2298" s="37"/>
      <c r="Z2298" s="4"/>
      <c r="AA2298"/>
      <c r="AB2298"/>
    </row>
    <row r="2299" spans="1:28" s="3" customFormat="1" x14ac:dyDescent="0.15">
      <c r="A2299" s="167"/>
      <c r="B2299" s="87"/>
      <c r="C2299" s="88"/>
      <c r="D2299" s="86"/>
      <c r="E2299" s="86"/>
      <c r="F2299" s="86"/>
      <c r="G2299" s="86"/>
      <c r="H2299" s="87"/>
      <c r="I2299" s="85"/>
      <c r="J2299" s="89"/>
      <c r="K2299" s="132"/>
      <c r="L2299" s="61"/>
      <c r="M2299" s="49"/>
      <c r="N2299" s="37"/>
      <c r="O2299" s="37"/>
      <c r="P2299" s="33"/>
      <c r="Z2299" s="4"/>
      <c r="AA2299"/>
      <c r="AB2299"/>
    </row>
    <row r="2300" spans="1:28" s="3" customFormat="1" x14ac:dyDescent="0.15">
      <c r="A2300" s="167"/>
      <c r="B2300" s="87"/>
      <c r="C2300" s="88"/>
      <c r="D2300" s="86"/>
      <c r="E2300" s="86"/>
      <c r="F2300" s="86"/>
      <c r="G2300" s="86"/>
      <c r="H2300" s="87"/>
      <c r="I2300" s="85"/>
      <c r="J2300" s="89"/>
      <c r="K2300" s="132"/>
      <c r="L2300" s="61"/>
      <c r="M2300" s="49"/>
      <c r="N2300" s="37"/>
      <c r="O2300" s="37"/>
      <c r="P2300" s="37"/>
      <c r="Z2300" s="4"/>
      <c r="AA2300"/>
      <c r="AB2300"/>
    </row>
    <row r="2301" spans="1:28" s="3" customFormat="1" x14ac:dyDescent="0.15">
      <c r="A2301" s="167"/>
      <c r="B2301" s="87"/>
      <c r="C2301" s="88"/>
      <c r="D2301" s="86"/>
      <c r="E2301" s="86"/>
      <c r="F2301" s="86"/>
      <c r="G2301" s="86"/>
      <c r="H2301" s="87"/>
      <c r="I2301" s="85"/>
      <c r="J2301" s="89"/>
      <c r="K2301" s="132"/>
      <c r="L2301" s="61"/>
      <c r="M2301" s="49"/>
      <c r="N2301" s="37"/>
      <c r="O2301" s="37"/>
      <c r="P2301" s="37"/>
      <c r="Z2301" s="4"/>
      <c r="AA2301"/>
      <c r="AB2301"/>
    </row>
    <row r="2302" spans="1:28" s="49" customFormat="1" x14ac:dyDescent="0.15">
      <c r="A2302" s="167"/>
      <c r="B2302" s="87"/>
      <c r="C2302" s="88"/>
      <c r="D2302" s="86"/>
      <c r="E2302" s="86"/>
      <c r="F2302" s="86"/>
      <c r="G2302" s="86"/>
      <c r="H2302" s="87"/>
      <c r="I2302" s="85"/>
      <c r="J2302" s="89"/>
      <c r="K2302" s="132"/>
      <c r="L2302" s="61"/>
      <c r="N2302" s="37"/>
      <c r="O2302" s="37"/>
      <c r="P2302" s="37"/>
      <c r="Q2302" s="3"/>
      <c r="R2302" s="3"/>
      <c r="S2302" s="3"/>
      <c r="T2302" s="3"/>
      <c r="U2302" s="3"/>
      <c r="V2302" s="3"/>
      <c r="W2302" s="3"/>
      <c r="X2302" s="3"/>
      <c r="Y2302" s="3"/>
      <c r="Z2302" s="4"/>
      <c r="AA2302"/>
      <c r="AB2302"/>
    </row>
    <row r="2303" spans="1:28" s="49" customFormat="1" x14ac:dyDescent="0.15">
      <c r="A2303" s="167"/>
      <c r="B2303" s="87"/>
      <c r="C2303" s="88"/>
      <c r="D2303" s="86"/>
      <c r="E2303" s="86"/>
      <c r="F2303" s="86"/>
      <c r="G2303" s="86"/>
      <c r="H2303" s="87"/>
      <c r="I2303" s="85"/>
      <c r="J2303" s="89"/>
      <c r="K2303" s="132"/>
      <c r="L2303" s="61"/>
      <c r="N2303" s="37"/>
      <c r="O2303" s="37"/>
      <c r="P2303" s="37"/>
      <c r="Q2303" s="3"/>
      <c r="R2303" s="3"/>
      <c r="S2303" s="3"/>
      <c r="T2303" s="3"/>
      <c r="U2303" s="3"/>
      <c r="V2303" s="3"/>
      <c r="W2303" s="3"/>
      <c r="X2303" s="3"/>
      <c r="Y2303" s="3"/>
      <c r="Z2303" s="4"/>
      <c r="AA2303"/>
      <c r="AB2303"/>
    </row>
    <row r="2304" spans="1:28" s="49" customFormat="1" x14ac:dyDescent="0.15">
      <c r="A2304" s="167"/>
      <c r="B2304" s="87"/>
      <c r="C2304" s="88"/>
      <c r="D2304" s="86"/>
      <c r="E2304" s="86"/>
      <c r="F2304" s="86"/>
      <c r="G2304" s="86"/>
      <c r="H2304" s="87"/>
      <c r="I2304" s="85"/>
      <c r="J2304" s="89"/>
      <c r="K2304" s="132"/>
      <c r="L2304" s="61"/>
      <c r="N2304" s="37"/>
      <c r="O2304" s="37"/>
      <c r="P2304" s="37"/>
      <c r="Q2304" s="3"/>
      <c r="R2304" s="3"/>
      <c r="S2304" s="3"/>
      <c r="T2304" s="3"/>
      <c r="U2304" s="3"/>
      <c r="V2304" s="3"/>
      <c r="W2304" s="3"/>
      <c r="X2304" s="3"/>
      <c r="Y2304" s="3"/>
      <c r="Z2304" s="4"/>
      <c r="AA2304"/>
      <c r="AB2304"/>
    </row>
    <row r="2305" spans="1:28" s="49" customFormat="1" x14ac:dyDescent="0.15">
      <c r="A2305" s="167"/>
      <c r="B2305" s="87"/>
      <c r="C2305" s="88"/>
      <c r="D2305" s="86"/>
      <c r="E2305" s="86"/>
      <c r="F2305" s="86"/>
      <c r="G2305" s="86"/>
      <c r="H2305" s="87"/>
      <c r="I2305" s="85"/>
      <c r="J2305" s="89"/>
      <c r="K2305" s="132"/>
      <c r="L2305" s="61"/>
      <c r="N2305" s="37"/>
      <c r="O2305" s="37"/>
      <c r="P2305" s="37"/>
      <c r="Q2305" s="3"/>
      <c r="R2305" s="3"/>
      <c r="S2305" s="3"/>
      <c r="T2305" s="3"/>
      <c r="U2305" s="3"/>
      <c r="V2305" s="3"/>
      <c r="W2305" s="3"/>
      <c r="X2305" s="3"/>
      <c r="Y2305" s="3"/>
      <c r="Z2305" s="4"/>
      <c r="AA2305"/>
      <c r="AB2305"/>
    </row>
    <row r="2306" spans="1:28" s="49" customFormat="1" x14ac:dyDescent="0.15">
      <c r="A2306" s="167"/>
      <c r="B2306" s="87"/>
      <c r="C2306" s="88"/>
      <c r="D2306" s="86"/>
      <c r="E2306" s="86"/>
      <c r="F2306" s="86"/>
      <c r="G2306" s="86"/>
      <c r="H2306" s="87"/>
      <c r="I2306" s="85"/>
      <c r="J2306" s="89"/>
      <c r="K2306" s="132"/>
      <c r="L2306" s="61"/>
      <c r="N2306" s="37"/>
      <c r="O2306" s="37"/>
      <c r="P2306" s="37"/>
      <c r="Q2306" s="3"/>
      <c r="R2306" s="3"/>
      <c r="S2306" s="3"/>
      <c r="T2306" s="3"/>
      <c r="U2306" s="3"/>
      <c r="V2306" s="3"/>
      <c r="W2306" s="3"/>
      <c r="X2306" s="3"/>
      <c r="Y2306" s="3"/>
      <c r="Z2306" s="4"/>
      <c r="AA2306"/>
      <c r="AB2306"/>
    </row>
    <row r="2307" spans="1:28" s="49" customFormat="1" x14ac:dyDescent="0.15">
      <c r="A2307" s="167"/>
      <c r="B2307" s="87"/>
      <c r="C2307" s="88"/>
      <c r="D2307" s="86"/>
      <c r="E2307" s="86"/>
      <c r="F2307" s="86"/>
      <c r="G2307" s="86"/>
      <c r="H2307" s="87"/>
      <c r="I2307" s="85"/>
      <c r="J2307" s="89"/>
      <c r="K2307" s="132"/>
      <c r="L2307" s="61"/>
      <c r="N2307" s="37"/>
      <c r="O2307" s="37"/>
      <c r="P2307" s="37"/>
      <c r="Q2307" s="3"/>
      <c r="R2307" s="3"/>
      <c r="S2307" s="3"/>
      <c r="T2307" s="3"/>
      <c r="U2307" s="3"/>
      <c r="V2307" s="3"/>
      <c r="W2307" s="3"/>
      <c r="X2307" s="3"/>
      <c r="Y2307" s="3"/>
      <c r="Z2307" s="4"/>
      <c r="AA2307"/>
      <c r="AB2307"/>
    </row>
    <row r="2308" spans="1:28" s="49" customFormat="1" x14ac:dyDescent="0.15">
      <c r="A2308" s="167"/>
      <c r="B2308" s="87"/>
      <c r="C2308" s="88"/>
      <c r="D2308" s="86"/>
      <c r="E2308" s="86"/>
      <c r="F2308" s="86"/>
      <c r="G2308" s="86"/>
      <c r="H2308" s="87"/>
      <c r="I2308" s="85"/>
      <c r="J2308" s="89"/>
      <c r="K2308" s="132"/>
      <c r="L2308" s="61"/>
      <c r="N2308" s="37"/>
      <c r="O2308" s="37"/>
      <c r="P2308" s="37"/>
      <c r="Q2308" s="3"/>
      <c r="R2308" s="3"/>
      <c r="S2308" s="3"/>
      <c r="T2308" s="3"/>
      <c r="U2308" s="3"/>
      <c r="V2308" s="3"/>
      <c r="W2308" s="3"/>
      <c r="X2308" s="3"/>
      <c r="Y2308" s="3"/>
      <c r="Z2308" s="4"/>
      <c r="AA2308"/>
      <c r="AB2308"/>
    </row>
    <row r="2309" spans="1:28" s="49" customFormat="1" x14ac:dyDescent="0.15">
      <c r="A2309" s="167"/>
      <c r="B2309" s="87"/>
      <c r="C2309" s="88"/>
      <c r="D2309" s="86"/>
      <c r="E2309" s="86"/>
      <c r="F2309" s="86"/>
      <c r="G2309" s="86"/>
      <c r="H2309" s="87"/>
      <c r="I2309" s="85"/>
      <c r="J2309" s="89"/>
      <c r="K2309" s="132"/>
      <c r="L2309" s="61"/>
      <c r="N2309" s="37"/>
      <c r="O2309" s="37"/>
      <c r="P2309" s="37"/>
      <c r="Q2309" s="3"/>
      <c r="R2309" s="3"/>
      <c r="S2309" s="3"/>
      <c r="T2309" s="3"/>
      <c r="U2309" s="3"/>
      <c r="V2309" s="3"/>
      <c r="W2309" s="3"/>
      <c r="X2309" s="3"/>
      <c r="Y2309" s="3"/>
      <c r="Z2309" s="4"/>
      <c r="AA2309"/>
      <c r="AB2309"/>
    </row>
    <row r="2310" spans="1:28" s="49" customFormat="1" x14ac:dyDescent="0.15">
      <c r="A2310" s="167"/>
      <c r="B2310" s="87"/>
      <c r="C2310" s="88"/>
      <c r="D2310" s="86"/>
      <c r="E2310" s="86"/>
      <c r="F2310" s="86"/>
      <c r="G2310" s="86"/>
      <c r="H2310" s="87"/>
      <c r="I2310" s="85"/>
      <c r="J2310" s="89"/>
      <c r="K2310" s="132"/>
      <c r="L2310" s="61"/>
      <c r="N2310" s="37"/>
      <c r="O2310" s="37"/>
      <c r="P2310" s="37"/>
      <c r="Q2310" s="3"/>
      <c r="R2310" s="3"/>
      <c r="S2310" s="3"/>
      <c r="T2310" s="3"/>
      <c r="U2310" s="3"/>
      <c r="V2310" s="3"/>
      <c r="W2310" s="3"/>
      <c r="X2310" s="3"/>
      <c r="Y2310" s="3"/>
      <c r="Z2310" s="4"/>
      <c r="AA2310"/>
      <c r="AB2310"/>
    </row>
    <row r="2311" spans="1:28" s="49" customFormat="1" x14ac:dyDescent="0.15">
      <c r="A2311" s="167"/>
      <c r="B2311" s="87"/>
      <c r="C2311" s="88"/>
      <c r="D2311" s="86"/>
      <c r="E2311" s="86"/>
      <c r="F2311" s="86"/>
      <c r="G2311" s="86"/>
      <c r="H2311" s="87"/>
      <c r="I2311" s="85"/>
      <c r="J2311" s="89"/>
      <c r="K2311" s="132"/>
      <c r="L2311" s="61"/>
      <c r="N2311" s="37"/>
      <c r="O2311" s="37"/>
      <c r="P2311" s="37"/>
      <c r="Q2311" s="3"/>
      <c r="R2311" s="3"/>
      <c r="S2311" s="3"/>
      <c r="T2311" s="3"/>
      <c r="U2311" s="3"/>
      <c r="V2311" s="3"/>
      <c r="W2311" s="3"/>
      <c r="X2311" s="3"/>
      <c r="Y2311" s="3"/>
      <c r="Z2311" s="4"/>
      <c r="AA2311"/>
      <c r="AB2311"/>
    </row>
    <row r="2312" spans="1:28" s="49" customFormat="1" x14ac:dyDescent="0.15">
      <c r="A2312" s="167"/>
      <c r="B2312" s="87"/>
      <c r="C2312" s="88"/>
      <c r="D2312" s="86"/>
      <c r="E2312" s="86"/>
      <c r="F2312" s="86"/>
      <c r="G2312" s="86"/>
      <c r="H2312" s="87"/>
      <c r="I2312" s="85"/>
      <c r="J2312" s="89"/>
      <c r="K2312" s="132"/>
      <c r="L2312" s="61"/>
      <c r="N2312" s="37"/>
      <c r="O2312" s="37"/>
      <c r="P2312" s="37"/>
      <c r="Q2312" s="3"/>
      <c r="R2312" s="3"/>
      <c r="S2312" s="3"/>
      <c r="T2312" s="3"/>
      <c r="U2312" s="3"/>
      <c r="V2312" s="3"/>
      <c r="W2312" s="3"/>
      <c r="X2312" s="3"/>
      <c r="Y2312" s="3"/>
      <c r="Z2312" s="4"/>
      <c r="AA2312"/>
      <c r="AB2312"/>
    </row>
    <row r="2313" spans="1:28" s="49" customFormat="1" x14ac:dyDescent="0.15">
      <c r="A2313" s="167"/>
      <c r="B2313" s="87"/>
      <c r="C2313" s="88"/>
      <c r="D2313" s="86"/>
      <c r="E2313" s="86"/>
      <c r="F2313" s="86"/>
      <c r="G2313" s="86"/>
      <c r="H2313" s="87"/>
      <c r="I2313" s="85"/>
      <c r="J2313" s="89"/>
      <c r="K2313" s="132"/>
      <c r="L2313" s="61"/>
      <c r="N2313" s="37"/>
      <c r="O2313" s="37"/>
      <c r="P2313" s="37"/>
      <c r="Q2313" s="3"/>
      <c r="R2313" s="3"/>
      <c r="S2313" s="3"/>
      <c r="T2313" s="3"/>
      <c r="U2313" s="3"/>
      <c r="V2313" s="3"/>
      <c r="W2313" s="3"/>
      <c r="X2313" s="3"/>
      <c r="Y2313" s="3"/>
      <c r="Z2313" s="4"/>
      <c r="AA2313"/>
      <c r="AB2313"/>
    </row>
    <row r="2314" spans="1:28" s="49" customFormat="1" x14ac:dyDescent="0.15">
      <c r="A2314" s="167"/>
      <c r="B2314" s="87"/>
      <c r="C2314" s="88"/>
      <c r="D2314" s="86"/>
      <c r="E2314" s="86"/>
      <c r="F2314" s="86"/>
      <c r="G2314" s="86"/>
      <c r="H2314" s="87"/>
      <c r="I2314" s="85"/>
      <c r="J2314" s="89"/>
      <c r="K2314" s="132"/>
      <c r="L2314" s="61"/>
      <c r="N2314" s="37"/>
      <c r="O2314" s="37"/>
      <c r="P2314" s="37"/>
      <c r="Q2314" s="3"/>
      <c r="R2314" s="3"/>
      <c r="S2314" s="3"/>
      <c r="T2314" s="3"/>
      <c r="U2314" s="3"/>
      <c r="V2314" s="3"/>
      <c r="W2314" s="3"/>
      <c r="X2314" s="3"/>
      <c r="Y2314" s="3"/>
      <c r="Z2314" s="4"/>
      <c r="AA2314"/>
      <c r="AB2314"/>
    </row>
    <row r="2315" spans="1:28" s="49" customFormat="1" x14ac:dyDescent="0.15">
      <c r="A2315" s="167"/>
      <c r="B2315" s="87"/>
      <c r="C2315" s="88"/>
      <c r="D2315" s="86"/>
      <c r="E2315" s="86"/>
      <c r="F2315" s="86"/>
      <c r="G2315" s="86"/>
      <c r="H2315" s="87"/>
      <c r="I2315" s="85"/>
      <c r="J2315" s="89"/>
      <c r="K2315" s="132"/>
      <c r="L2315" s="61"/>
      <c r="N2315" s="37"/>
      <c r="O2315" s="37"/>
      <c r="P2315" s="37"/>
      <c r="Q2315" s="3"/>
      <c r="R2315" s="3"/>
      <c r="S2315" s="3"/>
      <c r="T2315" s="3"/>
      <c r="U2315" s="3"/>
      <c r="V2315" s="3"/>
      <c r="W2315" s="3"/>
      <c r="X2315" s="3"/>
      <c r="Y2315" s="3"/>
      <c r="Z2315" s="4"/>
      <c r="AA2315"/>
      <c r="AB2315"/>
    </row>
    <row r="2316" spans="1:28" s="49" customFormat="1" x14ac:dyDescent="0.15">
      <c r="A2316" s="167"/>
      <c r="B2316" s="87"/>
      <c r="C2316" s="88"/>
      <c r="D2316" s="86"/>
      <c r="E2316" s="86"/>
      <c r="F2316" s="86"/>
      <c r="G2316" s="86"/>
      <c r="H2316" s="87"/>
      <c r="I2316" s="85"/>
      <c r="J2316" s="89"/>
      <c r="K2316" s="132"/>
      <c r="L2316" s="61"/>
      <c r="N2316" s="37"/>
      <c r="O2316" s="37"/>
      <c r="P2316" s="37"/>
      <c r="Q2316" s="3"/>
      <c r="R2316" s="3"/>
      <c r="S2316" s="3"/>
      <c r="T2316" s="3"/>
      <c r="U2316" s="3"/>
      <c r="V2316" s="3"/>
      <c r="W2316" s="3"/>
      <c r="X2316" s="3"/>
      <c r="Y2316" s="3"/>
      <c r="Z2316" s="4"/>
      <c r="AA2316"/>
      <c r="AB2316"/>
    </row>
    <row r="2317" spans="1:28" s="49" customFormat="1" x14ac:dyDescent="0.15">
      <c r="A2317" s="167"/>
      <c r="B2317" s="87"/>
      <c r="C2317" s="88"/>
      <c r="D2317" s="86"/>
      <c r="E2317" s="86"/>
      <c r="F2317" s="86"/>
      <c r="G2317" s="86"/>
      <c r="H2317" s="87"/>
      <c r="I2317" s="85"/>
      <c r="J2317" s="89"/>
      <c r="K2317" s="132"/>
      <c r="L2317" s="61"/>
      <c r="N2317" s="37"/>
      <c r="O2317" s="37"/>
      <c r="P2317" s="37"/>
      <c r="Q2317" s="3"/>
      <c r="R2317" s="3"/>
      <c r="S2317" s="3"/>
      <c r="T2317" s="3"/>
      <c r="U2317" s="3"/>
      <c r="V2317" s="3"/>
      <c r="W2317" s="3"/>
      <c r="X2317" s="3"/>
      <c r="Y2317" s="3"/>
      <c r="Z2317" s="4"/>
      <c r="AA2317"/>
      <c r="AB2317"/>
    </row>
    <row r="2318" spans="1:28" x14ac:dyDescent="0.15">
      <c r="A2318" s="167"/>
      <c r="B2318" s="87"/>
      <c r="C2318" s="88"/>
      <c r="D2318" s="86"/>
      <c r="E2318" s="86"/>
      <c r="F2318" s="86"/>
      <c r="G2318" s="86"/>
      <c r="H2318" s="87"/>
      <c r="I2318" s="85"/>
      <c r="J2318" s="89"/>
      <c r="K2318" s="132"/>
      <c r="L2318" s="61"/>
    </row>
    <row r="2319" spans="1:28" x14ac:dyDescent="0.15">
      <c r="A2319" s="167"/>
      <c r="B2319" s="87"/>
      <c r="C2319" s="88"/>
      <c r="D2319" s="86"/>
      <c r="E2319" s="86"/>
      <c r="F2319" s="86"/>
      <c r="G2319" s="86"/>
      <c r="H2319" s="87"/>
      <c r="I2319" s="85"/>
      <c r="J2319" s="89"/>
      <c r="K2319" s="132"/>
      <c r="L2319" s="61"/>
    </row>
    <row r="2320" spans="1:28" x14ac:dyDescent="0.15">
      <c r="A2320" s="167"/>
      <c r="B2320" s="87"/>
      <c r="C2320" s="88"/>
      <c r="D2320" s="86"/>
      <c r="E2320" s="86"/>
      <c r="F2320" s="86"/>
      <c r="G2320" s="86"/>
      <c r="H2320" s="87"/>
      <c r="I2320" s="85"/>
      <c r="J2320" s="89"/>
      <c r="K2320" s="132"/>
      <c r="L2320" s="61"/>
    </row>
    <row r="2321" spans="1:28" x14ac:dyDescent="0.15">
      <c r="A2321" s="167"/>
      <c r="B2321" s="87"/>
      <c r="C2321" s="88"/>
      <c r="D2321" s="86"/>
      <c r="E2321" s="86"/>
      <c r="F2321" s="86"/>
      <c r="G2321" s="86"/>
      <c r="H2321" s="87"/>
      <c r="I2321" s="85"/>
      <c r="J2321" s="89"/>
      <c r="K2321" s="132"/>
      <c r="L2321" s="62"/>
      <c r="S2321"/>
      <c r="T2321"/>
      <c r="U2321"/>
      <c r="V2321"/>
      <c r="W2321"/>
      <c r="X2321"/>
      <c r="Y2321"/>
      <c r="Z2321"/>
    </row>
    <row r="2322" spans="1:28" x14ac:dyDescent="0.15">
      <c r="A2322" s="167"/>
      <c r="B2322" s="87"/>
      <c r="C2322" s="88"/>
      <c r="D2322" s="86"/>
      <c r="E2322" s="86"/>
      <c r="F2322" s="86"/>
      <c r="G2322" s="86"/>
      <c r="H2322" s="87"/>
      <c r="I2322" s="85"/>
      <c r="J2322" s="89"/>
      <c r="K2322" s="132"/>
      <c r="L2322" s="62"/>
      <c r="S2322"/>
      <c r="T2322"/>
      <c r="U2322"/>
      <c r="V2322"/>
      <c r="W2322"/>
      <c r="X2322"/>
      <c r="Y2322"/>
      <c r="Z2322"/>
    </row>
    <row r="2323" spans="1:28" x14ac:dyDescent="0.15">
      <c r="A2323" s="167"/>
      <c r="B2323" s="87"/>
      <c r="C2323" s="88"/>
      <c r="D2323" s="86"/>
      <c r="E2323" s="86"/>
      <c r="F2323" s="86"/>
      <c r="G2323" s="86"/>
      <c r="H2323" s="87"/>
      <c r="I2323" s="85"/>
      <c r="J2323" s="89"/>
      <c r="K2323" s="132"/>
      <c r="L2323" s="61"/>
    </row>
    <row r="2324" spans="1:28" x14ac:dyDescent="0.15">
      <c r="A2324" s="167"/>
      <c r="B2324" s="87"/>
      <c r="C2324" s="88"/>
      <c r="D2324" s="86"/>
      <c r="E2324" s="86"/>
      <c r="F2324" s="86"/>
      <c r="G2324" s="86"/>
      <c r="H2324" s="87"/>
      <c r="I2324" s="85"/>
      <c r="J2324" s="89"/>
      <c r="K2324" s="132"/>
      <c r="L2324" s="62"/>
    </row>
    <row r="2325" spans="1:28" x14ac:dyDescent="0.15">
      <c r="A2325" s="167"/>
      <c r="B2325" s="87"/>
      <c r="C2325" s="88"/>
      <c r="D2325" s="86"/>
      <c r="E2325" s="86"/>
      <c r="F2325" s="86"/>
      <c r="G2325" s="86"/>
      <c r="H2325" s="87"/>
      <c r="I2325" s="85"/>
      <c r="J2325" s="89"/>
      <c r="K2325" s="132"/>
      <c r="L2325" s="62"/>
    </row>
    <row r="2326" spans="1:28" ht="16" x14ac:dyDescent="0.2">
      <c r="A2326" s="227"/>
      <c r="B2326" s="93"/>
      <c r="C2326" s="62"/>
      <c r="D2326" s="62"/>
      <c r="E2326" s="62"/>
      <c r="F2326" s="70"/>
      <c r="G2326" s="70"/>
      <c r="H2326" s="93"/>
      <c r="I2326" s="85"/>
      <c r="J2326" s="85"/>
      <c r="K2326" s="131"/>
      <c r="L2326" s="61"/>
      <c r="M2326" s="35"/>
      <c r="N2326" s="48"/>
    </row>
    <row r="2327" spans="1:28" x14ac:dyDescent="0.15">
      <c r="A2327" s="227"/>
      <c r="B2327" s="93"/>
      <c r="C2327" s="62"/>
      <c r="D2327" s="62"/>
      <c r="E2327" s="62"/>
      <c r="F2327" s="70"/>
      <c r="G2327" s="70"/>
      <c r="H2327" s="93"/>
      <c r="I2327" s="85"/>
      <c r="J2327" s="85"/>
      <c r="K2327" s="131"/>
      <c r="L2327" s="61"/>
      <c r="M2327" s="35"/>
    </row>
    <row r="2328" spans="1:28" x14ac:dyDescent="0.15">
      <c r="A2328" s="227"/>
      <c r="B2328" s="93"/>
      <c r="C2328" s="62"/>
      <c r="D2328" s="62"/>
      <c r="E2328" s="62"/>
      <c r="F2328" s="70"/>
      <c r="G2328" s="70"/>
      <c r="H2328" s="93"/>
      <c r="I2328" s="85"/>
      <c r="J2328" s="85"/>
      <c r="K2328" s="131"/>
      <c r="L2328" s="61"/>
      <c r="M2328" s="35"/>
    </row>
    <row r="2329" spans="1:28" x14ac:dyDescent="0.15">
      <c r="A2329" s="227"/>
      <c r="B2329" s="93"/>
      <c r="C2329" s="62"/>
      <c r="D2329" s="62"/>
      <c r="E2329" s="62"/>
      <c r="F2329" s="70"/>
      <c r="G2329" s="70"/>
      <c r="H2329" s="93"/>
      <c r="I2329" s="85"/>
      <c r="J2329" s="85"/>
      <c r="K2329" s="131"/>
      <c r="L2329" s="61"/>
      <c r="M2329" s="35"/>
    </row>
    <row r="2330" spans="1:28" x14ac:dyDescent="0.15">
      <c r="A2330" s="167"/>
      <c r="B2330" s="93"/>
      <c r="C2330" s="70"/>
      <c r="D2330" s="70"/>
      <c r="E2330" s="70"/>
      <c r="F2330" s="70"/>
      <c r="G2330" s="70"/>
      <c r="H2330" s="93"/>
      <c r="I2330" s="85"/>
      <c r="J2330" s="85"/>
      <c r="K2330" s="131"/>
      <c r="L2330" s="61"/>
      <c r="M2330" s="35"/>
    </row>
    <row r="2331" spans="1:28" x14ac:dyDescent="0.15">
      <c r="A2331" s="167"/>
      <c r="B2331" s="93"/>
      <c r="C2331" s="70"/>
      <c r="D2331" s="70"/>
      <c r="E2331" s="70"/>
      <c r="F2331" s="70"/>
      <c r="G2331" s="70"/>
      <c r="H2331" s="93"/>
      <c r="I2331" s="85"/>
      <c r="J2331" s="85"/>
      <c r="K2331" s="131"/>
      <c r="L2331" s="61"/>
      <c r="M2331" s="35"/>
    </row>
    <row r="2332" spans="1:28" x14ac:dyDescent="0.15">
      <c r="A2332" s="227"/>
      <c r="B2332" s="93"/>
      <c r="C2332" s="62"/>
      <c r="D2332" s="62"/>
      <c r="E2332" s="62"/>
      <c r="F2332" s="70"/>
      <c r="G2332" s="70"/>
      <c r="H2332" s="93"/>
      <c r="I2332" s="85"/>
      <c r="J2332" s="85"/>
      <c r="K2332" s="131"/>
      <c r="L2332" s="61"/>
      <c r="M2332" s="35"/>
    </row>
    <row r="2333" spans="1:28" x14ac:dyDescent="0.15">
      <c r="A2333" s="227"/>
      <c r="B2333" s="93"/>
      <c r="C2333" s="62"/>
      <c r="D2333" s="62"/>
      <c r="E2333" s="62"/>
      <c r="F2333" s="70"/>
      <c r="G2333" s="70"/>
      <c r="H2333" s="93"/>
      <c r="I2333" s="85"/>
      <c r="J2333" s="98"/>
      <c r="K2333" s="131"/>
      <c r="L2333" s="61"/>
      <c r="M2333" s="35"/>
    </row>
    <row r="2334" spans="1:28" s="37" customFormat="1" x14ac:dyDescent="0.15">
      <c r="A2334" s="227"/>
      <c r="B2334" s="93"/>
      <c r="C2334" s="62"/>
      <c r="D2334" s="62"/>
      <c r="E2334" s="62"/>
      <c r="F2334" s="70"/>
      <c r="G2334" s="70"/>
      <c r="H2334" s="93"/>
      <c r="I2334" s="85"/>
      <c r="J2334" s="85"/>
      <c r="K2334" s="131"/>
      <c r="L2334" s="61"/>
      <c r="M2334" s="35"/>
      <c r="Q2334" s="3"/>
      <c r="R2334" s="3"/>
      <c r="S2334" s="3"/>
      <c r="T2334" s="3"/>
      <c r="U2334" s="3"/>
      <c r="V2334" s="3"/>
      <c r="W2334" s="3"/>
      <c r="X2334" s="3"/>
      <c r="Y2334" s="3"/>
      <c r="Z2334" s="4"/>
      <c r="AA2334"/>
      <c r="AB2334"/>
    </row>
    <row r="2335" spans="1:28" s="37" customFormat="1" x14ac:dyDescent="0.15">
      <c r="A2335" s="166"/>
      <c r="B2335" s="82"/>
      <c r="C2335" s="70"/>
      <c r="D2335" s="70"/>
      <c r="E2335" s="70"/>
      <c r="F2335" s="70"/>
      <c r="G2335" s="70"/>
      <c r="H2335" s="93"/>
      <c r="I2335" s="85"/>
      <c r="J2335" s="85"/>
      <c r="K2335" s="131"/>
      <c r="L2335" s="60"/>
      <c r="M2335" s="49"/>
      <c r="Q2335" s="3"/>
      <c r="R2335" s="3"/>
      <c r="S2335" s="3"/>
      <c r="T2335" s="3"/>
      <c r="U2335" s="3"/>
      <c r="V2335" s="3"/>
      <c r="W2335" s="3"/>
      <c r="X2335" s="3"/>
      <c r="Y2335" s="3"/>
      <c r="Z2335" s="4"/>
      <c r="AA2335"/>
      <c r="AB2335"/>
    </row>
    <row r="2336" spans="1:28" s="37" customFormat="1" x14ac:dyDescent="0.15">
      <c r="A2336" s="166"/>
      <c r="B2336" s="82"/>
      <c r="C2336" s="70"/>
      <c r="D2336" s="70"/>
      <c r="E2336" s="70"/>
      <c r="F2336" s="70"/>
      <c r="G2336" s="70"/>
      <c r="H2336" s="93"/>
      <c r="I2336" s="85"/>
      <c r="J2336" s="85"/>
      <c r="K2336" s="131"/>
      <c r="L2336" s="60"/>
      <c r="M2336" s="49"/>
      <c r="Q2336" s="3"/>
      <c r="R2336" s="3"/>
      <c r="S2336" s="3"/>
      <c r="T2336" s="3"/>
      <c r="U2336" s="3"/>
      <c r="V2336" s="3"/>
      <c r="W2336" s="3"/>
      <c r="X2336" s="3"/>
      <c r="Y2336" s="3"/>
      <c r="Z2336" s="4"/>
      <c r="AA2336"/>
      <c r="AB2336"/>
    </row>
    <row r="2337" spans="1:28" s="37" customFormat="1" x14ac:dyDescent="0.15">
      <c r="A2337" s="166"/>
      <c r="B2337" s="82"/>
      <c r="C2337" s="70"/>
      <c r="D2337" s="70"/>
      <c r="E2337" s="70"/>
      <c r="F2337" s="70"/>
      <c r="G2337" s="70"/>
      <c r="H2337" s="93"/>
      <c r="I2337" s="85"/>
      <c r="J2337" s="85"/>
      <c r="K2337" s="131"/>
      <c r="L2337" s="60"/>
      <c r="M2337" s="49"/>
      <c r="Q2337" s="3"/>
      <c r="R2337" s="3"/>
      <c r="S2337" s="3"/>
      <c r="T2337" s="3"/>
      <c r="U2337" s="3"/>
      <c r="V2337" s="3"/>
      <c r="W2337" s="3"/>
      <c r="X2337" s="3"/>
      <c r="Y2337" s="3"/>
      <c r="Z2337" s="4"/>
      <c r="AA2337"/>
      <c r="AB2337"/>
    </row>
    <row r="2338" spans="1:28" s="37" customFormat="1" x14ac:dyDescent="0.15">
      <c r="A2338" s="166"/>
      <c r="B2338" s="82"/>
      <c r="C2338" s="70"/>
      <c r="D2338" s="70"/>
      <c r="E2338" s="70"/>
      <c r="F2338" s="70"/>
      <c r="G2338" s="70"/>
      <c r="H2338" s="93"/>
      <c r="I2338" s="85"/>
      <c r="J2338" s="85"/>
      <c r="K2338" s="131"/>
      <c r="L2338" s="60"/>
      <c r="M2338" s="49"/>
      <c r="Q2338" s="3"/>
      <c r="R2338" s="3"/>
      <c r="S2338" s="3"/>
      <c r="T2338" s="3"/>
      <c r="U2338" s="3"/>
      <c r="V2338" s="3"/>
      <c r="W2338" s="3"/>
      <c r="X2338" s="3"/>
      <c r="Y2338" s="3"/>
      <c r="Z2338" s="4"/>
      <c r="AA2338"/>
      <c r="AB2338"/>
    </row>
    <row r="2339" spans="1:28" s="37" customFormat="1" x14ac:dyDescent="0.15">
      <c r="A2339" s="166"/>
      <c r="B2339" s="82"/>
      <c r="C2339" s="70"/>
      <c r="D2339" s="70"/>
      <c r="E2339" s="70"/>
      <c r="F2339" s="70"/>
      <c r="G2339" s="70"/>
      <c r="H2339" s="93"/>
      <c r="I2339" s="85"/>
      <c r="J2339" s="85"/>
      <c r="K2339" s="131"/>
      <c r="L2339" s="60"/>
      <c r="M2339" s="49"/>
      <c r="Q2339" s="3"/>
      <c r="R2339" s="3"/>
      <c r="S2339" s="3"/>
      <c r="T2339" s="3"/>
      <c r="U2339" s="3"/>
      <c r="V2339" s="3"/>
      <c r="W2339" s="3"/>
      <c r="X2339" s="3"/>
      <c r="Y2339" s="3"/>
      <c r="Z2339" s="4"/>
      <c r="AA2339"/>
      <c r="AB2339"/>
    </row>
    <row r="2340" spans="1:28" s="37" customFormat="1" x14ac:dyDescent="0.15">
      <c r="A2340" s="166"/>
      <c r="B2340" s="82"/>
      <c r="C2340" s="70"/>
      <c r="D2340" s="70"/>
      <c r="E2340" s="70"/>
      <c r="F2340" s="70"/>
      <c r="G2340" s="70"/>
      <c r="H2340" s="93"/>
      <c r="I2340" s="85"/>
      <c r="J2340" s="85"/>
      <c r="K2340" s="131"/>
      <c r="L2340" s="60"/>
      <c r="M2340" s="49"/>
      <c r="Q2340" s="3"/>
      <c r="R2340" s="3"/>
      <c r="S2340" s="3"/>
      <c r="T2340" s="3"/>
      <c r="U2340" s="3"/>
      <c r="V2340" s="3"/>
      <c r="W2340" s="3"/>
      <c r="X2340" s="3"/>
      <c r="Y2340" s="3"/>
      <c r="Z2340" s="4"/>
      <c r="AA2340"/>
      <c r="AB2340"/>
    </row>
    <row r="2341" spans="1:28" s="37" customFormat="1" x14ac:dyDescent="0.15">
      <c r="A2341" s="166"/>
      <c r="B2341" s="82"/>
      <c r="C2341" s="70"/>
      <c r="D2341" s="70"/>
      <c r="E2341" s="70"/>
      <c r="F2341" s="70"/>
      <c r="G2341" s="70"/>
      <c r="H2341" s="93"/>
      <c r="I2341" s="85"/>
      <c r="J2341" s="85"/>
      <c r="K2341" s="131"/>
      <c r="L2341" s="60"/>
      <c r="M2341" s="49"/>
      <c r="Q2341" s="3"/>
      <c r="R2341" s="3"/>
      <c r="S2341" s="3"/>
      <c r="T2341" s="3"/>
      <c r="U2341" s="3"/>
      <c r="V2341" s="3"/>
      <c r="W2341" s="3"/>
      <c r="X2341" s="3"/>
      <c r="Y2341" s="3"/>
      <c r="Z2341" s="4"/>
      <c r="AA2341"/>
      <c r="AB2341"/>
    </row>
    <row r="2342" spans="1:28" s="37" customFormat="1" x14ac:dyDescent="0.15">
      <c r="A2342" s="166"/>
      <c r="B2342" s="82"/>
      <c r="C2342" s="70"/>
      <c r="D2342" s="70"/>
      <c r="E2342" s="70"/>
      <c r="F2342" s="70"/>
      <c r="G2342" s="70"/>
      <c r="H2342" s="93"/>
      <c r="I2342" s="85"/>
      <c r="J2342" s="85"/>
      <c r="K2342" s="131"/>
      <c r="L2342" s="60"/>
      <c r="M2342" s="49"/>
      <c r="Q2342" s="3"/>
      <c r="R2342" s="3"/>
      <c r="S2342" s="3"/>
      <c r="T2342" s="3"/>
      <c r="U2342" s="3"/>
      <c r="V2342" s="3"/>
      <c r="W2342" s="3"/>
      <c r="X2342" s="3"/>
      <c r="Y2342" s="3"/>
      <c r="Z2342" s="4"/>
      <c r="AA2342"/>
      <c r="AB2342"/>
    </row>
    <row r="2343" spans="1:28" s="37" customFormat="1" x14ac:dyDescent="0.15">
      <c r="A2343" s="166"/>
      <c r="B2343" s="82"/>
      <c r="C2343" s="70"/>
      <c r="D2343" s="70"/>
      <c r="E2343" s="70"/>
      <c r="F2343" s="70"/>
      <c r="G2343" s="70"/>
      <c r="H2343" s="93"/>
      <c r="I2343" s="85"/>
      <c r="J2343" s="85"/>
      <c r="K2343" s="131"/>
      <c r="L2343" s="60"/>
      <c r="M2343" s="49"/>
      <c r="Q2343" s="3"/>
      <c r="R2343" s="3"/>
      <c r="S2343" s="3"/>
      <c r="T2343" s="3"/>
      <c r="U2343" s="3"/>
      <c r="V2343" s="3"/>
      <c r="W2343" s="3"/>
      <c r="X2343" s="3"/>
      <c r="Y2343" s="3"/>
      <c r="Z2343" s="4"/>
      <c r="AA2343"/>
      <c r="AB2343"/>
    </row>
    <row r="2344" spans="1:28" s="37" customFormat="1" x14ac:dyDescent="0.15">
      <c r="A2344" s="166"/>
      <c r="B2344" s="82"/>
      <c r="C2344" s="70"/>
      <c r="D2344" s="70"/>
      <c r="E2344" s="70"/>
      <c r="F2344" s="70"/>
      <c r="G2344" s="70"/>
      <c r="H2344" s="93"/>
      <c r="I2344" s="85"/>
      <c r="J2344" s="85"/>
      <c r="K2344" s="131"/>
      <c r="L2344" s="60"/>
      <c r="M2344" s="49"/>
      <c r="Q2344" s="3"/>
      <c r="R2344" s="3"/>
      <c r="S2344" s="3"/>
      <c r="T2344" s="3"/>
      <c r="U2344" s="3"/>
      <c r="V2344" s="3"/>
      <c r="W2344" s="3"/>
      <c r="X2344" s="3"/>
      <c r="Y2344" s="3"/>
      <c r="Z2344" s="4"/>
      <c r="AA2344"/>
      <c r="AB2344"/>
    </row>
    <row r="2345" spans="1:28" s="37" customFormat="1" x14ac:dyDescent="0.15">
      <c r="A2345" s="166"/>
      <c r="B2345" s="82"/>
      <c r="C2345" s="70"/>
      <c r="D2345" s="70"/>
      <c r="E2345" s="70"/>
      <c r="F2345" s="70"/>
      <c r="G2345" s="70"/>
      <c r="H2345" s="93"/>
      <c r="I2345" s="85"/>
      <c r="J2345" s="85"/>
      <c r="K2345" s="131"/>
      <c r="L2345" s="60"/>
      <c r="M2345" s="49"/>
      <c r="Q2345" s="3"/>
      <c r="R2345" s="3"/>
      <c r="S2345" s="3"/>
      <c r="T2345" s="3"/>
      <c r="U2345" s="3"/>
      <c r="V2345" s="3"/>
      <c r="W2345" s="3"/>
      <c r="X2345" s="3"/>
      <c r="Y2345" s="3"/>
      <c r="Z2345" s="4"/>
      <c r="AA2345"/>
      <c r="AB2345"/>
    </row>
    <row r="2346" spans="1:28" s="37" customFormat="1" x14ac:dyDescent="0.15">
      <c r="A2346" s="166"/>
      <c r="B2346" s="82"/>
      <c r="C2346" s="70"/>
      <c r="D2346" s="70"/>
      <c r="E2346" s="70"/>
      <c r="F2346" s="70"/>
      <c r="G2346" s="70"/>
      <c r="H2346" s="93"/>
      <c r="I2346" s="85"/>
      <c r="J2346" s="85"/>
      <c r="K2346" s="131"/>
      <c r="L2346" s="60"/>
      <c r="M2346" s="49"/>
      <c r="Q2346" s="3"/>
      <c r="R2346" s="3"/>
      <c r="S2346" s="3"/>
      <c r="T2346" s="3"/>
      <c r="U2346" s="3"/>
      <c r="V2346" s="3"/>
      <c r="W2346" s="3"/>
      <c r="X2346" s="3"/>
      <c r="Y2346" s="3"/>
      <c r="Z2346" s="4"/>
      <c r="AA2346"/>
      <c r="AB2346"/>
    </row>
    <row r="2347" spans="1:28" s="37" customFormat="1" x14ac:dyDescent="0.15">
      <c r="A2347" s="166"/>
      <c r="B2347" s="82"/>
      <c r="C2347" s="70"/>
      <c r="D2347" s="70"/>
      <c r="E2347" s="70"/>
      <c r="F2347" s="70"/>
      <c r="G2347" s="70"/>
      <c r="H2347" s="93"/>
      <c r="I2347" s="85"/>
      <c r="J2347" s="85"/>
      <c r="K2347" s="131"/>
      <c r="L2347" s="60"/>
      <c r="M2347" s="49"/>
      <c r="Q2347" s="3"/>
      <c r="R2347" s="3"/>
      <c r="S2347" s="3"/>
      <c r="T2347" s="3"/>
      <c r="U2347" s="3"/>
      <c r="V2347" s="3"/>
      <c r="W2347" s="3"/>
      <c r="X2347" s="3"/>
      <c r="Y2347" s="3"/>
      <c r="Z2347" s="4"/>
      <c r="AA2347"/>
      <c r="AB2347"/>
    </row>
    <row r="2348" spans="1:28" s="37" customFormat="1" x14ac:dyDescent="0.15">
      <c r="A2348" s="166"/>
      <c r="B2348" s="82"/>
      <c r="C2348" s="70"/>
      <c r="D2348" s="70"/>
      <c r="E2348" s="70"/>
      <c r="F2348" s="70"/>
      <c r="G2348" s="70"/>
      <c r="H2348" s="93"/>
      <c r="I2348" s="85"/>
      <c r="J2348" s="85"/>
      <c r="K2348" s="131"/>
      <c r="L2348" s="60"/>
      <c r="M2348" s="49"/>
      <c r="Q2348" s="3"/>
      <c r="R2348" s="3"/>
      <c r="S2348" s="3"/>
      <c r="T2348" s="3"/>
      <c r="U2348" s="3"/>
      <c r="V2348" s="3"/>
      <c r="W2348" s="3"/>
      <c r="X2348" s="3"/>
      <c r="Y2348" s="3"/>
      <c r="Z2348" s="4"/>
      <c r="AA2348"/>
      <c r="AB2348"/>
    </row>
    <row r="2349" spans="1:28" s="37" customFormat="1" x14ac:dyDescent="0.15">
      <c r="A2349" s="166"/>
      <c r="B2349" s="82"/>
      <c r="C2349" s="70"/>
      <c r="D2349" s="70"/>
      <c r="E2349" s="70"/>
      <c r="F2349" s="70"/>
      <c r="G2349" s="70"/>
      <c r="H2349" s="93"/>
      <c r="I2349" s="85"/>
      <c r="J2349" s="85"/>
      <c r="K2349" s="131"/>
      <c r="L2349" s="60"/>
      <c r="M2349" s="49"/>
      <c r="Q2349" s="3"/>
      <c r="R2349" s="3"/>
      <c r="S2349" s="3"/>
      <c r="T2349" s="3"/>
      <c r="U2349" s="3"/>
      <c r="V2349" s="3"/>
      <c r="W2349" s="3"/>
      <c r="X2349" s="3"/>
      <c r="Y2349" s="3"/>
      <c r="Z2349" s="4"/>
      <c r="AA2349"/>
      <c r="AB2349"/>
    </row>
    <row r="2350" spans="1:28" s="49" customFormat="1" x14ac:dyDescent="0.15">
      <c r="A2350" s="166"/>
      <c r="B2350" s="82"/>
      <c r="C2350" s="70"/>
      <c r="D2350" s="70"/>
      <c r="E2350" s="70"/>
      <c r="F2350" s="70"/>
      <c r="G2350" s="70"/>
      <c r="H2350" s="93"/>
      <c r="I2350" s="85"/>
      <c r="J2350" s="85"/>
      <c r="K2350" s="131"/>
      <c r="L2350" s="60"/>
      <c r="N2350" s="37"/>
      <c r="O2350" s="37"/>
      <c r="P2350" s="37"/>
      <c r="Q2350" s="3"/>
      <c r="R2350" s="3"/>
      <c r="S2350" s="3"/>
      <c r="T2350" s="3"/>
      <c r="U2350" s="3"/>
      <c r="V2350" s="3"/>
      <c r="W2350" s="3"/>
      <c r="X2350" s="3"/>
      <c r="Y2350" s="3"/>
      <c r="Z2350" s="4"/>
      <c r="AA2350"/>
      <c r="AB2350"/>
    </row>
    <row r="2351" spans="1:28" s="49" customFormat="1" x14ac:dyDescent="0.15">
      <c r="A2351" s="166"/>
      <c r="B2351" s="82"/>
      <c r="C2351" s="70"/>
      <c r="D2351" s="70"/>
      <c r="E2351" s="70"/>
      <c r="F2351" s="70"/>
      <c r="G2351" s="70"/>
      <c r="H2351" s="93"/>
      <c r="I2351" s="85"/>
      <c r="J2351" s="85"/>
      <c r="K2351" s="131"/>
      <c r="L2351" s="60"/>
      <c r="N2351" s="37"/>
      <c r="O2351" s="37"/>
      <c r="P2351" s="37"/>
      <c r="Q2351" s="3"/>
      <c r="R2351" s="3"/>
      <c r="S2351" s="3"/>
      <c r="T2351" s="3"/>
      <c r="U2351" s="3"/>
      <c r="V2351" s="3"/>
      <c r="W2351" s="3"/>
      <c r="X2351" s="3"/>
      <c r="Y2351" s="3"/>
      <c r="Z2351" s="4"/>
      <c r="AA2351"/>
      <c r="AB2351"/>
    </row>
    <row r="2352" spans="1:28" s="49" customFormat="1" x14ac:dyDescent="0.15">
      <c r="A2352" s="166"/>
      <c r="B2352" s="82"/>
      <c r="C2352" s="70"/>
      <c r="D2352" s="70"/>
      <c r="E2352" s="73"/>
      <c r="F2352" s="70"/>
      <c r="G2352" s="70"/>
      <c r="H2352" s="93"/>
      <c r="I2352" s="85"/>
      <c r="J2352" s="85"/>
      <c r="K2352" s="131"/>
      <c r="L2352" s="60"/>
      <c r="N2352" s="37"/>
      <c r="O2352" s="37"/>
      <c r="P2352" s="37"/>
      <c r="Q2352" s="3"/>
      <c r="R2352" s="3"/>
      <c r="S2352" s="3"/>
      <c r="T2352" s="3"/>
      <c r="U2352" s="3"/>
      <c r="V2352" s="3"/>
      <c r="W2352" s="3"/>
      <c r="X2352" s="3"/>
      <c r="Y2352" s="3"/>
      <c r="Z2352" s="4"/>
      <c r="AA2352"/>
      <c r="AB2352"/>
    </row>
    <row r="2353" spans="1:28" s="49" customFormat="1" x14ac:dyDescent="0.15">
      <c r="A2353" s="166"/>
      <c r="B2353" s="82"/>
      <c r="C2353" s="70"/>
      <c r="D2353" s="70"/>
      <c r="E2353" s="70"/>
      <c r="F2353" s="70"/>
      <c r="G2353" s="70"/>
      <c r="H2353" s="93"/>
      <c r="I2353" s="85"/>
      <c r="J2353" s="85"/>
      <c r="K2353" s="131"/>
      <c r="L2353" s="60"/>
      <c r="N2353" s="37"/>
      <c r="O2353" s="37"/>
      <c r="P2353" s="37"/>
      <c r="Q2353" s="3"/>
      <c r="R2353" s="3"/>
      <c r="S2353" s="3"/>
      <c r="T2353" s="3"/>
      <c r="U2353" s="3"/>
      <c r="V2353" s="3"/>
      <c r="W2353" s="3"/>
      <c r="X2353" s="3"/>
      <c r="Y2353" s="3"/>
      <c r="Z2353" s="4"/>
      <c r="AA2353"/>
      <c r="AB2353"/>
    </row>
    <row r="2354" spans="1:28" s="49" customFormat="1" x14ac:dyDescent="0.15">
      <c r="A2354" s="166"/>
      <c r="B2354" s="82"/>
      <c r="C2354" s="70"/>
      <c r="D2354" s="70"/>
      <c r="E2354" s="70"/>
      <c r="F2354" s="70"/>
      <c r="G2354" s="70"/>
      <c r="H2354" s="93"/>
      <c r="I2354" s="85"/>
      <c r="J2354" s="85"/>
      <c r="K2354" s="131"/>
      <c r="L2354" s="60"/>
      <c r="N2354" s="37"/>
      <c r="O2354" s="37"/>
      <c r="P2354" s="37"/>
      <c r="Q2354" s="3"/>
      <c r="R2354" s="3"/>
      <c r="S2354" s="3"/>
      <c r="T2354" s="3"/>
      <c r="U2354" s="3"/>
      <c r="V2354" s="3"/>
      <c r="W2354" s="3"/>
      <c r="X2354" s="3"/>
      <c r="Y2354" s="3"/>
      <c r="Z2354" s="4"/>
      <c r="AA2354"/>
      <c r="AB2354"/>
    </row>
    <row r="2355" spans="1:28" s="49" customFormat="1" x14ac:dyDescent="0.15">
      <c r="A2355" s="166"/>
      <c r="B2355" s="82"/>
      <c r="C2355" s="70"/>
      <c r="D2355" s="70"/>
      <c r="E2355" s="70"/>
      <c r="F2355" s="70"/>
      <c r="G2355" s="70"/>
      <c r="H2355" s="93"/>
      <c r="I2355" s="85"/>
      <c r="J2355" s="85"/>
      <c r="K2355" s="131"/>
      <c r="L2355" s="60"/>
      <c r="N2355" s="37"/>
      <c r="O2355" s="37"/>
      <c r="P2355" s="37"/>
      <c r="Q2355" s="3"/>
      <c r="R2355" s="3"/>
      <c r="S2355" s="3"/>
      <c r="T2355" s="3"/>
      <c r="U2355" s="3"/>
      <c r="V2355" s="3"/>
      <c r="W2355" s="3"/>
      <c r="X2355" s="3"/>
      <c r="Y2355" s="3"/>
      <c r="Z2355" s="4"/>
      <c r="AA2355"/>
      <c r="AB2355"/>
    </row>
    <row r="2356" spans="1:28" s="49" customFormat="1" x14ac:dyDescent="0.15">
      <c r="A2356" s="166"/>
      <c r="B2356" s="82"/>
      <c r="C2356" s="70"/>
      <c r="D2356" s="70"/>
      <c r="E2356" s="70"/>
      <c r="F2356" s="70"/>
      <c r="G2356" s="70"/>
      <c r="H2356" s="93"/>
      <c r="I2356" s="85"/>
      <c r="J2356" s="85"/>
      <c r="K2356" s="131"/>
      <c r="L2356" s="60"/>
      <c r="N2356" s="37"/>
      <c r="O2356" s="37"/>
      <c r="P2356" s="37"/>
      <c r="Q2356" s="3"/>
      <c r="R2356" s="3"/>
      <c r="S2356" s="3"/>
      <c r="T2356" s="3"/>
      <c r="U2356" s="3"/>
      <c r="V2356" s="3"/>
      <c r="W2356" s="3"/>
      <c r="X2356" s="3"/>
      <c r="Y2356" s="3"/>
      <c r="Z2356" s="4"/>
      <c r="AA2356"/>
      <c r="AB2356"/>
    </row>
    <row r="2357" spans="1:28" s="49" customFormat="1" x14ac:dyDescent="0.15">
      <c r="A2357" s="166"/>
      <c r="B2357" s="82"/>
      <c r="C2357" s="70"/>
      <c r="D2357" s="70"/>
      <c r="E2357" s="70"/>
      <c r="F2357" s="70"/>
      <c r="G2357" s="70"/>
      <c r="H2357" s="93"/>
      <c r="I2357" s="85"/>
      <c r="J2357" s="85"/>
      <c r="K2357" s="131"/>
      <c r="L2357" s="60"/>
      <c r="N2357" s="37"/>
      <c r="O2357" s="37"/>
      <c r="P2357" s="37"/>
      <c r="Q2357" s="3"/>
      <c r="R2357" s="3"/>
      <c r="S2357" s="3"/>
      <c r="T2357" s="3"/>
      <c r="U2357" s="3"/>
      <c r="V2357" s="3"/>
      <c r="W2357" s="3"/>
      <c r="X2357" s="3"/>
      <c r="Y2357" s="3"/>
      <c r="Z2357" s="4"/>
      <c r="AA2357"/>
      <c r="AB2357"/>
    </row>
    <row r="2358" spans="1:28" s="49" customFormat="1" x14ac:dyDescent="0.15">
      <c r="A2358" s="166"/>
      <c r="B2358" s="82"/>
      <c r="C2358" s="70"/>
      <c r="D2358" s="70"/>
      <c r="E2358" s="70"/>
      <c r="F2358" s="70"/>
      <c r="G2358" s="70"/>
      <c r="H2358" s="93"/>
      <c r="I2358" s="85"/>
      <c r="J2358" s="85"/>
      <c r="K2358" s="131"/>
      <c r="L2358" s="60"/>
      <c r="N2358" s="37"/>
      <c r="O2358" s="37"/>
      <c r="P2358" s="37"/>
      <c r="Q2358" s="3"/>
      <c r="R2358" s="3"/>
      <c r="S2358" s="3"/>
      <c r="T2358" s="3"/>
      <c r="U2358" s="3"/>
      <c r="V2358" s="3"/>
      <c r="W2358" s="3"/>
      <c r="X2358" s="3"/>
      <c r="Y2358" s="3"/>
      <c r="Z2358" s="4"/>
      <c r="AA2358"/>
      <c r="AB2358"/>
    </row>
    <row r="2359" spans="1:28" s="49" customFormat="1" x14ac:dyDescent="0.15">
      <c r="A2359" s="166"/>
      <c r="B2359" s="82"/>
      <c r="C2359" s="70"/>
      <c r="D2359" s="70"/>
      <c r="E2359" s="70"/>
      <c r="F2359" s="70"/>
      <c r="G2359" s="70"/>
      <c r="H2359" s="93"/>
      <c r="I2359" s="85"/>
      <c r="J2359" s="85"/>
      <c r="K2359" s="146"/>
      <c r="L2359" s="60"/>
      <c r="N2359" s="37"/>
      <c r="O2359" s="37"/>
      <c r="P2359" s="37"/>
      <c r="Q2359" s="3"/>
      <c r="R2359" s="3"/>
      <c r="S2359" s="3"/>
      <c r="T2359" s="3"/>
      <c r="U2359" s="3"/>
      <c r="V2359" s="3"/>
      <c r="W2359" s="3"/>
      <c r="X2359" s="3"/>
      <c r="Y2359" s="3"/>
      <c r="Z2359" s="4"/>
      <c r="AA2359"/>
      <c r="AB2359"/>
    </row>
    <row r="2360" spans="1:28" s="49" customFormat="1" x14ac:dyDescent="0.15">
      <c r="A2360" s="166"/>
      <c r="B2360" s="82"/>
      <c r="C2360" s="70"/>
      <c r="D2360" s="70"/>
      <c r="E2360" s="70"/>
      <c r="F2360" s="70"/>
      <c r="G2360" s="70"/>
      <c r="H2360" s="93"/>
      <c r="I2360" s="85"/>
      <c r="J2360" s="85"/>
      <c r="K2360" s="131"/>
      <c r="L2360" s="60"/>
      <c r="N2360" s="37"/>
      <c r="O2360" s="37"/>
      <c r="P2360" s="37"/>
      <c r="Q2360" s="3"/>
      <c r="R2360" s="3"/>
      <c r="S2360" s="3"/>
      <c r="T2360" s="3"/>
      <c r="U2360" s="3"/>
      <c r="V2360" s="3"/>
      <c r="W2360" s="3"/>
      <c r="X2360" s="3"/>
      <c r="Y2360" s="3"/>
      <c r="Z2360" s="4"/>
      <c r="AA2360"/>
      <c r="AB2360"/>
    </row>
    <row r="2361" spans="1:28" s="49" customFormat="1" x14ac:dyDescent="0.15">
      <c r="A2361" s="166"/>
      <c r="B2361" s="82"/>
      <c r="C2361" s="70"/>
      <c r="D2361" s="70"/>
      <c r="E2361" s="70"/>
      <c r="F2361" s="70"/>
      <c r="G2361" s="70"/>
      <c r="H2361" s="93"/>
      <c r="I2361" s="85"/>
      <c r="J2361" s="85"/>
      <c r="K2361" s="131"/>
      <c r="L2361" s="60"/>
      <c r="N2361" s="37"/>
      <c r="O2361" s="37"/>
      <c r="P2361" s="37"/>
      <c r="Q2361" s="3"/>
      <c r="R2361" s="3"/>
      <c r="S2361" s="3"/>
      <c r="T2361" s="3"/>
      <c r="U2361" s="3"/>
      <c r="V2361" s="3"/>
      <c r="W2361" s="3"/>
      <c r="X2361" s="3"/>
      <c r="Y2361" s="3"/>
      <c r="Z2361" s="4"/>
      <c r="AA2361"/>
      <c r="AB2361"/>
    </row>
    <row r="2362" spans="1:28" s="49" customFormat="1" x14ac:dyDescent="0.15">
      <c r="A2362" s="166"/>
      <c r="B2362" s="82"/>
      <c r="C2362" s="70"/>
      <c r="D2362" s="70"/>
      <c r="E2362" s="70"/>
      <c r="F2362" s="70"/>
      <c r="G2362" s="70"/>
      <c r="H2362" s="93"/>
      <c r="I2362" s="85"/>
      <c r="J2362" s="85"/>
      <c r="K2362" s="131"/>
      <c r="L2362" s="60"/>
      <c r="N2362" s="37"/>
      <c r="O2362" s="37"/>
      <c r="P2362" s="37"/>
      <c r="Q2362" s="3"/>
      <c r="R2362" s="3"/>
      <c r="S2362" s="3"/>
      <c r="T2362" s="3"/>
      <c r="U2362" s="3"/>
      <c r="V2362" s="3"/>
      <c r="W2362" s="3"/>
      <c r="X2362" s="3"/>
      <c r="Y2362" s="3"/>
      <c r="Z2362" s="4"/>
      <c r="AA2362"/>
      <c r="AB2362"/>
    </row>
    <row r="2363" spans="1:28" s="49" customFormat="1" x14ac:dyDescent="0.15">
      <c r="A2363" s="166"/>
      <c r="B2363" s="82"/>
      <c r="C2363" s="70"/>
      <c r="D2363" s="70"/>
      <c r="E2363" s="70"/>
      <c r="F2363" s="70"/>
      <c r="G2363" s="70"/>
      <c r="H2363" s="93"/>
      <c r="I2363" s="85"/>
      <c r="J2363" s="85"/>
      <c r="K2363" s="131"/>
      <c r="L2363" s="60"/>
      <c r="N2363" s="37"/>
      <c r="O2363" s="37"/>
      <c r="P2363" s="37"/>
      <c r="Q2363" s="3"/>
      <c r="R2363" s="3"/>
      <c r="S2363" s="3"/>
      <c r="T2363" s="3"/>
      <c r="U2363" s="3"/>
      <c r="V2363" s="3"/>
      <c r="W2363" s="3"/>
      <c r="X2363" s="3"/>
      <c r="Y2363" s="3"/>
      <c r="Z2363" s="4"/>
      <c r="AA2363"/>
      <c r="AB2363"/>
    </row>
    <row r="2364" spans="1:28" s="49" customFormat="1" x14ac:dyDescent="0.15">
      <c r="A2364" s="166"/>
      <c r="B2364" s="82"/>
      <c r="C2364" s="70"/>
      <c r="D2364" s="70"/>
      <c r="E2364" s="70"/>
      <c r="F2364" s="70"/>
      <c r="G2364" s="70"/>
      <c r="H2364" s="93"/>
      <c r="I2364" s="85"/>
      <c r="J2364" s="85"/>
      <c r="K2364" s="131"/>
      <c r="L2364" s="60"/>
      <c r="N2364" s="37"/>
      <c r="O2364" s="37"/>
      <c r="P2364" s="37"/>
      <c r="Q2364" s="3"/>
      <c r="R2364" s="3"/>
      <c r="S2364" s="3"/>
      <c r="T2364" s="3"/>
      <c r="U2364" s="3"/>
      <c r="V2364" s="3"/>
      <c r="W2364" s="3"/>
      <c r="X2364" s="3"/>
      <c r="Y2364" s="3"/>
      <c r="Z2364" s="4"/>
      <c r="AA2364"/>
      <c r="AB2364"/>
    </row>
    <row r="2365" spans="1:28" s="49" customFormat="1" x14ac:dyDescent="0.15">
      <c r="A2365" s="166"/>
      <c r="B2365" s="82"/>
      <c r="C2365" s="70"/>
      <c r="D2365" s="70"/>
      <c r="E2365" s="70"/>
      <c r="F2365" s="70"/>
      <c r="G2365" s="70"/>
      <c r="H2365" s="93"/>
      <c r="I2365" s="85"/>
      <c r="J2365" s="85"/>
      <c r="K2365" s="131"/>
      <c r="L2365" s="60"/>
      <c r="N2365" s="37"/>
      <c r="O2365" s="37"/>
      <c r="P2365" s="37"/>
      <c r="Q2365" s="3"/>
      <c r="R2365" s="3"/>
      <c r="S2365" s="3"/>
      <c r="T2365" s="3"/>
      <c r="U2365" s="3"/>
      <c r="V2365" s="3"/>
      <c r="W2365" s="3"/>
      <c r="X2365" s="3"/>
      <c r="Y2365" s="3"/>
      <c r="Z2365" s="4"/>
      <c r="AA2365"/>
      <c r="AB2365"/>
    </row>
    <row r="2366" spans="1:28" s="49" customFormat="1" x14ac:dyDescent="0.15">
      <c r="A2366" s="166"/>
      <c r="B2366" s="82"/>
      <c r="C2366" s="70"/>
      <c r="D2366" s="70"/>
      <c r="E2366" s="70"/>
      <c r="F2366" s="70"/>
      <c r="G2366" s="70"/>
      <c r="H2366" s="93"/>
      <c r="I2366" s="85"/>
      <c r="J2366" s="85"/>
      <c r="K2366" s="131"/>
      <c r="L2366" s="60"/>
      <c r="N2366" s="37"/>
      <c r="O2366" s="37"/>
      <c r="P2366" s="37"/>
      <c r="Q2366" s="3"/>
      <c r="R2366" s="3"/>
      <c r="S2366" s="3"/>
      <c r="T2366" s="3"/>
      <c r="U2366" s="3"/>
      <c r="V2366" s="3"/>
      <c r="W2366" s="3"/>
      <c r="X2366" s="3"/>
      <c r="Y2366" s="3"/>
      <c r="Z2366" s="4"/>
      <c r="AA2366"/>
      <c r="AB2366"/>
    </row>
    <row r="2367" spans="1:28" s="49" customFormat="1" x14ac:dyDescent="0.15">
      <c r="A2367" s="166"/>
      <c r="B2367" s="82"/>
      <c r="C2367" s="70"/>
      <c r="D2367" s="70"/>
      <c r="E2367" s="70"/>
      <c r="F2367" s="70"/>
      <c r="G2367" s="70"/>
      <c r="H2367" s="93"/>
      <c r="I2367" s="85"/>
      <c r="J2367" s="85"/>
      <c r="K2367" s="131"/>
      <c r="L2367" s="60"/>
      <c r="N2367" s="37"/>
      <c r="O2367" s="37"/>
      <c r="P2367" s="37"/>
      <c r="Q2367" s="3"/>
      <c r="R2367" s="3"/>
      <c r="S2367" s="3"/>
      <c r="T2367" s="3"/>
      <c r="U2367" s="3"/>
      <c r="V2367" s="3"/>
      <c r="W2367" s="3"/>
      <c r="X2367" s="3"/>
      <c r="Y2367" s="3"/>
      <c r="Z2367" s="4"/>
      <c r="AA2367"/>
      <c r="AB2367"/>
    </row>
    <row r="2368" spans="1:28" s="49" customFormat="1" x14ac:dyDescent="0.15">
      <c r="A2368" s="166"/>
      <c r="B2368" s="82"/>
      <c r="C2368" s="70"/>
      <c r="D2368" s="70"/>
      <c r="E2368" s="70"/>
      <c r="F2368" s="70"/>
      <c r="G2368" s="70"/>
      <c r="H2368" s="93"/>
      <c r="I2368" s="85"/>
      <c r="J2368" s="85"/>
      <c r="K2368" s="131"/>
      <c r="L2368" s="60"/>
      <c r="N2368" s="37"/>
      <c r="O2368" s="37"/>
      <c r="P2368" s="37"/>
      <c r="Q2368" s="3"/>
      <c r="R2368" s="3"/>
      <c r="S2368" s="3"/>
      <c r="T2368" s="3"/>
      <c r="U2368" s="3"/>
      <c r="V2368" s="3"/>
      <c r="W2368" s="3"/>
      <c r="X2368" s="3"/>
      <c r="Y2368" s="3"/>
      <c r="Z2368" s="4"/>
      <c r="AA2368"/>
      <c r="AB2368"/>
    </row>
    <row r="2369" spans="1:28" s="49" customFormat="1" x14ac:dyDescent="0.15">
      <c r="A2369" s="166"/>
      <c r="B2369" s="82"/>
      <c r="C2369" s="70"/>
      <c r="D2369" s="70"/>
      <c r="E2369" s="70"/>
      <c r="F2369" s="70"/>
      <c r="G2369" s="70"/>
      <c r="H2369" s="93"/>
      <c r="I2369" s="85"/>
      <c r="J2369" s="85"/>
      <c r="K2369" s="131"/>
      <c r="L2369" s="60"/>
      <c r="N2369" s="37"/>
      <c r="O2369" s="37"/>
      <c r="P2369" s="37"/>
      <c r="Q2369" s="3"/>
      <c r="R2369" s="3"/>
      <c r="S2369" s="3"/>
      <c r="T2369" s="3"/>
      <c r="U2369" s="3"/>
      <c r="V2369" s="3"/>
      <c r="W2369" s="3"/>
      <c r="X2369" s="3"/>
      <c r="Y2369" s="3"/>
      <c r="Z2369" s="4"/>
      <c r="AA2369"/>
      <c r="AB2369"/>
    </row>
    <row r="2370" spans="1:28" s="49" customFormat="1" x14ac:dyDescent="0.15">
      <c r="A2370" s="166"/>
      <c r="B2370" s="82"/>
      <c r="C2370" s="70"/>
      <c r="D2370" s="70"/>
      <c r="E2370" s="70"/>
      <c r="F2370" s="70"/>
      <c r="G2370" s="70"/>
      <c r="H2370" s="93"/>
      <c r="I2370" s="85"/>
      <c r="J2370" s="85"/>
      <c r="K2370" s="131"/>
      <c r="L2370" s="60"/>
      <c r="N2370" s="37"/>
      <c r="O2370" s="37"/>
      <c r="P2370" s="37"/>
      <c r="Q2370" s="3"/>
      <c r="R2370" s="3"/>
      <c r="S2370" s="3"/>
      <c r="T2370" s="3"/>
      <c r="U2370" s="3"/>
      <c r="V2370" s="3"/>
      <c r="W2370" s="3"/>
      <c r="X2370" s="3"/>
      <c r="Y2370" s="3"/>
      <c r="Z2370" s="4"/>
      <c r="AA2370"/>
      <c r="AB2370"/>
    </row>
    <row r="2371" spans="1:28" s="49" customFormat="1" x14ac:dyDescent="0.15">
      <c r="A2371" s="166"/>
      <c r="B2371" s="82"/>
      <c r="C2371" s="70"/>
      <c r="D2371" s="70"/>
      <c r="E2371" s="70"/>
      <c r="F2371" s="70"/>
      <c r="G2371" s="70"/>
      <c r="H2371" s="93"/>
      <c r="I2371" s="85"/>
      <c r="J2371" s="85"/>
      <c r="K2371" s="131"/>
      <c r="L2371" s="60"/>
      <c r="N2371" s="37"/>
      <c r="O2371" s="37"/>
      <c r="P2371" s="37"/>
      <c r="Q2371" s="3"/>
      <c r="R2371" s="3"/>
      <c r="S2371" s="3"/>
      <c r="T2371" s="3"/>
      <c r="U2371" s="3"/>
      <c r="V2371" s="3"/>
      <c r="W2371" s="3"/>
      <c r="X2371" s="3"/>
      <c r="Y2371" s="3"/>
      <c r="Z2371" s="4"/>
      <c r="AA2371"/>
      <c r="AB2371"/>
    </row>
    <row r="2372" spans="1:28" s="49" customFormat="1" x14ac:dyDescent="0.15">
      <c r="A2372" s="166"/>
      <c r="B2372" s="82"/>
      <c r="C2372" s="70"/>
      <c r="D2372" s="70"/>
      <c r="E2372" s="70"/>
      <c r="F2372" s="70"/>
      <c r="G2372" s="70"/>
      <c r="H2372" s="93"/>
      <c r="I2372" s="85"/>
      <c r="J2372" s="85"/>
      <c r="K2372" s="131"/>
      <c r="L2372" s="60"/>
      <c r="N2372" s="37"/>
      <c r="O2372" s="37"/>
      <c r="P2372" s="37"/>
      <c r="Q2372" s="3"/>
      <c r="R2372" s="3"/>
      <c r="S2372" s="3"/>
      <c r="T2372" s="3"/>
      <c r="U2372" s="3"/>
      <c r="V2372" s="3"/>
      <c r="W2372" s="3"/>
      <c r="X2372" s="3"/>
      <c r="Y2372" s="3"/>
      <c r="Z2372" s="4"/>
      <c r="AA2372"/>
      <c r="AB2372"/>
    </row>
    <row r="2373" spans="1:28" s="49" customFormat="1" x14ac:dyDescent="0.15">
      <c r="A2373" s="166"/>
      <c r="B2373" s="82"/>
      <c r="C2373" s="70"/>
      <c r="D2373" s="70"/>
      <c r="E2373" s="70"/>
      <c r="F2373" s="70"/>
      <c r="G2373" s="70"/>
      <c r="H2373" s="93"/>
      <c r="I2373" s="85"/>
      <c r="J2373" s="85"/>
      <c r="K2373" s="131"/>
      <c r="L2373" s="60"/>
      <c r="N2373" s="37"/>
      <c r="O2373" s="37"/>
      <c r="P2373" s="37"/>
      <c r="Q2373" s="3"/>
      <c r="R2373" s="3"/>
      <c r="S2373" s="3"/>
      <c r="T2373" s="3"/>
      <c r="U2373" s="3"/>
      <c r="V2373" s="3"/>
      <c r="W2373" s="3"/>
      <c r="X2373" s="3"/>
      <c r="Y2373" s="3"/>
      <c r="Z2373" s="4"/>
      <c r="AA2373"/>
      <c r="AB2373"/>
    </row>
    <row r="2374" spans="1:28" s="49" customFormat="1" x14ac:dyDescent="0.15">
      <c r="A2374" s="166"/>
      <c r="B2374" s="82"/>
      <c r="C2374" s="70"/>
      <c r="D2374" s="70"/>
      <c r="E2374" s="70"/>
      <c r="F2374" s="70"/>
      <c r="G2374" s="70"/>
      <c r="H2374" s="93"/>
      <c r="I2374" s="85"/>
      <c r="J2374" s="85"/>
      <c r="K2374" s="131"/>
      <c r="L2374" s="60"/>
      <c r="N2374" s="37"/>
      <c r="O2374" s="37"/>
      <c r="P2374" s="37"/>
      <c r="Q2374" s="3"/>
      <c r="R2374" s="3"/>
      <c r="S2374" s="3"/>
      <c r="T2374" s="3"/>
      <c r="U2374" s="3"/>
      <c r="V2374" s="3"/>
      <c r="W2374" s="3"/>
      <c r="X2374" s="3"/>
      <c r="Y2374" s="3"/>
      <c r="Z2374" s="4"/>
      <c r="AA2374"/>
      <c r="AB2374"/>
    </row>
    <row r="2375" spans="1:28" s="49" customFormat="1" x14ac:dyDescent="0.15">
      <c r="A2375" s="166"/>
      <c r="B2375" s="82"/>
      <c r="C2375" s="70"/>
      <c r="D2375" s="70"/>
      <c r="E2375" s="70"/>
      <c r="F2375" s="70"/>
      <c r="G2375" s="70"/>
      <c r="H2375" s="93"/>
      <c r="I2375" s="85"/>
      <c r="J2375" s="85"/>
      <c r="K2375" s="131"/>
      <c r="L2375" s="60"/>
      <c r="N2375" s="37"/>
      <c r="O2375" s="37"/>
      <c r="P2375" s="37"/>
      <c r="Q2375" s="3"/>
      <c r="R2375" s="3"/>
      <c r="S2375" s="3"/>
      <c r="T2375" s="3"/>
      <c r="U2375" s="3"/>
      <c r="V2375" s="3"/>
      <c r="W2375" s="3"/>
      <c r="X2375" s="3"/>
      <c r="Y2375" s="3"/>
      <c r="Z2375" s="4"/>
      <c r="AA2375"/>
      <c r="AB2375"/>
    </row>
    <row r="2376" spans="1:28" s="49" customFormat="1" x14ac:dyDescent="0.15">
      <c r="A2376" s="166"/>
      <c r="B2376" s="82"/>
      <c r="C2376" s="70"/>
      <c r="D2376" s="70"/>
      <c r="E2376" s="70"/>
      <c r="F2376" s="70"/>
      <c r="G2376" s="70"/>
      <c r="H2376" s="93"/>
      <c r="I2376" s="85"/>
      <c r="J2376" s="85"/>
      <c r="K2376" s="131"/>
      <c r="L2376" s="60"/>
      <c r="N2376" s="37"/>
      <c r="O2376" s="37"/>
      <c r="P2376" s="37"/>
      <c r="Q2376" s="3"/>
      <c r="R2376" s="3"/>
      <c r="S2376" s="3"/>
      <c r="T2376" s="3"/>
      <c r="U2376" s="3"/>
      <c r="V2376" s="3"/>
      <c r="W2376" s="3"/>
      <c r="X2376" s="3"/>
      <c r="Y2376" s="3"/>
      <c r="Z2376" s="4"/>
      <c r="AA2376"/>
      <c r="AB2376"/>
    </row>
    <row r="2377" spans="1:28" s="49" customFormat="1" x14ac:dyDescent="0.15">
      <c r="A2377" s="166"/>
      <c r="B2377" s="82"/>
      <c r="C2377" s="70"/>
      <c r="D2377" s="70"/>
      <c r="E2377" s="70"/>
      <c r="F2377" s="70"/>
      <c r="G2377" s="70"/>
      <c r="H2377" s="93"/>
      <c r="I2377" s="85"/>
      <c r="J2377" s="85"/>
      <c r="K2377" s="131"/>
      <c r="L2377" s="60"/>
      <c r="N2377" s="37"/>
      <c r="O2377" s="37"/>
      <c r="P2377" s="37"/>
      <c r="Q2377" s="3"/>
      <c r="R2377" s="3"/>
      <c r="S2377" s="3"/>
      <c r="T2377" s="3"/>
      <c r="U2377" s="3"/>
      <c r="V2377" s="3"/>
      <c r="W2377" s="3"/>
      <c r="X2377" s="3"/>
      <c r="Y2377" s="3"/>
      <c r="Z2377" s="4"/>
      <c r="AA2377"/>
      <c r="AB2377"/>
    </row>
    <row r="2378" spans="1:28" s="49" customFormat="1" x14ac:dyDescent="0.15">
      <c r="A2378" s="166"/>
      <c r="B2378" s="82"/>
      <c r="C2378" s="70"/>
      <c r="D2378" s="70"/>
      <c r="E2378" s="70"/>
      <c r="F2378" s="70"/>
      <c r="G2378" s="70"/>
      <c r="H2378" s="93"/>
      <c r="I2378" s="85"/>
      <c r="J2378" s="85"/>
      <c r="K2378" s="131"/>
      <c r="L2378" s="60"/>
      <c r="N2378" s="37"/>
      <c r="O2378" s="37"/>
      <c r="P2378" s="37"/>
      <c r="Q2378" s="3"/>
      <c r="R2378" s="3"/>
      <c r="S2378" s="3"/>
      <c r="T2378" s="3"/>
      <c r="U2378" s="3"/>
      <c r="V2378" s="3"/>
      <c r="W2378" s="3"/>
      <c r="X2378" s="3"/>
      <c r="Y2378" s="3"/>
      <c r="Z2378" s="4"/>
      <c r="AA2378"/>
      <c r="AB2378"/>
    </row>
    <row r="2379" spans="1:28" s="49" customFormat="1" x14ac:dyDescent="0.15">
      <c r="A2379" s="166"/>
      <c r="B2379" s="82"/>
      <c r="C2379" s="70"/>
      <c r="D2379" s="70"/>
      <c r="E2379" s="70"/>
      <c r="F2379" s="70"/>
      <c r="G2379" s="70"/>
      <c r="H2379" s="93"/>
      <c r="I2379" s="85"/>
      <c r="J2379" s="85"/>
      <c r="K2379" s="131"/>
      <c r="L2379" s="60"/>
      <c r="N2379" s="37"/>
      <c r="O2379" s="37"/>
      <c r="P2379" s="37"/>
      <c r="Q2379" s="3"/>
      <c r="R2379" s="3"/>
      <c r="S2379" s="3"/>
      <c r="T2379" s="3"/>
      <c r="U2379" s="3"/>
      <c r="V2379" s="3"/>
      <c r="W2379" s="3"/>
      <c r="X2379" s="3"/>
      <c r="Y2379" s="3"/>
      <c r="Z2379" s="4"/>
      <c r="AA2379"/>
      <c r="AB2379"/>
    </row>
    <row r="2380" spans="1:28" s="49" customFormat="1" x14ac:dyDescent="0.15">
      <c r="A2380" s="166"/>
      <c r="B2380" s="82"/>
      <c r="C2380" s="70"/>
      <c r="D2380" s="70"/>
      <c r="E2380" s="70"/>
      <c r="F2380" s="70"/>
      <c r="G2380" s="70"/>
      <c r="H2380" s="93"/>
      <c r="I2380" s="85"/>
      <c r="J2380" s="85"/>
      <c r="K2380" s="131"/>
      <c r="L2380" s="60"/>
      <c r="N2380" s="37"/>
      <c r="O2380" s="37"/>
      <c r="P2380" s="37"/>
      <c r="Q2380" s="3"/>
      <c r="R2380" s="3"/>
      <c r="S2380" s="3"/>
      <c r="T2380" s="3"/>
      <c r="U2380" s="3"/>
      <c r="V2380" s="3"/>
      <c r="W2380" s="3"/>
      <c r="X2380" s="3"/>
      <c r="Y2380" s="3"/>
      <c r="Z2380" s="4"/>
      <c r="AA2380"/>
      <c r="AB2380"/>
    </row>
    <row r="2381" spans="1:28" s="49" customFormat="1" x14ac:dyDescent="0.15">
      <c r="A2381" s="166"/>
      <c r="B2381" s="82"/>
      <c r="C2381" s="70"/>
      <c r="D2381" s="70"/>
      <c r="E2381" s="70"/>
      <c r="F2381" s="70"/>
      <c r="G2381" s="70"/>
      <c r="H2381" s="93"/>
      <c r="I2381" s="85"/>
      <c r="J2381" s="85"/>
      <c r="K2381" s="131"/>
      <c r="L2381" s="60"/>
      <c r="N2381" s="37"/>
      <c r="O2381" s="37"/>
      <c r="P2381" s="37"/>
      <c r="Q2381" s="3"/>
      <c r="R2381" s="3"/>
      <c r="S2381" s="3"/>
      <c r="T2381" s="3"/>
      <c r="U2381" s="3"/>
      <c r="V2381" s="3"/>
      <c r="W2381" s="3"/>
      <c r="X2381" s="3"/>
      <c r="Y2381" s="3"/>
      <c r="Z2381" s="4"/>
      <c r="AA2381"/>
      <c r="AB2381"/>
    </row>
    <row r="2382" spans="1:28" s="37" customFormat="1" x14ac:dyDescent="0.15">
      <c r="A2382" s="166"/>
      <c r="B2382" s="82"/>
      <c r="C2382" s="70"/>
      <c r="D2382" s="70"/>
      <c r="E2382" s="70"/>
      <c r="F2382" s="70"/>
      <c r="G2382" s="70"/>
      <c r="H2382" s="93"/>
      <c r="I2382" s="85"/>
      <c r="J2382" s="85"/>
      <c r="K2382" s="131"/>
      <c r="L2382" s="60"/>
      <c r="M2382" s="49"/>
      <c r="Q2382" s="3"/>
      <c r="R2382" s="3"/>
      <c r="S2382" s="3"/>
      <c r="T2382" s="3"/>
      <c r="U2382" s="3"/>
      <c r="V2382" s="3"/>
      <c r="W2382" s="3"/>
      <c r="X2382" s="3"/>
      <c r="Y2382" s="3"/>
      <c r="Z2382" s="4"/>
      <c r="AA2382"/>
      <c r="AB2382"/>
    </row>
    <row r="2383" spans="1:28" s="37" customFormat="1" x14ac:dyDescent="0.15">
      <c r="A2383" s="166"/>
      <c r="B2383" s="82"/>
      <c r="C2383" s="70"/>
      <c r="D2383" s="70"/>
      <c r="E2383" s="70"/>
      <c r="F2383" s="70"/>
      <c r="G2383" s="70"/>
      <c r="H2383" s="93"/>
      <c r="I2383" s="85"/>
      <c r="J2383" s="85"/>
      <c r="K2383" s="131"/>
      <c r="L2383" s="60"/>
      <c r="M2383" s="49"/>
      <c r="Q2383" s="3"/>
      <c r="R2383" s="3"/>
      <c r="S2383" s="3"/>
      <c r="T2383" s="3"/>
      <c r="U2383" s="3"/>
      <c r="V2383" s="3"/>
      <c r="W2383" s="3"/>
      <c r="X2383" s="3"/>
      <c r="Y2383" s="3"/>
      <c r="Z2383" s="4"/>
      <c r="AA2383"/>
      <c r="AB2383"/>
    </row>
    <row r="2384" spans="1:28" s="37" customFormat="1" x14ac:dyDescent="0.15">
      <c r="A2384" s="166"/>
      <c r="B2384" s="82"/>
      <c r="C2384" s="70"/>
      <c r="D2384" s="70"/>
      <c r="E2384" s="70"/>
      <c r="F2384" s="70"/>
      <c r="G2384" s="70"/>
      <c r="H2384" s="93"/>
      <c r="I2384" s="85"/>
      <c r="J2384" s="85"/>
      <c r="K2384" s="131"/>
      <c r="L2384" s="60"/>
      <c r="M2384" s="49"/>
      <c r="Q2384" s="3"/>
      <c r="R2384" s="3"/>
      <c r="S2384" s="3"/>
      <c r="T2384" s="3"/>
      <c r="U2384" s="3"/>
      <c r="V2384" s="3"/>
      <c r="W2384" s="3"/>
      <c r="X2384" s="3"/>
      <c r="Y2384" s="3"/>
      <c r="Z2384" s="4"/>
      <c r="AA2384"/>
      <c r="AB2384"/>
    </row>
    <row r="2385" spans="1:28" s="37" customFormat="1" x14ac:dyDescent="0.15">
      <c r="A2385" s="166"/>
      <c r="B2385" s="93"/>
      <c r="C2385" s="70"/>
      <c r="D2385" s="70"/>
      <c r="E2385" s="70"/>
      <c r="F2385" s="70"/>
      <c r="G2385" s="70"/>
      <c r="H2385" s="93"/>
      <c r="I2385" s="85"/>
      <c r="J2385" s="85"/>
      <c r="K2385" s="131"/>
      <c r="L2385" s="60"/>
      <c r="M2385" s="54"/>
      <c r="Q2385" s="3"/>
      <c r="R2385" s="3"/>
      <c r="S2385" s="3"/>
      <c r="T2385" s="3"/>
      <c r="U2385" s="3"/>
      <c r="V2385" s="3"/>
      <c r="W2385" s="3"/>
      <c r="X2385" s="3"/>
      <c r="Y2385" s="3"/>
      <c r="Z2385" s="4"/>
      <c r="AA2385"/>
      <c r="AB2385"/>
    </row>
    <row r="2386" spans="1:28" s="37" customFormat="1" x14ac:dyDescent="0.15">
      <c r="A2386" s="166"/>
      <c r="B2386" s="82"/>
      <c r="C2386" s="70"/>
      <c r="D2386" s="70"/>
      <c r="E2386" s="70"/>
      <c r="F2386" s="70"/>
      <c r="G2386" s="70"/>
      <c r="H2386" s="93"/>
      <c r="I2386" s="85"/>
      <c r="J2386" s="85"/>
      <c r="K2386" s="131"/>
      <c r="L2386" s="60"/>
      <c r="M2386" s="49"/>
      <c r="Q2386" s="3"/>
      <c r="R2386" s="3"/>
      <c r="S2386" s="3"/>
      <c r="T2386" s="3"/>
      <c r="U2386" s="3"/>
      <c r="V2386" s="3"/>
      <c r="W2386" s="3"/>
      <c r="X2386" s="3"/>
      <c r="Y2386" s="3"/>
      <c r="Z2386" s="4"/>
      <c r="AA2386"/>
      <c r="AB2386"/>
    </row>
    <row r="2387" spans="1:28" s="37" customFormat="1" x14ac:dyDescent="0.15">
      <c r="A2387" s="166"/>
      <c r="B2387" s="82"/>
      <c r="C2387" s="70"/>
      <c r="D2387" s="70"/>
      <c r="E2387" s="70"/>
      <c r="F2387" s="70"/>
      <c r="G2387" s="70"/>
      <c r="H2387" s="93"/>
      <c r="I2387" s="85"/>
      <c r="J2387" s="85"/>
      <c r="K2387" s="131"/>
      <c r="L2387" s="60"/>
      <c r="M2387" s="49"/>
      <c r="Q2387" s="3"/>
      <c r="R2387" s="3"/>
      <c r="S2387" s="3"/>
      <c r="T2387" s="3"/>
      <c r="U2387" s="3"/>
      <c r="V2387" s="3"/>
      <c r="W2387" s="3"/>
      <c r="X2387" s="3"/>
      <c r="Y2387" s="3"/>
      <c r="Z2387" s="4"/>
      <c r="AA2387"/>
      <c r="AB2387"/>
    </row>
    <row r="2388" spans="1:28" s="37" customFormat="1" x14ac:dyDescent="0.15">
      <c r="A2388" s="166"/>
      <c r="B2388" s="82"/>
      <c r="C2388" s="70"/>
      <c r="D2388" s="70"/>
      <c r="E2388" s="70"/>
      <c r="F2388" s="70"/>
      <c r="G2388" s="70"/>
      <c r="H2388" s="93"/>
      <c r="I2388" s="85"/>
      <c r="J2388" s="85"/>
      <c r="K2388" s="131"/>
      <c r="L2388" s="60"/>
      <c r="M2388" s="49"/>
      <c r="Q2388" s="3"/>
      <c r="R2388" s="3"/>
      <c r="S2388" s="3"/>
      <c r="T2388" s="3"/>
      <c r="U2388" s="3"/>
      <c r="V2388" s="3"/>
      <c r="W2388" s="3"/>
      <c r="X2388" s="3"/>
      <c r="Y2388" s="3"/>
      <c r="Z2388" s="4"/>
      <c r="AA2388"/>
      <c r="AB2388"/>
    </row>
    <row r="2389" spans="1:28" s="37" customFormat="1" x14ac:dyDescent="0.15">
      <c r="A2389" s="166"/>
      <c r="B2389" s="82"/>
      <c r="C2389" s="70"/>
      <c r="D2389" s="70"/>
      <c r="E2389" s="70"/>
      <c r="F2389" s="70"/>
      <c r="G2389" s="70"/>
      <c r="H2389" s="93"/>
      <c r="I2389" s="85"/>
      <c r="J2389" s="85"/>
      <c r="K2389" s="131"/>
      <c r="L2389" s="60"/>
      <c r="M2389" s="49"/>
      <c r="Q2389" s="3"/>
      <c r="R2389" s="3"/>
      <c r="S2389" s="3"/>
      <c r="T2389" s="3"/>
      <c r="U2389" s="3"/>
      <c r="V2389" s="3"/>
      <c r="W2389" s="3"/>
      <c r="X2389" s="3"/>
      <c r="Y2389" s="3"/>
      <c r="Z2389" s="4"/>
      <c r="AA2389"/>
      <c r="AB2389"/>
    </row>
    <row r="2390" spans="1:28" s="37" customFormat="1" x14ac:dyDescent="0.15">
      <c r="A2390" s="166"/>
      <c r="B2390" s="82"/>
      <c r="C2390" s="70"/>
      <c r="D2390" s="70"/>
      <c r="E2390" s="70"/>
      <c r="F2390" s="70"/>
      <c r="G2390" s="70"/>
      <c r="H2390" s="93"/>
      <c r="I2390" s="85"/>
      <c r="J2390" s="85"/>
      <c r="K2390" s="131"/>
      <c r="L2390" s="60"/>
      <c r="M2390" s="49"/>
      <c r="Q2390" s="3"/>
      <c r="R2390" s="3"/>
      <c r="S2390" s="3"/>
      <c r="T2390" s="3"/>
      <c r="U2390" s="3"/>
      <c r="V2390" s="3"/>
      <c r="W2390" s="3"/>
      <c r="X2390" s="3"/>
      <c r="Y2390" s="3"/>
      <c r="Z2390" s="4"/>
      <c r="AA2390"/>
      <c r="AB2390"/>
    </row>
    <row r="2391" spans="1:28" s="37" customFormat="1" x14ac:dyDescent="0.15">
      <c r="A2391" s="166"/>
      <c r="B2391" s="82"/>
      <c r="C2391" s="70"/>
      <c r="D2391" s="70"/>
      <c r="E2391" s="70"/>
      <c r="F2391" s="70"/>
      <c r="G2391" s="70"/>
      <c r="H2391" s="93"/>
      <c r="I2391" s="85"/>
      <c r="J2391" s="85"/>
      <c r="K2391" s="131"/>
      <c r="L2391" s="60"/>
      <c r="M2391" s="49"/>
      <c r="Q2391" s="3"/>
      <c r="R2391" s="3"/>
      <c r="S2391" s="3"/>
      <c r="T2391" s="3"/>
      <c r="U2391" s="3"/>
      <c r="V2391" s="3"/>
      <c r="W2391" s="3"/>
      <c r="X2391" s="3"/>
      <c r="Y2391" s="3"/>
      <c r="Z2391" s="4"/>
      <c r="AA2391"/>
      <c r="AB2391"/>
    </row>
    <row r="2392" spans="1:28" s="37" customFormat="1" x14ac:dyDescent="0.15">
      <c r="A2392" s="166"/>
      <c r="B2392" s="82"/>
      <c r="C2392" s="70"/>
      <c r="D2392" s="70"/>
      <c r="E2392" s="70"/>
      <c r="F2392" s="70"/>
      <c r="G2392" s="70"/>
      <c r="H2392" s="93"/>
      <c r="I2392" s="85"/>
      <c r="J2392" s="85"/>
      <c r="K2392" s="131"/>
      <c r="L2392" s="60"/>
      <c r="M2392" s="49"/>
      <c r="Q2392" s="3"/>
      <c r="R2392" s="3"/>
      <c r="S2392" s="3"/>
      <c r="T2392" s="3"/>
      <c r="U2392" s="3"/>
      <c r="V2392" s="3"/>
      <c r="W2392" s="3"/>
      <c r="X2392" s="3"/>
      <c r="Y2392" s="3"/>
      <c r="Z2392" s="4"/>
      <c r="AA2392"/>
      <c r="AB2392"/>
    </row>
    <row r="2393" spans="1:28" s="37" customFormat="1" x14ac:dyDescent="0.15">
      <c r="A2393" s="166"/>
      <c r="B2393" s="82"/>
      <c r="C2393" s="70"/>
      <c r="D2393" s="70"/>
      <c r="E2393" s="70"/>
      <c r="F2393" s="70"/>
      <c r="G2393" s="70"/>
      <c r="H2393" s="93"/>
      <c r="I2393" s="85"/>
      <c r="J2393" s="85"/>
      <c r="K2393" s="131"/>
      <c r="L2393" s="60"/>
      <c r="M2393" s="49"/>
      <c r="Q2393" s="3"/>
      <c r="R2393" s="3"/>
      <c r="S2393" s="3"/>
      <c r="T2393" s="3"/>
      <c r="U2393" s="3"/>
      <c r="V2393" s="3"/>
      <c r="W2393" s="3"/>
      <c r="X2393" s="3"/>
      <c r="Y2393" s="3"/>
      <c r="Z2393" s="4"/>
      <c r="AA2393"/>
      <c r="AB2393"/>
    </row>
    <row r="2394" spans="1:28" s="37" customFormat="1" x14ac:dyDescent="0.15">
      <c r="A2394" s="166"/>
      <c r="B2394" s="82"/>
      <c r="C2394" s="70"/>
      <c r="D2394" s="70"/>
      <c r="E2394" s="70"/>
      <c r="F2394" s="70"/>
      <c r="G2394" s="70"/>
      <c r="H2394" s="93"/>
      <c r="I2394" s="85"/>
      <c r="J2394" s="85"/>
      <c r="K2394" s="131"/>
      <c r="L2394" s="60"/>
      <c r="M2394" s="49"/>
      <c r="Q2394" s="3"/>
      <c r="R2394" s="3"/>
      <c r="S2394" s="3"/>
      <c r="T2394" s="3"/>
      <c r="U2394" s="3"/>
      <c r="V2394" s="3"/>
      <c r="W2394" s="3"/>
      <c r="X2394" s="3"/>
      <c r="Y2394" s="3"/>
      <c r="Z2394" s="4"/>
      <c r="AA2394"/>
      <c r="AB2394"/>
    </row>
    <row r="2395" spans="1:28" s="37" customFormat="1" x14ac:dyDescent="0.15">
      <c r="A2395" s="166"/>
      <c r="B2395" s="82"/>
      <c r="C2395" s="70"/>
      <c r="D2395" s="70"/>
      <c r="E2395" s="70"/>
      <c r="F2395" s="70"/>
      <c r="G2395" s="70"/>
      <c r="H2395" s="93"/>
      <c r="I2395" s="85"/>
      <c r="J2395" s="85"/>
      <c r="K2395" s="131"/>
      <c r="L2395" s="60"/>
      <c r="M2395" s="49"/>
      <c r="Q2395" s="3"/>
      <c r="R2395" s="3"/>
      <c r="S2395" s="3"/>
      <c r="T2395" s="3"/>
      <c r="U2395" s="3"/>
      <c r="V2395" s="3"/>
      <c r="W2395" s="3"/>
      <c r="X2395" s="3"/>
      <c r="Y2395" s="3"/>
      <c r="Z2395" s="4"/>
      <c r="AA2395"/>
      <c r="AB2395"/>
    </row>
    <row r="2396" spans="1:28" s="37" customFormat="1" x14ac:dyDescent="0.15">
      <c r="A2396" s="166"/>
      <c r="B2396" s="82"/>
      <c r="C2396" s="70"/>
      <c r="D2396" s="70"/>
      <c r="E2396" s="70"/>
      <c r="F2396" s="70"/>
      <c r="G2396" s="70"/>
      <c r="H2396" s="93"/>
      <c r="I2396" s="85"/>
      <c r="J2396" s="85"/>
      <c r="K2396" s="131"/>
      <c r="L2396" s="60"/>
      <c r="M2396" s="49"/>
      <c r="Q2396" s="3"/>
      <c r="R2396" s="3"/>
      <c r="S2396" s="3"/>
      <c r="T2396" s="3"/>
      <c r="U2396" s="3"/>
      <c r="V2396" s="3"/>
      <c r="W2396" s="3"/>
      <c r="X2396" s="3"/>
      <c r="Y2396" s="3"/>
      <c r="Z2396" s="4"/>
      <c r="AA2396"/>
      <c r="AB2396"/>
    </row>
    <row r="2397" spans="1:28" s="37" customFormat="1" x14ac:dyDescent="0.15">
      <c r="A2397" s="166"/>
      <c r="B2397" s="82"/>
      <c r="C2397" s="70"/>
      <c r="D2397" s="70"/>
      <c r="E2397" s="70"/>
      <c r="F2397" s="70"/>
      <c r="G2397" s="70"/>
      <c r="H2397" s="93"/>
      <c r="I2397" s="85"/>
      <c r="J2397" s="85"/>
      <c r="K2397" s="131"/>
      <c r="L2397" s="60"/>
      <c r="M2397" s="49"/>
      <c r="Q2397" s="3"/>
      <c r="R2397" s="3"/>
      <c r="S2397" s="3"/>
      <c r="T2397" s="3"/>
      <c r="U2397" s="3"/>
      <c r="V2397" s="3"/>
      <c r="W2397" s="3"/>
      <c r="X2397" s="3"/>
      <c r="Y2397" s="3"/>
      <c r="Z2397" s="4"/>
      <c r="AA2397"/>
      <c r="AB2397"/>
    </row>
    <row r="2398" spans="1:28" s="37" customFormat="1" x14ac:dyDescent="0.15">
      <c r="A2398" s="166"/>
      <c r="B2398" s="82"/>
      <c r="C2398" s="70"/>
      <c r="D2398" s="70"/>
      <c r="E2398" s="70"/>
      <c r="F2398" s="70"/>
      <c r="G2398" s="70"/>
      <c r="H2398" s="93"/>
      <c r="I2398" s="85"/>
      <c r="J2398" s="85"/>
      <c r="K2398" s="131"/>
      <c r="L2398" s="60"/>
      <c r="M2398" s="49"/>
      <c r="Q2398" s="3"/>
      <c r="R2398" s="3"/>
      <c r="S2398" s="3"/>
      <c r="T2398" s="3"/>
      <c r="U2398" s="3"/>
      <c r="V2398" s="3"/>
      <c r="W2398" s="3"/>
      <c r="X2398" s="3"/>
      <c r="Y2398" s="3"/>
      <c r="Z2398" s="4"/>
      <c r="AA2398"/>
      <c r="AB2398"/>
    </row>
    <row r="2399" spans="1:28" s="37" customFormat="1" x14ac:dyDescent="0.15">
      <c r="A2399" s="166"/>
      <c r="B2399" s="82"/>
      <c r="C2399" s="70"/>
      <c r="D2399" s="70"/>
      <c r="E2399" s="70"/>
      <c r="F2399" s="70"/>
      <c r="G2399" s="70"/>
      <c r="H2399" s="93"/>
      <c r="I2399" s="85"/>
      <c r="J2399" s="85"/>
      <c r="K2399" s="131"/>
      <c r="L2399" s="60"/>
      <c r="M2399" s="49"/>
      <c r="Q2399" s="3"/>
      <c r="R2399" s="3"/>
      <c r="S2399" s="3"/>
      <c r="T2399" s="3"/>
      <c r="U2399" s="3"/>
      <c r="V2399" s="3"/>
      <c r="W2399" s="3"/>
      <c r="X2399" s="3"/>
      <c r="Y2399" s="3"/>
      <c r="Z2399" s="4"/>
      <c r="AA2399"/>
      <c r="AB2399"/>
    </row>
    <row r="2400" spans="1:28" s="37" customFormat="1" x14ac:dyDescent="0.15">
      <c r="A2400" s="166"/>
      <c r="B2400" s="82"/>
      <c r="C2400" s="70"/>
      <c r="D2400" s="70"/>
      <c r="E2400" s="70"/>
      <c r="F2400" s="70"/>
      <c r="G2400" s="70"/>
      <c r="H2400" s="93"/>
      <c r="I2400" s="85"/>
      <c r="J2400" s="85"/>
      <c r="K2400" s="131"/>
      <c r="L2400" s="60"/>
      <c r="M2400" s="49"/>
      <c r="Q2400" s="3"/>
      <c r="R2400" s="3"/>
      <c r="S2400" s="3"/>
      <c r="T2400" s="3"/>
      <c r="U2400" s="3"/>
      <c r="V2400" s="3"/>
      <c r="W2400" s="3"/>
      <c r="X2400" s="3"/>
      <c r="Y2400" s="3"/>
      <c r="Z2400" s="4"/>
      <c r="AA2400"/>
      <c r="AB2400"/>
    </row>
    <row r="2401" spans="1:28" s="37" customFormat="1" x14ac:dyDescent="0.15">
      <c r="A2401" s="166"/>
      <c r="B2401" s="82"/>
      <c r="C2401" s="70"/>
      <c r="D2401" s="70"/>
      <c r="E2401" s="70"/>
      <c r="F2401" s="70"/>
      <c r="G2401" s="70"/>
      <c r="H2401" s="93"/>
      <c r="I2401" s="85"/>
      <c r="J2401" s="85"/>
      <c r="K2401" s="131"/>
      <c r="L2401" s="60"/>
      <c r="M2401" s="49"/>
      <c r="Q2401" s="3"/>
      <c r="R2401" s="3"/>
      <c r="S2401" s="3"/>
      <c r="T2401" s="3"/>
      <c r="U2401" s="3"/>
      <c r="V2401" s="3"/>
      <c r="W2401" s="3"/>
      <c r="X2401" s="3"/>
      <c r="Y2401" s="3"/>
      <c r="Z2401" s="4"/>
      <c r="AA2401"/>
      <c r="AB2401"/>
    </row>
    <row r="2402" spans="1:28" s="37" customFormat="1" x14ac:dyDescent="0.15">
      <c r="A2402" s="166"/>
      <c r="B2402" s="82"/>
      <c r="C2402" s="70"/>
      <c r="D2402" s="70"/>
      <c r="E2402" s="70"/>
      <c r="F2402" s="70"/>
      <c r="G2402" s="70"/>
      <c r="H2402" s="93"/>
      <c r="I2402" s="85"/>
      <c r="J2402" s="85"/>
      <c r="K2402" s="131"/>
      <c r="L2402" s="60"/>
      <c r="M2402" s="49"/>
      <c r="Q2402" s="3"/>
      <c r="R2402" s="3"/>
      <c r="S2402" s="3"/>
      <c r="T2402" s="3"/>
      <c r="U2402" s="3"/>
      <c r="V2402" s="3"/>
      <c r="W2402" s="3"/>
      <c r="X2402" s="3"/>
      <c r="Y2402" s="3"/>
      <c r="Z2402" s="4"/>
      <c r="AA2402"/>
      <c r="AB2402"/>
    </row>
    <row r="2403" spans="1:28" s="37" customFormat="1" x14ac:dyDescent="0.15">
      <c r="A2403" s="166"/>
      <c r="B2403" s="82"/>
      <c r="C2403" s="70"/>
      <c r="D2403" s="70"/>
      <c r="E2403" s="70"/>
      <c r="F2403" s="70"/>
      <c r="G2403" s="70"/>
      <c r="H2403" s="93"/>
      <c r="I2403" s="85"/>
      <c r="J2403" s="85"/>
      <c r="K2403" s="131"/>
      <c r="L2403" s="60"/>
      <c r="M2403" s="49"/>
      <c r="Q2403" s="3"/>
      <c r="R2403" s="3"/>
      <c r="S2403" s="3"/>
      <c r="T2403" s="3"/>
      <c r="U2403" s="3"/>
      <c r="V2403" s="3"/>
      <c r="W2403" s="3"/>
      <c r="X2403" s="3"/>
      <c r="Y2403" s="3"/>
      <c r="Z2403" s="4"/>
      <c r="AA2403"/>
      <c r="AB2403"/>
    </row>
    <row r="2404" spans="1:28" s="37" customFormat="1" x14ac:dyDescent="0.15">
      <c r="A2404" s="166"/>
      <c r="B2404" s="82"/>
      <c r="C2404" s="70"/>
      <c r="D2404" s="70"/>
      <c r="E2404" s="70"/>
      <c r="F2404" s="70"/>
      <c r="G2404" s="70"/>
      <c r="H2404" s="93"/>
      <c r="I2404" s="85"/>
      <c r="J2404" s="85"/>
      <c r="K2404" s="131"/>
      <c r="L2404" s="60"/>
      <c r="M2404" s="49"/>
      <c r="Q2404" s="3"/>
      <c r="R2404" s="3"/>
      <c r="S2404" s="3"/>
      <c r="T2404" s="3"/>
      <c r="U2404" s="3"/>
      <c r="V2404" s="3"/>
      <c r="W2404" s="3"/>
      <c r="X2404" s="3"/>
      <c r="Y2404" s="3"/>
      <c r="Z2404" s="4"/>
      <c r="AA2404"/>
      <c r="AB2404"/>
    </row>
    <row r="2405" spans="1:28" s="37" customFormat="1" x14ac:dyDescent="0.15">
      <c r="A2405" s="166"/>
      <c r="B2405" s="82"/>
      <c r="C2405" s="70"/>
      <c r="D2405" s="70"/>
      <c r="E2405" s="70"/>
      <c r="F2405" s="70"/>
      <c r="G2405" s="70"/>
      <c r="H2405" s="93"/>
      <c r="I2405" s="85"/>
      <c r="J2405" s="85"/>
      <c r="K2405" s="131"/>
      <c r="L2405" s="60"/>
      <c r="M2405" s="49"/>
      <c r="Q2405" s="3"/>
      <c r="R2405" s="3"/>
      <c r="S2405" s="3"/>
      <c r="T2405" s="3"/>
      <c r="U2405" s="3"/>
      <c r="V2405" s="3"/>
      <c r="W2405" s="3"/>
      <c r="X2405" s="3"/>
      <c r="Y2405" s="3"/>
      <c r="Z2405" s="4"/>
      <c r="AA2405"/>
      <c r="AB2405"/>
    </row>
    <row r="2406" spans="1:28" s="37" customFormat="1" x14ac:dyDescent="0.15">
      <c r="A2406" s="166"/>
      <c r="B2406" s="82"/>
      <c r="C2406" s="70"/>
      <c r="D2406" s="70"/>
      <c r="E2406" s="70"/>
      <c r="F2406" s="70"/>
      <c r="G2406" s="70"/>
      <c r="H2406" s="93"/>
      <c r="I2406" s="85"/>
      <c r="J2406" s="85"/>
      <c r="K2406" s="131"/>
      <c r="L2406" s="60"/>
      <c r="M2406" s="49"/>
      <c r="Q2406" s="3"/>
      <c r="R2406" s="3"/>
      <c r="S2406" s="3"/>
      <c r="T2406" s="3"/>
      <c r="U2406" s="3"/>
      <c r="V2406" s="3"/>
      <c r="W2406" s="3"/>
      <c r="X2406" s="3"/>
      <c r="Y2406" s="3"/>
      <c r="Z2406" s="4"/>
      <c r="AA2406"/>
      <c r="AB2406"/>
    </row>
    <row r="2407" spans="1:28" s="37" customFormat="1" x14ac:dyDescent="0.15">
      <c r="A2407" s="166"/>
      <c r="B2407" s="93"/>
      <c r="C2407" s="70"/>
      <c r="D2407" s="70"/>
      <c r="E2407" s="70"/>
      <c r="F2407" s="70"/>
      <c r="G2407" s="70"/>
      <c r="H2407" s="93"/>
      <c r="I2407" s="85"/>
      <c r="J2407" s="85"/>
      <c r="K2407" s="131"/>
      <c r="L2407" s="60"/>
      <c r="Q2407" s="3"/>
      <c r="R2407" s="3"/>
      <c r="S2407" s="3"/>
      <c r="T2407" s="3"/>
      <c r="U2407" s="3"/>
      <c r="V2407" s="3"/>
      <c r="W2407" s="3"/>
      <c r="X2407" s="3"/>
      <c r="Y2407" s="3"/>
      <c r="Z2407" s="4"/>
      <c r="AA2407"/>
      <c r="AB2407"/>
    </row>
    <row r="2408" spans="1:28" s="37" customFormat="1" x14ac:dyDescent="0.15">
      <c r="A2408" s="165"/>
      <c r="B2408" s="93"/>
      <c r="C2408" s="61"/>
      <c r="D2408" s="61"/>
      <c r="E2408" s="61"/>
      <c r="F2408" s="61"/>
      <c r="G2408" s="61"/>
      <c r="H2408" s="115"/>
      <c r="I2408" s="85"/>
      <c r="J2408" s="103"/>
      <c r="K2408" s="141"/>
      <c r="L2408" s="67"/>
      <c r="M2408" s="35"/>
      <c r="Q2408" s="3"/>
      <c r="R2408" s="3"/>
      <c r="S2408" s="3"/>
      <c r="T2408" s="3"/>
      <c r="U2408" s="3"/>
      <c r="V2408" s="3"/>
      <c r="W2408" s="3"/>
      <c r="X2408" s="3"/>
      <c r="Y2408" s="3"/>
      <c r="Z2408" s="4"/>
      <c r="AA2408"/>
      <c r="AB2408"/>
    </row>
    <row r="2409" spans="1:28" s="37" customFormat="1" x14ac:dyDescent="0.15">
      <c r="A2409" s="165"/>
      <c r="B2409" s="93"/>
      <c r="C2409" s="62"/>
      <c r="D2409" s="62"/>
      <c r="E2409" s="61"/>
      <c r="F2409" s="62"/>
      <c r="G2409" s="62"/>
      <c r="H2409" s="97"/>
      <c r="I2409" s="85"/>
      <c r="J2409" s="98"/>
      <c r="K2409" s="141"/>
      <c r="L2409" s="67"/>
      <c r="M2409" s="35"/>
      <c r="Q2409" s="3"/>
      <c r="R2409" s="3"/>
      <c r="S2409" s="3"/>
      <c r="T2409" s="3"/>
      <c r="U2409" s="3"/>
      <c r="V2409" s="3"/>
      <c r="W2409" s="3"/>
      <c r="X2409" s="3"/>
      <c r="Y2409" s="3"/>
      <c r="Z2409" s="4"/>
      <c r="AA2409"/>
      <c r="AB2409"/>
    </row>
    <row r="2410" spans="1:28" s="37" customFormat="1" x14ac:dyDescent="0.15">
      <c r="A2410" s="165"/>
      <c r="B2410" s="93"/>
      <c r="C2410" s="62"/>
      <c r="D2410" s="62"/>
      <c r="E2410" s="61"/>
      <c r="F2410" s="62"/>
      <c r="G2410" s="62"/>
      <c r="H2410" s="97"/>
      <c r="I2410" s="85"/>
      <c r="J2410" s="98"/>
      <c r="K2410" s="131"/>
      <c r="L2410" s="67"/>
      <c r="M2410" s="53"/>
      <c r="N2410" s="32"/>
      <c r="Q2410" s="3"/>
      <c r="R2410" s="3"/>
      <c r="S2410" s="3"/>
      <c r="T2410" s="3"/>
      <c r="U2410" s="3"/>
      <c r="V2410" s="3"/>
      <c r="W2410" s="3"/>
      <c r="X2410" s="3"/>
      <c r="Y2410" s="3"/>
      <c r="Z2410" s="4"/>
      <c r="AA2410"/>
      <c r="AB2410"/>
    </row>
    <row r="2411" spans="1:28" s="37" customFormat="1" x14ac:dyDescent="0.15">
      <c r="A2411" s="166"/>
      <c r="B2411" s="93"/>
      <c r="C2411" s="70"/>
      <c r="D2411" s="70"/>
      <c r="E2411" s="70"/>
      <c r="F2411" s="70"/>
      <c r="G2411" s="70"/>
      <c r="H2411" s="93"/>
      <c r="I2411" s="85"/>
      <c r="J2411" s="85"/>
      <c r="K2411" s="131"/>
      <c r="L2411" s="60"/>
      <c r="Q2411" s="3"/>
      <c r="R2411" s="3"/>
      <c r="S2411" s="3"/>
      <c r="T2411" s="3"/>
      <c r="U2411" s="3"/>
      <c r="V2411" s="3"/>
      <c r="W2411" s="3"/>
      <c r="X2411" s="3"/>
      <c r="Y2411" s="3"/>
      <c r="Z2411" s="4"/>
      <c r="AA2411"/>
      <c r="AB2411"/>
    </row>
    <row r="2412" spans="1:28" s="37" customFormat="1" x14ac:dyDescent="0.15">
      <c r="A2412" s="166"/>
      <c r="B2412" s="93"/>
      <c r="C2412" s="70"/>
      <c r="D2412" s="70"/>
      <c r="E2412" s="70"/>
      <c r="F2412" s="70"/>
      <c r="G2412" s="70"/>
      <c r="H2412" s="93"/>
      <c r="I2412" s="85"/>
      <c r="J2412" s="85"/>
      <c r="K2412" s="131"/>
      <c r="L2412" s="60"/>
      <c r="Q2412" s="3"/>
      <c r="R2412" s="3"/>
      <c r="S2412" s="3"/>
      <c r="T2412" s="3"/>
      <c r="U2412" s="3"/>
      <c r="V2412" s="3"/>
      <c r="W2412" s="3"/>
      <c r="X2412" s="3"/>
      <c r="Y2412" s="3"/>
      <c r="Z2412" s="4"/>
      <c r="AA2412"/>
      <c r="AB2412"/>
    </row>
    <row r="2413" spans="1:28" s="37" customFormat="1" x14ac:dyDescent="0.15">
      <c r="A2413" s="166"/>
      <c r="B2413" s="93"/>
      <c r="C2413" s="70"/>
      <c r="D2413" s="70"/>
      <c r="E2413" s="70"/>
      <c r="F2413" s="70"/>
      <c r="G2413" s="70"/>
      <c r="H2413" s="93"/>
      <c r="I2413" s="85"/>
      <c r="J2413" s="85"/>
      <c r="K2413" s="131"/>
      <c r="L2413" s="60"/>
      <c r="M2413" s="53"/>
      <c r="N2413" s="32"/>
      <c r="Q2413" s="3"/>
      <c r="R2413" s="3"/>
      <c r="S2413" s="3"/>
      <c r="T2413" s="3"/>
      <c r="U2413" s="3"/>
      <c r="V2413" s="3"/>
      <c r="W2413" s="3"/>
      <c r="X2413" s="3"/>
      <c r="Y2413" s="3"/>
      <c r="Z2413" s="4"/>
      <c r="AA2413"/>
      <c r="AB2413"/>
    </row>
    <row r="2414" spans="1:28" s="37" customFormat="1" ht="16" x14ac:dyDescent="0.2">
      <c r="A2414" s="166"/>
      <c r="B2414" s="93"/>
      <c r="C2414" s="70"/>
      <c r="D2414" s="70"/>
      <c r="E2414" s="70"/>
      <c r="F2414" s="70"/>
      <c r="G2414" s="70"/>
      <c r="H2414" s="93"/>
      <c r="I2414" s="85"/>
      <c r="J2414" s="85"/>
      <c r="K2414" s="131"/>
      <c r="L2414" s="60"/>
      <c r="N2414" s="48"/>
      <c r="Q2414" s="3"/>
      <c r="R2414" s="3"/>
      <c r="S2414" s="3"/>
      <c r="T2414" s="3"/>
      <c r="U2414" s="3"/>
      <c r="V2414" s="3"/>
      <c r="W2414" s="3"/>
      <c r="X2414" s="3"/>
      <c r="Y2414" s="3"/>
      <c r="Z2414" s="4"/>
      <c r="AA2414"/>
      <c r="AB2414"/>
    </row>
    <row r="2415" spans="1:28" s="37" customFormat="1" x14ac:dyDescent="0.15">
      <c r="A2415" s="166"/>
      <c r="B2415" s="93"/>
      <c r="C2415" s="70"/>
      <c r="D2415" s="70"/>
      <c r="E2415" s="70"/>
      <c r="F2415" s="70"/>
      <c r="G2415" s="70"/>
      <c r="H2415" s="93"/>
      <c r="I2415" s="85"/>
      <c r="J2415" s="85"/>
      <c r="K2415" s="131"/>
      <c r="L2415" s="60"/>
      <c r="M2415" s="33"/>
      <c r="Q2415" s="3"/>
      <c r="R2415" s="3"/>
      <c r="S2415" s="3"/>
      <c r="T2415" s="3"/>
      <c r="U2415" s="3"/>
      <c r="V2415" s="3"/>
      <c r="W2415" s="3"/>
      <c r="X2415" s="3"/>
      <c r="Y2415" s="3"/>
      <c r="Z2415" s="4"/>
      <c r="AA2415"/>
      <c r="AB2415"/>
    </row>
    <row r="2416" spans="1:28" s="37" customFormat="1" x14ac:dyDescent="0.15">
      <c r="A2416" s="166"/>
      <c r="B2416" s="93"/>
      <c r="C2416" s="70"/>
      <c r="D2416" s="70"/>
      <c r="E2416" s="70"/>
      <c r="F2416" s="70"/>
      <c r="G2416" s="70"/>
      <c r="H2416" s="93"/>
      <c r="I2416" s="85"/>
      <c r="J2416" s="85"/>
      <c r="K2416" s="131"/>
      <c r="L2416" s="60"/>
      <c r="Q2416" s="3"/>
      <c r="R2416" s="3"/>
      <c r="S2416" s="3"/>
      <c r="T2416" s="3"/>
      <c r="U2416" s="3"/>
      <c r="V2416" s="3"/>
      <c r="W2416" s="3"/>
      <c r="X2416" s="3"/>
      <c r="Y2416" s="3"/>
      <c r="Z2416" s="4"/>
      <c r="AA2416"/>
      <c r="AB2416"/>
    </row>
    <row r="2417" spans="1:28" s="37" customFormat="1" x14ac:dyDescent="0.15">
      <c r="A2417" s="166"/>
      <c r="B2417" s="93"/>
      <c r="C2417" s="70"/>
      <c r="D2417" s="70"/>
      <c r="E2417" s="70"/>
      <c r="F2417" s="70"/>
      <c r="G2417" s="70"/>
      <c r="H2417" s="93"/>
      <c r="I2417" s="85"/>
      <c r="J2417" s="85"/>
      <c r="K2417" s="131"/>
      <c r="L2417" s="60"/>
      <c r="M2417" s="33"/>
      <c r="N2417" s="32"/>
      <c r="Q2417" s="3"/>
      <c r="R2417" s="3"/>
      <c r="S2417" s="3"/>
      <c r="T2417" s="3"/>
      <c r="U2417" s="3"/>
      <c r="V2417" s="3"/>
      <c r="W2417" s="3"/>
      <c r="X2417" s="3"/>
      <c r="Y2417" s="3"/>
      <c r="Z2417" s="4"/>
      <c r="AA2417"/>
      <c r="AB2417"/>
    </row>
    <row r="2418" spans="1:28" s="37" customFormat="1" ht="16" x14ac:dyDescent="0.2">
      <c r="A2418" s="166"/>
      <c r="B2418" s="93"/>
      <c r="C2418" s="70"/>
      <c r="D2418" s="70"/>
      <c r="E2418" s="70"/>
      <c r="F2418" s="70"/>
      <c r="G2418" s="70"/>
      <c r="H2418" s="93"/>
      <c r="I2418" s="85"/>
      <c r="J2418" s="85"/>
      <c r="K2418" s="131"/>
      <c r="L2418" s="60"/>
      <c r="N2418" s="48"/>
      <c r="Q2418" s="3"/>
      <c r="R2418" s="3"/>
      <c r="S2418" s="3"/>
      <c r="T2418" s="3"/>
      <c r="U2418" s="3"/>
      <c r="V2418" s="3"/>
      <c r="W2418" s="3"/>
      <c r="X2418" s="3"/>
      <c r="Y2418" s="3"/>
      <c r="Z2418" s="4"/>
      <c r="AA2418"/>
      <c r="AB2418"/>
    </row>
    <row r="2419" spans="1:28" s="37" customFormat="1" x14ac:dyDescent="0.15">
      <c r="A2419" s="166"/>
      <c r="B2419" s="93"/>
      <c r="C2419" s="70"/>
      <c r="D2419" s="70"/>
      <c r="E2419" s="70"/>
      <c r="F2419" s="70"/>
      <c r="G2419" s="70"/>
      <c r="H2419" s="93"/>
      <c r="I2419" s="85"/>
      <c r="J2419" s="85"/>
      <c r="K2419" s="131"/>
      <c r="L2419" s="60"/>
      <c r="Q2419" s="3"/>
      <c r="R2419" s="3"/>
      <c r="S2419" s="3"/>
      <c r="T2419" s="3"/>
      <c r="U2419" s="3"/>
      <c r="V2419" s="3"/>
      <c r="W2419" s="3"/>
      <c r="X2419" s="3"/>
      <c r="Y2419" s="3"/>
      <c r="Z2419" s="4"/>
      <c r="AA2419"/>
      <c r="AB2419"/>
    </row>
    <row r="2420" spans="1:28" s="37" customFormat="1" x14ac:dyDescent="0.15">
      <c r="A2420" s="166"/>
      <c r="B2420" s="93"/>
      <c r="C2420" s="70"/>
      <c r="D2420" s="70"/>
      <c r="E2420" s="70"/>
      <c r="F2420" s="70"/>
      <c r="G2420" s="70"/>
      <c r="H2420" s="93"/>
      <c r="I2420" s="85"/>
      <c r="J2420" s="85"/>
      <c r="K2420" s="131"/>
      <c r="L2420" s="60"/>
      <c r="M2420" s="33"/>
      <c r="Q2420" s="3"/>
      <c r="R2420" s="3"/>
      <c r="S2420" s="3"/>
      <c r="T2420" s="3"/>
      <c r="U2420" s="3"/>
      <c r="V2420" s="3"/>
      <c r="W2420" s="3"/>
      <c r="X2420" s="3"/>
      <c r="Y2420" s="3"/>
      <c r="Z2420" s="4"/>
      <c r="AA2420"/>
      <c r="AB2420"/>
    </row>
    <row r="2421" spans="1:28" s="37" customFormat="1" x14ac:dyDescent="0.15">
      <c r="A2421" s="166"/>
      <c r="B2421" s="93"/>
      <c r="C2421" s="70"/>
      <c r="D2421" s="70"/>
      <c r="E2421" s="70"/>
      <c r="F2421" s="70"/>
      <c r="G2421" s="70"/>
      <c r="H2421" s="93"/>
      <c r="I2421" s="85"/>
      <c r="J2421" s="85"/>
      <c r="K2421" s="131"/>
      <c r="L2421" s="60"/>
      <c r="M2421" s="33"/>
      <c r="Q2421" s="3"/>
      <c r="R2421" s="3"/>
      <c r="S2421" s="3"/>
      <c r="T2421" s="3"/>
      <c r="U2421" s="3"/>
      <c r="V2421" s="3"/>
      <c r="W2421" s="3"/>
      <c r="X2421" s="3"/>
      <c r="Y2421" s="3"/>
      <c r="Z2421" s="4"/>
      <c r="AA2421"/>
      <c r="AB2421"/>
    </row>
    <row r="2422" spans="1:28" s="37" customFormat="1" x14ac:dyDescent="0.15">
      <c r="A2422" s="166"/>
      <c r="B2422" s="93"/>
      <c r="C2422" s="70"/>
      <c r="D2422" s="70"/>
      <c r="E2422" s="70"/>
      <c r="F2422" s="70"/>
      <c r="G2422" s="70"/>
      <c r="H2422" s="93"/>
      <c r="I2422" s="85"/>
      <c r="J2422" s="85"/>
      <c r="K2422" s="131"/>
      <c r="L2422" s="60"/>
      <c r="M2422" s="33"/>
      <c r="Q2422" s="3"/>
      <c r="R2422" s="3"/>
      <c r="S2422" s="3"/>
      <c r="T2422" s="3"/>
      <c r="U2422" s="3"/>
      <c r="V2422" s="3"/>
      <c r="W2422" s="3"/>
      <c r="X2422" s="3"/>
      <c r="Y2422" s="3"/>
      <c r="Z2422" s="4"/>
      <c r="AA2422"/>
      <c r="AB2422"/>
    </row>
    <row r="2423" spans="1:28" s="37" customFormat="1" x14ac:dyDescent="0.15">
      <c r="A2423" s="166"/>
      <c r="B2423" s="93"/>
      <c r="C2423" s="70"/>
      <c r="D2423" s="70"/>
      <c r="E2423" s="70"/>
      <c r="F2423" s="70"/>
      <c r="G2423" s="70"/>
      <c r="H2423" s="93"/>
      <c r="I2423" s="85"/>
      <c r="J2423" s="85"/>
      <c r="K2423" s="131"/>
      <c r="L2423" s="60"/>
      <c r="Q2423" s="3"/>
      <c r="R2423" s="3"/>
      <c r="S2423" s="3"/>
      <c r="T2423" s="3"/>
      <c r="U2423" s="3"/>
      <c r="V2423" s="3"/>
      <c r="W2423" s="3"/>
      <c r="X2423" s="3"/>
      <c r="Y2423" s="3"/>
      <c r="Z2423" s="4"/>
      <c r="AA2423"/>
      <c r="AB2423"/>
    </row>
    <row r="2424" spans="1:28" s="37" customFormat="1" x14ac:dyDescent="0.15">
      <c r="A2424" s="166"/>
      <c r="B2424" s="93"/>
      <c r="C2424" s="70"/>
      <c r="D2424" s="70"/>
      <c r="E2424" s="70"/>
      <c r="F2424" s="70"/>
      <c r="G2424" s="70"/>
      <c r="H2424" s="93"/>
      <c r="I2424" s="85"/>
      <c r="J2424" s="85"/>
      <c r="K2424" s="131"/>
      <c r="L2424" s="60"/>
      <c r="M2424" s="33"/>
      <c r="O2424" s="32"/>
      <c r="Q2424" s="3"/>
      <c r="R2424" s="3"/>
      <c r="S2424" s="3"/>
      <c r="T2424" s="3"/>
      <c r="U2424" s="3"/>
      <c r="V2424" s="3"/>
      <c r="W2424" s="3"/>
      <c r="X2424" s="3"/>
      <c r="Y2424" s="3"/>
      <c r="Z2424" s="4"/>
      <c r="AA2424"/>
      <c r="AB2424"/>
    </row>
    <row r="2425" spans="1:28" s="37" customFormat="1" x14ac:dyDescent="0.15">
      <c r="A2425" s="165"/>
      <c r="B2425" s="93"/>
      <c r="C2425" s="61"/>
      <c r="D2425" s="61"/>
      <c r="E2425" s="61"/>
      <c r="F2425" s="61"/>
      <c r="G2425" s="61"/>
      <c r="H2425" s="115"/>
      <c r="I2425" s="85"/>
      <c r="J2425" s="103"/>
      <c r="K2425" s="131"/>
      <c r="L2425" s="67"/>
      <c r="M2425" s="35"/>
      <c r="Q2425" s="3"/>
      <c r="R2425" s="3"/>
      <c r="S2425" s="3"/>
      <c r="T2425" s="3"/>
      <c r="U2425" s="3"/>
      <c r="V2425" s="3"/>
      <c r="W2425" s="3"/>
      <c r="X2425" s="3"/>
      <c r="Y2425" s="3"/>
      <c r="Z2425" s="4"/>
      <c r="AA2425"/>
      <c r="AB2425"/>
    </row>
    <row r="2426" spans="1:28" s="37" customFormat="1" x14ac:dyDescent="0.15">
      <c r="A2426" s="166"/>
      <c r="B2426" s="93"/>
      <c r="C2426" s="70"/>
      <c r="D2426" s="70"/>
      <c r="E2426" s="70"/>
      <c r="F2426" s="70"/>
      <c r="G2426" s="70"/>
      <c r="H2426" s="93"/>
      <c r="I2426" s="85"/>
      <c r="J2426" s="85"/>
      <c r="K2426" s="131"/>
      <c r="L2426" s="60"/>
      <c r="Q2426" s="3"/>
      <c r="R2426" s="3"/>
      <c r="S2426" s="3"/>
      <c r="T2426" s="3"/>
      <c r="U2426" s="3"/>
      <c r="V2426" s="3"/>
      <c r="W2426" s="3"/>
      <c r="X2426" s="3"/>
      <c r="Y2426" s="3"/>
      <c r="Z2426" s="4"/>
      <c r="AA2426"/>
      <c r="AB2426"/>
    </row>
    <row r="2427" spans="1:28" s="37" customFormat="1" x14ac:dyDescent="0.15">
      <c r="A2427" s="165"/>
      <c r="B2427" s="93"/>
      <c r="C2427" s="62"/>
      <c r="D2427" s="62"/>
      <c r="E2427" s="62"/>
      <c r="F2427" s="62"/>
      <c r="G2427" s="62"/>
      <c r="H2427" s="97"/>
      <c r="I2427" s="85"/>
      <c r="J2427" s="98"/>
      <c r="K2427" s="131"/>
      <c r="L2427" s="67"/>
      <c r="M2427" s="35"/>
      <c r="Q2427" s="3"/>
      <c r="R2427" s="3"/>
      <c r="S2427" s="3"/>
      <c r="T2427" s="3"/>
      <c r="U2427" s="3"/>
      <c r="V2427" s="3"/>
      <c r="W2427" s="3"/>
      <c r="X2427" s="3"/>
      <c r="Y2427" s="3"/>
      <c r="Z2427" s="4"/>
      <c r="AA2427"/>
      <c r="AB2427"/>
    </row>
    <row r="2428" spans="1:28" s="37" customFormat="1" x14ac:dyDescent="0.15">
      <c r="A2428" s="166"/>
      <c r="B2428" s="93"/>
      <c r="C2428" s="70"/>
      <c r="D2428" s="70"/>
      <c r="E2428" s="70"/>
      <c r="F2428" s="70"/>
      <c r="G2428" s="70"/>
      <c r="H2428" s="93"/>
      <c r="I2428" s="85"/>
      <c r="J2428" s="98"/>
      <c r="K2428" s="131"/>
      <c r="L2428" s="60"/>
      <c r="M2428" s="32"/>
      <c r="N2428" s="32"/>
      <c r="Q2428" s="3"/>
      <c r="R2428" s="3"/>
      <c r="S2428" s="3"/>
      <c r="T2428" s="3"/>
      <c r="U2428" s="3"/>
      <c r="V2428" s="3"/>
      <c r="W2428" s="3"/>
      <c r="X2428" s="3"/>
      <c r="Y2428" s="3"/>
      <c r="Z2428" s="4"/>
      <c r="AA2428"/>
      <c r="AB2428"/>
    </row>
    <row r="2429" spans="1:28" s="37" customFormat="1" x14ac:dyDescent="0.15">
      <c r="A2429" s="166"/>
      <c r="B2429" s="93"/>
      <c r="C2429" s="70"/>
      <c r="D2429" s="70"/>
      <c r="E2429" s="70"/>
      <c r="F2429" s="70"/>
      <c r="G2429" s="70"/>
      <c r="H2429" s="93"/>
      <c r="I2429" s="103"/>
      <c r="J2429" s="85"/>
      <c r="K2429" s="131"/>
      <c r="L2429" s="60"/>
      <c r="Q2429" s="3"/>
      <c r="R2429" s="3"/>
      <c r="S2429" s="3"/>
      <c r="T2429" s="3"/>
      <c r="U2429" s="3"/>
      <c r="V2429" s="3"/>
      <c r="W2429" s="3"/>
      <c r="X2429" s="3"/>
      <c r="Y2429" s="3"/>
      <c r="Z2429" s="4"/>
      <c r="AA2429"/>
      <c r="AB2429"/>
    </row>
    <row r="2430" spans="1:28" s="37" customFormat="1" x14ac:dyDescent="0.15">
      <c r="A2430" s="166"/>
      <c r="B2430" s="93"/>
      <c r="C2430" s="70"/>
      <c r="D2430" s="70"/>
      <c r="E2430" s="70"/>
      <c r="F2430" s="70"/>
      <c r="G2430" s="70"/>
      <c r="H2430" s="93"/>
      <c r="I2430" s="85"/>
      <c r="J2430" s="85"/>
      <c r="K2430" s="131"/>
      <c r="L2430" s="60"/>
      <c r="Q2430" s="3"/>
      <c r="R2430" s="3"/>
      <c r="S2430" s="3"/>
      <c r="T2430" s="3"/>
      <c r="U2430" s="3"/>
      <c r="V2430" s="3"/>
      <c r="W2430" s="3"/>
      <c r="X2430" s="3"/>
      <c r="Y2430" s="3"/>
      <c r="Z2430" s="4"/>
      <c r="AA2430"/>
      <c r="AB2430"/>
    </row>
    <row r="2431" spans="1:28" s="37" customFormat="1" x14ac:dyDescent="0.15">
      <c r="A2431" s="166"/>
      <c r="B2431" s="93"/>
      <c r="C2431" s="70"/>
      <c r="D2431" s="70"/>
      <c r="E2431" s="70"/>
      <c r="F2431" s="70"/>
      <c r="G2431" s="70"/>
      <c r="H2431" s="93"/>
      <c r="I2431" s="85"/>
      <c r="J2431" s="85"/>
      <c r="K2431" s="131"/>
      <c r="L2431" s="60"/>
      <c r="M2431" s="32"/>
      <c r="N2431" s="32"/>
      <c r="Q2431" s="3"/>
      <c r="R2431" s="3"/>
      <c r="S2431" s="3"/>
      <c r="T2431" s="3"/>
      <c r="U2431" s="3"/>
      <c r="V2431" s="3"/>
      <c r="W2431" s="3"/>
      <c r="X2431" s="3"/>
      <c r="Y2431" s="3"/>
      <c r="Z2431" s="4"/>
      <c r="AA2431"/>
      <c r="AB2431"/>
    </row>
    <row r="2432" spans="1:28" s="37" customFormat="1" x14ac:dyDescent="0.15">
      <c r="A2432" s="166"/>
      <c r="B2432" s="93"/>
      <c r="C2432" s="70"/>
      <c r="D2432" s="70"/>
      <c r="E2432" s="70"/>
      <c r="F2432" s="70"/>
      <c r="G2432" s="70"/>
      <c r="H2432" s="93"/>
      <c r="I2432" s="85"/>
      <c r="J2432" s="85"/>
      <c r="K2432" s="131"/>
      <c r="L2432" s="60"/>
      <c r="N2432" s="32"/>
      <c r="Q2432" s="3"/>
      <c r="R2432" s="3"/>
      <c r="S2432" s="3"/>
      <c r="T2432" s="3"/>
      <c r="U2432" s="3"/>
      <c r="V2432" s="3"/>
      <c r="W2432" s="3"/>
      <c r="X2432" s="3"/>
      <c r="Y2432" s="3"/>
      <c r="Z2432" s="4"/>
      <c r="AA2432"/>
      <c r="AB2432"/>
    </row>
    <row r="2433" spans="1:28" s="37" customFormat="1" x14ac:dyDescent="0.15">
      <c r="A2433" s="166"/>
      <c r="B2433" s="93"/>
      <c r="C2433" s="70"/>
      <c r="D2433" s="70"/>
      <c r="E2433" s="70"/>
      <c r="F2433" s="70"/>
      <c r="G2433" s="70"/>
      <c r="H2433" s="93"/>
      <c r="I2433" s="85"/>
      <c r="J2433" s="85"/>
      <c r="K2433" s="131"/>
      <c r="L2433" s="60"/>
      <c r="M2433" s="33"/>
      <c r="Q2433" s="3"/>
      <c r="R2433" s="3"/>
      <c r="S2433" s="3"/>
      <c r="T2433" s="3"/>
      <c r="U2433" s="3"/>
      <c r="V2433" s="3"/>
      <c r="W2433" s="3"/>
      <c r="X2433" s="3"/>
      <c r="Y2433" s="3"/>
      <c r="Z2433" s="4"/>
      <c r="AA2433"/>
      <c r="AB2433"/>
    </row>
    <row r="2434" spans="1:28" s="37" customFormat="1" x14ac:dyDescent="0.15">
      <c r="A2434" s="166"/>
      <c r="B2434" s="93"/>
      <c r="C2434" s="70"/>
      <c r="D2434" s="70"/>
      <c r="E2434" s="70"/>
      <c r="F2434" s="70"/>
      <c r="G2434" s="70"/>
      <c r="H2434" s="93"/>
      <c r="I2434" s="85"/>
      <c r="J2434" s="85"/>
      <c r="K2434" s="131"/>
      <c r="L2434" s="60"/>
      <c r="Q2434" s="3"/>
      <c r="R2434" s="3"/>
      <c r="S2434" s="3"/>
      <c r="T2434" s="3"/>
      <c r="U2434" s="3"/>
      <c r="V2434" s="3"/>
      <c r="W2434" s="3"/>
      <c r="X2434" s="3"/>
      <c r="Y2434" s="3"/>
      <c r="Z2434" s="4"/>
      <c r="AA2434"/>
      <c r="AB2434"/>
    </row>
    <row r="2435" spans="1:28" s="37" customFormat="1" x14ac:dyDescent="0.15">
      <c r="A2435" s="166"/>
      <c r="B2435" s="93"/>
      <c r="C2435" s="70"/>
      <c r="D2435" s="70"/>
      <c r="E2435" s="70"/>
      <c r="F2435" s="70"/>
      <c r="G2435" s="70"/>
      <c r="H2435" s="93"/>
      <c r="I2435" s="85"/>
      <c r="J2435" s="85"/>
      <c r="K2435" s="131"/>
      <c r="L2435" s="60"/>
      <c r="Q2435" s="3"/>
      <c r="R2435" s="3"/>
      <c r="S2435" s="3"/>
      <c r="T2435" s="3"/>
      <c r="U2435" s="3"/>
      <c r="V2435" s="3"/>
      <c r="W2435" s="3"/>
      <c r="X2435" s="3"/>
      <c r="Y2435" s="3"/>
      <c r="Z2435" s="4"/>
      <c r="AA2435"/>
      <c r="AB2435"/>
    </row>
    <row r="2436" spans="1:28" s="37" customFormat="1" x14ac:dyDescent="0.15">
      <c r="A2436" s="165"/>
      <c r="B2436" s="93"/>
      <c r="C2436" s="61"/>
      <c r="D2436" s="61"/>
      <c r="E2436" s="61"/>
      <c r="F2436" s="61"/>
      <c r="G2436" s="61"/>
      <c r="H2436" s="115"/>
      <c r="I2436" s="85"/>
      <c r="J2436" s="103"/>
      <c r="K2436" s="131"/>
      <c r="L2436" s="67"/>
      <c r="M2436" s="35"/>
      <c r="Q2436" s="3"/>
      <c r="R2436" s="3"/>
      <c r="S2436" s="3"/>
      <c r="T2436" s="3"/>
      <c r="U2436" s="3"/>
      <c r="V2436" s="3"/>
      <c r="W2436" s="3"/>
      <c r="X2436" s="3"/>
      <c r="Y2436" s="3"/>
      <c r="Z2436" s="4"/>
      <c r="AA2436"/>
      <c r="AB2436"/>
    </row>
    <row r="2437" spans="1:28" s="37" customFormat="1" x14ac:dyDescent="0.15">
      <c r="A2437" s="166"/>
      <c r="B2437" s="93"/>
      <c r="C2437" s="70"/>
      <c r="D2437" s="70"/>
      <c r="E2437" s="70"/>
      <c r="F2437" s="70"/>
      <c r="G2437" s="70"/>
      <c r="H2437" s="93"/>
      <c r="I2437" s="85"/>
      <c r="J2437" s="85"/>
      <c r="K2437" s="131"/>
      <c r="L2437" s="60"/>
      <c r="Q2437" s="3"/>
      <c r="R2437" s="3"/>
      <c r="S2437" s="3"/>
      <c r="T2437" s="3"/>
      <c r="U2437" s="3"/>
      <c r="V2437" s="3"/>
      <c r="W2437" s="3"/>
      <c r="X2437" s="3"/>
      <c r="Y2437" s="3"/>
      <c r="Z2437" s="4"/>
      <c r="AA2437"/>
      <c r="AB2437"/>
    </row>
    <row r="2438" spans="1:28" s="37" customFormat="1" ht="16" x14ac:dyDescent="0.2">
      <c r="A2438" s="166"/>
      <c r="B2438" s="82"/>
      <c r="C2438" s="70"/>
      <c r="D2438" s="70"/>
      <c r="E2438" s="70"/>
      <c r="F2438" s="70"/>
      <c r="G2438" s="70"/>
      <c r="H2438" s="93"/>
      <c r="I2438" s="85"/>
      <c r="J2438" s="85"/>
      <c r="K2438" s="131"/>
      <c r="L2438" s="60"/>
      <c r="M2438" s="33"/>
      <c r="N2438" s="47"/>
      <c r="Q2438" s="3"/>
      <c r="R2438" s="3"/>
      <c r="S2438" s="3"/>
      <c r="T2438" s="3"/>
      <c r="U2438" s="3"/>
      <c r="V2438" s="3"/>
      <c r="W2438" s="3"/>
      <c r="X2438" s="3"/>
      <c r="Y2438" s="3"/>
      <c r="Z2438" s="4"/>
      <c r="AA2438"/>
      <c r="AB2438"/>
    </row>
    <row r="2439" spans="1:28" s="37" customFormat="1" ht="16" x14ac:dyDescent="0.2">
      <c r="A2439" s="166"/>
      <c r="B2439" s="82"/>
      <c r="C2439" s="70"/>
      <c r="D2439" s="70"/>
      <c r="E2439" s="70"/>
      <c r="F2439" s="70"/>
      <c r="G2439" s="70"/>
      <c r="H2439" s="93"/>
      <c r="I2439" s="85"/>
      <c r="J2439" s="85"/>
      <c r="K2439" s="131"/>
      <c r="L2439" s="60"/>
      <c r="M2439" s="33"/>
      <c r="N2439" s="47"/>
      <c r="Q2439" s="3"/>
      <c r="R2439" s="3"/>
      <c r="S2439" s="3"/>
      <c r="T2439" s="3"/>
      <c r="U2439" s="3"/>
      <c r="V2439" s="3"/>
      <c r="W2439" s="3"/>
      <c r="X2439" s="3"/>
      <c r="Y2439" s="3"/>
      <c r="Z2439" s="4"/>
      <c r="AA2439"/>
      <c r="AB2439"/>
    </row>
    <row r="2440" spans="1:28" s="37" customFormat="1" x14ac:dyDescent="0.15">
      <c r="A2440" s="166"/>
      <c r="B2440" s="93"/>
      <c r="C2440" s="70"/>
      <c r="D2440" s="70"/>
      <c r="E2440" s="70"/>
      <c r="F2440" s="70"/>
      <c r="G2440" s="70"/>
      <c r="H2440" s="93"/>
      <c r="I2440" s="85"/>
      <c r="J2440" s="85"/>
      <c r="K2440" s="131"/>
      <c r="L2440" s="60"/>
      <c r="M2440" s="33"/>
      <c r="Q2440" s="3"/>
      <c r="R2440" s="3"/>
      <c r="S2440" s="3"/>
      <c r="T2440" s="3"/>
      <c r="U2440" s="3"/>
      <c r="V2440" s="3"/>
      <c r="W2440" s="3"/>
      <c r="X2440" s="3"/>
      <c r="Y2440" s="3"/>
      <c r="Z2440" s="4"/>
      <c r="AA2440"/>
      <c r="AB2440"/>
    </row>
    <row r="2441" spans="1:28" s="37" customFormat="1" x14ac:dyDescent="0.15">
      <c r="A2441" s="166"/>
      <c r="B2441" s="93"/>
      <c r="C2441" s="70"/>
      <c r="D2441" s="70"/>
      <c r="E2441" s="70"/>
      <c r="F2441" s="70"/>
      <c r="G2441" s="70"/>
      <c r="H2441" s="93"/>
      <c r="I2441" s="85"/>
      <c r="J2441" s="85"/>
      <c r="K2441" s="131"/>
      <c r="L2441" s="60"/>
      <c r="M2441" s="33"/>
      <c r="Q2441" s="3"/>
      <c r="R2441" s="3"/>
      <c r="S2441" s="3"/>
      <c r="T2441" s="3"/>
      <c r="U2441" s="3"/>
      <c r="V2441" s="3"/>
      <c r="W2441" s="3"/>
      <c r="X2441" s="3"/>
      <c r="Y2441" s="3"/>
      <c r="Z2441" s="4"/>
      <c r="AA2441"/>
      <c r="AB2441"/>
    </row>
    <row r="2442" spans="1:28" s="37" customFormat="1" ht="16" x14ac:dyDescent="0.2">
      <c r="A2442" s="166"/>
      <c r="B2442" s="93"/>
      <c r="C2442" s="70"/>
      <c r="D2442" s="70"/>
      <c r="E2442" s="70"/>
      <c r="F2442" s="70"/>
      <c r="G2442" s="70"/>
      <c r="H2442" s="93"/>
      <c r="I2442" s="85"/>
      <c r="J2442" s="85"/>
      <c r="K2442" s="131"/>
      <c r="L2442" s="60"/>
      <c r="M2442" s="48"/>
      <c r="Q2442" s="3"/>
      <c r="R2442" s="3"/>
      <c r="S2442" s="3"/>
      <c r="T2442" s="3"/>
      <c r="U2442" s="3"/>
      <c r="V2442" s="3"/>
      <c r="W2442" s="3"/>
      <c r="X2442" s="3"/>
      <c r="Y2442" s="3"/>
      <c r="Z2442" s="4"/>
      <c r="AA2442"/>
      <c r="AB2442"/>
    </row>
    <row r="2443" spans="1:28" s="37" customFormat="1" x14ac:dyDescent="0.15">
      <c r="A2443" s="166"/>
      <c r="B2443" s="93"/>
      <c r="C2443" s="70"/>
      <c r="D2443" s="70"/>
      <c r="E2443" s="70"/>
      <c r="F2443" s="70"/>
      <c r="G2443" s="70"/>
      <c r="H2443" s="93"/>
      <c r="I2443" s="85"/>
      <c r="J2443" s="85"/>
      <c r="K2443" s="131"/>
      <c r="L2443" s="60"/>
      <c r="M2443" s="49"/>
      <c r="Q2443" s="3"/>
      <c r="R2443" s="3"/>
      <c r="S2443" s="3"/>
      <c r="T2443" s="3"/>
      <c r="U2443" s="3"/>
      <c r="V2443" s="3"/>
      <c r="W2443" s="3"/>
      <c r="X2443" s="3"/>
      <c r="Y2443" s="3"/>
      <c r="Z2443" s="4"/>
      <c r="AA2443"/>
      <c r="AB2443"/>
    </row>
    <row r="2444" spans="1:28" s="37" customFormat="1" ht="16" x14ac:dyDescent="0.2">
      <c r="A2444" s="166"/>
      <c r="B2444" s="93"/>
      <c r="C2444" s="70"/>
      <c r="D2444" s="70"/>
      <c r="E2444" s="70"/>
      <c r="F2444" s="70"/>
      <c r="G2444" s="70"/>
      <c r="H2444" s="93"/>
      <c r="I2444" s="85"/>
      <c r="J2444" s="85"/>
      <c r="K2444" s="131"/>
      <c r="L2444" s="60"/>
      <c r="M2444" s="48"/>
      <c r="Q2444" s="3"/>
      <c r="R2444" s="3"/>
      <c r="S2444" s="3"/>
      <c r="T2444" s="3"/>
      <c r="U2444" s="3"/>
      <c r="V2444" s="3"/>
      <c r="W2444" s="3"/>
      <c r="X2444" s="3"/>
      <c r="Y2444" s="3"/>
      <c r="Z2444" s="4"/>
      <c r="AA2444"/>
      <c r="AB2444"/>
    </row>
    <row r="2445" spans="1:28" s="37" customFormat="1" x14ac:dyDescent="0.15">
      <c r="A2445" s="166"/>
      <c r="B2445" s="93"/>
      <c r="C2445" s="70"/>
      <c r="D2445" s="70"/>
      <c r="E2445" s="70"/>
      <c r="F2445" s="70"/>
      <c r="G2445" s="70"/>
      <c r="H2445" s="93"/>
      <c r="I2445" s="85"/>
      <c r="J2445" s="85"/>
      <c r="K2445" s="131"/>
      <c r="L2445" s="60"/>
      <c r="M2445" s="33"/>
      <c r="N2445" s="33"/>
      <c r="Q2445" s="3"/>
      <c r="R2445" s="3"/>
      <c r="S2445" s="3"/>
      <c r="T2445" s="3"/>
      <c r="U2445" s="3"/>
      <c r="V2445" s="3"/>
      <c r="W2445" s="3"/>
      <c r="X2445" s="3"/>
      <c r="Y2445" s="3"/>
      <c r="Z2445" s="4"/>
      <c r="AA2445"/>
      <c r="AB2445"/>
    </row>
    <row r="2446" spans="1:28" s="37" customFormat="1" ht="16" x14ac:dyDescent="0.2">
      <c r="A2446" s="166"/>
      <c r="B2446" s="93"/>
      <c r="C2446" s="70"/>
      <c r="D2446" s="70"/>
      <c r="E2446" s="70"/>
      <c r="F2446" s="70"/>
      <c r="G2446" s="70"/>
      <c r="H2446" s="93"/>
      <c r="I2446" s="85"/>
      <c r="J2446" s="85"/>
      <c r="K2446" s="131"/>
      <c r="L2446" s="60"/>
      <c r="M2446" s="48"/>
      <c r="N2446" s="32"/>
      <c r="Q2446" s="3"/>
      <c r="R2446" s="3"/>
      <c r="S2446" s="3"/>
      <c r="T2446" s="3"/>
      <c r="U2446" s="3"/>
      <c r="V2446" s="3"/>
      <c r="W2446" s="3"/>
      <c r="X2446" s="3"/>
      <c r="Y2446" s="3"/>
      <c r="Z2446" s="4"/>
      <c r="AA2446"/>
      <c r="AB2446"/>
    </row>
    <row r="2447" spans="1:28" s="37" customFormat="1" ht="16" x14ac:dyDescent="0.2">
      <c r="A2447" s="166"/>
      <c r="B2447" s="93"/>
      <c r="C2447" s="70"/>
      <c r="D2447" s="70"/>
      <c r="E2447" s="70"/>
      <c r="F2447" s="70"/>
      <c r="G2447" s="70"/>
      <c r="H2447" s="93"/>
      <c r="I2447" s="85"/>
      <c r="J2447" s="85"/>
      <c r="K2447" s="131"/>
      <c r="L2447" s="60"/>
      <c r="M2447" s="48"/>
      <c r="Q2447" s="3"/>
      <c r="R2447" s="3"/>
      <c r="S2447" s="3"/>
      <c r="T2447" s="3"/>
      <c r="U2447" s="3"/>
      <c r="V2447" s="3"/>
      <c r="W2447" s="3"/>
      <c r="X2447" s="3"/>
      <c r="Y2447" s="3"/>
      <c r="Z2447" s="4"/>
      <c r="AA2447"/>
      <c r="AB2447"/>
    </row>
    <row r="2448" spans="1:28" s="37" customFormat="1" x14ac:dyDescent="0.15">
      <c r="A2448" s="166"/>
      <c r="B2448" s="93"/>
      <c r="C2448" s="70"/>
      <c r="D2448" s="70"/>
      <c r="E2448" s="70"/>
      <c r="F2448" s="70"/>
      <c r="G2448" s="70"/>
      <c r="H2448" s="93"/>
      <c r="I2448" s="85"/>
      <c r="J2448" s="85"/>
      <c r="K2448" s="131"/>
      <c r="L2448" s="60"/>
      <c r="Q2448" s="3"/>
      <c r="R2448" s="3"/>
      <c r="S2448" s="3"/>
      <c r="T2448" s="3"/>
      <c r="U2448" s="3"/>
      <c r="V2448" s="3"/>
      <c r="W2448" s="3"/>
      <c r="X2448" s="3"/>
      <c r="Y2448" s="3"/>
      <c r="Z2448" s="4"/>
      <c r="AA2448"/>
      <c r="AB2448"/>
    </row>
    <row r="2449" spans="1:28" s="37" customFormat="1" ht="16" x14ac:dyDescent="0.2">
      <c r="A2449" s="166"/>
      <c r="B2449" s="93"/>
      <c r="C2449" s="70"/>
      <c r="D2449" s="70"/>
      <c r="E2449" s="70"/>
      <c r="F2449" s="70"/>
      <c r="G2449" s="70"/>
      <c r="H2449" s="93"/>
      <c r="I2449" s="85"/>
      <c r="J2449" s="85"/>
      <c r="K2449" s="131"/>
      <c r="L2449" s="60"/>
      <c r="M2449" s="48"/>
      <c r="Q2449" s="3"/>
      <c r="R2449" s="3"/>
      <c r="S2449" s="3"/>
      <c r="T2449" s="3"/>
      <c r="U2449" s="3"/>
      <c r="V2449" s="3"/>
      <c r="W2449" s="3"/>
      <c r="X2449" s="3"/>
      <c r="Y2449" s="3"/>
      <c r="Z2449" s="4"/>
      <c r="AA2449"/>
      <c r="AB2449"/>
    </row>
    <row r="2450" spans="1:28" s="37" customFormat="1" ht="16" x14ac:dyDescent="0.2">
      <c r="A2450" s="166"/>
      <c r="B2450" s="93"/>
      <c r="C2450" s="70"/>
      <c r="D2450" s="70"/>
      <c r="E2450" s="70"/>
      <c r="F2450" s="70"/>
      <c r="G2450" s="70"/>
      <c r="H2450" s="93"/>
      <c r="I2450" s="85"/>
      <c r="J2450" s="85"/>
      <c r="K2450" s="131"/>
      <c r="L2450" s="60"/>
      <c r="M2450" s="48"/>
      <c r="Q2450" s="3"/>
      <c r="R2450" s="3"/>
      <c r="S2450" s="3"/>
      <c r="T2450" s="3"/>
      <c r="U2450" s="3"/>
      <c r="V2450" s="3"/>
      <c r="W2450" s="3"/>
      <c r="X2450" s="3"/>
      <c r="Y2450" s="3"/>
      <c r="Z2450" s="4"/>
      <c r="AA2450"/>
      <c r="AB2450"/>
    </row>
    <row r="2451" spans="1:28" s="37" customFormat="1" ht="16" x14ac:dyDescent="0.2">
      <c r="A2451" s="166"/>
      <c r="B2451" s="93"/>
      <c r="C2451" s="70"/>
      <c r="D2451" s="70"/>
      <c r="E2451" s="70"/>
      <c r="F2451" s="70"/>
      <c r="G2451" s="70"/>
      <c r="H2451" s="93"/>
      <c r="I2451" s="85"/>
      <c r="J2451" s="85"/>
      <c r="K2451" s="131"/>
      <c r="L2451" s="60"/>
      <c r="M2451" s="48"/>
      <c r="N2451" s="32"/>
      <c r="Q2451" s="3"/>
      <c r="R2451" s="3"/>
      <c r="S2451" s="3"/>
      <c r="T2451" s="3"/>
      <c r="U2451" s="3"/>
      <c r="V2451" s="3"/>
      <c r="W2451" s="3"/>
      <c r="X2451" s="3"/>
      <c r="Y2451" s="3"/>
      <c r="Z2451" s="4"/>
      <c r="AA2451"/>
      <c r="AB2451"/>
    </row>
    <row r="2452" spans="1:28" s="37" customFormat="1" x14ac:dyDescent="0.15">
      <c r="A2452" s="166"/>
      <c r="B2452" s="93"/>
      <c r="C2452" s="70"/>
      <c r="D2452" s="70"/>
      <c r="E2452" s="70"/>
      <c r="F2452" s="70"/>
      <c r="G2452" s="70"/>
      <c r="H2452" s="93"/>
      <c r="I2452" s="85"/>
      <c r="J2452" s="85"/>
      <c r="K2452" s="131"/>
      <c r="L2452" s="60"/>
      <c r="M2452" s="33"/>
      <c r="Q2452" s="3"/>
      <c r="R2452" s="3"/>
      <c r="S2452" s="3"/>
      <c r="T2452" s="3"/>
      <c r="U2452" s="3"/>
      <c r="V2452" s="3"/>
      <c r="W2452" s="3"/>
      <c r="X2452" s="3"/>
      <c r="Y2452" s="3"/>
      <c r="Z2452" s="4"/>
      <c r="AA2452"/>
      <c r="AB2452"/>
    </row>
    <row r="2453" spans="1:28" s="37" customFormat="1" x14ac:dyDescent="0.15">
      <c r="A2453" s="166"/>
      <c r="B2453" s="93"/>
      <c r="C2453" s="70"/>
      <c r="D2453" s="70"/>
      <c r="E2453" s="70"/>
      <c r="F2453" s="70"/>
      <c r="G2453" s="70"/>
      <c r="H2453" s="93"/>
      <c r="I2453" s="85"/>
      <c r="J2453" s="85"/>
      <c r="K2453" s="131"/>
      <c r="L2453" s="60"/>
      <c r="M2453" s="33"/>
      <c r="Q2453" s="3"/>
      <c r="R2453" s="3"/>
      <c r="S2453" s="3"/>
      <c r="T2453" s="3"/>
      <c r="U2453" s="3"/>
      <c r="V2453" s="3"/>
      <c r="W2453" s="3"/>
      <c r="X2453" s="3"/>
      <c r="Y2453" s="3"/>
      <c r="Z2453" s="4"/>
      <c r="AA2453"/>
      <c r="AB2453"/>
    </row>
    <row r="2454" spans="1:28" s="37" customFormat="1" x14ac:dyDescent="0.15">
      <c r="A2454" s="166"/>
      <c r="B2454" s="93"/>
      <c r="C2454" s="70"/>
      <c r="D2454" s="70"/>
      <c r="E2454" s="70"/>
      <c r="F2454" s="70"/>
      <c r="G2454" s="70"/>
      <c r="H2454" s="93"/>
      <c r="I2454" s="85"/>
      <c r="J2454" s="85"/>
      <c r="K2454" s="131"/>
      <c r="L2454" s="60"/>
      <c r="Q2454" s="3"/>
      <c r="R2454" s="3"/>
      <c r="S2454" s="3"/>
      <c r="T2454" s="3"/>
      <c r="U2454" s="3"/>
      <c r="V2454" s="3"/>
      <c r="W2454" s="3"/>
      <c r="X2454" s="3"/>
      <c r="Y2454" s="3"/>
      <c r="Z2454" s="4"/>
      <c r="AA2454"/>
      <c r="AB2454"/>
    </row>
    <row r="2455" spans="1:28" s="37" customFormat="1" x14ac:dyDescent="0.15">
      <c r="A2455" s="166"/>
      <c r="B2455" s="93"/>
      <c r="C2455" s="70"/>
      <c r="D2455" s="70"/>
      <c r="E2455" s="70"/>
      <c r="F2455" s="70"/>
      <c r="G2455" s="70"/>
      <c r="H2455" s="93"/>
      <c r="I2455" s="85"/>
      <c r="J2455" s="85"/>
      <c r="K2455" s="131"/>
      <c r="L2455" s="60"/>
      <c r="M2455" s="49"/>
      <c r="Q2455" s="3"/>
      <c r="R2455" s="3"/>
      <c r="S2455" s="3"/>
      <c r="T2455" s="3"/>
      <c r="U2455" s="3"/>
      <c r="V2455" s="3"/>
      <c r="W2455" s="3"/>
      <c r="X2455" s="3"/>
      <c r="Y2455" s="3"/>
      <c r="Z2455" s="4"/>
      <c r="AA2455"/>
      <c r="AB2455"/>
    </row>
    <row r="2456" spans="1:28" s="37" customFormat="1" x14ac:dyDescent="0.15">
      <c r="A2456" s="166"/>
      <c r="B2456" s="93"/>
      <c r="C2456" s="70"/>
      <c r="D2456" s="70"/>
      <c r="E2456" s="70"/>
      <c r="F2456" s="70"/>
      <c r="G2456" s="70"/>
      <c r="H2456" s="93"/>
      <c r="I2456" s="85"/>
      <c r="J2456" s="85"/>
      <c r="K2456" s="131"/>
      <c r="L2456" s="60"/>
      <c r="Q2456" s="3"/>
      <c r="R2456" s="3"/>
      <c r="S2456" s="3"/>
      <c r="T2456" s="3"/>
      <c r="U2456" s="3"/>
      <c r="V2456" s="3"/>
      <c r="W2456" s="3"/>
      <c r="X2456" s="3"/>
      <c r="Y2456" s="3"/>
      <c r="Z2456" s="4"/>
      <c r="AA2456"/>
      <c r="AB2456"/>
    </row>
    <row r="2457" spans="1:28" s="37" customFormat="1" x14ac:dyDescent="0.15">
      <c r="A2457" s="166"/>
      <c r="B2457" s="93"/>
      <c r="C2457" s="70"/>
      <c r="D2457" s="70"/>
      <c r="E2457" s="70"/>
      <c r="F2457" s="70"/>
      <c r="G2457" s="70"/>
      <c r="H2457" s="93"/>
      <c r="I2457" s="85"/>
      <c r="J2457" s="85"/>
      <c r="K2457" s="131"/>
      <c r="L2457" s="60"/>
      <c r="N2457" s="32"/>
      <c r="Q2457" s="3"/>
      <c r="R2457" s="3"/>
      <c r="S2457" s="3"/>
      <c r="T2457" s="3"/>
      <c r="U2457" s="3"/>
      <c r="V2457" s="3"/>
      <c r="W2457" s="3"/>
      <c r="X2457" s="3"/>
      <c r="Y2457" s="3"/>
      <c r="Z2457" s="4"/>
      <c r="AA2457"/>
      <c r="AB2457"/>
    </row>
    <row r="2458" spans="1:28" s="37" customFormat="1" x14ac:dyDescent="0.15">
      <c r="A2458" s="166"/>
      <c r="B2458" s="82"/>
      <c r="C2458" s="70"/>
      <c r="D2458" s="70"/>
      <c r="E2458" s="70"/>
      <c r="F2458" s="70"/>
      <c r="G2458" s="70"/>
      <c r="H2458" s="93"/>
      <c r="I2458" s="85"/>
      <c r="J2458" s="85"/>
      <c r="K2458" s="131"/>
      <c r="L2458" s="60"/>
      <c r="M2458" s="33"/>
      <c r="Q2458" s="3"/>
      <c r="R2458" s="3"/>
      <c r="S2458" s="3"/>
      <c r="T2458" s="3"/>
      <c r="U2458" s="3"/>
      <c r="V2458" s="3"/>
      <c r="W2458" s="3"/>
      <c r="X2458" s="3"/>
      <c r="Y2458" s="3"/>
      <c r="Z2458" s="4"/>
      <c r="AA2458"/>
      <c r="AB2458"/>
    </row>
    <row r="2459" spans="1:28" s="37" customFormat="1" x14ac:dyDescent="0.15">
      <c r="A2459" s="166"/>
      <c r="B2459" s="93"/>
      <c r="C2459" s="70"/>
      <c r="D2459" s="70"/>
      <c r="E2459" s="70"/>
      <c r="F2459" s="70"/>
      <c r="G2459" s="70"/>
      <c r="H2459" s="93"/>
      <c r="I2459" s="85"/>
      <c r="J2459" s="85"/>
      <c r="K2459" s="131"/>
      <c r="L2459" s="60"/>
      <c r="Q2459" s="3"/>
      <c r="R2459" s="3"/>
      <c r="S2459" s="3"/>
      <c r="T2459" s="3"/>
      <c r="U2459" s="3"/>
      <c r="V2459" s="3"/>
      <c r="W2459" s="3"/>
      <c r="X2459" s="3"/>
      <c r="Y2459" s="3"/>
      <c r="Z2459" s="4"/>
      <c r="AA2459"/>
      <c r="AB2459"/>
    </row>
    <row r="2460" spans="1:28" s="37" customFormat="1" x14ac:dyDescent="0.15">
      <c r="A2460" s="166"/>
      <c r="B2460" s="93"/>
      <c r="C2460" s="70"/>
      <c r="D2460" s="70"/>
      <c r="E2460" s="70"/>
      <c r="F2460" s="70"/>
      <c r="G2460" s="70"/>
      <c r="H2460" s="93"/>
      <c r="I2460" s="85"/>
      <c r="J2460" s="85"/>
      <c r="K2460" s="131"/>
      <c r="L2460" s="60"/>
      <c r="Q2460" s="3"/>
      <c r="R2460" s="3"/>
      <c r="S2460" s="3"/>
      <c r="T2460" s="3"/>
      <c r="U2460" s="3"/>
      <c r="V2460" s="3"/>
      <c r="W2460" s="3"/>
      <c r="X2460" s="3"/>
      <c r="Y2460" s="3"/>
      <c r="Z2460" s="4"/>
      <c r="AA2460"/>
      <c r="AB2460"/>
    </row>
    <row r="2461" spans="1:28" s="37" customFormat="1" x14ac:dyDescent="0.15">
      <c r="A2461" s="166"/>
      <c r="B2461" s="93"/>
      <c r="C2461" s="70"/>
      <c r="D2461" s="70"/>
      <c r="E2461" s="70"/>
      <c r="F2461" s="70"/>
      <c r="G2461" s="70"/>
      <c r="H2461" s="93"/>
      <c r="I2461" s="85"/>
      <c r="J2461" s="85"/>
      <c r="K2461" s="131"/>
      <c r="L2461" s="60"/>
      <c r="Q2461" s="3"/>
      <c r="R2461" s="3"/>
      <c r="S2461" s="3"/>
      <c r="T2461" s="3"/>
      <c r="U2461" s="3"/>
      <c r="V2461" s="3"/>
      <c r="W2461" s="3"/>
      <c r="X2461" s="3"/>
      <c r="Y2461" s="3"/>
      <c r="Z2461" s="4"/>
      <c r="AA2461"/>
      <c r="AB2461"/>
    </row>
    <row r="2462" spans="1:28" x14ac:dyDescent="0.15">
      <c r="A2462" s="166"/>
      <c r="B2462" s="93"/>
      <c r="C2462" s="70"/>
      <c r="D2462" s="70"/>
      <c r="E2462" s="70"/>
      <c r="F2462" s="70"/>
      <c r="G2462" s="70"/>
      <c r="H2462" s="93"/>
      <c r="I2462" s="85"/>
      <c r="J2462" s="85"/>
      <c r="K2462" s="131"/>
      <c r="L2462" s="60"/>
      <c r="M2462" s="33"/>
      <c r="N2462" s="32"/>
    </row>
    <row r="2463" spans="1:28" x14ac:dyDescent="0.15">
      <c r="A2463" s="166"/>
      <c r="B2463" s="93"/>
      <c r="C2463" s="70"/>
      <c r="D2463" s="70"/>
      <c r="E2463" s="70"/>
      <c r="F2463" s="70"/>
      <c r="G2463" s="70"/>
      <c r="H2463" s="93"/>
      <c r="I2463" s="85"/>
      <c r="J2463" s="85"/>
      <c r="K2463" s="131"/>
      <c r="L2463" s="60"/>
      <c r="M2463" s="37"/>
      <c r="N2463" s="32"/>
    </row>
    <row r="2464" spans="1:28" x14ac:dyDescent="0.15">
      <c r="A2464" s="166"/>
      <c r="B2464" s="93"/>
      <c r="C2464" s="70"/>
      <c r="D2464" s="70"/>
      <c r="E2464" s="70"/>
      <c r="F2464" s="70"/>
      <c r="G2464" s="70"/>
      <c r="H2464" s="93"/>
      <c r="I2464" s="85"/>
      <c r="J2464" s="85"/>
      <c r="K2464" s="131"/>
      <c r="L2464" s="60"/>
      <c r="M2464" s="37"/>
      <c r="N2464" s="32"/>
    </row>
    <row r="2465" spans="1:28" x14ac:dyDescent="0.15">
      <c r="A2465" s="166"/>
      <c r="B2465" s="93"/>
      <c r="C2465" s="70"/>
      <c r="D2465" s="70"/>
      <c r="E2465" s="70"/>
      <c r="F2465" s="70"/>
      <c r="G2465" s="70"/>
      <c r="H2465" s="93"/>
      <c r="I2465" s="85"/>
      <c r="J2465" s="85"/>
      <c r="K2465" s="131"/>
      <c r="L2465" s="60"/>
      <c r="M2465" s="37"/>
    </row>
    <row r="2466" spans="1:28" x14ac:dyDescent="0.15">
      <c r="A2466" s="166"/>
      <c r="B2466" s="93"/>
      <c r="C2466" s="70"/>
      <c r="D2466" s="70"/>
      <c r="E2466" s="70"/>
      <c r="F2466" s="70"/>
      <c r="G2466" s="70"/>
      <c r="H2466" s="93"/>
      <c r="I2466" s="85"/>
      <c r="J2466" s="85"/>
      <c r="K2466" s="131"/>
      <c r="L2466" s="60"/>
      <c r="M2466" s="37"/>
    </row>
    <row r="2467" spans="1:28" x14ac:dyDescent="0.15">
      <c r="A2467" s="166"/>
      <c r="B2467" s="82"/>
      <c r="C2467" s="70"/>
      <c r="D2467" s="70"/>
      <c r="E2467" s="70"/>
      <c r="F2467" s="70"/>
      <c r="G2467" s="70"/>
      <c r="H2467" s="93"/>
      <c r="I2467" s="85"/>
      <c r="J2467" s="85"/>
      <c r="K2467" s="131"/>
      <c r="L2467" s="60"/>
    </row>
    <row r="2468" spans="1:28" x14ac:dyDescent="0.15">
      <c r="A2468" s="166"/>
      <c r="B2468" s="82"/>
      <c r="C2468" s="70"/>
      <c r="D2468" s="70"/>
      <c r="E2468" s="70"/>
      <c r="F2468" s="70"/>
      <c r="G2468" s="70"/>
      <c r="H2468" s="93"/>
      <c r="I2468" s="85"/>
      <c r="J2468" s="85"/>
      <c r="K2468" s="131"/>
      <c r="L2468" s="60"/>
    </row>
    <row r="2469" spans="1:28" x14ac:dyDescent="0.15">
      <c r="A2469" s="166"/>
      <c r="B2469" s="82"/>
      <c r="C2469" s="70"/>
      <c r="D2469" s="70"/>
      <c r="E2469" s="70"/>
      <c r="F2469" s="70"/>
      <c r="G2469" s="70"/>
      <c r="H2469" s="93"/>
      <c r="I2469" s="85"/>
      <c r="J2469" s="85"/>
      <c r="K2469" s="131"/>
      <c r="L2469" s="60"/>
    </row>
    <row r="2470" spans="1:28" ht="16" x14ac:dyDescent="0.2">
      <c r="A2470" s="166"/>
      <c r="B2470" s="93"/>
      <c r="C2470" s="70"/>
      <c r="D2470" s="70"/>
      <c r="E2470" s="70"/>
      <c r="F2470" s="70"/>
      <c r="G2470" s="70"/>
      <c r="H2470" s="93"/>
      <c r="I2470" s="85"/>
      <c r="J2470" s="85"/>
      <c r="K2470" s="131"/>
      <c r="L2470" s="60"/>
      <c r="M2470" s="33"/>
      <c r="N2470" s="48"/>
    </row>
    <row r="2471" spans="1:28" x14ac:dyDescent="0.15">
      <c r="A2471" s="166"/>
      <c r="B2471" s="82"/>
      <c r="C2471" s="70"/>
      <c r="D2471" s="70"/>
      <c r="E2471" s="70"/>
      <c r="F2471" s="70"/>
      <c r="G2471" s="70"/>
      <c r="H2471" s="93"/>
      <c r="I2471" s="85"/>
      <c r="J2471" s="85"/>
      <c r="K2471" s="131"/>
      <c r="L2471" s="60"/>
    </row>
    <row r="2472" spans="1:28" x14ac:dyDescent="0.15">
      <c r="A2472" s="166"/>
      <c r="B2472" s="82"/>
      <c r="C2472" s="70"/>
      <c r="D2472" s="70"/>
      <c r="E2472" s="70"/>
      <c r="F2472" s="70"/>
      <c r="G2472" s="70"/>
      <c r="H2472" s="93"/>
      <c r="I2472" s="85"/>
      <c r="J2472" s="85"/>
      <c r="K2472" s="131"/>
      <c r="L2472" s="60"/>
    </row>
    <row r="2473" spans="1:28" x14ac:dyDescent="0.15">
      <c r="A2473" s="166"/>
      <c r="B2473" s="82"/>
      <c r="C2473" s="70"/>
      <c r="D2473" s="70"/>
      <c r="E2473" s="70"/>
      <c r="F2473" s="70"/>
      <c r="G2473" s="70"/>
      <c r="H2473" s="93"/>
      <c r="I2473" s="85"/>
      <c r="J2473" s="85"/>
      <c r="K2473" s="131"/>
      <c r="L2473" s="60"/>
    </row>
    <row r="2474" spans="1:28" x14ac:dyDescent="0.15">
      <c r="A2474" s="166"/>
      <c r="B2474" s="93"/>
      <c r="C2474" s="70"/>
      <c r="D2474" s="70"/>
      <c r="E2474" s="70"/>
      <c r="F2474" s="70"/>
      <c r="G2474" s="70"/>
      <c r="H2474" s="93"/>
      <c r="I2474" s="85"/>
      <c r="J2474" s="85"/>
      <c r="K2474" s="131"/>
      <c r="L2474" s="63"/>
      <c r="M2474" s="33"/>
    </row>
    <row r="2475" spans="1:28" s="15" customFormat="1" x14ac:dyDescent="0.15">
      <c r="A2475" s="166"/>
      <c r="B2475" s="93"/>
      <c r="C2475" s="70"/>
      <c r="D2475" s="70"/>
      <c r="E2475" s="70"/>
      <c r="F2475" s="70"/>
      <c r="G2475" s="70"/>
      <c r="H2475" s="93"/>
      <c r="I2475" s="85"/>
      <c r="J2475" s="85"/>
      <c r="K2475" s="131"/>
      <c r="L2475" s="60"/>
      <c r="M2475" s="33"/>
      <c r="N2475" s="37"/>
      <c r="O2475" s="37"/>
      <c r="P2475" s="37"/>
      <c r="Q2475" s="3"/>
      <c r="R2475" s="3"/>
      <c r="S2475" s="3"/>
      <c r="T2475" s="3"/>
      <c r="U2475" s="3"/>
      <c r="V2475" s="3"/>
      <c r="W2475" s="3"/>
      <c r="X2475" s="3"/>
      <c r="Y2475" s="3"/>
      <c r="Z2475" s="4"/>
      <c r="AA2475"/>
      <c r="AB2475"/>
    </row>
    <row r="2476" spans="1:28" x14ac:dyDescent="0.15">
      <c r="A2476" s="166"/>
      <c r="B2476" s="93"/>
      <c r="C2476" s="70"/>
      <c r="D2476" s="70"/>
      <c r="E2476" s="70"/>
      <c r="F2476" s="70"/>
      <c r="G2476" s="70"/>
      <c r="H2476" s="93"/>
      <c r="I2476" s="85"/>
      <c r="J2476" s="85"/>
      <c r="K2476" s="131"/>
      <c r="L2476" s="60"/>
      <c r="M2476" s="33"/>
    </row>
    <row r="2477" spans="1:28" x14ac:dyDescent="0.15">
      <c r="A2477" s="166"/>
      <c r="B2477" s="93"/>
      <c r="C2477" s="70"/>
      <c r="D2477" s="70"/>
      <c r="E2477" s="70"/>
      <c r="F2477" s="70"/>
      <c r="G2477" s="70"/>
      <c r="H2477" s="93"/>
      <c r="I2477" s="85"/>
      <c r="J2477" s="85"/>
      <c r="K2477" s="131"/>
      <c r="L2477" s="63"/>
      <c r="M2477" s="33"/>
    </row>
    <row r="2478" spans="1:28" x14ac:dyDescent="0.15">
      <c r="A2478" s="166"/>
      <c r="B2478" s="93"/>
      <c r="C2478" s="70"/>
      <c r="D2478" s="70"/>
      <c r="E2478" s="70"/>
      <c r="F2478" s="70"/>
      <c r="G2478" s="70"/>
      <c r="H2478" s="93"/>
      <c r="I2478" s="85"/>
      <c r="J2478" s="85"/>
      <c r="K2478" s="131"/>
      <c r="L2478" s="60"/>
      <c r="M2478" s="33"/>
    </row>
    <row r="2479" spans="1:28" x14ac:dyDescent="0.15">
      <c r="A2479" s="166"/>
      <c r="B2479" s="93"/>
      <c r="C2479" s="70"/>
      <c r="D2479" s="70"/>
      <c r="E2479" s="70"/>
      <c r="F2479" s="70"/>
      <c r="G2479" s="70"/>
      <c r="H2479" s="93"/>
      <c r="I2479" s="85"/>
      <c r="J2479" s="85"/>
      <c r="K2479" s="131"/>
      <c r="L2479" s="63"/>
      <c r="M2479" s="33"/>
      <c r="S2479" s="187"/>
      <c r="T2479" s="187"/>
      <c r="U2479" s="187"/>
      <c r="V2479" s="187"/>
      <c r="W2479" s="187"/>
      <c r="X2479" s="187"/>
      <c r="Y2479" s="187"/>
      <c r="Z2479" s="188"/>
      <c r="AA2479" s="189"/>
      <c r="AB2479" s="189"/>
    </row>
    <row r="2480" spans="1:28" x14ac:dyDescent="0.15">
      <c r="A2480" s="166"/>
      <c r="B2480" s="93"/>
      <c r="C2480" s="70"/>
      <c r="D2480" s="70"/>
      <c r="E2480" s="70"/>
      <c r="F2480" s="70"/>
      <c r="G2480" s="70"/>
      <c r="H2480" s="93"/>
      <c r="I2480" s="85"/>
      <c r="J2480" s="85"/>
      <c r="K2480" s="131"/>
      <c r="L2480" s="63"/>
      <c r="M2480" s="33"/>
      <c r="S2480" s="187"/>
      <c r="T2480" s="187"/>
      <c r="U2480" s="187"/>
      <c r="V2480" s="187"/>
      <c r="W2480" s="187"/>
      <c r="X2480" s="187"/>
      <c r="Y2480" s="187"/>
      <c r="Z2480" s="188"/>
      <c r="AA2480" s="189"/>
      <c r="AB2480" s="189"/>
    </row>
    <row r="2481" spans="1:28" x14ac:dyDescent="0.15">
      <c r="A2481" s="166"/>
      <c r="B2481" s="93"/>
      <c r="C2481" s="70"/>
      <c r="D2481" s="70"/>
      <c r="E2481" s="70"/>
      <c r="F2481" s="70"/>
      <c r="G2481" s="70"/>
      <c r="H2481" s="93"/>
      <c r="I2481" s="85"/>
      <c r="J2481" s="85"/>
      <c r="K2481" s="131"/>
      <c r="L2481" s="60"/>
      <c r="M2481" s="33"/>
    </row>
    <row r="2482" spans="1:28" x14ac:dyDescent="0.15">
      <c r="A2482" s="166"/>
      <c r="B2482" s="93"/>
      <c r="C2482" s="70"/>
      <c r="D2482" s="70"/>
      <c r="E2482" s="70"/>
      <c r="F2482" s="70"/>
      <c r="G2482" s="70"/>
      <c r="H2482" s="93"/>
      <c r="I2482" s="85"/>
      <c r="J2482" s="85"/>
      <c r="K2482" s="131"/>
      <c r="L2482" s="60"/>
      <c r="M2482" s="33"/>
    </row>
    <row r="2483" spans="1:28" x14ac:dyDescent="0.15">
      <c r="A2483" s="166"/>
      <c r="B2483" s="82"/>
      <c r="C2483" s="70"/>
      <c r="D2483" s="70"/>
      <c r="E2483" s="70"/>
      <c r="F2483" s="70"/>
      <c r="G2483" s="70"/>
      <c r="H2483" s="93"/>
      <c r="I2483" s="85"/>
      <c r="J2483" s="85"/>
      <c r="K2483" s="131"/>
      <c r="L2483" s="60"/>
    </row>
    <row r="2484" spans="1:28" x14ac:dyDescent="0.15">
      <c r="A2484" s="166"/>
      <c r="B2484" s="82"/>
      <c r="C2484" s="70"/>
      <c r="D2484" s="70"/>
      <c r="E2484" s="70"/>
      <c r="F2484" s="70"/>
      <c r="G2484" s="70"/>
      <c r="H2484" s="93"/>
      <c r="I2484" s="85"/>
      <c r="J2484" s="85"/>
      <c r="K2484" s="131"/>
      <c r="L2484" s="60"/>
      <c r="M2484" s="33"/>
      <c r="Q2484" s="14"/>
      <c r="R2484" s="14"/>
    </row>
    <row r="2485" spans="1:28" x14ac:dyDescent="0.15">
      <c r="A2485" s="166"/>
      <c r="B2485" s="82"/>
      <c r="C2485" s="70"/>
      <c r="D2485" s="70"/>
      <c r="E2485" s="70"/>
      <c r="F2485" s="70"/>
      <c r="G2485" s="70"/>
      <c r="H2485" s="93"/>
      <c r="I2485" s="85"/>
      <c r="J2485" s="85"/>
      <c r="K2485" s="131"/>
      <c r="L2485" s="60"/>
    </row>
    <row r="2486" spans="1:28" x14ac:dyDescent="0.15">
      <c r="A2486" s="166"/>
      <c r="B2486" s="82"/>
      <c r="C2486" s="70"/>
      <c r="D2486" s="70"/>
      <c r="E2486" s="70"/>
      <c r="F2486" s="70"/>
      <c r="G2486" s="70"/>
      <c r="H2486" s="93"/>
      <c r="I2486" s="85"/>
      <c r="J2486" s="85"/>
      <c r="K2486" s="131"/>
      <c r="L2486" s="60"/>
    </row>
    <row r="2487" spans="1:28" x14ac:dyDescent="0.15">
      <c r="A2487" s="166"/>
      <c r="B2487" s="82"/>
      <c r="C2487" s="70"/>
      <c r="D2487" s="70"/>
      <c r="E2487" s="70"/>
      <c r="F2487" s="70"/>
      <c r="G2487" s="70"/>
      <c r="H2487" s="93"/>
      <c r="I2487" s="85"/>
      <c r="J2487" s="85"/>
      <c r="K2487" s="131"/>
      <c r="L2487" s="60"/>
    </row>
    <row r="2488" spans="1:28" x14ac:dyDescent="0.15">
      <c r="A2488" s="166"/>
      <c r="B2488" s="93"/>
      <c r="C2488" s="70"/>
      <c r="D2488" s="70"/>
      <c r="E2488" s="70"/>
      <c r="F2488" s="70"/>
      <c r="G2488" s="70"/>
      <c r="H2488" s="93"/>
      <c r="I2488" s="85"/>
      <c r="J2488" s="85"/>
      <c r="K2488" s="131"/>
      <c r="L2488" s="60"/>
      <c r="M2488" s="33"/>
    </row>
    <row r="2489" spans="1:28" x14ac:dyDescent="0.15">
      <c r="A2489" s="166"/>
      <c r="B2489" s="93"/>
      <c r="C2489" s="70"/>
      <c r="D2489" s="70"/>
      <c r="E2489" s="70"/>
      <c r="F2489" s="70"/>
      <c r="G2489" s="70"/>
      <c r="H2489" s="93"/>
      <c r="I2489" s="85"/>
      <c r="J2489" s="85"/>
      <c r="K2489" s="131"/>
      <c r="L2489" s="60"/>
      <c r="M2489" s="33"/>
    </row>
    <row r="2490" spans="1:28" x14ac:dyDescent="0.15">
      <c r="A2490" s="166"/>
      <c r="B2490" s="93"/>
      <c r="C2490" s="70"/>
      <c r="D2490" s="70"/>
      <c r="E2490" s="70"/>
      <c r="F2490" s="70"/>
      <c r="G2490" s="70"/>
      <c r="H2490" s="93"/>
      <c r="I2490" s="85"/>
      <c r="J2490" s="85"/>
      <c r="K2490" s="131"/>
      <c r="L2490" s="60"/>
      <c r="M2490" s="33"/>
    </row>
    <row r="2491" spans="1:28" x14ac:dyDescent="0.15">
      <c r="A2491" s="166"/>
      <c r="B2491" s="93"/>
      <c r="C2491" s="70"/>
      <c r="D2491" s="70"/>
      <c r="E2491" s="70"/>
      <c r="F2491" s="70"/>
      <c r="G2491" s="70"/>
      <c r="H2491" s="93"/>
      <c r="I2491" s="85"/>
      <c r="J2491" s="85"/>
      <c r="K2491" s="131"/>
      <c r="L2491" s="60"/>
      <c r="M2491" s="33"/>
    </row>
    <row r="2492" spans="1:28" x14ac:dyDescent="0.15">
      <c r="A2492" s="166"/>
      <c r="B2492" s="82"/>
      <c r="C2492" s="70"/>
      <c r="D2492" s="70"/>
      <c r="E2492" s="70"/>
      <c r="F2492" s="70"/>
      <c r="G2492" s="70"/>
      <c r="H2492" s="93"/>
      <c r="I2492" s="85"/>
      <c r="J2492" s="85"/>
      <c r="K2492" s="131"/>
      <c r="L2492" s="60"/>
    </row>
    <row r="2493" spans="1:28" x14ac:dyDescent="0.15">
      <c r="A2493" s="166"/>
      <c r="B2493" s="93"/>
      <c r="C2493" s="70"/>
      <c r="D2493" s="70"/>
      <c r="E2493" s="70"/>
      <c r="F2493" s="70"/>
      <c r="G2493" s="70"/>
      <c r="H2493" s="93"/>
      <c r="I2493" s="85"/>
      <c r="J2493" s="110"/>
      <c r="K2493" s="131"/>
      <c r="L2493" s="60"/>
      <c r="M2493" s="33"/>
    </row>
    <row r="2494" spans="1:28" s="37" customFormat="1" x14ac:dyDescent="0.15">
      <c r="A2494" s="166"/>
      <c r="B2494" s="82"/>
      <c r="C2494" s="70"/>
      <c r="D2494" s="70"/>
      <c r="E2494" s="70"/>
      <c r="F2494" s="70"/>
      <c r="G2494" s="70"/>
      <c r="H2494" s="93"/>
      <c r="I2494" s="85"/>
      <c r="J2494" s="85"/>
      <c r="K2494" s="131"/>
      <c r="L2494" s="60"/>
      <c r="M2494" s="49"/>
      <c r="Q2494" s="3"/>
      <c r="R2494" s="3"/>
      <c r="S2494" s="3"/>
      <c r="T2494" s="3"/>
      <c r="U2494" s="3"/>
      <c r="V2494" s="3"/>
      <c r="W2494" s="3"/>
      <c r="X2494" s="3"/>
      <c r="Y2494" s="3"/>
      <c r="Z2494" s="4"/>
      <c r="AA2494"/>
      <c r="AB2494"/>
    </row>
    <row r="2495" spans="1:28" s="37" customFormat="1" x14ac:dyDescent="0.15">
      <c r="A2495" s="166"/>
      <c r="B2495" s="82"/>
      <c r="C2495" s="70"/>
      <c r="D2495" s="70"/>
      <c r="E2495" s="70"/>
      <c r="F2495" s="70"/>
      <c r="G2495" s="70"/>
      <c r="H2495" s="93"/>
      <c r="I2495" s="85"/>
      <c r="J2495" s="85"/>
      <c r="K2495" s="131"/>
      <c r="L2495" s="60"/>
      <c r="M2495" s="49"/>
      <c r="Q2495" s="3"/>
      <c r="R2495" s="3"/>
      <c r="S2495" s="3"/>
      <c r="T2495" s="3"/>
      <c r="U2495" s="3"/>
      <c r="V2495" s="3"/>
      <c r="W2495" s="3"/>
      <c r="X2495" s="3"/>
      <c r="Y2495" s="3"/>
      <c r="Z2495" s="4"/>
      <c r="AA2495"/>
      <c r="AB2495"/>
    </row>
    <row r="2496" spans="1:28" s="37" customFormat="1" x14ac:dyDescent="0.15">
      <c r="A2496" s="166"/>
      <c r="B2496" s="82"/>
      <c r="C2496" s="70"/>
      <c r="D2496" s="70"/>
      <c r="E2496" s="70"/>
      <c r="F2496" s="70"/>
      <c r="G2496" s="70"/>
      <c r="H2496" s="93"/>
      <c r="I2496" s="85"/>
      <c r="J2496" s="85"/>
      <c r="K2496" s="131"/>
      <c r="L2496" s="60"/>
      <c r="M2496" s="49"/>
      <c r="Q2496" s="3"/>
      <c r="R2496" s="3"/>
      <c r="S2496" s="3"/>
      <c r="T2496" s="3"/>
      <c r="U2496" s="3"/>
      <c r="V2496" s="3"/>
      <c r="W2496" s="3"/>
      <c r="X2496" s="3"/>
      <c r="Y2496" s="3"/>
      <c r="Z2496" s="4"/>
      <c r="AA2496"/>
      <c r="AB2496"/>
    </row>
    <row r="2497" spans="1:28" s="37" customFormat="1" x14ac:dyDescent="0.15">
      <c r="A2497" s="166"/>
      <c r="B2497" s="82"/>
      <c r="C2497" s="70"/>
      <c r="D2497" s="70"/>
      <c r="E2497" s="70"/>
      <c r="F2497" s="70"/>
      <c r="G2497" s="70"/>
      <c r="H2497" s="93"/>
      <c r="I2497" s="85"/>
      <c r="J2497" s="85"/>
      <c r="K2497" s="131"/>
      <c r="L2497" s="60"/>
      <c r="M2497" s="49"/>
      <c r="Q2497" s="3"/>
      <c r="R2497" s="3"/>
      <c r="S2497" s="3"/>
      <c r="T2497" s="3"/>
      <c r="U2497" s="3"/>
      <c r="V2497" s="3"/>
      <c r="W2497" s="3"/>
      <c r="X2497" s="3"/>
      <c r="Y2497" s="3"/>
      <c r="Z2497" s="4"/>
      <c r="AA2497"/>
      <c r="AB2497"/>
    </row>
    <row r="2498" spans="1:28" s="37" customFormat="1" x14ac:dyDescent="0.15">
      <c r="A2498" s="166"/>
      <c r="B2498" s="93"/>
      <c r="C2498" s="70"/>
      <c r="D2498" s="70"/>
      <c r="E2498" s="70"/>
      <c r="F2498" s="70"/>
      <c r="G2498" s="70"/>
      <c r="H2498" s="93"/>
      <c r="I2498" s="85"/>
      <c r="J2498" s="85"/>
      <c r="K2498" s="131"/>
      <c r="L2498" s="60"/>
      <c r="M2498" s="33"/>
      <c r="Q2498" s="3"/>
      <c r="R2498" s="3"/>
      <c r="S2498" s="3"/>
      <c r="T2498" s="3"/>
      <c r="U2498" s="3"/>
      <c r="V2498" s="3"/>
      <c r="W2498" s="3"/>
      <c r="X2498" s="3"/>
      <c r="Y2498" s="3"/>
      <c r="Z2498" s="4"/>
      <c r="AA2498"/>
      <c r="AB2498"/>
    </row>
    <row r="2499" spans="1:28" s="37" customFormat="1" x14ac:dyDescent="0.15">
      <c r="A2499" s="166"/>
      <c r="B2499" s="93"/>
      <c r="C2499" s="70"/>
      <c r="D2499" s="70"/>
      <c r="E2499" s="70"/>
      <c r="F2499" s="70"/>
      <c r="G2499" s="70"/>
      <c r="H2499" s="93"/>
      <c r="I2499" s="85"/>
      <c r="J2499" s="110"/>
      <c r="K2499" s="131"/>
      <c r="L2499" s="60"/>
      <c r="M2499" s="33"/>
      <c r="Q2499" s="3"/>
      <c r="R2499" s="3"/>
      <c r="S2499" s="3"/>
      <c r="T2499" s="3"/>
      <c r="U2499" s="3"/>
      <c r="V2499" s="3"/>
      <c r="W2499" s="3"/>
      <c r="X2499" s="3"/>
      <c r="Y2499" s="3"/>
      <c r="Z2499" s="4"/>
      <c r="AA2499"/>
      <c r="AB2499"/>
    </row>
    <row r="2500" spans="1:28" s="37" customFormat="1" x14ac:dyDescent="0.15">
      <c r="A2500" s="166"/>
      <c r="B2500" s="82"/>
      <c r="C2500" s="70"/>
      <c r="D2500" s="70"/>
      <c r="E2500" s="70"/>
      <c r="F2500" s="70"/>
      <c r="G2500" s="70"/>
      <c r="H2500" s="93"/>
      <c r="I2500" s="85"/>
      <c r="J2500" s="85"/>
      <c r="K2500" s="131"/>
      <c r="L2500" s="60"/>
      <c r="M2500" s="49"/>
      <c r="Q2500" s="3"/>
      <c r="R2500" s="3"/>
      <c r="S2500" s="3"/>
      <c r="T2500" s="3"/>
      <c r="U2500" s="3"/>
      <c r="V2500" s="3"/>
      <c r="W2500" s="3"/>
      <c r="X2500" s="3"/>
      <c r="Y2500" s="3"/>
      <c r="Z2500" s="4"/>
      <c r="AA2500"/>
      <c r="AB2500"/>
    </row>
    <row r="2501" spans="1:28" s="37" customFormat="1" x14ac:dyDescent="0.15">
      <c r="A2501" s="166"/>
      <c r="B2501" s="82"/>
      <c r="C2501" s="70"/>
      <c r="D2501" s="70"/>
      <c r="E2501" s="70"/>
      <c r="F2501" s="70"/>
      <c r="G2501" s="70"/>
      <c r="H2501" s="93"/>
      <c r="I2501" s="85"/>
      <c r="J2501" s="85"/>
      <c r="K2501" s="131"/>
      <c r="L2501" s="60"/>
      <c r="M2501" s="33"/>
      <c r="Q2501" s="3"/>
      <c r="R2501" s="3"/>
      <c r="S2501" s="3"/>
      <c r="T2501" s="3"/>
      <c r="U2501" s="3"/>
      <c r="V2501" s="3"/>
      <c r="W2501" s="3"/>
      <c r="X2501" s="3"/>
      <c r="Y2501" s="3"/>
      <c r="Z2501" s="4"/>
      <c r="AA2501"/>
      <c r="AB2501"/>
    </row>
    <row r="2502" spans="1:28" s="37" customFormat="1" x14ac:dyDescent="0.15">
      <c r="A2502" s="166"/>
      <c r="B2502" s="82"/>
      <c r="C2502" s="70"/>
      <c r="D2502" s="70"/>
      <c r="E2502" s="70"/>
      <c r="F2502" s="70"/>
      <c r="G2502" s="70"/>
      <c r="H2502" s="93"/>
      <c r="I2502" s="85"/>
      <c r="J2502" s="85"/>
      <c r="K2502" s="131"/>
      <c r="L2502" s="60"/>
      <c r="M2502" s="49"/>
      <c r="Q2502" s="3"/>
      <c r="R2502" s="3"/>
      <c r="S2502" s="3"/>
      <c r="T2502" s="3"/>
      <c r="U2502" s="3"/>
      <c r="V2502" s="3"/>
      <c r="W2502" s="3"/>
      <c r="X2502" s="3"/>
      <c r="Y2502" s="3"/>
      <c r="Z2502" s="4"/>
      <c r="AA2502"/>
      <c r="AB2502"/>
    </row>
    <row r="2503" spans="1:28" s="37" customFormat="1" x14ac:dyDescent="0.15">
      <c r="A2503" s="166"/>
      <c r="B2503" s="82"/>
      <c r="C2503" s="70"/>
      <c r="D2503" s="70"/>
      <c r="E2503" s="70"/>
      <c r="F2503" s="70"/>
      <c r="G2503" s="70"/>
      <c r="H2503" s="93"/>
      <c r="I2503" s="85"/>
      <c r="J2503" s="85"/>
      <c r="K2503" s="131"/>
      <c r="L2503" s="60"/>
      <c r="M2503" s="49"/>
      <c r="Q2503" s="3"/>
      <c r="R2503" s="3"/>
      <c r="S2503" s="3"/>
      <c r="T2503" s="3"/>
      <c r="U2503" s="3"/>
      <c r="V2503" s="3"/>
      <c r="W2503" s="3"/>
      <c r="X2503" s="3"/>
      <c r="Y2503" s="3"/>
      <c r="Z2503" s="4"/>
      <c r="AA2503"/>
      <c r="AB2503"/>
    </row>
    <row r="2504" spans="1:28" s="37" customFormat="1" x14ac:dyDescent="0.15">
      <c r="A2504" s="166"/>
      <c r="B2504" s="82"/>
      <c r="C2504" s="70"/>
      <c r="D2504" s="70"/>
      <c r="E2504" s="70"/>
      <c r="F2504" s="70"/>
      <c r="G2504" s="70"/>
      <c r="H2504" s="93"/>
      <c r="I2504" s="85"/>
      <c r="J2504" s="85"/>
      <c r="K2504" s="131"/>
      <c r="L2504" s="60"/>
      <c r="M2504" s="49"/>
      <c r="Q2504" s="3"/>
      <c r="R2504" s="3"/>
      <c r="S2504" s="3"/>
      <c r="T2504" s="3"/>
      <c r="U2504" s="3"/>
      <c r="V2504" s="3"/>
      <c r="W2504" s="3"/>
      <c r="X2504" s="3"/>
      <c r="Y2504" s="3"/>
      <c r="Z2504" s="4"/>
      <c r="AA2504"/>
      <c r="AB2504"/>
    </row>
    <row r="2505" spans="1:28" s="37" customFormat="1" x14ac:dyDescent="0.15">
      <c r="A2505" s="166"/>
      <c r="B2505" s="82"/>
      <c r="C2505" s="70"/>
      <c r="D2505" s="70"/>
      <c r="E2505" s="70"/>
      <c r="F2505" s="70"/>
      <c r="G2505" s="70"/>
      <c r="H2505" s="93"/>
      <c r="I2505" s="85"/>
      <c r="J2505" s="85"/>
      <c r="K2505" s="131"/>
      <c r="L2505" s="60"/>
      <c r="M2505" s="49"/>
      <c r="Q2505" s="3"/>
      <c r="R2505" s="3"/>
      <c r="S2505" s="3"/>
      <c r="T2505" s="3"/>
      <c r="U2505" s="3"/>
      <c r="V2505" s="3"/>
      <c r="W2505" s="3"/>
      <c r="X2505" s="3"/>
      <c r="Y2505" s="3"/>
      <c r="Z2505" s="4"/>
      <c r="AA2505"/>
      <c r="AB2505"/>
    </row>
    <row r="2506" spans="1:28" s="37" customFormat="1" x14ac:dyDescent="0.15">
      <c r="A2506" s="166"/>
      <c r="B2506" s="93"/>
      <c r="C2506" s="70"/>
      <c r="D2506" s="70"/>
      <c r="E2506" s="70"/>
      <c r="F2506" s="70"/>
      <c r="G2506" s="70"/>
      <c r="H2506" s="93"/>
      <c r="I2506" s="85"/>
      <c r="J2506" s="85"/>
      <c r="K2506" s="131"/>
      <c r="L2506" s="60"/>
      <c r="M2506" s="33"/>
      <c r="Q2506" s="3"/>
      <c r="R2506" s="3"/>
      <c r="S2506" s="3"/>
      <c r="T2506" s="3"/>
      <c r="U2506" s="3"/>
      <c r="V2506" s="3"/>
      <c r="W2506" s="3"/>
      <c r="X2506" s="3"/>
      <c r="Y2506" s="3"/>
      <c r="Z2506" s="4"/>
      <c r="AA2506"/>
      <c r="AB2506"/>
    </row>
    <row r="2507" spans="1:28" s="37" customFormat="1" ht="16" x14ac:dyDescent="0.2">
      <c r="A2507" s="166"/>
      <c r="B2507" s="82"/>
      <c r="C2507" s="70"/>
      <c r="D2507" s="70"/>
      <c r="E2507" s="70"/>
      <c r="F2507" s="70"/>
      <c r="G2507" s="70"/>
      <c r="H2507" s="93"/>
      <c r="I2507" s="85"/>
      <c r="J2507" s="85"/>
      <c r="K2507" s="131"/>
      <c r="L2507" s="60"/>
      <c r="M2507" s="33"/>
      <c r="N2507" s="48"/>
      <c r="Q2507" s="3"/>
      <c r="R2507" s="3"/>
      <c r="S2507" s="3"/>
      <c r="T2507" s="3"/>
      <c r="U2507" s="3"/>
      <c r="V2507" s="3"/>
      <c r="W2507" s="3"/>
      <c r="X2507" s="3"/>
      <c r="Y2507" s="3"/>
      <c r="Z2507" s="4"/>
      <c r="AA2507"/>
      <c r="AB2507"/>
    </row>
    <row r="2508" spans="1:28" s="37" customFormat="1" x14ac:dyDescent="0.15">
      <c r="A2508" s="166"/>
      <c r="B2508" s="82"/>
      <c r="C2508" s="70"/>
      <c r="D2508" s="70"/>
      <c r="E2508" s="70"/>
      <c r="F2508" s="70"/>
      <c r="G2508" s="70"/>
      <c r="H2508" s="93"/>
      <c r="I2508" s="85"/>
      <c r="J2508" s="85"/>
      <c r="K2508" s="131"/>
      <c r="L2508" s="60"/>
      <c r="M2508" s="33"/>
      <c r="Q2508" s="3"/>
      <c r="R2508" s="3"/>
      <c r="S2508" s="3"/>
      <c r="T2508" s="3"/>
      <c r="U2508" s="3"/>
      <c r="V2508" s="3"/>
      <c r="W2508" s="3"/>
      <c r="X2508" s="3"/>
      <c r="Y2508" s="3"/>
      <c r="Z2508" s="4"/>
      <c r="AA2508"/>
      <c r="AB2508"/>
    </row>
    <row r="2509" spans="1:28" s="37" customFormat="1" x14ac:dyDescent="0.15">
      <c r="A2509" s="166"/>
      <c r="B2509" s="82"/>
      <c r="C2509" s="70"/>
      <c r="D2509" s="70"/>
      <c r="E2509" s="70"/>
      <c r="F2509" s="70"/>
      <c r="G2509" s="70"/>
      <c r="H2509" s="93"/>
      <c r="I2509" s="85"/>
      <c r="J2509" s="85"/>
      <c r="K2509" s="131"/>
      <c r="L2509" s="60"/>
      <c r="M2509" s="33"/>
      <c r="Q2509" s="3"/>
      <c r="R2509" s="3"/>
      <c r="S2509" s="3"/>
      <c r="T2509" s="3"/>
      <c r="U2509" s="3"/>
      <c r="V2509" s="3"/>
      <c r="W2509" s="3"/>
      <c r="X2509" s="3"/>
      <c r="Y2509" s="3"/>
      <c r="Z2509" s="4"/>
      <c r="AA2509"/>
      <c r="AB2509"/>
    </row>
    <row r="2510" spans="1:28" s="37" customFormat="1" ht="16" x14ac:dyDescent="0.2">
      <c r="A2510" s="166"/>
      <c r="B2510" s="82"/>
      <c r="C2510" s="70"/>
      <c r="D2510" s="70"/>
      <c r="E2510" s="70"/>
      <c r="F2510" s="70"/>
      <c r="G2510" s="70"/>
      <c r="H2510" s="93"/>
      <c r="I2510" s="85"/>
      <c r="J2510" s="85"/>
      <c r="K2510" s="131"/>
      <c r="L2510" s="60"/>
      <c r="M2510" s="33"/>
      <c r="N2510" s="48"/>
      <c r="Q2510" s="3"/>
      <c r="R2510" s="3"/>
      <c r="S2510" s="3"/>
      <c r="T2510" s="3"/>
      <c r="U2510" s="3"/>
      <c r="V2510" s="3"/>
      <c r="W2510" s="3"/>
      <c r="X2510" s="3"/>
      <c r="Y2510" s="3"/>
      <c r="Z2510" s="4"/>
      <c r="AA2510"/>
      <c r="AB2510"/>
    </row>
    <row r="2511" spans="1:28" s="37" customFormat="1" x14ac:dyDescent="0.15">
      <c r="A2511" s="166"/>
      <c r="B2511" s="82"/>
      <c r="C2511" s="70"/>
      <c r="D2511" s="70"/>
      <c r="E2511" s="70"/>
      <c r="F2511" s="70"/>
      <c r="G2511" s="70"/>
      <c r="H2511" s="93"/>
      <c r="I2511" s="85"/>
      <c r="J2511" s="85"/>
      <c r="K2511" s="131"/>
      <c r="L2511" s="60"/>
      <c r="M2511" s="33"/>
      <c r="Q2511" s="3"/>
      <c r="R2511" s="3"/>
      <c r="S2511" s="3"/>
      <c r="T2511" s="3"/>
      <c r="U2511" s="3"/>
      <c r="V2511" s="3"/>
      <c r="W2511" s="3"/>
      <c r="X2511" s="3"/>
      <c r="Y2511" s="3"/>
      <c r="Z2511" s="4"/>
      <c r="AA2511"/>
      <c r="AB2511"/>
    </row>
    <row r="2512" spans="1:28" s="37" customFormat="1" x14ac:dyDescent="0.15">
      <c r="A2512" s="166"/>
      <c r="B2512" s="93"/>
      <c r="C2512" s="70"/>
      <c r="D2512" s="70"/>
      <c r="E2512" s="70"/>
      <c r="F2512" s="70"/>
      <c r="G2512" s="70"/>
      <c r="H2512" s="93"/>
      <c r="I2512" s="85"/>
      <c r="J2512" s="85"/>
      <c r="K2512" s="141"/>
      <c r="L2512" s="60"/>
      <c r="M2512" s="33"/>
      <c r="Q2512" s="3"/>
      <c r="R2512" s="3"/>
      <c r="S2512" s="3"/>
      <c r="T2512" s="3"/>
      <c r="U2512" s="3"/>
      <c r="V2512" s="3"/>
      <c r="W2512" s="3"/>
      <c r="X2512" s="3"/>
      <c r="Y2512" s="3"/>
      <c r="Z2512" s="4"/>
      <c r="AA2512"/>
      <c r="AB2512"/>
    </row>
    <row r="2513" spans="1:28" s="37" customFormat="1" x14ac:dyDescent="0.15">
      <c r="A2513" s="166"/>
      <c r="B2513" s="82"/>
      <c r="C2513" s="70"/>
      <c r="D2513" s="70"/>
      <c r="E2513" s="70"/>
      <c r="F2513" s="70"/>
      <c r="G2513" s="70"/>
      <c r="H2513" s="93"/>
      <c r="I2513" s="85"/>
      <c r="J2513" s="85"/>
      <c r="K2513" s="131"/>
      <c r="L2513" s="60"/>
      <c r="M2513" s="33"/>
      <c r="Q2513" s="3"/>
      <c r="R2513" s="3"/>
      <c r="S2513" s="3"/>
      <c r="T2513" s="3"/>
      <c r="U2513" s="3"/>
      <c r="V2513" s="3"/>
      <c r="W2513" s="3"/>
      <c r="X2513" s="3"/>
      <c r="Y2513" s="3"/>
      <c r="Z2513" s="4"/>
      <c r="AA2513"/>
      <c r="AB2513"/>
    </row>
    <row r="2514" spans="1:28" s="37" customFormat="1" x14ac:dyDescent="0.15">
      <c r="A2514" s="166"/>
      <c r="B2514" s="82"/>
      <c r="C2514" s="70"/>
      <c r="D2514" s="70"/>
      <c r="E2514" s="70"/>
      <c r="F2514" s="70"/>
      <c r="G2514" s="70"/>
      <c r="H2514" s="93"/>
      <c r="I2514" s="85"/>
      <c r="J2514" s="85"/>
      <c r="K2514" s="141"/>
      <c r="L2514" s="60"/>
      <c r="M2514" s="33"/>
      <c r="Q2514" s="3"/>
      <c r="R2514" s="3"/>
      <c r="S2514" s="3"/>
      <c r="T2514" s="3"/>
      <c r="U2514" s="3"/>
      <c r="V2514" s="3"/>
      <c r="W2514" s="3"/>
      <c r="X2514" s="3"/>
      <c r="Y2514" s="3"/>
      <c r="Z2514" s="4"/>
      <c r="AA2514"/>
      <c r="AB2514"/>
    </row>
    <row r="2515" spans="1:28" s="37" customFormat="1" x14ac:dyDescent="0.15">
      <c r="A2515" s="166"/>
      <c r="B2515" s="82"/>
      <c r="C2515" s="70"/>
      <c r="D2515" s="70"/>
      <c r="E2515" s="70"/>
      <c r="F2515" s="70"/>
      <c r="G2515" s="70"/>
      <c r="H2515" s="93"/>
      <c r="I2515" s="85"/>
      <c r="J2515" s="85"/>
      <c r="K2515" s="131"/>
      <c r="L2515" s="60"/>
      <c r="M2515" s="33"/>
      <c r="Q2515" s="3"/>
      <c r="R2515" s="3"/>
      <c r="S2515" s="3"/>
      <c r="T2515" s="3"/>
      <c r="U2515" s="3"/>
      <c r="V2515" s="3"/>
      <c r="W2515" s="3"/>
      <c r="X2515" s="3"/>
      <c r="Y2515" s="3"/>
      <c r="Z2515" s="4"/>
      <c r="AA2515"/>
      <c r="AB2515"/>
    </row>
    <row r="2516" spans="1:28" s="37" customFormat="1" x14ac:dyDescent="0.15">
      <c r="A2516" s="166"/>
      <c r="B2516" s="82"/>
      <c r="C2516" s="70"/>
      <c r="D2516" s="70"/>
      <c r="E2516" s="70"/>
      <c r="F2516" s="70"/>
      <c r="G2516" s="70"/>
      <c r="H2516" s="93"/>
      <c r="I2516" s="85"/>
      <c r="J2516" s="85"/>
      <c r="K2516" s="141"/>
      <c r="L2516" s="60"/>
      <c r="M2516" s="33"/>
      <c r="Q2516" s="3"/>
      <c r="R2516" s="3"/>
      <c r="S2516" s="3"/>
      <c r="T2516" s="3"/>
      <c r="U2516" s="3"/>
      <c r="V2516" s="3"/>
      <c r="W2516" s="3"/>
      <c r="X2516" s="3"/>
      <c r="Y2516" s="3"/>
      <c r="Z2516" s="4"/>
      <c r="AA2516"/>
      <c r="AB2516"/>
    </row>
    <row r="2517" spans="1:28" s="37" customFormat="1" ht="16" x14ac:dyDescent="0.2">
      <c r="A2517" s="166"/>
      <c r="B2517" s="93"/>
      <c r="C2517" s="70"/>
      <c r="D2517" s="70"/>
      <c r="E2517" s="70"/>
      <c r="F2517" s="70"/>
      <c r="G2517" s="70"/>
      <c r="H2517" s="93"/>
      <c r="I2517" s="85"/>
      <c r="J2517" s="85"/>
      <c r="K2517" s="141"/>
      <c r="L2517" s="60"/>
      <c r="M2517" s="33"/>
      <c r="N2517" s="48"/>
      <c r="Q2517" s="3"/>
      <c r="R2517" s="3"/>
      <c r="S2517" s="3"/>
      <c r="T2517" s="3"/>
      <c r="U2517" s="3"/>
      <c r="V2517" s="3"/>
      <c r="W2517" s="3"/>
      <c r="X2517" s="3"/>
      <c r="Y2517" s="3"/>
      <c r="Z2517" s="4"/>
      <c r="AA2517"/>
      <c r="AB2517"/>
    </row>
    <row r="2518" spans="1:28" s="37" customFormat="1" ht="16" x14ac:dyDescent="0.2">
      <c r="A2518" s="166"/>
      <c r="B2518" s="82"/>
      <c r="C2518" s="70"/>
      <c r="D2518" s="70"/>
      <c r="E2518" s="70"/>
      <c r="F2518" s="70"/>
      <c r="G2518" s="70"/>
      <c r="H2518" s="93"/>
      <c r="I2518" s="85"/>
      <c r="J2518" s="85"/>
      <c r="K2518" s="141"/>
      <c r="L2518" s="60"/>
      <c r="M2518" s="33"/>
      <c r="N2518" s="48"/>
      <c r="Q2518" s="3"/>
      <c r="R2518" s="3"/>
      <c r="S2518" s="3"/>
      <c r="T2518" s="3"/>
      <c r="U2518" s="3"/>
      <c r="V2518" s="3"/>
      <c r="W2518" s="3"/>
      <c r="X2518" s="3"/>
      <c r="Y2518" s="3"/>
      <c r="Z2518" s="4"/>
      <c r="AA2518"/>
      <c r="AB2518"/>
    </row>
    <row r="2519" spans="1:28" s="37" customFormat="1" ht="16" x14ac:dyDescent="0.2">
      <c r="A2519" s="166"/>
      <c r="B2519" s="82"/>
      <c r="C2519" s="70"/>
      <c r="D2519" s="70"/>
      <c r="E2519" s="70"/>
      <c r="F2519" s="70"/>
      <c r="G2519" s="70"/>
      <c r="H2519" s="93"/>
      <c r="I2519" s="85"/>
      <c r="J2519" s="85"/>
      <c r="K2519" s="141"/>
      <c r="L2519" s="60"/>
      <c r="M2519" s="33"/>
      <c r="N2519" s="48"/>
      <c r="Q2519" s="3"/>
      <c r="R2519" s="3"/>
      <c r="S2519" s="3"/>
      <c r="T2519" s="3"/>
      <c r="U2519" s="3"/>
      <c r="V2519" s="3"/>
      <c r="W2519" s="3"/>
      <c r="X2519" s="3"/>
      <c r="Y2519" s="3"/>
      <c r="Z2519" s="4"/>
      <c r="AA2519"/>
      <c r="AB2519"/>
    </row>
    <row r="2520" spans="1:28" s="37" customFormat="1" ht="16" x14ac:dyDescent="0.2">
      <c r="A2520" s="166"/>
      <c r="B2520" s="82"/>
      <c r="C2520" s="70"/>
      <c r="D2520" s="70"/>
      <c r="E2520" s="70"/>
      <c r="F2520" s="70"/>
      <c r="G2520" s="70"/>
      <c r="H2520" s="93"/>
      <c r="I2520" s="85"/>
      <c r="J2520" s="85"/>
      <c r="K2520" s="141"/>
      <c r="L2520" s="60"/>
      <c r="M2520" s="33"/>
      <c r="N2520" s="48"/>
      <c r="Q2520" s="3"/>
      <c r="R2520" s="3"/>
      <c r="S2520" s="3"/>
      <c r="T2520" s="3"/>
      <c r="U2520" s="3"/>
      <c r="V2520" s="3"/>
      <c r="W2520" s="3"/>
      <c r="X2520" s="3"/>
      <c r="Y2520" s="3"/>
      <c r="Z2520" s="4"/>
      <c r="AA2520"/>
      <c r="AB2520"/>
    </row>
    <row r="2521" spans="1:28" s="37" customFormat="1" ht="16" x14ac:dyDescent="0.2">
      <c r="A2521" s="166"/>
      <c r="B2521" s="82"/>
      <c r="C2521" s="70"/>
      <c r="D2521" s="70"/>
      <c r="E2521" s="70"/>
      <c r="F2521" s="70"/>
      <c r="G2521" s="70"/>
      <c r="H2521" s="93"/>
      <c r="I2521" s="85"/>
      <c r="J2521" s="85"/>
      <c r="K2521" s="141"/>
      <c r="L2521" s="60"/>
      <c r="M2521" s="33"/>
      <c r="N2521" s="48"/>
      <c r="Q2521" s="3"/>
      <c r="R2521" s="3"/>
      <c r="S2521" s="3"/>
      <c r="T2521" s="3"/>
      <c r="U2521" s="3"/>
      <c r="V2521" s="3"/>
      <c r="W2521" s="3"/>
      <c r="X2521" s="3"/>
      <c r="Y2521" s="3"/>
      <c r="Z2521" s="4"/>
      <c r="AA2521"/>
      <c r="AB2521"/>
    </row>
    <row r="2522" spans="1:28" s="37" customFormat="1" x14ac:dyDescent="0.15">
      <c r="A2522" s="166"/>
      <c r="B2522" s="82"/>
      <c r="C2522" s="70"/>
      <c r="D2522" s="70"/>
      <c r="E2522" s="70"/>
      <c r="F2522" s="70"/>
      <c r="G2522" s="70"/>
      <c r="H2522" s="93"/>
      <c r="I2522" s="85"/>
      <c r="J2522" s="85"/>
      <c r="K2522" s="141"/>
      <c r="L2522" s="60"/>
      <c r="M2522" s="33"/>
      <c r="Q2522" s="3"/>
      <c r="R2522" s="3"/>
      <c r="S2522" s="3"/>
      <c r="T2522" s="3"/>
      <c r="U2522" s="3"/>
      <c r="V2522" s="3"/>
      <c r="W2522" s="3"/>
      <c r="X2522" s="3"/>
      <c r="Y2522" s="3"/>
      <c r="Z2522" s="4"/>
      <c r="AA2522"/>
      <c r="AB2522"/>
    </row>
    <row r="2523" spans="1:28" s="37" customFormat="1" x14ac:dyDescent="0.15">
      <c r="A2523" s="166"/>
      <c r="B2523" s="82"/>
      <c r="C2523" s="70"/>
      <c r="D2523" s="70"/>
      <c r="E2523" s="70"/>
      <c r="F2523" s="70"/>
      <c r="G2523" s="70"/>
      <c r="H2523" s="93"/>
      <c r="I2523" s="85"/>
      <c r="J2523" s="85"/>
      <c r="K2523" s="141"/>
      <c r="L2523" s="60"/>
      <c r="M2523" s="33"/>
      <c r="Q2523" s="3"/>
      <c r="R2523" s="3"/>
      <c r="S2523" s="3"/>
      <c r="T2523" s="3"/>
      <c r="U2523" s="3"/>
      <c r="V2523" s="3"/>
      <c r="W2523" s="3"/>
      <c r="X2523" s="3"/>
      <c r="Y2523" s="3"/>
      <c r="Z2523" s="4"/>
      <c r="AA2523"/>
      <c r="AB2523"/>
    </row>
    <row r="2524" spans="1:28" s="37" customFormat="1" ht="16" x14ac:dyDescent="0.2">
      <c r="A2524" s="166"/>
      <c r="B2524" s="93"/>
      <c r="C2524" s="70"/>
      <c r="D2524" s="70"/>
      <c r="E2524" s="70"/>
      <c r="F2524" s="70"/>
      <c r="G2524" s="70"/>
      <c r="H2524" s="93"/>
      <c r="I2524" s="85"/>
      <c r="J2524" s="85"/>
      <c r="K2524" s="141"/>
      <c r="L2524" s="60"/>
      <c r="M2524" s="33"/>
      <c r="N2524" s="48"/>
      <c r="Q2524" s="3"/>
      <c r="R2524" s="3"/>
      <c r="S2524" s="3"/>
      <c r="T2524" s="3"/>
      <c r="U2524" s="3"/>
      <c r="V2524" s="3"/>
      <c r="W2524" s="3"/>
      <c r="X2524" s="3"/>
      <c r="Y2524" s="3"/>
      <c r="Z2524" s="4"/>
      <c r="AA2524"/>
      <c r="AB2524"/>
    </row>
    <row r="2525" spans="1:28" s="37" customFormat="1" ht="16" x14ac:dyDescent="0.2">
      <c r="A2525" s="166"/>
      <c r="B2525" s="82"/>
      <c r="C2525" s="70"/>
      <c r="D2525" s="70"/>
      <c r="E2525" s="70"/>
      <c r="F2525" s="70"/>
      <c r="G2525" s="70"/>
      <c r="H2525" s="93"/>
      <c r="I2525" s="85"/>
      <c r="J2525" s="85"/>
      <c r="K2525" s="141"/>
      <c r="L2525" s="60"/>
      <c r="M2525" s="33"/>
      <c r="N2525" s="48"/>
      <c r="Q2525" s="3"/>
      <c r="R2525" s="3"/>
      <c r="S2525" s="3"/>
      <c r="T2525" s="3"/>
      <c r="U2525" s="3"/>
      <c r="V2525" s="3"/>
      <c r="W2525" s="3"/>
      <c r="X2525" s="3"/>
      <c r="Y2525" s="3"/>
      <c r="Z2525" s="4"/>
      <c r="AA2525"/>
      <c r="AB2525"/>
    </row>
    <row r="2526" spans="1:28" x14ac:dyDescent="0.15">
      <c r="A2526" s="166"/>
      <c r="B2526" s="82"/>
      <c r="C2526" s="70"/>
      <c r="D2526" s="70"/>
      <c r="E2526" s="70"/>
      <c r="F2526" s="70"/>
      <c r="G2526" s="70"/>
      <c r="H2526" s="93"/>
      <c r="I2526" s="85"/>
      <c r="J2526" s="85"/>
      <c r="K2526" s="131"/>
      <c r="L2526" s="60"/>
      <c r="M2526" s="33"/>
    </row>
    <row r="2527" spans="1:28" x14ac:dyDescent="0.15">
      <c r="A2527" s="166"/>
      <c r="B2527" s="82"/>
      <c r="C2527" s="70"/>
      <c r="D2527" s="70"/>
      <c r="E2527" s="70"/>
      <c r="F2527" s="70"/>
      <c r="G2527" s="70"/>
      <c r="H2527" s="93"/>
      <c r="I2527" s="85"/>
      <c r="J2527" s="85"/>
      <c r="K2527" s="141"/>
      <c r="L2527" s="60"/>
      <c r="M2527" s="33"/>
    </row>
    <row r="2528" spans="1:28" x14ac:dyDescent="0.15">
      <c r="A2528" s="166"/>
      <c r="B2528" s="82"/>
      <c r="C2528" s="70"/>
      <c r="D2528" s="70"/>
      <c r="E2528" s="70"/>
      <c r="F2528" s="70"/>
      <c r="G2528" s="70"/>
      <c r="H2528" s="93"/>
      <c r="I2528" s="85"/>
      <c r="J2528" s="85"/>
      <c r="K2528" s="141"/>
      <c r="L2528" s="60"/>
      <c r="M2528" s="33"/>
    </row>
    <row r="2529" spans="1:28" ht="16" x14ac:dyDescent="0.2">
      <c r="A2529" s="166"/>
      <c r="B2529" s="82"/>
      <c r="C2529" s="70"/>
      <c r="D2529" s="70"/>
      <c r="E2529" s="70"/>
      <c r="F2529" s="70"/>
      <c r="G2529" s="70"/>
      <c r="H2529" s="93"/>
      <c r="I2529" s="85"/>
      <c r="J2529" s="85"/>
      <c r="K2529" s="141"/>
      <c r="L2529" s="60"/>
      <c r="M2529" s="33"/>
      <c r="N2529" s="48"/>
    </row>
    <row r="2530" spans="1:28" x14ac:dyDescent="0.15">
      <c r="A2530" s="166"/>
      <c r="B2530" s="82"/>
      <c r="C2530" s="70"/>
      <c r="D2530" s="70"/>
      <c r="E2530" s="70"/>
      <c r="F2530" s="70"/>
      <c r="G2530" s="70"/>
      <c r="H2530" s="93"/>
      <c r="I2530" s="85"/>
      <c r="J2530" s="85"/>
      <c r="K2530" s="131"/>
      <c r="L2530" s="60"/>
      <c r="M2530" s="33"/>
    </row>
    <row r="2531" spans="1:28" x14ac:dyDescent="0.15">
      <c r="A2531" s="166"/>
      <c r="B2531" s="82"/>
      <c r="C2531" s="70"/>
      <c r="D2531" s="70"/>
      <c r="E2531" s="70"/>
      <c r="F2531" s="70"/>
      <c r="G2531" s="70"/>
      <c r="H2531" s="93"/>
      <c r="I2531" s="85"/>
      <c r="J2531" s="85"/>
      <c r="K2531" s="141"/>
      <c r="L2531" s="60"/>
      <c r="M2531" s="33"/>
    </row>
    <row r="2532" spans="1:28" x14ac:dyDescent="0.15">
      <c r="A2532" s="166"/>
      <c r="B2532" s="82"/>
      <c r="C2532" s="70"/>
      <c r="D2532" s="70"/>
      <c r="E2532" s="70"/>
      <c r="F2532" s="70"/>
      <c r="G2532" s="70"/>
      <c r="H2532" s="93"/>
      <c r="I2532" s="85"/>
      <c r="J2532" s="85"/>
      <c r="K2532" s="141"/>
      <c r="L2532" s="60"/>
      <c r="M2532" s="33"/>
    </row>
    <row r="2533" spans="1:28" x14ac:dyDescent="0.15">
      <c r="A2533" s="166"/>
      <c r="B2533" s="82"/>
      <c r="C2533" s="70"/>
      <c r="D2533" s="70"/>
      <c r="E2533" s="70"/>
      <c r="F2533" s="70"/>
      <c r="G2533" s="70"/>
      <c r="H2533" s="93"/>
      <c r="I2533" s="85"/>
      <c r="J2533" s="85"/>
      <c r="K2533" s="131"/>
      <c r="L2533" s="60"/>
      <c r="M2533" s="33"/>
    </row>
    <row r="2534" spans="1:28" x14ac:dyDescent="0.15">
      <c r="A2534" s="166"/>
      <c r="B2534" s="82"/>
      <c r="C2534" s="70"/>
      <c r="D2534" s="70"/>
      <c r="E2534" s="70"/>
      <c r="F2534" s="70"/>
      <c r="G2534" s="70"/>
      <c r="H2534" s="93"/>
      <c r="I2534" s="85"/>
      <c r="J2534" s="85"/>
      <c r="K2534" s="131"/>
      <c r="L2534" s="60"/>
      <c r="M2534" s="33"/>
    </row>
    <row r="2535" spans="1:28" x14ac:dyDescent="0.15">
      <c r="A2535" s="166"/>
      <c r="B2535" s="82"/>
      <c r="C2535" s="70"/>
      <c r="D2535" s="70"/>
      <c r="E2535" s="70"/>
      <c r="F2535" s="70"/>
      <c r="G2535" s="70"/>
      <c r="H2535" s="93"/>
      <c r="I2535" s="85"/>
      <c r="J2535" s="85"/>
      <c r="K2535" s="131"/>
      <c r="L2535" s="60"/>
      <c r="M2535" s="33"/>
      <c r="S2535"/>
      <c r="T2535"/>
      <c r="U2535"/>
      <c r="V2535"/>
      <c r="W2535"/>
      <c r="X2535"/>
      <c r="Y2535"/>
      <c r="Z2535"/>
    </row>
    <row r="2536" spans="1:28" x14ac:dyDescent="0.15">
      <c r="A2536" s="166"/>
      <c r="B2536" s="82"/>
      <c r="C2536" s="70"/>
      <c r="D2536" s="70"/>
      <c r="E2536" s="70"/>
      <c r="F2536" s="70"/>
      <c r="G2536" s="70"/>
      <c r="H2536" s="93"/>
      <c r="I2536" s="85"/>
      <c r="J2536" s="85"/>
      <c r="K2536" s="131"/>
      <c r="L2536" s="60"/>
      <c r="M2536" s="33"/>
    </row>
    <row r="2537" spans="1:28" x14ac:dyDescent="0.15">
      <c r="A2537" s="166"/>
      <c r="B2537" s="82"/>
      <c r="C2537" s="70"/>
      <c r="D2537" s="70"/>
      <c r="E2537" s="70"/>
      <c r="F2537" s="70"/>
      <c r="G2537" s="70"/>
      <c r="H2537" s="93"/>
      <c r="I2537" s="85"/>
      <c r="J2537" s="85"/>
      <c r="K2537" s="131"/>
      <c r="L2537" s="60"/>
      <c r="M2537" s="33"/>
    </row>
    <row r="2538" spans="1:28" x14ac:dyDescent="0.15">
      <c r="A2538" s="166"/>
      <c r="B2538" s="82"/>
      <c r="C2538" s="70"/>
      <c r="D2538" s="70"/>
      <c r="E2538" s="70"/>
      <c r="F2538" s="70"/>
      <c r="G2538" s="70"/>
      <c r="H2538" s="93"/>
      <c r="I2538" s="85"/>
      <c r="J2538" s="85"/>
      <c r="K2538" s="131"/>
      <c r="L2538" s="60"/>
      <c r="M2538" s="33"/>
    </row>
    <row r="2539" spans="1:28" x14ac:dyDescent="0.15">
      <c r="A2539" s="166"/>
      <c r="B2539" s="82"/>
      <c r="C2539" s="70"/>
      <c r="D2539" s="70"/>
      <c r="E2539" s="70"/>
      <c r="F2539" s="70"/>
      <c r="G2539" s="70"/>
      <c r="H2539" s="93"/>
      <c r="I2539" s="85"/>
      <c r="J2539" s="85"/>
      <c r="K2539" s="131"/>
      <c r="L2539" s="60"/>
      <c r="M2539" s="33"/>
    </row>
    <row r="2540" spans="1:28" x14ac:dyDescent="0.15">
      <c r="A2540" s="166"/>
      <c r="B2540" s="82"/>
      <c r="C2540" s="70"/>
      <c r="D2540" s="70"/>
      <c r="E2540" s="70"/>
      <c r="F2540" s="70"/>
      <c r="G2540" s="70"/>
      <c r="H2540" s="93"/>
      <c r="I2540" s="85"/>
      <c r="J2540" s="85"/>
      <c r="K2540" s="141"/>
      <c r="L2540" s="60"/>
      <c r="M2540" s="33"/>
    </row>
    <row r="2541" spans="1:28" x14ac:dyDescent="0.15">
      <c r="A2541" s="166"/>
      <c r="B2541" s="82"/>
      <c r="C2541" s="70"/>
      <c r="D2541" s="70"/>
      <c r="E2541" s="70"/>
      <c r="F2541" s="70"/>
      <c r="G2541" s="70"/>
      <c r="H2541" s="93"/>
      <c r="I2541" s="85"/>
      <c r="J2541" s="85"/>
      <c r="K2541" s="141"/>
      <c r="L2541" s="60"/>
      <c r="M2541" s="33"/>
    </row>
    <row r="2542" spans="1:28" s="37" customFormat="1" x14ac:dyDescent="0.15">
      <c r="A2542" s="166"/>
      <c r="B2542" s="82"/>
      <c r="C2542" s="70"/>
      <c r="D2542" s="70"/>
      <c r="E2542" s="70"/>
      <c r="F2542" s="70"/>
      <c r="G2542" s="70"/>
      <c r="H2542" s="93"/>
      <c r="I2542" s="85"/>
      <c r="J2542" s="85"/>
      <c r="K2542" s="141"/>
      <c r="L2542" s="60"/>
      <c r="M2542" s="33"/>
      <c r="Q2542" s="3"/>
      <c r="R2542" s="3"/>
      <c r="S2542" s="3"/>
      <c r="T2542" s="3"/>
      <c r="U2542" s="3"/>
      <c r="V2542" s="3"/>
      <c r="W2542" s="3"/>
      <c r="X2542" s="3"/>
      <c r="Y2542" s="3"/>
      <c r="Z2542" s="4"/>
      <c r="AA2542"/>
      <c r="AB2542"/>
    </row>
    <row r="2543" spans="1:28" s="37" customFormat="1" x14ac:dyDescent="0.15">
      <c r="A2543" s="166"/>
      <c r="B2543" s="93"/>
      <c r="C2543" s="70"/>
      <c r="D2543" s="70"/>
      <c r="E2543" s="70"/>
      <c r="F2543" s="70"/>
      <c r="G2543" s="70"/>
      <c r="H2543" s="93"/>
      <c r="I2543" s="85"/>
      <c r="J2543" s="85"/>
      <c r="K2543" s="141"/>
      <c r="L2543" s="60"/>
      <c r="M2543" s="33"/>
      <c r="Q2543" s="3"/>
      <c r="R2543" s="3"/>
      <c r="S2543" s="3"/>
      <c r="T2543" s="3"/>
      <c r="U2543" s="3"/>
      <c r="V2543" s="3"/>
      <c r="W2543" s="3"/>
      <c r="X2543" s="3"/>
      <c r="Y2543" s="3"/>
      <c r="Z2543" s="4"/>
      <c r="AA2543"/>
      <c r="AB2543"/>
    </row>
    <row r="2544" spans="1:28" s="37" customFormat="1" x14ac:dyDescent="0.15">
      <c r="A2544" s="166"/>
      <c r="B2544" s="82"/>
      <c r="C2544" s="70"/>
      <c r="D2544" s="70"/>
      <c r="E2544" s="70"/>
      <c r="F2544" s="70"/>
      <c r="G2544" s="70"/>
      <c r="H2544" s="93"/>
      <c r="I2544" s="85"/>
      <c r="J2544" s="85"/>
      <c r="K2544" s="131"/>
      <c r="L2544" s="60"/>
      <c r="M2544" s="33"/>
      <c r="Q2544" s="3"/>
      <c r="R2544" s="3"/>
      <c r="S2544" s="3"/>
      <c r="T2544" s="3"/>
      <c r="U2544" s="3"/>
      <c r="V2544" s="3"/>
      <c r="W2544" s="3"/>
      <c r="X2544" s="3"/>
      <c r="Y2544" s="3"/>
      <c r="Z2544" s="4"/>
      <c r="AA2544"/>
      <c r="AB2544"/>
    </row>
    <row r="2545" spans="1:28" s="37" customFormat="1" x14ac:dyDescent="0.15">
      <c r="A2545" s="166"/>
      <c r="B2545" s="82"/>
      <c r="C2545" s="70"/>
      <c r="D2545" s="70"/>
      <c r="E2545" s="70"/>
      <c r="F2545" s="70"/>
      <c r="G2545" s="70"/>
      <c r="H2545" s="93"/>
      <c r="I2545" s="85"/>
      <c r="J2545" s="85"/>
      <c r="K2545" s="141"/>
      <c r="L2545" s="60"/>
      <c r="M2545" s="33"/>
      <c r="Q2545" s="3"/>
      <c r="R2545" s="3"/>
      <c r="S2545" s="3"/>
      <c r="T2545" s="3"/>
      <c r="U2545" s="3"/>
      <c r="V2545" s="3"/>
      <c r="W2545" s="3"/>
      <c r="X2545" s="3"/>
      <c r="Y2545" s="3"/>
      <c r="Z2545" s="4"/>
      <c r="AA2545"/>
      <c r="AB2545"/>
    </row>
    <row r="2546" spans="1:28" s="37" customFormat="1" x14ac:dyDescent="0.15">
      <c r="A2546" s="166"/>
      <c r="B2546" s="82"/>
      <c r="C2546" s="70"/>
      <c r="D2546" s="70"/>
      <c r="E2546" s="70"/>
      <c r="F2546" s="70"/>
      <c r="G2546" s="70"/>
      <c r="H2546" s="93"/>
      <c r="I2546" s="85"/>
      <c r="J2546" s="85"/>
      <c r="K2546" s="131"/>
      <c r="L2546" s="60"/>
      <c r="M2546" s="33"/>
      <c r="Q2546" s="3"/>
      <c r="R2546" s="3"/>
      <c r="S2546" s="3"/>
      <c r="T2546" s="3"/>
      <c r="U2546" s="3"/>
      <c r="V2546" s="3"/>
      <c r="W2546" s="3"/>
      <c r="X2546" s="3"/>
      <c r="Y2546" s="3"/>
      <c r="Z2546" s="4"/>
      <c r="AA2546"/>
      <c r="AB2546"/>
    </row>
    <row r="2547" spans="1:28" s="37" customFormat="1" ht="16" x14ac:dyDescent="0.2">
      <c r="A2547" s="166"/>
      <c r="B2547" s="82"/>
      <c r="C2547" s="70"/>
      <c r="D2547" s="70"/>
      <c r="E2547" s="70"/>
      <c r="F2547" s="70"/>
      <c r="G2547" s="70"/>
      <c r="H2547" s="93"/>
      <c r="I2547" s="85"/>
      <c r="J2547" s="85"/>
      <c r="K2547" s="141"/>
      <c r="L2547" s="60"/>
      <c r="M2547" s="33"/>
      <c r="N2547" s="48"/>
      <c r="Q2547" s="3"/>
      <c r="R2547" s="3"/>
      <c r="S2547" s="3"/>
      <c r="T2547" s="3"/>
      <c r="U2547" s="3"/>
      <c r="V2547" s="3"/>
      <c r="W2547" s="3"/>
      <c r="X2547" s="3"/>
      <c r="Y2547" s="3"/>
      <c r="Z2547" s="4"/>
      <c r="AA2547"/>
      <c r="AB2547"/>
    </row>
    <row r="2548" spans="1:28" s="37" customFormat="1" x14ac:dyDescent="0.15">
      <c r="A2548" s="166"/>
      <c r="B2548" s="82"/>
      <c r="C2548" s="70"/>
      <c r="D2548" s="70"/>
      <c r="E2548" s="70"/>
      <c r="F2548" s="70"/>
      <c r="G2548" s="70"/>
      <c r="H2548" s="93"/>
      <c r="I2548" s="85"/>
      <c r="J2548" s="85"/>
      <c r="K2548" s="141"/>
      <c r="L2548" s="60"/>
      <c r="M2548" s="33"/>
      <c r="Q2548" s="3"/>
      <c r="R2548" s="3"/>
      <c r="S2548" s="3"/>
      <c r="T2548" s="3"/>
      <c r="U2548" s="3"/>
      <c r="V2548" s="3"/>
      <c r="W2548" s="3"/>
      <c r="X2548" s="3"/>
      <c r="Y2548" s="3"/>
      <c r="Z2548" s="4"/>
      <c r="AA2548"/>
      <c r="AB2548"/>
    </row>
    <row r="2549" spans="1:28" s="37" customFormat="1" x14ac:dyDescent="0.15">
      <c r="A2549" s="166"/>
      <c r="B2549" s="82"/>
      <c r="C2549" s="70"/>
      <c r="D2549" s="70"/>
      <c r="E2549" s="70"/>
      <c r="F2549" s="70"/>
      <c r="G2549" s="70"/>
      <c r="H2549" s="93"/>
      <c r="I2549" s="85"/>
      <c r="J2549" s="85"/>
      <c r="K2549" s="131"/>
      <c r="L2549" s="60"/>
      <c r="M2549" s="33"/>
      <c r="Q2549" s="3"/>
      <c r="R2549" s="3"/>
      <c r="S2549" s="3"/>
      <c r="T2549" s="3"/>
      <c r="U2549" s="3"/>
      <c r="V2549" s="3"/>
      <c r="W2549" s="3"/>
      <c r="X2549" s="3"/>
      <c r="Y2549" s="3"/>
      <c r="Z2549" s="4"/>
      <c r="AA2549"/>
      <c r="AB2549"/>
    </row>
    <row r="2550" spans="1:28" s="37" customFormat="1" x14ac:dyDescent="0.15">
      <c r="A2550" s="166"/>
      <c r="B2550" s="82"/>
      <c r="C2550" s="70"/>
      <c r="D2550" s="70"/>
      <c r="E2550" s="70"/>
      <c r="F2550" s="70"/>
      <c r="G2550" s="70"/>
      <c r="H2550" s="93"/>
      <c r="I2550" s="85"/>
      <c r="J2550" s="85"/>
      <c r="K2550" s="141"/>
      <c r="L2550" s="60"/>
      <c r="M2550" s="33"/>
      <c r="Q2550" s="3"/>
      <c r="R2550" s="3"/>
      <c r="S2550" s="3"/>
      <c r="T2550" s="3"/>
      <c r="U2550" s="3"/>
      <c r="V2550" s="3"/>
      <c r="W2550" s="3"/>
      <c r="X2550" s="3"/>
      <c r="Y2550" s="3"/>
      <c r="Z2550" s="4"/>
      <c r="AA2550"/>
      <c r="AB2550"/>
    </row>
    <row r="2551" spans="1:28" s="37" customFormat="1" x14ac:dyDescent="0.15">
      <c r="A2551" s="166"/>
      <c r="B2551" s="82"/>
      <c r="C2551" s="70"/>
      <c r="D2551" s="70"/>
      <c r="E2551" s="70"/>
      <c r="F2551" s="70"/>
      <c r="G2551" s="70"/>
      <c r="H2551" s="93"/>
      <c r="I2551" s="85"/>
      <c r="J2551" s="85"/>
      <c r="K2551" s="131"/>
      <c r="L2551" s="60"/>
      <c r="M2551" s="33"/>
      <c r="Q2551" s="3"/>
      <c r="R2551" s="3"/>
      <c r="S2551" s="3"/>
      <c r="T2551" s="3"/>
      <c r="U2551" s="3"/>
      <c r="V2551" s="3"/>
      <c r="W2551" s="3"/>
      <c r="X2551" s="3"/>
      <c r="Y2551" s="3"/>
      <c r="Z2551" s="4"/>
      <c r="AA2551"/>
      <c r="AB2551"/>
    </row>
    <row r="2552" spans="1:28" s="37" customFormat="1" x14ac:dyDescent="0.15">
      <c r="A2552" s="166"/>
      <c r="B2552" s="82"/>
      <c r="C2552" s="70"/>
      <c r="D2552" s="70"/>
      <c r="E2552" s="70"/>
      <c r="F2552" s="70"/>
      <c r="G2552" s="70"/>
      <c r="H2552" s="93"/>
      <c r="I2552" s="85"/>
      <c r="J2552" s="85"/>
      <c r="K2552" s="141"/>
      <c r="L2552" s="60"/>
      <c r="M2552" s="33"/>
      <c r="Q2552" s="3"/>
      <c r="R2552" s="3"/>
      <c r="S2552" s="3"/>
      <c r="T2552" s="3"/>
      <c r="U2552" s="3"/>
      <c r="V2552" s="3"/>
      <c r="W2552" s="3"/>
      <c r="X2552" s="3"/>
      <c r="Y2552" s="3"/>
      <c r="Z2552" s="4"/>
      <c r="AA2552"/>
      <c r="AB2552"/>
    </row>
    <row r="2553" spans="1:28" s="37" customFormat="1" x14ac:dyDescent="0.15">
      <c r="A2553" s="166"/>
      <c r="B2553" s="82"/>
      <c r="C2553" s="70"/>
      <c r="D2553" s="70"/>
      <c r="E2553" s="70"/>
      <c r="F2553" s="70"/>
      <c r="G2553" s="70"/>
      <c r="H2553" s="93"/>
      <c r="I2553" s="85"/>
      <c r="J2553" s="85"/>
      <c r="K2553" s="131"/>
      <c r="L2553" s="60"/>
      <c r="M2553" s="33"/>
      <c r="Q2553" s="3"/>
      <c r="R2553" s="3"/>
      <c r="S2553" s="3"/>
      <c r="T2553" s="3"/>
      <c r="U2553" s="3"/>
      <c r="V2553" s="3"/>
      <c r="W2553" s="3"/>
      <c r="X2553" s="3"/>
      <c r="Y2553" s="3"/>
      <c r="Z2553" s="4"/>
      <c r="AA2553"/>
      <c r="AB2553"/>
    </row>
    <row r="2554" spans="1:28" s="37" customFormat="1" x14ac:dyDescent="0.15">
      <c r="A2554" s="166"/>
      <c r="B2554" s="82"/>
      <c r="C2554" s="70"/>
      <c r="D2554" s="70"/>
      <c r="E2554" s="70"/>
      <c r="F2554" s="70"/>
      <c r="G2554" s="70"/>
      <c r="H2554" s="93"/>
      <c r="I2554" s="85"/>
      <c r="J2554" s="85"/>
      <c r="K2554" s="141"/>
      <c r="L2554" s="60"/>
      <c r="M2554" s="33"/>
      <c r="Q2554" s="3"/>
      <c r="R2554" s="3"/>
      <c r="S2554" s="3"/>
      <c r="T2554" s="3"/>
      <c r="U2554" s="3"/>
      <c r="V2554" s="3"/>
      <c r="W2554" s="3"/>
      <c r="X2554" s="3"/>
      <c r="Y2554" s="3"/>
      <c r="Z2554" s="4"/>
      <c r="AA2554"/>
      <c r="AB2554"/>
    </row>
    <row r="2555" spans="1:28" s="37" customFormat="1" x14ac:dyDescent="0.15">
      <c r="A2555" s="166"/>
      <c r="B2555" s="82"/>
      <c r="C2555" s="70"/>
      <c r="D2555" s="70"/>
      <c r="E2555" s="70"/>
      <c r="F2555" s="70"/>
      <c r="G2555" s="70"/>
      <c r="H2555" s="93"/>
      <c r="I2555" s="85"/>
      <c r="J2555" s="85"/>
      <c r="K2555" s="131"/>
      <c r="L2555" s="60"/>
      <c r="M2555" s="33"/>
      <c r="Q2555" s="3"/>
      <c r="R2555" s="3"/>
      <c r="S2555" s="3"/>
      <c r="T2555" s="3"/>
      <c r="U2555" s="3"/>
      <c r="V2555" s="3"/>
      <c r="W2555" s="3"/>
      <c r="X2555" s="3"/>
      <c r="Y2555" s="3"/>
      <c r="Z2555" s="4"/>
      <c r="AA2555"/>
      <c r="AB2555"/>
    </row>
    <row r="2556" spans="1:28" s="37" customFormat="1" x14ac:dyDescent="0.15">
      <c r="A2556" s="166"/>
      <c r="B2556" s="82"/>
      <c r="C2556" s="70"/>
      <c r="D2556" s="70"/>
      <c r="E2556" s="70"/>
      <c r="F2556" s="70"/>
      <c r="G2556" s="70"/>
      <c r="H2556" s="93"/>
      <c r="I2556" s="85"/>
      <c r="J2556" s="85"/>
      <c r="K2556" s="131"/>
      <c r="L2556" s="60"/>
      <c r="M2556" s="49"/>
      <c r="Q2556" s="3"/>
      <c r="R2556" s="3"/>
      <c r="S2556" s="3"/>
      <c r="T2556" s="3"/>
      <c r="U2556" s="3"/>
      <c r="V2556" s="3"/>
      <c r="W2556" s="3"/>
      <c r="X2556" s="3"/>
      <c r="Y2556" s="3"/>
      <c r="Z2556" s="4"/>
      <c r="AA2556"/>
      <c r="AB2556"/>
    </row>
    <row r="2557" spans="1:28" s="37" customFormat="1" x14ac:dyDescent="0.15">
      <c r="A2557" s="166"/>
      <c r="B2557" s="82"/>
      <c r="C2557" s="70"/>
      <c r="D2557" s="70"/>
      <c r="E2557" s="70"/>
      <c r="F2557" s="70"/>
      <c r="G2557" s="70"/>
      <c r="H2557" s="93"/>
      <c r="I2557" s="85"/>
      <c r="J2557" s="85"/>
      <c r="K2557" s="131"/>
      <c r="L2557" s="60"/>
      <c r="M2557" s="49"/>
      <c r="Q2557" s="3"/>
      <c r="R2557" s="3"/>
      <c r="S2557" s="3"/>
      <c r="T2557" s="3"/>
      <c r="U2557" s="3"/>
      <c r="V2557" s="3"/>
      <c r="W2557" s="3"/>
      <c r="X2557" s="3"/>
      <c r="Y2557" s="3"/>
      <c r="Z2557" s="4"/>
      <c r="AA2557"/>
      <c r="AB2557"/>
    </row>
    <row r="2558" spans="1:28" s="37" customFormat="1" x14ac:dyDescent="0.15">
      <c r="A2558" s="166"/>
      <c r="B2558" s="82"/>
      <c r="C2558" s="70"/>
      <c r="D2558" s="70"/>
      <c r="E2558" s="70"/>
      <c r="F2558" s="70"/>
      <c r="G2558" s="70"/>
      <c r="H2558" s="93"/>
      <c r="I2558" s="85"/>
      <c r="J2558" s="85"/>
      <c r="K2558" s="131"/>
      <c r="L2558" s="60"/>
      <c r="M2558" s="49"/>
      <c r="Q2558" s="3"/>
      <c r="R2558" s="3"/>
      <c r="S2558" s="3"/>
      <c r="T2558" s="3"/>
      <c r="U2558" s="3"/>
      <c r="V2558" s="3"/>
      <c r="W2558" s="3"/>
      <c r="X2558" s="3"/>
      <c r="Y2558" s="3"/>
      <c r="Z2558" s="4"/>
      <c r="AA2558"/>
      <c r="AB2558"/>
    </row>
    <row r="2559" spans="1:28" s="37" customFormat="1" x14ac:dyDescent="0.15">
      <c r="A2559" s="166"/>
      <c r="B2559" s="82"/>
      <c r="C2559" s="70"/>
      <c r="D2559" s="70"/>
      <c r="E2559" s="70"/>
      <c r="F2559" s="70"/>
      <c r="G2559" s="70"/>
      <c r="H2559" s="93"/>
      <c r="I2559" s="85"/>
      <c r="J2559" s="85"/>
      <c r="K2559" s="131"/>
      <c r="L2559" s="60"/>
      <c r="M2559" s="49"/>
      <c r="Q2559" s="3"/>
      <c r="R2559" s="3"/>
      <c r="S2559" s="3"/>
      <c r="T2559" s="3"/>
      <c r="U2559" s="3"/>
      <c r="V2559" s="3"/>
      <c r="W2559" s="3"/>
      <c r="X2559" s="3"/>
      <c r="Y2559" s="3"/>
      <c r="Z2559" s="4"/>
      <c r="AA2559"/>
      <c r="AB2559"/>
    </row>
    <row r="2560" spans="1:28" s="37" customFormat="1" ht="16" x14ac:dyDescent="0.2">
      <c r="A2560" s="166"/>
      <c r="B2560" s="82"/>
      <c r="C2560" s="70"/>
      <c r="D2560" s="70"/>
      <c r="E2560" s="70"/>
      <c r="F2560" s="70"/>
      <c r="G2560" s="70"/>
      <c r="H2560" s="93"/>
      <c r="I2560" s="85"/>
      <c r="J2560" s="85"/>
      <c r="K2560" s="131"/>
      <c r="L2560" s="60"/>
      <c r="M2560" s="49"/>
      <c r="N2560" s="48"/>
      <c r="Q2560" s="3"/>
      <c r="R2560" s="3"/>
      <c r="S2560" s="3"/>
      <c r="T2560" s="3"/>
      <c r="U2560" s="3"/>
      <c r="V2560" s="3"/>
      <c r="W2560" s="3"/>
      <c r="X2560" s="3"/>
      <c r="Y2560" s="3"/>
      <c r="Z2560" s="4"/>
      <c r="AA2560"/>
      <c r="AB2560"/>
    </row>
    <row r="2561" spans="1:28" s="37" customFormat="1" x14ac:dyDescent="0.15">
      <c r="A2561" s="166"/>
      <c r="B2561" s="82"/>
      <c r="C2561" s="70"/>
      <c r="D2561" s="70"/>
      <c r="E2561" s="70"/>
      <c r="F2561" s="70"/>
      <c r="G2561" s="70"/>
      <c r="H2561" s="93"/>
      <c r="I2561" s="85"/>
      <c r="J2561" s="85"/>
      <c r="K2561" s="131"/>
      <c r="L2561" s="67"/>
      <c r="M2561" s="49"/>
      <c r="Q2561" s="3"/>
      <c r="R2561" s="3"/>
      <c r="S2561" s="3"/>
      <c r="T2561" s="3"/>
      <c r="U2561" s="3"/>
      <c r="V2561" s="3"/>
      <c r="W2561" s="3"/>
      <c r="X2561" s="3"/>
      <c r="Y2561" s="3"/>
      <c r="Z2561" s="4"/>
      <c r="AA2561"/>
      <c r="AB2561"/>
    </row>
    <row r="2562" spans="1:28" s="37" customFormat="1" x14ac:dyDescent="0.15">
      <c r="A2562" s="166"/>
      <c r="B2562" s="82"/>
      <c r="C2562" s="70"/>
      <c r="D2562" s="70"/>
      <c r="E2562" s="70"/>
      <c r="F2562" s="70"/>
      <c r="G2562" s="70"/>
      <c r="H2562" s="93"/>
      <c r="I2562" s="85"/>
      <c r="J2562" s="85"/>
      <c r="K2562" s="131"/>
      <c r="L2562" s="60"/>
      <c r="M2562" s="49"/>
      <c r="Q2562" s="3"/>
      <c r="R2562" s="3"/>
      <c r="S2562" s="3"/>
      <c r="T2562" s="3"/>
      <c r="U2562" s="3"/>
      <c r="V2562" s="3"/>
      <c r="W2562" s="3"/>
      <c r="X2562" s="3"/>
      <c r="Y2562" s="3"/>
      <c r="Z2562" s="4"/>
      <c r="AA2562"/>
      <c r="AB2562"/>
    </row>
    <row r="2563" spans="1:28" s="37" customFormat="1" x14ac:dyDescent="0.15">
      <c r="A2563" s="166"/>
      <c r="B2563" s="82"/>
      <c r="C2563" s="70"/>
      <c r="D2563" s="70"/>
      <c r="E2563" s="70"/>
      <c r="F2563" s="70"/>
      <c r="G2563" s="70"/>
      <c r="H2563" s="93"/>
      <c r="I2563" s="85"/>
      <c r="J2563" s="85"/>
      <c r="K2563" s="131"/>
      <c r="L2563" s="60"/>
      <c r="M2563" s="49"/>
      <c r="Q2563" s="3"/>
      <c r="R2563" s="3"/>
      <c r="S2563" s="3"/>
      <c r="T2563" s="3"/>
      <c r="U2563" s="3"/>
      <c r="V2563" s="3"/>
      <c r="W2563" s="3"/>
      <c r="X2563" s="3"/>
      <c r="Y2563" s="3"/>
      <c r="Z2563" s="4"/>
      <c r="AA2563"/>
      <c r="AB2563"/>
    </row>
    <row r="2564" spans="1:28" s="37" customFormat="1" x14ac:dyDescent="0.15">
      <c r="A2564" s="166"/>
      <c r="B2564" s="82"/>
      <c r="C2564" s="70"/>
      <c r="D2564" s="70"/>
      <c r="E2564" s="70"/>
      <c r="F2564" s="70"/>
      <c r="G2564" s="70"/>
      <c r="H2564" s="93"/>
      <c r="I2564" s="85"/>
      <c r="J2564" s="85"/>
      <c r="K2564" s="131"/>
      <c r="L2564" s="60"/>
      <c r="M2564" s="49"/>
      <c r="Q2564" s="3"/>
      <c r="R2564" s="3"/>
      <c r="S2564" s="3"/>
      <c r="T2564" s="3"/>
      <c r="U2564" s="3"/>
      <c r="V2564" s="3"/>
      <c r="W2564" s="3"/>
      <c r="X2564" s="3"/>
      <c r="Y2564" s="3"/>
      <c r="Z2564" s="4"/>
      <c r="AA2564"/>
      <c r="AB2564"/>
    </row>
    <row r="2565" spans="1:28" s="37" customFormat="1" x14ac:dyDescent="0.15">
      <c r="A2565" s="166"/>
      <c r="B2565" s="82"/>
      <c r="C2565" s="70"/>
      <c r="D2565" s="70"/>
      <c r="E2565" s="70"/>
      <c r="F2565" s="70"/>
      <c r="G2565" s="70"/>
      <c r="H2565" s="93"/>
      <c r="I2565" s="85"/>
      <c r="J2565" s="85"/>
      <c r="K2565" s="131"/>
      <c r="L2565" s="60"/>
      <c r="M2565" s="49"/>
      <c r="Q2565" s="3"/>
      <c r="R2565" s="3"/>
      <c r="S2565" s="3"/>
      <c r="T2565" s="3"/>
      <c r="U2565" s="3"/>
      <c r="V2565" s="3"/>
      <c r="W2565" s="3"/>
      <c r="X2565" s="3"/>
      <c r="Y2565" s="3"/>
      <c r="Z2565" s="4"/>
      <c r="AA2565"/>
      <c r="AB2565"/>
    </row>
    <row r="2566" spans="1:28" s="37" customFormat="1" ht="16" x14ac:dyDescent="0.2">
      <c r="A2566" s="166"/>
      <c r="B2566" s="82"/>
      <c r="C2566" s="70"/>
      <c r="D2566" s="70"/>
      <c r="E2566" s="70"/>
      <c r="F2566" s="70"/>
      <c r="G2566" s="70"/>
      <c r="H2566" s="93"/>
      <c r="I2566" s="85"/>
      <c r="J2566" s="85"/>
      <c r="K2566" s="131"/>
      <c r="L2566" s="60"/>
      <c r="M2566" s="49"/>
      <c r="N2566" s="48"/>
      <c r="Q2566" s="3"/>
      <c r="R2566" s="3"/>
      <c r="S2566" s="3"/>
      <c r="T2566" s="3"/>
      <c r="U2566" s="3"/>
      <c r="V2566" s="3"/>
      <c r="W2566" s="3"/>
      <c r="X2566" s="3"/>
      <c r="Y2566" s="3"/>
      <c r="Z2566" s="4"/>
      <c r="AA2566"/>
      <c r="AB2566"/>
    </row>
    <row r="2567" spans="1:28" s="37" customFormat="1" x14ac:dyDescent="0.15">
      <c r="A2567" s="166"/>
      <c r="B2567" s="82"/>
      <c r="C2567" s="70"/>
      <c r="D2567" s="70"/>
      <c r="E2567" s="70"/>
      <c r="F2567" s="70"/>
      <c r="G2567" s="70"/>
      <c r="H2567" s="93"/>
      <c r="I2567" s="85"/>
      <c r="J2567" s="85"/>
      <c r="K2567" s="131"/>
      <c r="L2567" s="60"/>
      <c r="M2567" s="49"/>
      <c r="Q2567" s="3"/>
      <c r="R2567" s="3"/>
      <c r="S2567" s="3"/>
      <c r="T2567" s="3"/>
      <c r="U2567" s="3"/>
      <c r="V2567" s="3"/>
      <c r="W2567" s="3"/>
      <c r="X2567" s="3"/>
      <c r="Y2567" s="3"/>
      <c r="Z2567" s="4"/>
      <c r="AA2567"/>
      <c r="AB2567"/>
    </row>
    <row r="2568" spans="1:28" s="37" customFormat="1" ht="16" x14ac:dyDescent="0.2">
      <c r="A2568" s="166"/>
      <c r="B2568" s="82"/>
      <c r="C2568" s="70"/>
      <c r="D2568" s="70"/>
      <c r="E2568" s="70"/>
      <c r="F2568" s="70"/>
      <c r="G2568" s="70"/>
      <c r="H2568" s="93"/>
      <c r="I2568" s="85"/>
      <c r="J2568" s="85"/>
      <c r="K2568" s="141"/>
      <c r="L2568" s="60"/>
      <c r="M2568" s="49"/>
      <c r="N2568" s="48"/>
      <c r="Q2568" s="3"/>
      <c r="R2568" s="3"/>
      <c r="S2568" s="3"/>
      <c r="T2568" s="3"/>
      <c r="U2568" s="3"/>
      <c r="V2568" s="3"/>
      <c r="W2568" s="3"/>
      <c r="X2568" s="3"/>
      <c r="Y2568" s="3"/>
      <c r="Z2568" s="4"/>
      <c r="AA2568"/>
      <c r="AB2568"/>
    </row>
    <row r="2569" spans="1:28" s="37" customFormat="1" x14ac:dyDescent="0.15">
      <c r="A2569" s="166"/>
      <c r="B2569" s="82"/>
      <c r="C2569" s="70"/>
      <c r="D2569" s="70"/>
      <c r="E2569" s="70"/>
      <c r="F2569" s="70"/>
      <c r="G2569" s="70"/>
      <c r="H2569" s="93"/>
      <c r="I2569" s="85"/>
      <c r="J2569" s="85"/>
      <c r="K2569" s="131"/>
      <c r="L2569" s="60"/>
      <c r="M2569" s="49"/>
      <c r="Q2569" s="3"/>
      <c r="R2569" s="3"/>
      <c r="S2569" s="3"/>
      <c r="T2569" s="3"/>
      <c r="U2569" s="3"/>
      <c r="V2569" s="3"/>
      <c r="W2569" s="3"/>
      <c r="X2569" s="3"/>
      <c r="Y2569" s="3"/>
      <c r="Z2569" s="4"/>
      <c r="AA2569"/>
      <c r="AB2569"/>
    </row>
    <row r="2570" spans="1:28" s="37" customFormat="1" ht="16" x14ac:dyDescent="0.2">
      <c r="A2570" s="166"/>
      <c r="B2570" s="82"/>
      <c r="C2570" s="70"/>
      <c r="D2570" s="70"/>
      <c r="E2570" s="70"/>
      <c r="F2570" s="70"/>
      <c r="G2570" s="70"/>
      <c r="H2570" s="93"/>
      <c r="I2570" s="85"/>
      <c r="J2570" s="85"/>
      <c r="K2570" s="131"/>
      <c r="L2570" s="60"/>
      <c r="M2570" s="49"/>
      <c r="N2570" s="48"/>
      <c r="Q2570" s="3"/>
      <c r="R2570" s="3"/>
      <c r="S2570" s="3"/>
      <c r="T2570" s="3"/>
      <c r="U2570" s="3"/>
      <c r="V2570" s="3"/>
      <c r="W2570" s="3"/>
      <c r="X2570" s="3"/>
      <c r="Y2570" s="3"/>
      <c r="Z2570" s="4"/>
      <c r="AA2570"/>
      <c r="AB2570"/>
    </row>
    <row r="2571" spans="1:28" s="37" customFormat="1" x14ac:dyDescent="0.15">
      <c r="A2571" s="166"/>
      <c r="B2571" s="96"/>
      <c r="C2571" s="70"/>
      <c r="D2571" s="70"/>
      <c r="E2571" s="70"/>
      <c r="F2571" s="70"/>
      <c r="G2571" s="70"/>
      <c r="H2571" s="93"/>
      <c r="I2571" s="85"/>
      <c r="J2571" s="110"/>
      <c r="K2571" s="134"/>
      <c r="L2571" s="63"/>
      <c r="M2571" s="33"/>
      <c r="Q2571" s="3"/>
      <c r="R2571" s="3"/>
      <c r="S2571" s="3"/>
      <c r="T2571" s="3"/>
      <c r="U2571" s="3"/>
      <c r="V2571" s="3"/>
      <c r="W2571" s="3"/>
      <c r="X2571" s="3"/>
      <c r="Y2571" s="3"/>
      <c r="Z2571" s="4"/>
      <c r="AA2571"/>
      <c r="AB2571"/>
    </row>
    <row r="2572" spans="1:28" s="37" customFormat="1" x14ac:dyDescent="0.15">
      <c r="A2572" s="166"/>
      <c r="B2572" s="82"/>
      <c r="C2572" s="70"/>
      <c r="D2572" s="70"/>
      <c r="E2572" s="70"/>
      <c r="F2572" s="70"/>
      <c r="G2572" s="70"/>
      <c r="H2572" s="93"/>
      <c r="I2572" s="85"/>
      <c r="J2572" s="85"/>
      <c r="K2572" s="141"/>
      <c r="L2572" s="60"/>
      <c r="M2572" s="49"/>
      <c r="Q2572" s="3"/>
      <c r="R2572" s="3"/>
      <c r="S2572" s="3"/>
      <c r="T2572" s="3"/>
      <c r="U2572" s="3"/>
      <c r="V2572" s="3"/>
      <c r="W2572" s="3"/>
      <c r="X2572" s="3"/>
      <c r="Y2572" s="3"/>
      <c r="Z2572" s="4"/>
      <c r="AA2572"/>
      <c r="AB2572"/>
    </row>
    <row r="2573" spans="1:28" s="37" customFormat="1" x14ac:dyDescent="0.15">
      <c r="A2573" s="166"/>
      <c r="B2573" s="82"/>
      <c r="C2573" s="70"/>
      <c r="D2573" s="70"/>
      <c r="E2573" s="70"/>
      <c r="F2573" s="70"/>
      <c r="G2573" s="70"/>
      <c r="H2573" s="93"/>
      <c r="I2573" s="85"/>
      <c r="J2573" s="85"/>
      <c r="K2573" s="131"/>
      <c r="L2573" s="60"/>
      <c r="M2573" s="49"/>
      <c r="Q2573" s="3"/>
      <c r="R2573" s="3"/>
      <c r="S2573" s="3"/>
      <c r="T2573" s="3"/>
      <c r="U2573" s="3"/>
      <c r="V2573" s="3"/>
      <c r="W2573" s="3"/>
      <c r="X2573" s="3"/>
      <c r="Y2573" s="3"/>
      <c r="Z2573" s="4"/>
      <c r="AA2573"/>
      <c r="AB2573"/>
    </row>
    <row r="2574" spans="1:28" s="37" customFormat="1" x14ac:dyDescent="0.15">
      <c r="A2574" s="166"/>
      <c r="B2574" s="82"/>
      <c r="C2574" s="70"/>
      <c r="D2574" s="70"/>
      <c r="E2574" s="70"/>
      <c r="F2574" s="70"/>
      <c r="G2574" s="70"/>
      <c r="H2574" s="93"/>
      <c r="I2574" s="85"/>
      <c r="J2574" s="85"/>
      <c r="K2574" s="131"/>
      <c r="L2574" s="60"/>
      <c r="M2574" s="49"/>
      <c r="Q2574" s="3"/>
      <c r="R2574" s="3"/>
      <c r="S2574" s="3"/>
      <c r="T2574" s="3"/>
      <c r="U2574" s="3"/>
      <c r="V2574" s="3"/>
      <c r="W2574" s="3"/>
      <c r="X2574" s="3"/>
      <c r="Y2574" s="3"/>
      <c r="Z2574" s="4"/>
      <c r="AA2574"/>
      <c r="AB2574"/>
    </row>
    <row r="2575" spans="1:28" s="37" customFormat="1" x14ac:dyDescent="0.15">
      <c r="A2575" s="166"/>
      <c r="B2575" s="82"/>
      <c r="C2575" s="70"/>
      <c r="D2575" s="70"/>
      <c r="E2575" s="70"/>
      <c r="F2575" s="70"/>
      <c r="G2575" s="70"/>
      <c r="H2575" s="93"/>
      <c r="I2575" s="85"/>
      <c r="J2575" s="85"/>
      <c r="K2575" s="131"/>
      <c r="L2575" s="60"/>
      <c r="M2575" s="49"/>
      <c r="Q2575" s="3"/>
      <c r="R2575" s="3"/>
      <c r="S2575" s="3"/>
      <c r="T2575" s="3"/>
      <c r="U2575" s="3"/>
      <c r="V2575" s="3"/>
      <c r="W2575" s="3"/>
      <c r="X2575" s="3"/>
      <c r="Y2575" s="3"/>
      <c r="Z2575" s="4"/>
      <c r="AA2575"/>
      <c r="AB2575"/>
    </row>
    <row r="2576" spans="1:28" s="37" customFormat="1" x14ac:dyDescent="0.15">
      <c r="A2576" s="166"/>
      <c r="B2576" s="82"/>
      <c r="C2576" s="70"/>
      <c r="D2576" s="70"/>
      <c r="E2576" s="70"/>
      <c r="F2576" s="70"/>
      <c r="G2576" s="70"/>
      <c r="H2576" s="93"/>
      <c r="I2576" s="85"/>
      <c r="J2576" s="85"/>
      <c r="K2576" s="131"/>
      <c r="L2576" s="60"/>
      <c r="M2576" s="49"/>
      <c r="Q2576" s="3"/>
      <c r="R2576" s="3"/>
      <c r="S2576" s="3"/>
      <c r="T2576" s="3"/>
      <c r="U2576" s="3"/>
      <c r="V2576" s="3"/>
      <c r="W2576" s="3"/>
      <c r="X2576" s="3"/>
      <c r="Y2576" s="3"/>
      <c r="Z2576" s="4"/>
      <c r="AA2576"/>
      <c r="AB2576"/>
    </row>
    <row r="2577" spans="1:28" s="37" customFormat="1" x14ac:dyDescent="0.15">
      <c r="A2577" s="166"/>
      <c r="B2577" s="82"/>
      <c r="C2577" s="70"/>
      <c r="D2577" s="70"/>
      <c r="E2577" s="70"/>
      <c r="F2577" s="70"/>
      <c r="G2577" s="70"/>
      <c r="H2577" s="93"/>
      <c r="I2577" s="85"/>
      <c r="J2577" s="85"/>
      <c r="K2577" s="131"/>
      <c r="L2577" s="60"/>
      <c r="M2577" s="49"/>
      <c r="Q2577" s="3"/>
      <c r="R2577" s="3"/>
      <c r="S2577" s="3"/>
      <c r="T2577" s="3"/>
      <c r="U2577" s="3"/>
      <c r="V2577" s="3"/>
      <c r="W2577" s="3"/>
      <c r="X2577" s="3"/>
      <c r="Y2577" s="3"/>
      <c r="Z2577" s="4"/>
      <c r="AA2577"/>
      <c r="AB2577"/>
    </row>
    <row r="2578" spans="1:28" s="37" customFormat="1" ht="16" x14ac:dyDescent="0.2">
      <c r="A2578" s="166"/>
      <c r="B2578" s="82"/>
      <c r="C2578" s="70"/>
      <c r="D2578" s="70"/>
      <c r="E2578" s="70"/>
      <c r="F2578" s="70"/>
      <c r="G2578" s="70"/>
      <c r="H2578" s="93"/>
      <c r="I2578" s="85"/>
      <c r="J2578" s="85"/>
      <c r="K2578" s="131"/>
      <c r="L2578" s="60"/>
      <c r="M2578" s="49"/>
      <c r="N2578" s="48"/>
      <c r="Q2578" s="3"/>
      <c r="R2578" s="3"/>
      <c r="S2578" s="3"/>
      <c r="T2578" s="3"/>
      <c r="U2578" s="3"/>
      <c r="V2578" s="3"/>
      <c r="W2578" s="3"/>
      <c r="X2578" s="3"/>
      <c r="Y2578" s="3"/>
      <c r="Z2578" s="4"/>
      <c r="AA2578"/>
      <c r="AB2578"/>
    </row>
    <row r="2579" spans="1:28" s="37" customFormat="1" x14ac:dyDescent="0.15">
      <c r="A2579" s="166"/>
      <c r="B2579" s="82"/>
      <c r="C2579" s="70"/>
      <c r="D2579" s="70"/>
      <c r="E2579" s="70"/>
      <c r="F2579" s="70"/>
      <c r="G2579" s="70"/>
      <c r="H2579" s="93"/>
      <c r="I2579" s="85"/>
      <c r="J2579" s="85"/>
      <c r="K2579" s="131"/>
      <c r="L2579" s="60"/>
      <c r="M2579" s="49"/>
      <c r="Q2579" s="3"/>
      <c r="R2579" s="3"/>
      <c r="S2579" s="3"/>
      <c r="T2579" s="3"/>
      <c r="U2579" s="3"/>
      <c r="V2579" s="3"/>
      <c r="W2579" s="3"/>
      <c r="X2579" s="3"/>
      <c r="Y2579" s="3"/>
      <c r="Z2579" s="4"/>
      <c r="AA2579"/>
      <c r="AB2579"/>
    </row>
    <row r="2580" spans="1:28" s="37" customFormat="1" x14ac:dyDescent="0.15">
      <c r="A2580" s="166"/>
      <c r="B2580" s="82"/>
      <c r="C2580" s="70"/>
      <c r="D2580" s="70"/>
      <c r="E2580" s="70"/>
      <c r="F2580" s="70"/>
      <c r="G2580" s="70"/>
      <c r="H2580" s="93"/>
      <c r="I2580" s="85"/>
      <c r="J2580" s="85"/>
      <c r="K2580" s="141"/>
      <c r="L2580" s="60"/>
      <c r="M2580" s="33"/>
      <c r="Q2580" s="3"/>
      <c r="R2580" s="3"/>
      <c r="S2580" s="3"/>
      <c r="T2580" s="3"/>
      <c r="U2580" s="3"/>
      <c r="V2580" s="3"/>
      <c r="W2580" s="3"/>
      <c r="X2580" s="3"/>
      <c r="Y2580" s="3"/>
      <c r="Z2580" s="4"/>
      <c r="AA2580"/>
      <c r="AB2580"/>
    </row>
    <row r="2581" spans="1:28" s="37" customFormat="1" x14ac:dyDescent="0.15">
      <c r="A2581" s="166"/>
      <c r="B2581" s="82"/>
      <c r="C2581" s="70"/>
      <c r="D2581" s="70"/>
      <c r="E2581" s="70"/>
      <c r="F2581" s="70"/>
      <c r="G2581" s="70"/>
      <c r="H2581" s="93"/>
      <c r="I2581" s="85"/>
      <c r="J2581" s="85"/>
      <c r="K2581" s="131"/>
      <c r="L2581" s="60"/>
      <c r="M2581" s="49"/>
      <c r="Q2581" s="3"/>
      <c r="R2581" s="3"/>
      <c r="S2581" s="3"/>
      <c r="T2581" s="3"/>
      <c r="U2581" s="3"/>
      <c r="V2581" s="3"/>
      <c r="W2581" s="3"/>
      <c r="X2581" s="3"/>
      <c r="Y2581" s="3"/>
      <c r="Z2581" s="4"/>
      <c r="AA2581"/>
      <c r="AB2581"/>
    </row>
    <row r="2582" spans="1:28" s="37" customFormat="1" x14ac:dyDescent="0.15">
      <c r="A2582" s="166"/>
      <c r="B2582" s="82"/>
      <c r="C2582" s="70"/>
      <c r="D2582" s="70"/>
      <c r="E2582" s="70"/>
      <c r="F2582" s="70"/>
      <c r="G2582" s="70"/>
      <c r="H2582" s="93"/>
      <c r="I2582" s="85"/>
      <c r="J2582" s="85"/>
      <c r="K2582" s="131"/>
      <c r="L2582" s="60"/>
      <c r="M2582" s="49"/>
      <c r="Q2582" s="3"/>
      <c r="R2582" s="3"/>
      <c r="S2582" s="3"/>
      <c r="T2582" s="3"/>
      <c r="U2582" s="3"/>
      <c r="V2582" s="3"/>
      <c r="W2582" s="3"/>
      <c r="X2582" s="3"/>
      <c r="Y2582" s="3"/>
      <c r="Z2582" s="4"/>
      <c r="AA2582"/>
      <c r="AB2582"/>
    </row>
    <row r="2583" spans="1:28" s="37" customFormat="1" x14ac:dyDescent="0.15">
      <c r="A2583" s="166"/>
      <c r="B2583" s="82"/>
      <c r="C2583" s="70"/>
      <c r="D2583" s="70"/>
      <c r="E2583" s="70"/>
      <c r="F2583" s="70"/>
      <c r="G2583" s="70"/>
      <c r="H2583" s="93"/>
      <c r="I2583" s="85"/>
      <c r="J2583" s="85"/>
      <c r="K2583" s="131"/>
      <c r="L2583" s="60"/>
      <c r="M2583" s="49"/>
      <c r="Q2583" s="3"/>
      <c r="R2583" s="3"/>
      <c r="S2583" s="3"/>
      <c r="T2583" s="3"/>
      <c r="U2583" s="3"/>
      <c r="V2583" s="3"/>
      <c r="W2583" s="3"/>
      <c r="X2583" s="3"/>
      <c r="Y2583" s="3"/>
      <c r="Z2583" s="4"/>
      <c r="AA2583"/>
      <c r="AB2583"/>
    </row>
    <row r="2584" spans="1:28" s="37" customFormat="1" x14ac:dyDescent="0.15">
      <c r="A2584" s="166"/>
      <c r="B2584" s="82"/>
      <c r="C2584" s="70"/>
      <c r="D2584" s="70"/>
      <c r="E2584" s="70"/>
      <c r="F2584" s="70"/>
      <c r="G2584" s="70"/>
      <c r="H2584" s="93"/>
      <c r="I2584" s="85"/>
      <c r="J2584" s="85"/>
      <c r="K2584" s="131"/>
      <c r="L2584" s="60"/>
      <c r="M2584" s="33"/>
      <c r="Q2584" s="3"/>
      <c r="R2584" s="3"/>
      <c r="S2584" s="3"/>
      <c r="T2584" s="3"/>
      <c r="U2584" s="3"/>
      <c r="V2584" s="3"/>
      <c r="W2584" s="3"/>
      <c r="X2584" s="3"/>
      <c r="Y2584" s="3"/>
      <c r="Z2584" s="4"/>
      <c r="AA2584"/>
      <c r="AB2584"/>
    </row>
    <row r="2585" spans="1:28" s="37" customFormat="1" x14ac:dyDescent="0.15">
      <c r="A2585" s="166"/>
      <c r="B2585" s="82"/>
      <c r="C2585" s="70"/>
      <c r="D2585" s="70"/>
      <c r="E2585" s="70"/>
      <c r="F2585" s="70"/>
      <c r="G2585" s="70"/>
      <c r="H2585" s="93"/>
      <c r="I2585" s="85"/>
      <c r="J2585" s="85"/>
      <c r="K2585" s="131"/>
      <c r="L2585" s="60"/>
      <c r="M2585" s="33"/>
      <c r="Q2585" s="3"/>
      <c r="R2585" s="3"/>
      <c r="S2585" s="3"/>
      <c r="T2585" s="3"/>
      <c r="U2585" s="3"/>
      <c r="V2585" s="3"/>
      <c r="W2585" s="3"/>
      <c r="X2585" s="3"/>
      <c r="Y2585" s="3"/>
      <c r="Z2585" s="4"/>
      <c r="AA2585"/>
      <c r="AB2585"/>
    </row>
    <row r="2586" spans="1:28" s="37" customFormat="1" x14ac:dyDescent="0.15">
      <c r="A2586" s="166"/>
      <c r="B2586" s="82"/>
      <c r="C2586" s="70"/>
      <c r="D2586" s="70"/>
      <c r="E2586" s="70"/>
      <c r="F2586" s="70"/>
      <c r="G2586" s="70"/>
      <c r="H2586" s="93"/>
      <c r="I2586" s="85"/>
      <c r="J2586" s="85"/>
      <c r="K2586" s="131"/>
      <c r="L2586" s="60"/>
      <c r="M2586" s="49"/>
      <c r="Q2586" s="3"/>
      <c r="R2586" s="3"/>
      <c r="S2586" s="3"/>
      <c r="T2586" s="3"/>
      <c r="U2586" s="3"/>
      <c r="V2586" s="3"/>
      <c r="W2586" s="3"/>
      <c r="X2586" s="3"/>
      <c r="Y2586" s="3"/>
      <c r="Z2586" s="4"/>
      <c r="AA2586"/>
      <c r="AB2586"/>
    </row>
    <row r="2587" spans="1:28" s="37" customFormat="1" ht="16" x14ac:dyDescent="0.2">
      <c r="A2587" s="166"/>
      <c r="B2587" s="82"/>
      <c r="C2587" s="70"/>
      <c r="D2587" s="70"/>
      <c r="E2587" s="70"/>
      <c r="F2587" s="70"/>
      <c r="G2587" s="70"/>
      <c r="H2587" s="93"/>
      <c r="I2587" s="85"/>
      <c r="J2587" s="85"/>
      <c r="K2587" s="135"/>
      <c r="L2587" s="60"/>
      <c r="M2587" s="49"/>
      <c r="N2587" s="48"/>
      <c r="Q2587" s="3"/>
      <c r="R2587" s="3"/>
      <c r="S2587" s="3"/>
      <c r="T2587" s="3"/>
      <c r="U2587" s="3"/>
      <c r="V2587" s="3"/>
      <c r="W2587" s="3"/>
      <c r="X2587" s="3"/>
      <c r="Y2587" s="3"/>
      <c r="Z2587" s="4"/>
      <c r="AA2587"/>
      <c r="AB2587"/>
    </row>
    <row r="2588" spans="1:28" s="37" customFormat="1" x14ac:dyDescent="0.15">
      <c r="A2588" s="166"/>
      <c r="B2588" s="82"/>
      <c r="C2588" s="70"/>
      <c r="D2588" s="70"/>
      <c r="E2588" s="70"/>
      <c r="F2588" s="70"/>
      <c r="G2588" s="70"/>
      <c r="H2588" s="93"/>
      <c r="I2588" s="85"/>
      <c r="J2588" s="85"/>
      <c r="K2588" s="131"/>
      <c r="L2588" s="60"/>
      <c r="M2588" s="49"/>
      <c r="Q2588" s="3"/>
      <c r="R2588" s="3"/>
      <c r="S2588" s="3"/>
      <c r="T2588" s="3"/>
      <c r="U2588" s="3"/>
      <c r="V2588" s="3"/>
      <c r="W2588" s="3"/>
      <c r="X2588" s="3"/>
      <c r="Y2588" s="3"/>
      <c r="Z2588" s="4"/>
      <c r="AA2588"/>
      <c r="AB2588"/>
    </row>
    <row r="2589" spans="1:28" s="37" customFormat="1" x14ac:dyDescent="0.15">
      <c r="A2589" s="166"/>
      <c r="B2589" s="82"/>
      <c r="C2589" s="70"/>
      <c r="D2589" s="70"/>
      <c r="E2589" s="70"/>
      <c r="F2589" s="70"/>
      <c r="G2589" s="70"/>
      <c r="H2589" s="93"/>
      <c r="I2589" s="85"/>
      <c r="J2589" s="85"/>
      <c r="K2589" s="131"/>
      <c r="L2589" s="60"/>
      <c r="M2589" s="49"/>
      <c r="Q2589" s="3"/>
      <c r="R2589" s="3"/>
      <c r="S2589" s="3"/>
      <c r="T2589" s="3"/>
      <c r="U2589" s="3"/>
      <c r="V2589" s="3"/>
      <c r="W2589" s="3"/>
      <c r="X2589" s="3"/>
      <c r="Y2589" s="3"/>
      <c r="Z2589" s="4"/>
      <c r="AA2589"/>
      <c r="AB2589"/>
    </row>
    <row r="2590" spans="1:28" s="37" customFormat="1" x14ac:dyDescent="0.15">
      <c r="A2590" s="166"/>
      <c r="B2590" s="82"/>
      <c r="C2590" s="70"/>
      <c r="D2590" s="70"/>
      <c r="E2590" s="70"/>
      <c r="F2590" s="70"/>
      <c r="G2590" s="70"/>
      <c r="H2590" s="93"/>
      <c r="I2590" s="85"/>
      <c r="J2590" s="85"/>
      <c r="K2590" s="141"/>
      <c r="L2590" s="60"/>
      <c r="M2590" s="49"/>
      <c r="Q2590" s="3"/>
      <c r="R2590" s="3"/>
      <c r="S2590" s="3"/>
      <c r="T2590" s="3"/>
      <c r="U2590" s="3"/>
      <c r="V2590" s="3"/>
      <c r="W2590" s="3"/>
      <c r="X2590" s="3"/>
      <c r="Y2590" s="3"/>
      <c r="Z2590" s="4"/>
      <c r="AA2590"/>
      <c r="AB2590"/>
    </row>
    <row r="2591" spans="1:28" s="37" customFormat="1" x14ac:dyDescent="0.15">
      <c r="A2591" s="166"/>
      <c r="B2591" s="82"/>
      <c r="C2591" s="70"/>
      <c r="D2591" s="70"/>
      <c r="E2591" s="70"/>
      <c r="F2591" s="70"/>
      <c r="G2591" s="70"/>
      <c r="H2591" s="93"/>
      <c r="I2591" s="85"/>
      <c r="J2591" s="85"/>
      <c r="K2591" s="131"/>
      <c r="L2591" s="60"/>
      <c r="M2591" s="49"/>
      <c r="Q2591" s="3"/>
      <c r="R2591" s="3"/>
      <c r="S2591" s="3"/>
      <c r="T2591" s="3"/>
      <c r="U2591" s="3"/>
      <c r="V2591" s="3"/>
      <c r="W2591" s="3"/>
      <c r="X2591" s="3"/>
      <c r="Y2591" s="3"/>
      <c r="Z2591" s="4"/>
      <c r="AA2591"/>
      <c r="AB2591"/>
    </row>
    <row r="2592" spans="1:28" s="37" customFormat="1" x14ac:dyDescent="0.15">
      <c r="A2592" s="166"/>
      <c r="B2592" s="82"/>
      <c r="C2592" s="70"/>
      <c r="D2592" s="70"/>
      <c r="E2592" s="70"/>
      <c r="F2592" s="70"/>
      <c r="G2592" s="70"/>
      <c r="H2592" s="93"/>
      <c r="I2592" s="85"/>
      <c r="J2592" s="85"/>
      <c r="K2592" s="141"/>
      <c r="L2592" s="60"/>
      <c r="M2592" s="49"/>
      <c r="Q2592" s="3"/>
      <c r="R2592" s="3"/>
      <c r="S2592" s="3"/>
      <c r="T2592" s="3"/>
      <c r="U2592" s="3"/>
      <c r="V2592" s="3"/>
      <c r="W2592" s="3"/>
      <c r="X2592" s="3"/>
      <c r="Y2592" s="3"/>
      <c r="Z2592" s="4"/>
      <c r="AA2592"/>
      <c r="AB2592"/>
    </row>
    <row r="2593" spans="1:28" s="37" customFormat="1" ht="16" x14ac:dyDescent="0.2">
      <c r="A2593" s="166"/>
      <c r="B2593" s="96"/>
      <c r="C2593" s="70"/>
      <c r="D2593" s="70"/>
      <c r="E2593" s="70"/>
      <c r="F2593" s="70"/>
      <c r="G2593" s="70"/>
      <c r="H2593" s="93"/>
      <c r="I2593" s="85"/>
      <c r="J2593" s="110"/>
      <c r="K2593" s="131"/>
      <c r="L2593" s="60"/>
      <c r="M2593" s="33"/>
      <c r="N2593" s="48"/>
      <c r="Q2593" s="3"/>
      <c r="R2593" s="3"/>
      <c r="S2593" s="3"/>
      <c r="T2593" s="3"/>
      <c r="U2593" s="3"/>
      <c r="V2593" s="3"/>
      <c r="W2593" s="3"/>
      <c r="X2593" s="3"/>
      <c r="Y2593" s="3"/>
      <c r="Z2593" s="4"/>
      <c r="AA2593"/>
      <c r="AB2593"/>
    </row>
    <row r="2594" spans="1:28" s="37" customFormat="1" x14ac:dyDescent="0.15">
      <c r="A2594" s="166"/>
      <c r="B2594" s="82"/>
      <c r="C2594" s="70"/>
      <c r="D2594" s="70"/>
      <c r="E2594" s="70"/>
      <c r="F2594" s="70"/>
      <c r="G2594" s="70"/>
      <c r="H2594" s="93"/>
      <c r="I2594" s="85"/>
      <c r="J2594" s="85"/>
      <c r="K2594" s="131"/>
      <c r="L2594" s="60"/>
      <c r="M2594" s="33"/>
      <c r="Q2594" s="3"/>
      <c r="R2594" s="3"/>
      <c r="S2594" s="3"/>
      <c r="T2594" s="3"/>
      <c r="U2594" s="3"/>
      <c r="V2594" s="3"/>
      <c r="W2594" s="3"/>
      <c r="X2594" s="3"/>
      <c r="Y2594" s="3"/>
      <c r="Z2594" s="4"/>
      <c r="AA2594"/>
      <c r="AB2594"/>
    </row>
    <row r="2595" spans="1:28" s="37" customFormat="1" x14ac:dyDescent="0.15">
      <c r="A2595" s="166"/>
      <c r="B2595" s="82"/>
      <c r="C2595" s="70"/>
      <c r="D2595" s="70"/>
      <c r="E2595" s="70"/>
      <c r="F2595" s="70"/>
      <c r="G2595" s="70"/>
      <c r="H2595" s="93"/>
      <c r="I2595" s="85"/>
      <c r="J2595" s="85"/>
      <c r="K2595" s="134"/>
      <c r="L2595" s="60"/>
      <c r="M2595" s="49"/>
      <c r="Q2595" s="3"/>
      <c r="R2595" s="3"/>
      <c r="S2595" s="3"/>
      <c r="T2595" s="3"/>
      <c r="U2595" s="3"/>
      <c r="V2595" s="3"/>
      <c r="W2595" s="3"/>
      <c r="X2595" s="3"/>
      <c r="Y2595" s="3"/>
      <c r="Z2595" s="4"/>
      <c r="AA2595"/>
      <c r="AB2595"/>
    </row>
    <row r="2596" spans="1:28" s="37" customFormat="1" x14ac:dyDescent="0.15">
      <c r="A2596" s="166"/>
      <c r="B2596" s="82"/>
      <c r="C2596" s="70"/>
      <c r="D2596" s="70"/>
      <c r="E2596" s="70"/>
      <c r="F2596" s="70"/>
      <c r="G2596" s="70"/>
      <c r="H2596" s="93"/>
      <c r="I2596" s="85"/>
      <c r="J2596" s="85"/>
      <c r="K2596" s="131"/>
      <c r="L2596" s="60"/>
      <c r="M2596" s="49"/>
      <c r="Q2596" s="3"/>
      <c r="R2596" s="3"/>
      <c r="S2596" s="3"/>
      <c r="T2596" s="3"/>
      <c r="U2596" s="3"/>
      <c r="V2596" s="3"/>
      <c r="W2596" s="3"/>
      <c r="X2596" s="3"/>
      <c r="Y2596" s="3"/>
      <c r="Z2596" s="4"/>
      <c r="AA2596"/>
      <c r="AB2596"/>
    </row>
    <row r="2597" spans="1:28" s="37" customFormat="1" x14ac:dyDescent="0.15">
      <c r="A2597" s="166"/>
      <c r="B2597" s="82"/>
      <c r="C2597" s="70"/>
      <c r="D2597" s="70"/>
      <c r="E2597" s="70"/>
      <c r="F2597" s="70"/>
      <c r="G2597" s="70"/>
      <c r="H2597" s="93"/>
      <c r="I2597" s="85"/>
      <c r="J2597" s="85"/>
      <c r="K2597" s="141"/>
      <c r="L2597" s="60"/>
      <c r="M2597" s="49"/>
      <c r="Q2597" s="3"/>
      <c r="R2597" s="3"/>
      <c r="S2597" s="3"/>
      <c r="T2597" s="3"/>
      <c r="U2597" s="3"/>
      <c r="V2597" s="3"/>
      <c r="W2597" s="3"/>
      <c r="X2597" s="3"/>
      <c r="Y2597" s="3"/>
      <c r="Z2597" s="4"/>
      <c r="AA2597"/>
      <c r="AB2597"/>
    </row>
    <row r="2598" spans="1:28" s="37" customFormat="1" ht="16" x14ac:dyDescent="0.2">
      <c r="A2598" s="166"/>
      <c r="B2598" s="82"/>
      <c r="C2598" s="70"/>
      <c r="D2598" s="70"/>
      <c r="E2598" s="70"/>
      <c r="F2598" s="70"/>
      <c r="G2598" s="70"/>
      <c r="H2598" s="93"/>
      <c r="I2598" s="85"/>
      <c r="J2598" s="85"/>
      <c r="K2598" s="131"/>
      <c r="L2598" s="60"/>
      <c r="M2598" s="49"/>
      <c r="N2598" s="48"/>
      <c r="Q2598" s="3"/>
      <c r="R2598" s="3"/>
      <c r="S2598" s="3"/>
      <c r="T2598" s="3"/>
      <c r="U2598" s="3"/>
      <c r="V2598" s="3"/>
      <c r="W2598" s="3"/>
      <c r="X2598" s="3"/>
      <c r="Y2598" s="3"/>
      <c r="Z2598" s="4"/>
      <c r="AA2598"/>
      <c r="AB2598"/>
    </row>
    <row r="2599" spans="1:28" s="37" customFormat="1" ht="16" x14ac:dyDescent="0.2">
      <c r="A2599" s="166"/>
      <c r="B2599" s="82"/>
      <c r="C2599" s="70"/>
      <c r="D2599" s="70"/>
      <c r="E2599" s="70"/>
      <c r="F2599" s="70"/>
      <c r="G2599" s="70"/>
      <c r="H2599" s="93"/>
      <c r="I2599" s="85"/>
      <c r="J2599" s="85"/>
      <c r="K2599" s="141"/>
      <c r="L2599" s="60"/>
      <c r="M2599" s="49"/>
      <c r="N2599" s="48"/>
      <c r="Q2599" s="3"/>
      <c r="R2599" s="3"/>
      <c r="S2599" s="3"/>
      <c r="T2599" s="3"/>
      <c r="U2599" s="3"/>
      <c r="V2599" s="3"/>
      <c r="W2599" s="3"/>
      <c r="X2599" s="3"/>
      <c r="Y2599" s="3"/>
      <c r="Z2599" s="4"/>
      <c r="AA2599"/>
      <c r="AB2599"/>
    </row>
    <row r="2600" spans="1:28" s="37" customFormat="1" x14ac:dyDescent="0.15">
      <c r="A2600" s="166"/>
      <c r="B2600" s="82"/>
      <c r="C2600" s="70"/>
      <c r="D2600" s="70"/>
      <c r="E2600" s="70"/>
      <c r="F2600" s="70"/>
      <c r="G2600" s="70"/>
      <c r="H2600" s="93"/>
      <c r="I2600" s="85"/>
      <c r="J2600" s="85"/>
      <c r="K2600" s="131"/>
      <c r="L2600" s="60"/>
      <c r="M2600" s="49"/>
      <c r="Q2600" s="3"/>
      <c r="R2600" s="3"/>
      <c r="S2600" s="3"/>
      <c r="T2600" s="3"/>
      <c r="U2600" s="3"/>
      <c r="V2600" s="3"/>
      <c r="W2600" s="3"/>
      <c r="X2600" s="3"/>
      <c r="Y2600" s="3"/>
      <c r="Z2600" s="4"/>
      <c r="AA2600"/>
      <c r="AB2600"/>
    </row>
    <row r="2601" spans="1:28" s="37" customFormat="1" x14ac:dyDescent="0.15">
      <c r="A2601" s="166"/>
      <c r="B2601" s="82"/>
      <c r="C2601" s="70"/>
      <c r="D2601" s="70"/>
      <c r="E2601" s="70"/>
      <c r="F2601" s="70"/>
      <c r="G2601" s="70"/>
      <c r="H2601" s="93"/>
      <c r="I2601" s="85"/>
      <c r="J2601" s="85"/>
      <c r="K2601" s="131"/>
      <c r="L2601" s="60"/>
      <c r="M2601" s="49"/>
      <c r="Q2601" s="3"/>
      <c r="R2601" s="3"/>
      <c r="S2601" s="3"/>
      <c r="T2601" s="3"/>
      <c r="U2601" s="3"/>
      <c r="V2601" s="3"/>
      <c r="W2601" s="3"/>
      <c r="X2601" s="3"/>
      <c r="Y2601" s="3"/>
      <c r="Z2601" s="4"/>
      <c r="AA2601"/>
      <c r="AB2601"/>
    </row>
    <row r="2602" spans="1:28" s="37" customFormat="1" ht="16" x14ac:dyDescent="0.2">
      <c r="A2602" s="166"/>
      <c r="B2602" s="82"/>
      <c r="C2602" s="70"/>
      <c r="D2602" s="70"/>
      <c r="E2602" s="70"/>
      <c r="F2602" s="70"/>
      <c r="G2602" s="70"/>
      <c r="H2602" s="93"/>
      <c r="I2602" s="85"/>
      <c r="J2602" s="85"/>
      <c r="K2602" s="131"/>
      <c r="L2602" s="60"/>
      <c r="M2602" s="49"/>
      <c r="N2602" s="48"/>
      <c r="Q2602" s="3"/>
      <c r="R2602" s="3"/>
      <c r="S2602" s="3"/>
      <c r="T2602" s="3"/>
      <c r="U2602" s="3"/>
      <c r="V2602" s="3"/>
      <c r="W2602" s="3"/>
      <c r="X2602" s="3"/>
      <c r="Y2602" s="3"/>
      <c r="Z2602" s="4"/>
      <c r="AA2602"/>
      <c r="AB2602"/>
    </row>
    <row r="2603" spans="1:28" s="37" customFormat="1" ht="16" x14ac:dyDescent="0.2">
      <c r="A2603" s="166"/>
      <c r="B2603" s="82"/>
      <c r="C2603" s="70"/>
      <c r="D2603" s="70"/>
      <c r="E2603" s="70"/>
      <c r="F2603" s="70"/>
      <c r="G2603" s="70"/>
      <c r="H2603" s="93"/>
      <c r="I2603" s="85"/>
      <c r="J2603" s="85"/>
      <c r="K2603" s="141"/>
      <c r="L2603" s="60"/>
      <c r="M2603" s="49"/>
      <c r="N2603" s="48"/>
      <c r="Q2603" s="3"/>
      <c r="R2603" s="3"/>
      <c r="S2603" s="3"/>
      <c r="T2603" s="3"/>
      <c r="U2603" s="3"/>
      <c r="V2603" s="3"/>
      <c r="W2603" s="3"/>
      <c r="X2603" s="3"/>
      <c r="Y2603" s="3"/>
      <c r="Z2603" s="4"/>
      <c r="AA2603"/>
      <c r="AB2603"/>
    </row>
    <row r="2604" spans="1:28" s="37" customFormat="1" x14ac:dyDescent="0.15">
      <c r="A2604" s="166"/>
      <c r="B2604" s="82"/>
      <c r="C2604" s="70"/>
      <c r="D2604" s="70"/>
      <c r="E2604" s="70"/>
      <c r="F2604" s="70"/>
      <c r="G2604" s="70"/>
      <c r="H2604" s="93"/>
      <c r="I2604" s="85"/>
      <c r="J2604" s="85"/>
      <c r="K2604" s="141"/>
      <c r="L2604" s="60"/>
      <c r="M2604" s="49"/>
      <c r="Q2604" s="3"/>
      <c r="R2604" s="3"/>
      <c r="S2604" s="3"/>
      <c r="T2604" s="3"/>
      <c r="U2604" s="3"/>
      <c r="V2604" s="3"/>
      <c r="W2604" s="3"/>
      <c r="X2604" s="3"/>
      <c r="Y2604" s="3"/>
      <c r="Z2604" s="4"/>
      <c r="AA2604"/>
      <c r="AB2604"/>
    </row>
    <row r="2605" spans="1:28" s="37" customFormat="1" x14ac:dyDescent="0.15">
      <c r="A2605" s="166"/>
      <c r="B2605" s="82"/>
      <c r="C2605" s="70"/>
      <c r="D2605" s="70"/>
      <c r="E2605" s="70"/>
      <c r="F2605" s="70"/>
      <c r="G2605" s="70"/>
      <c r="H2605" s="93"/>
      <c r="I2605" s="85"/>
      <c r="J2605" s="85"/>
      <c r="K2605" s="131"/>
      <c r="L2605" s="60"/>
      <c r="M2605" s="49"/>
      <c r="Q2605" s="3"/>
      <c r="R2605" s="3"/>
      <c r="S2605" s="3"/>
      <c r="T2605" s="3"/>
      <c r="U2605" s="3"/>
      <c r="V2605" s="3"/>
      <c r="W2605" s="3"/>
      <c r="X2605" s="3"/>
      <c r="Y2605" s="3"/>
      <c r="Z2605" s="4"/>
      <c r="AA2605"/>
      <c r="AB2605"/>
    </row>
    <row r="2606" spans="1:28" s="37" customFormat="1" x14ac:dyDescent="0.15">
      <c r="A2606" s="166"/>
      <c r="B2606" s="82"/>
      <c r="C2606" s="70"/>
      <c r="D2606" s="70"/>
      <c r="E2606" s="70"/>
      <c r="F2606" s="70"/>
      <c r="G2606" s="70"/>
      <c r="H2606" s="93"/>
      <c r="I2606" s="85"/>
      <c r="J2606" s="85"/>
      <c r="K2606" s="131"/>
      <c r="L2606" s="60"/>
      <c r="M2606" s="33"/>
      <c r="Q2606" s="3"/>
      <c r="R2606" s="3"/>
      <c r="S2606" s="3"/>
      <c r="T2606" s="3"/>
      <c r="U2606" s="3"/>
      <c r="V2606" s="3"/>
      <c r="W2606" s="3"/>
      <c r="X2606" s="3"/>
      <c r="Y2606" s="3"/>
      <c r="Z2606" s="4"/>
      <c r="AA2606"/>
      <c r="AB2606"/>
    </row>
    <row r="2607" spans="1:28" s="37" customFormat="1" x14ac:dyDescent="0.15">
      <c r="A2607" s="166"/>
      <c r="B2607" s="82"/>
      <c r="C2607" s="70"/>
      <c r="D2607" s="70"/>
      <c r="E2607" s="70"/>
      <c r="F2607" s="70"/>
      <c r="G2607" s="70"/>
      <c r="H2607" s="93"/>
      <c r="I2607" s="85"/>
      <c r="J2607" s="85"/>
      <c r="K2607" s="131"/>
      <c r="L2607" s="60"/>
      <c r="M2607" s="33"/>
      <c r="Q2607" s="3"/>
      <c r="R2607" s="3"/>
      <c r="S2607" s="3"/>
      <c r="T2607" s="3"/>
      <c r="U2607" s="3"/>
      <c r="V2607" s="3"/>
      <c r="W2607" s="3"/>
      <c r="X2607" s="3"/>
      <c r="Y2607" s="3"/>
      <c r="Z2607" s="4"/>
      <c r="AA2607"/>
      <c r="AB2607"/>
    </row>
    <row r="2608" spans="1:28" s="37" customFormat="1" x14ac:dyDescent="0.15">
      <c r="A2608" s="166"/>
      <c r="B2608" s="82"/>
      <c r="C2608" s="70"/>
      <c r="D2608" s="70"/>
      <c r="E2608" s="70"/>
      <c r="F2608" s="70"/>
      <c r="G2608" s="70"/>
      <c r="H2608" s="93"/>
      <c r="I2608" s="85"/>
      <c r="J2608" s="85"/>
      <c r="K2608" s="131"/>
      <c r="L2608" s="60"/>
      <c r="M2608" s="49"/>
      <c r="Q2608" s="3"/>
      <c r="R2608" s="3"/>
      <c r="S2608" s="3"/>
      <c r="T2608" s="3"/>
      <c r="U2608" s="3"/>
      <c r="V2608" s="3"/>
      <c r="W2608" s="3"/>
      <c r="X2608" s="3"/>
      <c r="Y2608" s="3"/>
      <c r="Z2608" s="4"/>
      <c r="AA2608"/>
      <c r="AB2608"/>
    </row>
    <row r="2609" spans="1:28" s="37" customFormat="1" x14ac:dyDescent="0.15">
      <c r="A2609" s="166"/>
      <c r="B2609" s="82"/>
      <c r="C2609" s="70"/>
      <c r="D2609" s="70"/>
      <c r="E2609" s="70"/>
      <c r="F2609" s="70"/>
      <c r="G2609" s="70"/>
      <c r="H2609" s="93"/>
      <c r="I2609" s="85"/>
      <c r="J2609" s="85"/>
      <c r="K2609" s="141"/>
      <c r="L2609" s="60"/>
      <c r="M2609" s="49"/>
      <c r="Q2609" s="3"/>
      <c r="R2609" s="3"/>
      <c r="S2609" s="3"/>
      <c r="T2609" s="3"/>
      <c r="U2609" s="3"/>
      <c r="V2609" s="3"/>
      <c r="W2609" s="3"/>
      <c r="X2609" s="3"/>
      <c r="Y2609" s="3"/>
      <c r="Z2609" s="4"/>
      <c r="AA2609"/>
      <c r="AB2609"/>
    </row>
    <row r="2610" spans="1:28" s="37" customFormat="1" x14ac:dyDescent="0.15">
      <c r="A2610" s="166"/>
      <c r="B2610" s="82"/>
      <c r="C2610" s="70"/>
      <c r="D2610" s="70"/>
      <c r="E2610" s="70"/>
      <c r="F2610" s="70"/>
      <c r="G2610" s="70"/>
      <c r="H2610" s="93"/>
      <c r="I2610" s="85"/>
      <c r="J2610" s="85"/>
      <c r="K2610" s="135"/>
      <c r="L2610" s="60"/>
      <c r="M2610" s="49"/>
      <c r="Q2610" s="3"/>
      <c r="R2610" s="3"/>
      <c r="S2610" s="3"/>
      <c r="T2610" s="3"/>
      <c r="U2610" s="3"/>
      <c r="V2610" s="3"/>
      <c r="W2610" s="3"/>
      <c r="X2610" s="3"/>
      <c r="Y2610" s="3"/>
      <c r="Z2610" s="4"/>
      <c r="AA2610"/>
      <c r="AB2610"/>
    </row>
    <row r="2611" spans="1:28" s="37" customFormat="1" ht="16" x14ac:dyDescent="0.2">
      <c r="A2611" s="166"/>
      <c r="B2611" s="82"/>
      <c r="C2611" s="70"/>
      <c r="D2611" s="70"/>
      <c r="E2611" s="70"/>
      <c r="F2611" s="70"/>
      <c r="G2611" s="70"/>
      <c r="H2611" s="93"/>
      <c r="I2611" s="85"/>
      <c r="J2611" s="110"/>
      <c r="K2611" s="134"/>
      <c r="L2611" s="63"/>
      <c r="M2611" s="33"/>
      <c r="N2611" s="55"/>
      <c r="Q2611" s="3"/>
      <c r="R2611" s="3"/>
      <c r="S2611" s="3"/>
      <c r="T2611" s="3"/>
      <c r="U2611" s="3"/>
      <c r="V2611" s="3"/>
      <c r="W2611" s="3"/>
      <c r="X2611" s="3"/>
      <c r="Y2611" s="3"/>
      <c r="Z2611" s="4"/>
      <c r="AA2611"/>
      <c r="AB2611"/>
    </row>
    <row r="2612" spans="1:28" s="37" customFormat="1" x14ac:dyDescent="0.15">
      <c r="A2612" s="166"/>
      <c r="B2612" s="82"/>
      <c r="C2612" s="70"/>
      <c r="D2612" s="70"/>
      <c r="E2612" s="70"/>
      <c r="F2612" s="70"/>
      <c r="G2612" s="70"/>
      <c r="H2612" s="93"/>
      <c r="I2612" s="85"/>
      <c r="J2612" s="85"/>
      <c r="K2612" s="131"/>
      <c r="L2612" s="60"/>
      <c r="M2612" s="49"/>
      <c r="Q2612" s="3"/>
      <c r="R2612" s="3"/>
      <c r="S2612" s="3"/>
      <c r="T2612" s="3"/>
      <c r="U2612" s="3"/>
      <c r="V2612" s="3"/>
      <c r="W2612" s="3"/>
      <c r="X2612" s="3"/>
      <c r="Y2612" s="3"/>
      <c r="Z2612" s="4"/>
      <c r="AA2612"/>
      <c r="AB2612"/>
    </row>
    <row r="2613" spans="1:28" s="37" customFormat="1" x14ac:dyDescent="0.15">
      <c r="A2613" s="166"/>
      <c r="B2613" s="93"/>
      <c r="C2613" s="70"/>
      <c r="D2613" s="70"/>
      <c r="E2613" s="70"/>
      <c r="F2613" s="70"/>
      <c r="G2613" s="70"/>
      <c r="H2613" s="93"/>
      <c r="I2613" s="85"/>
      <c r="J2613" s="85"/>
      <c r="K2613" s="131"/>
      <c r="L2613" s="60"/>
      <c r="M2613" s="33"/>
      <c r="Q2613" s="3"/>
      <c r="R2613" s="3"/>
      <c r="S2613" s="3"/>
      <c r="T2613" s="3"/>
      <c r="U2613" s="3"/>
      <c r="V2613" s="3"/>
      <c r="W2613" s="3"/>
      <c r="X2613" s="3"/>
      <c r="Y2613" s="3"/>
      <c r="Z2613" s="4"/>
      <c r="AA2613"/>
      <c r="AB2613"/>
    </row>
    <row r="2614" spans="1:28" s="37" customFormat="1" x14ac:dyDescent="0.15">
      <c r="A2614" s="166"/>
      <c r="B2614" s="93"/>
      <c r="C2614" s="70"/>
      <c r="D2614" s="70"/>
      <c r="E2614" s="70"/>
      <c r="F2614" s="70"/>
      <c r="G2614" s="70"/>
      <c r="H2614" s="93"/>
      <c r="I2614" s="85"/>
      <c r="J2614" s="85"/>
      <c r="K2614" s="131"/>
      <c r="L2614" s="60"/>
      <c r="M2614" s="33"/>
      <c r="Q2614" s="3"/>
      <c r="R2614" s="3"/>
      <c r="S2614" s="3"/>
      <c r="T2614" s="3"/>
      <c r="U2614" s="3"/>
      <c r="V2614" s="3"/>
      <c r="W2614" s="3"/>
      <c r="X2614" s="3"/>
      <c r="Y2614" s="3"/>
      <c r="Z2614" s="4"/>
      <c r="AA2614"/>
      <c r="AB2614"/>
    </row>
    <row r="2615" spans="1:28" s="37" customFormat="1" ht="16" x14ac:dyDescent="0.2">
      <c r="A2615" s="166"/>
      <c r="B2615" s="93"/>
      <c r="C2615" s="70"/>
      <c r="D2615" s="70"/>
      <c r="E2615" s="70"/>
      <c r="F2615" s="70"/>
      <c r="G2615" s="70"/>
      <c r="H2615" s="93"/>
      <c r="I2615" s="85"/>
      <c r="J2615" s="85"/>
      <c r="K2615" s="131"/>
      <c r="L2615" s="60"/>
      <c r="M2615" s="47"/>
      <c r="Q2615" s="3"/>
      <c r="R2615" s="3"/>
      <c r="S2615" s="3"/>
      <c r="T2615" s="3"/>
      <c r="U2615" s="3"/>
      <c r="V2615" s="3"/>
      <c r="W2615" s="3"/>
      <c r="X2615" s="3"/>
      <c r="Y2615" s="3"/>
      <c r="Z2615" s="4"/>
      <c r="AA2615"/>
      <c r="AB2615"/>
    </row>
    <row r="2616" spans="1:28" s="37" customFormat="1" ht="16" x14ac:dyDescent="0.2">
      <c r="A2616" s="166"/>
      <c r="B2616" s="93"/>
      <c r="C2616" s="70"/>
      <c r="D2616" s="70"/>
      <c r="E2616" s="70"/>
      <c r="F2616" s="70"/>
      <c r="G2616" s="70"/>
      <c r="H2616" s="93"/>
      <c r="I2616" s="85"/>
      <c r="J2616" s="85"/>
      <c r="K2616" s="135"/>
      <c r="L2616" s="60"/>
      <c r="M2616" s="33"/>
      <c r="N2616" s="48"/>
      <c r="Q2616" s="3"/>
      <c r="R2616" s="3"/>
      <c r="S2616" s="3"/>
      <c r="T2616" s="3"/>
      <c r="U2616" s="3"/>
      <c r="V2616" s="3"/>
      <c r="W2616" s="3"/>
      <c r="X2616" s="3"/>
      <c r="Y2616" s="3"/>
      <c r="Z2616" s="4"/>
      <c r="AA2616"/>
      <c r="AB2616"/>
    </row>
    <row r="2617" spans="1:28" s="37" customFormat="1" x14ac:dyDescent="0.15">
      <c r="A2617" s="166"/>
      <c r="B2617" s="93"/>
      <c r="C2617" s="70"/>
      <c r="D2617" s="70"/>
      <c r="E2617" s="70"/>
      <c r="F2617" s="70"/>
      <c r="G2617" s="70"/>
      <c r="H2617" s="93"/>
      <c r="I2617" s="85"/>
      <c r="J2617" s="85"/>
      <c r="K2617" s="141"/>
      <c r="L2617" s="60"/>
      <c r="M2617" s="33"/>
      <c r="Q2617" s="3"/>
      <c r="R2617" s="3"/>
      <c r="S2617" s="3"/>
      <c r="T2617" s="3"/>
      <c r="U2617" s="3"/>
      <c r="V2617" s="3"/>
      <c r="W2617" s="3"/>
      <c r="X2617" s="3"/>
      <c r="Y2617" s="3"/>
      <c r="Z2617" s="4"/>
      <c r="AA2617"/>
      <c r="AB2617"/>
    </row>
    <row r="2618" spans="1:28" s="37" customFormat="1" x14ac:dyDescent="0.15">
      <c r="A2618" s="166"/>
      <c r="B2618" s="93"/>
      <c r="C2618" s="70"/>
      <c r="D2618" s="70"/>
      <c r="E2618" s="70"/>
      <c r="F2618" s="70"/>
      <c r="G2618" s="70"/>
      <c r="H2618" s="93"/>
      <c r="I2618" s="85"/>
      <c r="J2618" s="85"/>
      <c r="K2618" s="141"/>
      <c r="L2618" s="60"/>
      <c r="M2618" s="33"/>
      <c r="Q2618" s="3"/>
      <c r="R2618" s="3"/>
      <c r="S2618" s="3"/>
      <c r="T2618" s="3"/>
      <c r="U2618" s="3"/>
      <c r="V2618" s="3"/>
      <c r="W2618" s="3"/>
      <c r="X2618" s="3"/>
      <c r="Y2618" s="3"/>
      <c r="Z2618" s="4"/>
      <c r="AA2618"/>
      <c r="AB2618"/>
    </row>
    <row r="2619" spans="1:28" s="37" customFormat="1" x14ac:dyDescent="0.15">
      <c r="A2619" s="166"/>
      <c r="B2619" s="93"/>
      <c r="C2619" s="70"/>
      <c r="D2619" s="70"/>
      <c r="E2619" s="70"/>
      <c r="F2619" s="70"/>
      <c r="G2619" s="70"/>
      <c r="H2619" s="93"/>
      <c r="I2619" s="85"/>
      <c r="J2619" s="85"/>
      <c r="K2619" s="141"/>
      <c r="L2619" s="60"/>
      <c r="M2619" s="33"/>
      <c r="Q2619" s="3"/>
      <c r="R2619" s="3"/>
      <c r="S2619" s="3"/>
      <c r="T2619" s="3"/>
      <c r="U2619" s="3"/>
      <c r="V2619" s="3"/>
      <c r="W2619" s="3"/>
      <c r="X2619" s="3"/>
      <c r="Y2619" s="3"/>
      <c r="Z2619" s="4"/>
      <c r="AA2619"/>
      <c r="AB2619"/>
    </row>
    <row r="2620" spans="1:28" s="37" customFormat="1" x14ac:dyDescent="0.15">
      <c r="A2620" s="166"/>
      <c r="B2620" s="93"/>
      <c r="C2620" s="70"/>
      <c r="D2620" s="70"/>
      <c r="E2620" s="70"/>
      <c r="F2620" s="70"/>
      <c r="G2620" s="70"/>
      <c r="H2620" s="93"/>
      <c r="I2620" s="85"/>
      <c r="J2620" s="85"/>
      <c r="K2620" s="135"/>
      <c r="L2620" s="60"/>
      <c r="M2620" s="33"/>
      <c r="Q2620" s="3"/>
      <c r="R2620" s="3"/>
      <c r="S2620" s="3"/>
      <c r="T2620" s="3"/>
      <c r="U2620" s="3"/>
      <c r="V2620" s="3"/>
      <c r="W2620" s="3"/>
      <c r="X2620" s="3"/>
      <c r="Y2620" s="3"/>
      <c r="Z2620" s="4"/>
      <c r="AA2620"/>
      <c r="AB2620"/>
    </row>
    <row r="2621" spans="1:28" s="37" customFormat="1" x14ac:dyDescent="0.15">
      <c r="A2621" s="166"/>
      <c r="B2621" s="93"/>
      <c r="C2621" s="70"/>
      <c r="D2621" s="70"/>
      <c r="E2621" s="70"/>
      <c r="F2621" s="70"/>
      <c r="G2621" s="70"/>
      <c r="H2621" s="93"/>
      <c r="I2621" s="85"/>
      <c r="J2621" s="85"/>
      <c r="K2621" s="131"/>
      <c r="L2621" s="60"/>
      <c r="M2621" s="33"/>
      <c r="Q2621" s="3"/>
      <c r="R2621" s="3"/>
      <c r="S2621" s="3"/>
      <c r="T2621" s="3"/>
      <c r="U2621" s="3"/>
      <c r="V2621" s="3"/>
      <c r="W2621" s="3"/>
      <c r="X2621" s="3"/>
      <c r="Y2621" s="3"/>
      <c r="Z2621" s="4"/>
      <c r="AA2621"/>
      <c r="AB2621"/>
    </row>
    <row r="2622" spans="1:28" s="37" customFormat="1" x14ac:dyDescent="0.15">
      <c r="A2622" s="166"/>
      <c r="B2622" s="93"/>
      <c r="C2622" s="70"/>
      <c r="D2622" s="70"/>
      <c r="E2622" s="70"/>
      <c r="F2622" s="70"/>
      <c r="G2622" s="70"/>
      <c r="H2622" s="93"/>
      <c r="I2622" s="85"/>
      <c r="J2622" s="85"/>
      <c r="K2622" s="141"/>
      <c r="L2622" s="60"/>
      <c r="M2622" s="33"/>
      <c r="Q2622" s="3"/>
      <c r="R2622" s="3"/>
      <c r="S2622" s="3"/>
      <c r="T2622" s="3"/>
      <c r="U2622" s="3"/>
      <c r="V2622" s="3"/>
      <c r="W2622" s="3"/>
      <c r="X2622" s="3"/>
      <c r="Y2622" s="3"/>
      <c r="Z2622" s="4"/>
      <c r="AA2622"/>
      <c r="AB2622"/>
    </row>
    <row r="2623" spans="1:28" s="37" customFormat="1" x14ac:dyDescent="0.15">
      <c r="A2623" s="166"/>
      <c r="B2623" s="82"/>
      <c r="C2623" s="70"/>
      <c r="D2623" s="70"/>
      <c r="E2623" s="70"/>
      <c r="F2623" s="70"/>
      <c r="G2623" s="70"/>
      <c r="H2623" s="93"/>
      <c r="I2623" s="85"/>
      <c r="J2623" s="85"/>
      <c r="K2623" s="131"/>
      <c r="L2623" s="60"/>
      <c r="M2623" s="49"/>
      <c r="Q2623" s="3"/>
      <c r="R2623" s="3"/>
      <c r="S2623" s="3"/>
      <c r="T2623" s="3"/>
      <c r="U2623" s="3"/>
      <c r="V2623" s="3"/>
      <c r="W2623" s="3"/>
      <c r="X2623" s="3"/>
      <c r="Y2623" s="3"/>
      <c r="Z2623" s="4"/>
      <c r="AA2623"/>
      <c r="AB2623"/>
    </row>
    <row r="2624" spans="1:28" s="37" customFormat="1" x14ac:dyDescent="0.15">
      <c r="A2624" s="166"/>
      <c r="B2624" s="82"/>
      <c r="C2624" s="70"/>
      <c r="D2624" s="70"/>
      <c r="E2624" s="70"/>
      <c r="F2624" s="70"/>
      <c r="G2624" s="70"/>
      <c r="H2624" s="93"/>
      <c r="I2624" s="85"/>
      <c r="J2624" s="85"/>
      <c r="K2624" s="131"/>
      <c r="L2624" s="60"/>
      <c r="M2624" s="49"/>
      <c r="Q2624" s="3"/>
      <c r="R2624" s="3"/>
      <c r="S2624" s="3"/>
      <c r="T2624" s="3"/>
      <c r="U2624" s="3"/>
      <c r="V2624" s="3"/>
      <c r="W2624" s="3"/>
      <c r="X2624" s="3"/>
      <c r="Y2624" s="3"/>
      <c r="Z2624" s="4"/>
      <c r="AA2624"/>
      <c r="AB2624"/>
    </row>
    <row r="2625" spans="1:28" s="37" customFormat="1" ht="16" x14ac:dyDescent="0.2">
      <c r="A2625" s="166"/>
      <c r="B2625" s="93"/>
      <c r="C2625" s="70"/>
      <c r="D2625" s="70"/>
      <c r="E2625" s="70"/>
      <c r="F2625" s="70"/>
      <c r="G2625" s="70"/>
      <c r="H2625" s="93"/>
      <c r="I2625" s="85"/>
      <c r="J2625" s="85"/>
      <c r="K2625" s="131"/>
      <c r="L2625" s="60"/>
      <c r="M2625" s="33"/>
      <c r="N2625" s="48"/>
      <c r="Q2625" s="3"/>
      <c r="R2625" s="3"/>
      <c r="S2625" s="3"/>
      <c r="T2625" s="3"/>
      <c r="U2625" s="3"/>
      <c r="V2625" s="3"/>
      <c r="W2625" s="3"/>
      <c r="X2625" s="3"/>
      <c r="Y2625" s="3"/>
      <c r="Z2625" s="4"/>
      <c r="AA2625"/>
      <c r="AB2625"/>
    </row>
    <row r="2626" spans="1:28" s="37" customFormat="1" x14ac:dyDescent="0.15">
      <c r="A2626" s="166"/>
      <c r="B2626" s="93"/>
      <c r="C2626" s="70"/>
      <c r="D2626" s="70"/>
      <c r="E2626" s="70"/>
      <c r="F2626" s="70"/>
      <c r="G2626" s="70"/>
      <c r="H2626" s="93"/>
      <c r="I2626" s="85"/>
      <c r="J2626" s="85"/>
      <c r="K2626" s="131"/>
      <c r="L2626" s="60"/>
      <c r="M2626" s="33"/>
      <c r="Q2626" s="3"/>
      <c r="R2626" s="3"/>
      <c r="S2626" s="3"/>
      <c r="T2626" s="3"/>
      <c r="U2626" s="3"/>
      <c r="V2626" s="3"/>
      <c r="W2626" s="3"/>
      <c r="X2626" s="3"/>
      <c r="Y2626" s="3"/>
      <c r="Z2626" s="4"/>
      <c r="AA2626"/>
      <c r="AB2626"/>
    </row>
    <row r="2627" spans="1:28" s="37" customFormat="1" x14ac:dyDescent="0.15">
      <c r="A2627" s="166"/>
      <c r="B2627" s="93"/>
      <c r="C2627" s="70"/>
      <c r="D2627" s="70"/>
      <c r="E2627" s="70"/>
      <c r="F2627" s="70"/>
      <c r="G2627" s="70"/>
      <c r="H2627" s="93"/>
      <c r="I2627" s="85"/>
      <c r="J2627" s="85"/>
      <c r="K2627" s="131"/>
      <c r="L2627" s="60"/>
      <c r="M2627" s="33"/>
      <c r="Q2627" s="3"/>
      <c r="R2627" s="3"/>
      <c r="S2627" s="3"/>
      <c r="T2627" s="3"/>
      <c r="U2627" s="3"/>
      <c r="V2627" s="3"/>
      <c r="W2627" s="3"/>
      <c r="X2627" s="3"/>
      <c r="Y2627" s="3"/>
      <c r="Z2627" s="4"/>
      <c r="AA2627"/>
      <c r="AB2627"/>
    </row>
    <row r="2628" spans="1:28" s="37" customFormat="1" ht="16" x14ac:dyDescent="0.2">
      <c r="A2628" s="166"/>
      <c r="B2628" s="82"/>
      <c r="C2628" s="70"/>
      <c r="D2628" s="70"/>
      <c r="E2628" s="70"/>
      <c r="F2628" s="70"/>
      <c r="G2628" s="70"/>
      <c r="H2628" s="93"/>
      <c r="I2628" s="85"/>
      <c r="J2628" s="85"/>
      <c r="K2628" s="131"/>
      <c r="L2628" s="60"/>
      <c r="M2628" s="49"/>
      <c r="N2628" s="48"/>
      <c r="Q2628" s="3"/>
      <c r="R2628" s="3"/>
      <c r="S2628" s="3"/>
      <c r="T2628" s="3"/>
      <c r="U2628" s="3"/>
      <c r="V2628" s="3"/>
      <c r="W2628" s="3"/>
      <c r="X2628" s="3"/>
      <c r="Y2628" s="3"/>
      <c r="Z2628" s="4"/>
      <c r="AA2628"/>
      <c r="AB2628"/>
    </row>
    <row r="2629" spans="1:28" s="37" customFormat="1" x14ac:dyDescent="0.15">
      <c r="A2629" s="166"/>
      <c r="B2629" s="82"/>
      <c r="C2629" s="73"/>
      <c r="D2629" s="73"/>
      <c r="E2629" s="70"/>
      <c r="F2629" s="73"/>
      <c r="G2629" s="73"/>
      <c r="H2629" s="108"/>
      <c r="I2629" s="85"/>
      <c r="J2629" s="95"/>
      <c r="K2629" s="131"/>
      <c r="L2629" s="60"/>
      <c r="M2629" s="49"/>
      <c r="Q2629" s="3"/>
      <c r="R2629" s="3"/>
      <c r="S2629" s="3"/>
      <c r="T2629" s="3"/>
      <c r="U2629" s="3"/>
      <c r="V2629" s="3"/>
      <c r="W2629" s="3"/>
      <c r="X2629" s="3"/>
      <c r="Y2629" s="3"/>
      <c r="Z2629" s="4"/>
      <c r="AA2629"/>
      <c r="AB2629"/>
    </row>
    <row r="2630" spans="1:28" s="37" customFormat="1" x14ac:dyDescent="0.15">
      <c r="A2630" s="166"/>
      <c r="B2630" s="82"/>
      <c r="C2630" s="70"/>
      <c r="D2630" s="70"/>
      <c r="E2630" s="70"/>
      <c r="F2630" s="70"/>
      <c r="G2630" s="70"/>
      <c r="H2630" s="93"/>
      <c r="I2630" s="85"/>
      <c r="J2630" s="85"/>
      <c r="K2630" s="131"/>
      <c r="L2630" s="60"/>
      <c r="M2630" s="49"/>
      <c r="Q2630" s="3"/>
      <c r="R2630" s="3"/>
      <c r="S2630" s="3"/>
      <c r="T2630" s="3"/>
      <c r="U2630" s="3"/>
      <c r="V2630" s="3"/>
      <c r="W2630" s="3"/>
      <c r="X2630" s="3"/>
      <c r="Y2630" s="3"/>
      <c r="Z2630" s="4"/>
      <c r="AA2630"/>
      <c r="AB2630"/>
    </row>
    <row r="2631" spans="1:28" s="37" customFormat="1" x14ac:dyDescent="0.15">
      <c r="A2631" s="166"/>
      <c r="B2631" s="82"/>
      <c r="C2631" s="70"/>
      <c r="D2631" s="70"/>
      <c r="E2631" s="70"/>
      <c r="F2631" s="70"/>
      <c r="G2631" s="70"/>
      <c r="H2631" s="93"/>
      <c r="I2631" s="85"/>
      <c r="J2631" s="85"/>
      <c r="K2631" s="131"/>
      <c r="L2631" s="60"/>
      <c r="M2631" s="49"/>
      <c r="Q2631" s="3"/>
      <c r="R2631" s="3"/>
      <c r="S2631" s="3"/>
      <c r="T2631" s="3"/>
      <c r="U2631" s="3"/>
      <c r="V2631" s="3"/>
      <c r="W2631" s="3"/>
      <c r="X2631" s="3"/>
      <c r="Y2631" s="3"/>
      <c r="Z2631" s="4"/>
      <c r="AA2631"/>
      <c r="AB2631"/>
    </row>
    <row r="2632" spans="1:28" s="37" customFormat="1" x14ac:dyDescent="0.15">
      <c r="A2632" s="166"/>
      <c r="B2632" s="82"/>
      <c r="C2632" s="70"/>
      <c r="D2632" s="70"/>
      <c r="E2632" s="70"/>
      <c r="F2632" s="70"/>
      <c r="G2632" s="70"/>
      <c r="H2632" s="93"/>
      <c r="I2632" s="85"/>
      <c r="J2632" s="85"/>
      <c r="K2632" s="131"/>
      <c r="L2632" s="60"/>
      <c r="M2632" s="49"/>
      <c r="Q2632" s="3"/>
      <c r="R2632" s="3"/>
      <c r="S2632" s="3"/>
      <c r="T2632" s="3"/>
      <c r="U2632" s="3"/>
      <c r="V2632" s="3"/>
      <c r="W2632" s="3"/>
      <c r="X2632" s="3"/>
      <c r="Y2632" s="3"/>
      <c r="Z2632" s="4"/>
      <c r="AA2632"/>
      <c r="AB2632"/>
    </row>
    <row r="2633" spans="1:28" s="37" customFormat="1" x14ac:dyDescent="0.15">
      <c r="A2633" s="166"/>
      <c r="B2633" s="96"/>
      <c r="C2633" s="70"/>
      <c r="D2633" s="70"/>
      <c r="E2633" s="70"/>
      <c r="F2633" s="70"/>
      <c r="G2633" s="70"/>
      <c r="H2633" s="93"/>
      <c r="I2633" s="85"/>
      <c r="J2633" s="85"/>
      <c r="K2633" s="131"/>
      <c r="L2633" s="60"/>
      <c r="M2633" s="49"/>
      <c r="Q2633" s="3"/>
      <c r="R2633" s="3"/>
      <c r="S2633" s="3"/>
      <c r="T2633" s="3"/>
      <c r="U2633" s="3"/>
      <c r="V2633" s="3"/>
      <c r="W2633" s="3"/>
      <c r="X2633" s="3"/>
      <c r="Y2633" s="3"/>
      <c r="Z2633" s="4"/>
      <c r="AA2633"/>
      <c r="AB2633"/>
    </row>
    <row r="2634" spans="1:28" s="37" customFormat="1" x14ac:dyDescent="0.15">
      <c r="A2634" s="166"/>
      <c r="B2634" s="82"/>
      <c r="C2634" s="70"/>
      <c r="D2634" s="70"/>
      <c r="E2634" s="70"/>
      <c r="F2634" s="70"/>
      <c r="G2634" s="70"/>
      <c r="H2634" s="93"/>
      <c r="I2634" s="85"/>
      <c r="J2634" s="85"/>
      <c r="K2634" s="131"/>
      <c r="L2634" s="60"/>
      <c r="M2634" s="49"/>
      <c r="Q2634" s="3"/>
      <c r="R2634" s="3"/>
      <c r="S2634" s="3"/>
      <c r="T2634" s="3"/>
      <c r="U2634" s="3"/>
      <c r="V2634" s="3"/>
      <c r="W2634" s="3"/>
      <c r="X2634" s="3"/>
      <c r="Y2634" s="3"/>
      <c r="Z2634" s="4"/>
      <c r="AA2634"/>
      <c r="AB2634"/>
    </row>
    <row r="2635" spans="1:28" s="37" customFormat="1" x14ac:dyDescent="0.15">
      <c r="A2635" s="166"/>
      <c r="B2635" s="82"/>
      <c r="C2635" s="70"/>
      <c r="D2635" s="70"/>
      <c r="E2635" s="70"/>
      <c r="F2635" s="70"/>
      <c r="G2635" s="70"/>
      <c r="H2635" s="93"/>
      <c r="I2635" s="85"/>
      <c r="J2635" s="85"/>
      <c r="K2635" s="131"/>
      <c r="L2635" s="60"/>
      <c r="M2635" s="49"/>
      <c r="Q2635" s="3"/>
      <c r="R2635" s="3"/>
      <c r="S2635" s="3"/>
      <c r="T2635" s="3"/>
      <c r="U2635" s="3"/>
      <c r="V2635" s="3"/>
      <c r="W2635" s="3"/>
      <c r="X2635" s="3"/>
      <c r="Y2635" s="3"/>
      <c r="Z2635" s="4"/>
      <c r="AA2635"/>
      <c r="AB2635"/>
    </row>
    <row r="2636" spans="1:28" s="37" customFormat="1" x14ac:dyDescent="0.15">
      <c r="A2636" s="166"/>
      <c r="B2636" s="93"/>
      <c r="C2636" s="70"/>
      <c r="D2636" s="70"/>
      <c r="E2636" s="73"/>
      <c r="F2636" s="70"/>
      <c r="G2636" s="70"/>
      <c r="H2636" s="93"/>
      <c r="I2636" s="85"/>
      <c r="J2636" s="85"/>
      <c r="K2636" s="131"/>
      <c r="L2636" s="60"/>
      <c r="M2636" s="49"/>
      <c r="Q2636" s="3"/>
      <c r="R2636" s="3"/>
      <c r="S2636" s="3"/>
      <c r="T2636" s="3"/>
      <c r="U2636" s="3"/>
      <c r="V2636" s="3"/>
      <c r="W2636" s="3"/>
      <c r="X2636" s="3"/>
      <c r="Y2636" s="3"/>
      <c r="Z2636" s="4"/>
      <c r="AA2636"/>
      <c r="AB2636"/>
    </row>
    <row r="2637" spans="1:28" s="37" customFormat="1" x14ac:dyDescent="0.15">
      <c r="A2637" s="166"/>
      <c r="B2637" s="93"/>
      <c r="C2637" s="70"/>
      <c r="D2637" s="70"/>
      <c r="E2637" s="70"/>
      <c r="F2637" s="70"/>
      <c r="G2637" s="70"/>
      <c r="H2637" s="93"/>
      <c r="I2637" s="85"/>
      <c r="J2637" s="85"/>
      <c r="K2637" s="131"/>
      <c r="L2637" s="60"/>
      <c r="M2637" s="49"/>
      <c r="Q2637" s="3"/>
      <c r="R2637" s="3"/>
      <c r="S2637" s="3"/>
      <c r="T2637" s="3"/>
      <c r="U2637" s="3"/>
      <c r="V2637" s="3"/>
      <c r="W2637" s="3"/>
      <c r="X2637" s="3"/>
      <c r="Y2637" s="3"/>
      <c r="Z2637" s="4"/>
      <c r="AA2637"/>
      <c r="AB2637"/>
    </row>
    <row r="2638" spans="1:28" s="37" customFormat="1" x14ac:dyDescent="0.15">
      <c r="A2638" s="166"/>
      <c r="B2638" s="93"/>
      <c r="C2638" s="70"/>
      <c r="D2638" s="70"/>
      <c r="E2638" s="70"/>
      <c r="F2638" s="70"/>
      <c r="G2638" s="70"/>
      <c r="H2638" s="93"/>
      <c r="I2638" s="85"/>
      <c r="J2638" s="85"/>
      <c r="K2638" s="131"/>
      <c r="L2638" s="60"/>
      <c r="M2638" s="33"/>
      <c r="Q2638" s="3"/>
      <c r="R2638" s="3"/>
      <c r="S2638" s="3"/>
      <c r="T2638" s="3"/>
      <c r="U2638" s="3"/>
      <c r="V2638" s="3"/>
      <c r="W2638" s="3"/>
      <c r="X2638" s="3"/>
      <c r="Y2638" s="3"/>
      <c r="Z2638" s="4"/>
      <c r="AA2638"/>
      <c r="AB2638"/>
    </row>
    <row r="2639" spans="1:28" s="37" customFormat="1" x14ac:dyDescent="0.15">
      <c r="A2639" s="166"/>
      <c r="B2639" s="93"/>
      <c r="C2639" s="70"/>
      <c r="D2639" s="70"/>
      <c r="E2639" s="70"/>
      <c r="F2639" s="70"/>
      <c r="G2639" s="70"/>
      <c r="H2639" s="93"/>
      <c r="I2639" s="85"/>
      <c r="J2639" s="85"/>
      <c r="K2639" s="131"/>
      <c r="L2639" s="60"/>
      <c r="M2639" s="33"/>
      <c r="Q2639" s="3"/>
      <c r="R2639" s="3"/>
      <c r="S2639" s="3"/>
      <c r="T2639" s="3"/>
      <c r="U2639" s="3"/>
      <c r="V2639" s="3"/>
      <c r="W2639" s="3"/>
      <c r="X2639" s="3"/>
      <c r="Y2639" s="3"/>
      <c r="Z2639" s="4"/>
      <c r="AA2639"/>
      <c r="AB2639"/>
    </row>
    <row r="2640" spans="1:28" s="37" customFormat="1" x14ac:dyDescent="0.15">
      <c r="A2640" s="166"/>
      <c r="B2640" s="93"/>
      <c r="C2640" s="70"/>
      <c r="D2640" s="70"/>
      <c r="E2640" s="70"/>
      <c r="F2640" s="70"/>
      <c r="G2640" s="70"/>
      <c r="H2640" s="93"/>
      <c r="I2640" s="85"/>
      <c r="J2640" s="85"/>
      <c r="K2640" s="131"/>
      <c r="L2640" s="60"/>
      <c r="M2640" s="33"/>
      <c r="Q2640" s="3"/>
      <c r="R2640" s="3"/>
      <c r="S2640" s="3"/>
      <c r="T2640" s="3"/>
      <c r="U2640" s="3"/>
      <c r="V2640" s="3"/>
      <c r="W2640" s="3"/>
      <c r="X2640" s="3"/>
      <c r="Y2640" s="3"/>
      <c r="Z2640" s="4"/>
      <c r="AA2640"/>
      <c r="AB2640"/>
    </row>
    <row r="2641" spans="1:28" s="37" customFormat="1" x14ac:dyDescent="0.15">
      <c r="A2641" s="166"/>
      <c r="B2641" s="93"/>
      <c r="C2641" s="70"/>
      <c r="D2641" s="70"/>
      <c r="E2641" s="70"/>
      <c r="F2641" s="70"/>
      <c r="G2641" s="70"/>
      <c r="H2641" s="93"/>
      <c r="I2641" s="85"/>
      <c r="J2641" s="85"/>
      <c r="K2641" s="131"/>
      <c r="L2641" s="60"/>
      <c r="M2641" s="33"/>
      <c r="Q2641" s="3"/>
      <c r="R2641" s="3"/>
      <c r="S2641" s="3"/>
      <c r="T2641" s="3"/>
      <c r="U2641" s="3"/>
      <c r="V2641" s="3"/>
      <c r="W2641" s="3"/>
      <c r="X2641" s="3"/>
      <c r="Y2641" s="3"/>
      <c r="Z2641" s="4"/>
      <c r="AA2641"/>
      <c r="AB2641"/>
    </row>
    <row r="2642" spans="1:28" s="37" customFormat="1" ht="14" x14ac:dyDescent="0.15">
      <c r="A2642" s="166"/>
      <c r="B2642" s="93"/>
      <c r="C2642" s="73"/>
      <c r="D2642" s="73"/>
      <c r="E2642" s="73"/>
      <c r="F2642" s="73"/>
      <c r="G2642" s="73"/>
      <c r="H2642" s="108"/>
      <c r="I2642" s="95"/>
      <c r="J2642" s="112"/>
      <c r="K2642" s="134"/>
      <c r="L2642" s="63"/>
      <c r="M2642" s="33"/>
      <c r="Q2642" s="3"/>
      <c r="R2642" s="3"/>
      <c r="S2642" s="3"/>
      <c r="T2642" s="3"/>
      <c r="U2642" s="3"/>
      <c r="V2642" s="3"/>
      <c r="W2642" s="3"/>
      <c r="X2642" s="3"/>
      <c r="Y2642" s="3"/>
      <c r="Z2642" s="4"/>
      <c r="AA2642"/>
      <c r="AB2642"/>
    </row>
    <row r="2643" spans="1:28" s="37" customFormat="1" x14ac:dyDescent="0.15">
      <c r="A2643" s="166"/>
      <c r="B2643" s="82"/>
      <c r="C2643" s="70"/>
      <c r="D2643" s="70"/>
      <c r="E2643" s="70"/>
      <c r="F2643" s="70"/>
      <c r="G2643" s="70"/>
      <c r="H2643" s="93"/>
      <c r="I2643" s="85"/>
      <c r="J2643" s="85"/>
      <c r="K2643" s="131"/>
      <c r="L2643" s="60"/>
      <c r="M2643" s="49"/>
      <c r="Q2643" s="3"/>
      <c r="R2643" s="3"/>
      <c r="S2643" s="3"/>
      <c r="T2643" s="3"/>
      <c r="U2643" s="3"/>
      <c r="V2643" s="3"/>
      <c r="W2643" s="3"/>
      <c r="X2643" s="3"/>
      <c r="Y2643" s="3"/>
      <c r="Z2643" s="4"/>
      <c r="AA2643"/>
      <c r="AB2643"/>
    </row>
    <row r="2644" spans="1:28" s="37" customFormat="1" ht="16" x14ac:dyDescent="0.2">
      <c r="A2644" s="166"/>
      <c r="B2644" s="93"/>
      <c r="C2644" s="70"/>
      <c r="D2644" s="70"/>
      <c r="E2644" s="70"/>
      <c r="F2644" s="70"/>
      <c r="G2644" s="70"/>
      <c r="H2644" s="93"/>
      <c r="I2644" s="85"/>
      <c r="J2644" s="85"/>
      <c r="K2644" s="131"/>
      <c r="L2644" s="60"/>
      <c r="M2644" s="33"/>
      <c r="N2644" s="48"/>
      <c r="Q2644" s="3"/>
      <c r="R2644" s="3"/>
      <c r="S2644" s="3"/>
      <c r="T2644" s="3"/>
      <c r="U2644" s="3"/>
      <c r="V2644" s="3"/>
      <c r="W2644" s="3"/>
      <c r="X2644" s="3"/>
      <c r="Y2644" s="3"/>
      <c r="Z2644" s="4"/>
      <c r="AA2644"/>
      <c r="AB2644"/>
    </row>
    <row r="2645" spans="1:28" s="37" customFormat="1" x14ac:dyDescent="0.15">
      <c r="A2645" s="166"/>
      <c r="B2645" s="82"/>
      <c r="C2645" s="70"/>
      <c r="D2645" s="70"/>
      <c r="E2645" s="70"/>
      <c r="F2645" s="70"/>
      <c r="G2645" s="70"/>
      <c r="H2645" s="93"/>
      <c r="I2645" s="85"/>
      <c r="J2645" s="85"/>
      <c r="K2645" s="131"/>
      <c r="L2645" s="60"/>
      <c r="M2645" s="49"/>
      <c r="Q2645" s="3"/>
      <c r="R2645" s="3"/>
      <c r="S2645" s="3"/>
      <c r="T2645" s="3"/>
      <c r="U2645" s="3"/>
      <c r="V2645" s="3"/>
      <c r="W2645" s="3"/>
      <c r="X2645" s="3"/>
      <c r="Y2645" s="3"/>
      <c r="Z2645" s="4"/>
      <c r="AA2645"/>
      <c r="AB2645"/>
    </row>
    <row r="2646" spans="1:28" s="37" customFormat="1" ht="14" x14ac:dyDescent="0.15">
      <c r="A2646" s="166"/>
      <c r="B2646" s="93"/>
      <c r="C2646" s="70"/>
      <c r="D2646" s="70"/>
      <c r="E2646" s="70"/>
      <c r="F2646" s="70"/>
      <c r="G2646" s="70"/>
      <c r="H2646" s="93"/>
      <c r="I2646" s="85"/>
      <c r="J2646" s="113"/>
      <c r="K2646" s="131"/>
      <c r="L2646" s="60"/>
      <c r="M2646" s="33"/>
      <c r="Q2646" s="3"/>
      <c r="R2646" s="3"/>
      <c r="S2646" s="3"/>
      <c r="T2646" s="3"/>
      <c r="U2646" s="3"/>
      <c r="V2646" s="3"/>
      <c r="W2646" s="3"/>
      <c r="X2646" s="3"/>
      <c r="Y2646" s="3"/>
      <c r="Z2646" s="4"/>
      <c r="AA2646"/>
      <c r="AB2646"/>
    </row>
    <row r="2647" spans="1:28" s="37" customFormat="1" x14ac:dyDescent="0.15">
      <c r="A2647" s="166"/>
      <c r="B2647" s="82"/>
      <c r="C2647" s="70"/>
      <c r="D2647" s="70"/>
      <c r="E2647" s="70"/>
      <c r="F2647" s="70"/>
      <c r="G2647" s="70"/>
      <c r="H2647" s="93"/>
      <c r="I2647" s="85"/>
      <c r="J2647" s="85"/>
      <c r="K2647" s="131"/>
      <c r="L2647" s="60"/>
      <c r="M2647" s="49"/>
      <c r="Q2647" s="3"/>
      <c r="R2647" s="3"/>
      <c r="S2647" s="3"/>
      <c r="T2647" s="3"/>
      <c r="U2647" s="3"/>
      <c r="V2647" s="3"/>
      <c r="W2647" s="3"/>
      <c r="X2647" s="3"/>
      <c r="Y2647" s="3"/>
      <c r="Z2647" s="4"/>
      <c r="AA2647"/>
      <c r="AB2647"/>
    </row>
    <row r="2648" spans="1:28" s="37" customFormat="1" x14ac:dyDescent="0.15">
      <c r="A2648" s="166"/>
      <c r="B2648" s="82"/>
      <c r="C2648" s="70"/>
      <c r="D2648" s="70"/>
      <c r="E2648" s="70"/>
      <c r="F2648" s="70"/>
      <c r="G2648" s="70"/>
      <c r="H2648" s="93"/>
      <c r="I2648" s="85"/>
      <c r="J2648" s="85"/>
      <c r="K2648" s="141"/>
      <c r="L2648" s="60"/>
      <c r="M2648" s="49"/>
      <c r="Q2648" s="3"/>
      <c r="R2648" s="3"/>
      <c r="S2648" s="3"/>
      <c r="T2648" s="3"/>
      <c r="U2648" s="3"/>
      <c r="V2648" s="3"/>
      <c r="W2648" s="3"/>
      <c r="X2648" s="3"/>
      <c r="Y2648" s="3"/>
      <c r="Z2648" s="4"/>
      <c r="AA2648"/>
      <c r="AB2648"/>
    </row>
    <row r="2649" spans="1:28" s="37" customFormat="1" x14ac:dyDescent="0.15">
      <c r="A2649" s="166"/>
      <c r="B2649" s="82"/>
      <c r="C2649" s="70"/>
      <c r="D2649" s="70"/>
      <c r="E2649" s="70"/>
      <c r="F2649" s="70"/>
      <c r="G2649" s="70"/>
      <c r="H2649" s="93"/>
      <c r="I2649" s="85"/>
      <c r="J2649" s="85"/>
      <c r="K2649" s="141"/>
      <c r="L2649" s="60"/>
      <c r="M2649" s="49"/>
      <c r="Q2649" s="3"/>
      <c r="R2649" s="3"/>
      <c r="S2649" s="3"/>
      <c r="T2649" s="3"/>
      <c r="U2649" s="3"/>
      <c r="V2649" s="3"/>
      <c r="W2649" s="3"/>
      <c r="X2649" s="3"/>
      <c r="Y2649" s="3"/>
      <c r="Z2649" s="4"/>
      <c r="AA2649"/>
      <c r="AB2649"/>
    </row>
    <row r="2650" spans="1:28" s="37" customFormat="1" x14ac:dyDescent="0.15">
      <c r="A2650" s="166"/>
      <c r="B2650" s="82"/>
      <c r="C2650" s="70"/>
      <c r="D2650" s="70"/>
      <c r="E2650" s="70"/>
      <c r="F2650" s="70"/>
      <c r="G2650" s="70"/>
      <c r="H2650" s="93"/>
      <c r="I2650" s="85"/>
      <c r="J2650" s="85"/>
      <c r="K2650" s="131"/>
      <c r="L2650" s="60"/>
      <c r="M2650" s="49"/>
      <c r="Q2650" s="3"/>
      <c r="R2650" s="3"/>
      <c r="S2650" s="3"/>
      <c r="T2650" s="3"/>
      <c r="U2650" s="3"/>
      <c r="V2650" s="3"/>
      <c r="W2650" s="3"/>
      <c r="X2650" s="3"/>
      <c r="Y2650" s="3"/>
      <c r="Z2650" s="4"/>
      <c r="AA2650"/>
      <c r="AB2650"/>
    </row>
    <row r="2651" spans="1:28" s="37" customFormat="1" ht="16" x14ac:dyDescent="0.2">
      <c r="A2651" s="166"/>
      <c r="B2651" s="82"/>
      <c r="C2651" s="70"/>
      <c r="D2651" s="70"/>
      <c r="E2651" s="70"/>
      <c r="F2651" s="70"/>
      <c r="G2651" s="70"/>
      <c r="H2651" s="93"/>
      <c r="I2651" s="85"/>
      <c r="J2651" s="85"/>
      <c r="K2651" s="131"/>
      <c r="L2651" s="60"/>
      <c r="M2651" s="47"/>
      <c r="Q2651" s="3"/>
      <c r="R2651" s="3"/>
      <c r="S2651" s="3"/>
      <c r="T2651" s="3"/>
      <c r="U2651" s="3"/>
      <c r="V2651" s="3"/>
      <c r="W2651" s="3"/>
      <c r="X2651" s="3"/>
      <c r="Y2651" s="3"/>
      <c r="Z2651" s="4"/>
      <c r="AA2651"/>
      <c r="AB2651"/>
    </row>
    <row r="2652" spans="1:28" s="37" customFormat="1" x14ac:dyDescent="0.15">
      <c r="A2652" s="166"/>
      <c r="B2652" s="82"/>
      <c r="C2652" s="70"/>
      <c r="D2652" s="70"/>
      <c r="E2652" s="70"/>
      <c r="F2652" s="70"/>
      <c r="G2652" s="70"/>
      <c r="H2652" s="93"/>
      <c r="I2652" s="85"/>
      <c r="J2652" s="85"/>
      <c r="K2652" s="131"/>
      <c r="L2652" s="60"/>
      <c r="M2652" s="33"/>
      <c r="Q2652" s="3"/>
      <c r="R2652" s="3"/>
      <c r="S2652" s="3"/>
      <c r="T2652" s="3"/>
      <c r="U2652" s="3"/>
      <c r="V2652" s="3"/>
      <c r="W2652" s="3"/>
      <c r="X2652" s="3"/>
      <c r="Y2652" s="3"/>
      <c r="Z2652" s="4"/>
      <c r="AA2652"/>
      <c r="AB2652"/>
    </row>
    <row r="2653" spans="1:28" s="37" customFormat="1" x14ac:dyDescent="0.15">
      <c r="A2653" s="166"/>
      <c r="B2653" s="82"/>
      <c r="C2653" s="70"/>
      <c r="D2653" s="70"/>
      <c r="E2653" s="70"/>
      <c r="F2653" s="70"/>
      <c r="G2653" s="70"/>
      <c r="H2653" s="93"/>
      <c r="I2653" s="85"/>
      <c r="J2653" s="85"/>
      <c r="K2653" s="131"/>
      <c r="L2653" s="60"/>
      <c r="M2653" s="49"/>
      <c r="Q2653" s="3"/>
      <c r="R2653" s="3"/>
      <c r="S2653" s="3"/>
      <c r="T2653" s="3"/>
      <c r="U2653" s="3"/>
      <c r="V2653" s="3"/>
      <c r="W2653" s="3"/>
      <c r="X2653" s="3"/>
      <c r="Y2653" s="3"/>
      <c r="Z2653" s="4"/>
      <c r="AA2653"/>
      <c r="AB2653"/>
    </row>
    <row r="2654" spans="1:28" s="37" customFormat="1" x14ac:dyDescent="0.15">
      <c r="A2654" s="166"/>
      <c r="B2654" s="82"/>
      <c r="C2654" s="70"/>
      <c r="D2654" s="70"/>
      <c r="E2654" s="70"/>
      <c r="F2654" s="70"/>
      <c r="G2654" s="70"/>
      <c r="H2654" s="93"/>
      <c r="I2654" s="85"/>
      <c r="J2654" s="85"/>
      <c r="K2654" s="131"/>
      <c r="L2654" s="60"/>
      <c r="M2654" s="49"/>
      <c r="Q2654" s="3"/>
      <c r="R2654" s="3"/>
      <c r="S2654" s="3"/>
      <c r="T2654" s="3"/>
      <c r="U2654" s="3"/>
      <c r="V2654" s="3"/>
      <c r="W2654" s="3"/>
      <c r="X2654" s="3"/>
      <c r="Y2654" s="3"/>
      <c r="Z2654" s="4"/>
      <c r="AA2654"/>
      <c r="AB2654"/>
    </row>
    <row r="2655" spans="1:28" s="37" customFormat="1" x14ac:dyDescent="0.15">
      <c r="A2655" s="166"/>
      <c r="B2655" s="93"/>
      <c r="C2655" s="70"/>
      <c r="D2655" s="70"/>
      <c r="E2655" s="70"/>
      <c r="F2655" s="70"/>
      <c r="G2655" s="70"/>
      <c r="H2655" s="93"/>
      <c r="I2655" s="85"/>
      <c r="J2655" s="85"/>
      <c r="K2655" s="131"/>
      <c r="L2655" s="60"/>
      <c r="M2655" s="33"/>
      <c r="Q2655" s="3"/>
      <c r="R2655" s="3"/>
      <c r="S2655" s="3"/>
      <c r="T2655" s="3"/>
      <c r="U2655" s="3"/>
      <c r="V2655" s="3"/>
      <c r="W2655" s="3"/>
      <c r="X2655" s="3"/>
      <c r="Y2655" s="3"/>
      <c r="Z2655" s="4"/>
      <c r="AA2655"/>
      <c r="AB2655"/>
    </row>
    <row r="2656" spans="1:28" s="37" customFormat="1" x14ac:dyDescent="0.15">
      <c r="A2656" s="166"/>
      <c r="B2656" s="93"/>
      <c r="C2656" s="70"/>
      <c r="D2656" s="70"/>
      <c r="E2656" s="70"/>
      <c r="F2656" s="70"/>
      <c r="G2656" s="70"/>
      <c r="H2656" s="93"/>
      <c r="I2656" s="85"/>
      <c r="J2656" s="85"/>
      <c r="K2656" s="131"/>
      <c r="L2656" s="60"/>
      <c r="M2656" s="52"/>
      <c r="Q2656" s="3"/>
      <c r="R2656" s="3"/>
      <c r="S2656" s="3"/>
      <c r="T2656" s="3"/>
      <c r="U2656" s="3"/>
      <c r="V2656" s="3"/>
      <c r="W2656" s="3"/>
      <c r="X2656" s="3"/>
      <c r="Y2656" s="3"/>
      <c r="Z2656" s="4"/>
      <c r="AA2656"/>
      <c r="AB2656"/>
    </row>
    <row r="2657" spans="1:28" s="37" customFormat="1" ht="16" x14ac:dyDescent="0.2">
      <c r="A2657" s="166"/>
      <c r="B2657" s="82"/>
      <c r="C2657" s="70"/>
      <c r="D2657" s="70"/>
      <c r="E2657" s="70"/>
      <c r="F2657" s="70"/>
      <c r="G2657" s="70"/>
      <c r="H2657" s="93"/>
      <c r="I2657" s="85"/>
      <c r="J2657" s="85"/>
      <c r="K2657" s="131"/>
      <c r="L2657" s="60"/>
      <c r="M2657" s="47"/>
      <c r="Q2657" s="3"/>
      <c r="R2657" s="3"/>
      <c r="S2657" s="3"/>
      <c r="T2657" s="3"/>
      <c r="U2657" s="3"/>
      <c r="V2657" s="3"/>
      <c r="W2657" s="3"/>
      <c r="X2657" s="3"/>
      <c r="Y2657" s="3"/>
      <c r="Z2657" s="4"/>
      <c r="AA2657"/>
      <c r="AB2657"/>
    </row>
    <row r="2658" spans="1:28" s="37" customFormat="1" x14ac:dyDescent="0.15">
      <c r="A2658" s="166"/>
      <c r="B2658" s="82"/>
      <c r="C2658" s="70"/>
      <c r="D2658" s="70"/>
      <c r="E2658" s="70"/>
      <c r="F2658" s="70"/>
      <c r="G2658" s="70"/>
      <c r="H2658" s="93"/>
      <c r="I2658" s="85"/>
      <c r="J2658" s="85"/>
      <c r="K2658" s="131"/>
      <c r="L2658" s="60"/>
      <c r="M2658" s="49"/>
      <c r="Q2658" s="3"/>
      <c r="R2658" s="3"/>
      <c r="S2658" s="3"/>
      <c r="T2658" s="3"/>
      <c r="U2658" s="3"/>
      <c r="V2658" s="3"/>
      <c r="W2658" s="3"/>
      <c r="X2658" s="3"/>
      <c r="Y2658" s="3"/>
      <c r="Z2658" s="4"/>
      <c r="AA2658"/>
      <c r="AB2658"/>
    </row>
    <row r="2659" spans="1:28" s="37" customFormat="1" x14ac:dyDescent="0.15">
      <c r="A2659" s="166"/>
      <c r="B2659" s="82"/>
      <c r="C2659" s="70"/>
      <c r="D2659" s="70"/>
      <c r="E2659" s="70"/>
      <c r="F2659" s="70"/>
      <c r="G2659" s="70"/>
      <c r="H2659" s="93"/>
      <c r="I2659" s="85"/>
      <c r="J2659" s="85"/>
      <c r="K2659" s="131"/>
      <c r="L2659" s="60"/>
      <c r="M2659" s="49"/>
      <c r="Q2659" s="3"/>
      <c r="R2659" s="3"/>
      <c r="S2659" s="3"/>
      <c r="T2659" s="3"/>
      <c r="U2659" s="3"/>
      <c r="V2659" s="3"/>
      <c r="W2659" s="3"/>
      <c r="X2659" s="3"/>
      <c r="Y2659" s="3"/>
      <c r="Z2659" s="4"/>
      <c r="AA2659"/>
      <c r="AB2659"/>
    </row>
    <row r="2660" spans="1:28" s="37" customFormat="1" ht="16" x14ac:dyDescent="0.2">
      <c r="A2660" s="166"/>
      <c r="B2660" s="82"/>
      <c r="C2660" s="70"/>
      <c r="D2660" s="70"/>
      <c r="E2660" s="70"/>
      <c r="F2660" s="70"/>
      <c r="G2660" s="70"/>
      <c r="H2660" s="93"/>
      <c r="I2660" s="85"/>
      <c r="J2660" s="85"/>
      <c r="K2660" s="131"/>
      <c r="L2660" s="60"/>
      <c r="M2660" s="47"/>
      <c r="Q2660" s="3"/>
      <c r="R2660" s="3"/>
      <c r="S2660" s="3"/>
      <c r="T2660" s="3"/>
      <c r="U2660" s="3"/>
      <c r="V2660" s="3"/>
      <c r="W2660" s="3"/>
      <c r="X2660" s="3"/>
      <c r="Y2660" s="3"/>
      <c r="Z2660" s="4"/>
      <c r="AA2660"/>
      <c r="AB2660"/>
    </row>
    <row r="2661" spans="1:28" s="37" customFormat="1" x14ac:dyDescent="0.15">
      <c r="A2661" s="166"/>
      <c r="B2661" s="82"/>
      <c r="C2661" s="70"/>
      <c r="D2661" s="70"/>
      <c r="E2661" s="70"/>
      <c r="F2661" s="70"/>
      <c r="G2661" s="70"/>
      <c r="H2661" s="93"/>
      <c r="I2661" s="85"/>
      <c r="J2661" s="85"/>
      <c r="K2661" s="131"/>
      <c r="L2661" s="60"/>
      <c r="M2661" s="49"/>
      <c r="Q2661" s="3"/>
      <c r="R2661" s="3"/>
      <c r="S2661" s="3"/>
      <c r="T2661" s="3"/>
      <c r="U2661" s="3"/>
      <c r="V2661" s="3"/>
      <c r="W2661" s="3"/>
      <c r="X2661" s="3"/>
      <c r="Y2661" s="3"/>
      <c r="Z2661" s="4"/>
      <c r="AA2661"/>
      <c r="AB2661"/>
    </row>
    <row r="2662" spans="1:28" s="37" customFormat="1" x14ac:dyDescent="0.15">
      <c r="A2662" s="166"/>
      <c r="B2662" s="93"/>
      <c r="C2662" s="70"/>
      <c r="D2662" s="70"/>
      <c r="E2662" s="70"/>
      <c r="F2662" s="70"/>
      <c r="G2662" s="70"/>
      <c r="H2662" s="93"/>
      <c r="I2662" s="85"/>
      <c r="J2662" s="85"/>
      <c r="K2662" s="131"/>
      <c r="L2662" s="60"/>
      <c r="M2662" s="49"/>
      <c r="Q2662" s="3"/>
      <c r="R2662" s="3"/>
      <c r="S2662" s="3"/>
      <c r="T2662" s="3"/>
      <c r="U2662" s="3"/>
      <c r="V2662" s="3"/>
      <c r="W2662" s="3"/>
      <c r="X2662" s="3"/>
      <c r="Y2662" s="3"/>
      <c r="Z2662" s="4"/>
      <c r="AA2662"/>
      <c r="AB2662"/>
    </row>
    <row r="2663" spans="1:28" s="37" customFormat="1" x14ac:dyDescent="0.15">
      <c r="A2663" s="166"/>
      <c r="B2663" s="82"/>
      <c r="C2663" s="70"/>
      <c r="D2663" s="70"/>
      <c r="E2663" s="70"/>
      <c r="F2663" s="70"/>
      <c r="G2663" s="70"/>
      <c r="H2663" s="93"/>
      <c r="I2663" s="85"/>
      <c r="J2663" s="85"/>
      <c r="K2663" s="131"/>
      <c r="L2663" s="60"/>
      <c r="M2663" s="33"/>
      <c r="Q2663" s="3"/>
      <c r="R2663" s="3"/>
      <c r="S2663" s="3"/>
      <c r="T2663" s="3"/>
      <c r="U2663" s="3"/>
      <c r="V2663" s="3"/>
      <c r="W2663" s="3"/>
      <c r="X2663" s="3"/>
      <c r="Y2663" s="3"/>
      <c r="Z2663" s="4"/>
      <c r="AA2663"/>
      <c r="AB2663"/>
    </row>
    <row r="2664" spans="1:28" s="37" customFormat="1" x14ac:dyDescent="0.15">
      <c r="A2664" s="166"/>
      <c r="B2664" s="82"/>
      <c r="C2664" s="70"/>
      <c r="D2664" s="70"/>
      <c r="E2664" s="70"/>
      <c r="F2664" s="70"/>
      <c r="G2664" s="70"/>
      <c r="H2664" s="93"/>
      <c r="I2664" s="85"/>
      <c r="J2664" s="85"/>
      <c r="K2664" s="131"/>
      <c r="L2664" s="60"/>
      <c r="M2664" s="33"/>
      <c r="Q2664" s="3"/>
      <c r="R2664" s="3"/>
      <c r="S2664" s="3"/>
      <c r="T2664" s="3"/>
      <c r="U2664" s="3"/>
      <c r="V2664" s="3"/>
      <c r="W2664" s="3"/>
      <c r="X2664" s="3"/>
      <c r="Y2664" s="3"/>
      <c r="Z2664" s="4"/>
      <c r="AA2664"/>
      <c r="AB2664"/>
    </row>
    <row r="2665" spans="1:28" s="37" customFormat="1" x14ac:dyDescent="0.15">
      <c r="A2665" s="166"/>
      <c r="B2665" s="82"/>
      <c r="C2665" s="70"/>
      <c r="D2665" s="70"/>
      <c r="E2665" s="70"/>
      <c r="F2665" s="70"/>
      <c r="G2665" s="70"/>
      <c r="H2665" s="93"/>
      <c r="I2665" s="85"/>
      <c r="J2665" s="85"/>
      <c r="K2665" s="131"/>
      <c r="L2665" s="60"/>
      <c r="M2665" s="33"/>
      <c r="N2665" s="35"/>
      <c r="Q2665" s="3"/>
      <c r="R2665" s="3"/>
      <c r="S2665" s="3"/>
      <c r="T2665" s="3"/>
      <c r="U2665" s="3"/>
      <c r="V2665" s="3"/>
      <c r="W2665" s="3"/>
      <c r="X2665" s="3"/>
      <c r="Y2665" s="3"/>
      <c r="Z2665" s="4"/>
      <c r="AA2665"/>
      <c r="AB2665"/>
    </row>
    <row r="2666" spans="1:28" s="37" customFormat="1" x14ac:dyDescent="0.15">
      <c r="A2666" s="166"/>
      <c r="B2666" s="82"/>
      <c r="C2666" s="70"/>
      <c r="D2666" s="70"/>
      <c r="E2666" s="70"/>
      <c r="F2666" s="70"/>
      <c r="G2666" s="70"/>
      <c r="H2666" s="93"/>
      <c r="I2666" s="85"/>
      <c r="J2666" s="85"/>
      <c r="K2666" s="131"/>
      <c r="L2666" s="60"/>
      <c r="M2666" s="33"/>
      <c r="Q2666" s="3"/>
      <c r="R2666" s="3"/>
      <c r="S2666" s="3"/>
      <c r="T2666" s="3"/>
      <c r="U2666" s="3"/>
      <c r="V2666" s="3"/>
      <c r="W2666" s="3"/>
      <c r="X2666" s="3"/>
      <c r="Y2666" s="3"/>
      <c r="Z2666" s="4"/>
      <c r="AA2666"/>
      <c r="AB2666"/>
    </row>
    <row r="2667" spans="1:28" s="37" customFormat="1" x14ac:dyDescent="0.15">
      <c r="A2667" s="166"/>
      <c r="B2667" s="82"/>
      <c r="C2667" s="70"/>
      <c r="D2667" s="70"/>
      <c r="E2667" s="70"/>
      <c r="F2667" s="70"/>
      <c r="G2667" s="70"/>
      <c r="H2667" s="93"/>
      <c r="I2667" s="85"/>
      <c r="J2667" s="85"/>
      <c r="K2667" s="131"/>
      <c r="L2667" s="60"/>
      <c r="M2667" s="33"/>
      <c r="Q2667" s="3"/>
      <c r="R2667" s="3"/>
      <c r="S2667" s="3"/>
      <c r="T2667" s="3"/>
      <c r="U2667" s="3"/>
      <c r="V2667" s="3"/>
      <c r="W2667" s="3"/>
      <c r="X2667" s="3"/>
      <c r="Y2667" s="3"/>
      <c r="Z2667" s="4"/>
      <c r="AA2667"/>
      <c r="AB2667"/>
    </row>
    <row r="2668" spans="1:28" s="37" customFormat="1" x14ac:dyDescent="0.15">
      <c r="A2668" s="166"/>
      <c r="B2668" s="82"/>
      <c r="C2668" s="70"/>
      <c r="D2668" s="70"/>
      <c r="E2668" s="70"/>
      <c r="F2668" s="70"/>
      <c r="G2668" s="70"/>
      <c r="H2668" s="93"/>
      <c r="I2668" s="85"/>
      <c r="J2668" s="85"/>
      <c r="K2668" s="131"/>
      <c r="L2668" s="60"/>
      <c r="M2668" s="33"/>
      <c r="Q2668" s="3"/>
      <c r="R2668" s="3"/>
      <c r="S2668" s="3"/>
      <c r="T2668" s="3"/>
      <c r="U2668" s="3"/>
      <c r="V2668" s="3"/>
      <c r="W2668" s="3"/>
      <c r="X2668" s="3"/>
      <c r="Y2668" s="3"/>
      <c r="Z2668" s="4"/>
      <c r="AA2668"/>
      <c r="AB2668"/>
    </row>
    <row r="2669" spans="1:28" s="37" customFormat="1" x14ac:dyDescent="0.15">
      <c r="A2669" s="166"/>
      <c r="B2669" s="82"/>
      <c r="C2669" s="70"/>
      <c r="D2669" s="70"/>
      <c r="E2669" s="70"/>
      <c r="F2669" s="70"/>
      <c r="G2669" s="70"/>
      <c r="H2669" s="93"/>
      <c r="I2669" s="85"/>
      <c r="J2669" s="85"/>
      <c r="K2669" s="131"/>
      <c r="L2669" s="60"/>
      <c r="M2669" s="33"/>
      <c r="Q2669" s="3"/>
      <c r="R2669" s="3"/>
      <c r="S2669" s="3"/>
      <c r="T2669" s="3"/>
      <c r="U2669" s="3"/>
      <c r="V2669" s="3"/>
      <c r="W2669" s="3"/>
      <c r="X2669" s="3"/>
      <c r="Y2669" s="3"/>
      <c r="Z2669" s="4"/>
      <c r="AA2669"/>
      <c r="AB2669"/>
    </row>
    <row r="2670" spans="1:28" s="37" customFormat="1" x14ac:dyDescent="0.15">
      <c r="A2670" s="166"/>
      <c r="B2670" s="93"/>
      <c r="C2670" s="70"/>
      <c r="D2670" s="70"/>
      <c r="E2670" s="70"/>
      <c r="F2670" s="70"/>
      <c r="G2670" s="70"/>
      <c r="H2670" s="93"/>
      <c r="I2670" s="85"/>
      <c r="J2670" s="85"/>
      <c r="K2670" s="131"/>
      <c r="L2670" s="60"/>
      <c r="M2670" s="33"/>
      <c r="Q2670" s="3"/>
      <c r="R2670" s="3"/>
      <c r="S2670" s="3"/>
      <c r="T2670" s="3"/>
      <c r="U2670" s="3"/>
      <c r="V2670" s="3"/>
      <c r="W2670" s="3"/>
      <c r="X2670" s="3"/>
      <c r="Y2670" s="3"/>
      <c r="Z2670" s="4"/>
      <c r="AA2670"/>
      <c r="AB2670"/>
    </row>
    <row r="2671" spans="1:28" s="37" customFormat="1" ht="16" x14ac:dyDescent="0.2">
      <c r="A2671" s="166"/>
      <c r="B2671" s="82"/>
      <c r="C2671" s="70"/>
      <c r="D2671" s="70"/>
      <c r="E2671" s="70"/>
      <c r="F2671" s="70"/>
      <c r="G2671" s="70"/>
      <c r="H2671" s="93"/>
      <c r="I2671" s="85"/>
      <c r="J2671" s="85"/>
      <c r="K2671" s="131"/>
      <c r="L2671" s="60"/>
      <c r="M2671" s="47"/>
      <c r="Q2671" s="3"/>
      <c r="R2671" s="3"/>
      <c r="S2671" s="3"/>
      <c r="T2671" s="3"/>
      <c r="U2671" s="3"/>
      <c r="V2671" s="3"/>
      <c r="W2671" s="3"/>
      <c r="X2671" s="3"/>
      <c r="Y2671" s="3"/>
      <c r="Z2671" s="4"/>
      <c r="AA2671"/>
      <c r="AB2671"/>
    </row>
    <row r="2672" spans="1:28" s="37" customFormat="1" x14ac:dyDescent="0.15">
      <c r="A2672" s="166"/>
      <c r="B2672" s="82"/>
      <c r="C2672" s="70"/>
      <c r="D2672" s="70"/>
      <c r="E2672" s="70"/>
      <c r="F2672" s="70"/>
      <c r="G2672" s="70"/>
      <c r="H2672" s="93"/>
      <c r="I2672" s="85"/>
      <c r="J2672" s="85"/>
      <c r="K2672" s="131"/>
      <c r="L2672" s="60"/>
      <c r="M2672" s="33"/>
      <c r="Q2672" s="3"/>
      <c r="R2672" s="3"/>
      <c r="S2672" s="3"/>
      <c r="T2672" s="3"/>
      <c r="U2672" s="3"/>
      <c r="V2672" s="3"/>
      <c r="W2672" s="3"/>
      <c r="X2672" s="3"/>
      <c r="Y2672" s="3"/>
      <c r="Z2672" s="4"/>
      <c r="AA2672"/>
      <c r="AB2672"/>
    </row>
    <row r="2673" spans="1:28" s="37" customFormat="1" x14ac:dyDescent="0.15">
      <c r="A2673" s="166"/>
      <c r="B2673" s="93"/>
      <c r="C2673" s="70"/>
      <c r="D2673" s="70"/>
      <c r="E2673" s="70"/>
      <c r="F2673" s="70"/>
      <c r="G2673" s="70"/>
      <c r="H2673" s="93"/>
      <c r="I2673" s="85"/>
      <c r="J2673" s="85"/>
      <c r="K2673" s="131"/>
      <c r="L2673" s="60"/>
      <c r="M2673" s="33"/>
      <c r="Q2673" s="3"/>
      <c r="R2673" s="3"/>
      <c r="S2673" s="3"/>
      <c r="T2673" s="3"/>
      <c r="U2673" s="3"/>
      <c r="V2673" s="3"/>
      <c r="W2673" s="3"/>
      <c r="X2673" s="3"/>
      <c r="Y2673" s="3"/>
      <c r="Z2673" s="4"/>
      <c r="AA2673"/>
      <c r="AB2673"/>
    </row>
    <row r="2674" spans="1:28" s="37" customFormat="1" x14ac:dyDescent="0.15">
      <c r="A2674" s="166"/>
      <c r="B2674" s="82"/>
      <c r="C2674" s="70"/>
      <c r="D2674" s="70"/>
      <c r="E2674" s="70"/>
      <c r="F2674" s="70"/>
      <c r="G2674" s="70"/>
      <c r="H2674" s="93"/>
      <c r="I2674" s="85"/>
      <c r="J2674" s="85"/>
      <c r="K2674" s="131"/>
      <c r="L2674" s="60"/>
      <c r="M2674" s="33"/>
      <c r="Q2674" s="3"/>
      <c r="R2674" s="3"/>
      <c r="S2674" s="3"/>
      <c r="T2674" s="3"/>
      <c r="U2674" s="3"/>
      <c r="V2674" s="3"/>
      <c r="W2674" s="3"/>
      <c r="X2674" s="3"/>
      <c r="Y2674" s="3"/>
      <c r="Z2674" s="4"/>
      <c r="AA2674"/>
      <c r="AB2674"/>
    </row>
    <row r="2675" spans="1:28" s="37" customFormat="1" ht="16" x14ac:dyDescent="0.2">
      <c r="A2675" s="166"/>
      <c r="B2675" s="82"/>
      <c r="C2675" s="70"/>
      <c r="D2675" s="70"/>
      <c r="E2675" s="70"/>
      <c r="F2675" s="70"/>
      <c r="G2675" s="70"/>
      <c r="H2675" s="93"/>
      <c r="I2675" s="85"/>
      <c r="J2675" s="85"/>
      <c r="K2675" s="131"/>
      <c r="L2675" s="60"/>
      <c r="M2675" s="47"/>
      <c r="Q2675" s="3"/>
      <c r="R2675" s="3"/>
      <c r="S2675" s="3"/>
      <c r="T2675" s="3"/>
      <c r="U2675" s="3"/>
      <c r="V2675" s="3"/>
      <c r="W2675" s="3"/>
      <c r="X2675" s="3"/>
      <c r="Y2675" s="3"/>
      <c r="Z2675" s="4"/>
      <c r="AA2675"/>
      <c r="AB2675"/>
    </row>
    <row r="2676" spans="1:28" s="37" customFormat="1" x14ac:dyDescent="0.15">
      <c r="A2676" s="166"/>
      <c r="B2676" s="82"/>
      <c r="C2676" s="70"/>
      <c r="D2676" s="70"/>
      <c r="E2676" s="70"/>
      <c r="F2676" s="70"/>
      <c r="G2676" s="70"/>
      <c r="H2676" s="93"/>
      <c r="I2676" s="85"/>
      <c r="J2676" s="85"/>
      <c r="K2676" s="131"/>
      <c r="L2676" s="60"/>
      <c r="M2676" s="33"/>
      <c r="Q2676" s="3"/>
      <c r="R2676" s="3"/>
      <c r="S2676" s="3"/>
      <c r="T2676" s="3"/>
      <c r="U2676" s="3"/>
      <c r="V2676" s="3"/>
      <c r="W2676" s="3"/>
      <c r="X2676" s="3"/>
      <c r="Y2676" s="3"/>
      <c r="Z2676" s="4"/>
      <c r="AA2676"/>
      <c r="AB2676"/>
    </row>
    <row r="2677" spans="1:28" s="37" customFormat="1" ht="16" x14ac:dyDescent="0.2">
      <c r="A2677" s="166"/>
      <c r="B2677" s="82"/>
      <c r="C2677" s="70"/>
      <c r="D2677" s="70"/>
      <c r="E2677" s="70"/>
      <c r="F2677" s="70"/>
      <c r="G2677" s="70"/>
      <c r="H2677" s="93"/>
      <c r="I2677" s="85"/>
      <c r="J2677" s="85"/>
      <c r="K2677" s="131"/>
      <c r="L2677" s="60"/>
      <c r="M2677" s="47"/>
      <c r="O2677" s="49"/>
      <c r="Q2677" s="3"/>
      <c r="R2677" s="3"/>
      <c r="S2677" s="3"/>
      <c r="T2677" s="3"/>
      <c r="U2677" s="3"/>
      <c r="V2677" s="3"/>
      <c r="W2677" s="3"/>
      <c r="X2677" s="3"/>
      <c r="Y2677" s="3"/>
      <c r="Z2677" s="4"/>
      <c r="AA2677"/>
      <c r="AB2677"/>
    </row>
    <row r="2678" spans="1:28" s="37" customFormat="1" ht="16" x14ac:dyDescent="0.2">
      <c r="A2678" s="166"/>
      <c r="B2678" s="82"/>
      <c r="C2678" s="70"/>
      <c r="D2678" s="70"/>
      <c r="E2678" s="70"/>
      <c r="F2678" s="70"/>
      <c r="G2678" s="70"/>
      <c r="H2678" s="93"/>
      <c r="I2678" s="85"/>
      <c r="J2678" s="85"/>
      <c r="K2678" s="141"/>
      <c r="L2678" s="60"/>
      <c r="M2678" s="47"/>
      <c r="O2678" s="49"/>
      <c r="Q2678" s="3"/>
      <c r="R2678" s="3"/>
      <c r="S2678" s="3"/>
      <c r="T2678" s="3"/>
      <c r="U2678" s="3"/>
      <c r="V2678" s="3"/>
      <c r="W2678" s="3"/>
      <c r="X2678" s="3"/>
      <c r="Y2678" s="3"/>
      <c r="Z2678" s="4"/>
      <c r="AA2678"/>
      <c r="AB2678"/>
    </row>
    <row r="2679" spans="1:28" s="37" customFormat="1" x14ac:dyDescent="0.15">
      <c r="A2679" s="166"/>
      <c r="B2679" s="82"/>
      <c r="C2679" s="70"/>
      <c r="D2679" s="70"/>
      <c r="E2679" s="70"/>
      <c r="F2679" s="70"/>
      <c r="G2679" s="70"/>
      <c r="H2679" s="93"/>
      <c r="I2679" s="85"/>
      <c r="J2679" s="85"/>
      <c r="K2679" s="131"/>
      <c r="L2679" s="60"/>
      <c r="M2679" s="33"/>
      <c r="Q2679" s="3"/>
      <c r="R2679" s="3"/>
      <c r="S2679" s="3"/>
      <c r="T2679" s="3"/>
      <c r="U2679" s="3"/>
      <c r="V2679" s="3"/>
      <c r="W2679" s="3"/>
      <c r="X2679" s="3"/>
      <c r="Y2679" s="3"/>
      <c r="Z2679" s="4"/>
      <c r="AA2679"/>
      <c r="AB2679"/>
    </row>
    <row r="2680" spans="1:28" s="37" customFormat="1" x14ac:dyDescent="0.15">
      <c r="A2680" s="170"/>
      <c r="B2680" s="82"/>
      <c r="C2680" s="81"/>
      <c r="D2680" s="81"/>
      <c r="E2680" s="81"/>
      <c r="F2680" s="81"/>
      <c r="G2680" s="81"/>
      <c r="H2680" s="96"/>
      <c r="I2680" s="85"/>
      <c r="J2680" s="111"/>
      <c r="K2680" s="147"/>
      <c r="L2680" s="72"/>
      <c r="M2680" s="31"/>
      <c r="Q2680" s="3"/>
      <c r="R2680" s="3"/>
      <c r="S2680" s="3"/>
      <c r="T2680" s="3"/>
      <c r="U2680" s="3"/>
      <c r="V2680" s="3"/>
      <c r="W2680" s="3"/>
      <c r="X2680" s="3"/>
      <c r="Y2680" s="3"/>
      <c r="Z2680" s="4"/>
      <c r="AA2680"/>
      <c r="AB2680"/>
    </row>
    <row r="2681" spans="1:28" s="37" customFormat="1" ht="16" x14ac:dyDescent="0.2">
      <c r="A2681" s="166"/>
      <c r="B2681" s="93"/>
      <c r="C2681" s="70"/>
      <c r="D2681" s="70"/>
      <c r="E2681" s="70"/>
      <c r="F2681" s="70"/>
      <c r="G2681" s="70"/>
      <c r="H2681" s="93"/>
      <c r="I2681" s="85"/>
      <c r="J2681" s="85"/>
      <c r="K2681" s="131"/>
      <c r="L2681" s="60"/>
      <c r="M2681" s="47"/>
      <c r="N2681" s="48"/>
      <c r="Q2681" s="3"/>
      <c r="R2681" s="3"/>
      <c r="S2681" s="3"/>
      <c r="T2681" s="3"/>
      <c r="U2681" s="3"/>
      <c r="V2681" s="3"/>
      <c r="W2681" s="3"/>
      <c r="X2681" s="3"/>
      <c r="Y2681" s="3"/>
      <c r="Z2681" s="4"/>
      <c r="AA2681"/>
      <c r="AB2681"/>
    </row>
    <row r="2682" spans="1:28" s="37" customFormat="1" x14ac:dyDescent="0.15">
      <c r="A2682" s="166"/>
      <c r="B2682" s="82"/>
      <c r="C2682" s="70"/>
      <c r="D2682" s="70"/>
      <c r="E2682" s="70"/>
      <c r="F2682" s="70"/>
      <c r="G2682" s="70"/>
      <c r="H2682" s="93"/>
      <c r="I2682" s="85"/>
      <c r="J2682" s="85"/>
      <c r="K2682" s="131"/>
      <c r="L2682" s="60"/>
      <c r="M2682" s="33"/>
      <c r="Q2682" s="3"/>
      <c r="R2682" s="3"/>
      <c r="S2682" s="3"/>
      <c r="T2682" s="3"/>
      <c r="U2682" s="3"/>
      <c r="V2682" s="3"/>
      <c r="W2682" s="3"/>
      <c r="X2682" s="3"/>
      <c r="Y2682" s="3"/>
      <c r="Z2682" s="4"/>
      <c r="AA2682"/>
      <c r="AB2682"/>
    </row>
    <row r="2683" spans="1:28" s="37" customFormat="1" x14ac:dyDescent="0.15">
      <c r="A2683" s="166"/>
      <c r="B2683" s="93"/>
      <c r="C2683" s="70"/>
      <c r="D2683" s="70"/>
      <c r="E2683" s="70"/>
      <c r="F2683" s="70"/>
      <c r="G2683" s="70"/>
      <c r="H2683" s="93"/>
      <c r="I2683" s="85"/>
      <c r="J2683" s="85"/>
      <c r="K2683" s="131"/>
      <c r="L2683" s="60"/>
      <c r="M2683" s="33"/>
      <c r="Q2683" s="3"/>
      <c r="R2683" s="3"/>
      <c r="S2683" s="3"/>
      <c r="T2683" s="3"/>
      <c r="U2683" s="3"/>
      <c r="V2683" s="3"/>
      <c r="W2683" s="3"/>
      <c r="X2683" s="3"/>
      <c r="Y2683" s="3"/>
      <c r="Z2683" s="4"/>
      <c r="AA2683"/>
      <c r="AB2683"/>
    </row>
    <row r="2684" spans="1:28" s="37" customFormat="1" x14ac:dyDescent="0.15">
      <c r="A2684" s="166"/>
      <c r="B2684" s="82"/>
      <c r="C2684" s="70"/>
      <c r="D2684" s="70"/>
      <c r="E2684" s="70"/>
      <c r="F2684" s="70"/>
      <c r="G2684" s="70"/>
      <c r="H2684" s="93"/>
      <c r="I2684" s="85"/>
      <c r="J2684" s="85"/>
      <c r="K2684" s="131"/>
      <c r="L2684" s="60"/>
      <c r="M2684" s="49"/>
      <c r="Q2684" s="3"/>
      <c r="R2684" s="3"/>
      <c r="S2684" s="3"/>
      <c r="T2684" s="3"/>
      <c r="U2684" s="3"/>
      <c r="V2684" s="3"/>
      <c r="W2684" s="3"/>
      <c r="X2684" s="3"/>
      <c r="Y2684" s="3"/>
      <c r="Z2684" s="4"/>
      <c r="AA2684"/>
      <c r="AB2684"/>
    </row>
    <row r="2685" spans="1:28" s="37" customFormat="1" x14ac:dyDescent="0.15">
      <c r="A2685" s="166"/>
      <c r="B2685" s="82"/>
      <c r="C2685" s="70"/>
      <c r="D2685" s="70"/>
      <c r="E2685" s="70"/>
      <c r="F2685" s="70"/>
      <c r="G2685" s="70"/>
      <c r="H2685" s="93"/>
      <c r="I2685" s="85"/>
      <c r="J2685" s="85"/>
      <c r="K2685" s="131"/>
      <c r="L2685" s="60"/>
      <c r="M2685" s="33"/>
      <c r="Q2685" s="3"/>
      <c r="R2685" s="3"/>
      <c r="S2685" s="3"/>
      <c r="T2685" s="3"/>
      <c r="U2685" s="3"/>
      <c r="V2685" s="3"/>
      <c r="W2685" s="3"/>
      <c r="X2685" s="3"/>
      <c r="Y2685" s="3"/>
      <c r="Z2685" s="4"/>
      <c r="AA2685"/>
      <c r="AB2685"/>
    </row>
    <row r="2686" spans="1:28" s="3" customFormat="1" x14ac:dyDescent="0.15">
      <c r="A2686" s="166"/>
      <c r="B2686" s="93"/>
      <c r="C2686" s="70"/>
      <c r="D2686" s="70"/>
      <c r="E2686" s="70"/>
      <c r="F2686" s="70"/>
      <c r="G2686" s="70"/>
      <c r="H2686" s="93"/>
      <c r="I2686" s="85"/>
      <c r="J2686" s="85"/>
      <c r="K2686" s="141"/>
      <c r="L2686" s="60"/>
      <c r="M2686" s="33"/>
      <c r="N2686" s="37"/>
      <c r="O2686" s="37"/>
      <c r="P2686" s="33"/>
      <c r="Z2686" s="4"/>
      <c r="AA2686"/>
      <c r="AB2686"/>
    </row>
    <row r="2687" spans="1:28" s="3" customFormat="1" x14ac:dyDescent="0.15">
      <c r="A2687" s="166"/>
      <c r="B2687" s="82"/>
      <c r="C2687" s="70"/>
      <c r="D2687" s="70"/>
      <c r="E2687" s="70"/>
      <c r="F2687" s="70"/>
      <c r="G2687" s="70"/>
      <c r="H2687" s="93"/>
      <c r="I2687" s="85"/>
      <c r="J2687" s="85"/>
      <c r="K2687" s="131"/>
      <c r="L2687" s="60"/>
      <c r="M2687" s="49"/>
      <c r="N2687" s="37"/>
      <c r="O2687" s="37"/>
      <c r="P2687" s="37"/>
      <c r="Z2687" s="4"/>
      <c r="AA2687"/>
      <c r="AB2687"/>
    </row>
    <row r="2688" spans="1:28" s="3" customFormat="1" ht="16" x14ac:dyDescent="0.2">
      <c r="A2688" s="166"/>
      <c r="B2688" s="82"/>
      <c r="C2688" s="70"/>
      <c r="D2688" s="70"/>
      <c r="E2688" s="70"/>
      <c r="F2688" s="70"/>
      <c r="G2688" s="70"/>
      <c r="H2688" s="93"/>
      <c r="I2688" s="85"/>
      <c r="J2688" s="85"/>
      <c r="K2688" s="131"/>
      <c r="L2688" s="60"/>
      <c r="M2688" s="47"/>
      <c r="N2688" s="37"/>
      <c r="O2688" s="37"/>
      <c r="P2688" s="37"/>
      <c r="Z2688" s="4"/>
      <c r="AA2688"/>
      <c r="AB2688"/>
    </row>
    <row r="2689" spans="1:28" s="3" customFormat="1" x14ac:dyDescent="0.15">
      <c r="A2689" s="166"/>
      <c r="B2689" s="82"/>
      <c r="C2689" s="70"/>
      <c r="D2689" s="70"/>
      <c r="E2689" s="70"/>
      <c r="F2689" s="70"/>
      <c r="G2689" s="70"/>
      <c r="H2689" s="93"/>
      <c r="I2689" s="85"/>
      <c r="J2689" s="85"/>
      <c r="K2689" s="131"/>
      <c r="L2689" s="60"/>
      <c r="M2689" s="33"/>
      <c r="N2689" s="37"/>
      <c r="O2689" s="37"/>
      <c r="P2689" s="37"/>
      <c r="Z2689" s="4"/>
      <c r="AA2689"/>
      <c r="AB2689"/>
    </row>
    <row r="2690" spans="1:28" s="3" customFormat="1" ht="16" x14ac:dyDescent="0.2">
      <c r="A2690" s="166"/>
      <c r="B2690" s="82"/>
      <c r="C2690" s="70"/>
      <c r="D2690" s="70"/>
      <c r="E2690" s="70"/>
      <c r="F2690" s="70"/>
      <c r="G2690" s="70"/>
      <c r="H2690" s="93"/>
      <c r="I2690" s="85"/>
      <c r="J2690" s="85"/>
      <c r="K2690" s="131"/>
      <c r="L2690" s="60"/>
      <c r="M2690" s="47"/>
      <c r="N2690" s="37"/>
      <c r="O2690" s="37"/>
      <c r="P2690" s="37"/>
      <c r="Z2690" s="4"/>
      <c r="AA2690"/>
      <c r="AB2690"/>
    </row>
    <row r="2691" spans="1:28" s="3" customFormat="1" x14ac:dyDescent="0.15">
      <c r="A2691" s="166"/>
      <c r="B2691" s="93"/>
      <c r="C2691" s="70"/>
      <c r="D2691" s="70"/>
      <c r="E2691" s="70"/>
      <c r="F2691" s="70"/>
      <c r="G2691" s="70"/>
      <c r="H2691" s="93"/>
      <c r="I2691" s="85"/>
      <c r="J2691" s="85"/>
      <c r="K2691" s="131"/>
      <c r="L2691" s="60"/>
      <c r="M2691" s="33"/>
      <c r="N2691" s="37"/>
      <c r="O2691" s="37"/>
      <c r="P2691" s="37"/>
      <c r="Z2691" s="4"/>
      <c r="AA2691"/>
      <c r="AB2691"/>
    </row>
    <row r="2692" spans="1:28" s="3" customFormat="1" x14ac:dyDescent="0.15">
      <c r="A2692" s="166"/>
      <c r="B2692" s="93"/>
      <c r="C2692" s="70"/>
      <c r="D2692" s="70"/>
      <c r="E2692" s="70"/>
      <c r="F2692" s="70"/>
      <c r="G2692" s="70"/>
      <c r="H2692" s="93"/>
      <c r="I2692" s="85"/>
      <c r="J2692" s="85"/>
      <c r="K2692" s="131"/>
      <c r="L2692" s="60"/>
      <c r="M2692" s="33"/>
      <c r="N2692" s="37"/>
      <c r="O2692" s="37"/>
      <c r="P2692" s="37"/>
      <c r="Z2692" s="4"/>
      <c r="AA2692"/>
      <c r="AB2692"/>
    </row>
    <row r="2693" spans="1:28" s="3" customFormat="1" x14ac:dyDescent="0.15">
      <c r="A2693" s="166"/>
      <c r="B2693" s="82"/>
      <c r="C2693" s="70"/>
      <c r="D2693" s="70"/>
      <c r="E2693" s="70"/>
      <c r="F2693" s="70"/>
      <c r="G2693" s="70"/>
      <c r="H2693" s="93"/>
      <c r="I2693" s="85"/>
      <c r="J2693" s="85"/>
      <c r="K2693" s="131"/>
      <c r="L2693" s="60"/>
      <c r="M2693" s="49"/>
      <c r="N2693" s="37"/>
      <c r="O2693" s="37"/>
      <c r="P2693" s="33"/>
      <c r="Z2693" s="4"/>
      <c r="AA2693"/>
      <c r="AB2693"/>
    </row>
    <row r="2694" spans="1:28" s="3" customFormat="1" ht="16" x14ac:dyDescent="0.2">
      <c r="A2694" s="166"/>
      <c r="B2694" s="82"/>
      <c r="C2694" s="70"/>
      <c r="D2694" s="70"/>
      <c r="E2694" s="70"/>
      <c r="F2694" s="70"/>
      <c r="G2694" s="70"/>
      <c r="H2694" s="93"/>
      <c r="I2694" s="85"/>
      <c r="J2694" s="85"/>
      <c r="K2694" s="131"/>
      <c r="L2694" s="60"/>
      <c r="M2694" s="47"/>
      <c r="N2694" s="37"/>
      <c r="O2694" s="37"/>
      <c r="P2694" s="37"/>
      <c r="Z2694" s="4"/>
      <c r="AA2694"/>
      <c r="AB2694"/>
    </row>
    <row r="2695" spans="1:28" s="3" customFormat="1" x14ac:dyDescent="0.15">
      <c r="A2695" s="170"/>
      <c r="B2695" s="82"/>
      <c r="C2695" s="70"/>
      <c r="D2695" s="70"/>
      <c r="E2695" s="70"/>
      <c r="F2695" s="70"/>
      <c r="G2695" s="70"/>
      <c r="H2695" s="93"/>
      <c r="I2695" s="85"/>
      <c r="J2695" s="85"/>
      <c r="K2695" s="131"/>
      <c r="L2695" s="60"/>
      <c r="M2695" s="33"/>
      <c r="N2695" s="37"/>
      <c r="O2695" s="37"/>
      <c r="P2695" s="37"/>
      <c r="Z2695" s="4"/>
      <c r="AA2695"/>
      <c r="AB2695"/>
    </row>
    <row r="2696" spans="1:28" s="3" customFormat="1" x14ac:dyDescent="0.15">
      <c r="A2696" s="166"/>
      <c r="B2696" s="93"/>
      <c r="C2696" s="70"/>
      <c r="D2696" s="70"/>
      <c r="E2696" s="70"/>
      <c r="F2696" s="70"/>
      <c r="G2696" s="70"/>
      <c r="H2696" s="93"/>
      <c r="I2696" s="85"/>
      <c r="J2696" s="85"/>
      <c r="K2696" s="131"/>
      <c r="L2696" s="60"/>
      <c r="M2696" s="33"/>
      <c r="N2696" s="37"/>
      <c r="O2696" s="37"/>
      <c r="P2696" s="37"/>
      <c r="Z2696" s="4"/>
      <c r="AA2696"/>
      <c r="AB2696"/>
    </row>
    <row r="2697" spans="1:28" s="3" customFormat="1" x14ac:dyDescent="0.15">
      <c r="A2697" s="166"/>
      <c r="B2697" s="93"/>
      <c r="C2697" s="70"/>
      <c r="D2697" s="70"/>
      <c r="E2697" s="70"/>
      <c r="F2697" s="70"/>
      <c r="G2697" s="70"/>
      <c r="H2697" s="93"/>
      <c r="I2697" s="85"/>
      <c r="J2697" s="85"/>
      <c r="K2697" s="131"/>
      <c r="L2697" s="60"/>
      <c r="M2697" s="33"/>
      <c r="N2697" s="37"/>
      <c r="O2697" s="37"/>
      <c r="P2697" s="37"/>
      <c r="Z2697" s="4"/>
      <c r="AA2697"/>
      <c r="AB2697"/>
    </row>
    <row r="2698" spans="1:28" s="3" customFormat="1" x14ac:dyDescent="0.15">
      <c r="A2698" s="166"/>
      <c r="B2698" s="93"/>
      <c r="C2698" s="70"/>
      <c r="D2698" s="70"/>
      <c r="E2698" s="70"/>
      <c r="F2698" s="70"/>
      <c r="G2698" s="70"/>
      <c r="H2698" s="93"/>
      <c r="I2698" s="85"/>
      <c r="J2698" s="85"/>
      <c r="K2698" s="131"/>
      <c r="L2698" s="60"/>
      <c r="M2698" s="33"/>
      <c r="N2698" s="37"/>
      <c r="O2698" s="37"/>
      <c r="P2698" s="37"/>
      <c r="Z2698" s="4"/>
      <c r="AA2698"/>
      <c r="AB2698"/>
    </row>
    <row r="2699" spans="1:28" s="3" customFormat="1" x14ac:dyDescent="0.15">
      <c r="A2699" s="166"/>
      <c r="B2699" s="93"/>
      <c r="C2699" s="70"/>
      <c r="D2699" s="70"/>
      <c r="E2699" s="70"/>
      <c r="F2699" s="70"/>
      <c r="G2699" s="70"/>
      <c r="H2699" s="93"/>
      <c r="I2699" s="85"/>
      <c r="J2699" s="85"/>
      <c r="K2699" s="131"/>
      <c r="L2699" s="60"/>
      <c r="M2699" s="33"/>
      <c r="N2699" s="37"/>
      <c r="O2699" s="37"/>
      <c r="P2699" s="37"/>
      <c r="Z2699" s="4"/>
      <c r="AA2699"/>
      <c r="AB2699"/>
    </row>
    <row r="2700" spans="1:28" s="3" customFormat="1" x14ac:dyDescent="0.15">
      <c r="A2700" s="166"/>
      <c r="B2700" s="93"/>
      <c r="C2700" s="70"/>
      <c r="D2700" s="70"/>
      <c r="E2700" s="70"/>
      <c r="F2700" s="70"/>
      <c r="G2700" s="70"/>
      <c r="H2700" s="93"/>
      <c r="I2700" s="85"/>
      <c r="J2700" s="85"/>
      <c r="K2700" s="131"/>
      <c r="L2700" s="60"/>
      <c r="M2700" s="33"/>
      <c r="N2700" s="37"/>
      <c r="O2700" s="37"/>
      <c r="P2700" s="37"/>
      <c r="Z2700" s="4"/>
      <c r="AA2700"/>
      <c r="AB2700"/>
    </row>
    <row r="2701" spans="1:28" s="3" customFormat="1" x14ac:dyDescent="0.15">
      <c r="A2701" s="166"/>
      <c r="B2701" s="93"/>
      <c r="C2701" s="70"/>
      <c r="D2701" s="70"/>
      <c r="E2701" s="70"/>
      <c r="F2701" s="70"/>
      <c r="G2701" s="70"/>
      <c r="H2701" s="93"/>
      <c r="I2701" s="85"/>
      <c r="J2701" s="85"/>
      <c r="K2701" s="131"/>
      <c r="L2701" s="60"/>
      <c r="M2701" s="33"/>
      <c r="N2701" s="37"/>
      <c r="O2701" s="37"/>
      <c r="P2701" s="37"/>
      <c r="Z2701" s="4"/>
      <c r="AA2701"/>
      <c r="AB2701"/>
    </row>
    <row r="2702" spans="1:28" s="37" customFormat="1" x14ac:dyDescent="0.15">
      <c r="A2702" s="166"/>
      <c r="B2702" s="93"/>
      <c r="C2702" s="70"/>
      <c r="D2702" s="70"/>
      <c r="E2702" s="70"/>
      <c r="F2702" s="70"/>
      <c r="G2702" s="70"/>
      <c r="H2702" s="93"/>
      <c r="I2702" s="85"/>
      <c r="J2702" s="85"/>
      <c r="K2702" s="131"/>
      <c r="L2702" s="60"/>
      <c r="M2702" s="33"/>
      <c r="Q2702" s="3"/>
      <c r="R2702" s="3"/>
      <c r="S2702" s="3"/>
      <c r="T2702" s="3"/>
      <c r="U2702" s="3"/>
      <c r="V2702" s="3"/>
      <c r="W2702" s="3"/>
      <c r="X2702" s="3"/>
      <c r="Y2702" s="3"/>
      <c r="Z2702" s="4"/>
      <c r="AA2702"/>
      <c r="AB2702"/>
    </row>
    <row r="2703" spans="1:28" s="37" customFormat="1" x14ac:dyDescent="0.15">
      <c r="A2703" s="166"/>
      <c r="B2703" s="93"/>
      <c r="C2703" s="70"/>
      <c r="D2703" s="70"/>
      <c r="E2703" s="70"/>
      <c r="F2703" s="70"/>
      <c r="G2703" s="70"/>
      <c r="H2703" s="93"/>
      <c r="I2703" s="85"/>
      <c r="J2703" s="85"/>
      <c r="K2703" s="131"/>
      <c r="L2703" s="60"/>
      <c r="M2703" s="33"/>
      <c r="Q2703" s="3"/>
      <c r="R2703" s="3"/>
      <c r="S2703" s="3"/>
      <c r="T2703" s="3"/>
      <c r="U2703" s="3"/>
      <c r="V2703" s="3"/>
      <c r="W2703" s="3"/>
      <c r="X2703" s="3"/>
      <c r="Y2703" s="3"/>
      <c r="Z2703" s="4"/>
      <c r="AA2703"/>
      <c r="AB2703"/>
    </row>
    <row r="2704" spans="1:28" s="37" customFormat="1" x14ac:dyDescent="0.15">
      <c r="A2704" s="166"/>
      <c r="B2704" s="93"/>
      <c r="C2704" s="70"/>
      <c r="D2704" s="70"/>
      <c r="E2704" s="70"/>
      <c r="F2704" s="70"/>
      <c r="G2704" s="61"/>
      <c r="H2704" s="115"/>
      <c r="I2704" s="85"/>
      <c r="J2704" s="85"/>
      <c r="K2704" s="131"/>
      <c r="L2704" s="60"/>
      <c r="M2704" s="33"/>
      <c r="Q2704" s="3"/>
      <c r="R2704" s="3"/>
      <c r="S2704" s="3"/>
      <c r="T2704" s="3"/>
      <c r="U2704" s="3"/>
      <c r="V2704" s="3"/>
      <c r="W2704" s="3"/>
      <c r="X2704" s="3"/>
      <c r="Y2704" s="3"/>
      <c r="Z2704" s="4"/>
      <c r="AA2704"/>
      <c r="AB2704"/>
    </row>
    <row r="2705" spans="1:28" s="37" customFormat="1" x14ac:dyDescent="0.15">
      <c r="A2705" s="166"/>
      <c r="B2705" s="93"/>
      <c r="C2705" s="70"/>
      <c r="D2705" s="70"/>
      <c r="E2705" s="70"/>
      <c r="F2705" s="70"/>
      <c r="G2705" s="70"/>
      <c r="H2705" s="93"/>
      <c r="I2705" s="85"/>
      <c r="J2705" s="85"/>
      <c r="K2705" s="131"/>
      <c r="L2705" s="60"/>
      <c r="M2705" s="33"/>
      <c r="Q2705" s="3"/>
      <c r="R2705" s="3"/>
      <c r="S2705" s="3"/>
      <c r="T2705" s="3"/>
      <c r="U2705" s="3"/>
      <c r="V2705" s="3"/>
      <c r="W2705" s="3"/>
      <c r="X2705" s="3"/>
      <c r="Y2705" s="3"/>
      <c r="Z2705" s="4"/>
      <c r="AA2705"/>
      <c r="AB2705"/>
    </row>
    <row r="2706" spans="1:28" s="37" customFormat="1" x14ac:dyDescent="0.15">
      <c r="A2706" s="166"/>
      <c r="B2706" s="93"/>
      <c r="C2706" s="70"/>
      <c r="D2706" s="70"/>
      <c r="E2706" s="70"/>
      <c r="F2706" s="70"/>
      <c r="G2706" s="70"/>
      <c r="H2706" s="93"/>
      <c r="I2706" s="85"/>
      <c r="J2706" s="85"/>
      <c r="K2706" s="131"/>
      <c r="L2706" s="60"/>
      <c r="M2706" s="33"/>
      <c r="Q2706" s="3"/>
      <c r="R2706" s="3"/>
      <c r="S2706" s="3"/>
      <c r="T2706" s="3"/>
      <c r="U2706" s="3"/>
      <c r="V2706" s="3"/>
      <c r="W2706" s="3"/>
      <c r="X2706" s="3"/>
      <c r="Y2706" s="3"/>
      <c r="Z2706" s="4"/>
      <c r="AA2706"/>
      <c r="AB2706"/>
    </row>
    <row r="2707" spans="1:28" s="37" customFormat="1" x14ac:dyDescent="0.15">
      <c r="A2707" s="166"/>
      <c r="B2707" s="93"/>
      <c r="C2707" s="70"/>
      <c r="D2707" s="70"/>
      <c r="E2707" s="70"/>
      <c r="F2707" s="70"/>
      <c r="G2707" s="70"/>
      <c r="H2707" s="93"/>
      <c r="I2707" s="85"/>
      <c r="J2707" s="85"/>
      <c r="K2707" s="131"/>
      <c r="L2707" s="60"/>
      <c r="M2707" s="33"/>
      <c r="Q2707" s="3"/>
      <c r="R2707" s="3"/>
      <c r="S2707" s="3"/>
      <c r="T2707" s="3"/>
      <c r="U2707" s="3"/>
      <c r="V2707" s="3"/>
      <c r="W2707" s="3"/>
      <c r="X2707" s="3"/>
      <c r="Y2707" s="3"/>
      <c r="Z2707" s="4"/>
      <c r="AA2707"/>
      <c r="AB2707"/>
    </row>
    <row r="2708" spans="1:28" s="37" customFormat="1" x14ac:dyDescent="0.15">
      <c r="A2708" s="166"/>
      <c r="B2708" s="82"/>
      <c r="C2708" s="70"/>
      <c r="D2708" s="70"/>
      <c r="E2708" s="70"/>
      <c r="F2708" s="70"/>
      <c r="G2708" s="70"/>
      <c r="H2708" s="93"/>
      <c r="I2708" s="85"/>
      <c r="J2708" s="85"/>
      <c r="K2708" s="131"/>
      <c r="L2708" s="60"/>
      <c r="M2708" s="49"/>
      <c r="Q2708" s="3"/>
      <c r="R2708" s="3"/>
      <c r="S2708" s="3"/>
      <c r="T2708" s="3"/>
      <c r="U2708" s="3"/>
      <c r="V2708" s="3"/>
      <c r="W2708" s="3"/>
      <c r="X2708" s="3"/>
      <c r="Y2708" s="3"/>
      <c r="Z2708" s="4"/>
      <c r="AA2708"/>
      <c r="AB2708"/>
    </row>
    <row r="2709" spans="1:28" s="37" customFormat="1" x14ac:dyDescent="0.15">
      <c r="A2709" s="166"/>
      <c r="B2709" s="93"/>
      <c r="C2709" s="70"/>
      <c r="D2709" s="70"/>
      <c r="E2709" s="70"/>
      <c r="F2709" s="70"/>
      <c r="G2709" s="70"/>
      <c r="H2709" s="93"/>
      <c r="I2709" s="85"/>
      <c r="J2709" s="85"/>
      <c r="K2709" s="131"/>
      <c r="L2709" s="60"/>
      <c r="M2709" s="33"/>
      <c r="Q2709" s="3"/>
      <c r="R2709" s="3"/>
      <c r="S2709" s="3"/>
      <c r="T2709" s="3"/>
      <c r="U2709" s="3"/>
      <c r="V2709" s="3"/>
      <c r="W2709" s="3"/>
      <c r="X2709" s="3"/>
      <c r="Y2709" s="3"/>
      <c r="Z2709" s="4"/>
      <c r="AA2709"/>
      <c r="AB2709"/>
    </row>
    <row r="2710" spans="1:28" s="37" customFormat="1" x14ac:dyDescent="0.15">
      <c r="A2710" s="166"/>
      <c r="B2710" s="82"/>
      <c r="C2710" s="70"/>
      <c r="D2710" s="70"/>
      <c r="E2710" s="70"/>
      <c r="F2710" s="70"/>
      <c r="G2710" s="70"/>
      <c r="H2710" s="93"/>
      <c r="I2710" s="85"/>
      <c r="J2710" s="85"/>
      <c r="K2710" s="131"/>
      <c r="L2710" s="60"/>
      <c r="M2710" s="33"/>
      <c r="Q2710" s="3"/>
      <c r="R2710" s="3"/>
      <c r="S2710" s="3"/>
      <c r="T2710" s="3"/>
      <c r="U2710" s="3"/>
      <c r="V2710" s="3"/>
      <c r="W2710" s="3"/>
      <c r="X2710" s="3"/>
      <c r="Y2710" s="3"/>
      <c r="Z2710" s="4"/>
      <c r="AA2710"/>
      <c r="AB2710"/>
    </row>
    <row r="2711" spans="1:28" s="37" customFormat="1" x14ac:dyDescent="0.15">
      <c r="A2711" s="166"/>
      <c r="B2711" s="93"/>
      <c r="C2711" s="70"/>
      <c r="D2711" s="70"/>
      <c r="E2711" s="70"/>
      <c r="F2711" s="70"/>
      <c r="G2711" s="70"/>
      <c r="H2711" s="93"/>
      <c r="I2711" s="85"/>
      <c r="J2711" s="85"/>
      <c r="K2711" s="131"/>
      <c r="L2711" s="60"/>
      <c r="M2711" s="33"/>
      <c r="Q2711" s="3"/>
      <c r="R2711" s="3"/>
      <c r="S2711" s="3"/>
      <c r="T2711" s="3"/>
      <c r="U2711" s="3"/>
      <c r="V2711" s="3"/>
      <c r="W2711" s="3"/>
      <c r="X2711" s="3"/>
      <c r="Y2711" s="3"/>
      <c r="Z2711" s="4"/>
      <c r="AA2711"/>
      <c r="AB2711"/>
    </row>
    <row r="2712" spans="1:28" s="37" customFormat="1" ht="16" x14ac:dyDescent="0.2">
      <c r="A2712" s="166"/>
      <c r="B2712" s="82"/>
      <c r="C2712" s="70"/>
      <c r="D2712" s="70"/>
      <c r="E2712" s="70"/>
      <c r="F2712" s="70"/>
      <c r="G2712" s="70"/>
      <c r="H2712" s="93"/>
      <c r="I2712" s="85"/>
      <c r="J2712" s="85"/>
      <c r="K2712" s="131"/>
      <c r="L2712" s="60"/>
      <c r="M2712" s="47"/>
      <c r="Q2712" s="3"/>
      <c r="R2712" s="3"/>
      <c r="S2712" s="3"/>
      <c r="T2712" s="3"/>
      <c r="U2712" s="3"/>
      <c r="V2712" s="3"/>
      <c r="W2712" s="3"/>
      <c r="X2712" s="3"/>
      <c r="Y2712" s="3"/>
      <c r="Z2712" s="4"/>
      <c r="AA2712"/>
      <c r="AB2712"/>
    </row>
    <row r="2713" spans="1:28" s="37" customFormat="1" x14ac:dyDescent="0.15">
      <c r="A2713" s="166"/>
      <c r="B2713" s="93"/>
      <c r="C2713" s="70"/>
      <c r="D2713" s="70"/>
      <c r="E2713" s="70"/>
      <c r="F2713" s="70"/>
      <c r="G2713" s="70"/>
      <c r="H2713" s="93"/>
      <c r="I2713" s="85"/>
      <c r="J2713" s="85"/>
      <c r="K2713" s="131"/>
      <c r="L2713" s="60"/>
      <c r="M2713" s="33"/>
      <c r="Q2713" s="3"/>
      <c r="R2713" s="3"/>
      <c r="S2713" s="3"/>
      <c r="T2713" s="3"/>
      <c r="U2713" s="3"/>
      <c r="V2713" s="3"/>
      <c r="W2713" s="3"/>
      <c r="X2713" s="3"/>
      <c r="Y2713" s="3"/>
      <c r="Z2713" s="4"/>
      <c r="AA2713"/>
      <c r="AB2713"/>
    </row>
    <row r="2714" spans="1:28" s="37" customFormat="1" x14ac:dyDescent="0.15">
      <c r="A2714" s="166"/>
      <c r="B2714" s="82"/>
      <c r="C2714" s="70"/>
      <c r="D2714" s="70"/>
      <c r="E2714" s="70"/>
      <c r="F2714" s="70"/>
      <c r="G2714" s="70"/>
      <c r="H2714" s="93"/>
      <c r="I2714" s="85"/>
      <c r="J2714" s="85"/>
      <c r="K2714" s="131"/>
      <c r="L2714" s="60"/>
      <c r="M2714" s="49"/>
      <c r="Q2714" s="3"/>
      <c r="R2714" s="3"/>
      <c r="S2714" s="3"/>
      <c r="T2714" s="3"/>
      <c r="U2714" s="3"/>
      <c r="V2714" s="3"/>
      <c r="W2714" s="3"/>
      <c r="X2714" s="3"/>
      <c r="Y2714" s="3"/>
      <c r="Z2714" s="4"/>
      <c r="AA2714"/>
      <c r="AB2714"/>
    </row>
    <row r="2715" spans="1:28" s="37" customFormat="1" x14ac:dyDescent="0.15">
      <c r="A2715" s="166"/>
      <c r="B2715" s="82"/>
      <c r="C2715" s="70"/>
      <c r="D2715" s="70"/>
      <c r="E2715" s="70"/>
      <c r="F2715" s="70"/>
      <c r="G2715" s="70"/>
      <c r="H2715" s="93"/>
      <c r="I2715" s="85"/>
      <c r="J2715" s="94"/>
      <c r="K2715" s="148"/>
      <c r="L2715" s="60"/>
      <c r="M2715" s="33"/>
      <c r="Q2715" s="3"/>
      <c r="R2715" s="3"/>
      <c r="S2715" s="3"/>
      <c r="T2715" s="3"/>
      <c r="U2715" s="3"/>
      <c r="V2715" s="3"/>
      <c r="W2715" s="3"/>
      <c r="X2715" s="3"/>
      <c r="Y2715" s="3"/>
      <c r="Z2715" s="4"/>
      <c r="AA2715"/>
      <c r="AB2715"/>
    </row>
    <row r="2716" spans="1:28" s="37" customFormat="1" x14ac:dyDescent="0.15">
      <c r="A2716" s="166"/>
      <c r="B2716" s="93"/>
      <c r="C2716" s="70"/>
      <c r="D2716" s="70"/>
      <c r="E2716" s="70"/>
      <c r="F2716" s="70"/>
      <c r="G2716" s="70"/>
      <c r="H2716" s="93"/>
      <c r="I2716" s="85"/>
      <c r="J2716" s="85"/>
      <c r="K2716" s="131"/>
      <c r="L2716" s="60"/>
      <c r="M2716" s="33"/>
      <c r="Q2716" s="3"/>
      <c r="R2716" s="3"/>
      <c r="S2716" s="3"/>
      <c r="T2716" s="3"/>
      <c r="U2716" s="3"/>
      <c r="V2716" s="3"/>
      <c r="W2716" s="3"/>
      <c r="X2716" s="3"/>
      <c r="Y2716" s="3"/>
      <c r="Z2716" s="4"/>
      <c r="AA2716"/>
      <c r="AB2716"/>
    </row>
    <row r="2717" spans="1:28" s="37" customFormat="1" x14ac:dyDescent="0.15">
      <c r="A2717" s="166"/>
      <c r="B2717" s="82"/>
      <c r="C2717" s="70"/>
      <c r="D2717" s="70"/>
      <c r="E2717" s="70"/>
      <c r="F2717" s="70"/>
      <c r="G2717" s="70"/>
      <c r="H2717" s="93"/>
      <c r="I2717" s="85"/>
      <c r="J2717" s="85"/>
      <c r="K2717" s="131"/>
      <c r="L2717" s="60"/>
      <c r="M2717" s="33"/>
      <c r="N2717" s="46"/>
      <c r="Q2717" s="3"/>
      <c r="R2717" s="3"/>
      <c r="S2717" s="3"/>
      <c r="T2717" s="3"/>
      <c r="U2717" s="3"/>
      <c r="V2717" s="3"/>
      <c r="W2717" s="3"/>
      <c r="X2717" s="3"/>
      <c r="Y2717" s="3"/>
      <c r="Z2717" s="4"/>
      <c r="AA2717"/>
      <c r="AB2717"/>
    </row>
    <row r="2718" spans="1:28" s="37" customFormat="1" x14ac:dyDescent="0.15">
      <c r="A2718" s="166"/>
      <c r="B2718" s="93"/>
      <c r="C2718" s="70"/>
      <c r="D2718" s="70"/>
      <c r="E2718" s="70"/>
      <c r="F2718" s="70"/>
      <c r="G2718" s="70"/>
      <c r="H2718" s="93"/>
      <c r="I2718" s="85"/>
      <c r="J2718" s="85"/>
      <c r="K2718" s="131"/>
      <c r="L2718" s="60"/>
      <c r="M2718" s="33"/>
      <c r="Q2718" s="3"/>
      <c r="R2718" s="3"/>
      <c r="S2718" s="3"/>
      <c r="T2718" s="3"/>
      <c r="U2718" s="3"/>
      <c r="V2718" s="3"/>
      <c r="W2718" s="3"/>
      <c r="X2718" s="3"/>
      <c r="Y2718" s="3"/>
      <c r="Z2718" s="4"/>
      <c r="AA2718"/>
      <c r="AB2718"/>
    </row>
    <row r="2719" spans="1:28" s="37" customFormat="1" x14ac:dyDescent="0.15">
      <c r="A2719" s="166"/>
      <c r="B2719" s="93"/>
      <c r="C2719" s="70"/>
      <c r="D2719" s="70"/>
      <c r="E2719" s="70"/>
      <c r="F2719" s="70"/>
      <c r="G2719" s="70"/>
      <c r="H2719" s="93"/>
      <c r="I2719" s="85"/>
      <c r="J2719" s="85"/>
      <c r="K2719" s="131"/>
      <c r="L2719" s="60"/>
      <c r="M2719" s="33"/>
      <c r="O2719" s="33"/>
      <c r="Q2719" s="3"/>
      <c r="R2719" s="3"/>
      <c r="S2719" s="3"/>
      <c r="T2719" s="3"/>
      <c r="U2719" s="3"/>
      <c r="V2719" s="3"/>
      <c r="W2719" s="3"/>
      <c r="X2719" s="3"/>
      <c r="Y2719" s="3"/>
      <c r="Z2719" s="4"/>
      <c r="AA2719"/>
      <c r="AB2719"/>
    </row>
    <row r="2720" spans="1:28" s="37" customFormat="1" x14ac:dyDescent="0.15">
      <c r="A2720" s="166"/>
      <c r="B2720" s="82"/>
      <c r="C2720" s="70"/>
      <c r="D2720" s="70"/>
      <c r="E2720" s="70"/>
      <c r="F2720" s="70"/>
      <c r="G2720" s="70"/>
      <c r="H2720" s="93"/>
      <c r="I2720" s="85"/>
      <c r="J2720" s="85"/>
      <c r="K2720" s="131"/>
      <c r="L2720" s="60"/>
      <c r="M2720" s="49"/>
      <c r="Q2720" s="3"/>
      <c r="R2720" s="3"/>
      <c r="S2720" s="3"/>
      <c r="T2720" s="3"/>
      <c r="U2720" s="3"/>
      <c r="V2720" s="3"/>
      <c r="W2720" s="3"/>
      <c r="X2720" s="3"/>
      <c r="Y2720" s="3"/>
      <c r="Z2720" s="4"/>
      <c r="AA2720"/>
      <c r="AB2720"/>
    </row>
    <row r="2721" spans="1:28" s="37" customFormat="1" x14ac:dyDescent="0.15">
      <c r="A2721" s="166"/>
      <c r="B2721" s="93"/>
      <c r="C2721" s="70"/>
      <c r="D2721" s="70"/>
      <c r="E2721" s="70"/>
      <c r="F2721" s="70"/>
      <c r="G2721" s="70"/>
      <c r="H2721" s="93"/>
      <c r="I2721" s="85"/>
      <c r="J2721" s="85"/>
      <c r="K2721" s="131"/>
      <c r="L2721" s="60"/>
      <c r="M2721" s="33"/>
      <c r="Q2721" s="3"/>
      <c r="R2721" s="3"/>
      <c r="S2721" s="3"/>
      <c r="T2721" s="3"/>
      <c r="U2721" s="3"/>
      <c r="V2721" s="3"/>
      <c r="W2721" s="3"/>
      <c r="X2721" s="3"/>
      <c r="Y2721" s="3"/>
      <c r="Z2721" s="4"/>
      <c r="AA2721"/>
      <c r="AB2721"/>
    </row>
    <row r="2722" spans="1:28" s="37" customFormat="1" x14ac:dyDescent="0.15">
      <c r="A2722" s="166"/>
      <c r="B2722" s="93"/>
      <c r="C2722" s="73"/>
      <c r="D2722" s="70"/>
      <c r="E2722" s="70"/>
      <c r="F2722" s="73"/>
      <c r="G2722" s="73"/>
      <c r="H2722" s="108"/>
      <c r="I2722" s="85"/>
      <c r="J2722" s="95"/>
      <c r="K2722" s="131"/>
      <c r="L2722" s="60"/>
      <c r="M2722" s="33"/>
      <c r="Q2722" s="3"/>
      <c r="R2722" s="3"/>
      <c r="S2722" s="3"/>
      <c r="T2722" s="3"/>
      <c r="U2722" s="3"/>
      <c r="V2722" s="3"/>
      <c r="W2722" s="3"/>
      <c r="X2722" s="3"/>
      <c r="Y2722" s="3"/>
      <c r="Z2722" s="4"/>
      <c r="AA2722"/>
      <c r="AB2722"/>
    </row>
    <row r="2723" spans="1:28" s="37" customFormat="1" x14ac:dyDescent="0.15">
      <c r="A2723" s="166"/>
      <c r="B2723" s="82"/>
      <c r="C2723" s="70"/>
      <c r="D2723" s="70"/>
      <c r="E2723" s="70"/>
      <c r="F2723" s="70"/>
      <c r="G2723" s="70"/>
      <c r="H2723" s="93"/>
      <c r="I2723" s="85"/>
      <c r="J2723" s="85"/>
      <c r="K2723" s="131"/>
      <c r="L2723" s="60"/>
      <c r="M2723" s="49"/>
      <c r="Q2723" s="3"/>
      <c r="R2723" s="3"/>
      <c r="S2723" s="3"/>
      <c r="T2723" s="3"/>
      <c r="U2723" s="3"/>
      <c r="V2723" s="3"/>
      <c r="W2723" s="3"/>
      <c r="X2723" s="3"/>
      <c r="Y2723" s="3"/>
      <c r="Z2723" s="4"/>
      <c r="AA2723"/>
      <c r="AB2723"/>
    </row>
    <row r="2724" spans="1:28" s="37" customFormat="1" x14ac:dyDescent="0.15">
      <c r="A2724" s="166"/>
      <c r="B2724" s="82"/>
      <c r="C2724" s="70"/>
      <c r="D2724" s="70"/>
      <c r="E2724" s="70"/>
      <c r="F2724" s="70"/>
      <c r="G2724" s="70"/>
      <c r="H2724" s="93"/>
      <c r="I2724" s="85"/>
      <c r="J2724" s="85"/>
      <c r="K2724" s="131"/>
      <c r="L2724" s="60"/>
      <c r="M2724" s="33"/>
      <c r="N2724" s="46"/>
      <c r="Q2724" s="3"/>
      <c r="R2724" s="3"/>
      <c r="S2724" s="3"/>
      <c r="T2724" s="3"/>
      <c r="U2724" s="3"/>
      <c r="V2724" s="3"/>
      <c r="W2724" s="3"/>
      <c r="X2724" s="3"/>
      <c r="Y2724" s="3"/>
      <c r="Z2724" s="4"/>
      <c r="AA2724"/>
      <c r="AB2724"/>
    </row>
    <row r="2725" spans="1:28" s="37" customFormat="1" x14ac:dyDescent="0.15">
      <c r="A2725" s="166"/>
      <c r="B2725" s="93"/>
      <c r="C2725" s="70"/>
      <c r="D2725" s="70"/>
      <c r="E2725" s="70"/>
      <c r="F2725" s="70"/>
      <c r="G2725" s="70"/>
      <c r="H2725" s="93"/>
      <c r="I2725" s="85"/>
      <c r="J2725" s="85"/>
      <c r="K2725" s="131"/>
      <c r="L2725" s="60"/>
      <c r="M2725" s="33"/>
      <c r="Q2725" s="3"/>
      <c r="R2725" s="3"/>
      <c r="S2725" s="3"/>
      <c r="T2725" s="3"/>
      <c r="U2725" s="3"/>
      <c r="V2725" s="3"/>
      <c r="W2725" s="3"/>
      <c r="X2725" s="3"/>
      <c r="Y2725" s="3"/>
      <c r="Z2725" s="4"/>
      <c r="AA2725"/>
      <c r="AB2725"/>
    </row>
    <row r="2726" spans="1:28" s="37" customFormat="1" x14ac:dyDescent="0.15">
      <c r="A2726" s="166"/>
      <c r="B2726" s="93"/>
      <c r="C2726" s="70"/>
      <c r="D2726" s="70"/>
      <c r="E2726" s="70"/>
      <c r="F2726" s="70"/>
      <c r="G2726" s="70"/>
      <c r="H2726" s="93"/>
      <c r="I2726" s="85"/>
      <c r="J2726" s="85"/>
      <c r="K2726" s="131"/>
      <c r="L2726" s="60"/>
      <c r="M2726" s="33"/>
      <c r="Q2726" s="3"/>
      <c r="R2726" s="3"/>
      <c r="S2726" s="3"/>
      <c r="T2726" s="3"/>
      <c r="U2726" s="3"/>
      <c r="V2726" s="3"/>
      <c r="W2726" s="3"/>
      <c r="X2726" s="3"/>
      <c r="Y2726" s="3"/>
      <c r="Z2726" s="4"/>
      <c r="AA2726"/>
      <c r="AB2726"/>
    </row>
    <row r="2727" spans="1:28" s="37" customFormat="1" x14ac:dyDescent="0.15">
      <c r="A2727" s="166"/>
      <c r="B2727" s="93"/>
      <c r="C2727" s="70"/>
      <c r="D2727" s="70"/>
      <c r="E2727" s="70"/>
      <c r="F2727" s="70"/>
      <c r="G2727" s="70"/>
      <c r="H2727" s="93"/>
      <c r="I2727" s="85"/>
      <c r="J2727" s="85"/>
      <c r="K2727" s="131"/>
      <c r="L2727" s="60"/>
      <c r="M2727" s="33"/>
      <c r="Q2727" s="3"/>
      <c r="R2727" s="3"/>
      <c r="S2727" s="3"/>
      <c r="T2727" s="3"/>
      <c r="U2727" s="3"/>
      <c r="V2727" s="3"/>
      <c r="W2727" s="3"/>
      <c r="X2727" s="3"/>
      <c r="Y2727" s="3"/>
      <c r="Z2727" s="4"/>
      <c r="AA2727"/>
      <c r="AB2727"/>
    </row>
    <row r="2728" spans="1:28" s="37" customFormat="1" x14ac:dyDescent="0.15">
      <c r="A2728" s="166"/>
      <c r="B2728" s="93"/>
      <c r="C2728" s="70"/>
      <c r="D2728" s="70"/>
      <c r="E2728" s="70"/>
      <c r="F2728" s="70"/>
      <c r="G2728" s="70"/>
      <c r="H2728" s="93"/>
      <c r="I2728" s="85"/>
      <c r="J2728" s="85"/>
      <c r="K2728" s="131"/>
      <c r="L2728" s="60"/>
      <c r="M2728" s="33"/>
      <c r="Q2728" s="3"/>
      <c r="R2728" s="3"/>
      <c r="S2728" s="3"/>
      <c r="T2728" s="3"/>
      <c r="U2728" s="3"/>
      <c r="V2728" s="3"/>
      <c r="W2728" s="3"/>
      <c r="X2728" s="3"/>
      <c r="Y2728" s="3"/>
      <c r="Z2728" s="4"/>
      <c r="AA2728"/>
      <c r="AB2728"/>
    </row>
    <row r="2729" spans="1:28" s="37" customFormat="1" ht="16" x14ac:dyDescent="0.2">
      <c r="A2729" s="166"/>
      <c r="B2729" s="93"/>
      <c r="C2729" s="70"/>
      <c r="D2729" s="70"/>
      <c r="E2729" s="70"/>
      <c r="F2729" s="70"/>
      <c r="G2729" s="70"/>
      <c r="H2729" s="93"/>
      <c r="I2729" s="85"/>
      <c r="J2729" s="85"/>
      <c r="K2729" s="131"/>
      <c r="L2729" s="60"/>
      <c r="M2729" s="47"/>
      <c r="Q2729" s="3"/>
      <c r="R2729" s="3"/>
      <c r="S2729" s="3"/>
      <c r="T2729" s="3"/>
      <c r="U2729" s="3"/>
      <c r="V2729" s="3"/>
      <c r="W2729" s="3"/>
      <c r="X2729" s="3"/>
      <c r="Y2729" s="3"/>
      <c r="Z2729" s="4"/>
      <c r="AA2729"/>
      <c r="AB2729"/>
    </row>
    <row r="2730" spans="1:28" s="37" customFormat="1" x14ac:dyDescent="0.15">
      <c r="A2730" s="166"/>
      <c r="B2730" s="93"/>
      <c r="C2730" s="70"/>
      <c r="D2730" s="70"/>
      <c r="E2730" s="70"/>
      <c r="F2730" s="70"/>
      <c r="G2730" s="70"/>
      <c r="H2730" s="93"/>
      <c r="I2730" s="85"/>
      <c r="J2730" s="85"/>
      <c r="K2730" s="131"/>
      <c r="L2730" s="60"/>
      <c r="M2730" s="33"/>
      <c r="Q2730" s="3"/>
      <c r="R2730" s="3"/>
      <c r="S2730" s="3"/>
      <c r="T2730" s="3"/>
      <c r="U2730" s="3"/>
      <c r="V2730" s="3"/>
      <c r="W2730" s="3"/>
      <c r="X2730" s="3"/>
      <c r="Y2730" s="3"/>
      <c r="Z2730" s="4"/>
      <c r="AA2730"/>
      <c r="AB2730"/>
    </row>
    <row r="2731" spans="1:28" s="37" customFormat="1" x14ac:dyDescent="0.15">
      <c r="A2731" s="166"/>
      <c r="B2731" s="93"/>
      <c r="C2731" s="70"/>
      <c r="D2731" s="70"/>
      <c r="E2731" s="70"/>
      <c r="F2731" s="70"/>
      <c r="G2731" s="70"/>
      <c r="H2731" s="93"/>
      <c r="I2731" s="85"/>
      <c r="J2731" s="85"/>
      <c r="K2731" s="131"/>
      <c r="L2731" s="60"/>
      <c r="M2731" s="33"/>
      <c r="Q2731" s="3"/>
      <c r="R2731" s="3"/>
      <c r="S2731" s="3"/>
      <c r="T2731" s="3"/>
      <c r="U2731" s="3"/>
      <c r="V2731" s="3"/>
      <c r="W2731" s="3"/>
      <c r="X2731" s="3"/>
      <c r="Y2731" s="3"/>
      <c r="Z2731" s="4"/>
      <c r="AA2731"/>
      <c r="AB2731"/>
    </row>
    <row r="2732" spans="1:28" s="37" customFormat="1" x14ac:dyDescent="0.15">
      <c r="A2732" s="166"/>
      <c r="B2732" s="93"/>
      <c r="C2732" s="70"/>
      <c r="D2732" s="70"/>
      <c r="E2732" s="70"/>
      <c r="F2732" s="70"/>
      <c r="G2732" s="70"/>
      <c r="H2732" s="93"/>
      <c r="I2732" s="85"/>
      <c r="J2732" s="85"/>
      <c r="K2732" s="131"/>
      <c r="L2732" s="60"/>
      <c r="M2732" s="33"/>
      <c r="O2732" s="33"/>
      <c r="Q2732" s="3"/>
      <c r="R2732" s="3"/>
      <c r="S2732" s="3"/>
      <c r="T2732" s="3"/>
      <c r="U2732" s="3"/>
      <c r="V2732" s="3"/>
      <c r="W2732" s="3"/>
      <c r="X2732" s="3"/>
      <c r="Y2732" s="3"/>
      <c r="Z2732" s="4"/>
      <c r="AA2732"/>
      <c r="AB2732"/>
    </row>
    <row r="2733" spans="1:28" s="37" customFormat="1" x14ac:dyDescent="0.15">
      <c r="A2733" s="166"/>
      <c r="B2733" s="93"/>
      <c r="C2733" s="70"/>
      <c r="D2733" s="70"/>
      <c r="E2733" s="70"/>
      <c r="F2733" s="70"/>
      <c r="G2733" s="70"/>
      <c r="H2733" s="93"/>
      <c r="I2733" s="85"/>
      <c r="J2733" s="85"/>
      <c r="K2733" s="131"/>
      <c r="L2733" s="60"/>
      <c r="M2733" s="33"/>
      <c r="Q2733" s="3"/>
      <c r="R2733" s="3"/>
      <c r="S2733" s="3"/>
      <c r="T2733" s="3"/>
      <c r="U2733" s="3"/>
      <c r="V2733" s="3"/>
      <c r="W2733" s="3"/>
      <c r="X2733" s="3"/>
      <c r="Y2733" s="3"/>
      <c r="Z2733" s="4"/>
      <c r="AA2733"/>
      <c r="AB2733"/>
    </row>
    <row r="2734" spans="1:28" s="37" customFormat="1" x14ac:dyDescent="0.15">
      <c r="A2734" s="166"/>
      <c r="B2734" s="82"/>
      <c r="C2734" s="70"/>
      <c r="D2734" s="70"/>
      <c r="E2734" s="70"/>
      <c r="F2734" s="70"/>
      <c r="G2734" s="70"/>
      <c r="H2734" s="93"/>
      <c r="I2734" s="85"/>
      <c r="J2734" s="85"/>
      <c r="K2734" s="131"/>
      <c r="L2734" s="60"/>
      <c r="M2734" s="33"/>
      <c r="Q2734" s="3"/>
      <c r="R2734" s="3"/>
      <c r="S2734" s="3"/>
      <c r="T2734" s="3"/>
      <c r="U2734" s="3"/>
      <c r="V2734" s="3"/>
      <c r="W2734" s="3"/>
      <c r="X2734" s="3"/>
      <c r="Y2734" s="3"/>
      <c r="Z2734" s="4"/>
      <c r="AA2734"/>
      <c r="AB2734"/>
    </row>
    <row r="2735" spans="1:28" s="37" customFormat="1" x14ac:dyDescent="0.15">
      <c r="A2735" s="166"/>
      <c r="B2735" s="93"/>
      <c r="C2735" s="70"/>
      <c r="D2735" s="70"/>
      <c r="E2735" s="70"/>
      <c r="F2735" s="70"/>
      <c r="G2735" s="70"/>
      <c r="H2735" s="93"/>
      <c r="I2735" s="85"/>
      <c r="J2735" s="85"/>
      <c r="K2735" s="131"/>
      <c r="L2735" s="60"/>
      <c r="M2735" s="33"/>
      <c r="Q2735" s="3"/>
      <c r="R2735" s="3"/>
      <c r="S2735" s="3"/>
      <c r="T2735" s="3"/>
      <c r="U2735" s="3"/>
      <c r="V2735" s="3"/>
      <c r="W2735" s="3"/>
      <c r="X2735" s="3"/>
      <c r="Y2735" s="3"/>
      <c r="Z2735" s="4"/>
      <c r="AA2735"/>
      <c r="AB2735"/>
    </row>
    <row r="2736" spans="1:28" s="37" customFormat="1" x14ac:dyDescent="0.15">
      <c r="A2736" s="166"/>
      <c r="B2736" s="82"/>
      <c r="C2736" s="70"/>
      <c r="D2736" s="70"/>
      <c r="E2736" s="70"/>
      <c r="F2736" s="70"/>
      <c r="G2736" s="70"/>
      <c r="H2736" s="93"/>
      <c r="I2736" s="85"/>
      <c r="J2736" s="85"/>
      <c r="K2736" s="131"/>
      <c r="L2736" s="60"/>
      <c r="M2736" s="33"/>
      <c r="Q2736" s="3"/>
      <c r="R2736" s="3"/>
      <c r="S2736" s="3"/>
      <c r="T2736" s="3"/>
      <c r="U2736" s="3"/>
      <c r="V2736" s="3"/>
      <c r="W2736" s="3"/>
      <c r="X2736" s="3"/>
      <c r="Y2736" s="3"/>
      <c r="Z2736" s="4"/>
      <c r="AA2736"/>
      <c r="AB2736"/>
    </row>
    <row r="2737" spans="1:28" s="37" customFormat="1" x14ac:dyDescent="0.15">
      <c r="A2737" s="166"/>
      <c r="B2737" s="93"/>
      <c r="C2737" s="70"/>
      <c r="D2737" s="70"/>
      <c r="E2737" s="70"/>
      <c r="F2737" s="70"/>
      <c r="G2737" s="70"/>
      <c r="H2737" s="93"/>
      <c r="I2737" s="85"/>
      <c r="J2737" s="85"/>
      <c r="K2737" s="131"/>
      <c r="L2737" s="60"/>
      <c r="M2737" s="33"/>
      <c r="Q2737" s="3"/>
      <c r="R2737" s="3"/>
      <c r="S2737" s="3"/>
      <c r="T2737" s="3"/>
      <c r="U2737" s="3"/>
      <c r="V2737" s="3"/>
      <c r="W2737" s="3"/>
      <c r="X2737" s="3"/>
      <c r="Y2737" s="3"/>
      <c r="Z2737" s="4"/>
      <c r="AA2737"/>
      <c r="AB2737"/>
    </row>
    <row r="2738" spans="1:28" s="37" customFormat="1" x14ac:dyDescent="0.15">
      <c r="A2738" s="166"/>
      <c r="B2738" s="93"/>
      <c r="C2738" s="70"/>
      <c r="D2738" s="70"/>
      <c r="E2738" s="70"/>
      <c r="F2738" s="70"/>
      <c r="G2738" s="70"/>
      <c r="H2738" s="93"/>
      <c r="I2738" s="85"/>
      <c r="J2738" s="85"/>
      <c r="K2738" s="131"/>
      <c r="L2738" s="60"/>
      <c r="M2738" s="33"/>
      <c r="N2738" s="32"/>
      <c r="Q2738" s="3"/>
      <c r="R2738" s="3"/>
      <c r="S2738" s="3"/>
      <c r="T2738" s="3"/>
      <c r="U2738" s="3"/>
      <c r="V2738" s="3"/>
      <c r="W2738" s="3"/>
      <c r="X2738" s="3"/>
      <c r="Y2738" s="3"/>
      <c r="Z2738" s="4"/>
      <c r="AA2738"/>
      <c r="AB2738"/>
    </row>
    <row r="2739" spans="1:28" s="37" customFormat="1" x14ac:dyDescent="0.15">
      <c r="A2739" s="166"/>
      <c r="B2739" s="93"/>
      <c r="C2739" s="70"/>
      <c r="D2739" s="70"/>
      <c r="E2739" s="70"/>
      <c r="F2739" s="70"/>
      <c r="G2739" s="70"/>
      <c r="H2739" s="93"/>
      <c r="I2739" s="85"/>
      <c r="J2739" s="85"/>
      <c r="K2739" s="131"/>
      <c r="L2739" s="60"/>
      <c r="M2739" s="49"/>
      <c r="Q2739" s="3"/>
      <c r="R2739" s="3"/>
      <c r="S2739" s="3"/>
      <c r="T2739" s="3"/>
      <c r="U2739" s="3"/>
      <c r="V2739" s="3"/>
      <c r="W2739" s="3"/>
      <c r="X2739" s="3"/>
      <c r="Y2739" s="3"/>
      <c r="Z2739" s="4"/>
      <c r="AA2739"/>
      <c r="AB2739"/>
    </row>
    <row r="2740" spans="1:28" s="37" customFormat="1" x14ac:dyDescent="0.15">
      <c r="A2740" s="166"/>
      <c r="B2740" s="82"/>
      <c r="C2740" s="70"/>
      <c r="D2740" s="70"/>
      <c r="E2740" s="70"/>
      <c r="F2740" s="70"/>
      <c r="G2740" s="70"/>
      <c r="H2740" s="93"/>
      <c r="I2740" s="85"/>
      <c r="J2740" s="85"/>
      <c r="K2740" s="131"/>
      <c r="L2740" s="60"/>
      <c r="M2740" s="49"/>
      <c r="Q2740" s="3"/>
      <c r="R2740" s="3"/>
      <c r="S2740" s="3"/>
      <c r="T2740" s="3"/>
      <c r="U2740" s="3"/>
      <c r="V2740" s="3"/>
      <c r="W2740" s="3"/>
      <c r="X2740" s="3"/>
      <c r="Y2740" s="3"/>
      <c r="Z2740" s="4"/>
      <c r="AA2740"/>
      <c r="AB2740"/>
    </row>
    <row r="2741" spans="1:28" s="37" customFormat="1" ht="16" x14ac:dyDescent="0.2">
      <c r="A2741" s="166"/>
      <c r="B2741" s="82"/>
      <c r="C2741" s="70"/>
      <c r="D2741" s="70"/>
      <c r="E2741" s="70"/>
      <c r="F2741" s="70"/>
      <c r="G2741" s="70"/>
      <c r="H2741" s="93"/>
      <c r="I2741" s="85"/>
      <c r="J2741" s="85"/>
      <c r="K2741" s="131"/>
      <c r="L2741" s="60"/>
      <c r="M2741" s="47"/>
      <c r="Q2741" s="3"/>
      <c r="R2741" s="3"/>
      <c r="S2741" s="3"/>
      <c r="T2741" s="3"/>
      <c r="U2741" s="3"/>
      <c r="V2741" s="3"/>
      <c r="W2741" s="3"/>
      <c r="X2741" s="3"/>
      <c r="Y2741" s="3"/>
      <c r="Z2741" s="4"/>
      <c r="AA2741"/>
      <c r="AB2741"/>
    </row>
    <row r="2742" spans="1:28" s="37" customFormat="1" x14ac:dyDescent="0.15">
      <c r="A2742" s="166"/>
      <c r="B2742" s="93"/>
      <c r="C2742" s="70"/>
      <c r="D2742" s="70"/>
      <c r="E2742" s="70"/>
      <c r="F2742" s="70"/>
      <c r="G2742" s="70"/>
      <c r="H2742" s="93"/>
      <c r="I2742" s="85"/>
      <c r="J2742" s="85"/>
      <c r="K2742" s="131"/>
      <c r="L2742" s="60"/>
      <c r="M2742" s="33"/>
      <c r="Q2742" s="3"/>
      <c r="R2742" s="3"/>
      <c r="S2742" s="3"/>
      <c r="T2742" s="3"/>
      <c r="U2742" s="3"/>
      <c r="V2742" s="3"/>
      <c r="W2742" s="3"/>
      <c r="X2742" s="3"/>
      <c r="Y2742" s="3"/>
      <c r="Z2742" s="4"/>
      <c r="AA2742"/>
      <c r="AB2742"/>
    </row>
    <row r="2743" spans="1:28" s="37" customFormat="1" x14ac:dyDescent="0.15">
      <c r="A2743" s="166"/>
      <c r="B2743" s="93"/>
      <c r="C2743" s="70"/>
      <c r="D2743" s="70"/>
      <c r="E2743" s="70"/>
      <c r="F2743" s="70"/>
      <c r="G2743" s="70"/>
      <c r="H2743" s="93"/>
      <c r="I2743" s="85"/>
      <c r="J2743" s="85"/>
      <c r="K2743" s="131"/>
      <c r="L2743" s="60"/>
      <c r="M2743" s="33"/>
      <c r="Q2743" s="3"/>
      <c r="R2743" s="3"/>
      <c r="S2743" s="3"/>
      <c r="T2743" s="3"/>
      <c r="U2743" s="3"/>
      <c r="V2743" s="3"/>
      <c r="W2743" s="3"/>
      <c r="X2743" s="3"/>
      <c r="Y2743" s="3"/>
      <c r="Z2743" s="4"/>
      <c r="AA2743"/>
      <c r="AB2743"/>
    </row>
    <row r="2744" spans="1:28" s="37" customFormat="1" x14ac:dyDescent="0.15">
      <c r="A2744" s="166"/>
      <c r="B2744" s="93"/>
      <c r="C2744" s="70"/>
      <c r="D2744" s="70"/>
      <c r="E2744" s="70"/>
      <c r="F2744" s="70"/>
      <c r="G2744" s="70"/>
      <c r="H2744" s="93"/>
      <c r="I2744" s="85"/>
      <c r="J2744" s="85"/>
      <c r="K2744" s="131"/>
      <c r="L2744" s="60"/>
      <c r="M2744" s="33"/>
      <c r="Q2744" s="3"/>
      <c r="R2744" s="3"/>
      <c r="S2744" s="3"/>
      <c r="T2744" s="3"/>
      <c r="U2744" s="3"/>
      <c r="V2744" s="3"/>
      <c r="W2744" s="3"/>
      <c r="X2744" s="3"/>
      <c r="Y2744" s="3"/>
      <c r="Z2744" s="4"/>
      <c r="AA2744"/>
      <c r="AB2744"/>
    </row>
    <row r="2745" spans="1:28" s="37" customFormat="1" x14ac:dyDescent="0.15">
      <c r="A2745" s="166"/>
      <c r="B2745" s="93"/>
      <c r="C2745" s="70"/>
      <c r="D2745" s="70"/>
      <c r="E2745" s="70"/>
      <c r="F2745" s="70"/>
      <c r="G2745" s="70"/>
      <c r="H2745" s="93"/>
      <c r="I2745" s="85"/>
      <c r="J2745" s="85"/>
      <c r="K2745" s="131"/>
      <c r="L2745" s="60"/>
      <c r="M2745" s="33"/>
      <c r="Q2745" s="3"/>
      <c r="R2745" s="3"/>
      <c r="S2745" s="3"/>
      <c r="T2745" s="3"/>
      <c r="U2745" s="3"/>
      <c r="V2745" s="3"/>
      <c r="W2745" s="3"/>
      <c r="X2745" s="3"/>
      <c r="Y2745" s="3"/>
      <c r="Z2745" s="4"/>
      <c r="AA2745"/>
      <c r="AB2745"/>
    </row>
    <row r="2746" spans="1:28" s="37" customFormat="1" x14ac:dyDescent="0.15">
      <c r="A2746" s="166"/>
      <c r="B2746" s="93"/>
      <c r="C2746" s="70"/>
      <c r="D2746" s="70"/>
      <c r="E2746" s="70"/>
      <c r="F2746" s="70"/>
      <c r="G2746" s="70"/>
      <c r="H2746" s="93"/>
      <c r="I2746" s="85"/>
      <c r="J2746" s="85"/>
      <c r="K2746" s="131"/>
      <c r="L2746" s="60"/>
      <c r="M2746" s="33"/>
      <c r="Q2746" s="3"/>
      <c r="R2746" s="3"/>
      <c r="S2746" s="3"/>
      <c r="T2746" s="3"/>
      <c r="U2746" s="3"/>
      <c r="V2746" s="3"/>
      <c r="W2746" s="3"/>
      <c r="X2746" s="3"/>
      <c r="Y2746" s="3"/>
      <c r="Z2746" s="4"/>
      <c r="AA2746"/>
      <c r="AB2746"/>
    </row>
    <row r="2747" spans="1:28" s="37" customFormat="1" x14ac:dyDescent="0.15">
      <c r="A2747" s="166"/>
      <c r="B2747" s="93"/>
      <c r="C2747" s="70"/>
      <c r="D2747" s="70"/>
      <c r="E2747" s="70"/>
      <c r="F2747" s="70"/>
      <c r="G2747" s="70"/>
      <c r="H2747" s="93"/>
      <c r="I2747" s="85"/>
      <c r="J2747" s="85"/>
      <c r="K2747" s="131"/>
      <c r="L2747" s="60"/>
      <c r="M2747" s="33"/>
      <c r="Q2747" s="3"/>
      <c r="R2747" s="3"/>
      <c r="S2747" s="3"/>
      <c r="T2747" s="3"/>
      <c r="U2747" s="3"/>
      <c r="V2747" s="3"/>
      <c r="W2747" s="3"/>
      <c r="X2747" s="3"/>
      <c r="Y2747" s="3"/>
      <c r="Z2747" s="4"/>
      <c r="AA2747"/>
      <c r="AB2747"/>
    </row>
    <row r="2748" spans="1:28" s="37" customFormat="1" x14ac:dyDescent="0.15">
      <c r="A2748" s="166"/>
      <c r="B2748" s="93"/>
      <c r="C2748" s="70"/>
      <c r="D2748" s="70"/>
      <c r="E2748" s="70"/>
      <c r="F2748" s="70"/>
      <c r="G2748" s="70"/>
      <c r="H2748" s="93"/>
      <c r="I2748" s="85"/>
      <c r="J2748" s="85"/>
      <c r="K2748" s="131"/>
      <c r="L2748" s="60"/>
      <c r="M2748" s="33"/>
      <c r="Q2748" s="3"/>
      <c r="R2748" s="3"/>
      <c r="S2748" s="3"/>
      <c r="T2748" s="3"/>
      <c r="U2748" s="3"/>
      <c r="V2748" s="3"/>
      <c r="W2748" s="3"/>
      <c r="X2748" s="3"/>
      <c r="Y2748" s="3"/>
      <c r="Z2748" s="4"/>
      <c r="AA2748"/>
      <c r="AB2748"/>
    </row>
    <row r="2749" spans="1:28" s="37" customFormat="1" x14ac:dyDescent="0.15">
      <c r="A2749" s="166"/>
      <c r="B2749" s="93"/>
      <c r="C2749" s="70"/>
      <c r="D2749" s="70"/>
      <c r="E2749" s="70"/>
      <c r="F2749" s="70"/>
      <c r="G2749" s="70"/>
      <c r="H2749" s="93"/>
      <c r="I2749" s="85"/>
      <c r="J2749" s="85"/>
      <c r="K2749" s="131"/>
      <c r="L2749" s="60"/>
      <c r="M2749" s="33"/>
      <c r="Q2749" s="3"/>
      <c r="R2749" s="3"/>
      <c r="S2749" s="3"/>
      <c r="T2749" s="3"/>
      <c r="U2749" s="3"/>
      <c r="V2749" s="3"/>
      <c r="W2749" s="3"/>
      <c r="X2749" s="3"/>
      <c r="Y2749" s="3"/>
      <c r="Z2749" s="4"/>
      <c r="AA2749"/>
      <c r="AB2749"/>
    </row>
    <row r="2750" spans="1:28" s="3" customFormat="1" x14ac:dyDescent="0.15">
      <c r="A2750" s="166"/>
      <c r="B2750" s="108"/>
      <c r="C2750" s="70"/>
      <c r="D2750" s="70"/>
      <c r="E2750" s="70"/>
      <c r="F2750" s="70"/>
      <c r="G2750" s="70"/>
      <c r="H2750" s="93"/>
      <c r="I2750" s="85"/>
      <c r="J2750" s="85"/>
      <c r="K2750" s="131"/>
      <c r="L2750" s="60"/>
      <c r="M2750" s="33"/>
      <c r="N2750" s="37"/>
      <c r="O2750" s="37"/>
      <c r="P2750" s="37"/>
      <c r="Z2750" s="4"/>
      <c r="AA2750"/>
      <c r="AB2750"/>
    </row>
    <row r="2751" spans="1:28" s="3" customFormat="1" x14ac:dyDescent="0.15">
      <c r="A2751" s="166"/>
      <c r="B2751" s="93"/>
      <c r="C2751" s="70"/>
      <c r="D2751" s="70"/>
      <c r="E2751" s="70"/>
      <c r="F2751" s="70"/>
      <c r="G2751" s="70"/>
      <c r="H2751" s="93"/>
      <c r="I2751" s="85"/>
      <c r="J2751" s="85"/>
      <c r="K2751" s="131"/>
      <c r="L2751" s="60"/>
      <c r="M2751" s="33"/>
      <c r="N2751" s="37"/>
      <c r="O2751" s="33"/>
      <c r="P2751" s="37"/>
      <c r="Z2751" s="4"/>
      <c r="AA2751"/>
      <c r="AB2751"/>
    </row>
    <row r="2752" spans="1:28" s="3" customFormat="1" x14ac:dyDescent="0.15">
      <c r="A2752" s="166"/>
      <c r="B2752" s="93"/>
      <c r="C2752" s="70"/>
      <c r="D2752" s="70"/>
      <c r="E2752" s="73"/>
      <c r="F2752" s="70"/>
      <c r="G2752" s="70"/>
      <c r="H2752" s="93"/>
      <c r="I2752" s="85"/>
      <c r="J2752" s="85"/>
      <c r="K2752" s="131"/>
      <c r="L2752" s="60"/>
      <c r="M2752" s="33"/>
      <c r="N2752" s="37"/>
      <c r="O2752" s="37"/>
      <c r="P2752" s="37"/>
      <c r="Z2752" s="4"/>
      <c r="AA2752"/>
      <c r="AB2752"/>
    </row>
    <row r="2753" spans="1:28" s="3" customFormat="1" x14ac:dyDescent="0.15">
      <c r="A2753" s="166"/>
      <c r="B2753" s="93"/>
      <c r="C2753" s="70"/>
      <c r="D2753" s="70"/>
      <c r="E2753" s="70"/>
      <c r="F2753" s="70"/>
      <c r="G2753" s="70"/>
      <c r="H2753" s="93"/>
      <c r="I2753" s="85"/>
      <c r="J2753" s="85"/>
      <c r="K2753" s="131"/>
      <c r="L2753" s="60"/>
      <c r="M2753" s="33"/>
      <c r="N2753" s="37"/>
      <c r="O2753" s="37"/>
      <c r="P2753" s="37"/>
      <c r="Z2753" s="4"/>
      <c r="AA2753"/>
      <c r="AB2753"/>
    </row>
    <row r="2754" spans="1:28" s="3" customFormat="1" x14ac:dyDescent="0.15">
      <c r="A2754" s="166"/>
      <c r="B2754" s="93"/>
      <c r="C2754" s="70"/>
      <c r="D2754" s="70"/>
      <c r="E2754" s="70"/>
      <c r="F2754" s="70"/>
      <c r="G2754" s="70"/>
      <c r="H2754" s="93"/>
      <c r="I2754" s="85"/>
      <c r="J2754" s="85"/>
      <c r="K2754" s="131"/>
      <c r="L2754" s="60"/>
      <c r="M2754" s="33"/>
      <c r="N2754" s="37"/>
      <c r="O2754" s="37"/>
      <c r="P2754" s="33"/>
      <c r="Z2754" s="4"/>
      <c r="AA2754"/>
      <c r="AB2754"/>
    </row>
    <row r="2755" spans="1:28" s="3" customFormat="1" x14ac:dyDescent="0.15">
      <c r="A2755" s="166"/>
      <c r="B2755" s="82"/>
      <c r="C2755" s="70"/>
      <c r="D2755" s="70"/>
      <c r="E2755" s="70"/>
      <c r="F2755" s="70"/>
      <c r="G2755" s="70"/>
      <c r="H2755" s="93"/>
      <c r="I2755" s="85"/>
      <c r="J2755" s="85"/>
      <c r="K2755" s="131"/>
      <c r="L2755" s="60"/>
      <c r="M2755" s="49"/>
      <c r="N2755" s="37"/>
      <c r="O2755" s="37"/>
      <c r="P2755" s="37"/>
      <c r="Z2755" s="4"/>
      <c r="AA2755"/>
      <c r="AB2755"/>
    </row>
    <row r="2756" spans="1:28" s="3" customFormat="1" x14ac:dyDescent="0.15">
      <c r="A2756" s="166"/>
      <c r="B2756" s="93"/>
      <c r="C2756" s="70"/>
      <c r="D2756" s="70"/>
      <c r="E2756" s="70"/>
      <c r="F2756" s="70"/>
      <c r="G2756" s="70"/>
      <c r="H2756" s="93"/>
      <c r="I2756" s="85"/>
      <c r="J2756" s="85"/>
      <c r="K2756" s="131"/>
      <c r="L2756" s="60"/>
      <c r="M2756" s="33"/>
      <c r="N2756" s="37"/>
      <c r="O2756" s="37"/>
      <c r="P2756" s="37"/>
      <c r="Z2756" s="4"/>
      <c r="AA2756"/>
      <c r="AB2756"/>
    </row>
    <row r="2757" spans="1:28" s="3" customFormat="1" x14ac:dyDescent="0.15">
      <c r="A2757" s="166"/>
      <c r="B2757" s="93"/>
      <c r="C2757" s="70"/>
      <c r="D2757" s="70"/>
      <c r="E2757" s="70"/>
      <c r="F2757" s="70"/>
      <c r="G2757" s="70"/>
      <c r="H2757" s="93"/>
      <c r="I2757" s="85"/>
      <c r="J2757" s="85"/>
      <c r="K2757" s="131"/>
      <c r="L2757" s="60"/>
      <c r="M2757" s="33"/>
      <c r="N2757" s="37"/>
      <c r="O2757" s="37"/>
      <c r="P2757" s="37"/>
      <c r="Z2757" s="4"/>
      <c r="AA2757"/>
      <c r="AB2757"/>
    </row>
    <row r="2758" spans="1:28" s="3" customFormat="1" ht="16" x14ac:dyDescent="0.2">
      <c r="A2758" s="166"/>
      <c r="B2758" s="93"/>
      <c r="C2758" s="70"/>
      <c r="D2758" s="70"/>
      <c r="E2758" s="70"/>
      <c r="F2758" s="70"/>
      <c r="G2758" s="70"/>
      <c r="H2758" s="93"/>
      <c r="I2758" s="85"/>
      <c r="J2758" s="85"/>
      <c r="K2758" s="131"/>
      <c r="L2758" s="60"/>
      <c r="M2758" s="47"/>
      <c r="N2758" s="37"/>
      <c r="O2758" s="37"/>
      <c r="P2758" s="37"/>
      <c r="Z2758" s="4"/>
      <c r="AA2758"/>
      <c r="AB2758"/>
    </row>
    <row r="2759" spans="1:28" s="3" customFormat="1" x14ac:dyDescent="0.15">
      <c r="A2759" s="166"/>
      <c r="B2759" s="82"/>
      <c r="C2759" s="70"/>
      <c r="D2759" s="70"/>
      <c r="E2759" s="70"/>
      <c r="F2759" s="70"/>
      <c r="G2759" s="70"/>
      <c r="H2759" s="93"/>
      <c r="I2759" s="85"/>
      <c r="J2759" s="85"/>
      <c r="K2759" s="131"/>
      <c r="L2759" s="60"/>
      <c r="M2759" s="33"/>
      <c r="N2759" s="46"/>
      <c r="O2759" s="37"/>
      <c r="P2759" s="37"/>
      <c r="Z2759" s="4"/>
      <c r="AA2759"/>
      <c r="AB2759"/>
    </row>
    <row r="2760" spans="1:28" s="3" customFormat="1" x14ac:dyDescent="0.15">
      <c r="A2760" s="166"/>
      <c r="B2760" s="82"/>
      <c r="C2760" s="70"/>
      <c r="D2760" s="70"/>
      <c r="E2760" s="70"/>
      <c r="F2760" s="70"/>
      <c r="G2760" s="70"/>
      <c r="H2760" s="93"/>
      <c r="I2760" s="85"/>
      <c r="J2760" s="85"/>
      <c r="K2760" s="131"/>
      <c r="L2760" s="60"/>
      <c r="M2760" s="33"/>
      <c r="N2760" s="46"/>
      <c r="O2760" s="37"/>
      <c r="P2760" s="37"/>
      <c r="Z2760" s="4"/>
      <c r="AA2760"/>
      <c r="AB2760"/>
    </row>
    <row r="2761" spans="1:28" s="3" customFormat="1" ht="16" x14ac:dyDescent="0.2">
      <c r="A2761" s="166"/>
      <c r="B2761" s="93"/>
      <c r="C2761" s="70"/>
      <c r="D2761" s="70"/>
      <c r="E2761" s="70"/>
      <c r="F2761" s="70"/>
      <c r="G2761" s="70"/>
      <c r="H2761" s="93"/>
      <c r="I2761" s="85"/>
      <c r="J2761" s="85"/>
      <c r="K2761" s="131"/>
      <c r="L2761" s="60"/>
      <c r="M2761" s="33"/>
      <c r="N2761" s="48"/>
      <c r="O2761" s="37"/>
      <c r="P2761" s="37"/>
      <c r="Z2761" s="4"/>
      <c r="AA2761"/>
      <c r="AB2761"/>
    </row>
    <row r="2762" spans="1:28" s="3" customFormat="1" x14ac:dyDescent="0.15">
      <c r="A2762" s="166"/>
      <c r="B2762" s="93"/>
      <c r="C2762" s="70"/>
      <c r="D2762" s="70"/>
      <c r="E2762" s="70"/>
      <c r="F2762" s="70"/>
      <c r="G2762" s="70"/>
      <c r="H2762" s="93"/>
      <c r="I2762" s="85"/>
      <c r="J2762" s="85"/>
      <c r="K2762" s="131"/>
      <c r="L2762" s="60"/>
      <c r="M2762" s="33"/>
      <c r="N2762" s="37"/>
      <c r="O2762" s="37"/>
      <c r="P2762" s="37"/>
      <c r="Z2762" s="4"/>
      <c r="AA2762"/>
      <c r="AB2762"/>
    </row>
    <row r="2763" spans="1:28" s="3" customFormat="1" x14ac:dyDescent="0.15">
      <c r="A2763" s="166"/>
      <c r="B2763" s="93"/>
      <c r="C2763" s="70"/>
      <c r="D2763" s="70"/>
      <c r="E2763" s="70"/>
      <c r="F2763" s="70"/>
      <c r="G2763" s="70"/>
      <c r="H2763" s="93"/>
      <c r="I2763" s="85"/>
      <c r="J2763" s="85"/>
      <c r="K2763" s="131"/>
      <c r="L2763" s="60"/>
      <c r="M2763" s="33"/>
      <c r="N2763" s="37"/>
      <c r="O2763" s="37"/>
      <c r="P2763" s="37"/>
      <c r="Z2763" s="4"/>
      <c r="AA2763"/>
      <c r="AB2763"/>
    </row>
    <row r="2764" spans="1:28" s="3" customFormat="1" ht="16" x14ac:dyDescent="0.2">
      <c r="A2764" s="166"/>
      <c r="B2764" s="93"/>
      <c r="C2764" s="70"/>
      <c r="D2764" s="70"/>
      <c r="E2764" s="70"/>
      <c r="F2764" s="70"/>
      <c r="G2764" s="70"/>
      <c r="H2764" s="93"/>
      <c r="I2764" s="85"/>
      <c r="J2764" s="85"/>
      <c r="K2764" s="131"/>
      <c r="L2764" s="60"/>
      <c r="M2764" s="47"/>
      <c r="N2764" s="37"/>
      <c r="O2764" s="37"/>
      <c r="P2764" s="37"/>
      <c r="Z2764" s="4"/>
      <c r="AA2764"/>
      <c r="AB2764"/>
    </row>
    <row r="2765" spans="1:28" s="3" customFormat="1" ht="16" x14ac:dyDescent="0.2">
      <c r="A2765" s="166"/>
      <c r="B2765" s="82"/>
      <c r="C2765" s="70"/>
      <c r="D2765" s="70"/>
      <c r="E2765" s="70"/>
      <c r="F2765" s="70"/>
      <c r="G2765" s="70"/>
      <c r="H2765" s="93"/>
      <c r="I2765" s="85"/>
      <c r="J2765" s="85"/>
      <c r="K2765" s="131"/>
      <c r="L2765" s="60"/>
      <c r="M2765" s="47"/>
      <c r="N2765" s="37"/>
      <c r="O2765" s="37"/>
      <c r="P2765" s="37"/>
      <c r="Z2765" s="4"/>
      <c r="AA2765"/>
      <c r="AB2765"/>
    </row>
    <row r="2766" spans="1:28" s="37" customFormat="1" x14ac:dyDescent="0.15">
      <c r="A2766" s="166"/>
      <c r="B2766" s="93"/>
      <c r="C2766" s="70"/>
      <c r="D2766" s="70"/>
      <c r="E2766" s="70"/>
      <c r="F2766" s="70"/>
      <c r="G2766" s="70"/>
      <c r="H2766" s="93"/>
      <c r="I2766" s="85"/>
      <c r="J2766" s="85"/>
      <c r="K2766" s="131"/>
      <c r="L2766" s="60"/>
      <c r="M2766" s="33"/>
      <c r="Q2766" s="3"/>
      <c r="R2766" s="3"/>
      <c r="S2766" s="3"/>
      <c r="T2766" s="3"/>
      <c r="U2766" s="3"/>
      <c r="V2766" s="3"/>
      <c r="W2766" s="3"/>
      <c r="X2766" s="3"/>
      <c r="Y2766" s="3"/>
      <c r="Z2766" s="4"/>
      <c r="AA2766"/>
      <c r="AB2766"/>
    </row>
    <row r="2767" spans="1:28" s="37" customFormat="1" x14ac:dyDescent="0.15">
      <c r="A2767" s="166"/>
      <c r="B2767" s="82"/>
      <c r="C2767" s="73"/>
      <c r="D2767" s="73"/>
      <c r="E2767" s="73"/>
      <c r="F2767" s="73"/>
      <c r="G2767" s="73"/>
      <c r="H2767" s="108"/>
      <c r="I2767" s="85"/>
      <c r="J2767" s="95"/>
      <c r="K2767" s="131"/>
      <c r="L2767" s="60"/>
      <c r="M2767" s="33"/>
      <c r="Q2767" s="3"/>
      <c r="R2767" s="3"/>
      <c r="S2767" s="3"/>
      <c r="T2767" s="3"/>
      <c r="U2767" s="3"/>
      <c r="V2767" s="3"/>
      <c r="W2767" s="3"/>
      <c r="X2767" s="3"/>
      <c r="Y2767" s="3"/>
      <c r="Z2767" s="4"/>
      <c r="AA2767"/>
      <c r="AB2767"/>
    </row>
    <row r="2768" spans="1:28" s="37" customFormat="1" x14ac:dyDescent="0.15">
      <c r="A2768" s="166"/>
      <c r="B2768" s="93"/>
      <c r="C2768" s="70"/>
      <c r="D2768" s="70"/>
      <c r="E2768" s="70"/>
      <c r="F2768" s="70"/>
      <c r="G2768" s="70"/>
      <c r="H2768" s="93"/>
      <c r="I2768" s="85"/>
      <c r="J2768" s="85"/>
      <c r="K2768" s="131"/>
      <c r="L2768" s="60"/>
      <c r="M2768" s="33"/>
      <c r="Q2768" s="3"/>
      <c r="R2768" s="3"/>
      <c r="S2768" s="3"/>
      <c r="T2768" s="3"/>
      <c r="U2768" s="3"/>
      <c r="V2768" s="3"/>
      <c r="W2768" s="3"/>
      <c r="X2768" s="3"/>
      <c r="Y2768" s="3"/>
      <c r="Z2768" s="4"/>
      <c r="AA2768"/>
      <c r="AB2768"/>
    </row>
    <row r="2769" spans="1:28" s="37" customFormat="1" x14ac:dyDescent="0.15">
      <c r="A2769" s="166"/>
      <c r="B2769" s="93"/>
      <c r="C2769" s="70"/>
      <c r="D2769" s="70"/>
      <c r="E2769" s="70"/>
      <c r="F2769" s="70"/>
      <c r="G2769" s="70"/>
      <c r="H2769" s="93"/>
      <c r="I2769" s="85"/>
      <c r="J2769" s="85"/>
      <c r="K2769" s="131"/>
      <c r="L2769" s="60"/>
      <c r="M2769" s="33"/>
      <c r="Q2769" s="3"/>
      <c r="R2769" s="3"/>
      <c r="S2769" s="3"/>
      <c r="T2769" s="3"/>
      <c r="U2769" s="3"/>
      <c r="V2769" s="3"/>
      <c r="W2769" s="3"/>
      <c r="X2769" s="3"/>
      <c r="Y2769" s="3"/>
      <c r="Z2769" s="4"/>
      <c r="AA2769"/>
      <c r="AB2769"/>
    </row>
    <row r="2770" spans="1:28" s="37" customFormat="1" ht="16" x14ac:dyDescent="0.2">
      <c r="A2770" s="166"/>
      <c r="B2770" s="93"/>
      <c r="C2770" s="70"/>
      <c r="D2770" s="70"/>
      <c r="E2770" s="70"/>
      <c r="F2770" s="70"/>
      <c r="G2770" s="70"/>
      <c r="H2770" s="93"/>
      <c r="I2770" s="85"/>
      <c r="J2770" s="85"/>
      <c r="K2770" s="131"/>
      <c r="L2770" s="60"/>
      <c r="M2770" s="47"/>
      <c r="Q2770" s="3"/>
      <c r="R2770" s="3"/>
      <c r="S2770" s="3"/>
      <c r="T2770" s="3"/>
      <c r="U2770" s="3"/>
      <c r="V2770" s="3"/>
      <c r="W2770" s="3"/>
      <c r="X2770" s="3"/>
      <c r="Y2770" s="3"/>
      <c r="Z2770" s="4"/>
      <c r="AA2770"/>
      <c r="AB2770"/>
    </row>
    <row r="2771" spans="1:28" s="37" customFormat="1" x14ac:dyDescent="0.15">
      <c r="A2771" s="166"/>
      <c r="B2771" s="93"/>
      <c r="C2771" s="70"/>
      <c r="D2771" s="70"/>
      <c r="E2771" s="70"/>
      <c r="F2771" s="70"/>
      <c r="G2771" s="70"/>
      <c r="H2771" s="93"/>
      <c r="I2771" s="85"/>
      <c r="J2771" s="85"/>
      <c r="K2771" s="131"/>
      <c r="L2771" s="60"/>
      <c r="M2771" s="49"/>
      <c r="Q2771" s="3"/>
      <c r="R2771" s="3"/>
      <c r="S2771" s="3"/>
      <c r="T2771" s="3"/>
      <c r="U2771" s="3"/>
      <c r="V2771" s="3"/>
      <c r="W2771" s="3"/>
      <c r="X2771" s="3"/>
      <c r="Y2771" s="3"/>
      <c r="Z2771" s="4"/>
      <c r="AA2771"/>
      <c r="AB2771"/>
    </row>
    <row r="2772" spans="1:28" s="37" customFormat="1" x14ac:dyDescent="0.15">
      <c r="A2772" s="166"/>
      <c r="B2772" s="93"/>
      <c r="C2772" s="70"/>
      <c r="D2772" s="70"/>
      <c r="E2772" s="70"/>
      <c r="F2772" s="70"/>
      <c r="G2772" s="70"/>
      <c r="H2772" s="93"/>
      <c r="I2772" s="85"/>
      <c r="J2772" s="85"/>
      <c r="K2772" s="131"/>
      <c r="L2772" s="60"/>
      <c r="M2772" s="33"/>
      <c r="Q2772" s="3"/>
      <c r="R2772" s="3"/>
      <c r="S2772" s="3"/>
      <c r="T2772" s="3"/>
      <c r="U2772" s="3"/>
      <c r="V2772" s="3"/>
      <c r="W2772" s="3"/>
      <c r="X2772" s="3"/>
      <c r="Y2772" s="3"/>
      <c r="Z2772" s="4"/>
      <c r="AA2772"/>
      <c r="AB2772"/>
    </row>
    <row r="2773" spans="1:28" s="37" customFormat="1" x14ac:dyDescent="0.15">
      <c r="A2773" s="166"/>
      <c r="B2773" s="93"/>
      <c r="C2773" s="70"/>
      <c r="D2773" s="70"/>
      <c r="E2773" s="70"/>
      <c r="F2773" s="70"/>
      <c r="G2773" s="70"/>
      <c r="H2773" s="93"/>
      <c r="I2773" s="85"/>
      <c r="J2773" s="85"/>
      <c r="K2773" s="131"/>
      <c r="L2773" s="60"/>
      <c r="M2773" s="33"/>
      <c r="Q2773" s="3"/>
      <c r="R2773" s="3"/>
      <c r="S2773" s="3"/>
      <c r="T2773" s="3"/>
      <c r="U2773" s="3"/>
      <c r="V2773" s="3"/>
      <c r="W2773" s="3"/>
      <c r="X2773" s="3"/>
      <c r="Y2773" s="3"/>
      <c r="Z2773" s="4"/>
      <c r="AA2773"/>
      <c r="AB2773"/>
    </row>
    <row r="2774" spans="1:28" s="37" customFormat="1" x14ac:dyDescent="0.15">
      <c r="A2774" s="166"/>
      <c r="B2774" s="82"/>
      <c r="C2774" s="70"/>
      <c r="D2774" s="70"/>
      <c r="E2774" s="70"/>
      <c r="F2774" s="70"/>
      <c r="G2774" s="70"/>
      <c r="H2774" s="93"/>
      <c r="I2774" s="85"/>
      <c r="J2774" s="85"/>
      <c r="K2774" s="131"/>
      <c r="L2774" s="60"/>
      <c r="M2774" s="33"/>
      <c r="Q2774" s="3"/>
      <c r="R2774" s="3"/>
      <c r="S2774" s="3"/>
      <c r="T2774" s="3"/>
      <c r="U2774" s="3"/>
      <c r="V2774" s="3"/>
      <c r="W2774" s="3"/>
      <c r="X2774" s="3"/>
      <c r="Y2774" s="3"/>
      <c r="Z2774" s="4"/>
      <c r="AA2774"/>
      <c r="AB2774"/>
    </row>
    <row r="2775" spans="1:28" s="37" customFormat="1" x14ac:dyDescent="0.15">
      <c r="A2775" s="166"/>
      <c r="B2775" s="93"/>
      <c r="C2775" s="70"/>
      <c r="D2775" s="70"/>
      <c r="E2775" s="70"/>
      <c r="F2775" s="70"/>
      <c r="G2775" s="70"/>
      <c r="H2775" s="93"/>
      <c r="I2775" s="85"/>
      <c r="J2775" s="85"/>
      <c r="K2775" s="131"/>
      <c r="L2775" s="60"/>
      <c r="M2775" s="33"/>
      <c r="Q2775" s="3"/>
      <c r="R2775" s="3"/>
      <c r="S2775" s="3"/>
      <c r="T2775" s="3"/>
      <c r="U2775" s="3"/>
      <c r="V2775" s="3"/>
      <c r="W2775" s="3"/>
      <c r="X2775" s="3"/>
      <c r="Y2775" s="3"/>
      <c r="Z2775" s="4"/>
      <c r="AA2775"/>
      <c r="AB2775"/>
    </row>
    <row r="2776" spans="1:28" s="37" customFormat="1" x14ac:dyDescent="0.15">
      <c r="A2776" s="166"/>
      <c r="B2776" s="82"/>
      <c r="C2776" s="70"/>
      <c r="D2776" s="70"/>
      <c r="E2776" s="70"/>
      <c r="F2776" s="70"/>
      <c r="G2776" s="70"/>
      <c r="H2776" s="93"/>
      <c r="I2776" s="85"/>
      <c r="J2776" s="85"/>
      <c r="K2776" s="131"/>
      <c r="L2776" s="60"/>
      <c r="M2776" s="33"/>
      <c r="Q2776" s="3"/>
      <c r="R2776" s="3"/>
      <c r="S2776" s="3"/>
      <c r="T2776" s="3"/>
      <c r="U2776" s="3"/>
      <c r="V2776" s="3"/>
      <c r="W2776" s="3"/>
      <c r="X2776" s="3"/>
      <c r="Y2776" s="3"/>
      <c r="Z2776" s="4"/>
      <c r="AA2776"/>
      <c r="AB2776"/>
    </row>
    <row r="2777" spans="1:28" s="37" customFormat="1" x14ac:dyDescent="0.15">
      <c r="A2777" s="166"/>
      <c r="B2777" s="82"/>
      <c r="C2777" s="70"/>
      <c r="D2777" s="70"/>
      <c r="E2777" s="70"/>
      <c r="F2777" s="70"/>
      <c r="G2777" s="70"/>
      <c r="H2777" s="93"/>
      <c r="I2777" s="85"/>
      <c r="J2777" s="85"/>
      <c r="K2777" s="131"/>
      <c r="L2777" s="60"/>
      <c r="M2777" s="33"/>
      <c r="Q2777" s="3"/>
      <c r="R2777" s="3"/>
      <c r="S2777" s="3"/>
      <c r="T2777" s="3"/>
      <c r="U2777" s="3"/>
      <c r="V2777" s="3"/>
      <c r="W2777" s="3"/>
      <c r="X2777" s="3"/>
      <c r="Y2777" s="3"/>
      <c r="Z2777" s="4"/>
      <c r="AA2777"/>
      <c r="AB2777"/>
    </row>
    <row r="2778" spans="1:28" s="37" customFormat="1" x14ac:dyDescent="0.15">
      <c r="A2778" s="166"/>
      <c r="B2778" s="93"/>
      <c r="C2778" s="70"/>
      <c r="D2778" s="70"/>
      <c r="E2778" s="70"/>
      <c r="F2778" s="70"/>
      <c r="G2778" s="70"/>
      <c r="H2778" s="93"/>
      <c r="I2778" s="85"/>
      <c r="J2778" s="85"/>
      <c r="K2778" s="131"/>
      <c r="L2778" s="60"/>
      <c r="M2778" s="33"/>
      <c r="Q2778" s="3"/>
      <c r="R2778" s="3"/>
      <c r="S2778" s="3"/>
      <c r="T2778" s="3"/>
      <c r="U2778" s="3"/>
      <c r="V2778" s="3"/>
      <c r="W2778" s="3"/>
      <c r="X2778" s="3"/>
      <c r="Y2778" s="3"/>
      <c r="Z2778" s="4"/>
      <c r="AA2778"/>
      <c r="AB2778"/>
    </row>
    <row r="2779" spans="1:28" s="37" customFormat="1" x14ac:dyDescent="0.15">
      <c r="A2779" s="166"/>
      <c r="B2779" s="93"/>
      <c r="C2779" s="70"/>
      <c r="D2779" s="70"/>
      <c r="E2779" s="70"/>
      <c r="F2779" s="70"/>
      <c r="G2779" s="70"/>
      <c r="H2779" s="93"/>
      <c r="I2779" s="85"/>
      <c r="J2779" s="85"/>
      <c r="K2779" s="131"/>
      <c r="L2779" s="60"/>
      <c r="M2779" s="33"/>
      <c r="Q2779" s="3"/>
      <c r="R2779" s="3"/>
      <c r="S2779" s="3"/>
      <c r="T2779" s="3"/>
      <c r="U2779" s="3"/>
      <c r="V2779" s="3"/>
      <c r="W2779" s="3"/>
      <c r="X2779" s="3"/>
      <c r="Y2779" s="3"/>
      <c r="Z2779" s="4"/>
      <c r="AA2779"/>
      <c r="AB2779"/>
    </row>
    <row r="2780" spans="1:28" s="37" customFormat="1" x14ac:dyDescent="0.15">
      <c r="A2780" s="166"/>
      <c r="B2780" s="93"/>
      <c r="C2780" s="70"/>
      <c r="D2780" s="70"/>
      <c r="E2780" s="70"/>
      <c r="F2780" s="70"/>
      <c r="G2780" s="70"/>
      <c r="H2780" s="93"/>
      <c r="I2780" s="85"/>
      <c r="J2780" s="85"/>
      <c r="K2780" s="141"/>
      <c r="L2780" s="60"/>
      <c r="M2780" s="33"/>
      <c r="Q2780" s="3"/>
      <c r="R2780" s="3"/>
      <c r="S2780" s="3"/>
      <c r="T2780" s="3"/>
      <c r="U2780" s="3"/>
      <c r="V2780" s="3"/>
      <c r="W2780" s="3"/>
      <c r="X2780" s="3"/>
      <c r="Y2780" s="3"/>
      <c r="Z2780" s="4"/>
      <c r="AA2780"/>
      <c r="AB2780"/>
    </row>
    <row r="2781" spans="1:28" s="37" customFormat="1" x14ac:dyDescent="0.15">
      <c r="A2781" s="166"/>
      <c r="B2781" s="93"/>
      <c r="C2781" s="70"/>
      <c r="D2781" s="70"/>
      <c r="E2781" s="70"/>
      <c r="F2781" s="70"/>
      <c r="G2781" s="70"/>
      <c r="H2781" s="93"/>
      <c r="I2781" s="85"/>
      <c r="J2781" s="85"/>
      <c r="K2781" s="131"/>
      <c r="L2781" s="60"/>
      <c r="M2781" s="33"/>
      <c r="Q2781" s="3"/>
      <c r="R2781" s="3"/>
      <c r="S2781" s="3"/>
      <c r="T2781" s="3"/>
      <c r="U2781" s="3"/>
      <c r="V2781" s="3"/>
      <c r="W2781" s="3"/>
      <c r="X2781" s="3"/>
      <c r="Y2781" s="3"/>
      <c r="Z2781" s="4"/>
      <c r="AA2781"/>
      <c r="AB2781"/>
    </row>
    <row r="2782" spans="1:28" s="37" customFormat="1" x14ac:dyDescent="0.15">
      <c r="A2782" s="166"/>
      <c r="B2782" s="93"/>
      <c r="C2782" s="70"/>
      <c r="D2782" s="70"/>
      <c r="E2782" s="70"/>
      <c r="F2782" s="70"/>
      <c r="G2782" s="70"/>
      <c r="H2782" s="93"/>
      <c r="I2782" s="85"/>
      <c r="J2782" s="85"/>
      <c r="K2782" s="131"/>
      <c r="L2782" s="60"/>
      <c r="M2782" s="33"/>
      <c r="Q2782" s="3"/>
      <c r="R2782" s="3"/>
      <c r="S2782" s="3"/>
      <c r="T2782" s="3"/>
      <c r="U2782" s="3"/>
      <c r="V2782" s="3"/>
      <c r="W2782" s="3"/>
      <c r="X2782" s="3"/>
      <c r="Y2782" s="3"/>
      <c r="Z2782" s="4"/>
      <c r="AA2782"/>
      <c r="AB2782"/>
    </row>
    <row r="2783" spans="1:28" s="37" customFormat="1" x14ac:dyDescent="0.15">
      <c r="A2783" s="166"/>
      <c r="B2783" s="93"/>
      <c r="C2783" s="70"/>
      <c r="D2783" s="70"/>
      <c r="E2783" s="70"/>
      <c r="F2783" s="70"/>
      <c r="G2783" s="70"/>
      <c r="H2783" s="93"/>
      <c r="I2783" s="85"/>
      <c r="J2783" s="85"/>
      <c r="K2783" s="131"/>
      <c r="L2783" s="60"/>
      <c r="M2783" s="33"/>
      <c r="Q2783" s="3"/>
      <c r="R2783" s="3"/>
      <c r="S2783" s="3"/>
      <c r="T2783" s="3"/>
      <c r="U2783" s="3"/>
      <c r="V2783" s="3"/>
      <c r="W2783" s="3"/>
      <c r="X2783" s="3"/>
      <c r="Y2783" s="3"/>
      <c r="Z2783" s="4"/>
      <c r="AA2783"/>
      <c r="AB2783"/>
    </row>
    <row r="2784" spans="1:28" s="37" customFormat="1" x14ac:dyDescent="0.15">
      <c r="A2784" s="166"/>
      <c r="B2784" s="93"/>
      <c r="C2784" s="70"/>
      <c r="D2784" s="70"/>
      <c r="E2784" s="70"/>
      <c r="F2784" s="70"/>
      <c r="G2784" s="70"/>
      <c r="H2784" s="93"/>
      <c r="I2784" s="85"/>
      <c r="J2784" s="85"/>
      <c r="K2784" s="131"/>
      <c r="L2784" s="60"/>
      <c r="M2784" s="33"/>
      <c r="Q2784" s="3"/>
      <c r="R2784" s="3"/>
      <c r="S2784" s="3"/>
      <c r="T2784" s="3"/>
      <c r="U2784" s="3"/>
      <c r="V2784" s="3"/>
      <c r="W2784" s="3"/>
      <c r="X2784" s="3"/>
      <c r="Y2784" s="3"/>
      <c r="Z2784" s="4"/>
      <c r="AA2784"/>
      <c r="AB2784"/>
    </row>
    <row r="2785" spans="1:28" s="37" customFormat="1" x14ac:dyDescent="0.15">
      <c r="A2785" s="166"/>
      <c r="B2785" s="93"/>
      <c r="C2785" s="70"/>
      <c r="D2785" s="70"/>
      <c r="E2785" s="70"/>
      <c r="F2785" s="70"/>
      <c r="G2785" s="70"/>
      <c r="H2785" s="93"/>
      <c r="I2785" s="85"/>
      <c r="J2785" s="85"/>
      <c r="K2785" s="131"/>
      <c r="L2785" s="60"/>
      <c r="M2785" s="33"/>
      <c r="Q2785" s="3"/>
      <c r="R2785" s="3"/>
      <c r="S2785" s="3"/>
      <c r="T2785" s="3"/>
      <c r="U2785" s="3"/>
      <c r="V2785" s="3"/>
      <c r="W2785" s="3"/>
      <c r="X2785" s="3"/>
      <c r="Y2785" s="3"/>
      <c r="Z2785" s="4"/>
      <c r="AA2785"/>
      <c r="AB2785"/>
    </row>
    <row r="2786" spans="1:28" s="37" customFormat="1" x14ac:dyDescent="0.15">
      <c r="A2786" s="166"/>
      <c r="B2786" s="93"/>
      <c r="C2786" s="70"/>
      <c r="D2786" s="70"/>
      <c r="E2786" s="70"/>
      <c r="F2786" s="70"/>
      <c r="G2786" s="70"/>
      <c r="H2786" s="93"/>
      <c r="I2786" s="85"/>
      <c r="J2786" s="85"/>
      <c r="K2786" s="141"/>
      <c r="L2786" s="60"/>
      <c r="M2786" s="33"/>
      <c r="Q2786" s="3"/>
      <c r="R2786" s="3"/>
      <c r="S2786" s="3"/>
      <c r="T2786" s="3"/>
      <c r="U2786" s="3"/>
      <c r="V2786" s="3"/>
      <c r="W2786" s="3"/>
      <c r="X2786" s="3"/>
      <c r="Y2786" s="3"/>
      <c r="Z2786" s="4"/>
      <c r="AA2786"/>
      <c r="AB2786"/>
    </row>
    <row r="2787" spans="1:28" s="37" customFormat="1" ht="16" x14ac:dyDescent="0.2">
      <c r="A2787" s="166"/>
      <c r="B2787" s="93"/>
      <c r="C2787" s="70"/>
      <c r="D2787" s="70"/>
      <c r="E2787" s="70"/>
      <c r="F2787" s="70"/>
      <c r="G2787" s="70"/>
      <c r="H2787" s="93"/>
      <c r="I2787" s="85"/>
      <c r="J2787" s="85"/>
      <c r="K2787" s="131"/>
      <c r="L2787" s="60"/>
      <c r="M2787" s="47"/>
      <c r="Q2787" s="3"/>
      <c r="R2787" s="3"/>
      <c r="S2787" s="3"/>
      <c r="T2787" s="3"/>
      <c r="U2787" s="3"/>
      <c r="V2787" s="3"/>
      <c r="W2787" s="3"/>
      <c r="X2787" s="3"/>
      <c r="Y2787" s="3"/>
      <c r="Z2787" s="4"/>
      <c r="AA2787"/>
      <c r="AB2787"/>
    </row>
    <row r="2788" spans="1:28" s="37" customFormat="1" x14ac:dyDescent="0.15">
      <c r="A2788" s="166"/>
      <c r="B2788" s="93"/>
      <c r="C2788" s="70"/>
      <c r="D2788" s="70"/>
      <c r="E2788" s="70"/>
      <c r="F2788" s="70"/>
      <c r="G2788" s="70"/>
      <c r="H2788" s="93"/>
      <c r="I2788" s="85"/>
      <c r="J2788" s="85"/>
      <c r="K2788" s="131"/>
      <c r="L2788" s="60"/>
      <c r="M2788" s="33"/>
      <c r="Q2788" s="3"/>
      <c r="R2788" s="3"/>
      <c r="S2788" s="3"/>
      <c r="T2788" s="3"/>
      <c r="U2788" s="3"/>
      <c r="V2788" s="3"/>
      <c r="W2788" s="3"/>
      <c r="X2788" s="3"/>
      <c r="Y2788" s="3"/>
      <c r="Z2788" s="4"/>
      <c r="AA2788"/>
      <c r="AB2788"/>
    </row>
    <row r="2789" spans="1:28" s="37" customFormat="1" ht="16" x14ac:dyDescent="0.2">
      <c r="A2789" s="166"/>
      <c r="B2789" s="93"/>
      <c r="C2789" s="70"/>
      <c r="D2789" s="70"/>
      <c r="E2789" s="70"/>
      <c r="F2789" s="70"/>
      <c r="G2789" s="70"/>
      <c r="H2789" s="93"/>
      <c r="I2789" s="85"/>
      <c r="J2789" s="85"/>
      <c r="K2789" s="131"/>
      <c r="L2789" s="60"/>
      <c r="M2789" s="47"/>
      <c r="Q2789" s="3"/>
      <c r="R2789" s="3"/>
      <c r="S2789" s="3"/>
      <c r="T2789" s="3"/>
      <c r="U2789" s="3"/>
      <c r="V2789" s="3"/>
      <c r="W2789" s="3"/>
      <c r="X2789" s="3"/>
      <c r="Y2789" s="3"/>
      <c r="Z2789" s="4"/>
      <c r="AA2789"/>
      <c r="AB2789"/>
    </row>
    <row r="2790" spans="1:28" s="37" customFormat="1" x14ac:dyDescent="0.15">
      <c r="A2790" s="166"/>
      <c r="B2790" s="93"/>
      <c r="C2790" s="70"/>
      <c r="D2790" s="70"/>
      <c r="E2790" s="70"/>
      <c r="F2790" s="70"/>
      <c r="G2790" s="70"/>
      <c r="H2790" s="93"/>
      <c r="I2790" s="85"/>
      <c r="J2790" s="85"/>
      <c r="K2790" s="131"/>
      <c r="L2790" s="60"/>
      <c r="M2790" s="33"/>
      <c r="Q2790" s="3"/>
      <c r="R2790" s="3"/>
      <c r="S2790" s="3"/>
      <c r="T2790" s="3"/>
      <c r="U2790" s="3"/>
      <c r="V2790" s="3"/>
      <c r="W2790" s="3"/>
      <c r="X2790" s="3"/>
      <c r="Y2790" s="3"/>
      <c r="Z2790" s="4"/>
      <c r="AA2790"/>
      <c r="AB2790"/>
    </row>
    <row r="2791" spans="1:28" s="37" customFormat="1" x14ac:dyDescent="0.15">
      <c r="A2791" s="166"/>
      <c r="B2791" s="82"/>
      <c r="C2791" s="70"/>
      <c r="D2791" s="70"/>
      <c r="E2791" s="70"/>
      <c r="F2791" s="70"/>
      <c r="G2791" s="70"/>
      <c r="H2791" s="93"/>
      <c r="I2791" s="85"/>
      <c r="J2791" s="85"/>
      <c r="K2791" s="131"/>
      <c r="L2791" s="60"/>
      <c r="M2791" s="33"/>
      <c r="Q2791" s="3"/>
      <c r="R2791" s="3"/>
      <c r="S2791" s="3"/>
      <c r="T2791" s="3"/>
      <c r="U2791" s="3"/>
      <c r="V2791" s="3"/>
      <c r="W2791" s="3"/>
      <c r="X2791" s="3"/>
      <c r="Y2791" s="3"/>
      <c r="Z2791" s="4"/>
      <c r="AA2791"/>
      <c r="AB2791"/>
    </row>
    <row r="2792" spans="1:28" s="37" customFormat="1" x14ac:dyDescent="0.15">
      <c r="A2792" s="166"/>
      <c r="B2792" s="82"/>
      <c r="C2792" s="70"/>
      <c r="D2792" s="70"/>
      <c r="E2792" s="70"/>
      <c r="F2792" s="70"/>
      <c r="G2792" s="70"/>
      <c r="H2792" s="93"/>
      <c r="I2792" s="85"/>
      <c r="J2792" s="85"/>
      <c r="K2792" s="131"/>
      <c r="L2792" s="60"/>
      <c r="M2792" s="33"/>
      <c r="Q2792" s="3"/>
      <c r="R2792" s="3"/>
      <c r="S2792" s="3"/>
      <c r="T2792" s="3"/>
      <c r="U2792" s="3"/>
      <c r="V2792" s="3"/>
      <c r="W2792" s="3"/>
      <c r="X2792" s="3"/>
      <c r="Y2792" s="3"/>
      <c r="Z2792" s="4"/>
      <c r="AA2792"/>
      <c r="AB2792"/>
    </row>
    <row r="2793" spans="1:28" s="37" customFormat="1" x14ac:dyDescent="0.15">
      <c r="A2793" s="166"/>
      <c r="B2793" s="82"/>
      <c r="C2793" s="70"/>
      <c r="D2793" s="70"/>
      <c r="E2793" s="70"/>
      <c r="F2793" s="70"/>
      <c r="G2793" s="70"/>
      <c r="H2793" s="93"/>
      <c r="I2793" s="85"/>
      <c r="J2793" s="85"/>
      <c r="K2793" s="131"/>
      <c r="L2793" s="60"/>
      <c r="M2793" s="33"/>
      <c r="Q2793" s="3"/>
      <c r="R2793" s="3"/>
      <c r="S2793" s="3"/>
      <c r="T2793" s="3"/>
      <c r="U2793" s="3"/>
      <c r="V2793" s="3"/>
      <c r="W2793" s="3"/>
      <c r="X2793" s="3"/>
      <c r="Y2793" s="3"/>
      <c r="Z2793" s="4"/>
      <c r="AA2793"/>
      <c r="AB2793"/>
    </row>
    <row r="2794" spans="1:28" s="37" customFormat="1" x14ac:dyDescent="0.15">
      <c r="A2794" s="166"/>
      <c r="B2794" s="93"/>
      <c r="C2794" s="70"/>
      <c r="D2794" s="70"/>
      <c r="E2794" s="70"/>
      <c r="F2794" s="70"/>
      <c r="G2794" s="70"/>
      <c r="H2794" s="93"/>
      <c r="I2794" s="85"/>
      <c r="J2794" s="85"/>
      <c r="K2794" s="131"/>
      <c r="L2794" s="60"/>
      <c r="M2794" s="33"/>
      <c r="Q2794" s="3"/>
      <c r="R2794" s="3"/>
      <c r="S2794" s="3"/>
      <c r="T2794" s="3"/>
      <c r="U2794" s="3"/>
      <c r="V2794" s="3"/>
      <c r="W2794" s="3"/>
      <c r="X2794" s="3"/>
      <c r="Y2794" s="3"/>
      <c r="Z2794" s="4"/>
      <c r="AA2794"/>
      <c r="AB2794"/>
    </row>
    <row r="2795" spans="1:28" s="37" customFormat="1" x14ac:dyDescent="0.15">
      <c r="A2795" s="166"/>
      <c r="B2795" s="82"/>
      <c r="C2795" s="70"/>
      <c r="D2795" s="70"/>
      <c r="E2795" s="70"/>
      <c r="F2795" s="70"/>
      <c r="G2795" s="70"/>
      <c r="H2795" s="93"/>
      <c r="I2795" s="85"/>
      <c r="J2795" s="85"/>
      <c r="K2795" s="141"/>
      <c r="L2795" s="60"/>
      <c r="M2795" s="33"/>
      <c r="Q2795" s="3"/>
      <c r="R2795" s="3"/>
      <c r="S2795" s="3"/>
      <c r="T2795" s="3"/>
      <c r="U2795" s="3"/>
      <c r="V2795" s="3"/>
      <c r="W2795" s="3"/>
      <c r="X2795" s="3"/>
      <c r="Y2795" s="3"/>
      <c r="Z2795" s="4"/>
      <c r="AA2795"/>
      <c r="AB2795"/>
    </row>
    <row r="2796" spans="1:28" s="37" customFormat="1" x14ac:dyDescent="0.15">
      <c r="A2796" s="166"/>
      <c r="B2796" s="93"/>
      <c r="C2796" s="70"/>
      <c r="D2796" s="70"/>
      <c r="E2796" s="70"/>
      <c r="F2796" s="70"/>
      <c r="G2796" s="70"/>
      <c r="H2796" s="93"/>
      <c r="I2796" s="85"/>
      <c r="J2796" s="85"/>
      <c r="K2796" s="131"/>
      <c r="L2796" s="60"/>
      <c r="M2796" s="33"/>
      <c r="N2796" s="32"/>
      <c r="Q2796" s="3"/>
      <c r="R2796" s="3"/>
      <c r="S2796" s="3"/>
      <c r="T2796" s="3"/>
      <c r="U2796" s="3"/>
      <c r="V2796" s="3"/>
      <c r="W2796" s="3"/>
      <c r="X2796" s="3"/>
      <c r="Y2796" s="3"/>
      <c r="Z2796" s="4"/>
      <c r="AA2796"/>
      <c r="AB2796"/>
    </row>
    <row r="2797" spans="1:28" s="37" customFormat="1" x14ac:dyDescent="0.15">
      <c r="A2797" s="166"/>
      <c r="B2797" s="93"/>
      <c r="C2797" s="70"/>
      <c r="D2797" s="70"/>
      <c r="E2797" s="70"/>
      <c r="F2797" s="70"/>
      <c r="G2797" s="70"/>
      <c r="H2797" s="93"/>
      <c r="I2797" s="85"/>
      <c r="J2797" s="85"/>
      <c r="K2797" s="131"/>
      <c r="L2797" s="60"/>
      <c r="M2797" s="33"/>
      <c r="Q2797" s="3"/>
      <c r="R2797" s="3"/>
      <c r="S2797" s="3"/>
      <c r="T2797" s="3"/>
      <c r="U2797" s="3"/>
      <c r="V2797" s="3"/>
      <c r="W2797" s="3"/>
      <c r="X2797" s="3"/>
      <c r="Y2797" s="3"/>
      <c r="Z2797" s="4"/>
      <c r="AA2797"/>
      <c r="AB2797"/>
    </row>
    <row r="2798" spans="1:28" s="37" customFormat="1" x14ac:dyDescent="0.15">
      <c r="A2798" s="166"/>
      <c r="B2798" s="93"/>
      <c r="C2798" s="70"/>
      <c r="D2798" s="70"/>
      <c r="E2798" s="70"/>
      <c r="F2798" s="70"/>
      <c r="G2798" s="70"/>
      <c r="H2798" s="93"/>
      <c r="I2798" s="85"/>
      <c r="J2798" s="85"/>
      <c r="K2798" s="131"/>
      <c r="L2798" s="60"/>
      <c r="M2798" s="33"/>
      <c r="Q2798" s="3"/>
      <c r="R2798" s="3"/>
      <c r="S2798" s="3"/>
      <c r="T2798" s="3"/>
      <c r="U2798" s="3"/>
      <c r="V2798" s="3"/>
      <c r="W2798" s="3"/>
      <c r="X2798" s="3"/>
      <c r="Y2798" s="3"/>
      <c r="Z2798" s="4"/>
      <c r="AA2798"/>
      <c r="AB2798"/>
    </row>
    <row r="2799" spans="1:28" s="37" customFormat="1" x14ac:dyDescent="0.15">
      <c r="A2799" s="166"/>
      <c r="B2799" s="82"/>
      <c r="C2799" s="70"/>
      <c r="D2799" s="70"/>
      <c r="E2799" s="70"/>
      <c r="F2799" s="70"/>
      <c r="G2799" s="70"/>
      <c r="H2799" s="93"/>
      <c r="I2799" s="85"/>
      <c r="J2799" s="85"/>
      <c r="K2799" s="131"/>
      <c r="L2799" s="60"/>
      <c r="M2799" s="33"/>
      <c r="Q2799" s="3"/>
      <c r="R2799" s="3"/>
      <c r="S2799" s="3"/>
      <c r="T2799" s="3"/>
      <c r="U2799" s="3"/>
      <c r="V2799" s="3"/>
      <c r="W2799" s="3"/>
      <c r="X2799" s="3"/>
      <c r="Y2799" s="3"/>
      <c r="Z2799" s="4"/>
      <c r="AA2799"/>
      <c r="AB2799"/>
    </row>
    <row r="2800" spans="1:28" s="37" customFormat="1" ht="16" x14ac:dyDescent="0.2">
      <c r="A2800" s="166"/>
      <c r="B2800" s="93"/>
      <c r="C2800" s="70"/>
      <c r="D2800" s="70"/>
      <c r="E2800" s="70"/>
      <c r="F2800" s="70"/>
      <c r="G2800" s="70"/>
      <c r="H2800" s="93"/>
      <c r="I2800" s="85"/>
      <c r="J2800" s="85"/>
      <c r="K2800" s="131"/>
      <c r="L2800" s="60"/>
      <c r="M2800" s="33"/>
      <c r="N2800" s="48"/>
      <c r="Q2800" s="3"/>
      <c r="R2800" s="3"/>
      <c r="S2800" s="3"/>
      <c r="T2800" s="3"/>
      <c r="U2800" s="3"/>
      <c r="V2800" s="3"/>
      <c r="W2800" s="3"/>
      <c r="X2800" s="3"/>
      <c r="Y2800" s="3"/>
      <c r="Z2800" s="4"/>
      <c r="AA2800"/>
      <c r="AB2800"/>
    </row>
    <row r="2801" spans="1:28" s="37" customFormat="1" ht="16" x14ac:dyDescent="0.2">
      <c r="A2801" s="166"/>
      <c r="B2801" s="93"/>
      <c r="C2801" s="70"/>
      <c r="D2801" s="70"/>
      <c r="E2801" s="70"/>
      <c r="F2801" s="70"/>
      <c r="G2801" s="70"/>
      <c r="H2801" s="93"/>
      <c r="I2801" s="85"/>
      <c r="J2801" s="85"/>
      <c r="K2801" s="131"/>
      <c r="L2801" s="60"/>
      <c r="M2801" s="47"/>
      <c r="Q2801" s="3"/>
      <c r="R2801" s="3"/>
      <c r="S2801" s="3"/>
      <c r="T2801" s="3"/>
      <c r="U2801" s="3"/>
      <c r="V2801" s="3"/>
      <c r="W2801" s="3"/>
      <c r="X2801" s="3"/>
      <c r="Y2801" s="3"/>
      <c r="Z2801" s="4"/>
      <c r="AA2801"/>
      <c r="AB2801"/>
    </row>
    <row r="2802" spans="1:28" s="37" customFormat="1" x14ac:dyDescent="0.15">
      <c r="A2802" s="166"/>
      <c r="B2802" s="93"/>
      <c r="C2802" s="70"/>
      <c r="D2802" s="70"/>
      <c r="E2802" s="70"/>
      <c r="F2802" s="70"/>
      <c r="G2802" s="70"/>
      <c r="H2802" s="93"/>
      <c r="I2802" s="85"/>
      <c r="J2802" s="85"/>
      <c r="K2802" s="131"/>
      <c r="L2802" s="60"/>
      <c r="M2802" s="33"/>
      <c r="Q2802" s="3"/>
      <c r="R2802" s="3"/>
      <c r="S2802" s="3"/>
      <c r="T2802" s="3"/>
      <c r="U2802" s="3"/>
      <c r="V2802" s="3"/>
      <c r="W2802" s="3"/>
      <c r="X2802" s="3"/>
      <c r="Y2802" s="3"/>
      <c r="Z2802" s="4"/>
      <c r="AA2802"/>
      <c r="AB2802"/>
    </row>
    <row r="2803" spans="1:28" s="37" customFormat="1" x14ac:dyDescent="0.15">
      <c r="A2803" s="166"/>
      <c r="B2803" s="93"/>
      <c r="C2803" s="70"/>
      <c r="D2803" s="70"/>
      <c r="E2803" s="70"/>
      <c r="F2803" s="70"/>
      <c r="G2803" s="70"/>
      <c r="H2803" s="93"/>
      <c r="I2803" s="85"/>
      <c r="J2803" s="85"/>
      <c r="K2803" s="131"/>
      <c r="L2803" s="60"/>
      <c r="M2803" s="33"/>
      <c r="Q2803" s="3"/>
      <c r="R2803" s="3"/>
      <c r="S2803" s="3"/>
      <c r="T2803" s="3"/>
      <c r="U2803" s="3"/>
      <c r="V2803" s="3"/>
      <c r="W2803" s="3"/>
      <c r="X2803" s="3"/>
      <c r="Y2803" s="3"/>
      <c r="Z2803" s="4"/>
      <c r="AA2803"/>
      <c r="AB2803"/>
    </row>
    <row r="2804" spans="1:28" s="37" customFormat="1" x14ac:dyDescent="0.15">
      <c r="A2804" s="166"/>
      <c r="B2804" s="93"/>
      <c r="C2804" s="70"/>
      <c r="D2804" s="70"/>
      <c r="E2804" s="70"/>
      <c r="F2804" s="70"/>
      <c r="G2804" s="70"/>
      <c r="H2804" s="93"/>
      <c r="I2804" s="85"/>
      <c r="J2804" s="85"/>
      <c r="K2804" s="131"/>
      <c r="L2804" s="60"/>
      <c r="M2804" s="33"/>
      <c r="Q2804" s="3"/>
      <c r="R2804" s="3"/>
      <c r="S2804" s="3"/>
      <c r="T2804" s="3"/>
      <c r="U2804" s="3"/>
      <c r="V2804" s="3"/>
      <c r="W2804" s="3"/>
      <c r="X2804" s="3"/>
      <c r="Y2804" s="3"/>
      <c r="Z2804" s="4"/>
      <c r="AA2804"/>
      <c r="AB2804"/>
    </row>
    <row r="2805" spans="1:28" s="37" customFormat="1" ht="16" x14ac:dyDescent="0.2">
      <c r="A2805" s="166"/>
      <c r="B2805" s="93"/>
      <c r="C2805" s="70"/>
      <c r="D2805" s="70"/>
      <c r="E2805" s="70"/>
      <c r="F2805" s="70"/>
      <c r="G2805" s="70"/>
      <c r="H2805" s="93"/>
      <c r="I2805" s="85"/>
      <c r="J2805" s="85"/>
      <c r="K2805" s="131"/>
      <c r="L2805" s="60"/>
      <c r="M2805" s="47"/>
      <c r="Q2805" s="3"/>
      <c r="R2805" s="3"/>
      <c r="S2805" s="3"/>
      <c r="T2805" s="3"/>
      <c r="U2805" s="3"/>
      <c r="V2805" s="3"/>
      <c r="W2805" s="3"/>
      <c r="X2805" s="3"/>
      <c r="Y2805" s="3"/>
      <c r="Z2805" s="4"/>
      <c r="AA2805"/>
      <c r="AB2805"/>
    </row>
    <row r="2806" spans="1:28" s="37" customFormat="1" x14ac:dyDescent="0.15">
      <c r="A2806" s="166"/>
      <c r="B2806" s="93"/>
      <c r="C2806" s="70"/>
      <c r="D2806" s="70"/>
      <c r="E2806" s="70"/>
      <c r="F2806" s="70"/>
      <c r="G2806" s="70"/>
      <c r="H2806" s="93"/>
      <c r="I2806" s="85"/>
      <c r="J2806" s="85"/>
      <c r="K2806" s="131"/>
      <c r="L2806" s="60"/>
      <c r="M2806" s="33"/>
      <c r="Q2806" s="3"/>
      <c r="R2806" s="3"/>
      <c r="S2806" s="3"/>
      <c r="T2806" s="3"/>
      <c r="U2806" s="3"/>
      <c r="V2806" s="3"/>
      <c r="W2806" s="3"/>
      <c r="X2806" s="3"/>
      <c r="Y2806" s="3"/>
      <c r="Z2806" s="4"/>
      <c r="AA2806"/>
      <c r="AB2806"/>
    </row>
    <row r="2807" spans="1:28" s="37" customFormat="1" x14ac:dyDescent="0.15">
      <c r="A2807" s="166"/>
      <c r="B2807" s="93"/>
      <c r="C2807" s="70"/>
      <c r="D2807" s="70"/>
      <c r="E2807" s="70"/>
      <c r="F2807" s="70"/>
      <c r="G2807" s="70"/>
      <c r="H2807" s="93"/>
      <c r="I2807" s="85"/>
      <c r="J2807" s="85"/>
      <c r="K2807" s="131"/>
      <c r="L2807" s="60"/>
      <c r="M2807" s="33"/>
      <c r="Q2807" s="3"/>
      <c r="R2807" s="3"/>
      <c r="S2807" s="3"/>
      <c r="T2807" s="3"/>
      <c r="U2807" s="3"/>
      <c r="V2807" s="3"/>
      <c r="W2807" s="3"/>
      <c r="X2807" s="3"/>
      <c r="Y2807" s="3"/>
      <c r="Z2807" s="4"/>
      <c r="AA2807"/>
      <c r="AB2807"/>
    </row>
    <row r="2808" spans="1:28" s="37" customFormat="1" x14ac:dyDescent="0.15">
      <c r="A2808" s="166"/>
      <c r="B2808" s="93"/>
      <c r="C2808" s="70"/>
      <c r="D2808" s="70"/>
      <c r="E2808" s="70"/>
      <c r="F2808" s="70"/>
      <c r="G2808" s="70"/>
      <c r="H2808" s="93"/>
      <c r="I2808" s="85"/>
      <c r="J2808" s="85"/>
      <c r="K2808" s="131"/>
      <c r="L2808" s="60"/>
      <c r="M2808" s="33"/>
      <c r="Q2808" s="3"/>
      <c r="R2808" s="3"/>
      <c r="S2808" s="3"/>
      <c r="T2808" s="3"/>
      <c r="U2808" s="3"/>
      <c r="V2808" s="3"/>
      <c r="W2808" s="3"/>
      <c r="X2808" s="3"/>
      <c r="Y2808" s="3"/>
      <c r="Z2808" s="4"/>
      <c r="AA2808"/>
      <c r="AB2808"/>
    </row>
    <row r="2809" spans="1:28" s="37" customFormat="1" x14ac:dyDescent="0.15">
      <c r="A2809" s="166"/>
      <c r="B2809" s="93"/>
      <c r="C2809" s="70"/>
      <c r="D2809" s="70"/>
      <c r="E2809" s="70"/>
      <c r="F2809" s="70"/>
      <c r="G2809" s="70"/>
      <c r="H2809" s="93"/>
      <c r="I2809" s="85"/>
      <c r="J2809" s="85"/>
      <c r="K2809" s="131"/>
      <c r="L2809" s="60"/>
      <c r="M2809" s="33"/>
      <c r="N2809" s="32"/>
      <c r="Q2809" s="3"/>
      <c r="R2809" s="3"/>
      <c r="S2809" s="3"/>
      <c r="T2809" s="3"/>
      <c r="U2809" s="3"/>
      <c r="V2809" s="3"/>
      <c r="W2809" s="3"/>
      <c r="X2809" s="3"/>
      <c r="Y2809" s="3"/>
      <c r="Z2809" s="4"/>
      <c r="AA2809"/>
      <c r="AB2809"/>
    </row>
    <row r="2810" spans="1:28" s="37" customFormat="1" x14ac:dyDescent="0.15">
      <c r="A2810" s="166"/>
      <c r="B2810" s="93"/>
      <c r="C2810" s="70"/>
      <c r="D2810" s="70"/>
      <c r="E2810" s="70"/>
      <c r="F2810" s="70"/>
      <c r="G2810" s="70"/>
      <c r="H2810" s="93"/>
      <c r="I2810" s="85"/>
      <c r="J2810" s="85"/>
      <c r="K2810" s="131"/>
      <c r="L2810" s="60"/>
      <c r="M2810" s="33"/>
      <c r="Q2810" s="3"/>
      <c r="R2810" s="3"/>
      <c r="S2810" s="3"/>
      <c r="T2810" s="3"/>
      <c r="U2810" s="3"/>
      <c r="V2810" s="3"/>
      <c r="W2810" s="3"/>
      <c r="X2810" s="3"/>
      <c r="Y2810" s="3"/>
      <c r="Z2810" s="4"/>
      <c r="AA2810"/>
      <c r="AB2810"/>
    </row>
    <row r="2811" spans="1:28" s="37" customFormat="1" x14ac:dyDescent="0.15">
      <c r="A2811" s="166"/>
      <c r="B2811" s="93"/>
      <c r="C2811" s="70"/>
      <c r="D2811" s="70"/>
      <c r="E2811" s="70"/>
      <c r="F2811" s="70"/>
      <c r="G2811" s="70"/>
      <c r="H2811" s="93"/>
      <c r="I2811" s="85"/>
      <c r="J2811" s="85"/>
      <c r="K2811" s="131"/>
      <c r="L2811" s="60"/>
      <c r="M2811" s="33"/>
      <c r="Q2811" s="3"/>
      <c r="R2811" s="3"/>
      <c r="S2811" s="3"/>
      <c r="T2811" s="3"/>
      <c r="U2811" s="3"/>
      <c r="V2811" s="3"/>
      <c r="W2811" s="3"/>
      <c r="X2811" s="3"/>
      <c r="Y2811" s="3"/>
      <c r="Z2811" s="4"/>
      <c r="AA2811"/>
      <c r="AB2811"/>
    </row>
    <row r="2812" spans="1:28" s="37" customFormat="1" ht="16" x14ac:dyDescent="0.2">
      <c r="A2812" s="166"/>
      <c r="B2812" s="93"/>
      <c r="C2812" s="70"/>
      <c r="D2812" s="70"/>
      <c r="E2812" s="70"/>
      <c r="F2812" s="70"/>
      <c r="G2812" s="70"/>
      <c r="H2812" s="93"/>
      <c r="I2812" s="85"/>
      <c r="J2812" s="85"/>
      <c r="K2812" s="131"/>
      <c r="L2812" s="60"/>
      <c r="M2812" s="47"/>
      <c r="Q2812" s="3"/>
      <c r="R2812" s="3"/>
      <c r="S2812" s="3"/>
      <c r="T2812" s="3"/>
      <c r="U2812" s="3"/>
      <c r="V2812" s="3"/>
      <c r="W2812" s="3"/>
      <c r="X2812" s="3"/>
      <c r="Y2812" s="3"/>
      <c r="Z2812" s="4"/>
      <c r="AA2812"/>
      <c r="AB2812"/>
    </row>
    <row r="2813" spans="1:28" s="37" customFormat="1" x14ac:dyDescent="0.15">
      <c r="A2813" s="166"/>
      <c r="B2813" s="93"/>
      <c r="C2813" s="70"/>
      <c r="D2813" s="70"/>
      <c r="E2813" s="70"/>
      <c r="F2813" s="70"/>
      <c r="G2813" s="70"/>
      <c r="H2813" s="93"/>
      <c r="I2813" s="85"/>
      <c r="J2813" s="85"/>
      <c r="K2813" s="131"/>
      <c r="L2813" s="60"/>
      <c r="M2813" s="33"/>
      <c r="Q2813" s="3"/>
      <c r="R2813" s="3"/>
      <c r="S2813" s="3"/>
      <c r="T2813" s="3"/>
      <c r="U2813" s="3"/>
      <c r="V2813" s="3"/>
      <c r="W2813" s="3"/>
      <c r="X2813" s="3"/>
      <c r="Y2813" s="3"/>
      <c r="Z2813" s="4"/>
      <c r="AA2813"/>
      <c r="AB2813"/>
    </row>
    <row r="2814" spans="1:28" s="37" customFormat="1" x14ac:dyDescent="0.15">
      <c r="A2814" s="166"/>
      <c r="B2814" s="93"/>
      <c r="C2814" s="70"/>
      <c r="D2814" s="70"/>
      <c r="E2814" s="70"/>
      <c r="F2814" s="70"/>
      <c r="G2814" s="70"/>
      <c r="H2814" s="93"/>
      <c r="I2814" s="85"/>
      <c r="J2814" s="85"/>
      <c r="K2814" s="131"/>
      <c r="L2814" s="60"/>
      <c r="M2814" s="33"/>
      <c r="Q2814" s="3"/>
      <c r="R2814" s="3"/>
      <c r="S2814" s="3"/>
      <c r="T2814" s="3"/>
      <c r="U2814" s="3"/>
      <c r="V2814" s="3"/>
      <c r="W2814" s="3"/>
      <c r="X2814" s="3"/>
      <c r="Y2814" s="3"/>
      <c r="Z2814" s="4"/>
      <c r="AA2814"/>
      <c r="AB2814"/>
    </row>
    <row r="2815" spans="1:28" s="37" customFormat="1" ht="16" x14ac:dyDescent="0.2">
      <c r="A2815" s="166"/>
      <c r="B2815" s="93"/>
      <c r="C2815" s="70"/>
      <c r="D2815" s="70"/>
      <c r="E2815" s="70"/>
      <c r="F2815" s="70"/>
      <c r="G2815" s="70"/>
      <c r="H2815" s="93"/>
      <c r="I2815" s="85"/>
      <c r="J2815" s="85"/>
      <c r="K2815" s="131"/>
      <c r="L2815" s="60"/>
      <c r="M2815" s="47"/>
      <c r="Q2815" s="3"/>
      <c r="R2815" s="3"/>
      <c r="S2815" s="3"/>
      <c r="T2815" s="3"/>
      <c r="U2815" s="3"/>
      <c r="V2815" s="3"/>
      <c r="W2815" s="3"/>
      <c r="X2815" s="3"/>
      <c r="Y2815" s="3"/>
      <c r="Z2815" s="4"/>
      <c r="AA2815"/>
      <c r="AB2815"/>
    </row>
    <row r="2816" spans="1:28" s="37" customFormat="1" ht="16" x14ac:dyDescent="0.2">
      <c r="A2816" s="166"/>
      <c r="B2816" s="93"/>
      <c r="C2816" s="70"/>
      <c r="D2816" s="70"/>
      <c r="E2816" s="70"/>
      <c r="F2816" s="70"/>
      <c r="G2816" s="70"/>
      <c r="H2816" s="93"/>
      <c r="I2816" s="85"/>
      <c r="J2816" s="85"/>
      <c r="K2816" s="131"/>
      <c r="L2816" s="60"/>
      <c r="M2816" s="47"/>
      <c r="Q2816" s="3"/>
      <c r="R2816" s="3"/>
      <c r="S2816" s="3"/>
      <c r="T2816" s="3"/>
      <c r="U2816" s="3"/>
      <c r="V2816" s="3"/>
      <c r="W2816" s="3"/>
      <c r="X2816" s="3"/>
      <c r="Y2816" s="3"/>
      <c r="Z2816" s="4"/>
      <c r="AA2816"/>
      <c r="AB2816"/>
    </row>
    <row r="2817" spans="1:28" s="37" customFormat="1" x14ac:dyDescent="0.15">
      <c r="A2817" s="166"/>
      <c r="B2817" s="93"/>
      <c r="C2817" s="70"/>
      <c r="D2817" s="70"/>
      <c r="E2817" s="70"/>
      <c r="F2817" s="70"/>
      <c r="G2817" s="70"/>
      <c r="H2817" s="93"/>
      <c r="I2817" s="85"/>
      <c r="J2817" s="110"/>
      <c r="K2817" s="131"/>
      <c r="L2817" s="63"/>
      <c r="M2817" s="33"/>
      <c r="Q2817" s="3"/>
      <c r="R2817" s="3"/>
      <c r="S2817" s="3"/>
      <c r="T2817" s="3"/>
      <c r="U2817" s="3"/>
      <c r="V2817" s="3"/>
      <c r="W2817" s="3"/>
      <c r="X2817" s="3"/>
      <c r="Y2817" s="3"/>
      <c r="Z2817" s="4"/>
      <c r="AA2817"/>
      <c r="AB2817"/>
    </row>
    <row r="2818" spans="1:28" s="37" customFormat="1" ht="16" x14ac:dyDescent="0.2">
      <c r="A2818" s="166"/>
      <c r="B2818" s="93"/>
      <c r="C2818" s="70"/>
      <c r="D2818" s="70"/>
      <c r="E2818" s="70"/>
      <c r="F2818" s="70"/>
      <c r="G2818" s="70"/>
      <c r="H2818" s="93"/>
      <c r="I2818" s="85"/>
      <c r="J2818" s="85"/>
      <c r="K2818" s="131"/>
      <c r="L2818" s="60"/>
      <c r="M2818" s="47"/>
      <c r="Q2818" s="3"/>
      <c r="R2818" s="3"/>
      <c r="S2818" s="3"/>
      <c r="T2818" s="3"/>
      <c r="U2818" s="3"/>
      <c r="V2818" s="3"/>
      <c r="W2818" s="3"/>
      <c r="X2818" s="3"/>
      <c r="Y2818" s="3"/>
      <c r="Z2818" s="4"/>
      <c r="AA2818"/>
      <c r="AB2818"/>
    </row>
    <row r="2819" spans="1:28" s="37" customFormat="1" ht="16" x14ac:dyDescent="0.2">
      <c r="A2819" s="166"/>
      <c r="B2819" s="93"/>
      <c r="C2819" s="70"/>
      <c r="D2819" s="70"/>
      <c r="E2819" s="70"/>
      <c r="F2819" s="70"/>
      <c r="G2819" s="70"/>
      <c r="H2819" s="93"/>
      <c r="I2819" s="85"/>
      <c r="J2819" s="85"/>
      <c r="K2819" s="131"/>
      <c r="L2819" s="60"/>
      <c r="M2819" s="33"/>
      <c r="N2819" s="48"/>
      <c r="Q2819" s="3"/>
      <c r="R2819" s="3"/>
      <c r="S2819" s="3"/>
      <c r="T2819" s="3"/>
      <c r="U2819" s="3"/>
      <c r="V2819" s="3"/>
      <c r="W2819" s="3"/>
      <c r="X2819" s="3"/>
      <c r="Y2819" s="3"/>
      <c r="Z2819" s="4"/>
      <c r="AA2819"/>
      <c r="AB2819"/>
    </row>
    <row r="2820" spans="1:28" s="37" customFormat="1" x14ac:dyDescent="0.15">
      <c r="A2820" s="166"/>
      <c r="B2820" s="93"/>
      <c r="C2820" s="70"/>
      <c r="D2820" s="70"/>
      <c r="E2820" s="70"/>
      <c r="F2820" s="70"/>
      <c r="G2820" s="70"/>
      <c r="H2820" s="93"/>
      <c r="I2820" s="85"/>
      <c r="J2820" s="85"/>
      <c r="K2820" s="131"/>
      <c r="L2820" s="60"/>
      <c r="M2820" s="33"/>
      <c r="Q2820" s="3"/>
      <c r="R2820" s="3"/>
      <c r="S2820" s="3"/>
      <c r="T2820" s="3"/>
      <c r="U2820" s="3"/>
      <c r="V2820" s="3"/>
      <c r="W2820" s="3"/>
      <c r="X2820" s="3"/>
      <c r="Y2820" s="3"/>
      <c r="Z2820" s="4"/>
      <c r="AA2820"/>
      <c r="AB2820"/>
    </row>
    <row r="2821" spans="1:28" s="37" customFormat="1" x14ac:dyDescent="0.15">
      <c r="A2821" s="166"/>
      <c r="B2821" s="93"/>
      <c r="C2821" s="70"/>
      <c r="D2821" s="70"/>
      <c r="E2821" s="70"/>
      <c r="F2821" s="70"/>
      <c r="G2821" s="70"/>
      <c r="H2821" s="93"/>
      <c r="I2821" s="85"/>
      <c r="J2821" s="85"/>
      <c r="K2821" s="131"/>
      <c r="L2821" s="60"/>
      <c r="M2821" s="33"/>
      <c r="Q2821" s="3"/>
      <c r="R2821" s="3"/>
      <c r="S2821" s="3"/>
      <c r="T2821" s="3"/>
      <c r="U2821" s="3"/>
      <c r="V2821" s="3"/>
      <c r="W2821" s="3"/>
      <c r="X2821" s="3"/>
      <c r="Y2821" s="3"/>
      <c r="Z2821" s="4"/>
      <c r="AA2821"/>
      <c r="AB2821"/>
    </row>
    <row r="2822" spans="1:28" s="37" customFormat="1" x14ac:dyDescent="0.15">
      <c r="A2822" s="166"/>
      <c r="B2822" s="93"/>
      <c r="C2822" s="70"/>
      <c r="D2822" s="70"/>
      <c r="E2822" s="70"/>
      <c r="F2822" s="70"/>
      <c r="G2822" s="70"/>
      <c r="H2822" s="93"/>
      <c r="I2822" s="85"/>
      <c r="J2822" s="85"/>
      <c r="K2822" s="131"/>
      <c r="L2822" s="60"/>
      <c r="M2822" s="33"/>
      <c r="Q2822" s="3"/>
      <c r="R2822" s="3"/>
      <c r="S2822" s="3"/>
      <c r="T2822" s="3"/>
      <c r="U2822" s="3"/>
      <c r="V2822" s="3"/>
      <c r="W2822" s="3"/>
      <c r="X2822" s="3"/>
      <c r="Y2822" s="3"/>
      <c r="Z2822" s="4"/>
      <c r="AA2822"/>
      <c r="AB2822"/>
    </row>
    <row r="2823" spans="1:28" s="37" customFormat="1" x14ac:dyDescent="0.15">
      <c r="A2823" s="166"/>
      <c r="B2823" s="93"/>
      <c r="C2823" s="70"/>
      <c r="D2823" s="70"/>
      <c r="E2823" s="70"/>
      <c r="F2823" s="70"/>
      <c r="G2823" s="70"/>
      <c r="H2823" s="93"/>
      <c r="I2823" s="85"/>
      <c r="J2823" s="85"/>
      <c r="K2823" s="131"/>
      <c r="L2823" s="60"/>
      <c r="M2823" s="33"/>
      <c r="Q2823" s="3"/>
      <c r="R2823" s="3"/>
      <c r="S2823" s="3"/>
      <c r="T2823" s="3"/>
      <c r="U2823" s="3"/>
      <c r="V2823" s="3"/>
      <c r="W2823" s="3"/>
      <c r="X2823" s="3"/>
      <c r="Y2823" s="3"/>
      <c r="Z2823" s="4"/>
      <c r="AA2823"/>
      <c r="AB2823"/>
    </row>
    <row r="2824" spans="1:28" s="37" customFormat="1" x14ac:dyDescent="0.15">
      <c r="A2824" s="166"/>
      <c r="B2824" s="93"/>
      <c r="C2824" s="70"/>
      <c r="D2824" s="70"/>
      <c r="E2824" s="70"/>
      <c r="F2824" s="70"/>
      <c r="G2824" s="70"/>
      <c r="H2824" s="93"/>
      <c r="I2824" s="85"/>
      <c r="J2824" s="85"/>
      <c r="K2824" s="131"/>
      <c r="L2824" s="60"/>
      <c r="M2824" s="33"/>
      <c r="Q2824" s="3"/>
      <c r="R2824" s="3"/>
      <c r="S2824" s="3"/>
      <c r="T2824" s="3"/>
      <c r="U2824" s="3"/>
      <c r="V2824" s="3"/>
      <c r="W2824" s="3"/>
      <c r="X2824" s="3"/>
      <c r="Y2824" s="3"/>
      <c r="Z2824" s="4"/>
      <c r="AA2824"/>
      <c r="AB2824"/>
    </row>
    <row r="2825" spans="1:28" s="37" customFormat="1" x14ac:dyDescent="0.15">
      <c r="A2825" s="166"/>
      <c r="B2825" s="82"/>
      <c r="C2825" s="70"/>
      <c r="D2825" s="70"/>
      <c r="E2825" s="70"/>
      <c r="F2825" s="70"/>
      <c r="G2825" s="70"/>
      <c r="H2825" s="93"/>
      <c r="I2825" s="85"/>
      <c r="J2825" s="85"/>
      <c r="K2825" s="131"/>
      <c r="L2825" s="60"/>
      <c r="M2825" s="33"/>
      <c r="N2825" s="32"/>
      <c r="Q2825" s="3"/>
      <c r="R2825" s="3"/>
      <c r="S2825" s="3"/>
      <c r="T2825" s="3"/>
      <c r="U2825" s="3"/>
      <c r="V2825" s="3"/>
      <c r="W2825" s="3"/>
      <c r="X2825" s="3"/>
      <c r="Y2825" s="3"/>
      <c r="Z2825" s="4"/>
      <c r="AA2825"/>
      <c r="AB2825"/>
    </row>
    <row r="2826" spans="1:28" s="37" customFormat="1" x14ac:dyDescent="0.15">
      <c r="A2826" s="166"/>
      <c r="B2826" s="93"/>
      <c r="C2826" s="70"/>
      <c r="D2826" s="70"/>
      <c r="E2826" s="70"/>
      <c r="F2826" s="70"/>
      <c r="G2826" s="70"/>
      <c r="H2826" s="93"/>
      <c r="I2826" s="85"/>
      <c r="J2826" s="85"/>
      <c r="K2826" s="131"/>
      <c r="L2826" s="60"/>
      <c r="M2826" s="33"/>
      <c r="Q2826" s="3"/>
      <c r="R2826" s="3"/>
      <c r="S2826" s="3"/>
      <c r="T2826" s="3"/>
      <c r="U2826" s="3"/>
      <c r="V2826" s="3"/>
      <c r="W2826" s="3"/>
      <c r="X2826" s="3"/>
      <c r="Y2826" s="3"/>
      <c r="Z2826" s="4"/>
      <c r="AA2826"/>
      <c r="AB2826"/>
    </row>
    <row r="2827" spans="1:28" s="37" customFormat="1" x14ac:dyDescent="0.15">
      <c r="A2827" s="166"/>
      <c r="B2827" s="93"/>
      <c r="C2827" s="70"/>
      <c r="D2827" s="70"/>
      <c r="E2827" s="70"/>
      <c r="F2827" s="70"/>
      <c r="G2827" s="70"/>
      <c r="H2827" s="93"/>
      <c r="I2827" s="85"/>
      <c r="J2827" s="85"/>
      <c r="K2827" s="131"/>
      <c r="L2827" s="60"/>
      <c r="M2827" s="33"/>
      <c r="Q2827" s="3"/>
      <c r="R2827" s="3"/>
      <c r="S2827" s="3"/>
      <c r="T2827" s="3"/>
      <c r="U2827" s="3"/>
      <c r="V2827" s="3"/>
      <c r="W2827" s="3"/>
      <c r="X2827" s="3"/>
      <c r="Y2827" s="3"/>
      <c r="Z2827" s="4"/>
      <c r="AA2827"/>
      <c r="AB2827"/>
    </row>
    <row r="2828" spans="1:28" s="37" customFormat="1" x14ac:dyDescent="0.15">
      <c r="A2828" s="166"/>
      <c r="B2828" s="93"/>
      <c r="C2828" s="70"/>
      <c r="D2828" s="70"/>
      <c r="E2828" s="70"/>
      <c r="F2828" s="70"/>
      <c r="G2828" s="70"/>
      <c r="H2828" s="93"/>
      <c r="I2828" s="85"/>
      <c r="J2828" s="85"/>
      <c r="K2828" s="131"/>
      <c r="L2828" s="60"/>
      <c r="Q2828" s="3"/>
      <c r="R2828" s="3"/>
      <c r="S2828" s="3"/>
      <c r="T2828" s="3"/>
      <c r="U2828" s="3"/>
      <c r="V2828" s="3"/>
      <c r="W2828" s="3"/>
      <c r="X2828" s="3"/>
      <c r="Y2828" s="3"/>
      <c r="Z2828" s="4"/>
      <c r="AA2828"/>
      <c r="AB2828"/>
    </row>
    <row r="2829" spans="1:28" s="37" customFormat="1" x14ac:dyDescent="0.15">
      <c r="A2829" s="166"/>
      <c r="B2829" s="93"/>
      <c r="C2829" s="70"/>
      <c r="D2829" s="70"/>
      <c r="E2829" s="70"/>
      <c r="F2829" s="70"/>
      <c r="G2829" s="70"/>
      <c r="H2829" s="93"/>
      <c r="I2829" s="85"/>
      <c r="J2829" s="85"/>
      <c r="K2829" s="131"/>
      <c r="L2829" s="60"/>
      <c r="M2829" s="53"/>
      <c r="Q2829" s="3"/>
      <c r="R2829" s="3"/>
      <c r="S2829" s="3"/>
      <c r="T2829" s="3"/>
      <c r="U2829" s="3"/>
      <c r="V2829" s="3"/>
      <c r="W2829" s="3"/>
      <c r="X2829" s="3"/>
      <c r="Y2829" s="3"/>
      <c r="Z2829" s="4"/>
      <c r="AA2829"/>
      <c r="AB2829"/>
    </row>
    <row r="2830" spans="1:28" s="37" customFormat="1" x14ac:dyDescent="0.15">
      <c r="A2830" s="166"/>
      <c r="B2830" s="82"/>
      <c r="C2830" s="70"/>
      <c r="D2830" s="70"/>
      <c r="E2830" s="70"/>
      <c r="F2830" s="70"/>
      <c r="G2830" s="70"/>
      <c r="H2830" s="93"/>
      <c r="I2830" s="85"/>
      <c r="J2830" s="85"/>
      <c r="K2830" s="131"/>
      <c r="L2830" s="60"/>
      <c r="M2830" s="33"/>
      <c r="Q2830" s="3"/>
      <c r="R2830" s="3"/>
      <c r="S2830" s="3"/>
      <c r="T2830" s="3"/>
      <c r="U2830" s="3"/>
      <c r="V2830" s="3"/>
      <c r="W2830" s="3"/>
      <c r="X2830" s="3"/>
      <c r="Y2830" s="3"/>
      <c r="Z2830" s="4"/>
      <c r="AA2830"/>
      <c r="AB2830"/>
    </row>
    <row r="2831" spans="1:28" s="37" customFormat="1" x14ac:dyDescent="0.15">
      <c r="A2831" s="166"/>
      <c r="B2831" s="93"/>
      <c r="C2831" s="70"/>
      <c r="D2831" s="70"/>
      <c r="E2831" s="70"/>
      <c r="F2831" s="70"/>
      <c r="G2831" s="70"/>
      <c r="H2831" s="93"/>
      <c r="I2831" s="85"/>
      <c r="J2831" s="85"/>
      <c r="K2831" s="131"/>
      <c r="L2831" s="60"/>
      <c r="Q2831" s="3"/>
      <c r="R2831" s="3"/>
      <c r="S2831" s="3"/>
      <c r="T2831" s="3"/>
      <c r="U2831" s="3"/>
      <c r="V2831" s="3"/>
      <c r="W2831" s="3"/>
      <c r="X2831" s="3"/>
      <c r="Y2831" s="3"/>
      <c r="Z2831" s="4"/>
      <c r="AA2831"/>
      <c r="AB2831"/>
    </row>
    <row r="2832" spans="1:28" s="37" customFormat="1" x14ac:dyDescent="0.15">
      <c r="A2832" s="166"/>
      <c r="B2832" s="93"/>
      <c r="C2832" s="70"/>
      <c r="D2832" s="70"/>
      <c r="E2832" s="70"/>
      <c r="F2832" s="70"/>
      <c r="G2832" s="70"/>
      <c r="H2832" s="93"/>
      <c r="I2832" s="85"/>
      <c r="J2832" s="85"/>
      <c r="K2832" s="131"/>
      <c r="L2832" s="60"/>
      <c r="M2832" s="33"/>
      <c r="N2832" s="32"/>
      <c r="Q2832" s="3"/>
      <c r="R2832" s="3"/>
      <c r="S2832" s="3"/>
      <c r="T2832" s="3"/>
      <c r="U2832" s="3"/>
      <c r="V2832" s="3"/>
      <c r="W2832" s="3"/>
      <c r="X2832" s="3"/>
      <c r="Y2832" s="3"/>
      <c r="Z2832" s="4"/>
      <c r="AA2832"/>
      <c r="AB2832"/>
    </row>
    <row r="2833" spans="1:28" s="37" customFormat="1" ht="16" x14ac:dyDescent="0.2">
      <c r="A2833" s="166"/>
      <c r="B2833" s="93"/>
      <c r="C2833" s="70"/>
      <c r="D2833" s="70"/>
      <c r="E2833" s="70"/>
      <c r="F2833" s="70"/>
      <c r="G2833" s="70"/>
      <c r="H2833" s="93"/>
      <c r="I2833" s="85"/>
      <c r="J2833" s="85"/>
      <c r="K2833" s="131"/>
      <c r="L2833" s="60"/>
      <c r="N2833" s="48"/>
      <c r="Q2833" s="3"/>
      <c r="R2833" s="3"/>
      <c r="S2833" s="3"/>
      <c r="T2833" s="3"/>
      <c r="U2833" s="3"/>
      <c r="V2833" s="3"/>
      <c r="W2833" s="3"/>
      <c r="X2833" s="3"/>
      <c r="Y2833" s="3"/>
      <c r="Z2833" s="4"/>
      <c r="AA2833"/>
      <c r="AB2833"/>
    </row>
    <row r="2834" spans="1:28" s="37" customFormat="1" x14ac:dyDescent="0.15">
      <c r="A2834" s="166"/>
      <c r="B2834" s="93"/>
      <c r="C2834" s="70"/>
      <c r="D2834" s="70"/>
      <c r="E2834" s="70"/>
      <c r="F2834" s="70"/>
      <c r="G2834" s="70"/>
      <c r="H2834" s="93"/>
      <c r="I2834" s="85"/>
      <c r="J2834" s="85"/>
      <c r="K2834" s="131"/>
      <c r="L2834" s="60"/>
      <c r="M2834" s="33"/>
      <c r="Q2834" s="3"/>
      <c r="R2834" s="3"/>
      <c r="S2834" s="3"/>
      <c r="T2834" s="3"/>
      <c r="U2834" s="3"/>
      <c r="V2834" s="3"/>
      <c r="W2834" s="3"/>
      <c r="X2834" s="3"/>
      <c r="Y2834" s="3"/>
      <c r="Z2834" s="4"/>
      <c r="AA2834"/>
      <c r="AB2834"/>
    </row>
    <row r="2835" spans="1:28" s="37" customFormat="1" x14ac:dyDescent="0.15">
      <c r="A2835" s="166"/>
      <c r="B2835" s="93"/>
      <c r="C2835" s="70"/>
      <c r="D2835" s="70"/>
      <c r="E2835" s="70"/>
      <c r="F2835" s="70"/>
      <c r="G2835" s="70"/>
      <c r="H2835" s="93"/>
      <c r="I2835" s="85"/>
      <c r="J2835" s="85"/>
      <c r="K2835" s="131"/>
      <c r="L2835" s="60"/>
      <c r="M2835" s="33"/>
      <c r="Q2835" s="3"/>
      <c r="R2835" s="3"/>
      <c r="S2835" s="3"/>
      <c r="T2835" s="3"/>
      <c r="U2835" s="3"/>
      <c r="V2835" s="3"/>
      <c r="W2835" s="3"/>
      <c r="X2835" s="3"/>
      <c r="Y2835" s="3"/>
      <c r="Z2835" s="4"/>
      <c r="AA2835"/>
      <c r="AB2835"/>
    </row>
    <row r="2836" spans="1:28" s="37" customFormat="1" x14ac:dyDescent="0.15">
      <c r="A2836" s="166"/>
      <c r="B2836" s="93"/>
      <c r="C2836" s="70"/>
      <c r="D2836" s="70"/>
      <c r="E2836" s="70"/>
      <c r="F2836" s="70"/>
      <c r="G2836" s="70"/>
      <c r="H2836" s="93"/>
      <c r="I2836" s="85"/>
      <c r="J2836" s="85"/>
      <c r="K2836" s="131"/>
      <c r="L2836" s="60"/>
      <c r="M2836" s="53"/>
      <c r="Q2836" s="3"/>
      <c r="R2836" s="3"/>
      <c r="S2836" s="3"/>
      <c r="T2836" s="3"/>
      <c r="U2836" s="3"/>
      <c r="V2836" s="3"/>
      <c r="W2836" s="3"/>
      <c r="X2836" s="3"/>
      <c r="Y2836" s="3"/>
      <c r="Z2836" s="4"/>
      <c r="AA2836"/>
      <c r="AB2836"/>
    </row>
    <row r="2837" spans="1:28" s="37" customFormat="1" x14ac:dyDescent="0.15">
      <c r="A2837" s="166"/>
      <c r="B2837" s="93"/>
      <c r="C2837" s="70"/>
      <c r="D2837" s="70"/>
      <c r="E2837" s="70"/>
      <c r="F2837" s="70"/>
      <c r="G2837" s="70"/>
      <c r="H2837" s="93"/>
      <c r="I2837" s="85"/>
      <c r="J2837" s="85"/>
      <c r="K2837" s="131"/>
      <c r="L2837" s="60"/>
      <c r="M2837" s="33"/>
      <c r="Q2837" s="3"/>
      <c r="R2837" s="3"/>
      <c r="S2837" s="3"/>
      <c r="T2837" s="3"/>
      <c r="U2837" s="3"/>
      <c r="V2837" s="3"/>
      <c r="W2837" s="3"/>
      <c r="X2837" s="3"/>
      <c r="Y2837" s="3"/>
      <c r="Z2837" s="4"/>
      <c r="AA2837"/>
      <c r="AB2837"/>
    </row>
    <row r="2838" spans="1:28" s="37" customFormat="1" x14ac:dyDescent="0.15">
      <c r="A2838" s="166"/>
      <c r="B2838" s="93"/>
      <c r="C2838" s="70"/>
      <c r="D2838" s="70"/>
      <c r="E2838" s="70"/>
      <c r="F2838" s="70"/>
      <c r="G2838" s="70"/>
      <c r="H2838" s="93"/>
      <c r="I2838" s="85"/>
      <c r="J2838" s="85"/>
      <c r="K2838" s="131"/>
      <c r="L2838" s="60"/>
      <c r="M2838" s="33"/>
      <c r="Q2838" s="3"/>
      <c r="R2838" s="3"/>
      <c r="S2838" s="3"/>
      <c r="T2838" s="3"/>
      <c r="U2838" s="3"/>
      <c r="V2838" s="3"/>
      <c r="W2838" s="3"/>
      <c r="X2838" s="3"/>
      <c r="Y2838" s="3"/>
      <c r="Z2838" s="4"/>
      <c r="AA2838"/>
      <c r="AB2838"/>
    </row>
    <row r="2839" spans="1:28" s="37" customFormat="1" x14ac:dyDescent="0.15">
      <c r="A2839" s="166"/>
      <c r="B2839" s="93"/>
      <c r="C2839" s="70"/>
      <c r="D2839" s="70"/>
      <c r="E2839" s="70"/>
      <c r="F2839" s="70"/>
      <c r="G2839" s="70"/>
      <c r="H2839" s="93"/>
      <c r="I2839" s="85"/>
      <c r="J2839" s="85"/>
      <c r="K2839" s="131"/>
      <c r="L2839" s="60"/>
      <c r="M2839" s="52"/>
      <c r="Q2839" s="3"/>
      <c r="R2839" s="3"/>
      <c r="S2839" s="3"/>
      <c r="T2839" s="3"/>
      <c r="U2839" s="3"/>
      <c r="V2839" s="3"/>
      <c r="W2839" s="3"/>
      <c r="X2839" s="3"/>
      <c r="Y2839" s="3"/>
      <c r="Z2839" s="4"/>
      <c r="AA2839"/>
      <c r="AB2839"/>
    </row>
    <row r="2840" spans="1:28" s="37" customFormat="1" x14ac:dyDescent="0.15">
      <c r="A2840" s="166"/>
      <c r="B2840" s="93"/>
      <c r="C2840" s="70"/>
      <c r="D2840" s="70"/>
      <c r="E2840" s="70"/>
      <c r="F2840" s="70"/>
      <c r="G2840" s="70"/>
      <c r="H2840" s="93"/>
      <c r="I2840" s="85"/>
      <c r="J2840" s="85"/>
      <c r="K2840" s="131"/>
      <c r="L2840" s="60"/>
      <c r="M2840" s="33"/>
      <c r="Q2840" s="3"/>
      <c r="R2840" s="3"/>
      <c r="S2840" s="3"/>
      <c r="T2840" s="3"/>
      <c r="U2840" s="3"/>
      <c r="V2840" s="3"/>
      <c r="W2840" s="3"/>
      <c r="X2840" s="3"/>
      <c r="Y2840" s="3"/>
      <c r="Z2840" s="4"/>
      <c r="AA2840"/>
      <c r="AB2840"/>
    </row>
    <row r="2841" spans="1:28" s="37" customFormat="1" x14ac:dyDescent="0.15">
      <c r="A2841" s="166"/>
      <c r="B2841" s="93"/>
      <c r="C2841" s="70"/>
      <c r="D2841" s="70"/>
      <c r="E2841" s="70"/>
      <c r="F2841" s="70"/>
      <c r="G2841" s="70"/>
      <c r="H2841" s="93"/>
      <c r="I2841" s="85"/>
      <c r="J2841" s="85"/>
      <c r="K2841" s="131"/>
      <c r="L2841" s="60"/>
      <c r="M2841" s="33"/>
      <c r="Q2841" s="3"/>
      <c r="R2841" s="3"/>
      <c r="S2841" s="3"/>
      <c r="T2841" s="3"/>
      <c r="U2841" s="3"/>
      <c r="V2841" s="3"/>
      <c r="W2841" s="3"/>
      <c r="X2841" s="3"/>
      <c r="Y2841" s="3"/>
      <c r="Z2841" s="4"/>
      <c r="AA2841"/>
      <c r="AB2841"/>
    </row>
    <row r="2842" spans="1:28" s="37" customFormat="1" x14ac:dyDescent="0.15">
      <c r="A2842" s="166"/>
      <c r="B2842" s="93"/>
      <c r="C2842" s="70"/>
      <c r="D2842" s="70"/>
      <c r="E2842" s="70"/>
      <c r="F2842" s="70"/>
      <c r="G2842" s="70"/>
      <c r="H2842" s="93"/>
      <c r="I2842" s="85"/>
      <c r="J2842" s="85"/>
      <c r="K2842" s="131"/>
      <c r="L2842" s="60"/>
      <c r="M2842" s="33"/>
      <c r="Q2842" s="3"/>
      <c r="R2842" s="3"/>
      <c r="S2842" s="3"/>
      <c r="T2842" s="3"/>
      <c r="U2842" s="3"/>
      <c r="V2842" s="3"/>
      <c r="W2842" s="3"/>
      <c r="X2842" s="3"/>
      <c r="Y2842" s="3"/>
      <c r="Z2842" s="4"/>
      <c r="AA2842"/>
      <c r="AB2842"/>
    </row>
    <row r="2843" spans="1:28" s="37" customFormat="1" x14ac:dyDescent="0.15">
      <c r="A2843" s="166"/>
      <c r="B2843" s="93"/>
      <c r="C2843" s="70"/>
      <c r="D2843" s="70"/>
      <c r="E2843" s="70"/>
      <c r="F2843" s="70"/>
      <c r="G2843" s="70"/>
      <c r="H2843" s="93"/>
      <c r="I2843" s="85"/>
      <c r="J2843" s="85"/>
      <c r="K2843" s="131"/>
      <c r="L2843" s="60"/>
      <c r="M2843" s="33"/>
      <c r="Q2843" s="3"/>
      <c r="R2843" s="3"/>
      <c r="S2843" s="3"/>
      <c r="T2843" s="3"/>
      <c r="U2843" s="3"/>
      <c r="V2843" s="3"/>
      <c r="W2843" s="3"/>
      <c r="X2843" s="3"/>
      <c r="Y2843" s="3"/>
      <c r="Z2843" s="4"/>
      <c r="AA2843"/>
      <c r="AB2843"/>
    </row>
    <row r="2844" spans="1:28" s="37" customFormat="1" x14ac:dyDescent="0.15">
      <c r="A2844" s="166"/>
      <c r="B2844" s="93"/>
      <c r="C2844" s="70"/>
      <c r="D2844" s="70"/>
      <c r="E2844" s="70"/>
      <c r="F2844" s="70"/>
      <c r="G2844" s="70"/>
      <c r="H2844" s="93"/>
      <c r="I2844" s="85"/>
      <c r="J2844" s="85"/>
      <c r="K2844" s="131"/>
      <c r="L2844" s="60"/>
      <c r="M2844" s="33"/>
      <c r="Q2844" s="3"/>
      <c r="R2844" s="3"/>
      <c r="S2844" s="3"/>
      <c r="T2844" s="3"/>
      <c r="U2844" s="3"/>
      <c r="V2844" s="3"/>
      <c r="W2844" s="3"/>
      <c r="X2844" s="3"/>
      <c r="Y2844" s="3"/>
      <c r="Z2844" s="4"/>
      <c r="AA2844"/>
      <c r="AB2844"/>
    </row>
    <row r="2845" spans="1:28" s="37" customFormat="1" x14ac:dyDescent="0.15">
      <c r="A2845" s="166"/>
      <c r="B2845" s="93"/>
      <c r="C2845" s="70"/>
      <c r="D2845" s="70"/>
      <c r="E2845" s="70"/>
      <c r="F2845" s="70"/>
      <c r="G2845" s="70"/>
      <c r="H2845" s="93"/>
      <c r="I2845" s="85"/>
      <c r="J2845" s="85"/>
      <c r="K2845" s="131"/>
      <c r="L2845" s="60"/>
      <c r="M2845" s="33"/>
      <c r="Q2845" s="3"/>
      <c r="R2845" s="3"/>
      <c r="S2845" s="3"/>
      <c r="T2845" s="3"/>
      <c r="U2845" s="3"/>
      <c r="V2845" s="3"/>
      <c r="W2845" s="3"/>
      <c r="X2845" s="3"/>
      <c r="Y2845" s="3"/>
      <c r="Z2845" s="4"/>
      <c r="AA2845"/>
      <c r="AB2845"/>
    </row>
    <row r="2846" spans="1:28" s="37" customFormat="1" x14ac:dyDescent="0.15">
      <c r="A2846" s="166"/>
      <c r="B2846" s="93"/>
      <c r="C2846" s="70"/>
      <c r="D2846" s="70"/>
      <c r="E2846" s="70"/>
      <c r="F2846" s="70"/>
      <c r="G2846" s="70"/>
      <c r="H2846" s="93"/>
      <c r="I2846" s="85"/>
      <c r="J2846" s="85"/>
      <c r="K2846" s="131"/>
      <c r="L2846" s="60"/>
      <c r="M2846" s="33"/>
      <c r="Q2846" s="3"/>
      <c r="R2846" s="3"/>
      <c r="S2846" s="3"/>
      <c r="T2846" s="3"/>
      <c r="U2846" s="3"/>
      <c r="V2846" s="3"/>
      <c r="W2846" s="3"/>
      <c r="X2846" s="3"/>
      <c r="Y2846" s="3"/>
      <c r="Z2846" s="4"/>
      <c r="AA2846"/>
      <c r="AB2846"/>
    </row>
    <row r="2847" spans="1:28" s="37" customFormat="1" x14ac:dyDescent="0.15">
      <c r="A2847" s="166"/>
      <c r="B2847" s="93"/>
      <c r="C2847" s="70"/>
      <c r="D2847" s="70"/>
      <c r="E2847" s="70"/>
      <c r="F2847" s="70"/>
      <c r="G2847" s="70"/>
      <c r="H2847" s="93"/>
      <c r="I2847" s="85"/>
      <c r="J2847" s="85"/>
      <c r="K2847" s="131"/>
      <c r="L2847" s="60"/>
      <c r="M2847" s="49"/>
      <c r="Q2847" s="3"/>
      <c r="R2847" s="3"/>
      <c r="S2847" s="3"/>
      <c r="T2847" s="3"/>
      <c r="U2847" s="3"/>
      <c r="V2847" s="3"/>
      <c r="W2847" s="3"/>
      <c r="X2847" s="3"/>
      <c r="Y2847" s="3"/>
      <c r="Z2847" s="4"/>
      <c r="AA2847"/>
      <c r="AB2847"/>
    </row>
    <row r="2848" spans="1:28" s="37" customFormat="1" x14ac:dyDescent="0.15">
      <c r="A2848" s="166"/>
      <c r="B2848" s="93"/>
      <c r="C2848" s="70"/>
      <c r="D2848" s="70"/>
      <c r="E2848" s="70"/>
      <c r="F2848" s="70"/>
      <c r="G2848" s="70"/>
      <c r="H2848" s="93"/>
      <c r="I2848" s="85"/>
      <c r="J2848" s="85"/>
      <c r="K2848" s="131"/>
      <c r="L2848" s="60"/>
      <c r="M2848" s="49"/>
      <c r="Q2848" s="3"/>
      <c r="R2848" s="3"/>
      <c r="S2848" s="3"/>
      <c r="T2848" s="3"/>
      <c r="U2848" s="3"/>
      <c r="V2848" s="3"/>
      <c r="W2848" s="3"/>
      <c r="X2848" s="3"/>
      <c r="Y2848" s="3"/>
      <c r="Z2848" s="4"/>
      <c r="AA2848"/>
      <c r="AB2848"/>
    </row>
    <row r="2849" spans="1:28" s="37" customFormat="1" x14ac:dyDescent="0.15">
      <c r="A2849" s="166"/>
      <c r="B2849" s="93"/>
      <c r="C2849" s="70"/>
      <c r="D2849" s="70"/>
      <c r="E2849" s="70"/>
      <c r="F2849" s="70"/>
      <c r="G2849" s="70"/>
      <c r="H2849" s="93"/>
      <c r="I2849" s="85"/>
      <c r="J2849" s="85"/>
      <c r="K2849" s="131"/>
      <c r="L2849" s="60"/>
      <c r="Q2849" s="3"/>
      <c r="R2849" s="3"/>
      <c r="S2849" s="3"/>
      <c r="T2849" s="3"/>
      <c r="U2849" s="3"/>
      <c r="V2849" s="3"/>
      <c r="W2849" s="3"/>
      <c r="X2849" s="3"/>
      <c r="Y2849" s="3"/>
      <c r="Z2849" s="4"/>
      <c r="AA2849"/>
      <c r="AB2849"/>
    </row>
    <row r="2850" spans="1:28" s="37" customFormat="1" x14ac:dyDescent="0.15">
      <c r="A2850" s="166"/>
      <c r="B2850" s="93"/>
      <c r="C2850" s="70"/>
      <c r="D2850" s="70"/>
      <c r="E2850" s="70"/>
      <c r="F2850" s="70"/>
      <c r="G2850" s="70"/>
      <c r="H2850" s="93"/>
      <c r="I2850" s="85"/>
      <c r="J2850" s="85"/>
      <c r="K2850" s="131"/>
      <c r="L2850" s="60"/>
      <c r="Q2850" s="3"/>
      <c r="R2850" s="3"/>
      <c r="S2850" s="3"/>
      <c r="T2850" s="3"/>
      <c r="U2850" s="3"/>
      <c r="V2850" s="3"/>
      <c r="W2850" s="3"/>
      <c r="X2850" s="3"/>
      <c r="Y2850" s="3"/>
      <c r="Z2850" s="4"/>
      <c r="AA2850"/>
      <c r="AB2850"/>
    </row>
    <row r="2851" spans="1:28" s="37" customFormat="1" x14ac:dyDescent="0.15">
      <c r="A2851" s="166"/>
      <c r="B2851" s="93"/>
      <c r="C2851" s="70"/>
      <c r="D2851" s="70"/>
      <c r="E2851" s="70"/>
      <c r="F2851" s="70"/>
      <c r="G2851" s="70"/>
      <c r="H2851" s="93"/>
      <c r="I2851" s="85"/>
      <c r="J2851" s="85"/>
      <c r="K2851" s="142"/>
      <c r="L2851" s="60"/>
      <c r="Q2851" s="3"/>
      <c r="R2851" s="3"/>
      <c r="S2851" s="3"/>
      <c r="T2851" s="3"/>
      <c r="U2851" s="3"/>
      <c r="V2851" s="3"/>
      <c r="W2851" s="3"/>
      <c r="X2851" s="3"/>
      <c r="Y2851" s="3"/>
      <c r="Z2851" s="4"/>
      <c r="AA2851"/>
      <c r="AB2851"/>
    </row>
    <row r="2852" spans="1:28" s="37" customFormat="1" x14ac:dyDescent="0.15">
      <c r="A2852" s="166"/>
      <c r="B2852" s="93"/>
      <c r="C2852" s="73"/>
      <c r="D2852" s="73"/>
      <c r="E2852" s="73"/>
      <c r="F2852" s="73"/>
      <c r="G2852" s="73"/>
      <c r="H2852" s="108"/>
      <c r="I2852" s="85"/>
      <c r="J2852" s="95"/>
      <c r="K2852" s="131"/>
      <c r="L2852" s="60"/>
      <c r="M2852" s="49"/>
      <c r="Q2852" s="3"/>
      <c r="R2852" s="3"/>
      <c r="S2852" s="3"/>
      <c r="T2852" s="3"/>
      <c r="U2852" s="3"/>
      <c r="V2852" s="3"/>
      <c r="W2852" s="3"/>
      <c r="X2852" s="3"/>
      <c r="Y2852" s="3"/>
      <c r="Z2852" s="4"/>
      <c r="AA2852"/>
      <c r="AB2852"/>
    </row>
    <row r="2853" spans="1:28" s="37" customFormat="1" x14ac:dyDescent="0.15">
      <c r="A2853" s="166"/>
      <c r="B2853" s="82"/>
      <c r="C2853" s="70"/>
      <c r="D2853" s="70"/>
      <c r="E2853" s="70"/>
      <c r="F2853" s="70"/>
      <c r="G2853" s="70"/>
      <c r="H2853" s="93"/>
      <c r="I2853" s="85"/>
      <c r="J2853" s="85"/>
      <c r="K2853" s="142"/>
      <c r="L2853" s="60"/>
      <c r="Q2853" s="3"/>
      <c r="R2853" s="3"/>
      <c r="S2853" s="3"/>
      <c r="T2853" s="3"/>
      <c r="U2853" s="3"/>
      <c r="V2853" s="3"/>
      <c r="W2853" s="3"/>
      <c r="X2853" s="3"/>
      <c r="Y2853" s="3"/>
      <c r="Z2853" s="4"/>
      <c r="AA2853"/>
      <c r="AB2853"/>
    </row>
    <row r="2854" spans="1:28" s="37" customFormat="1" x14ac:dyDescent="0.15">
      <c r="A2854" s="166"/>
      <c r="B2854" s="82"/>
      <c r="C2854" s="70"/>
      <c r="D2854" s="70"/>
      <c r="E2854" s="70"/>
      <c r="F2854" s="70"/>
      <c r="G2854" s="70"/>
      <c r="H2854" s="93"/>
      <c r="I2854" s="85"/>
      <c r="J2854" s="85"/>
      <c r="K2854" s="131"/>
      <c r="L2854" s="60"/>
      <c r="Q2854" s="3"/>
      <c r="R2854" s="3"/>
      <c r="S2854" s="3"/>
      <c r="T2854" s="3"/>
      <c r="U2854" s="3"/>
      <c r="V2854" s="3"/>
      <c r="W2854" s="3"/>
      <c r="X2854" s="3"/>
      <c r="Y2854" s="3"/>
      <c r="Z2854" s="4"/>
      <c r="AA2854"/>
      <c r="AB2854"/>
    </row>
    <row r="2855" spans="1:28" s="37" customFormat="1" x14ac:dyDescent="0.15">
      <c r="A2855" s="166"/>
      <c r="B2855" s="82"/>
      <c r="C2855" s="70"/>
      <c r="D2855" s="70"/>
      <c r="E2855" s="70"/>
      <c r="F2855" s="70"/>
      <c r="G2855" s="70"/>
      <c r="H2855" s="93"/>
      <c r="I2855" s="85"/>
      <c r="J2855" s="85"/>
      <c r="K2855" s="131"/>
      <c r="L2855" s="60"/>
      <c r="Q2855" s="3"/>
      <c r="R2855" s="3"/>
      <c r="S2855" s="3"/>
      <c r="T2855" s="3"/>
      <c r="U2855" s="3"/>
      <c r="V2855" s="3"/>
      <c r="W2855" s="3"/>
      <c r="X2855" s="3"/>
      <c r="Y2855" s="3"/>
      <c r="Z2855" s="4"/>
      <c r="AA2855"/>
      <c r="AB2855"/>
    </row>
    <row r="2856" spans="1:28" s="37" customFormat="1" ht="16" x14ac:dyDescent="0.2">
      <c r="A2856" s="165"/>
      <c r="B2856" s="97"/>
      <c r="C2856" s="62"/>
      <c r="D2856" s="62"/>
      <c r="E2856" s="62"/>
      <c r="F2856" s="62"/>
      <c r="G2856" s="70"/>
      <c r="H2856" s="93"/>
      <c r="I2856" s="85"/>
      <c r="J2856" s="85"/>
      <c r="K2856" s="131"/>
      <c r="L2856" s="60"/>
      <c r="N2856" s="48"/>
      <c r="Q2856" s="3"/>
      <c r="R2856" s="3"/>
      <c r="S2856" s="3"/>
      <c r="T2856" s="3"/>
      <c r="U2856" s="3"/>
      <c r="V2856" s="3"/>
      <c r="W2856" s="3"/>
      <c r="X2856" s="3"/>
      <c r="Y2856" s="3"/>
      <c r="Z2856" s="4"/>
      <c r="AA2856"/>
      <c r="AB2856"/>
    </row>
    <row r="2857" spans="1:28" s="37" customFormat="1" x14ac:dyDescent="0.15">
      <c r="A2857" s="166"/>
      <c r="B2857" s="82"/>
      <c r="C2857" s="70"/>
      <c r="D2857" s="70"/>
      <c r="E2857" s="70"/>
      <c r="F2857" s="70"/>
      <c r="G2857" s="70"/>
      <c r="H2857" s="93"/>
      <c r="I2857" s="85"/>
      <c r="J2857" s="85"/>
      <c r="K2857" s="141"/>
      <c r="L2857" s="60"/>
      <c r="Q2857" s="3"/>
      <c r="R2857" s="3"/>
      <c r="S2857" s="3"/>
      <c r="T2857" s="3"/>
      <c r="U2857" s="3"/>
      <c r="V2857" s="3"/>
      <c r="W2857" s="3"/>
      <c r="X2857" s="3"/>
      <c r="Y2857" s="3"/>
      <c r="Z2857" s="4"/>
      <c r="AA2857"/>
      <c r="AB2857"/>
    </row>
    <row r="2858" spans="1:28" s="37" customFormat="1" x14ac:dyDescent="0.15">
      <c r="A2858" s="166"/>
      <c r="B2858" s="93"/>
      <c r="C2858" s="70"/>
      <c r="D2858" s="70"/>
      <c r="E2858" s="70"/>
      <c r="F2858" s="70"/>
      <c r="G2858" s="70"/>
      <c r="H2858" s="93"/>
      <c r="I2858" s="85"/>
      <c r="J2858" s="85"/>
      <c r="K2858" s="131"/>
      <c r="L2858" s="60"/>
      <c r="Q2858" s="3"/>
      <c r="R2858" s="3"/>
      <c r="S2858" s="3"/>
      <c r="T2858" s="3"/>
      <c r="U2858" s="3"/>
      <c r="V2858" s="3"/>
      <c r="W2858" s="3"/>
      <c r="X2858" s="3"/>
      <c r="Y2858" s="3"/>
      <c r="Z2858" s="4"/>
      <c r="AA2858"/>
      <c r="AB2858"/>
    </row>
    <row r="2859" spans="1:28" s="37" customFormat="1" x14ac:dyDescent="0.15">
      <c r="A2859" s="166"/>
      <c r="B2859" s="82"/>
      <c r="C2859" s="70"/>
      <c r="D2859" s="70"/>
      <c r="E2859" s="70"/>
      <c r="F2859" s="70"/>
      <c r="G2859" s="70"/>
      <c r="H2859" s="93"/>
      <c r="I2859" s="85"/>
      <c r="J2859" s="85"/>
      <c r="K2859" s="131"/>
      <c r="L2859" s="60"/>
      <c r="Q2859" s="3"/>
      <c r="R2859" s="3"/>
      <c r="S2859" s="3"/>
      <c r="T2859" s="3"/>
      <c r="U2859" s="3"/>
      <c r="V2859" s="3"/>
      <c r="W2859" s="3"/>
      <c r="X2859" s="3"/>
      <c r="Y2859" s="3"/>
      <c r="Z2859" s="4"/>
      <c r="AA2859"/>
      <c r="AB2859"/>
    </row>
    <row r="2860" spans="1:28" s="37" customFormat="1" x14ac:dyDescent="0.15">
      <c r="A2860" s="166"/>
      <c r="B2860" s="93"/>
      <c r="C2860" s="70"/>
      <c r="D2860" s="70"/>
      <c r="E2860" s="70"/>
      <c r="F2860" s="70"/>
      <c r="G2860" s="70"/>
      <c r="H2860" s="93"/>
      <c r="I2860" s="85"/>
      <c r="J2860" s="85"/>
      <c r="K2860" s="131"/>
      <c r="L2860" s="60"/>
      <c r="Q2860" s="3"/>
      <c r="R2860" s="3"/>
      <c r="S2860" s="3"/>
      <c r="T2860" s="3"/>
      <c r="U2860" s="3"/>
      <c r="V2860" s="3"/>
      <c r="W2860" s="3"/>
      <c r="X2860" s="3"/>
      <c r="Y2860" s="3"/>
      <c r="Z2860" s="4"/>
      <c r="AA2860"/>
      <c r="AB2860"/>
    </row>
    <row r="2861" spans="1:28" s="37" customFormat="1" x14ac:dyDescent="0.15">
      <c r="A2861" s="166"/>
      <c r="B2861" s="82"/>
      <c r="C2861" s="70"/>
      <c r="D2861" s="70"/>
      <c r="E2861" s="70"/>
      <c r="F2861" s="70"/>
      <c r="G2861" s="70"/>
      <c r="H2861" s="93"/>
      <c r="I2861" s="85"/>
      <c r="J2861" s="85"/>
      <c r="K2861" s="131"/>
      <c r="L2861" s="60"/>
      <c r="Q2861" s="3"/>
      <c r="R2861" s="3"/>
      <c r="S2861" s="3"/>
      <c r="T2861" s="3"/>
      <c r="U2861" s="3"/>
      <c r="V2861" s="3"/>
      <c r="W2861" s="3"/>
      <c r="X2861" s="3"/>
      <c r="Y2861" s="3"/>
      <c r="Z2861" s="4"/>
      <c r="AA2861"/>
      <c r="AB2861"/>
    </row>
    <row r="2862" spans="1:28" s="37" customFormat="1" ht="16" x14ac:dyDescent="0.2">
      <c r="A2862" s="166"/>
      <c r="B2862" s="82"/>
      <c r="C2862" s="70"/>
      <c r="D2862" s="70"/>
      <c r="E2862" s="70"/>
      <c r="F2862" s="70"/>
      <c r="G2862" s="70"/>
      <c r="H2862" s="93"/>
      <c r="I2862" s="85"/>
      <c r="J2862" s="85"/>
      <c r="K2862" s="131"/>
      <c r="L2862" s="60"/>
      <c r="M2862" s="48"/>
      <c r="Q2862" s="3"/>
      <c r="R2862" s="3"/>
      <c r="S2862" s="3"/>
      <c r="T2862" s="3"/>
      <c r="U2862" s="3"/>
      <c r="V2862" s="3"/>
      <c r="W2862" s="3"/>
      <c r="X2862" s="3"/>
      <c r="Y2862" s="3"/>
      <c r="Z2862" s="4"/>
      <c r="AA2862"/>
      <c r="AB2862"/>
    </row>
    <row r="2863" spans="1:28" s="37" customFormat="1" x14ac:dyDescent="0.15">
      <c r="A2863" s="165"/>
      <c r="B2863" s="97"/>
      <c r="C2863" s="62"/>
      <c r="D2863" s="62"/>
      <c r="E2863" s="62"/>
      <c r="F2863" s="62"/>
      <c r="G2863" s="70"/>
      <c r="H2863" s="93"/>
      <c r="I2863" s="85"/>
      <c r="J2863" s="85"/>
      <c r="K2863" s="131"/>
      <c r="L2863" s="60"/>
      <c r="Q2863" s="3"/>
      <c r="R2863" s="3"/>
      <c r="S2863" s="3"/>
      <c r="T2863" s="3"/>
      <c r="U2863" s="3"/>
      <c r="V2863" s="3"/>
      <c r="W2863" s="3"/>
      <c r="X2863" s="3"/>
      <c r="Y2863" s="3"/>
      <c r="Z2863" s="4"/>
      <c r="AA2863"/>
      <c r="AB2863"/>
    </row>
    <row r="2864" spans="1:28" s="37" customFormat="1" x14ac:dyDescent="0.15">
      <c r="A2864" s="165"/>
      <c r="B2864" s="97"/>
      <c r="C2864" s="62"/>
      <c r="D2864" s="62"/>
      <c r="E2864" s="62"/>
      <c r="F2864" s="62"/>
      <c r="G2864" s="70"/>
      <c r="H2864" s="93"/>
      <c r="I2864" s="85"/>
      <c r="J2864" s="85"/>
      <c r="K2864" s="131"/>
      <c r="L2864" s="60"/>
      <c r="Q2864" s="3"/>
      <c r="R2864" s="3"/>
      <c r="S2864" s="3"/>
      <c r="T2864" s="3"/>
      <c r="U2864" s="3"/>
      <c r="V2864" s="3"/>
      <c r="W2864" s="3"/>
      <c r="X2864" s="3"/>
      <c r="Y2864" s="3"/>
      <c r="Z2864" s="4"/>
      <c r="AA2864"/>
      <c r="AB2864"/>
    </row>
    <row r="2865" spans="1:28" s="37" customFormat="1" x14ac:dyDescent="0.15">
      <c r="A2865" s="166"/>
      <c r="B2865" s="82"/>
      <c r="C2865" s="70"/>
      <c r="D2865" s="70"/>
      <c r="E2865" s="70"/>
      <c r="F2865" s="70"/>
      <c r="G2865" s="70"/>
      <c r="H2865" s="93"/>
      <c r="I2865" s="85"/>
      <c r="J2865" s="85"/>
      <c r="K2865" s="141"/>
      <c r="L2865" s="60"/>
      <c r="M2865" s="35"/>
      <c r="Q2865" s="3"/>
      <c r="R2865" s="3"/>
      <c r="S2865" s="3"/>
      <c r="T2865" s="3"/>
      <c r="U2865" s="3"/>
      <c r="V2865" s="3"/>
      <c r="W2865" s="3"/>
      <c r="X2865" s="3"/>
      <c r="Y2865" s="3"/>
      <c r="Z2865" s="4"/>
      <c r="AA2865"/>
      <c r="AB2865"/>
    </row>
    <row r="2866" spans="1:28" s="37" customFormat="1" x14ac:dyDescent="0.15">
      <c r="A2866" s="166"/>
      <c r="B2866" s="82"/>
      <c r="C2866" s="70"/>
      <c r="D2866" s="70"/>
      <c r="E2866" s="70"/>
      <c r="F2866" s="70"/>
      <c r="G2866" s="70"/>
      <c r="H2866" s="93"/>
      <c r="I2866" s="85"/>
      <c r="J2866" s="85"/>
      <c r="K2866" s="142"/>
      <c r="L2866" s="60"/>
      <c r="Q2866" s="3"/>
      <c r="R2866" s="3"/>
      <c r="S2866" s="3"/>
      <c r="T2866" s="3"/>
      <c r="U2866" s="3"/>
      <c r="V2866" s="3"/>
      <c r="W2866" s="3"/>
      <c r="X2866" s="3"/>
      <c r="Y2866" s="3"/>
      <c r="Z2866" s="4"/>
      <c r="AA2866"/>
      <c r="AB2866"/>
    </row>
    <row r="2867" spans="1:28" s="37" customFormat="1" x14ac:dyDescent="0.15">
      <c r="A2867" s="166"/>
      <c r="B2867" s="82"/>
      <c r="C2867" s="70"/>
      <c r="D2867" s="70"/>
      <c r="E2867" s="70"/>
      <c r="F2867" s="70"/>
      <c r="G2867" s="70"/>
      <c r="H2867" s="93"/>
      <c r="I2867" s="85"/>
      <c r="J2867" s="85"/>
      <c r="K2867" s="131"/>
      <c r="L2867" s="60"/>
      <c r="Q2867" s="3"/>
      <c r="R2867" s="3"/>
      <c r="S2867" s="3"/>
      <c r="T2867" s="3"/>
      <c r="U2867" s="3"/>
      <c r="V2867" s="3"/>
      <c r="W2867" s="3"/>
      <c r="X2867" s="3"/>
      <c r="Y2867" s="3"/>
      <c r="Z2867" s="4"/>
      <c r="AA2867"/>
      <c r="AB2867"/>
    </row>
    <row r="2868" spans="1:28" s="37" customFormat="1" x14ac:dyDescent="0.15">
      <c r="A2868" s="166"/>
      <c r="B2868" s="93"/>
      <c r="C2868" s="70"/>
      <c r="D2868" s="70"/>
      <c r="E2868" s="70"/>
      <c r="F2868" s="70"/>
      <c r="G2868" s="70"/>
      <c r="H2868" s="93"/>
      <c r="I2868" s="85"/>
      <c r="J2868" s="85"/>
      <c r="K2868" s="131"/>
      <c r="L2868" s="60"/>
      <c r="M2868" s="49"/>
      <c r="Q2868" s="3"/>
      <c r="R2868" s="3"/>
      <c r="S2868" s="3"/>
      <c r="T2868" s="3"/>
      <c r="U2868" s="3"/>
      <c r="V2868" s="3"/>
      <c r="W2868" s="3"/>
      <c r="X2868" s="3"/>
      <c r="Y2868" s="3"/>
      <c r="Z2868" s="4"/>
      <c r="AA2868"/>
      <c r="AB2868"/>
    </row>
    <row r="2869" spans="1:28" s="37" customFormat="1" x14ac:dyDescent="0.15">
      <c r="A2869" s="166"/>
      <c r="B2869" s="82"/>
      <c r="C2869" s="70"/>
      <c r="D2869" s="70"/>
      <c r="E2869" s="70"/>
      <c r="F2869" s="70"/>
      <c r="G2869" s="70"/>
      <c r="H2869" s="93"/>
      <c r="I2869" s="85"/>
      <c r="J2869" s="85"/>
      <c r="K2869" s="142"/>
      <c r="L2869" s="60"/>
      <c r="Q2869" s="3"/>
      <c r="R2869" s="3"/>
      <c r="S2869" s="3"/>
      <c r="T2869" s="3"/>
      <c r="U2869" s="3"/>
      <c r="V2869" s="3"/>
      <c r="W2869" s="3"/>
      <c r="X2869" s="3"/>
      <c r="Y2869" s="3"/>
      <c r="Z2869" s="4"/>
      <c r="AA2869"/>
      <c r="AB2869"/>
    </row>
    <row r="2870" spans="1:28" s="37" customFormat="1" x14ac:dyDescent="0.15">
      <c r="A2870" s="166"/>
      <c r="B2870" s="93"/>
      <c r="C2870" s="70"/>
      <c r="D2870" s="70"/>
      <c r="E2870" s="70"/>
      <c r="F2870" s="70"/>
      <c r="G2870" s="70"/>
      <c r="H2870" s="93"/>
      <c r="I2870" s="85"/>
      <c r="J2870" s="85"/>
      <c r="K2870" s="131"/>
      <c r="L2870" s="60"/>
      <c r="M2870" s="49"/>
      <c r="Q2870" s="3"/>
      <c r="R2870" s="3"/>
      <c r="S2870" s="3"/>
      <c r="T2870" s="3"/>
      <c r="U2870" s="3"/>
      <c r="V2870" s="3"/>
      <c r="W2870" s="3"/>
      <c r="X2870" s="3"/>
      <c r="Y2870" s="3"/>
      <c r="Z2870" s="4"/>
      <c r="AA2870"/>
      <c r="AB2870"/>
    </row>
    <row r="2871" spans="1:28" s="37" customFormat="1" x14ac:dyDescent="0.15">
      <c r="A2871" s="166"/>
      <c r="B2871" s="82"/>
      <c r="C2871" s="70"/>
      <c r="D2871" s="70"/>
      <c r="E2871" s="70"/>
      <c r="F2871" s="70"/>
      <c r="G2871" s="70"/>
      <c r="H2871" s="93"/>
      <c r="I2871" s="85"/>
      <c r="J2871" s="85"/>
      <c r="K2871" s="131"/>
      <c r="L2871" s="60"/>
      <c r="Q2871" s="3"/>
      <c r="R2871" s="3"/>
      <c r="S2871" s="3"/>
      <c r="T2871" s="3"/>
      <c r="U2871" s="3"/>
      <c r="V2871" s="3"/>
      <c r="W2871" s="3"/>
      <c r="X2871" s="3"/>
      <c r="Y2871" s="3"/>
      <c r="Z2871" s="4"/>
      <c r="AA2871"/>
      <c r="AB2871"/>
    </row>
    <row r="2872" spans="1:28" s="37" customFormat="1" x14ac:dyDescent="0.15">
      <c r="A2872" s="166"/>
      <c r="B2872" s="82"/>
      <c r="C2872" s="70"/>
      <c r="D2872" s="70"/>
      <c r="E2872" s="70"/>
      <c r="F2872" s="70"/>
      <c r="G2872" s="70"/>
      <c r="H2872" s="93"/>
      <c r="I2872" s="85"/>
      <c r="J2872" s="85"/>
      <c r="K2872" s="131"/>
      <c r="L2872" s="60"/>
      <c r="Q2872" s="3"/>
      <c r="R2872" s="3"/>
      <c r="S2872" s="3"/>
      <c r="T2872" s="3"/>
      <c r="U2872" s="3"/>
      <c r="V2872" s="3"/>
      <c r="W2872" s="3"/>
      <c r="X2872" s="3"/>
      <c r="Y2872" s="3"/>
      <c r="Z2872" s="4"/>
      <c r="AA2872"/>
      <c r="AB2872"/>
    </row>
    <row r="2873" spans="1:28" s="37" customFormat="1" x14ac:dyDescent="0.15">
      <c r="A2873" s="166"/>
      <c r="B2873" s="82"/>
      <c r="C2873" s="70"/>
      <c r="D2873" s="70"/>
      <c r="E2873" s="70"/>
      <c r="F2873" s="70"/>
      <c r="G2873" s="70"/>
      <c r="H2873" s="93"/>
      <c r="I2873" s="85"/>
      <c r="J2873" s="85"/>
      <c r="K2873" s="131"/>
      <c r="L2873" s="60"/>
      <c r="Q2873" s="3"/>
      <c r="R2873" s="3"/>
      <c r="S2873" s="3"/>
      <c r="T2873" s="3"/>
      <c r="U2873" s="3"/>
      <c r="V2873" s="3"/>
      <c r="W2873" s="3"/>
      <c r="X2873" s="3"/>
      <c r="Y2873" s="3"/>
      <c r="Z2873" s="4"/>
      <c r="AA2873"/>
      <c r="AB2873"/>
    </row>
    <row r="2874" spans="1:28" s="37" customFormat="1" x14ac:dyDescent="0.15">
      <c r="A2874" s="166"/>
      <c r="B2874" s="93"/>
      <c r="C2874" s="70"/>
      <c r="D2874" s="70"/>
      <c r="E2874" s="70"/>
      <c r="F2874" s="70"/>
      <c r="G2874" s="70"/>
      <c r="H2874" s="93"/>
      <c r="I2874" s="85"/>
      <c r="J2874" s="85"/>
      <c r="K2874" s="131"/>
      <c r="L2874" s="60"/>
      <c r="M2874" s="49"/>
      <c r="Q2874" s="3"/>
      <c r="R2874" s="3"/>
      <c r="S2874" s="3"/>
      <c r="T2874" s="3"/>
      <c r="U2874" s="3"/>
      <c r="V2874" s="3"/>
      <c r="W2874" s="3"/>
      <c r="X2874" s="3"/>
      <c r="Y2874" s="3"/>
      <c r="Z2874" s="4"/>
      <c r="AA2874"/>
      <c r="AB2874"/>
    </row>
    <row r="2875" spans="1:28" s="37" customFormat="1" x14ac:dyDescent="0.15">
      <c r="A2875" s="166"/>
      <c r="B2875" s="93"/>
      <c r="C2875" s="70"/>
      <c r="D2875" s="70"/>
      <c r="E2875" s="70"/>
      <c r="F2875" s="70"/>
      <c r="G2875" s="70"/>
      <c r="H2875" s="93"/>
      <c r="I2875" s="85"/>
      <c r="J2875" s="85"/>
      <c r="K2875" s="131"/>
      <c r="L2875" s="60"/>
      <c r="M2875" s="49"/>
      <c r="Q2875" s="3"/>
      <c r="R2875" s="3"/>
      <c r="S2875" s="3"/>
      <c r="T2875" s="3"/>
      <c r="U2875" s="3"/>
      <c r="V2875" s="3"/>
      <c r="W2875" s="3"/>
      <c r="X2875" s="3"/>
      <c r="Y2875" s="3"/>
      <c r="Z2875" s="4"/>
      <c r="AA2875"/>
      <c r="AB2875"/>
    </row>
    <row r="2876" spans="1:28" s="37" customFormat="1" x14ac:dyDescent="0.15">
      <c r="A2876" s="166"/>
      <c r="B2876" s="82"/>
      <c r="C2876" s="70"/>
      <c r="D2876" s="70"/>
      <c r="E2876" s="70"/>
      <c r="F2876" s="70"/>
      <c r="G2876" s="70"/>
      <c r="H2876" s="93"/>
      <c r="I2876" s="85"/>
      <c r="J2876" s="85"/>
      <c r="K2876" s="131"/>
      <c r="L2876" s="60"/>
      <c r="M2876" s="49"/>
      <c r="Q2876" s="3"/>
      <c r="R2876" s="3"/>
      <c r="S2876" s="3"/>
      <c r="T2876" s="3"/>
      <c r="U2876" s="3"/>
      <c r="V2876" s="3"/>
      <c r="W2876" s="3"/>
      <c r="X2876" s="3"/>
      <c r="Y2876" s="3"/>
      <c r="Z2876" s="4"/>
      <c r="AA2876"/>
      <c r="AB2876"/>
    </row>
    <row r="2877" spans="1:28" s="37" customFormat="1" x14ac:dyDescent="0.15">
      <c r="A2877" s="166"/>
      <c r="B2877" s="82"/>
      <c r="C2877" s="70"/>
      <c r="D2877" s="70"/>
      <c r="E2877" s="70"/>
      <c r="F2877" s="70"/>
      <c r="G2877" s="70"/>
      <c r="H2877" s="93"/>
      <c r="I2877" s="85"/>
      <c r="J2877" s="85"/>
      <c r="K2877" s="131"/>
      <c r="L2877" s="60"/>
      <c r="M2877" s="33"/>
      <c r="Q2877" s="3"/>
      <c r="R2877" s="3"/>
      <c r="S2877" s="3"/>
      <c r="T2877" s="3"/>
      <c r="U2877" s="3"/>
      <c r="V2877" s="3"/>
      <c r="W2877" s="3"/>
      <c r="X2877" s="3"/>
      <c r="Y2877" s="3"/>
      <c r="Z2877" s="4"/>
      <c r="AA2877"/>
      <c r="AB2877"/>
    </row>
    <row r="2878" spans="1:28" s="37" customFormat="1" x14ac:dyDescent="0.15">
      <c r="A2878" s="166"/>
      <c r="B2878" s="82"/>
      <c r="C2878" s="70"/>
      <c r="D2878" s="70"/>
      <c r="E2878" s="70"/>
      <c r="F2878" s="70"/>
      <c r="G2878" s="70"/>
      <c r="H2878" s="93"/>
      <c r="I2878" s="85"/>
      <c r="J2878" s="85"/>
      <c r="K2878" s="131"/>
      <c r="L2878" s="60"/>
      <c r="M2878" s="49"/>
      <c r="Q2878" s="3"/>
      <c r="R2878" s="3"/>
      <c r="S2878" s="3"/>
      <c r="T2878" s="3"/>
      <c r="U2878" s="3"/>
      <c r="V2878" s="3"/>
      <c r="W2878" s="3"/>
      <c r="X2878" s="3"/>
      <c r="Y2878" s="3"/>
      <c r="Z2878" s="4"/>
      <c r="AA2878"/>
      <c r="AB2878"/>
    </row>
    <row r="2879" spans="1:28" s="37" customFormat="1" ht="16" x14ac:dyDescent="0.2">
      <c r="A2879" s="166"/>
      <c r="B2879" s="82"/>
      <c r="C2879" s="70"/>
      <c r="D2879" s="70"/>
      <c r="E2879" s="70"/>
      <c r="F2879" s="70"/>
      <c r="G2879" s="70"/>
      <c r="H2879" s="93"/>
      <c r="I2879" s="85"/>
      <c r="J2879" s="85"/>
      <c r="K2879" s="131"/>
      <c r="L2879" s="69"/>
      <c r="M2879" s="49"/>
      <c r="N2879" s="48"/>
      <c r="Q2879" s="3"/>
      <c r="R2879" s="3"/>
      <c r="S2879" s="3"/>
      <c r="T2879" s="3"/>
      <c r="U2879" s="3"/>
      <c r="V2879" s="3"/>
      <c r="W2879" s="3"/>
      <c r="X2879" s="3"/>
      <c r="Y2879" s="3"/>
      <c r="Z2879" s="4"/>
      <c r="AA2879"/>
      <c r="AB2879"/>
    </row>
    <row r="2880" spans="1:28" s="37" customFormat="1" x14ac:dyDescent="0.15">
      <c r="A2880" s="166"/>
      <c r="B2880" s="93"/>
      <c r="C2880" s="70"/>
      <c r="D2880" s="70"/>
      <c r="E2880" s="70"/>
      <c r="F2880" s="70"/>
      <c r="G2880" s="70"/>
      <c r="H2880" s="93"/>
      <c r="I2880" s="85"/>
      <c r="J2880" s="85"/>
      <c r="K2880" s="131"/>
      <c r="L2880" s="60"/>
      <c r="M2880" s="33"/>
      <c r="Q2880" s="3"/>
      <c r="R2880" s="3"/>
      <c r="S2880" s="3"/>
      <c r="T2880" s="3"/>
      <c r="U2880" s="3"/>
      <c r="V2880" s="3"/>
      <c r="W2880" s="3"/>
      <c r="X2880" s="3"/>
      <c r="Y2880" s="3"/>
      <c r="Z2880" s="4"/>
      <c r="AA2880"/>
      <c r="AB2880"/>
    </row>
    <row r="2881" spans="1:28" s="37" customFormat="1" x14ac:dyDescent="0.15">
      <c r="A2881" s="166"/>
      <c r="B2881" s="82"/>
      <c r="C2881" s="70"/>
      <c r="D2881" s="70"/>
      <c r="E2881" s="70"/>
      <c r="F2881" s="70"/>
      <c r="G2881" s="70"/>
      <c r="H2881" s="93"/>
      <c r="I2881" s="85"/>
      <c r="J2881" s="85"/>
      <c r="K2881" s="131"/>
      <c r="L2881" s="69"/>
      <c r="M2881" s="49"/>
      <c r="Q2881" s="3"/>
      <c r="R2881" s="3"/>
      <c r="S2881" s="3"/>
      <c r="T2881" s="3"/>
      <c r="U2881" s="3"/>
      <c r="V2881" s="3"/>
      <c r="W2881" s="3"/>
      <c r="X2881" s="3"/>
      <c r="Y2881" s="3"/>
      <c r="Z2881" s="4"/>
      <c r="AA2881"/>
      <c r="AB2881"/>
    </row>
    <row r="2882" spans="1:28" s="37" customFormat="1" x14ac:dyDescent="0.15">
      <c r="A2882" s="166"/>
      <c r="B2882" s="93"/>
      <c r="C2882" s="70"/>
      <c r="D2882" s="70"/>
      <c r="E2882" s="70"/>
      <c r="F2882" s="70"/>
      <c r="G2882" s="70"/>
      <c r="H2882" s="93"/>
      <c r="I2882" s="85"/>
      <c r="J2882" s="85"/>
      <c r="K2882" s="131"/>
      <c r="L2882" s="60"/>
      <c r="M2882" s="33"/>
      <c r="Q2882" s="3"/>
      <c r="R2882" s="3"/>
      <c r="S2882" s="3"/>
      <c r="T2882" s="3"/>
      <c r="U2882" s="3"/>
      <c r="V2882" s="3"/>
      <c r="W2882" s="3"/>
      <c r="X2882" s="3"/>
      <c r="Y2882" s="3"/>
      <c r="Z2882" s="4"/>
      <c r="AA2882"/>
      <c r="AB2882"/>
    </row>
    <row r="2883" spans="1:28" s="37" customFormat="1" x14ac:dyDescent="0.15">
      <c r="A2883" s="166"/>
      <c r="B2883" s="82"/>
      <c r="C2883" s="70"/>
      <c r="D2883" s="70"/>
      <c r="E2883" s="70"/>
      <c r="F2883" s="70"/>
      <c r="G2883" s="70"/>
      <c r="H2883" s="93"/>
      <c r="I2883" s="85"/>
      <c r="J2883" s="85"/>
      <c r="K2883" s="131"/>
      <c r="L2883" s="69"/>
      <c r="M2883" s="49"/>
      <c r="Q2883" s="3"/>
      <c r="R2883" s="3"/>
      <c r="S2883" s="3"/>
      <c r="T2883" s="3"/>
      <c r="U2883" s="3"/>
      <c r="V2883" s="3"/>
      <c r="W2883" s="3"/>
      <c r="X2883" s="3"/>
      <c r="Y2883" s="3"/>
      <c r="Z2883" s="4"/>
      <c r="AA2883"/>
      <c r="AB2883"/>
    </row>
    <row r="2884" spans="1:28" s="37" customFormat="1" x14ac:dyDescent="0.15">
      <c r="A2884" s="166"/>
      <c r="B2884" s="82"/>
      <c r="C2884" s="70"/>
      <c r="D2884" s="70"/>
      <c r="E2884" s="70"/>
      <c r="F2884" s="70"/>
      <c r="G2884" s="70"/>
      <c r="H2884" s="93"/>
      <c r="I2884" s="85"/>
      <c r="J2884" s="85"/>
      <c r="K2884" s="131"/>
      <c r="L2884" s="69"/>
      <c r="M2884" s="49"/>
      <c r="Q2884" s="3"/>
      <c r="R2884" s="3"/>
      <c r="S2884" s="3"/>
      <c r="T2884" s="3"/>
      <c r="U2884" s="3"/>
      <c r="V2884" s="3"/>
      <c r="W2884" s="3"/>
      <c r="X2884" s="3"/>
      <c r="Y2884" s="3"/>
      <c r="Z2884" s="4"/>
      <c r="AA2884"/>
      <c r="AB2884"/>
    </row>
    <row r="2885" spans="1:28" s="37" customFormat="1" x14ac:dyDescent="0.15">
      <c r="A2885" s="166"/>
      <c r="B2885" s="82"/>
      <c r="C2885" s="70"/>
      <c r="D2885" s="70"/>
      <c r="E2885" s="70"/>
      <c r="F2885" s="70"/>
      <c r="G2885" s="70"/>
      <c r="H2885" s="93"/>
      <c r="I2885" s="85"/>
      <c r="J2885" s="85"/>
      <c r="K2885" s="131"/>
      <c r="L2885" s="69"/>
      <c r="M2885" s="49"/>
      <c r="Q2885" s="3"/>
      <c r="R2885" s="3"/>
      <c r="S2885" s="3"/>
      <c r="T2885" s="3"/>
      <c r="U2885" s="3"/>
      <c r="V2885" s="3"/>
      <c r="W2885" s="3"/>
      <c r="X2885" s="3"/>
      <c r="Y2885" s="3"/>
      <c r="Z2885" s="4"/>
      <c r="AA2885"/>
      <c r="AB2885"/>
    </row>
    <row r="2886" spans="1:28" s="37" customFormat="1" x14ac:dyDescent="0.15">
      <c r="A2886" s="166"/>
      <c r="B2886" s="93"/>
      <c r="C2886" s="70"/>
      <c r="D2886" s="70"/>
      <c r="E2886" s="70"/>
      <c r="F2886" s="70"/>
      <c r="G2886" s="70"/>
      <c r="H2886" s="93"/>
      <c r="I2886" s="85"/>
      <c r="J2886" s="85"/>
      <c r="K2886" s="131"/>
      <c r="L2886" s="60"/>
      <c r="M2886" s="33"/>
      <c r="Q2886" s="3"/>
      <c r="R2886" s="3"/>
      <c r="S2886" s="3"/>
      <c r="T2886" s="3"/>
      <c r="U2886" s="3"/>
      <c r="V2886" s="3"/>
      <c r="W2886" s="3"/>
      <c r="X2886" s="3"/>
      <c r="Y2886" s="3"/>
      <c r="Z2886" s="4"/>
      <c r="AA2886"/>
      <c r="AB2886"/>
    </row>
    <row r="2887" spans="1:28" s="37" customFormat="1" x14ac:dyDescent="0.15">
      <c r="A2887" s="166"/>
      <c r="B2887" s="82"/>
      <c r="C2887" s="70"/>
      <c r="D2887" s="70"/>
      <c r="E2887" s="70"/>
      <c r="F2887" s="70"/>
      <c r="G2887" s="70"/>
      <c r="H2887" s="93"/>
      <c r="I2887" s="85"/>
      <c r="J2887" s="85"/>
      <c r="K2887" s="131"/>
      <c r="L2887" s="69"/>
      <c r="M2887" s="49"/>
      <c r="Q2887" s="3"/>
      <c r="R2887" s="3"/>
      <c r="S2887" s="3"/>
      <c r="T2887" s="3"/>
      <c r="U2887" s="3"/>
      <c r="V2887" s="3"/>
      <c r="W2887" s="3"/>
      <c r="X2887" s="3"/>
      <c r="Y2887" s="3"/>
      <c r="Z2887" s="4"/>
      <c r="AA2887"/>
      <c r="AB2887"/>
    </row>
    <row r="2888" spans="1:28" s="37" customFormat="1" ht="16" x14ac:dyDescent="0.2">
      <c r="A2888" s="166"/>
      <c r="B2888" s="82"/>
      <c r="C2888" s="70"/>
      <c r="D2888" s="70"/>
      <c r="E2888" s="70"/>
      <c r="F2888" s="70"/>
      <c r="G2888" s="70"/>
      <c r="H2888" s="93"/>
      <c r="I2888" s="85"/>
      <c r="J2888" s="85"/>
      <c r="K2888" s="131"/>
      <c r="L2888" s="69"/>
      <c r="M2888" s="49"/>
      <c r="N2888" s="48"/>
      <c r="Q2888" s="3"/>
      <c r="R2888" s="3"/>
      <c r="S2888" s="3"/>
      <c r="T2888" s="3"/>
      <c r="U2888" s="3"/>
      <c r="V2888" s="3"/>
      <c r="W2888" s="3"/>
      <c r="X2888" s="3"/>
      <c r="Y2888" s="3"/>
      <c r="Z2888" s="4"/>
      <c r="AA2888"/>
      <c r="AB2888"/>
    </row>
    <row r="2889" spans="1:28" s="37" customFormat="1" x14ac:dyDescent="0.15">
      <c r="A2889" s="166"/>
      <c r="B2889" s="82"/>
      <c r="C2889" s="70"/>
      <c r="D2889" s="70"/>
      <c r="E2889" s="70"/>
      <c r="F2889" s="70"/>
      <c r="G2889" s="70"/>
      <c r="H2889" s="93"/>
      <c r="I2889" s="85"/>
      <c r="J2889" s="85"/>
      <c r="K2889" s="131"/>
      <c r="L2889" s="60"/>
      <c r="M2889" s="49"/>
      <c r="Q2889" s="3"/>
      <c r="R2889" s="3"/>
      <c r="S2889" s="3"/>
      <c r="T2889" s="3"/>
      <c r="U2889" s="3"/>
      <c r="V2889" s="3"/>
      <c r="W2889" s="3"/>
      <c r="X2889" s="3"/>
      <c r="Y2889" s="3"/>
      <c r="Z2889" s="4"/>
      <c r="AA2889"/>
      <c r="AB2889"/>
    </row>
    <row r="2890" spans="1:28" s="37" customFormat="1" x14ac:dyDescent="0.15">
      <c r="A2890" s="166"/>
      <c r="B2890" s="82"/>
      <c r="C2890" s="70"/>
      <c r="D2890" s="70"/>
      <c r="E2890" s="70"/>
      <c r="F2890" s="70"/>
      <c r="G2890" s="70"/>
      <c r="H2890" s="93"/>
      <c r="I2890" s="85"/>
      <c r="J2890" s="85"/>
      <c r="K2890" s="131"/>
      <c r="L2890" s="60"/>
      <c r="M2890" s="49"/>
      <c r="Q2890" s="3"/>
      <c r="R2890" s="3"/>
      <c r="S2890" s="3"/>
      <c r="T2890" s="3"/>
      <c r="U2890" s="3"/>
      <c r="V2890" s="3"/>
      <c r="W2890" s="3"/>
      <c r="X2890" s="3"/>
      <c r="Y2890" s="3"/>
      <c r="Z2890" s="4"/>
      <c r="AA2890"/>
      <c r="AB2890"/>
    </row>
    <row r="2891" spans="1:28" s="37" customFormat="1" ht="16" x14ac:dyDescent="0.2">
      <c r="A2891" s="166"/>
      <c r="B2891" s="82"/>
      <c r="C2891" s="70"/>
      <c r="D2891" s="70"/>
      <c r="E2891" s="70"/>
      <c r="F2891" s="70"/>
      <c r="G2891" s="70"/>
      <c r="H2891" s="93"/>
      <c r="I2891" s="85"/>
      <c r="J2891" s="85"/>
      <c r="K2891" s="131"/>
      <c r="L2891" s="60"/>
      <c r="M2891" s="49"/>
      <c r="N2891" s="48"/>
      <c r="Q2891" s="3"/>
      <c r="R2891" s="3"/>
      <c r="S2891" s="3"/>
      <c r="T2891" s="3"/>
      <c r="U2891" s="3"/>
      <c r="V2891" s="3"/>
      <c r="W2891" s="3"/>
      <c r="X2891" s="3"/>
      <c r="Y2891" s="3"/>
      <c r="Z2891" s="4"/>
      <c r="AA2891"/>
      <c r="AB2891"/>
    </row>
    <row r="2892" spans="1:28" s="37" customFormat="1" x14ac:dyDescent="0.15">
      <c r="A2892" s="166"/>
      <c r="B2892" s="82"/>
      <c r="C2892" s="70"/>
      <c r="D2892" s="70"/>
      <c r="E2892" s="70"/>
      <c r="F2892" s="70"/>
      <c r="G2892" s="70"/>
      <c r="H2892" s="93"/>
      <c r="I2892" s="85"/>
      <c r="J2892" s="85"/>
      <c r="K2892" s="131"/>
      <c r="L2892" s="60"/>
      <c r="M2892" s="49"/>
      <c r="Q2892" s="3"/>
      <c r="R2892" s="3"/>
      <c r="S2892" s="3"/>
      <c r="T2892" s="3"/>
      <c r="U2892" s="3"/>
      <c r="V2892" s="3"/>
      <c r="W2892" s="3"/>
      <c r="X2892" s="3"/>
      <c r="Y2892" s="3"/>
      <c r="Z2892" s="4"/>
      <c r="AA2892"/>
      <c r="AB2892"/>
    </row>
    <row r="2893" spans="1:28" s="37" customFormat="1" x14ac:dyDescent="0.15">
      <c r="A2893" s="166"/>
      <c r="B2893" s="82"/>
      <c r="C2893" s="70"/>
      <c r="D2893" s="70"/>
      <c r="E2893" s="70"/>
      <c r="F2893" s="70"/>
      <c r="G2893" s="70"/>
      <c r="H2893" s="93"/>
      <c r="I2893" s="85"/>
      <c r="J2893" s="85"/>
      <c r="K2893" s="131"/>
      <c r="L2893" s="60"/>
      <c r="M2893" s="49"/>
      <c r="Q2893" s="3"/>
      <c r="R2893" s="3"/>
      <c r="S2893" s="3"/>
      <c r="T2893" s="3"/>
      <c r="U2893" s="3"/>
      <c r="V2893" s="3"/>
      <c r="W2893" s="3"/>
      <c r="X2893" s="3"/>
      <c r="Y2893" s="3"/>
      <c r="Z2893" s="4"/>
      <c r="AA2893"/>
      <c r="AB2893"/>
    </row>
    <row r="2894" spans="1:28" x14ac:dyDescent="0.15">
      <c r="A2894" s="166"/>
      <c r="B2894" s="82"/>
      <c r="C2894" s="70"/>
      <c r="D2894" s="70"/>
      <c r="E2894" s="70"/>
      <c r="F2894" s="70"/>
      <c r="G2894" s="70"/>
      <c r="H2894" s="93"/>
      <c r="I2894" s="85"/>
      <c r="J2894" s="85"/>
      <c r="K2894" s="131"/>
      <c r="L2894" s="69"/>
    </row>
    <row r="2895" spans="1:28" x14ac:dyDescent="0.15">
      <c r="A2895" s="166"/>
      <c r="B2895" s="93"/>
      <c r="C2895" s="70"/>
      <c r="D2895" s="70"/>
      <c r="E2895" s="70"/>
      <c r="F2895" s="70"/>
      <c r="G2895" s="70"/>
      <c r="H2895" s="93"/>
      <c r="I2895" s="85"/>
      <c r="J2895" s="85"/>
      <c r="K2895" s="131"/>
      <c r="L2895" s="60"/>
      <c r="M2895" s="33"/>
    </row>
    <row r="2896" spans="1:28" x14ac:dyDescent="0.15">
      <c r="A2896" s="166"/>
      <c r="B2896" s="82"/>
      <c r="C2896" s="70"/>
      <c r="D2896" s="70"/>
      <c r="E2896" s="70"/>
      <c r="F2896" s="70"/>
      <c r="G2896" s="70"/>
      <c r="H2896" s="93"/>
      <c r="I2896" s="85"/>
      <c r="J2896" s="85"/>
      <c r="K2896" s="131"/>
      <c r="L2896" s="60"/>
    </row>
    <row r="2897" spans="1:28" x14ac:dyDescent="0.15">
      <c r="A2897" s="166"/>
      <c r="B2897" s="93"/>
      <c r="C2897" s="70"/>
      <c r="D2897" s="70"/>
      <c r="E2897" s="70"/>
      <c r="F2897" s="70"/>
      <c r="G2897" s="70"/>
      <c r="H2897" s="93"/>
      <c r="I2897" s="85"/>
      <c r="J2897" s="85"/>
      <c r="K2897" s="131"/>
      <c r="L2897" s="60"/>
      <c r="M2897" s="33"/>
    </row>
    <row r="2898" spans="1:28" x14ac:dyDescent="0.15">
      <c r="A2898" s="166"/>
      <c r="B2898" s="82"/>
      <c r="C2898" s="70"/>
      <c r="D2898" s="70"/>
      <c r="E2898" s="70"/>
      <c r="F2898" s="70"/>
      <c r="G2898" s="70"/>
      <c r="H2898" s="93"/>
      <c r="I2898" s="85"/>
      <c r="J2898" s="85"/>
      <c r="K2898" s="131"/>
      <c r="L2898" s="60"/>
      <c r="S2898" s="6"/>
      <c r="T2898" s="6"/>
      <c r="U2898" s="6"/>
      <c r="V2898" s="6"/>
      <c r="W2898" s="6"/>
      <c r="X2898" s="6"/>
      <c r="Y2898" s="6"/>
      <c r="Z2898" s="6"/>
      <c r="AA2898" s="2"/>
      <c r="AB2898" s="2"/>
    </row>
    <row r="2899" spans="1:28" x14ac:dyDescent="0.15">
      <c r="A2899" s="166"/>
      <c r="B2899" s="82"/>
      <c r="C2899" s="70"/>
      <c r="D2899" s="70"/>
      <c r="E2899" s="70"/>
      <c r="F2899" s="70"/>
      <c r="G2899" s="70"/>
      <c r="H2899" s="93"/>
      <c r="I2899" s="85"/>
      <c r="J2899" s="85"/>
      <c r="K2899" s="131"/>
      <c r="L2899" s="60"/>
      <c r="S2899" s="6"/>
      <c r="T2899" s="6"/>
      <c r="U2899" s="6"/>
      <c r="V2899" s="6"/>
      <c r="W2899" s="6"/>
      <c r="X2899" s="6"/>
      <c r="Y2899" s="6"/>
      <c r="Z2899" s="6"/>
      <c r="AA2899" s="2"/>
      <c r="AB2899" s="2"/>
    </row>
    <row r="2900" spans="1:28" x14ac:dyDescent="0.15">
      <c r="A2900" s="166"/>
      <c r="B2900" s="82"/>
      <c r="C2900" s="70"/>
      <c r="D2900" s="70"/>
      <c r="E2900" s="70"/>
      <c r="F2900" s="70"/>
      <c r="G2900" s="70"/>
      <c r="H2900" s="93"/>
      <c r="I2900" s="85"/>
      <c r="J2900" s="85"/>
      <c r="K2900" s="131"/>
      <c r="L2900" s="60"/>
      <c r="S2900" s="6"/>
      <c r="T2900" s="6"/>
      <c r="U2900" s="6"/>
      <c r="V2900" s="6"/>
      <c r="W2900" s="6"/>
      <c r="X2900" s="6"/>
      <c r="Y2900" s="6"/>
      <c r="Z2900" s="6"/>
      <c r="AA2900" s="2"/>
      <c r="AB2900" s="2"/>
    </row>
    <row r="2901" spans="1:28" x14ac:dyDescent="0.15">
      <c r="A2901" s="166"/>
      <c r="B2901" s="82"/>
      <c r="C2901" s="70"/>
      <c r="D2901" s="70"/>
      <c r="E2901" s="70"/>
      <c r="F2901" s="70"/>
      <c r="G2901" s="70"/>
      <c r="H2901" s="93"/>
      <c r="I2901" s="85"/>
      <c r="J2901" s="85"/>
      <c r="K2901" s="131"/>
      <c r="L2901" s="60"/>
      <c r="S2901" s="6"/>
      <c r="T2901" s="6"/>
      <c r="U2901" s="6"/>
      <c r="V2901" s="6"/>
      <c r="W2901" s="6"/>
      <c r="X2901" s="6"/>
      <c r="Y2901" s="6"/>
      <c r="Z2901" s="6"/>
      <c r="AA2901" s="2"/>
      <c r="AB2901" s="2"/>
    </row>
    <row r="2902" spans="1:28" x14ac:dyDescent="0.15">
      <c r="A2902" s="166"/>
      <c r="B2902" s="82"/>
      <c r="C2902" s="70"/>
      <c r="D2902" s="70"/>
      <c r="E2902" s="70"/>
      <c r="F2902" s="70"/>
      <c r="G2902" s="70"/>
      <c r="H2902" s="93"/>
      <c r="I2902" s="85"/>
      <c r="J2902" s="85"/>
      <c r="K2902" s="131"/>
      <c r="L2902" s="60"/>
      <c r="S2902" s="6"/>
      <c r="T2902" s="6"/>
      <c r="U2902" s="6"/>
      <c r="V2902" s="6"/>
      <c r="W2902" s="6"/>
      <c r="X2902" s="6"/>
      <c r="Y2902" s="6"/>
      <c r="Z2902" s="6"/>
      <c r="AA2902" s="2"/>
      <c r="AB2902" s="2"/>
    </row>
    <row r="2903" spans="1:28" x14ac:dyDescent="0.15">
      <c r="A2903" s="166"/>
      <c r="B2903" s="82"/>
      <c r="C2903" s="70"/>
      <c r="D2903" s="70"/>
      <c r="E2903" s="70"/>
      <c r="F2903" s="70"/>
      <c r="G2903" s="70"/>
      <c r="H2903" s="93"/>
      <c r="I2903" s="85"/>
      <c r="J2903" s="85"/>
      <c r="K2903" s="131"/>
      <c r="L2903" s="60"/>
      <c r="S2903" s="6"/>
      <c r="T2903" s="6"/>
      <c r="U2903" s="6"/>
      <c r="V2903" s="6"/>
      <c r="W2903" s="6"/>
      <c r="X2903" s="6"/>
      <c r="Y2903" s="6"/>
      <c r="Z2903" s="6"/>
      <c r="AA2903" s="2"/>
      <c r="AB2903" s="2"/>
    </row>
    <row r="2904" spans="1:28" x14ac:dyDescent="0.15">
      <c r="A2904" s="166"/>
      <c r="B2904" s="82"/>
      <c r="C2904" s="73"/>
      <c r="D2904" s="73"/>
      <c r="E2904" s="70"/>
      <c r="F2904" s="73"/>
      <c r="G2904" s="73"/>
      <c r="H2904" s="108"/>
      <c r="I2904" s="85"/>
      <c r="J2904" s="95"/>
      <c r="K2904" s="131"/>
      <c r="L2904" s="69"/>
      <c r="S2904" s="6"/>
      <c r="T2904" s="6"/>
      <c r="U2904" s="6"/>
      <c r="V2904" s="6"/>
      <c r="W2904" s="6"/>
      <c r="X2904" s="6"/>
      <c r="Y2904" s="6"/>
      <c r="Z2904" s="6"/>
      <c r="AA2904" s="2"/>
      <c r="AB2904" s="2"/>
    </row>
    <row r="2905" spans="1:28" ht="16" x14ac:dyDescent="0.2">
      <c r="A2905" s="166"/>
      <c r="B2905" s="82"/>
      <c r="C2905" s="70"/>
      <c r="D2905" s="70"/>
      <c r="E2905" s="70"/>
      <c r="F2905" s="70"/>
      <c r="G2905" s="70"/>
      <c r="H2905" s="93"/>
      <c r="I2905" s="85"/>
      <c r="J2905" s="85"/>
      <c r="K2905" s="131"/>
      <c r="L2905" s="60"/>
      <c r="N2905" s="48"/>
      <c r="S2905" s="6"/>
      <c r="T2905" s="6"/>
      <c r="U2905" s="6"/>
      <c r="V2905" s="6"/>
      <c r="W2905" s="6"/>
      <c r="X2905" s="6"/>
      <c r="Y2905" s="6"/>
      <c r="Z2905" s="6"/>
      <c r="AA2905" s="2"/>
      <c r="AB2905" s="2"/>
    </row>
    <row r="2906" spans="1:28" x14ac:dyDescent="0.15">
      <c r="A2906" s="166"/>
      <c r="B2906" s="82"/>
      <c r="C2906" s="70"/>
      <c r="D2906" s="70"/>
      <c r="E2906" s="70"/>
      <c r="F2906" s="70"/>
      <c r="G2906" s="70"/>
      <c r="H2906" s="93"/>
      <c r="I2906" s="85"/>
      <c r="J2906" s="85"/>
      <c r="K2906" s="131"/>
      <c r="L2906" s="60"/>
      <c r="S2906" s="6"/>
      <c r="T2906" s="6"/>
      <c r="U2906" s="6"/>
      <c r="V2906" s="6"/>
      <c r="W2906" s="6"/>
      <c r="X2906" s="6"/>
      <c r="Y2906" s="6"/>
      <c r="Z2906" s="6"/>
      <c r="AA2906" s="2"/>
      <c r="AB2906" s="2"/>
    </row>
    <row r="2907" spans="1:28" x14ac:dyDescent="0.15">
      <c r="A2907" s="166"/>
      <c r="B2907" s="82"/>
      <c r="C2907" s="70"/>
      <c r="D2907" s="70"/>
      <c r="E2907" s="70"/>
      <c r="F2907" s="70"/>
      <c r="G2907" s="70"/>
      <c r="H2907" s="93"/>
      <c r="I2907" s="85"/>
      <c r="J2907" s="85"/>
      <c r="K2907" s="131"/>
      <c r="L2907" s="60"/>
      <c r="S2907" s="6"/>
      <c r="T2907" s="6"/>
      <c r="U2907" s="6"/>
      <c r="V2907" s="6"/>
      <c r="W2907" s="6"/>
      <c r="X2907" s="6"/>
      <c r="Y2907" s="6"/>
      <c r="Z2907" s="6"/>
      <c r="AA2907" s="2"/>
      <c r="AB2907" s="2"/>
    </row>
    <row r="2908" spans="1:28" x14ac:dyDescent="0.15">
      <c r="A2908" s="166"/>
      <c r="B2908" s="82"/>
      <c r="C2908" s="70"/>
      <c r="D2908" s="70"/>
      <c r="E2908" s="70"/>
      <c r="F2908" s="70"/>
      <c r="G2908" s="70"/>
      <c r="H2908" s="93"/>
      <c r="I2908" s="85"/>
      <c r="J2908" s="85"/>
      <c r="K2908" s="131"/>
      <c r="L2908" s="60"/>
      <c r="S2908" s="6"/>
      <c r="T2908" s="6"/>
      <c r="U2908" s="6"/>
      <c r="V2908" s="6"/>
      <c r="W2908" s="6"/>
      <c r="X2908" s="6"/>
      <c r="Y2908" s="6"/>
      <c r="Z2908" s="6"/>
      <c r="AA2908" s="2"/>
      <c r="AB2908" s="2"/>
    </row>
    <row r="2909" spans="1:28" x14ac:dyDescent="0.15">
      <c r="A2909" s="166"/>
      <c r="B2909" s="82"/>
      <c r="C2909" s="70"/>
      <c r="D2909" s="70"/>
      <c r="E2909" s="70"/>
      <c r="F2909" s="70"/>
      <c r="G2909" s="70"/>
      <c r="H2909" s="93"/>
      <c r="I2909" s="85"/>
      <c r="J2909" s="85"/>
      <c r="K2909" s="131"/>
      <c r="L2909" s="69"/>
      <c r="S2909" s="6"/>
      <c r="T2909" s="6"/>
      <c r="U2909" s="6"/>
      <c r="V2909" s="6"/>
      <c r="W2909" s="6"/>
      <c r="X2909" s="6"/>
      <c r="Y2909" s="6"/>
      <c r="Z2909" s="6"/>
      <c r="AA2909" s="2"/>
      <c r="AB2909" s="2"/>
    </row>
    <row r="2910" spans="1:28" x14ac:dyDescent="0.15">
      <c r="A2910" s="166"/>
      <c r="B2910" s="82"/>
      <c r="C2910" s="70"/>
      <c r="D2910" s="70"/>
      <c r="E2910" s="70"/>
      <c r="F2910" s="70"/>
      <c r="G2910" s="70"/>
      <c r="H2910" s="93"/>
      <c r="I2910" s="85"/>
      <c r="J2910" s="85"/>
      <c r="K2910" s="131"/>
      <c r="L2910" s="69"/>
      <c r="S2910" s="6"/>
      <c r="T2910" s="6"/>
      <c r="U2910" s="6"/>
      <c r="V2910" s="6"/>
      <c r="W2910" s="6"/>
      <c r="X2910" s="6"/>
      <c r="Y2910" s="6"/>
      <c r="Z2910" s="6"/>
      <c r="AA2910" s="2"/>
      <c r="AB2910" s="2"/>
    </row>
    <row r="2911" spans="1:28" x14ac:dyDescent="0.15">
      <c r="A2911" s="166"/>
      <c r="B2911" s="82"/>
      <c r="C2911" s="70"/>
      <c r="D2911" s="70"/>
      <c r="E2911" s="70"/>
      <c r="F2911" s="70"/>
      <c r="G2911" s="70"/>
      <c r="H2911" s="93"/>
      <c r="I2911" s="85"/>
      <c r="J2911" s="85"/>
      <c r="K2911" s="131"/>
      <c r="L2911" s="69"/>
      <c r="S2911" s="6"/>
      <c r="T2911" s="6"/>
      <c r="U2911" s="6"/>
      <c r="V2911" s="6"/>
      <c r="W2911" s="6"/>
      <c r="X2911" s="6"/>
      <c r="Y2911" s="6"/>
      <c r="Z2911" s="6"/>
      <c r="AA2911" s="2"/>
      <c r="AB2911" s="2"/>
    </row>
    <row r="2912" spans="1:28" x14ac:dyDescent="0.15">
      <c r="A2912" s="166"/>
      <c r="B2912" s="82"/>
      <c r="C2912" s="70"/>
      <c r="D2912" s="70"/>
      <c r="E2912" s="70"/>
      <c r="F2912" s="70"/>
      <c r="G2912" s="70"/>
      <c r="H2912" s="93"/>
      <c r="I2912" s="85"/>
      <c r="J2912" s="85"/>
      <c r="K2912" s="131"/>
      <c r="L2912" s="69"/>
      <c r="S2912" s="6"/>
      <c r="T2912" s="6"/>
      <c r="U2912" s="6"/>
      <c r="V2912" s="6"/>
      <c r="W2912" s="6"/>
      <c r="X2912" s="6"/>
      <c r="Y2912" s="6"/>
      <c r="Z2912" s="6"/>
      <c r="AA2912" s="2"/>
      <c r="AB2912" s="2"/>
    </row>
    <row r="2913" spans="1:28" x14ac:dyDescent="0.15">
      <c r="A2913" s="166"/>
      <c r="B2913" s="82"/>
      <c r="C2913" s="70"/>
      <c r="D2913" s="70"/>
      <c r="E2913" s="70"/>
      <c r="F2913" s="70"/>
      <c r="G2913" s="70"/>
      <c r="H2913" s="93"/>
      <c r="I2913" s="85"/>
      <c r="J2913" s="85"/>
      <c r="K2913" s="131"/>
      <c r="L2913" s="69"/>
      <c r="S2913" s="6"/>
      <c r="T2913" s="6"/>
      <c r="U2913" s="6"/>
      <c r="V2913" s="6"/>
      <c r="W2913" s="6"/>
      <c r="X2913" s="6"/>
      <c r="Y2913" s="6"/>
      <c r="Z2913" s="6"/>
      <c r="AA2913" s="2"/>
      <c r="AB2913" s="2"/>
    </row>
    <row r="2914" spans="1:28" x14ac:dyDescent="0.15">
      <c r="A2914" s="166"/>
      <c r="B2914" s="82"/>
      <c r="C2914" s="70"/>
      <c r="D2914" s="70"/>
      <c r="E2914" s="70"/>
      <c r="F2914" s="70"/>
      <c r="G2914" s="70"/>
      <c r="H2914" s="93"/>
      <c r="I2914" s="85"/>
      <c r="J2914" s="85"/>
      <c r="K2914" s="131"/>
      <c r="L2914" s="69"/>
      <c r="S2914" s="6"/>
      <c r="T2914" s="6"/>
      <c r="U2914" s="6"/>
      <c r="V2914" s="6"/>
      <c r="W2914" s="6"/>
      <c r="X2914" s="6"/>
      <c r="Y2914" s="6"/>
      <c r="Z2914" s="6"/>
      <c r="AA2914" s="2"/>
      <c r="AB2914" s="2"/>
    </row>
    <row r="2915" spans="1:28" ht="16" x14ac:dyDescent="0.2">
      <c r="A2915" s="166"/>
      <c r="B2915" s="82"/>
      <c r="C2915" s="70"/>
      <c r="D2915" s="70"/>
      <c r="E2915" s="70"/>
      <c r="F2915" s="70"/>
      <c r="G2915" s="70"/>
      <c r="H2915" s="93"/>
      <c r="I2915" s="85"/>
      <c r="J2915" s="85"/>
      <c r="K2915" s="131"/>
      <c r="L2915" s="69"/>
      <c r="N2915" s="48"/>
      <c r="S2915" s="6"/>
      <c r="T2915" s="6"/>
      <c r="U2915" s="6"/>
      <c r="V2915" s="6"/>
      <c r="W2915" s="6"/>
      <c r="X2915" s="6"/>
      <c r="Y2915" s="6"/>
      <c r="Z2915" s="6"/>
      <c r="AA2915" s="2"/>
      <c r="AB2915" s="2"/>
    </row>
    <row r="2916" spans="1:28" x14ac:dyDescent="0.15">
      <c r="A2916" s="166"/>
      <c r="B2916" s="82"/>
      <c r="C2916" s="70"/>
      <c r="D2916" s="70"/>
      <c r="E2916" s="70"/>
      <c r="F2916" s="70"/>
      <c r="G2916" s="70"/>
      <c r="H2916" s="93"/>
      <c r="I2916" s="85"/>
      <c r="J2916" s="85"/>
      <c r="K2916" s="131"/>
      <c r="L2916" s="60"/>
      <c r="S2916" s="6"/>
      <c r="T2916" s="6"/>
      <c r="U2916" s="6"/>
      <c r="V2916" s="6"/>
      <c r="W2916" s="6"/>
      <c r="X2916" s="6"/>
      <c r="Y2916" s="6"/>
      <c r="Z2916" s="6"/>
      <c r="AA2916" s="2"/>
      <c r="AB2916" s="2"/>
    </row>
    <row r="2917" spans="1:28" x14ac:dyDescent="0.15">
      <c r="A2917" s="166"/>
      <c r="B2917" s="93"/>
      <c r="C2917" s="70"/>
      <c r="D2917" s="70"/>
      <c r="E2917" s="70"/>
      <c r="F2917" s="70"/>
      <c r="G2917" s="70"/>
      <c r="H2917" s="93"/>
      <c r="I2917" s="85"/>
      <c r="J2917" s="85"/>
      <c r="K2917" s="131"/>
      <c r="L2917" s="60"/>
      <c r="M2917" s="33"/>
      <c r="S2917" s="6"/>
      <c r="T2917" s="6"/>
      <c r="U2917" s="6"/>
      <c r="V2917" s="6"/>
      <c r="W2917" s="6"/>
      <c r="X2917" s="6"/>
      <c r="Y2917" s="6"/>
      <c r="Z2917" s="6"/>
      <c r="AA2917" s="2"/>
      <c r="AB2917" s="2"/>
    </row>
    <row r="2918" spans="1:28" x14ac:dyDescent="0.15">
      <c r="A2918" s="166"/>
      <c r="B2918" s="82"/>
      <c r="C2918" s="70"/>
      <c r="D2918" s="70"/>
      <c r="E2918" s="70"/>
      <c r="F2918" s="70"/>
      <c r="G2918" s="70"/>
      <c r="H2918" s="93"/>
      <c r="I2918" s="85"/>
      <c r="J2918" s="85"/>
      <c r="K2918" s="131"/>
      <c r="L2918" s="60"/>
      <c r="S2918" s="6"/>
      <c r="T2918" s="6"/>
      <c r="U2918" s="6"/>
      <c r="V2918" s="6"/>
      <c r="W2918" s="6"/>
      <c r="X2918" s="6"/>
      <c r="Y2918" s="6"/>
      <c r="Z2918" s="6"/>
      <c r="AA2918" s="2"/>
      <c r="AB2918" s="2"/>
    </row>
    <row r="2919" spans="1:28" x14ac:dyDescent="0.15">
      <c r="A2919" s="166"/>
      <c r="B2919" s="82"/>
      <c r="C2919" s="70"/>
      <c r="D2919" s="70"/>
      <c r="E2919" s="70"/>
      <c r="F2919" s="70"/>
      <c r="G2919" s="70"/>
      <c r="H2919" s="93"/>
      <c r="I2919" s="85"/>
      <c r="J2919" s="85"/>
      <c r="K2919" s="131"/>
      <c r="L2919" s="60"/>
      <c r="S2919" s="6"/>
      <c r="T2919" s="6"/>
      <c r="U2919" s="6"/>
      <c r="V2919" s="6"/>
      <c r="W2919" s="6"/>
      <c r="X2919" s="6"/>
      <c r="Y2919" s="6"/>
      <c r="Z2919" s="6"/>
      <c r="AA2919" s="2"/>
      <c r="AB2919" s="2"/>
    </row>
    <row r="2920" spans="1:28" x14ac:dyDescent="0.15">
      <c r="A2920" s="166"/>
      <c r="B2920" s="93"/>
      <c r="C2920" s="70"/>
      <c r="D2920" s="70"/>
      <c r="E2920" s="70"/>
      <c r="F2920" s="70"/>
      <c r="G2920" s="70"/>
      <c r="H2920" s="93"/>
      <c r="I2920" s="85"/>
      <c r="J2920" s="85"/>
      <c r="K2920" s="131"/>
      <c r="L2920" s="60"/>
      <c r="S2920" s="6"/>
      <c r="T2920" s="6"/>
      <c r="U2920" s="6"/>
      <c r="V2920" s="6"/>
      <c r="W2920" s="6"/>
      <c r="X2920" s="6"/>
      <c r="Y2920" s="6"/>
      <c r="Z2920" s="6"/>
      <c r="AA2920" s="2"/>
      <c r="AB2920" s="2"/>
    </row>
    <row r="2921" spans="1:28" x14ac:dyDescent="0.15">
      <c r="A2921" s="166"/>
      <c r="B2921" s="82"/>
      <c r="C2921" s="70"/>
      <c r="D2921" s="70"/>
      <c r="E2921" s="70"/>
      <c r="F2921" s="70"/>
      <c r="G2921" s="70"/>
      <c r="H2921" s="93"/>
      <c r="I2921" s="85"/>
      <c r="J2921" s="85"/>
      <c r="K2921" s="131"/>
      <c r="L2921" s="60"/>
      <c r="S2921" s="6"/>
      <c r="T2921" s="6"/>
      <c r="U2921" s="6"/>
      <c r="V2921" s="6"/>
      <c r="W2921" s="6"/>
      <c r="X2921" s="6"/>
      <c r="Y2921" s="6"/>
      <c r="Z2921" s="6"/>
      <c r="AA2921" s="2"/>
      <c r="AB2921" s="2"/>
    </row>
    <row r="2922" spans="1:28" ht="16" x14ac:dyDescent="0.2">
      <c r="A2922" s="166"/>
      <c r="B2922" s="82"/>
      <c r="C2922" s="70"/>
      <c r="D2922" s="70"/>
      <c r="E2922" s="70"/>
      <c r="F2922" s="70"/>
      <c r="G2922" s="70"/>
      <c r="H2922" s="93"/>
      <c r="I2922" s="85"/>
      <c r="J2922" s="85"/>
      <c r="K2922" s="131"/>
      <c r="L2922" s="60"/>
      <c r="N2922" s="48"/>
      <c r="S2922" s="6"/>
      <c r="T2922" s="6"/>
      <c r="U2922" s="6"/>
      <c r="V2922" s="6"/>
      <c r="W2922" s="6"/>
      <c r="X2922" s="6"/>
      <c r="Y2922" s="6"/>
      <c r="Z2922" s="6"/>
      <c r="AA2922" s="2"/>
      <c r="AB2922" s="2"/>
    </row>
    <row r="2923" spans="1:28" x14ac:dyDescent="0.15">
      <c r="A2923" s="166"/>
      <c r="B2923" s="82"/>
      <c r="C2923" s="73"/>
      <c r="D2923" s="73"/>
      <c r="E2923" s="70"/>
      <c r="F2923" s="70"/>
      <c r="G2923" s="70"/>
      <c r="H2923" s="93"/>
      <c r="I2923" s="85"/>
      <c r="J2923" s="85"/>
      <c r="K2923" s="131"/>
      <c r="L2923" s="69"/>
      <c r="S2923" s="6"/>
      <c r="T2923" s="6"/>
      <c r="U2923" s="6"/>
      <c r="V2923" s="6"/>
      <c r="W2923" s="6"/>
      <c r="X2923" s="6"/>
      <c r="Y2923" s="6"/>
      <c r="Z2923" s="6"/>
      <c r="AA2923" s="2"/>
      <c r="AB2923" s="2"/>
    </row>
    <row r="2924" spans="1:28" ht="16" x14ac:dyDescent="0.2">
      <c r="A2924" s="166"/>
      <c r="B2924" s="82"/>
      <c r="C2924" s="70"/>
      <c r="D2924" s="70"/>
      <c r="E2924" s="70"/>
      <c r="F2924" s="70"/>
      <c r="G2924" s="70"/>
      <c r="H2924" s="93"/>
      <c r="I2924" s="85"/>
      <c r="J2924" s="85"/>
      <c r="K2924" s="131"/>
      <c r="L2924" s="60"/>
      <c r="N2924" s="48"/>
      <c r="S2924" s="6"/>
      <c r="T2924" s="6"/>
      <c r="U2924" s="6"/>
      <c r="V2924" s="6"/>
      <c r="W2924" s="6"/>
      <c r="X2924" s="6"/>
      <c r="Y2924" s="6"/>
      <c r="Z2924" s="6"/>
      <c r="AA2924" s="2"/>
      <c r="AB2924" s="2"/>
    </row>
    <row r="2925" spans="1:28" x14ac:dyDescent="0.15">
      <c r="A2925" s="166"/>
      <c r="B2925" s="82"/>
      <c r="C2925" s="70"/>
      <c r="D2925" s="70"/>
      <c r="E2925" s="70"/>
      <c r="F2925" s="70"/>
      <c r="G2925" s="70"/>
      <c r="H2925" s="93"/>
      <c r="I2925" s="85"/>
      <c r="J2925" s="85"/>
      <c r="K2925" s="131"/>
      <c r="L2925" s="60"/>
      <c r="S2925" s="6"/>
      <c r="T2925" s="6"/>
      <c r="U2925" s="6"/>
      <c r="V2925" s="6"/>
      <c r="W2925" s="6"/>
      <c r="X2925" s="6"/>
      <c r="Y2925" s="6"/>
      <c r="Z2925" s="6"/>
      <c r="AA2925" s="2"/>
      <c r="AB2925" s="2"/>
    </row>
    <row r="2926" spans="1:28" x14ac:dyDescent="0.15">
      <c r="A2926" s="166"/>
      <c r="B2926" s="82"/>
      <c r="C2926" s="70"/>
      <c r="D2926" s="70"/>
      <c r="E2926" s="70"/>
      <c r="F2926" s="70"/>
      <c r="G2926" s="70"/>
      <c r="H2926" s="93"/>
      <c r="I2926" s="85"/>
      <c r="J2926" s="85"/>
      <c r="K2926" s="131"/>
      <c r="L2926" s="60"/>
      <c r="S2926" s="6"/>
      <c r="T2926" s="6"/>
      <c r="U2926" s="6"/>
      <c r="V2926" s="6"/>
      <c r="W2926" s="6"/>
      <c r="X2926" s="6"/>
      <c r="Y2926" s="6"/>
      <c r="Z2926" s="6"/>
      <c r="AA2926" s="2"/>
      <c r="AB2926" s="2"/>
    </row>
    <row r="2927" spans="1:28" x14ac:dyDescent="0.15">
      <c r="A2927" s="166"/>
      <c r="B2927" s="82"/>
      <c r="C2927" s="70"/>
      <c r="D2927" s="70"/>
      <c r="E2927" s="70"/>
      <c r="F2927" s="70"/>
      <c r="G2927" s="70"/>
      <c r="H2927" s="93"/>
      <c r="I2927" s="85"/>
      <c r="J2927" s="85"/>
      <c r="K2927" s="131"/>
      <c r="L2927" s="60"/>
      <c r="S2927" s="6"/>
      <c r="T2927" s="6"/>
      <c r="U2927" s="6"/>
      <c r="V2927" s="6"/>
      <c r="W2927" s="6"/>
      <c r="X2927" s="6"/>
      <c r="Y2927" s="6"/>
      <c r="Z2927" s="6"/>
      <c r="AA2927" s="2"/>
      <c r="AB2927" s="2"/>
    </row>
    <row r="2928" spans="1:28" x14ac:dyDescent="0.15">
      <c r="A2928" s="166"/>
      <c r="B2928" s="82"/>
      <c r="C2928" s="70"/>
      <c r="D2928" s="70"/>
      <c r="E2928" s="70"/>
      <c r="F2928" s="70"/>
      <c r="G2928" s="70"/>
      <c r="H2928" s="93"/>
      <c r="I2928" s="85"/>
      <c r="J2928" s="85"/>
      <c r="K2928" s="131"/>
      <c r="L2928" s="60"/>
      <c r="S2928" s="6"/>
      <c r="T2928" s="6"/>
      <c r="U2928" s="6"/>
      <c r="V2928" s="6"/>
      <c r="W2928" s="6"/>
      <c r="X2928" s="6"/>
      <c r="Y2928" s="6"/>
      <c r="Z2928" s="6"/>
      <c r="AA2928" s="2"/>
      <c r="AB2928" s="2"/>
    </row>
    <row r="2929" spans="1:28" x14ac:dyDescent="0.15">
      <c r="A2929" s="166"/>
      <c r="B2929" s="82"/>
      <c r="C2929" s="70"/>
      <c r="D2929" s="70"/>
      <c r="E2929" s="70"/>
      <c r="F2929" s="70"/>
      <c r="G2929" s="70"/>
      <c r="H2929" s="93"/>
      <c r="I2929" s="85"/>
      <c r="J2929" s="85"/>
      <c r="K2929" s="131"/>
      <c r="L2929" s="60"/>
      <c r="S2929" s="6"/>
      <c r="T2929" s="6"/>
      <c r="U2929" s="6"/>
      <c r="V2929" s="6"/>
      <c r="W2929" s="6"/>
      <c r="X2929" s="6"/>
      <c r="Y2929" s="6"/>
      <c r="Z2929" s="6"/>
      <c r="AA2929" s="2"/>
      <c r="AB2929" s="2"/>
    </row>
    <row r="2930" spans="1:28" ht="16" x14ac:dyDescent="0.2">
      <c r="A2930" s="166"/>
      <c r="B2930" s="82"/>
      <c r="C2930" s="70"/>
      <c r="D2930" s="70"/>
      <c r="E2930" s="70"/>
      <c r="F2930" s="70"/>
      <c r="G2930" s="70"/>
      <c r="H2930" s="93"/>
      <c r="I2930" s="85"/>
      <c r="J2930" s="85"/>
      <c r="K2930" s="131"/>
      <c r="L2930" s="60"/>
      <c r="N2930" s="48"/>
      <c r="S2930" s="6"/>
      <c r="T2930" s="6"/>
      <c r="U2930" s="6"/>
      <c r="V2930" s="6"/>
      <c r="W2930" s="6"/>
      <c r="X2930" s="6"/>
      <c r="Y2930" s="6"/>
      <c r="Z2930" s="6"/>
      <c r="AA2930" s="2"/>
      <c r="AB2930" s="2"/>
    </row>
    <row r="2931" spans="1:28" x14ac:dyDescent="0.15">
      <c r="A2931" s="166"/>
      <c r="B2931" s="82"/>
      <c r="C2931" s="70"/>
      <c r="D2931" s="70"/>
      <c r="E2931" s="70"/>
      <c r="F2931" s="70"/>
      <c r="G2931" s="70"/>
      <c r="H2931" s="93"/>
      <c r="I2931" s="85"/>
      <c r="J2931" s="85"/>
      <c r="K2931" s="131"/>
      <c r="L2931" s="60"/>
      <c r="S2931" s="6"/>
      <c r="T2931" s="6"/>
      <c r="U2931" s="6"/>
      <c r="V2931" s="6"/>
      <c r="W2931" s="6"/>
      <c r="X2931" s="6"/>
      <c r="Y2931" s="6"/>
      <c r="Z2931" s="6"/>
      <c r="AA2931" s="2"/>
      <c r="AB2931" s="2"/>
    </row>
    <row r="2932" spans="1:28" x14ac:dyDescent="0.15">
      <c r="A2932" s="166"/>
      <c r="B2932" s="82"/>
      <c r="C2932" s="70"/>
      <c r="D2932" s="70"/>
      <c r="E2932" s="70"/>
      <c r="F2932" s="70"/>
      <c r="G2932" s="70"/>
      <c r="H2932" s="93"/>
      <c r="I2932" s="85"/>
      <c r="J2932" s="85"/>
      <c r="K2932" s="131"/>
      <c r="L2932" s="69"/>
    </row>
    <row r="2933" spans="1:28" ht="16" x14ac:dyDescent="0.2">
      <c r="A2933" s="166"/>
      <c r="B2933" s="82"/>
      <c r="C2933" s="70"/>
      <c r="D2933" s="70"/>
      <c r="E2933" s="70"/>
      <c r="F2933" s="70"/>
      <c r="G2933" s="70"/>
      <c r="H2933" s="93"/>
      <c r="I2933" s="85"/>
      <c r="J2933" s="85"/>
      <c r="K2933" s="131"/>
      <c r="L2933" s="69"/>
      <c r="N2933" s="48"/>
    </row>
    <row r="2934" spans="1:28" x14ac:dyDescent="0.15">
      <c r="A2934" s="166"/>
      <c r="B2934" s="82"/>
      <c r="C2934" s="70"/>
      <c r="D2934" s="70"/>
      <c r="E2934" s="70"/>
      <c r="F2934" s="70"/>
      <c r="G2934" s="70"/>
      <c r="H2934" s="93"/>
      <c r="I2934" s="85"/>
      <c r="J2934" s="85"/>
      <c r="K2934" s="131"/>
      <c r="L2934" s="69"/>
    </row>
    <row r="2935" spans="1:28" x14ac:dyDescent="0.15">
      <c r="A2935" s="166"/>
      <c r="B2935" s="82"/>
      <c r="C2935" s="70"/>
      <c r="D2935" s="70"/>
      <c r="E2935" s="70"/>
      <c r="F2935" s="70"/>
      <c r="G2935" s="70"/>
      <c r="H2935" s="93"/>
      <c r="I2935" s="85"/>
      <c r="J2935" s="85"/>
      <c r="K2935" s="131"/>
      <c r="L2935" s="69"/>
    </row>
    <row r="2936" spans="1:28" x14ac:dyDescent="0.15">
      <c r="A2936" s="166"/>
      <c r="B2936" s="82"/>
      <c r="C2936" s="70"/>
      <c r="D2936" s="70"/>
      <c r="E2936" s="70"/>
      <c r="F2936" s="70"/>
      <c r="G2936" s="70"/>
      <c r="H2936" s="93"/>
      <c r="I2936" s="85"/>
      <c r="J2936" s="85"/>
      <c r="K2936" s="131"/>
      <c r="L2936" s="69"/>
    </row>
    <row r="2937" spans="1:28" x14ac:dyDescent="0.15">
      <c r="A2937" s="166"/>
      <c r="B2937" s="82"/>
      <c r="C2937" s="70"/>
      <c r="D2937" s="70"/>
      <c r="E2937" s="70"/>
      <c r="F2937" s="70"/>
      <c r="G2937" s="70"/>
      <c r="H2937" s="93"/>
      <c r="I2937" s="85"/>
      <c r="J2937" s="85"/>
      <c r="K2937" s="131"/>
      <c r="L2937" s="69"/>
    </row>
    <row r="2938" spans="1:28" x14ac:dyDescent="0.15">
      <c r="A2938" s="166"/>
      <c r="B2938" s="82"/>
      <c r="C2938" s="70"/>
      <c r="D2938" s="70"/>
      <c r="E2938" s="70"/>
      <c r="F2938" s="70"/>
      <c r="G2938" s="70"/>
      <c r="H2938" s="93"/>
      <c r="I2938" s="85"/>
      <c r="J2938" s="85"/>
      <c r="K2938" s="131"/>
      <c r="L2938" s="63"/>
    </row>
    <row r="2939" spans="1:28" ht="16" x14ac:dyDescent="0.2">
      <c r="A2939" s="166"/>
      <c r="B2939" s="93"/>
      <c r="C2939" s="70"/>
      <c r="D2939" s="70"/>
      <c r="E2939" s="70"/>
      <c r="F2939" s="70"/>
      <c r="G2939" s="70"/>
      <c r="H2939" s="93"/>
      <c r="I2939" s="85"/>
      <c r="J2939" s="85"/>
      <c r="K2939" s="131"/>
      <c r="L2939" s="60"/>
      <c r="M2939" s="33"/>
      <c r="N2939" s="48"/>
    </row>
    <row r="2940" spans="1:28" x14ac:dyDescent="0.15">
      <c r="A2940" s="167"/>
      <c r="B2940" s="87"/>
      <c r="C2940" s="88"/>
      <c r="D2940" s="86"/>
      <c r="E2940" s="70"/>
      <c r="F2940" s="86"/>
      <c r="G2940" s="86"/>
      <c r="H2940" s="87"/>
      <c r="I2940" s="85"/>
      <c r="J2940" s="89"/>
      <c r="K2940" s="132"/>
      <c r="L2940" s="61"/>
    </row>
    <row r="2941" spans="1:28" x14ac:dyDescent="0.15">
      <c r="A2941" s="167"/>
      <c r="B2941" s="87"/>
      <c r="C2941" s="88"/>
      <c r="D2941" s="86"/>
      <c r="E2941" s="70"/>
      <c r="F2941" s="86"/>
      <c r="G2941" s="86"/>
      <c r="H2941" s="87"/>
      <c r="I2941" s="85"/>
      <c r="J2941" s="89"/>
      <c r="K2941" s="132"/>
      <c r="L2941" s="61"/>
    </row>
    <row r="2942" spans="1:28" s="37" customFormat="1" x14ac:dyDescent="0.15">
      <c r="A2942" s="167"/>
      <c r="B2942" s="87"/>
      <c r="C2942" s="88"/>
      <c r="D2942" s="86"/>
      <c r="E2942" s="70"/>
      <c r="F2942" s="86"/>
      <c r="G2942" s="86"/>
      <c r="H2942" s="87"/>
      <c r="I2942" s="85"/>
      <c r="J2942" s="89"/>
      <c r="K2942" s="132"/>
      <c r="L2942" s="61"/>
      <c r="M2942" s="49"/>
      <c r="Q2942" s="3"/>
      <c r="R2942" s="3"/>
      <c r="S2942" s="3"/>
      <c r="T2942" s="3"/>
      <c r="U2942" s="3"/>
      <c r="V2942" s="3"/>
      <c r="W2942" s="3"/>
      <c r="X2942" s="3"/>
      <c r="Y2942" s="3"/>
      <c r="Z2942" s="4"/>
      <c r="AA2942"/>
      <c r="AB2942"/>
    </row>
    <row r="2943" spans="1:28" s="37" customFormat="1" x14ac:dyDescent="0.15">
      <c r="A2943" s="166"/>
      <c r="B2943" s="82"/>
      <c r="C2943" s="70"/>
      <c r="D2943" s="70"/>
      <c r="E2943" s="70"/>
      <c r="F2943" s="70"/>
      <c r="G2943" s="70"/>
      <c r="H2943" s="93"/>
      <c r="I2943" s="85"/>
      <c r="J2943" s="85"/>
      <c r="K2943" s="131"/>
      <c r="L2943" s="60"/>
      <c r="M2943" s="49"/>
      <c r="Q2943" s="3"/>
      <c r="R2943" s="3"/>
      <c r="S2943" s="3"/>
      <c r="T2943" s="3"/>
      <c r="U2943" s="3"/>
      <c r="V2943" s="3"/>
      <c r="W2943" s="3"/>
      <c r="X2943" s="3"/>
      <c r="Y2943" s="3"/>
      <c r="Z2943" s="4"/>
      <c r="AA2943"/>
      <c r="AB2943"/>
    </row>
    <row r="2944" spans="1:28" s="37" customFormat="1" x14ac:dyDescent="0.15">
      <c r="A2944" s="166"/>
      <c r="B2944" s="93"/>
      <c r="C2944" s="70"/>
      <c r="D2944" s="70"/>
      <c r="E2944" s="70"/>
      <c r="F2944" s="70"/>
      <c r="G2944" s="70"/>
      <c r="H2944" s="93"/>
      <c r="I2944" s="85"/>
      <c r="J2944" s="85"/>
      <c r="K2944" s="131"/>
      <c r="L2944" s="60"/>
      <c r="M2944" s="33"/>
      <c r="Q2944" s="3"/>
      <c r="R2944" s="3"/>
      <c r="S2944" s="3"/>
      <c r="T2944" s="3"/>
      <c r="U2944" s="3"/>
      <c r="V2944" s="3"/>
      <c r="W2944" s="3"/>
      <c r="X2944" s="3"/>
      <c r="Y2944" s="3"/>
      <c r="Z2944" s="4"/>
      <c r="AA2944"/>
      <c r="AB2944"/>
    </row>
    <row r="2945" spans="1:28" s="37" customFormat="1" x14ac:dyDescent="0.15">
      <c r="A2945" s="166"/>
      <c r="B2945" s="82"/>
      <c r="C2945" s="70"/>
      <c r="D2945" s="70"/>
      <c r="E2945" s="70"/>
      <c r="F2945" s="70"/>
      <c r="G2945" s="70"/>
      <c r="H2945" s="93"/>
      <c r="I2945" s="85"/>
      <c r="J2945" s="85"/>
      <c r="K2945" s="131"/>
      <c r="L2945" s="60"/>
      <c r="M2945" s="33"/>
      <c r="Q2945" s="3"/>
      <c r="R2945" s="3"/>
      <c r="S2945" s="3"/>
      <c r="T2945" s="3"/>
      <c r="U2945" s="3"/>
      <c r="V2945" s="3"/>
      <c r="W2945" s="3"/>
      <c r="X2945" s="3"/>
      <c r="Y2945" s="3"/>
      <c r="Z2945" s="4"/>
      <c r="AA2945"/>
      <c r="AB2945"/>
    </row>
    <row r="2946" spans="1:28" s="37" customFormat="1" x14ac:dyDescent="0.15">
      <c r="A2946" s="166"/>
      <c r="B2946" s="82"/>
      <c r="C2946" s="70"/>
      <c r="D2946" s="70"/>
      <c r="E2946" s="70"/>
      <c r="F2946" s="70"/>
      <c r="G2946" s="70"/>
      <c r="H2946" s="93"/>
      <c r="I2946" s="85"/>
      <c r="J2946" s="85"/>
      <c r="K2946" s="131"/>
      <c r="L2946" s="60"/>
      <c r="M2946" s="49"/>
      <c r="Q2946" s="3"/>
      <c r="R2946" s="3"/>
      <c r="S2946" s="3"/>
      <c r="T2946" s="3"/>
      <c r="U2946" s="3"/>
      <c r="V2946" s="3"/>
      <c r="W2946" s="3"/>
      <c r="X2946" s="3"/>
      <c r="Y2946" s="3"/>
      <c r="Z2946" s="4"/>
      <c r="AA2946"/>
      <c r="AB2946"/>
    </row>
    <row r="2947" spans="1:28" s="37" customFormat="1" x14ac:dyDescent="0.15">
      <c r="A2947" s="166"/>
      <c r="B2947" s="82"/>
      <c r="C2947" s="70"/>
      <c r="D2947" s="70"/>
      <c r="E2947" s="70"/>
      <c r="F2947" s="70"/>
      <c r="G2947" s="70"/>
      <c r="H2947" s="93"/>
      <c r="I2947" s="85"/>
      <c r="J2947" s="85"/>
      <c r="K2947" s="131"/>
      <c r="L2947" s="60"/>
      <c r="M2947" s="49"/>
      <c r="Q2947" s="3"/>
      <c r="R2947" s="3"/>
      <c r="S2947" s="3"/>
      <c r="T2947" s="3"/>
      <c r="U2947" s="3"/>
      <c r="V2947" s="3"/>
      <c r="W2947" s="3"/>
      <c r="X2947" s="3"/>
      <c r="Y2947" s="3"/>
      <c r="Z2947" s="4"/>
      <c r="AA2947"/>
      <c r="AB2947"/>
    </row>
    <row r="2948" spans="1:28" s="37" customFormat="1" x14ac:dyDescent="0.15">
      <c r="A2948" s="166"/>
      <c r="B2948" s="93"/>
      <c r="C2948" s="70"/>
      <c r="D2948" s="70"/>
      <c r="E2948" s="70"/>
      <c r="F2948" s="70"/>
      <c r="G2948" s="70"/>
      <c r="H2948" s="93"/>
      <c r="I2948" s="85"/>
      <c r="J2948" s="85"/>
      <c r="K2948" s="131"/>
      <c r="L2948" s="60"/>
      <c r="M2948" s="49"/>
      <c r="Q2948" s="3"/>
      <c r="R2948" s="3"/>
      <c r="S2948" s="3"/>
      <c r="T2948" s="3"/>
      <c r="U2948" s="3"/>
      <c r="V2948" s="3"/>
      <c r="W2948" s="3"/>
      <c r="X2948" s="3"/>
      <c r="Y2948" s="3"/>
      <c r="Z2948" s="4"/>
      <c r="AA2948"/>
      <c r="AB2948"/>
    </row>
    <row r="2949" spans="1:28" s="37" customFormat="1" x14ac:dyDescent="0.15">
      <c r="A2949" s="166"/>
      <c r="B2949" s="82"/>
      <c r="C2949" s="70"/>
      <c r="D2949" s="70"/>
      <c r="E2949" s="70"/>
      <c r="F2949" s="70"/>
      <c r="G2949" s="70"/>
      <c r="H2949" s="93"/>
      <c r="I2949" s="85"/>
      <c r="J2949" s="85"/>
      <c r="K2949" s="131"/>
      <c r="L2949" s="60"/>
      <c r="M2949" s="49"/>
      <c r="Q2949" s="3"/>
      <c r="R2949" s="3"/>
      <c r="S2949" s="3"/>
      <c r="T2949" s="3"/>
      <c r="U2949" s="3"/>
      <c r="V2949" s="3"/>
      <c r="W2949" s="3"/>
      <c r="X2949" s="3"/>
      <c r="Y2949" s="3"/>
      <c r="Z2949" s="4"/>
      <c r="AA2949"/>
      <c r="AB2949"/>
    </row>
    <row r="2950" spans="1:28" s="37" customFormat="1" x14ac:dyDescent="0.15">
      <c r="A2950" s="166"/>
      <c r="B2950" s="82"/>
      <c r="C2950" s="70"/>
      <c r="D2950" s="70"/>
      <c r="E2950" s="70"/>
      <c r="F2950" s="70"/>
      <c r="G2950" s="70"/>
      <c r="H2950" s="93"/>
      <c r="I2950" s="85"/>
      <c r="J2950" s="85"/>
      <c r="K2950" s="131"/>
      <c r="L2950" s="60"/>
      <c r="M2950" s="49"/>
      <c r="Q2950" s="3"/>
      <c r="R2950" s="3"/>
      <c r="S2950" s="3"/>
      <c r="T2950" s="3"/>
      <c r="U2950" s="3"/>
      <c r="V2950" s="3"/>
      <c r="W2950" s="3"/>
      <c r="X2950" s="3"/>
      <c r="Y2950" s="3"/>
      <c r="Z2950" s="4"/>
      <c r="AA2950"/>
      <c r="AB2950"/>
    </row>
    <row r="2951" spans="1:28" s="37" customFormat="1" x14ac:dyDescent="0.15">
      <c r="A2951" s="166"/>
      <c r="B2951" s="82"/>
      <c r="C2951" s="70"/>
      <c r="D2951" s="70"/>
      <c r="E2951" s="70"/>
      <c r="F2951" s="70"/>
      <c r="G2951" s="70"/>
      <c r="H2951" s="93"/>
      <c r="I2951" s="85"/>
      <c r="J2951" s="85"/>
      <c r="K2951" s="131"/>
      <c r="L2951" s="60"/>
      <c r="M2951" s="49"/>
      <c r="Q2951" s="3"/>
      <c r="R2951" s="3"/>
      <c r="S2951" s="3"/>
      <c r="T2951" s="3"/>
      <c r="U2951" s="3"/>
      <c r="V2951" s="3"/>
      <c r="W2951" s="3"/>
      <c r="X2951" s="3"/>
      <c r="Y2951" s="3"/>
      <c r="Z2951" s="4"/>
      <c r="AA2951"/>
      <c r="AB2951"/>
    </row>
    <row r="2952" spans="1:28" s="37" customFormat="1" x14ac:dyDescent="0.15">
      <c r="A2952" s="166"/>
      <c r="B2952" s="82"/>
      <c r="C2952" s="70"/>
      <c r="D2952" s="70"/>
      <c r="E2952" s="70"/>
      <c r="F2952" s="70"/>
      <c r="G2952" s="70"/>
      <c r="H2952" s="93"/>
      <c r="I2952" s="85"/>
      <c r="J2952" s="85"/>
      <c r="K2952" s="131"/>
      <c r="L2952" s="60"/>
      <c r="M2952" s="49"/>
      <c r="Q2952" s="3"/>
      <c r="R2952" s="3"/>
      <c r="S2952" s="3"/>
      <c r="T2952" s="3"/>
      <c r="U2952" s="3"/>
      <c r="V2952" s="3"/>
      <c r="W2952" s="3"/>
      <c r="X2952" s="3"/>
      <c r="Y2952" s="3"/>
      <c r="Z2952" s="4"/>
      <c r="AA2952"/>
      <c r="AB2952"/>
    </row>
    <row r="2953" spans="1:28" s="37" customFormat="1" x14ac:dyDescent="0.15">
      <c r="A2953" s="166"/>
      <c r="B2953" s="82"/>
      <c r="C2953" s="70"/>
      <c r="D2953" s="70"/>
      <c r="E2953" s="70"/>
      <c r="F2953" s="70"/>
      <c r="G2953" s="70"/>
      <c r="H2953" s="93"/>
      <c r="I2953" s="85"/>
      <c r="J2953" s="85"/>
      <c r="K2953" s="131"/>
      <c r="L2953" s="60"/>
      <c r="M2953" s="49"/>
      <c r="Q2953" s="3"/>
      <c r="R2953" s="3"/>
      <c r="S2953" s="3"/>
      <c r="T2953" s="3"/>
      <c r="U2953" s="3"/>
      <c r="V2953" s="3"/>
      <c r="W2953" s="3"/>
      <c r="X2953" s="3"/>
      <c r="Y2953" s="3"/>
      <c r="Z2953" s="4"/>
      <c r="AA2953"/>
      <c r="AB2953"/>
    </row>
    <row r="2954" spans="1:28" s="37" customFormat="1" x14ac:dyDescent="0.15">
      <c r="A2954" s="166"/>
      <c r="B2954" s="82"/>
      <c r="C2954" s="70"/>
      <c r="D2954" s="70"/>
      <c r="E2954" s="70"/>
      <c r="F2954" s="70"/>
      <c r="G2954" s="70"/>
      <c r="H2954" s="93"/>
      <c r="I2954" s="85"/>
      <c r="J2954" s="85"/>
      <c r="K2954" s="131"/>
      <c r="L2954" s="60"/>
      <c r="M2954" s="49"/>
      <c r="Q2954" s="3"/>
      <c r="R2954" s="3"/>
      <c r="S2954" s="3"/>
      <c r="T2954" s="3"/>
      <c r="U2954" s="3"/>
      <c r="V2954" s="3"/>
      <c r="W2954" s="3"/>
      <c r="X2954" s="3"/>
      <c r="Y2954" s="3"/>
      <c r="Z2954" s="4"/>
      <c r="AA2954"/>
      <c r="AB2954"/>
    </row>
    <row r="2955" spans="1:28" s="37" customFormat="1" x14ac:dyDescent="0.15">
      <c r="A2955" s="166"/>
      <c r="B2955" s="82"/>
      <c r="C2955" s="70"/>
      <c r="D2955" s="70"/>
      <c r="E2955" s="70"/>
      <c r="F2955" s="70"/>
      <c r="G2955" s="70"/>
      <c r="H2955" s="93"/>
      <c r="I2955" s="85"/>
      <c r="J2955" s="85"/>
      <c r="K2955" s="131"/>
      <c r="L2955" s="60"/>
      <c r="M2955" s="33"/>
      <c r="Q2955" s="3"/>
      <c r="R2955" s="3"/>
      <c r="S2955" s="3"/>
      <c r="T2955" s="3"/>
      <c r="U2955" s="3"/>
      <c r="V2955" s="3"/>
      <c r="W2955" s="3"/>
      <c r="X2955" s="3"/>
      <c r="Y2955" s="3"/>
      <c r="Z2955" s="4"/>
      <c r="AA2955"/>
      <c r="AB2955"/>
    </row>
    <row r="2956" spans="1:28" s="37" customFormat="1" x14ac:dyDescent="0.15">
      <c r="A2956" s="166"/>
      <c r="B2956" s="93"/>
      <c r="C2956" s="70"/>
      <c r="D2956" s="70"/>
      <c r="E2956" s="70"/>
      <c r="F2956" s="70"/>
      <c r="G2956" s="70"/>
      <c r="H2956" s="93"/>
      <c r="I2956" s="85"/>
      <c r="J2956" s="85"/>
      <c r="K2956" s="131"/>
      <c r="L2956" s="60"/>
      <c r="M2956" s="33"/>
      <c r="Q2956" s="3"/>
      <c r="R2956" s="3"/>
      <c r="S2956" s="3"/>
      <c r="T2956" s="3"/>
      <c r="U2956" s="3"/>
      <c r="V2956" s="3"/>
      <c r="W2956" s="3"/>
      <c r="X2956" s="3"/>
      <c r="Y2956" s="3"/>
      <c r="Z2956" s="4"/>
      <c r="AA2956"/>
      <c r="AB2956"/>
    </row>
    <row r="2957" spans="1:28" s="37" customFormat="1" x14ac:dyDescent="0.15">
      <c r="A2957" s="166"/>
      <c r="B2957" s="93"/>
      <c r="C2957" s="70"/>
      <c r="D2957" s="70"/>
      <c r="E2957" s="70"/>
      <c r="F2957" s="70"/>
      <c r="G2957" s="70"/>
      <c r="H2957" s="93"/>
      <c r="I2957" s="85"/>
      <c r="J2957" s="85"/>
      <c r="K2957" s="131"/>
      <c r="L2957" s="60"/>
      <c r="M2957" s="33"/>
      <c r="Q2957" s="3"/>
      <c r="R2957" s="3"/>
      <c r="S2957" s="3"/>
      <c r="T2957" s="3"/>
      <c r="U2957" s="3"/>
      <c r="V2957" s="3"/>
      <c r="W2957" s="3"/>
      <c r="X2957" s="3"/>
      <c r="Y2957" s="3"/>
      <c r="Z2957" s="4"/>
      <c r="AA2957"/>
      <c r="AB2957"/>
    </row>
    <row r="2958" spans="1:28" s="3" customFormat="1" x14ac:dyDescent="0.15">
      <c r="A2958" s="166"/>
      <c r="B2958" s="93"/>
      <c r="C2958" s="70"/>
      <c r="D2958" s="70"/>
      <c r="E2958" s="70"/>
      <c r="F2958" s="70"/>
      <c r="G2958" s="70"/>
      <c r="H2958" s="93"/>
      <c r="I2958" s="85"/>
      <c r="J2958" s="85"/>
      <c r="K2958" s="131"/>
      <c r="L2958" s="60"/>
      <c r="M2958" s="33"/>
      <c r="N2958" s="37"/>
      <c r="O2958" s="37"/>
      <c r="P2958" s="37"/>
      <c r="Z2958" s="4"/>
      <c r="AA2958"/>
      <c r="AB2958"/>
    </row>
    <row r="2959" spans="1:28" s="3" customFormat="1" x14ac:dyDescent="0.15">
      <c r="A2959" s="166"/>
      <c r="B2959" s="93"/>
      <c r="C2959" s="70"/>
      <c r="D2959" s="70"/>
      <c r="E2959" s="70"/>
      <c r="F2959" s="70"/>
      <c r="G2959" s="70"/>
      <c r="H2959" s="93"/>
      <c r="I2959" s="85"/>
      <c r="J2959" s="85"/>
      <c r="K2959" s="131"/>
      <c r="L2959" s="60"/>
      <c r="M2959" s="33"/>
      <c r="N2959" s="37"/>
      <c r="O2959" s="37"/>
      <c r="P2959" s="37"/>
      <c r="Z2959" s="4"/>
      <c r="AA2959"/>
      <c r="AB2959"/>
    </row>
    <row r="2960" spans="1:28" s="3" customFormat="1" x14ac:dyDescent="0.15">
      <c r="A2960" s="170"/>
      <c r="B2960" s="93"/>
      <c r="C2960" s="70"/>
      <c r="D2960" s="70"/>
      <c r="E2960" s="70"/>
      <c r="F2960" s="70"/>
      <c r="G2960" s="70"/>
      <c r="H2960" s="93"/>
      <c r="I2960" s="85"/>
      <c r="J2960" s="85"/>
      <c r="K2960" s="131"/>
      <c r="L2960" s="60"/>
      <c r="M2960" s="33"/>
      <c r="N2960" s="37"/>
      <c r="O2960" s="37"/>
      <c r="P2960" s="37"/>
      <c r="Z2960" s="4"/>
      <c r="AA2960"/>
      <c r="AB2960"/>
    </row>
    <row r="2961" spans="1:28" s="3" customFormat="1" x14ac:dyDescent="0.15">
      <c r="A2961" s="166"/>
      <c r="B2961" s="93"/>
      <c r="C2961" s="70"/>
      <c r="D2961" s="70"/>
      <c r="E2961" s="70"/>
      <c r="F2961" s="70"/>
      <c r="G2961" s="70"/>
      <c r="H2961" s="93"/>
      <c r="I2961" s="85"/>
      <c r="J2961" s="85"/>
      <c r="K2961" s="131"/>
      <c r="L2961" s="60"/>
      <c r="M2961" s="33"/>
      <c r="N2961" s="37"/>
      <c r="O2961" s="37"/>
      <c r="P2961" s="37"/>
      <c r="Z2961" s="4"/>
      <c r="AA2961"/>
      <c r="AB2961"/>
    </row>
    <row r="2962" spans="1:28" s="3" customFormat="1" ht="16" x14ac:dyDescent="0.2">
      <c r="A2962" s="166"/>
      <c r="B2962" s="93"/>
      <c r="C2962" s="70"/>
      <c r="D2962" s="70"/>
      <c r="E2962" s="70"/>
      <c r="F2962" s="70"/>
      <c r="G2962" s="70"/>
      <c r="H2962" s="93"/>
      <c r="I2962" s="85"/>
      <c r="J2962" s="85"/>
      <c r="K2962" s="131"/>
      <c r="L2962" s="60"/>
      <c r="M2962" s="47"/>
      <c r="N2962" s="37"/>
      <c r="O2962" s="37"/>
      <c r="P2962" s="37"/>
      <c r="Z2962" s="4"/>
      <c r="AA2962"/>
      <c r="AB2962"/>
    </row>
    <row r="2963" spans="1:28" s="3" customFormat="1" x14ac:dyDescent="0.15">
      <c r="A2963" s="166"/>
      <c r="B2963" s="82"/>
      <c r="C2963" s="70"/>
      <c r="D2963" s="70"/>
      <c r="E2963" s="70"/>
      <c r="F2963" s="70"/>
      <c r="G2963" s="70"/>
      <c r="H2963" s="93"/>
      <c r="I2963" s="85"/>
      <c r="J2963" s="85"/>
      <c r="K2963" s="131"/>
      <c r="L2963" s="67"/>
      <c r="M2963" s="49"/>
      <c r="N2963" s="37"/>
      <c r="O2963" s="37"/>
      <c r="P2963" s="37"/>
      <c r="Z2963" s="4"/>
      <c r="AA2963"/>
      <c r="AB2963"/>
    </row>
    <row r="2964" spans="1:28" s="3" customFormat="1" x14ac:dyDescent="0.15">
      <c r="A2964" s="166"/>
      <c r="B2964" s="93"/>
      <c r="C2964" s="70"/>
      <c r="D2964" s="70"/>
      <c r="E2964" s="70"/>
      <c r="F2964" s="70"/>
      <c r="G2964" s="70"/>
      <c r="H2964" s="93"/>
      <c r="I2964" s="85"/>
      <c r="J2964" s="85"/>
      <c r="K2964" s="131"/>
      <c r="L2964" s="60"/>
      <c r="M2964" s="33"/>
      <c r="N2964" s="37"/>
      <c r="O2964" s="37"/>
      <c r="P2964" s="37"/>
      <c r="Z2964" s="4"/>
      <c r="AA2964"/>
      <c r="AB2964"/>
    </row>
    <row r="2965" spans="1:28" s="3" customFormat="1" x14ac:dyDescent="0.15">
      <c r="A2965" s="166"/>
      <c r="B2965" s="93"/>
      <c r="C2965" s="70"/>
      <c r="D2965" s="70"/>
      <c r="E2965" s="70"/>
      <c r="F2965" s="70"/>
      <c r="G2965" s="70"/>
      <c r="H2965" s="93"/>
      <c r="I2965" s="85"/>
      <c r="J2965" s="85"/>
      <c r="K2965" s="131"/>
      <c r="L2965" s="60"/>
      <c r="M2965" s="33"/>
      <c r="N2965" s="37"/>
      <c r="O2965" s="37"/>
      <c r="P2965" s="37"/>
      <c r="Z2965" s="4"/>
      <c r="AA2965"/>
      <c r="AB2965"/>
    </row>
    <row r="2966" spans="1:28" s="3" customFormat="1" ht="16" x14ac:dyDescent="0.2">
      <c r="A2966" s="166"/>
      <c r="B2966" s="93"/>
      <c r="C2966" s="70"/>
      <c r="D2966" s="70"/>
      <c r="E2966" s="70"/>
      <c r="F2966" s="70"/>
      <c r="G2966" s="70"/>
      <c r="H2966" s="93"/>
      <c r="I2966" s="85"/>
      <c r="J2966" s="85"/>
      <c r="K2966" s="131"/>
      <c r="L2966" s="60"/>
      <c r="M2966" s="47"/>
      <c r="N2966" s="37"/>
      <c r="O2966" s="37"/>
      <c r="P2966" s="37"/>
      <c r="Z2966" s="4"/>
      <c r="AA2966"/>
      <c r="AB2966"/>
    </row>
    <row r="2967" spans="1:28" s="3" customFormat="1" ht="16" x14ac:dyDescent="0.2">
      <c r="A2967" s="166"/>
      <c r="B2967" s="82"/>
      <c r="C2967" s="70"/>
      <c r="D2967" s="70"/>
      <c r="E2967" s="70"/>
      <c r="F2967" s="70"/>
      <c r="G2967" s="70"/>
      <c r="H2967" s="93"/>
      <c r="I2967" s="85"/>
      <c r="J2967" s="85"/>
      <c r="K2967" s="131"/>
      <c r="L2967" s="60"/>
      <c r="M2967" s="47"/>
      <c r="N2967" s="37"/>
      <c r="O2967" s="37"/>
      <c r="P2967" s="33"/>
      <c r="Z2967" s="4"/>
      <c r="AA2967"/>
      <c r="AB2967"/>
    </row>
    <row r="2968" spans="1:28" s="3" customFormat="1" ht="16" x14ac:dyDescent="0.2">
      <c r="A2968" s="166"/>
      <c r="B2968" s="82"/>
      <c r="C2968" s="70"/>
      <c r="D2968" s="70"/>
      <c r="E2968" s="70"/>
      <c r="F2968" s="70"/>
      <c r="G2968" s="70"/>
      <c r="H2968" s="93"/>
      <c r="I2968" s="85"/>
      <c r="J2968" s="85"/>
      <c r="K2968" s="131"/>
      <c r="L2968" s="60"/>
      <c r="M2968" s="47"/>
      <c r="N2968" s="37"/>
      <c r="O2968" s="37"/>
      <c r="P2968" s="37"/>
      <c r="Z2968" s="4"/>
      <c r="AA2968"/>
      <c r="AB2968"/>
    </row>
    <row r="2969" spans="1:28" s="3" customFormat="1" x14ac:dyDescent="0.15">
      <c r="A2969" s="166"/>
      <c r="B2969" s="82"/>
      <c r="C2969" s="70"/>
      <c r="D2969" s="70"/>
      <c r="E2969" s="70"/>
      <c r="F2969" s="70"/>
      <c r="G2969" s="70"/>
      <c r="H2969" s="93"/>
      <c r="I2969" s="85"/>
      <c r="J2969" s="85"/>
      <c r="K2969" s="131"/>
      <c r="L2969" s="60"/>
      <c r="M2969" s="33"/>
      <c r="N2969" s="37"/>
      <c r="O2969" s="37"/>
      <c r="P2969" s="37"/>
      <c r="Z2969" s="4"/>
      <c r="AA2969"/>
      <c r="AB2969"/>
    </row>
    <row r="2970" spans="1:28" s="3" customFormat="1" x14ac:dyDescent="0.15">
      <c r="A2970" s="166"/>
      <c r="B2970" s="93"/>
      <c r="C2970" s="70"/>
      <c r="D2970" s="70"/>
      <c r="E2970" s="70"/>
      <c r="F2970" s="70"/>
      <c r="G2970" s="70"/>
      <c r="H2970" s="93"/>
      <c r="I2970" s="85"/>
      <c r="J2970" s="85"/>
      <c r="K2970" s="131"/>
      <c r="L2970" s="60"/>
      <c r="M2970" s="33"/>
      <c r="N2970" s="37"/>
      <c r="O2970" s="37"/>
      <c r="P2970" s="37"/>
      <c r="Z2970" s="4"/>
      <c r="AA2970"/>
      <c r="AB2970"/>
    </row>
    <row r="2971" spans="1:28" s="3" customFormat="1" x14ac:dyDescent="0.15">
      <c r="A2971" s="170"/>
      <c r="B2971" s="82"/>
      <c r="C2971" s="81"/>
      <c r="D2971" s="81"/>
      <c r="E2971" s="81"/>
      <c r="F2971" s="81"/>
      <c r="G2971" s="81"/>
      <c r="H2971" s="96"/>
      <c r="I2971" s="85"/>
      <c r="J2971" s="111"/>
      <c r="K2971" s="139"/>
      <c r="L2971" s="72"/>
      <c r="M2971" s="31"/>
      <c r="N2971" s="37"/>
      <c r="O2971" s="37"/>
      <c r="P2971" s="37"/>
      <c r="Z2971" s="4"/>
      <c r="AA2971"/>
      <c r="AB2971"/>
    </row>
    <row r="2972" spans="1:28" s="3" customFormat="1" x14ac:dyDescent="0.15">
      <c r="A2972" s="166"/>
      <c r="B2972" s="93"/>
      <c r="C2972" s="70"/>
      <c r="D2972" s="70"/>
      <c r="E2972" s="70"/>
      <c r="F2972" s="70"/>
      <c r="G2972" s="70"/>
      <c r="H2972" s="93"/>
      <c r="I2972" s="85"/>
      <c r="J2972" s="85"/>
      <c r="K2972" s="131"/>
      <c r="L2972" s="60"/>
      <c r="M2972" s="33"/>
      <c r="N2972" s="37"/>
      <c r="O2972" s="37"/>
      <c r="P2972" s="33"/>
      <c r="Z2972" s="4"/>
      <c r="AA2972"/>
      <c r="AB2972"/>
    </row>
    <row r="2973" spans="1:28" s="3" customFormat="1" ht="16" x14ac:dyDescent="0.2">
      <c r="A2973" s="166"/>
      <c r="B2973" s="93"/>
      <c r="C2973" s="70"/>
      <c r="D2973" s="70"/>
      <c r="E2973" s="70"/>
      <c r="F2973" s="70"/>
      <c r="G2973" s="70"/>
      <c r="H2973" s="93"/>
      <c r="I2973" s="85"/>
      <c r="J2973" s="85"/>
      <c r="K2973" s="131"/>
      <c r="L2973" s="60"/>
      <c r="M2973" s="47"/>
      <c r="N2973" s="37"/>
      <c r="O2973" s="37"/>
      <c r="P2973" s="37"/>
      <c r="Z2973" s="4"/>
      <c r="AA2973"/>
      <c r="AB2973"/>
    </row>
    <row r="2974" spans="1:28" s="37" customFormat="1" x14ac:dyDescent="0.15">
      <c r="A2974" s="166"/>
      <c r="B2974" s="93"/>
      <c r="C2974" s="70"/>
      <c r="D2974" s="70"/>
      <c r="E2974" s="70"/>
      <c r="F2974" s="70"/>
      <c r="G2974" s="70"/>
      <c r="H2974" s="93"/>
      <c r="I2974" s="85"/>
      <c r="J2974" s="85"/>
      <c r="K2974" s="131"/>
      <c r="L2974" s="60"/>
      <c r="M2974" s="33"/>
      <c r="Q2974" s="3"/>
      <c r="R2974" s="3"/>
      <c r="S2974" s="3"/>
      <c r="T2974" s="3"/>
      <c r="U2974" s="3"/>
      <c r="V2974" s="3"/>
      <c r="W2974" s="3"/>
      <c r="X2974" s="3"/>
      <c r="Y2974" s="3"/>
      <c r="Z2974" s="4"/>
      <c r="AA2974"/>
      <c r="AB2974"/>
    </row>
    <row r="2975" spans="1:28" s="37" customFormat="1" x14ac:dyDescent="0.15">
      <c r="A2975" s="166"/>
      <c r="B2975" s="93"/>
      <c r="C2975" s="70"/>
      <c r="D2975" s="70"/>
      <c r="E2975" s="70"/>
      <c r="F2975" s="70"/>
      <c r="G2975" s="70"/>
      <c r="H2975" s="93"/>
      <c r="I2975" s="85"/>
      <c r="J2975" s="85"/>
      <c r="K2975" s="131"/>
      <c r="L2975" s="60"/>
      <c r="M2975" s="33"/>
      <c r="Q2975" s="3"/>
      <c r="R2975" s="3"/>
      <c r="S2975" s="3"/>
      <c r="T2975" s="3"/>
      <c r="U2975" s="3"/>
      <c r="V2975" s="3"/>
      <c r="W2975" s="3"/>
      <c r="X2975" s="3"/>
      <c r="Y2975" s="3"/>
      <c r="Z2975" s="4"/>
      <c r="AA2975"/>
      <c r="AB2975"/>
    </row>
    <row r="2976" spans="1:28" s="37" customFormat="1" ht="16" x14ac:dyDescent="0.2">
      <c r="A2976" s="166"/>
      <c r="B2976" s="93"/>
      <c r="C2976" s="70"/>
      <c r="D2976" s="70"/>
      <c r="E2976" s="70"/>
      <c r="F2976" s="70"/>
      <c r="G2976" s="70"/>
      <c r="H2976" s="93"/>
      <c r="I2976" s="85"/>
      <c r="J2976" s="85"/>
      <c r="K2976" s="131"/>
      <c r="L2976" s="60"/>
      <c r="M2976" s="47"/>
      <c r="Q2976" s="3"/>
      <c r="R2976" s="3"/>
      <c r="S2976" s="3"/>
      <c r="T2976" s="3"/>
      <c r="U2976" s="3"/>
      <c r="V2976" s="3"/>
      <c r="W2976" s="3"/>
      <c r="X2976" s="3"/>
      <c r="Y2976" s="3"/>
      <c r="Z2976" s="4"/>
      <c r="AA2976"/>
      <c r="AB2976"/>
    </row>
    <row r="2977" spans="1:28" s="37" customFormat="1" x14ac:dyDescent="0.15">
      <c r="A2977" s="166"/>
      <c r="B2977" s="93"/>
      <c r="C2977" s="70"/>
      <c r="D2977" s="70"/>
      <c r="E2977" s="70"/>
      <c r="F2977" s="70"/>
      <c r="G2977" s="70"/>
      <c r="H2977" s="93"/>
      <c r="I2977" s="85"/>
      <c r="J2977" s="85"/>
      <c r="K2977" s="131"/>
      <c r="L2977" s="60"/>
      <c r="M2977" s="33"/>
      <c r="Q2977" s="3"/>
      <c r="R2977" s="3"/>
      <c r="S2977" s="3"/>
      <c r="T2977" s="3"/>
      <c r="U2977" s="3"/>
      <c r="V2977" s="3"/>
      <c r="W2977" s="3"/>
      <c r="X2977" s="3"/>
      <c r="Y2977" s="3"/>
      <c r="Z2977" s="4"/>
      <c r="AA2977"/>
      <c r="AB2977"/>
    </row>
    <row r="2978" spans="1:28" s="37" customFormat="1" x14ac:dyDescent="0.15">
      <c r="A2978" s="166"/>
      <c r="B2978" s="93"/>
      <c r="C2978" s="70"/>
      <c r="D2978" s="70"/>
      <c r="E2978" s="70"/>
      <c r="F2978" s="70"/>
      <c r="G2978" s="70"/>
      <c r="H2978" s="93"/>
      <c r="I2978" s="85"/>
      <c r="J2978" s="85"/>
      <c r="K2978" s="131"/>
      <c r="L2978" s="60"/>
      <c r="M2978" s="33"/>
      <c r="Q2978" s="3"/>
      <c r="R2978" s="3"/>
      <c r="S2978" s="3"/>
      <c r="T2978" s="3"/>
      <c r="U2978" s="3"/>
      <c r="V2978" s="3"/>
      <c r="W2978" s="3"/>
      <c r="X2978" s="3"/>
      <c r="Y2978" s="3"/>
      <c r="Z2978" s="4"/>
      <c r="AA2978"/>
      <c r="AB2978"/>
    </row>
    <row r="2979" spans="1:28" s="37" customFormat="1" ht="16" x14ac:dyDescent="0.2">
      <c r="A2979" s="166"/>
      <c r="B2979" s="93"/>
      <c r="C2979" s="70"/>
      <c r="D2979" s="70"/>
      <c r="E2979" s="70"/>
      <c r="F2979" s="70"/>
      <c r="G2979" s="70"/>
      <c r="H2979" s="93"/>
      <c r="I2979" s="85"/>
      <c r="J2979" s="85"/>
      <c r="K2979" s="131"/>
      <c r="L2979" s="60"/>
      <c r="M2979" s="47"/>
      <c r="Q2979" s="3"/>
      <c r="R2979" s="3"/>
      <c r="S2979" s="3"/>
      <c r="T2979" s="3"/>
      <c r="U2979" s="3"/>
      <c r="V2979" s="3"/>
      <c r="W2979" s="3"/>
      <c r="X2979" s="3"/>
      <c r="Y2979" s="3"/>
      <c r="Z2979" s="4"/>
      <c r="AA2979"/>
      <c r="AB2979"/>
    </row>
    <row r="2980" spans="1:28" s="37" customFormat="1" x14ac:dyDescent="0.15">
      <c r="A2980" s="166"/>
      <c r="B2980" s="93"/>
      <c r="C2980" s="70"/>
      <c r="D2980" s="70"/>
      <c r="E2980" s="70"/>
      <c r="F2980" s="70"/>
      <c r="G2980" s="70"/>
      <c r="H2980" s="93"/>
      <c r="I2980" s="85"/>
      <c r="J2980" s="85"/>
      <c r="K2980" s="131"/>
      <c r="L2980" s="60"/>
      <c r="M2980" s="33"/>
      <c r="Q2980" s="3"/>
      <c r="R2980" s="3"/>
      <c r="S2980" s="3"/>
      <c r="T2980" s="3"/>
      <c r="U2980" s="3"/>
      <c r="V2980" s="3"/>
      <c r="W2980" s="3"/>
      <c r="X2980" s="3"/>
      <c r="Y2980" s="3"/>
      <c r="Z2980" s="4"/>
      <c r="AA2980"/>
      <c r="AB2980"/>
    </row>
    <row r="2981" spans="1:28" s="37" customFormat="1" x14ac:dyDescent="0.15">
      <c r="A2981" s="166"/>
      <c r="B2981" s="93"/>
      <c r="C2981" s="70"/>
      <c r="D2981" s="70"/>
      <c r="E2981" s="70"/>
      <c r="F2981" s="70"/>
      <c r="G2981" s="70"/>
      <c r="H2981" s="93"/>
      <c r="I2981" s="85"/>
      <c r="J2981" s="85"/>
      <c r="K2981" s="131"/>
      <c r="L2981" s="60"/>
      <c r="M2981" s="33"/>
      <c r="Q2981" s="3"/>
      <c r="R2981" s="3"/>
      <c r="S2981" s="3"/>
      <c r="T2981" s="3"/>
      <c r="U2981" s="3"/>
      <c r="V2981" s="3"/>
      <c r="W2981" s="3"/>
      <c r="X2981" s="3"/>
      <c r="Y2981" s="3"/>
      <c r="Z2981" s="4"/>
      <c r="AA2981"/>
      <c r="AB2981"/>
    </row>
    <row r="2982" spans="1:28" s="37" customFormat="1" x14ac:dyDescent="0.15">
      <c r="A2982" s="166"/>
      <c r="B2982" s="93"/>
      <c r="C2982" s="70"/>
      <c r="D2982" s="70"/>
      <c r="E2982" s="70"/>
      <c r="F2982" s="70"/>
      <c r="G2982" s="70"/>
      <c r="H2982" s="93"/>
      <c r="I2982" s="85"/>
      <c r="J2982" s="85"/>
      <c r="K2982" s="131"/>
      <c r="L2982" s="60"/>
      <c r="M2982" s="33"/>
      <c r="Q2982" s="3"/>
      <c r="R2982" s="3"/>
      <c r="S2982" s="3"/>
      <c r="T2982" s="3"/>
      <c r="U2982" s="3"/>
      <c r="V2982" s="3"/>
      <c r="W2982" s="3"/>
      <c r="X2982" s="3"/>
      <c r="Y2982" s="3"/>
      <c r="Z2982" s="4"/>
      <c r="AA2982"/>
      <c r="AB2982"/>
    </row>
    <row r="2983" spans="1:28" s="37" customFormat="1" x14ac:dyDescent="0.15">
      <c r="A2983" s="166"/>
      <c r="B2983" s="93"/>
      <c r="C2983" s="70"/>
      <c r="D2983" s="70"/>
      <c r="E2983" s="70"/>
      <c r="F2983" s="70"/>
      <c r="G2983" s="70"/>
      <c r="H2983" s="93"/>
      <c r="I2983" s="85"/>
      <c r="J2983" s="85"/>
      <c r="K2983" s="131"/>
      <c r="L2983" s="60"/>
      <c r="M2983" s="33"/>
      <c r="Q2983" s="3"/>
      <c r="R2983" s="3"/>
      <c r="S2983" s="3"/>
      <c r="T2983" s="3"/>
      <c r="U2983" s="3"/>
      <c r="V2983" s="3"/>
      <c r="W2983" s="3"/>
      <c r="X2983" s="3"/>
      <c r="Y2983" s="3"/>
      <c r="Z2983" s="4"/>
      <c r="AA2983"/>
      <c r="AB2983"/>
    </row>
    <row r="2984" spans="1:28" s="37" customFormat="1" x14ac:dyDescent="0.15">
      <c r="A2984" s="166"/>
      <c r="B2984" s="93"/>
      <c r="C2984" s="70"/>
      <c r="D2984" s="70"/>
      <c r="E2984" s="70"/>
      <c r="F2984" s="70"/>
      <c r="G2984" s="70"/>
      <c r="H2984" s="93"/>
      <c r="I2984" s="85"/>
      <c r="J2984" s="85"/>
      <c r="K2984" s="131"/>
      <c r="L2984" s="60"/>
      <c r="M2984" s="33"/>
      <c r="Q2984" s="3"/>
      <c r="R2984" s="3"/>
      <c r="S2984" s="3"/>
      <c r="T2984" s="3"/>
      <c r="U2984" s="3"/>
      <c r="V2984" s="3"/>
      <c r="W2984" s="3"/>
      <c r="X2984" s="3"/>
      <c r="Y2984" s="3"/>
      <c r="Z2984" s="4"/>
      <c r="AA2984"/>
      <c r="AB2984"/>
    </row>
    <row r="2985" spans="1:28" s="37" customFormat="1" x14ac:dyDescent="0.15">
      <c r="A2985" s="166"/>
      <c r="B2985" s="93"/>
      <c r="C2985" s="73"/>
      <c r="D2985" s="73"/>
      <c r="E2985" s="70"/>
      <c r="F2985" s="73"/>
      <c r="G2985" s="73"/>
      <c r="H2985" s="108"/>
      <c r="I2985" s="85"/>
      <c r="J2985" s="95"/>
      <c r="K2985" s="131"/>
      <c r="L2985" s="60"/>
      <c r="M2985" s="33"/>
      <c r="Q2985" s="3"/>
      <c r="R2985" s="3"/>
      <c r="S2985" s="3"/>
      <c r="T2985" s="3"/>
      <c r="U2985" s="3"/>
      <c r="V2985" s="3"/>
      <c r="W2985" s="3"/>
      <c r="X2985" s="3"/>
      <c r="Y2985" s="3"/>
      <c r="Z2985" s="4"/>
      <c r="AA2985"/>
      <c r="AB2985"/>
    </row>
    <row r="2986" spans="1:28" s="37" customFormat="1" x14ac:dyDescent="0.15">
      <c r="A2986" s="166"/>
      <c r="B2986" s="93"/>
      <c r="C2986" s="70"/>
      <c r="D2986" s="70"/>
      <c r="E2986" s="70"/>
      <c r="F2986" s="70"/>
      <c r="G2986" s="70"/>
      <c r="H2986" s="93"/>
      <c r="I2986" s="85"/>
      <c r="J2986" s="85"/>
      <c r="K2986" s="131"/>
      <c r="L2986" s="60"/>
      <c r="M2986" s="33"/>
      <c r="Q2986" s="3"/>
      <c r="R2986" s="3"/>
      <c r="S2986" s="3"/>
      <c r="T2986" s="3"/>
      <c r="U2986" s="3"/>
      <c r="V2986" s="3"/>
      <c r="W2986" s="3"/>
      <c r="X2986" s="3"/>
      <c r="Y2986" s="3"/>
      <c r="Z2986" s="4"/>
      <c r="AA2986"/>
      <c r="AB2986"/>
    </row>
    <row r="2987" spans="1:28" s="37" customFormat="1" x14ac:dyDescent="0.15">
      <c r="A2987" s="166"/>
      <c r="B2987" s="93"/>
      <c r="C2987" s="70"/>
      <c r="D2987" s="70"/>
      <c r="E2987" s="70"/>
      <c r="F2987" s="70"/>
      <c r="G2987" s="70"/>
      <c r="H2987" s="93"/>
      <c r="I2987" s="85"/>
      <c r="J2987" s="85"/>
      <c r="K2987" s="131"/>
      <c r="L2987" s="60"/>
      <c r="M2987" s="33"/>
      <c r="Q2987" s="3"/>
      <c r="R2987" s="3"/>
      <c r="S2987" s="3"/>
      <c r="T2987" s="3"/>
      <c r="U2987" s="3"/>
      <c r="V2987" s="3"/>
      <c r="W2987" s="3"/>
      <c r="X2987" s="3"/>
      <c r="Y2987" s="3"/>
      <c r="Z2987" s="4"/>
      <c r="AA2987"/>
      <c r="AB2987"/>
    </row>
    <row r="2988" spans="1:28" s="37" customFormat="1" x14ac:dyDescent="0.15">
      <c r="A2988" s="166"/>
      <c r="B2988" s="93"/>
      <c r="C2988" s="70"/>
      <c r="D2988" s="70"/>
      <c r="E2988" s="70"/>
      <c r="F2988" s="70"/>
      <c r="G2988" s="70"/>
      <c r="H2988" s="93"/>
      <c r="I2988" s="85"/>
      <c r="J2988" s="85"/>
      <c r="K2988" s="131"/>
      <c r="L2988" s="60"/>
      <c r="M2988" s="33"/>
      <c r="Q2988" s="3"/>
      <c r="R2988" s="3"/>
      <c r="S2988" s="3"/>
      <c r="T2988" s="3"/>
      <c r="U2988" s="3"/>
      <c r="V2988" s="3"/>
      <c r="W2988" s="3"/>
      <c r="X2988" s="3"/>
      <c r="Y2988" s="3"/>
      <c r="Z2988" s="4"/>
      <c r="AA2988"/>
      <c r="AB2988"/>
    </row>
    <row r="2989" spans="1:28" s="37" customFormat="1" x14ac:dyDescent="0.15">
      <c r="A2989" s="166"/>
      <c r="B2989" s="93"/>
      <c r="C2989" s="70"/>
      <c r="D2989" s="70"/>
      <c r="E2989" s="70"/>
      <c r="F2989" s="70"/>
      <c r="G2989" s="70"/>
      <c r="H2989" s="93"/>
      <c r="I2989" s="85"/>
      <c r="J2989" s="85"/>
      <c r="K2989" s="131"/>
      <c r="L2989" s="60"/>
      <c r="M2989" s="33"/>
      <c r="Q2989" s="3"/>
      <c r="R2989" s="3"/>
      <c r="S2989" s="3"/>
      <c r="T2989" s="3"/>
      <c r="U2989" s="3"/>
      <c r="V2989" s="3"/>
      <c r="W2989" s="3"/>
      <c r="X2989" s="3"/>
      <c r="Y2989" s="3"/>
      <c r="Z2989" s="4"/>
      <c r="AA2989"/>
      <c r="AB2989"/>
    </row>
    <row r="2990" spans="1:28" x14ac:dyDescent="0.15">
      <c r="A2990" s="166"/>
      <c r="B2990" s="93"/>
      <c r="C2990" s="70"/>
      <c r="D2990" s="70"/>
      <c r="E2990" s="70"/>
      <c r="F2990" s="70"/>
      <c r="G2990" s="70"/>
      <c r="H2990" s="93"/>
      <c r="I2990" s="85"/>
      <c r="J2990" s="85"/>
      <c r="K2990" s="131"/>
      <c r="L2990" s="60"/>
      <c r="M2990" s="33"/>
    </row>
    <row r="2991" spans="1:28" x14ac:dyDescent="0.15">
      <c r="A2991" s="166"/>
      <c r="B2991" s="93"/>
      <c r="C2991" s="70"/>
      <c r="D2991" s="70"/>
      <c r="E2991" s="70"/>
      <c r="F2991" s="70"/>
      <c r="G2991" s="70"/>
      <c r="H2991" s="93"/>
      <c r="I2991" s="85"/>
      <c r="J2991" s="85"/>
      <c r="K2991" s="131"/>
      <c r="L2991" s="60"/>
      <c r="M2991" s="33"/>
    </row>
    <row r="2992" spans="1:28" x14ac:dyDescent="0.15">
      <c r="A2992" s="166"/>
      <c r="B2992" s="93"/>
      <c r="C2992" s="70"/>
      <c r="D2992" s="70"/>
      <c r="E2992" s="70"/>
      <c r="F2992" s="70"/>
      <c r="G2992" s="70"/>
      <c r="H2992" s="93"/>
      <c r="I2992" s="85"/>
      <c r="J2992" s="85"/>
      <c r="K2992" s="131"/>
      <c r="L2992" s="60"/>
    </row>
    <row r="2993" spans="1:28" x14ac:dyDescent="0.15">
      <c r="A2993" s="166"/>
      <c r="B2993" s="93"/>
      <c r="C2993" s="70"/>
      <c r="D2993" s="70"/>
      <c r="E2993" s="70"/>
      <c r="F2993" s="70"/>
      <c r="G2993" s="70"/>
      <c r="H2993" s="93"/>
      <c r="I2993" s="85"/>
      <c r="J2993" s="85"/>
      <c r="K2993" s="131"/>
      <c r="L2993" s="60"/>
      <c r="M2993" s="33"/>
    </row>
    <row r="2994" spans="1:28" x14ac:dyDescent="0.15">
      <c r="A2994" s="166"/>
      <c r="B2994" s="93"/>
      <c r="C2994" s="70"/>
      <c r="D2994" s="70"/>
      <c r="E2994" s="70"/>
      <c r="F2994" s="70"/>
      <c r="G2994" s="70"/>
      <c r="H2994" s="93"/>
      <c r="I2994" s="85"/>
      <c r="J2994" s="85"/>
      <c r="K2994" s="131"/>
      <c r="L2994" s="60"/>
      <c r="M2994" s="33"/>
    </row>
    <row r="2995" spans="1:28" x14ac:dyDescent="0.15">
      <c r="A2995" s="166"/>
      <c r="B2995" s="93"/>
      <c r="C2995" s="70"/>
      <c r="D2995" s="70"/>
      <c r="E2995" s="70"/>
      <c r="F2995" s="70"/>
      <c r="G2995" s="70"/>
      <c r="H2995" s="93"/>
      <c r="I2995" s="85"/>
      <c r="J2995" s="85"/>
      <c r="K2995" s="131"/>
      <c r="L2995" s="60"/>
      <c r="M2995" s="33"/>
    </row>
    <row r="2996" spans="1:28" x14ac:dyDescent="0.15">
      <c r="A2996" s="166"/>
      <c r="B2996" s="93"/>
      <c r="C2996" s="70"/>
      <c r="D2996" s="70"/>
      <c r="E2996" s="70"/>
      <c r="F2996" s="70"/>
      <c r="G2996" s="70"/>
      <c r="H2996" s="93"/>
      <c r="I2996" s="85"/>
      <c r="J2996" s="85"/>
      <c r="K2996" s="131"/>
      <c r="L2996" s="60"/>
      <c r="M2996" s="33"/>
    </row>
    <row r="2997" spans="1:28" x14ac:dyDescent="0.15">
      <c r="A2997" s="170"/>
      <c r="B2997" s="93"/>
      <c r="C2997" s="70"/>
      <c r="D2997" s="70"/>
      <c r="E2997" s="70"/>
      <c r="F2997" s="70"/>
      <c r="G2997" s="70"/>
      <c r="H2997" s="93"/>
      <c r="I2997" s="85"/>
      <c r="J2997" s="85"/>
      <c r="K2997" s="131"/>
      <c r="L2997" s="60"/>
      <c r="M2997" s="33"/>
    </row>
    <row r="2998" spans="1:28" x14ac:dyDescent="0.15">
      <c r="A2998" s="166"/>
      <c r="B2998" s="93"/>
      <c r="C2998" s="70"/>
      <c r="D2998" s="70"/>
      <c r="E2998" s="70"/>
      <c r="F2998" s="70"/>
      <c r="G2998" s="70"/>
      <c r="H2998" s="93"/>
      <c r="I2998" s="85"/>
      <c r="J2998" s="85"/>
      <c r="K2998" s="131"/>
      <c r="L2998" s="60"/>
      <c r="M2998" s="33"/>
    </row>
    <row r="2999" spans="1:28" x14ac:dyDescent="0.15">
      <c r="A2999" s="166"/>
      <c r="B2999" s="82"/>
      <c r="C2999" s="70"/>
      <c r="D2999" s="70"/>
      <c r="E2999" s="70"/>
      <c r="F2999" s="70"/>
      <c r="G2999" s="70"/>
      <c r="H2999" s="93"/>
      <c r="I2999" s="85"/>
      <c r="J2999" s="85"/>
      <c r="K2999" s="131"/>
      <c r="L2999" s="67"/>
      <c r="M2999" s="33"/>
    </row>
    <row r="3000" spans="1:28" x14ac:dyDescent="0.15">
      <c r="A3000" s="166"/>
      <c r="B3000" s="93"/>
      <c r="C3000" s="70"/>
      <c r="D3000" s="70"/>
      <c r="E3000" s="70"/>
      <c r="F3000" s="70"/>
      <c r="G3000" s="70"/>
      <c r="H3000" s="93"/>
      <c r="I3000" s="85"/>
      <c r="J3000" s="85"/>
      <c r="K3000" s="131"/>
      <c r="L3000" s="60"/>
      <c r="M3000" s="33"/>
    </row>
    <row r="3001" spans="1:28" x14ac:dyDescent="0.15">
      <c r="A3001" s="166"/>
      <c r="B3001" s="93"/>
      <c r="C3001" s="70"/>
      <c r="D3001" s="70"/>
      <c r="E3001" s="70"/>
      <c r="F3001" s="70"/>
      <c r="G3001" s="70"/>
      <c r="H3001" s="93"/>
      <c r="I3001" s="85"/>
      <c r="J3001" s="85"/>
      <c r="K3001" s="131"/>
      <c r="L3001" s="60"/>
      <c r="M3001" s="33"/>
    </row>
    <row r="3002" spans="1:28" x14ac:dyDescent="0.15">
      <c r="A3002" s="166"/>
      <c r="B3002" s="93"/>
      <c r="C3002" s="70"/>
      <c r="D3002" s="70"/>
      <c r="E3002" s="70"/>
      <c r="F3002" s="70"/>
      <c r="G3002" s="70"/>
      <c r="H3002" s="93"/>
      <c r="I3002" s="85"/>
      <c r="J3002" s="85"/>
      <c r="K3002" s="131"/>
      <c r="L3002" s="60"/>
      <c r="M3002" s="33"/>
    </row>
    <row r="3003" spans="1:28" x14ac:dyDescent="0.15">
      <c r="A3003" s="166"/>
      <c r="B3003" s="93"/>
      <c r="C3003" s="70"/>
      <c r="D3003" s="70"/>
      <c r="E3003" s="70"/>
      <c r="F3003" s="70"/>
      <c r="G3003" s="70"/>
      <c r="H3003" s="93"/>
      <c r="I3003" s="85"/>
      <c r="J3003" s="85"/>
      <c r="K3003" s="131"/>
      <c r="L3003" s="60"/>
      <c r="M3003" s="33"/>
    </row>
    <row r="3004" spans="1:28" x14ac:dyDescent="0.15">
      <c r="A3004" s="166"/>
      <c r="B3004" s="82"/>
      <c r="C3004" s="70"/>
      <c r="D3004" s="70"/>
      <c r="E3004" s="70"/>
      <c r="F3004" s="70"/>
      <c r="G3004" s="70"/>
      <c r="H3004" s="93"/>
      <c r="I3004" s="85"/>
      <c r="J3004" s="85"/>
      <c r="K3004" s="131"/>
      <c r="L3004" s="60"/>
      <c r="S3004" s="6"/>
      <c r="T3004" s="6"/>
      <c r="U3004" s="6"/>
      <c r="V3004" s="6"/>
      <c r="W3004" s="6"/>
      <c r="X3004" s="6"/>
      <c r="Y3004" s="6"/>
      <c r="Z3004" s="6"/>
      <c r="AA3004" s="2"/>
      <c r="AB3004" s="2"/>
    </row>
    <row r="3005" spans="1:28" x14ac:dyDescent="0.15">
      <c r="A3005" s="166"/>
      <c r="B3005" s="82"/>
      <c r="C3005" s="70"/>
      <c r="D3005" s="70"/>
      <c r="E3005" s="70"/>
      <c r="F3005" s="70"/>
      <c r="G3005" s="70"/>
      <c r="H3005" s="93"/>
      <c r="I3005" s="85"/>
      <c r="J3005" s="85"/>
      <c r="K3005" s="131"/>
      <c r="L3005" s="69"/>
      <c r="S3005" s="6"/>
      <c r="T3005" s="6"/>
      <c r="U3005" s="6"/>
      <c r="V3005" s="6"/>
      <c r="W3005" s="6"/>
      <c r="X3005" s="6"/>
      <c r="Y3005" s="6"/>
      <c r="Z3005" s="6"/>
      <c r="AA3005" s="2"/>
      <c r="AB3005" s="2"/>
    </row>
    <row r="3006" spans="1:28" x14ac:dyDescent="0.15">
      <c r="A3006" s="166"/>
      <c r="B3006" s="82"/>
      <c r="C3006" s="70"/>
      <c r="D3006" s="70"/>
      <c r="E3006" s="70"/>
      <c r="F3006" s="70"/>
      <c r="G3006" s="70"/>
      <c r="H3006" s="93"/>
      <c r="I3006" s="85"/>
      <c r="J3006" s="85"/>
      <c r="K3006" s="131"/>
      <c r="L3006" s="60"/>
      <c r="S3006" s="6"/>
      <c r="T3006" s="6"/>
      <c r="U3006" s="6"/>
      <c r="V3006" s="6"/>
      <c r="W3006" s="6"/>
      <c r="X3006" s="6"/>
      <c r="Y3006" s="6"/>
      <c r="Z3006" s="6"/>
      <c r="AA3006" s="2"/>
      <c r="AB3006" s="2"/>
    </row>
    <row r="3007" spans="1:28" x14ac:dyDescent="0.15">
      <c r="A3007" s="166"/>
      <c r="B3007" s="82"/>
      <c r="C3007" s="70"/>
      <c r="D3007" s="70"/>
      <c r="E3007" s="70"/>
      <c r="F3007" s="70"/>
      <c r="G3007" s="70"/>
      <c r="H3007" s="93"/>
      <c r="I3007" s="85"/>
      <c r="J3007" s="85"/>
      <c r="K3007" s="131"/>
      <c r="L3007" s="60"/>
      <c r="S3007" s="6"/>
      <c r="T3007" s="6"/>
      <c r="U3007" s="6"/>
      <c r="V3007" s="6"/>
      <c r="W3007" s="6"/>
      <c r="X3007" s="6"/>
      <c r="Y3007" s="6"/>
      <c r="Z3007" s="6"/>
      <c r="AA3007" s="2"/>
      <c r="AB3007" s="2"/>
    </row>
    <row r="3008" spans="1:28" x14ac:dyDescent="0.15">
      <c r="A3008" s="166"/>
      <c r="B3008" s="82"/>
      <c r="C3008" s="70"/>
      <c r="D3008" s="70"/>
      <c r="E3008" s="70"/>
      <c r="F3008" s="70"/>
      <c r="G3008" s="70"/>
      <c r="H3008" s="93"/>
      <c r="I3008" s="85"/>
      <c r="J3008" s="85"/>
      <c r="K3008" s="131"/>
      <c r="L3008" s="60"/>
      <c r="S3008" s="6"/>
      <c r="T3008" s="6"/>
      <c r="U3008" s="6"/>
      <c r="V3008" s="6"/>
      <c r="W3008" s="6"/>
      <c r="X3008" s="6"/>
      <c r="Y3008" s="6"/>
      <c r="Z3008" s="6"/>
      <c r="AA3008" s="2"/>
      <c r="AB3008" s="2"/>
    </row>
    <row r="3009" spans="1:28" x14ac:dyDescent="0.15">
      <c r="A3009" s="166"/>
      <c r="B3009" s="82"/>
      <c r="C3009" s="70"/>
      <c r="D3009" s="70"/>
      <c r="E3009" s="70"/>
      <c r="F3009" s="70"/>
      <c r="G3009" s="70"/>
      <c r="H3009" s="93"/>
      <c r="I3009" s="85"/>
      <c r="J3009" s="85"/>
      <c r="K3009" s="131"/>
      <c r="L3009" s="69"/>
      <c r="S3009" s="6"/>
      <c r="T3009" s="6"/>
      <c r="U3009" s="6"/>
      <c r="V3009" s="6"/>
      <c r="W3009" s="6"/>
      <c r="X3009" s="6"/>
      <c r="Y3009" s="6"/>
      <c r="Z3009" s="6"/>
      <c r="AA3009" s="2"/>
      <c r="AB3009" s="2"/>
    </row>
    <row r="3010" spans="1:28" x14ac:dyDescent="0.15">
      <c r="A3010" s="166"/>
      <c r="B3010" s="82"/>
      <c r="C3010" s="70"/>
      <c r="D3010" s="70"/>
      <c r="E3010" s="70"/>
      <c r="F3010" s="70"/>
      <c r="G3010" s="70"/>
      <c r="H3010" s="93"/>
      <c r="I3010" s="85"/>
      <c r="J3010" s="85"/>
      <c r="K3010" s="131"/>
      <c r="L3010" s="60"/>
      <c r="S3010" s="6"/>
      <c r="T3010" s="6"/>
      <c r="U3010" s="6"/>
      <c r="V3010" s="6"/>
      <c r="W3010" s="6"/>
      <c r="X3010" s="6"/>
      <c r="Y3010" s="6"/>
      <c r="Z3010" s="6"/>
      <c r="AA3010" s="2"/>
      <c r="AB3010" s="2"/>
    </row>
    <row r="3011" spans="1:28" x14ac:dyDescent="0.15">
      <c r="A3011" s="166"/>
      <c r="B3011" s="82"/>
      <c r="C3011" s="70"/>
      <c r="D3011" s="70"/>
      <c r="E3011" s="70"/>
      <c r="F3011" s="70"/>
      <c r="G3011" s="70"/>
      <c r="H3011" s="93"/>
      <c r="I3011" s="85"/>
      <c r="J3011" s="85"/>
      <c r="K3011" s="131"/>
      <c r="L3011" s="60"/>
      <c r="S3011" s="2"/>
      <c r="T3011" s="2"/>
      <c r="U3011" s="2"/>
      <c r="V3011" s="2"/>
      <c r="W3011" s="2"/>
      <c r="X3011" s="2"/>
      <c r="Y3011" s="2"/>
      <c r="Z3011" s="2"/>
      <c r="AA3011" s="2"/>
      <c r="AB3011" s="2"/>
    </row>
    <row r="3012" spans="1:28" x14ac:dyDescent="0.15">
      <c r="A3012" s="166"/>
      <c r="B3012" s="82"/>
      <c r="C3012" s="70"/>
      <c r="D3012" s="70"/>
      <c r="E3012" s="70"/>
      <c r="F3012" s="70"/>
      <c r="G3012" s="70"/>
      <c r="H3012" s="93"/>
      <c r="I3012" s="85"/>
      <c r="J3012" s="85"/>
      <c r="K3012" s="131"/>
      <c r="L3012" s="60"/>
      <c r="S3012"/>
      <c r="T3012"/>
      <c r="U3012"/>
      <c r="V3012"/>
      <c r="W3012"/>
      <c r="X3012"/>
      <c r="Y3012"/>
      <c r="Z3012"/>
    </row>
    <row r="3013" spans="1:28" x14ac:dyDescent="0.15">
      <c r="A3013" s="166"/>
      <c r="B3013" s="82"/>
      <c r="C3013" s="70"/>
      <c r="D3013" s="70"/>
      <c r="E3013" s="70"/>
      <c r="F3013" s="70"/>
      <c r="G3013" s="70"/>
      <c r="H3013" s="93"/>
      <c r="I3013" s="85"/>
      <c r="J3013" s="85"/>
      <c r="K3013" s="131"/>
      <c r="L3013" s="60"/>
      <c r="S3013"/>
      <c r="T3013"/>
      <c r="U3013"/>
      <c r="V3013"/>
      <c r="W3013"/>
      <c r="X3013"/>
      <c r="Y3013"/>
      <c r="Z3013"/>
    </row>
    <row r="3014" spans="1:28" x14ac:dyDescent="0.15">
      <c r="A3014" s="166"/>
      <c r="B3014" s="93"/>
      <c r="C3014" s="70"/>
      <c r="D3014" s="70"/>
      <c r="E3014" s="70"/>
      <c r="F3014" s="70"/>
      <c r="G3014" s="70"/>
      <c r="H3014" s="93"/>
      <c r="I3014" s="85"/>
      <c r="J3014" s="85"/>
      <c r="K3014" s="131"/>
      <c r="L3014" s="60"/>
      <c r="M3014" s="33"/>
      <c r="S3014"/>
      <c r="T3014"/>
      <c r="U3014"/>
      <c r="V3014"/>
      <c r="W3014"/>
      <c r="X3014"/>
      <c r="Y3014"/>
      <c r="Z3014"/>
    </row>
    <row r="3015" spans="1:28" x14ac:dyDescent="0.15">
      <c r="A3015" s="166"/>
      <c r="B3015" s="82"/>
      <c r="C3015" s="70"/>
      <c r="D3015" s="70"/>
      <c r="E3015" s="70"/>
      <c r="F3015" s="70"/>
      <c r="G3015" s="70"/>
      <c r="H3015" s="93"/>
      <c r="I3015" s="85"/>
      <c r="J3015" s="85"/>
      <c r="K3015" s="131"/>
      <c r="L3015" s="60"/>
      <c r="S3015"/>
      <c r="T3015"/>
      <c r="U3015"/>
      <c r="V3015"/>
      <c r="W3015"/>
      <c r="X3015"/>
      <c r="Y3015"/>
      <c r="Z3015"/>
    </row>
    <row r="3016" spans="1:28" x14ac:dyDescent="0.15">
      <c r="A3016" s="166"/>
      <c r="B3016" s="82"/>
      <c r="C3016" s="70"/>
      <c r="D3016" s="70"/>
      <c r="E3016" s="70"/>
      <c r="F3016" s="70"/>
      <c r="G3016" s="70"/>
      <c r="H3016" s="93"/>
      <c r="I3016" s="85"/>
      <c r="J3016" s="85"/>
      <c r="K3016" s="131"/>
      <c r="L3016" s="60"/>
      <c r="S3016"/>
      <c r="T3016"/>
      <c r="U3016"/>
      <c r="V3016"/>
      <c r="W3016"/>
      <c r="X3016"/>
      <c r="Y3016"/>
      <c r="Z3016"/>
    </row>
    <row r="3017" spans="1:28" x14ac:dyDescent="0.15">
      <c r="A3017" s="166"/>
      <c r="B3017" s="82"/>
      <c r="C3017" s="70"/>
      <c r="D3017" s="70"/>
      <c r="E3017" s="70"/>
      <c r="F3017" s="70"/>
      <c r="G3017" s="70"/>
      <c r="H3017" s="93"/>
      <c r="I3017" s="85"/>
      <c r="J3017" s="85"/>
      <c r="K3017" s="131"/>
      <c r="L3017" s="60"/>
      <c r="S3017"/>
      <c r="T3017"/>
      <c r="U3017"/>
      <c r="V3017"/>
      <c r="W3017"/>
      <c r="X3017"/>
      <c r="Y3017"/>
      <c r="Z3017"/>
    </row>
    <row r="3018" spans="1:28" x14ac:dyDescent="0.15">
      <c r="A3018" s="166"/>
      <c r="B3018" s="82"/>
      <c r="C3018" s="70"/>
      <c r="D3018" s="70"/>
      <c r="E3018" s="70"/>
      <c r="F3018" s="70"/>
      <c r="G3018" s="70"/>
      <c r="H3018" s="93"/>
      <c r="I3018" s="85"/>
      <c r="J3018" s="85"/>
      <c r="K3018" s="131"/>
      <c r="L3018" s="60"/>
      <c r="S3018"/>
      <c r="T3018"/>
      <c r="U3018"/>
      <c r="V3018"/>
      <c r="W3018"/>
      <c r="X3018"/>
      <c r="Y3018"/>
      <c r="Z3018"/>
    </row>
    <row r="3019" spans="1:28" x14ac:dyDescent="0.15">
      <c r="A3019" s="166"/>
      <c r="B3019" s="82"/>
      <c r="C3019" s="70"/>
      <c r="D3019" s="70"/>
      <c r="E3019" s="70"/>
      <c r="F3019" s="70"/>
      <c r="G3019" s="70"/>
      <c r="H3019" s="93"/>
      <c r="I3019" s="85"/>
      <c r="J3019" s="85"/>
      <c r="K3019" s="131"/>
      <c r="L3019" s="69"/>
      <c r="S3019"/>
      <c r="T3019"/>
      <c r="U3019"/>
      <c r="V3019"/>
      <c r="W3019"/>
      <c r="X3019"/>
      <c r="Y3019"/>
      <c r="Z3019"/>
    </row>
    <row r="3020" spans="1:28" x14ac:dyDescent="0.15">
      <c r="A3020" s="166"/>
      <c r="B3020" s="82"/>
      <c r="C3020" s="70"/>
      <c r="D3020" s="70"/>
      <c r="E3020" s="70"/>
      <c r="F3020" s="70"/>
      <c r="G3020" s="70"/>
      <c r="H3020" s="93"/>
      <c r="I3020" s="85"/>
      <c r="J3020" s="85"/>
      <c r="K3020" s="131"/>
      <c r="L3020" s="67"/>
      <c r="S3020"/>
      <c r="T3020"/>
      <c r="U3020"/>
      <c r="V3020"/>
      <c r="W3020"/>
      <c r="X3020"/>
      <c r="Y3020"/>
      <c r="Z3020"/>
    </row>
    <row r="3021" spans="1:28" x14ac:dyDescent="0.15">
      <c r="A3021" s="166"/>
      <c r="B3021" s="82"/>
      <c r="C3021" s="70"/>
      <c r="D3021" s="70"/>
      <c r="E3021" s="70"/>
      <c r="F3021" s="70"/>
      <c r="G3021" s="70"/>
      <c r="H3021" s="93"/>
      <c r="I3021" s="85"/>
      <c r="J3021" s="85"/>
      <c r="K3021" s="131"/>
      <c r="L3021" s="60"/>
      <c r="S3021"/>
      <c r="T3021"/>
      <c r="U3021"/>
      <c r="V3021"/>
      <c r="W3021"/>
      <c r="X3021"/>
      <c r="Y3021"/>
      <c r="Z3021"/>
    </row>
    <row r="3022" spans="1:28" x14ac:dyDescent="0.15">
      <c r="A3022" s="166"/>
      <c r="B3022" s="82"/>
      <c r="C3022" s="70"/>
      <c r="D3022" s="70"/>
      <c r="E3022" s="70"/>
      <c r="F3022" s="70"/>
      <c r="G3022" s="70"/>
      <c r="H3022" s="93"/>
      <c r="I3022" s="85"/>
      <c r="J3022" s="85"/>
      <c r="K3022" s="131"/>
      <c r="L3022" s="60"/>
      <c r="S3022"/>
      <c r="T3022"/>
      <c r="U3022"/>
      <c r="V3022"/>
      <c r="W3022"/>
      <c r="X3022"/>
      <c r="Y3022"/>
      <c r="Z3022"/>
    </row>
    <row r="3023" spans="1:28" x14ac:dyDescent="0.15">
      <c r="A3023" s="166"/>
      <c r="B3023" s="82"/>
      <c r="C3023" s="70"/>
      <c r="D3023" s="70"/>
      <c r="E3023" s="70"/>
      <c r="F3023" s="70"/>
      <c r="G3023" s="70"/>
      <c r="H3023" s="93"/>
      <c r="I3023" s="85"/>
      <c r="J3023" s="85"/>
      <c r="K3023" s="131"/>
      <c r="L3023" s="60"/>
      <c r="S3023"/>
      <c r="T3023"/>
      <c r="U3023"/>
      <c r="V3023"/>
      <c r="W3023"/>
      <c r="X3023"/>
      <c r="Y3023"/>
      <c r="Z3023"/>
    </row>
    <row r="3024" spans="1:28" x14ac:dyDescent="0.15">
      <c r="A3024" s="166"/>
      <c r="B3024" s="82"/>
      <c r="C3024" s="70"/>
      <c r="D3024" s="70"/>
      <c r="E3024" s="70"/>
      <c r="F3024" s="70"/>
      <c r="G3024" s="70"/>
      <c r="H3024" s="93"/>
      <c r="I3024" s="85"/>
      <c r="J3024" s="85"/>
      <c r="K3024" s="131"/>
      <c r="L3024" s="69"/>
      <c r="S3024"/>
      <c r="T3024"/>
      <c r="U3024"/>
      <c r="V3024"/>
      <c r="W3024"/>
      <c r="X3024"/>
      <c r="Y3024"/>
      <c r="Z3024"/>
    </row>
    <row r="3025" spans="1:28" x14ac:dyDescent="0.15">
      <c r="A3025" s="166"/>
      <c r="B3025" s="82"/>
      <c r="C3025" s="70"/>
      <c r="D3025" s="70"/>
      <c r="E3025" s="70"/>
      <c r="F3025" s="70"/>
      <c r="G3025" s="70"/>
      <c r="H3025" s="93"/>
      <c r="I3025" s="85"/>
      <c r="J3025" s="85"/>
      <c r="K3025" s="131"/>
      <c r="L3025" s="69"/>
      <c r="S3025"/>
      <c r="T3025"/>
      <c r="U3025"/>
      <c r="V3025"/>
      <c r="W3025"/>
      <c r="X3025"/>
      <c r="Y3025"/>
      <c r="Z3025"/>
    </row>
    <row r="3026" spans="1:28" x14ac:dyDescent="0.15">
      <c r="A3026" s="166"/>
      <c r="B3026" s="82"/>
      <c r="C3026" s="70"/>
      <c r="D3026" s="70"/>
      <c r="E3026" s="70"/>
      <c r="F3026" s="70"/>
      <c r="G3026" s="70"/>
      <c r="H3026" s="93"/>
      <c r="I3026" s="85"/>
      <c r="J3026" s="85"/>
      <c r="K3026" s="131"/>
      <c r="L3026" s="60"/>
      <c r="S3026"/>
      <c r="T3026"/>
      <c r="U3026"/>
      <c r="V3026"/>
      <c r="W3026"/>
      <c r="X3026"/>
      <c r="Y3026"/>
      <c r="Z3026"/>
    </row>
    <row r="3027" spans="1:28" x14ac:dyDescent="0.15">
      <c r="A3027" s="166"/>
      <c r="B3027" s="82"/>
      <c r="C3027" s="70"/>
      <c r="D3027" s="70"/>
      <c r="E3027" s="70"/>
      <c r="F3027" s="70"/>
      <c r="G3027" s="70"/>
      <c r="H3027" s="93"/>
      <c r="I3027" s="85"/>
      <c r="J3027" s="85"/>
      <c r="K3027" s="131"/>
      <c r="L3027" s="60"/>
      <c r="S3027"/>
      <c r="T3027"/>
      <c r="U3027"/>
      <c r="V3027"/>
      <c r="W3027"/>
      <c r="X3027"/>
      <c r="Y3027"/>
      <c r="Z3027"/>
    </row>
    <row r="3028" spans="1:28" x14ac:dyDescent="0.15">
      <c r="A3028" s="166"/>
      <c r="B3028" s="82"/>
      <c r="C3028" s="70"/>
      <c r="D3028" s="70"/>
      <c r="E3028" s="70"/>
      <c r="F3028" s="70"/>
      <c r="G3028" s="70"/>
      <c r="H3028" s="93"/>
      <c r="I3028" s="85"/>
      <c r="J3028" s="85"/>
      <c r="K3028" s="131"/>
      <c r="L3028" s="60"/>
    </row>
    <row r="3029" spans="1:28" x14ac:dyDescent="0.15">
      <c r="A3029" s="166"/>
      <c r="B3029" s="82"/>
      <c r="C3029" s="70"/>
      <c r="D3029" s="70"/>
      <c r="E3029" s="70"/>
      <c r="F3029" s="70"/>
      <c r="G3029" s="70"/>
      <c r="H3029" s="93"/>
      <c r="I3029" s="85"/>
      <c r="J3029" s="85"/>
      <c r="K3029" s="131"/>
      <c r="L3029" s="60"/>
      <c r="O3029" s="51"/>
    </row>
    <row r="3030" spans="1:28" x14ac:dyDescent="0.15">
      <c r="A3030" s="167"/>
      <c r="B3030" s="87"/>
      <c r="C3030" s="88"/>
      <c r="D3030" s="86"/>
      <c r="E3030" s="86"/>
      <c r="F3030" s="86"/>
      <c r="G3030" s="86"/>
      <c r="H3030" s="87"/>
      <c r="I3030" s="85"/>
      <c r="J3030" s="89"/>
      <c r="K3030" s="132"/>
      <c r="L3030" s="62"/>
    </row>
    <row r="3031" spans="1:28" x14ac:dyDescent="0.15">
      <c r="A3031" s="167"/>
      <c r="B3031" s="87"/>
      <c r="C3031" s="88"/>
      <c r="D3031" s="86"/>
      <c r="E3031" s="86"/>
      <c r="F3031" s="86"/>
      <c r="G3031" s="86"/>
      <c r="H3031" s="87"/>
      <c r="I3031" s="85"/>
      <c r="J3031" s="89"/>
      <c r="K3031" s="132"/>
      <c r="L3031" s="61"/>
    </row>
    <row r="3032" spans="1:28" x14ac:dyDescent="0.15">
      <c r="A3032" s="166"/>
      <c r="B3032" s="93"/>
      <c r="C3032" s="70"/>
      <c r="D3032" s="70"/>
      <c r="E3032" s="70"/>
      <c r="F3032" s="70"/>
      <c r="G3032" s="70"/>
      <c r="H3032" s="93"/>
      <c r="I3032" s="85"/>
      <c r="J3032" s="85"/>
      <c r="K3032" s="131"/>
      <c r="L3032" s="60"/>
      <c r="M3032" s="33"/>
    </row>
    <row r="3033" spans="1:28" x14ac:dyDescent="0.15">
      <c r="A3033" s="166"/>
      <c r="B3033" s="82"/>
      <c r="C3033" s="70"/>
      <c r="D3033" s="70"/>
      <c r="E3033" s="70"/>
      <c r="F3033" s="70"/>
      <c r="G3033" s="70"/>
      <c r="H3033" s="93"/>
      <c r="I3033" s="85"/>
      <c r="J3033" s="85"/>
      <c r="K3033" s="131"/>
      <c r="L3033" s="60"/>
    </row>
    <row r="3034" spans="1:28" x14ac:dyDescent="0.15">
      <c r="A3034" s="166"/>
      <c r="B3034" s="82"/>
      <c r="C3034" s="70"/>
      <c r="D3034" s="70"/>
      <c r="E3034" s="70"/>
      <c r="F3034" s="70"/>
      <c r="G3034" s="70"/>
      <c r="H3034" s="93"/>
      <c r="I3034" s="85"/>
      <c r="J3034" s="85"/>
      <c r="K3034" s="131"/>
      <c r="L3034" s="60"/>
    </row>
    <row r="3035" spans="1:28" x14ac:dyDescent="0.15">
      <c r="A3035" s="166"/>
      <c r="B3035" s="82"/>
      <c r="C3035" s="70"/>
      <c r="D3035" s="70"/>
      <c r="E3035" s="70"/>
      <c r="F3035" s="70"/>
      <c r="G3035" s="70"/>
      <c r="H3035" s="93"/>
      <c r="I3035" s="85"/>
      <c r="J3035" s="85"/>
      <c r="K3035" s="131"/>
      <c r="L3035" s="60"/>
    </row>
    <row r="3036" spans="1:28" x14ac:dyDescent="0.15">
      <c r="A3036" s="166"/>
      <c r="B3036" s="82"/>
      <c r="C3036" s="70"/>
      <c r="D3036" s="70"/>
      <c r="E3036" s="70"/>
      <c r="F3036" s="70"/>
      <c r="G3036" s="70"/>
      <c r="H3036" s="93"/>
      <c r="I3036" s="85"/>
      <c r="J3036" s="85"/>
      <c r="K3036" s="131"/>
      <c r="L3036" s="60"/>
    </row>
    <row r="3037" spans="1:28" x14ac:dyDescent="0.15">
      <c r="A3037" s="166"/>
      <c r="B3037" s="82"/>
      <c r="C3037" s="70"/>
      <c r="D3037" s="70"/>
      <c r="E3037" s="70"/>
      <c r="F3037" s="70"/>
      <c r="G3037" s="70"/>
      <c r="H3037" s="93"/>
      <c r="I3037" s="85"/>
      <c r="J3037" s="85"/>
      <c r="K3037" s="131"/>
      <c r="L3037" s="60"/>
    </row>
    <row r="3038" spans="1:28" s="3" customFormat="1" x14ac:dyDescent="0.15">
      <c r="A3038" s="166"/>
      <c r="B3038" s="82"/>
      <c r="C3038" s="70"/>
      <c r="D3038" s="70"/>
      <c r="E3038" s="70"/>
      <c r="F3038" s="70"/>
      <c r="G3038" s="70"/>
      <c r="H3038" s="93"/>
      <c r="I3038" s="85"/>
      <c r="J3038" s="85"/>
      <c r="K3038" s="131"/>
      <c r="L3038" s="60"/>
      <c r="M3038" s="49"/>
      <c r="N3038" s="37"/>
      <c r="O3038" s="37"/>
      <c r="P3038" s="37"/>
      <c r="Z3038" s="4"/>
      <c r="AA3038"/>
      <c r="AB3038"/>
    </row>
    <row r="3039" spans="1:28" s="3" customFormat="1" x14ac:dyDescent="0.15">
      <c r="A3039" s="166"/>
      <c r="B3039" s="82"/>
      <c r="C3039" s="70"/>
      <c r="D3039" s="70"/>
      <c r="E3039" s="70"/>
      <c r="F3039" s="70"/>
      <c r="G3039" s="70"/>
      <c r="H3039" s="93"/>
      <c r="I3039" s="85"/>
      <c r="J3039" s="85"/>
      <c r="K3039" s="131"/>
      <c r="L3039" s="60"/>
      <c r="M3039" s="49"/>
      <c r="N3039" s="37"/>
      <c r="O3039" s="37"/>
      <c r="P3039" s="37"/>
      <c r="Z3039" s="4"/>
      <c r="AA3039"/>
      <c r="AB3039"/>
    </row>
    <row r="3040" spans="1:28" s="3" customFormat="1" ht="16" x14ac:dyDescent="0.2">
      <c r="A3040" s="166"/>
      <c r="B3040" s="82"/>
      <c r="C3040" s="70"/>
      <c r="D3040" s="70"/>
      <c r="E3040" s="70"/>
      <c r="F3040" s="70"/>
      <c r="G3040" s="70"/>
      <c r="H3040" s="93"/>
      <c r="I3040" s="85"/>
      <c r="J3040" s="85"/>
      <c r="K3040" s="131"/>
      <c r="L3040" s="60"/>
      <c r="M3040" s="49"/>
      <c r="N3040" s="48"/>
      <c r="O3040" s="37"/>
      <c r="P3040" s="37"/>
      <c r="Z3040" s="4"/>
      <c r="AA3040"/>
      <c r="AB3040"/>
    </row>
    <row r="3041" spans="1:28" s="3" customFormat="1" x14ac:dyDescent="0.15">
      <c r="A3041" s="166"/>
      <c r="B3041" s="82"/>
      <c r="C3041" s="70"/>
      <c r="D3041" s="70"/>
      <c r="E3041" s="70"/>
      <c r="F3041" s="70"/>
      <c r="G3041" s="70"/>
      <c r="H3041" s="93"/>
      <c r="I3041" s="85"/>
      <c r="J3041" s="85"/>
      <c r="K3041" s="131"/>
      <c r="L3041" s="60"/>
      <c r="M3041" s="49"/>
      <c r="N3041" s="37"/>
      <c r="O3041" s="37"/>
      <c r="P3041" s="37"/>
      <c r="Z3041" s="4"/>
      <c r="AA3041"/>
      <c r="AB3041"/>
    </row>
    <row r="3042" spans="1:28" s="3" customFormat="1" x14ac:dyDescent="0.15">
      <c r="A3042" s="166"/>
      <c r="B3042" s="82"/>
      <c r="C3042" s="70"/>
      <c r="D3042" s="70"/>
      <c r="E3042" s="70"/>
      <c r="F3042" s="70"/>
      <c r="G3042" s="70"/>
      <c r="H3042" s="93"/>
      <c r="I3042" s="85"/>
      <c r="J3042" s="85"/>
      <c r="K3042" s="131"/>
      <c r="L3042" s="60"/>
      <c r="M3042" s="49"/>
      <c r="N3042" s="37"/>
      <c r="O3042" s="37"/>
      <c r="P3042" s="37"/>
      <c r="Z3042" s="4"/>
      <c r="AA3042"/>
      <c r="AB3042"/>
    </row>
    <row r="3043" spans="1:28" s="3" customFormat="1" x14ac:dyDescent="0.15">
      <c r="A3043" s="166"/>
      <c r="B3043" s="82"/>
      <c r="C3043" s="70"/>
      <c r="D3043" s="70"/>
      <c r="E3043" s="70"/>
      <c r="F3043" s="70"/>
      <c r="G3043" s="70"/>
      <c r="H3043" s="93"/>
      <c r="I3043" s="85"/>
      <c r="J3043" s="85"/>
      <c r="K3043" s="131"/>
      <c r="L3043" s="60"/>
      <c r="M3043" s="49"/>
      <c r="N3043" s="37"/>
      <c r="O3043" s="37"/>
      <c r="P3043" s="37"/>
      <c r="Z3043" s="4"/>
      <c r="AA3043"/>
      <c r="AB3043"/>
    </row>
    <row r="3044" spans="1:28" s="3" customFormat="1" x14ac:dyDescent="0.15">
      <c r="A3044" s="166"/>
      <c r="B3044" s="93"/>
      <c r="C3044" s="70"/>
      <c r="D3044" s="70"/>
      <c r="E3044" s="70"/>
      <c r="F3044" s="70"/>
      <c r="G3044" s="70"/>
      <c r="H3044" s="93"/>
      <c r="I3044" s="85"/>
      <c r="J3044" s="85"/>
      <c r="K3044" s="131"/>
      <c r="L3044" s="60"/>
      <c r="M3044" s="49"/>
      <c r="N3044" s="37"/>
      <c r="O3044" s="37"/>
      <c r="P3044" s="37"/>
      <c r="Z3044" s="4"/>
      <c r="AA3044"/>
      <c r="AB3044"/>
    </row>
    <row r="3045" spans="1:28" s="3" customFormat="1" x14ac:dyDescent="0.15">
      <c r="A3045" s="166"/>
      <c r="B3045" s="82"/>
      <c r="C3045" s="70"/>
      <c r="D3045" s="70"/>
      <c r="E3045" s="70"/>
      <c r="F3045" s="70"/>
      <c r="G3045" s="70"/>
      <c r="H3045" s="93"/>
      <c r="I3045" s="85"/>
      <c r="J3045" s="85"/>
      <c r="K3045" s="131"/>
      <c r="L3045" s="60"/>
      <c r="M3045" s="49"/>
      <c r="N3045" s="37"/>
      <c r="O3045" s="37"/>
      <c r="P3045" s="37"/>
      <c r="Z3045" s="4"/>
      <c r="AA3045"/>
      <c r="AB3045"/>
    </row>
    <row r="3046" spans="1:28" s="3" customFormat="1" x14ac:dyDescent="0.15">
      <c r="A3046" s="166"/>
      <c r="B3046" s="82"/>
      <c r="C3046" s="70"/>
      <c r="D3046" s="70"/>
      <c r="E3046" s="70"/>
      <c r="F3046" s="70"/>
      <c r="G3046" s="70"/>
      <c r="H3046" s="93"/>
      <c r="I3046" s="85"/>
      <c r="J3046" s="85"/>
      <c r="K3046" s="131"/>
      <c r="L3046" s="60"/>
      <c r="M3046" s="49"/>
      <c r="N3046" s="37"/>
      <c r="O3046" s="37"/>
      <c r="P3046" s="37"/>
      <c r="Z3046" s="4"/>
      <c r="AA3046"/>
      <c r="AB3046"/>
    </row>
    <row r="3047" spans="1:28" s="3" customFormat="1" x14ac:dyDescent="0.15">
      <c r="A3047" s="166"/>
      <c r="B3047" s="82"/>
      <c r="C3047" s="70"/>
      <c r="D3047" s="70"/>
      <c r="E3047" s="70"/>
      <c r="F3047" s="70"/>
      <c r="G3047" s="70"/>
      <c r="H3047" s="93"/>
      <c r="I3047" s="85"/>
      <c r="J3047" s="85"/>
      <c r="K3047" s="131"/>
      <c r="L3047" s="60"/>
      <c r="M3047" s="49"/>
      <c r="N3047" s="37"/>
      <c r="O3047" s="37"/>
      <c r="P3047" s="37"/>
      <c r="Z3047" s="4"/>
      <c r="AA3047"/>
      <c r="AB3047"/>
    </row>
    <row r="3048" spans="1:28" s="3" customFormat="1" x14ac:dyDescent="0.15">
      <c r="A3048" s="167"/>
      <c r="B3048" s="87"/>
      <c r="C3048" s="88"/>
      <c r="D3048" s="86"/>
      <c r="E3048" s="86"/>
      <c r="F3048" s="86"/>
      <c r="G3048" s="86"/>
      <c r="H3048" s="87"/>
      <c r="I3048" s="85"/>
      <c r="J3048" s="89"/>
      <c r="K3048" s="132"/>
      <c r="L3048" s="61"/>
      <c r="M3048" s="49"/>
      <c r="N3048" s="37"/>
      <c r="O3048" s="37"/>
      <c r="P3048" s="37"/>
      <c r="Z3048" s="4"/>
      <c r="AA3048"/>
      <c r="AB3048"/>
    </row>
    <row r="3049" spans="1:28" s="3" customFormat="1" x14ac:dyDescent="0.15">
      <c r="A3049" s="167"/>
      <c r="B3049" s="87"/>
      <c r="C3049" s="88"/>
      <c r="D3049" s="86"/>
      <c r="E3049" s="86"/>
      <c r="F3049" s="86"/>
      <c r="G3049" s="86"/>
      <c r="H3049" s="87"/>
      <c r="I3049" s="85"/>
      <c r="J3049" s="89"/>
      <c r="K3049" s="132"/>
      <c r="L3049" s="62"/>
      <c r="M3049" s="49"/>
      <c r="N3049" s="37"/>
      <c r="O3049" s="37"/>
      <c r="P3049" s="37"/>
      <c r="Z3049" s="4"/>
      <c r="AA3049"/>
      <c r="AB3049"/>
    </row>
    <row r="3050" spans="1:28" s="3" customFormat="1" x14ac:dyDescent="0.15">
      <c r="A3050" s="166"/>
      <c r="B3050" s="82"/>
      <c r="C3050" s="70"/>
      <c r="D3050" s="70"/>
      <c r="E3050" s="70"/>
      <c r="F3050" s="70"/>
      <c r="G3050" s="70"/>
      <c r="H3050" s="93"/>
      <c r="I3050" s="85"/>
      <c r="J3050" s="85"/>
      <c r="K3050" s="131"/>
      <c r="L3050" s="60"/>
      <c r="M3050" s="49"/>
      <c r="N3050" s="37"/>
      <c r="O3050" s="37"/>
      <c r="P3050" s="49"/>
      <c r="Z3050" s="4"/>
      <c r="AA3050"/>
      <c r="AB3050"/>
    </row>
    <row r="3051" spans="1:28" s="3" customFormat="1" x14ac:dyDescent="0.15">
      <c r="A3051" s="166"/>
      <c r="B3051" s="82"/>
      <c r="C3051" s="70"/>
      <c r="D3051" s="70"/>
      <c r="E3051" s="70"/>
      <c r="F3051" s="70"/>
      <c r="G3051" s="70"/>
      <c r="H3051" s="93"/>
      <c r="I3051" s="85"/>
      <c r="J3051" s="85"/>
      <c r="K3051" s="131"/>
      <c r="L3051" s="60"/>
      <c r="M3051" s="49"/>
      <c r="N3051" s="37"/>
      <c r="O3051" s="37"/>
      <c r="P3051" s="37"/>
      <c r="Z3051" s="4"/>
      <c r="AA3051"/>
      <c r="AB3051"/>
    </row>
    <row r="3052" spans="1:28" s="3" customFormat="1" x14ac:dyDescent="0.15">
      <c r="A3052" s="166"/>
      <c r="B3052" s="82"/>
      <c r="C3052" s="70"/>
      <c r="D3052" s="70"/>
      <c r="E3052" s="70"/>
      <c r="F3052" s="70"/>
      <c r="G3052" s="70"/>
      <c r="H3052" s="93"/>
      <c r="I3052" s="85"/>
      <c r="J3052" s="85"/>
      <c r="K3052" s="131"/>
      <c r="L3052" s="60"/>
      <c r="M3052" s="49"/>
      <c r="N3052" s="37"/>
      <c r="O3052" s="37"/>
      <c r="P3052" s="37"/>
      <c r="Z3052" s="4"/>
      <c r="AA3052"/>
      <c r="AB3052"/>
    </row>
    <row r="3053" spans="1:28" s="3" customFormat="1" x14ac:dyDescent="0.15">
      <c r="A3053" s="166"/>
      <c r="B3053" s="93"/>
      <c r="C3053" s="70"/>
      <c r="D3053" s="70"/>
      <c r="E3053" s="70"/>
      <c r="F3053" s="70"/>
      <c r="G3053" s="70"/>
      <c r="H3053" s="93"/>
      <c r="I3053" s="85"/>
      <c r="J3053" s="85"/>
      <c r="K3053" s="131"/>
      <c r="L3053" s="60"/>
      <c r="M3053" s="37"/>
      <c r="N3053" s="37"/>
      <c r="O3053" s="37"/>
      <c r="P3053" s="37"/>
      <c r="Z3053" s="4"/>
      <c r="AA3053"/>
      <c r="AB3053"/>
    </row>
    <row r="3054" spans="1:28" s="37" customFormat="1" x14ac:dyDescent="0.15">
      <c r="A3054" s="167"/>
      <c r="B3054" s="93"/>
      <c r="C3054" s="88"/>
      <c r="D3054" s="86"/>
      <c r="E3054" s="86"/>
      <c r="F3054" s="86"/>
      <c r="G3054" s="86"/>
      <c r="H3054" s="87"/>
      <c r="I3054" s="85"/>
      <c r="J3054" s="89"/>
      <c r="K3054" s="146"/>
      <c r="L3054" s="63"/>
      <c r="N3054" s="34"/>
      <c r="Q3054" s="3"/>
      <c r="R3054" s="3"/>
      <c r="S3054" s="3"/>
      <c r="T3054" s="3"/>
      <c r="U3054" s="3"/>
      <c r="V3054" s="3"/>
      <c r="W3054" s="3"/>
      <c r="X3054" s="3"/>
      <c r="Y3054" s="3"/>
      <c r="Z3054" s="4"/>
      <c r="AA3054"/>
      <c r="AB3054"/>
    </row>
    <row r="3055" spans="1:28" s="37" customFormat="1" x14ac:dyDescent="0.15">
      <c r="A3055" s="166"/>
      <c r="B3055" s="82"/>
      <c r="C3055" s="70"/>
      <c r="D3055" s="70"/>
      <c r="E3055" s="70"/>
      <c r="F3055" s="70"/>
      <c r="G3055" s="70"/>
      <c r="H3055" s="93"/>
      <c r="I3055" s="85"/>
      <c r="J3055" s="110"/>
      <c r="K3055" s="146"/>
      <c r="L3055" s="60"/>
      <c r="M3055" s="33"/>
      <c r="Q3055" s="3"/>
      <c r="R3055" s="3"/>
      <c r="S3055" s="3"/>
      <c r="T3055" s="3"/>
      <c r="U3055" s="3"/>
      <c r="V3055" s="3"/>
      <c r="W3055" s="3"/>
      <c r="X3055" s="3"/>
      <c r="Y3055" s="3"/>
      <c r="Z3055" s="4"/>
      <c r="AA3055"/>
      <c r="AB3055"/>
    </row>
    <row r="3056" spans="1:28" s="37" customFormat="1" x14ac:dyDescent="0.15">
      <c r="A3056" s="166"/>
      <c r="B3056" s="82"/>
      <c r="C3056" s="70"/>
      <c r="D3056" s="70"/>
      <c r="E3056" s="70"/>
      <c r="F3056" s="70"/>
      <c r="G3056" s="70"/>
      <c r="H3056" s="93"/>
      <c r="I3056" s="85"/>
      <c r="J3056" s="85"/>
      <c r="K3056" s="146"/>
      <c r="L3056" s="60"/>
      <c r="M3056" s="49"/>
      <c r="Q3056" s="3"/>
      <c r="R3056" s="3"/>
      <c r="S3056" s="3"/>
      <c r="T3056" s="3"/>
      <c r="U3056" s="3"/>
      <c r="V3056" s="3"/>
      <c r="W3056" s="3"/>
      <c r="X3056" s="3"/>
      <c r="Y3056" s="3"/>
      <c r="Z3056" s="4"/>
      <c r="AA3056"/>
      <c r="AB3056"/>
    </row>
    <row r="3057" spans="1:28" s="37" customFormat="1" x14ac:dyDescent="0.15">
      <c r="A3057" s="167"/>
      <c r="B3057" s="87"/>
      <c r="C3057" s="88"/>
      <c r="D3057" s="86"/>
      <c r="E3057" s="86"/>
      <c r="F3057" s="86"/>
      <c r="G3057" s="86"/>
      <c r="H3057" s="87"/>
      <c r="I3057" s="85"/>
      <c r="J3057" s="89"/>
      <c r="K3057" s="132"/>
      <c r="L3057" s="62"/>
      <c r="M3057" s="49"/>
      <c r="O3057" s="51"/>
      <c r="Q3057" s="3"/>
      <c r="R3057" s="3"/>
      <c r="S3057" s="3"/>
      <c r="T3057" s="3"/>
      <c r="U3057" s="3"/>
      <c r="V3057" s="3"/>
      <c r="W3057" s="3"/>
      <c r="X3057" s="3"/>
      <c r="Y3057" s="3"/>
      <c r="Z3057" s="4"/>
      <c r="AA3057"/>
      <c r="AB3057"/>
    </row>
    <row r="3058" spans="1:28" s="37" customFormat="1" x14ac:dyDescent="0.15">
      <c r="A3058" s="167"/>
      <c r="B3058" s="87"/>
      <c r="C3058" s="88"/>
      <c r="D3058" s="86"/>
      <c r="E3058" s="86"/>
      <c r="F3058" s="86"/>
      <c r="G3058" s="86"/>
      <c r="H3058" s="87"/>
      <c r="I3058" s="85"/>
      <c r="J3058" s="89"/>
      <c r="K3058" s="132"/>
      <c r="L3058" s="62"/>
      <c r="M3058" s="49"/>
      <c r="O3058" s="51"/>
      <c r="Q3058" s="3"/>
      <c r="R3058" s="3"/>
      <c r="S3058" s="3"/>
      <c r="T3058" s="3"/>
      <c r="U3058" s="3"/>
      <c r="V3058" s="3"/>
      <c r="W3058" s="3"/>
      <c r="X3058" s="3"/>
      <c r="Y3058" s="3"/>
      <c r="Z3058" s="4"/>
      <c r="AA3058"/>
      <c r="AB3058"/>
    </row>
    <row r="3059" spans="1:28" s="37" customFormat="1" x14ac:dyDescent="0.15">
      <c r="A3059" s="167"/>
      <c r="B3059" s="87"/>
      <c r="C3059" s="88"/>
      <c r="D3059" s="86"/>
      <c r="E3059" s="86"/>
      <c r="F3059" s="86"/>
      <c r="G3059" s="86"/>
      <c r="H3059" s="87"/>
      <c r="I3059" s="85"/>
      <c r="J3059" s="89"/>
      <c r="K3059" s="132"/>
      <c r="L3059" s="62"/>
      <c r="M3059" s="49"/>
      <c r="O3059" s="51"/>
      <c r="Q3059" s="3"/>
      <c r="R3059" s="3"/>
      <c r="S3059" s="3"/>
      <c r="T3059" s="3"/>
      <c r="U3059" s="3"/>
      <c r="V3059" s="3"/>
      <c r="W3059" s="3"/>
      <c r="X3059" s="3"/>
      <c r="Y3059" s="3"/>
      <c r="Z3059" s="4"/>
      <c r="AA3059"/>
      <c r="AB3059"/>
    </row>
    <row r="3060" spans="1:28" s="37" customFormat="1" x14ac:dyDescent="0.15">
      <c r="A3060" s="167"/>
      <c r="B3060" s="87"/>
      <c r="C3060" s="88"/>
      <c r="D3060" s="86"/>
      <c r="E3060" s="86"/>
      <c r="F3060" s="86"/>
      <c r="G3060" s="86"/>
      <c r="H3060" s="87"/>
      <c r="I3060" s="85"/>
      <c r="J3060" s="89"/>
      <c r="K3060" s="132"/>
      <c r="L3060" s="62"/>
      <c r="M3060" s="49"/>
      <c r="O3060" s="51"/>
      <c r="Q3060" s="3"/>
      <c r="R3060" s="3"/>
      <c r="S3060" s="3"/>
      <c r="T3060" s="3"/>
      <c r="U3060" s="3"/>
      <c r="V3060" s="3"/>
      <c r="W3060" s="3"/>
      <c r="X3060" s="3"/>
      <c r="Y3060" s="3"/>
      <c r="Z3060" s="4"/>
      <c r="AA3060"/>
      <c r="AB3060"/>
    </row>
    <row r="3061" spans="1:28" s="37" customFormat="1" x14ac:dyDescent="0.15">
      <c r="A3061" s="167"/>
      <c r="B3061" s="87"/>
      <c r="C3061" s="88"/>
      <c r="D3061" s="86"/>
      <c r="E3061" s="86"/>
      <c r="F3061" s="86"/>
      <c r="G3061" s="86"/>
      <c r="H3061" s="87"/>
      <c r="I3061" s="85"/>
      <c r="J3061" s="89"/>
      <c r="K3061" s="132"/>
      <c r="L3061" s="61"/>
      <c r="M3061" s="49"/>
      <c r="Q3061" s="3"/>
      <c r="R3061" s="3"/>
      <c r="S3061" s="3"/>
      <c r="T3061" s="3"/>
      <c r="U3061" s="3"/>
      <c r="V3061" s="3"/>
      <c r="W3061" s="3"/>
      <c r="X3061" s="3"/>
      <c r="Y3061" s="3"/>
      <c r="Z3061" s="4"/>
      <c r="AA3061"/>
      <c r="AB3061"/>
    </row>
    <row r="3062" spans="1:28" s="37" customFormat="1" x14ac:dyDescent="0.15">
      <c r="A3062" s="169"/>
      <c r="B3062" s="90"/>
      <c r="C3062" s="91"/>
      <c r="D3062" s="70"/>
      <c r="E3062" s="91"/>
      <c r="F3062" s="91"/>
      <c r="G3062" s="91"/>
      <c r="H3062" s="176"/>
      <c r="I3062" s="85"/>
      <c r="J3062" s="92"/>
      <c r="K3062" s="133"/>
      <c r="L3062" s="65"/>
      <c r="M3062" s="49"/>
      <c r="Q3062" s="3"/>
      <c r="R3062" s="3"/>
      <c r="S3062" s="3"/>
      <c r="T3062" s="3"/>
      <c r="U3062" s="3"/>
      <c r="V3062" s="3"/>
      <c r="W3062" s="3"/>
      <c r="X3062" s="3"/>
      <c r="Y3062" s="3"/>
      <c r="Z3062" s="4"/>
      <c r="AA3062"/>
      <c r="AB3062"/>
    </row>
    <row r="3063" spans="1:28" s="37" customFormat="1" ht="16" x14ac:dyDescent="0.2">
      <c r="A3063" s="169"/>
      <c r="B3063" s="90"/>
      <c r="C3063" s="91"/>
      <c r="D3063" s="70"/>
      <c r="E3063" s="91"/>
      <c r="F3063" s="91"/>
      <c r="G3063" s="91"/>
      <c r="H3063" s="176"/>
      <c r="I3063" s="85"/>
      <c r="J3063" s="92"/>
      <c r="K3063" s="133"/>
      <c r="L3063" s="65"/>
      <c r="M3063" s="49"/>
      <c r="N3063" s="48"/>
      <c r="Q3063" s="3"/>
      <c r="R3063" s="3"/>
      <c r="S3063" s="3"/>
      <c r="T3063" s="3"/>
      <c r="U3063" s="3"/>
      <c r="V3063" s="3"/>
      <c r="W3063" s="3"/>
      <c r="X3063" s="3"/>
      <c r="Y3063" s="3"/>
      <c r="Z3063" s="4"/>
      <c r="AA3063"/>
      <c r="AB3063"/>
    </row>
    <row r="3064" spans="1:28" s="37" customFormat="1" x14ac:dyDescent="0.15">
      <c r="A3064" s="169"/>
      <c r="B3064" s="90"/>
      <c r="C3064" s="91"/>
      <c r="D3064" s="70"/>
      <c r="E3064" s="91"/>
      <c r="F3064" s="91"/>
      <c r="G3064" s="91"/>
      <c r="H3064" s="176"/>
      <c r="I3064" s="85"/>
      <c r="J3064" s="92"/>
      <c r="K3064" s="133"/>
      <c r="L3064" s="65"/>
      <c r="M3064" s="49"/>
      <c r="Q3064" s="3"/>
      <c r="R3064" s="3"/>
      <c r="S3064" s="3"/>
      <c r="T3064" s="3"/>
      <c r="U3064" s="3"/>
      <c r="V3064" s="3"/>
      <c r="W3064" s="3"/>
      <c r="X3064" s="3"/>
      <c r="Y3064" s="3"/>
      <c r="Z3064" s="4"/>
      <c r="AA3064"/>
      <c r="AB3064"/>
    </row>
    <row r="3065" spans="1:28" s="37" customFormat="1" x14ac:dyDescent="0.15">
      <c r="A3065" s="166"/>
      <c r="B3065" s="82"/>
      <c r="C3065" s="70"/>
      <c r="D3065" s="70"/>
      <c r="E3065" s="70"/>
      <c r="F3065" s="70"/>
      <c r="G3065" s="70"/>
      <c r="H3065" s="93"/>
      <c r="I3065" s="85"/>
      <c r="J3065" s="85"/>
      <c r="K3065" s="131"/>
      <c r="L3065" s="69"/>
      <c r="M3065" s="49"/>
      <c r="Q3065" s="3"/>
      <c r="R3065" s="3"/>
      <c r="S3065" s="3"/>
      <c r="T3065" s="3"/>
      <c r="U3065" s="3"/>
      <c r="V3065" s="3"/>
      <c r="W3065" s="3"/>
      <c r="X3065" s="3"/>
      <c r="Y3065" s="3"/>
      <c r="Z3065" s="4"/>
      <c r="AA3065"/>
      <c r="AB3065"/>
    </row>
    <row r="3066" spans="1:28" s="37" customFormat="1" x14ac:dyDescent="0.15">
      <c r="A3066" s="166"/>
      <c r="B3066" s="82"/>
      <c r="C3066" s="70"/>
      <c r="D3066" s="70"/>
      <c r="E3066" s="70"/>
      <c r="F3066" s="70"/>
      <c r="G3066" s="70"/>
      <c r="H3066" s="93"/>
      <c r="I3066" s="85"/>
      <c r="J3066" s="85"/>
      <c r="K3066" s="131"/>
      <c r="L3066" s="69"/>
      <c r="M3066" s="49"/>
      <c r="Q3066" s="3"/>
      <c r="R3066" s="3"/>
      <c r="S3066" s="3"/>
      <c r="T3066" s="3"/>
      <c r="U3066" s="3"/>
      <c r="V3066" s="3"/>
      <c r="W3066" s="3"/>
      <c r="X3066" s="3"/>
      <c r="Y3066" s="3"/>
      <c r="Z3066" s="4"/>
      <c r="AA3066"/>
      <c r="AB3066"/>
    </row>
    <row r="3067" spans="1:28" s="37" customFormat="1" x14ac:dyDescent="0.15">
      <c r="A3067" s="167"/>
      <c r="B3067" s="87"/>
      <c r="C3067" s="88"/>
      <c r="D3067" s="86"/>
      <c r="E3067" s="86"/>
      <c r="F3067" s="86"/>
      <c r="G3067" s="86"/>
      <c r="H3067" s="87"/>
      <c r="I3067" s="85"/>
      <c r="J3067" s="89"/>
      <c r="K3067" s="132"/>
      <c r="L3067" s="68"/>
      <c r="M3067" s="49"/>
      <c r="Q3067" s="3"/>
      <c r="R3067" s="3"/>
      <c r="S3067" s="3"/>
      <c r="T3067" s="3"/>
      <c r="U3067" s="3"/>
      <c r="V3067" s="3"/>
      <c r="W3067" s="3"/>
      <c r="X3067" s="3"/>
      <c r="Y3067" s="3"/>
      <c r="Z3067" s="4"/>
      <c r="AA3067"/>
      <c r="AB3067"/>
    </row>
    <row r="3068" spans="1:28" s="37" customFormat="1" x14ac:dyDescent="0.15">
      <c r="A3068" s="167"/>
      <c r="B3068" s="87"/>
      <c r="C3068" s="88"/>
      <c r="D3068" s="86"/>
      <c r="E3068" s="86"/>
      <c r="F3068" s="86"/>
      <c r="G3068" s="86"/>
      <c r="H3068" s="87"/>
      <c r="I3068" s="85"/>
      <c r="J3068" s="89"/>
      <c r="K3068" s="132"/>
      <c r="L3068" s="68"/>
      <c r="M3068" s="54"/>
      <c r="Q3068" s="3"/>
      <c r="R3068" s="3"/>
      <c r="S3068" s="3"/>
      <c r="T3068" s="3"/>
      <c r="U3068" s="3"/>
      <c r="V3068" s="3"/>
      <c r="W3068" s="3"/>
      <c r="X3068" s="3"/>
      <c r="Y3068" s="3"/>
      <c r="Z3068" s="4"/>
      <c r="AA3068"/>
      <c r="AB3068"/>
    </row>
    <row r="3069" spans="1:28" s="37" customFormat="1" x14ac:dyDescent="0.15">
      <c r="A3069" s="167"/>
      <c r="B3069" s="87"/>
      <c r="C3069" s="88"/>
      <c r="D3069" s="86"/>
      <c r="E3069" s="86"/>
      <c r="F3069" s="86"/>
      <c r="G3069" s="86"/>
      <c r="H3069" s="87"/>
      <c r="I3069" s="85"/>
      <c r="J3069" s="89"/>
      <c r="K3069" s="132"/>
      <c r="L3069" s="68"/>
      <c r="M3069" s="49"/>
      <c r="Q3069" s="3"/>
      <c r="R3069" s="3"/>
      <c r="S3069" s="3"/>
      <c r="T3069" s="3"/>
      <c r="U3069" s="3"/>
      <c r="V3069" s="3"/>
      <c r="W3069" s="3"/>
      <c r="X3069" s="3"/>
      <c r="Y3069" s="3"/>
      <c r="Z3069" s="4"/>
      <c r="AA3069"/>
      <c r="AB3069"/>
    </row>
    <row r="3070" spans="1:28" s="37" customFormat="1" x14ac:dyDescent="0.15">
      <c r="A3070" s="167"/>
      <c r="B3070" s="87"/>
      <c r="C3070" s="88"/>
      <c r="D3070" s="86"/>
      <c r="E3070" s="86"/>
      <c r="F3070" s="86"/>
      <c r="G3070" s="86"/>
      <c r="H3070" s="87"/>
      <c r="I3070" s="85"/>
      <c r="J3070" s="89"/>
      <c r="K3070" s="132"/>
      <c r="L3070" s="61"/>
      <c r="M3070" s="49"/>
      <c r="Q3070" s="3"/>
      <c r="R3070" s="3"/>
      <c r="S3070" s="3"/>
      <c r="T3070" s="3"/>
      <c r="U3070" s="3"/>
      <c r="V3070" s="3"/>
      <c r="W3070" s="3"/>
      <c r="X3070" s="3"/>
      <c r="Y3070" s="3"/>
      <c r="Z3070" s="4"/>
      <c r="AA3070"/>
      <c r="AB3070"/>
    </row>
    <row r="3071" spans="1:28" s="37" customFormat="1" x14ac:dyDescent="0.15">
      <c r="A3071" s="166"/>
      <c r="B3071" s="82"/>
      <c r="C3071" s="70"/>
      <c r="D3071" s="70"/>
      <c r="E3071" s="70"/>
      <c r="F3071" s="70"/>
      <c r="G3071" s="70"/>
      <c r="H3071" s="93"/>
      <c r="I3071" s="85"/>
      <c r="J3071" s="85"/>
      <c r="K3071" s="131"/>
      <c r="L3071" s="60"/>
      <c r="M3071" s="49"/>
      <c r="Q3071" s="3"/>
      <c r="R3071" s="3"/>
      <c r="S3071" s="3"/>
      <c r="T3071" s="3"/>
      <c r="U3071" s="3"/>
      <c r="V3071" s="3"/>
      <c r="W3071" s="3"/>
      <c r="X3071" s="3"/>
      <c r="Y3071" s="3"/>
      <c r="Z3071" s="4"/>
      <c r="AA3071"/>
      <c r="AB3071"/>
    </row>
    <row r="3072" spans="1:28" s="37" customFormat="1" x14ac:dyDescent="0.15">
      <c r="A3072" s="166"/>
      <c r="B3072" s="82"/>
      <c r="C3072" s="70"/>
      <c r="D3072" s="70"/>
      <c r="E3072" s="70"/>
      <c r="F3072" s="70"/>
      <c r="G3072" s="70"/>
      <c r="H3072" s="93"/>
      <c r="I3072" s="85"/>
      <c r="J3072" s="85"/>
      <c r="K3072" s="131"/>
      <c r="L3072" s="60"/>
      <c r="M3072" s="49"/>
      <c r="Q3072" s="3"/>
      <c r="R3072" s="3"/>
      <c r="S3072" s="3"/>
      <c r="T3072" s="3"/>
      <c r="U3072" s="3"/>
      <c r="V3072" s="3"/>
      <c r="W3072" s="3"/>
      <c r="X3072" s="3"/>
      <c r="Y3072" s="3"/>
      <c r="Z3072" s="4"/>
      <c r="AA3072"/>
      <c r="AB3072"/>
    </row>
    <row r="3073" spans="1:28" s="37" customFormat="1" x14ac:dyDescent="0.15">
      <c r="A3073" s="166"/>
      <c r="B3073" s="82"/>
      <c r="C3073" s="70"/>
      <c r="D3073" s="70"/>
      <c r="E3073" s="70"/>
      <c r="F3073" s="70"/>
      <c r="G3073" s="70"/>
      <c r="H3073" s="93"/>
      <c r="I3073" s="85"/>
      <c r="J3073" s="85"/>
      <c r="K3073" s="131"/>
      <c r="L3073" s="60"/>
      <c r="M3073" s="49"/>
      <c r="Q3073" s="3"/>
      <c r="R3073" s="3"/>
      <c r="S3073" s="3"/>
      <c r="T3073" s="3"/>
      <c r="U3073" s="3"/>
      <c r="V3073" s="3"/>
      <c r="W3073" s="3"/>
      <c r="X3073" s="3"/>
      <c r="Y3073" s="3"/>
      <c r="Z3073" s="4"/>
      <c r="AA3073"/>
      <c r="AB3073"/>
    </row>
    <row r="3074" spans="1:28" s="37" customFormat="1" x14ac:dyDescent="0.15">
      <c r="A3074" s="166"/>
      <c r="B3074" s="82"/>
      <c r="C3074" s="70"/>
      <c r="D3074" s="70"/>
      <c r="E3074" s="70"/>
      <c r="F3074" s="70"/>
      <c r="G3074" s="70"/>
      <c r="H3074" s="93"/>
      <c r="I3074" s="85"/>
      <c r="J3074" s="85"/>
      <c r="K3074" s="131"/>
      <c r="L3074" s="60"/>
      <c r="M3074" s="49"/>
      <c r="Q3074" s="3"/>
      <c r="R3074" s="3"/>
      <c r="S3074" s="3"/>
      <c r="T3074" s="3"/>
      <c r="U3074" s="3"/>
      <c r="V3074" s="3"/>
      <c r="W3074" s="3"/>
      <c r="X3074" s="3"/>
      <c r="Y3074" s="3"/>
      <c r="Z3074" s="4"/>
      <c r="AA3074"/>
      <c r="AB3074"/>
    </row>
    <row r="3075" spans="1:28" s="37" customFormat="1" x14ac:dyDescent="0.15">
      <c r="A3075" s="166"/>
      <c r="B3075" s="82"/>
      <c r="C3075" s="70"/>
      <c r="D3075" s="70"/>
      <c r="E3075" s="70"/>
      <c r="F3075" s="70"/>
      <c r="G3075" s="70"/>
      <c r="H3075" s="93"/>
      <c r="I3075" s="85"/>
      <c r="J3075" s="85"/>
      <c r="K3075" s="131"/>
      <c r="L3075" s="60"/>
      <c r="M3075" s="49"/>
      <c r="Q3075" s="3"/>
      <c r="R3075" s="3"/>
      <c r="S3075" s="3"/>
      <c r="T3075" s="3"/>
      <c r="U3075" s="3"/>
      <c r="V3075" s="3"/>
      <c r="W3075" s="3"/>
      <c r="X3075" s="3"/>
      <c r="Y3075" s="3"/>
      <c r="Z3075" s="4"/>
      <c r="AA3075"/>
      <c r="AB3075"/>
    </row>
    <row r="3076" spans="1:28" s="37" customFormat="1" x14ac:dyDescent="0.15">
      <c r="A3076" s="166"/>
      <c r="B3076" s="82"/>
      <c r="C3076" s="70"/>
      <c r="D3076" s="70"/>
      <c r="E3076" s="70"/>
      <c r="F3076" s="70"/>
      <c r="G3076" s="70"/>
      <c r="H3076" s="93"/>
      <c r="I3076" s="85"/>
      <c r="J3076" s="85"/>
      <c r="K3076" s="131"/>
      <c r="L3076" s="60"/>
      <c r="M3076" s="49"/>
      <c r="Q3076" s="3"/>
      <c r="R3076" s="3"/>
      <c r="S3076" s="3"/>
      <c r="T3076" s="3"/>
      <c r="U3076" s="3"/>
      <c r="V3076" s="3"/>
      <c r="W3076" s="3"/>
      <c r="X3076" s="3"/>
      <c r="Y3076" s="3"/>
      <c r="Z3076" s="4"/>
      <c r="AA3076"/>
      <c r="AB3076"/>
    </row>
    <row r="3077" spans="1:28" s="37" customFormat="1" x14ac:dyDescent="0.15">
      <c r="A3077" s="166"/>
      <c r="B3077" s="82"/>
      <c r="C3077" s="70"/>
      <c r="D3077" s="70"/>
      <c r="E3077" s="70"/>
      <c r="F3077" s="70"/>
      <c r="G3077" s="70"/>
      <c r="H3077" s="93"/>
      <c r="I3077" s="85"/>
      <c r="J3077" s="85"/>
      <c r="K3077" s="131"/>
      <c r="L3077" s="60"/>
      <c r="M3077" s="49"/>
      <c r="Q3077" s="3"/>
      <c r="R3077" s="3"/>
      <c r="S3077" s="3"/>
      <c r="T3077" s="3"/>
      <c r="U3077" s="3"/>
      <c r="V3077" s="3"/>
      <c r="W3077" s="3"/>
      <c r="X3077" s="3"/>
      <c r="Y3077" s="3"/>
      <c r="Z3077" s="4"/>
      <c r="AA3077"/>
      <c r="AB3077"/>
    </row>
    <row r="3078" spans="1:28" s="37" customFormat="1" x14ac:dyDescent="0.15">
      <c r="A3078" s="166"/>
      <c r="B3078" s="82"/>
      <c r="C3078" s="70"/>
      <c r="D3078" s="70"/>
      <c r="E3078" s="70"/>
      <c r="F3078" s="70"/>
      <c r="G3078" s="70"/>
      <c r="H3078" s="93"/>
      <c r="I3078" s="85"/>
      <c r="J3078" s="85"/>
      <c r="K3078" s="131"/>
      <c r="L3078" s="60"/>
      <c r="M3078" s="49"/>
      <c r="Q3078" s="3"/>
      <c r="R3078" s="3"/>
      <c r="S3078" s="3"/>
      <c r="T3078" s="3"/>
      <c r="U3078" s="3"/>
      <c r="V3078" s="3"/>
      <c r="W3078" s="3"/>
      <c r="X3078" s="3"/>
      <c r="Y3078" s="3"/>
      <c r="Z3078" s="4"/>
      <c r="AA3078"/>
      <c r="AB3078"/>
    </row>
    <row r="3079" spans="1:28" s="37" customFormat="1" x14ac:dyDescent="0.15">
      <c r="A3079" s="165"/>
      <c r="B3079" s="93"/>
      <c r="C3079" s="61"/>
      <c r="D3079" s="61"/>
      <c r="E3079" s="61"/>
      <c r="F3079" s="61"/>
      <c r="G3079" s="61"/>
      <c r="H3079" s="115"/>
      <c r="I3079" s="85"/>
      <c r="J3079" s="103"/>
      <c r="K3079" s="131"/>
      <c r="L3079" s="67"/>
      <c r="M3079" s="35"/>
      <c r="Q3079" s="3"/>
      <c r="R3079" s="3"/>
      <c r="S3079" s="3"/>
      <c r="T3079" s="3"/>
      <c r="U3079" s="3"/>
      <c r="V3079" s="3"/>
      <c r="W3079" s="3"/>
      <c r="X3079" s="3"/>
      <c r="Y3079" s="3"/>
      <c r="Z3079" s="4"/>
      <c r="AA3079"/>
      <c r="AB3079"/>
    </row>
    <row r="3080" spans="1:28" s="37" customFormat="1" x14ac:dyDescent="0.15">
      <c r="A3080" s="166"/>
      <c r="B3080" s="82"/>
      <c r="C3080" s="70"/>
      <c r="D3080" s="70"/>
      <c r="E3080" s="70"/>
      <c r="F3080" s="70"/>
      <c r="G3080" s="70"/>
      <c r="H3080" s="93"/>
      <c r="I3080" s="85"/>
      <c r="J3080" s="85"/>
      <c r="K3080" s="131"/>
      <c r="L3080" s="60"/>
      <c r="M3080" s="33"/>
      <c r="Q3080" s="3"/>
      <c r="R3080" s="3"/>
      <c r="S3080" s="3"/>
      <c r="T3080" s="3"/>
      <c r="U3080" s="3"/>
      <c r="V3080" s="3"/>
      <c r="W3080" s="3"/>
      <c r="X3080" s="3"/>
      <c r="Y3080" s="3"/>
      <c r="Z3080" s="4"/>
      <c r="AA3080"/>
      <c r="AB3080"/>
    </row>
    <row r="3081" spans="1:28" s="37" customFormat="1" x14ac:dyDescent="0.15">
      <c r="A3081" s="166"/>
      <c r="B3081" s="82"/>
      <c r="C3081" s="70"/>
      <c r="D3081" s="70"/>
      <c r="E3081" s="70"/>
      <c r="F3081" s="70"/>
      <c r="G3081" s="70"/>
      <c r="H3081" s="93"/>
      <c r="I3081" s="85"/>
      <c r="J3081" s="85"/>
      <c r="K3081" s="131"/>
      <c r="L3081" s="60"/>
      <c r="M3081" s="49"/>
      <c r="Q3081" s="3"/>
      <c r="R3081" s="3"/>
      <c r="S3081" s="3"/>
      <c r="T3081" s="3"/>
      <c r="U3081" s="3"/>
      <c r="V3081" s="3"/>
      <c r="W3081" s="3"/>
      <c r="X3081" s="3"/>
      <c r="Y3081" s="3"/>
      <c r="Z3081" s="4"/>
      <c r="AA3081"/>
      <c r="AB3081"/>
    </row>
    <row r="3082" spans="1:28" s="37" customFormat="1" ht="16" x14ac:dyDescent="0.2">
      <c r="A3082" s="166"/>
      <c r="B3082" s="93"/>
      <c r="C3082" s="70"/>
      <c r="D3082" s="70"/>
      <c r="E3082" s="70"/>
      <c r="F3082" s="70"/>
      <c r="G3082" s="70"/>
      <c r="H3082" s="93"/>
      <c r="I3082" s="85"/>
      <c r="J3082" s="85"/>
      <c r="K3082" s="131"/>
      <c r="L3082" s="60"/>
      <c r="M3082" s="47"/>
      <c r="Q3082" s="3"/>
      <c r="R3082" s="3"/>
      <c r="S3082" s="3"/>
      <c r="T3082" s="3"/>
      <c r="U3082" s="3"/>
      <c r="V3082" s="3"/>
      <c r="W3082" s="3"/>
      <c r="X3082" s="3"/>
      <c r="Y3082" s="3"/>
      <c r="Z3082" s="4"/>
      <c r="AA3082"/>
      <c r="AB3082"/>
    </row>
    <row r="3083" spans="1:28" s="37" customFormat="1" x14ac:dyDescent="0.15">
      <c r="A3083" s="166"/>
      <c r="B3083" s="108"/>
      <c r="C3083" s="70"/>
      <c r="D3083" s="70"/>
      <c r="E3083" s="70"/>
      <c r="F3083" s="70"/>
      <c r="G3083" s="70"/>
      <c r="H3083" s="93"/>
      <c r="I3083" s="85"/>
      <c r="J3083" s="85"/>
      <c r="K3083" s="131"/>
      <c r="L3083" s="60"/>
      <c r="Q3083" s="3"/>
      <c r="R3083" s="3"/>
      <c r="S3083" s="3"/>
      <c r="T3083" s="3"/>
      <c r="U3083" s="3"/>
      <c r="V3083" s="3"/>
      <c r="W3083" s="3"/>
      <c r="X3083" s="3"/>
      <c r="Y3083" s="3"/>
      <c r="Z3083" s="4"/>
      <c r="AA3083"/>
      <c r="AB3083"/>
    </row>
    <row r="3084" spans="1:28" s="37" customFormat="1" x14ac:dyDescent="0.15">
      <c r="A3084" s="166"/>
      <c r="B3084" s="93"/>
      <c r="C3084" s="70"/>
      <c r="D3084" s="70"/>
      <c r="E3084" s="70"/>
      <c r="F3084" s="70"/>
      <c r="G3084" s="70"/>
      <c r="H3084" s="93"/>
      <c r="I3084" s="85"/>
      <c r="J3084" s="85"/>
      <c r="K3084" s="131"/>
      <c r="L3084" s="60"/>
      <c r="Q3084" s="3"/>
      <c r="R3084" s="3"/>
      <c r="S3084" s="3"/>
      <c r="T3084" s="3"/>
      <c r="U3084" s="3"/>
      <c r="V3084" s="3"/>
      <c r="W3084" s="3"/>
      <c r="X3084" s="3"/>
      <c r="Y3084" s="3"/>
      <c r="Z3084" s="4"/>
      <c r="AA3084"/>
      <c r="AB3084"/>
    </row>
    <row r="3085" spans="1:28" s="37" customFormat="1" x14ac:dyDescent="0.15">
      <c r="A3085" s="166"/>
      <c r="B3085" s="93"/>
      <c r="C3085" s="70"/>
      <c r="D3085" s="70"/>
      <c r="E3085" s="70"/>
      <c r="F3085" s="70"/>
      <c r="G3085" s="70"/>
      <c r="H3085" s="93"/>
      <c r="I3085" s="85"/>
      <c r="J3085" s="85"/>
      <c r="K3085" s="131"/>
      <c r="L3085" s="60"/>
      <c r="Q3085" s="3"/>
      <c r="R3085" s="3"/>
      <c r="S3085" s="3"/>
      <c r="T3085" s="3"/>
      <c r="U3085" s="3"/>
      <c r="V3085" s="3"/>
      <c r="W3085" s="3"/>
      <c r="X3085" s="3"/>
      <c r="Y3085" s="3"/>
      <c r="Z3085" s="4"/>
      <c r="AA3085"/>
      <c r="AB3085"/>
    </row>
    <row r="3086" spans="1:28" s="3" customFormat="1" x14ac:dyDescent="0.15">
      <c r="A3086" s="166"/>
      <c r="B3086" s="93"/>
      <c r="C3086" s="70"/>
      <c r="D3086" s="70"/>
      <c r="E3086" s="70"/>
      <c r="F3086" s="70"/>
      <c r="G3086" s="70"/>
      <c r="H3086" s="93"/>
      <c r="I3086" s="85"/>
      <c r="J3086" s="85"/>
      <c r="K3086" s="131"/>
      <c r="L3086" s="60"/>
      <c r="M3086" s="37"/>
      <c r="N3086" s="32"/>
      <c r="O3086" s="37"/>
      <c r="P3086" s="37"/>
      <c r="Z3086" s="4"/>
      <c r="AA3086"/>
      <c r="AB3086"/>
    </row>
    <row r="3087" spans="1:28" s="3" customFormat="1" x14ac:dyDescent="0.15">
      <c r="A3087" s="166"/>
      <c r="B3087" s="93"/>
      <c r="C3087" s="70"/>
      <c r="D3087" s="70"/>
      <c r="E3087" s="70"/>
      <c r="F3087" s="70"/>
      <c r="G3087" s="70"/>
      <c r="H3087" s="93"/>
      <c r="I3087" s="85"/>
      <c r="J3087" s="85"/>
      <c r="K3087" s="131"/>
      <c r="L3087" s="60"/>
      <c r="M3087" s="49"/>
      <c r="N3087" s="37"/>
      <c r="O3087" s="37"/>
      <c r="P3087" s="37"/>
      <c r="Z3087" s="4"/>
      <c r="AA3087"/>
      <c r="AB3087"/>
    </row>
    <row r="3088" spans="1:28" s="3" customFormat="1" x14ac:dyDescent="0.15">
      <c r="A3088" s="166"/>
      <c r="B3088" s="93"/>
      <c r="C3088" s="70"/>
      <c r="D3088" s="70"/>
      <c r="E3088" s="70"/>
      <c r="F3088" s="70"/>
      <c r="G3088" s="70"/>
      <c r="H3088" s="93"/>
      <c r="I3088" s="85"/>
      <c r="J3088" s="85"/>
      <c r="K3088" s="131"/>
      <c r="L3088" s="60"/>
      <c r="M3088" s="37"/>
      <c r="N3088" s="37"/>
      <c r="O3088" s="37"/>
      <c r="P3088" s="37"/>
      <c r="Z3088" s="4"/>
      <c r="AA3088"/>
      <c r="AB3088"/>
    </row>
    <row r="3089" spans="1:28" s="3" customFormat="1" x14ac:dyDescent="0.15">
      <c r="A3089" s="166"/>
      <c r="B3089" s="93"/>
      <c r="C3089" s="70"/>
      <c r="D3089" s="70"/>
      <c r="E3089" s="70"/>
      <c r="F3089" s="70"/>
      <c r="G3089" s="70"/>
      <c r="H3089" s="93"/>
      <c r="I3089" s="85"/>
      <c r="J3089" s="85"/>
      <c r="K3089" s="131"/>
      <c r="L3089" s="60"/>
      <c r="M3089" s="37"/>
      <c r="N3089" s="37"/>
      <c r="O3089" s="37"/>
      <c r="P3089" s="37"/>
      <c r="Z3089" s="4"/>
      <c r="AA3089"/>
      <c r="AB3089"/>
    </row>
    <row r="3090" spans="1:28" s="3" customFormat="1" x14ac:dyDescent="0.15">
      <c r="A3090" s="166"/>
      <c r="B3090" s="93"/>
      <c r="C3090" s="70"/>
      <c r="D3090" s="70"/>
      <c r="E3090" s="70"/>
      <c r="F3090" s="70"/>
      <c r="G3090" s="70"/>
      <c r="H3090" s="93"/>
      <c r="I3090" s="85"/>
      <c r="J3090" s="85"/>
      <c r="K3090" s="131"/>
      <c r="L3090" s="60"/>
      <c r="M3090" s="37"/>
      <c r="N3090" s="37"/>
      <c r="O3090" s="37"/>
      <c r="P3090" s="37"/>
      <c r="Z3090" s="4"/>
      <c r="AA3090"/>
      <c r="AB3090"/>
    </row>
    <row r="3091" spans="1:28" s="3" customFormat="1" x14ac:dyDescent="0.15">
      <c r="A3091" s="166"/>
      <c r="B3091" s="93"/>
      <c r="C3091" s="70"/>
      <c r="D3091" s="70"/>
      <c r="E3091" s="70"/>
      <c r="F3091" s="70"/>
      <c r="G3091" s="70"/>
      <c r="H3091" s="93"/>
      <c r="I3091" s="85"/>
      <c r="J3091" s="85"/>
      <c r="K3091" s="131"/>
      <c r="L3091" s="60"/>
      <c r="M3091" s="37"/>
      <c r="N3091" s="37"/>
      <c r="O3091" s="37"/>
      <c r="P3091" s="37"/>
      <c r="Z3091" s="4"/>
      <c r="AA3091"/>
      <c r="AB3091"/>
    </row>
    <row r="3092" spans="1:28" s="3" customFormat="1" x14ac:dyDescent="0.15">
      <c r="A3092" s="166"/>
      <c r="B3092" s="93"/>
      <c r="C3092" s="70"/>
      <c r="D3092" s="70"/>
      <c r="E3092" s="70"/>
      <c r="F3092" s="70"/>
      <c r="G3092" s="70"/>
      <c r="H3092" s="93"/>
      <c r="I3092" s="85"/>
      <c r="J3092" s="85"/>
      <c r="K3092" s="131"/>
      <c r="L3092" s="60"/>
      <c r="M3092" s="33"/>
      <c r="N3092" s="37"/>
      <c r="O3092" s="37"/>
      <c r="P3092" s="37"/>
      <c r="Z3092" s="4"/>
      <c r="AA3092"/>
      <c r="AB3092"/>
    </row>
    <row r="3093" spans="1:28" s="3" customFormat="1" x14ac:dyDescent="0.15">
      <c r="A3093" s="169"/>
      <c r="B3093" s="90"/>
      <c r="C3093" s="70"/>
      <c r="D3093" s="91"/>
      <c r="E3093" s="91"/>
      <c r="F3093" s="91"/>
      <c r="G3093" s="91"/>
      <c r="H3093" s="176"/>
      <c r="I3093" s="85"/>
      <c r="J3093" s="92"/>
      <c r="K3093" s="133"/>
      <c r="L3093" s="64"/>
      <c r="M3093" s="49"/>
      <c r="N3093" s="37"/>
      <c r="O3093" s="37"/>
      <c r="P3093" s="37"/>
      <c r="Z3093" s="4"/>
      <c r="AA3093"/>
      <c r="AB3093"/>
    </row>
    <row r="3094" spans="1:28" s="3" customFormat="1" x14ac:dyDescent="0.15">
      <c r="A3094" s="225"/>
      <c r="B3094" s="191"/>
      <c r="C3094" s="192"/>
      <c r="D3094" s="190"/>
      <c r="E3094" s="190"/>
      <c r="F3094" s="190"/>
      <c r="G3094" s="190"/>
      <c r="H3094" s="190"/>
      <c r="I3094" s="183"/>
      <c r="J3094" s="193"/>
      <c r="K3094" s="194"/>
      <c r="L3094" s="195"/>
      <c r="M3094" s="186"/>
      <c r="N3094" s="186"/>
      <c r="O3094" s="186"/>
      <c r="P3094" s="186"/>
      <c r="Q3094" s="187"/>
      <c r="R3094" s="187"/>
      <c r="Z3094" s="4"/>
      <c r="AA3094"/>
      <c r="AB3094"/>
    </row>
    <row r="3095" spans="1:28" s="3" customFormat="1" x14ac:dyDescent="0.15">
      <c r="A3095" s="226"/>
      <c r="B3095" s="181"/>
      <c r="C3095" s="180"/>
      <c r="D3095" s="180"/>
      <c r="E3095" s="180"/>
      <c r="F3095" s="180"/>
      <c r="G3095" s="180"/>
      <c r="H3095" s="182"/>
      <c r="I3095" s="183"/>
      <c r="J3095" s="183"/>
      <c r="K3095" s="184"/>
      <c r="L3095" s="185"/>
      <c r="M3095" s="186"/>
      <c r="N3095" s="186"/>
      <c r="O3095" s="186"/>
      <c r="P3095" s="186"/>
      <c r="Q3095" s="187"/>
      <c r="R3095" s="187"/>
      <c r="Z3095" s="4"/>
      <c r="AA3095"/>
      <c r="AB3095"/>
    </row>
    <row r="3096" spans="1:28" s="3" customFormat="1" x14ac:dyDescent="0.15">
      <c r="A3096" s="167"/>
      <c r="B3096" s="87"/>
      <c r="C3096" s="88"/>
      <c r="D3096" s="86"/>
      <c r="E3096" s="86"/>
      <c r="F3096" s="86"/>
      <c r="G3096" s="86"/>
      <c r="H3096" s="87"/>
      <c r="I3096" s="85"/>
      <c r="J3096" s="89"/>
      <c r="K3096" s="132"/>
      <c r="L3096" s="61"/>
      <c r="M3096" s="49"/>
      <c r="N3096" s="37"/>
      <c r="O3096" s="37"/>
      <c r="P3096" s="37"/>
      <c r="Z3096" s="4"/>
      <c r="AA3096"/>
      <c r="AB3096"/>
    </row>
    <row r="3097" spans="1:28" s="3" customFormat="1" x14ac:dyDescent="0.15">
      <c r="A3097" s="167"/>
      <c r="B3097" s="87"/>
      <c r="C3097" s="88"/>
      <c r="D3097" s="86"/>
      <c r="E3097" s="86"/>
      <c r="F3097" s="86"/>
      <c r="G3097" s="86"/>
      <c r="H3097" s="87"/>
      <c r="I3097" s="85"/>
      <c r="J3097" s="89"/>
      <c r="K3097" s="132"/>
      <c r="L3097" s="61"/>
      <c r="M3097" s="49"/>
      <c r="N3097" s="37"/>
      <c r="O3097" s="37"/>
      <c r="P3097" s="37"/>
      <c r="Z3097" s="4"/>
      <c r="AA3097"/>
      <c r="AB3097"/>
    </row>
    <row r="3098" spans="1:28" s="3" customFormat="1" x14ac:dyDescent="0.15">
      <c r="A3098" s="167"/>
      <c r="B3098" s="87"/>
      <c r="C3098" s="88"/>
      <c r="D3098" s="86"/>
      <c r="E3098" s="86"/>
      <c r="F3098" s="86"/>
      <c r="G3098" s="86"/>
      <c r="H3098" s="87"/>
      <c r="I3098" s="85"/>
      <c r="J3098" s="89"/>
      <c r="K3098" s="132"/>
      <c r="L3098" s="61"/>
      <c r="M3098" s="49"/>
      <c r="N3098" s="37"/>
      <c r="O3098" s="37"/>
      <c r="P3098" s="37"/>
      <c r="Z3098" s="4"/>
      <c r="AA3098"/>
      <c r="AB3098"/>
    </row>
    <row r="3099" spans="1:28" s="3" customFormat="1" x14ac:dyDescent="0.15">
      <c r="A3099" s="166"/>
      <c r="B3099" s="82"/>
      <c r="C3099" s="70"/>
      <c r="D3099" s="70"/>
      <c r="E3099" s="70"/>
      <c r="F3099" s="70"/>
      <c r="G3099" s="70"/>
      <c r="H3099" s="93"/>
      <c r="I3099" s="85"/>
      <c r="J3099" s="85"/>
      <c r="K3099" s="131"/>
      <c r="L3099" s="60"/>
      <c r="M3099" s="49"/>
      <c r="N3099" s="37"/>
      <c r="O3099" s="37"/>
      <c r="P3099" s="37"/>
      <c r="Z3099" s="4"/>
      <c r="AA3099"/>
      <c r="AB3099"/>
    </row>
    <row r="3100" spans="1:28" s="3" customFormat="1" x14ac:dyDescent="0.15">
      <c r="A3100" s="165"/>
      <c r="B3100" s="93"/>
      <c r="C3100" s="102"/>
      <c r="D3100" s="70"/>
      <c r="E3100" s="70"/>
      <c r="F3100" s="102"/>
      <c r="G3100" s="102"/>
      <c r="H3100" s="175"/>
      <c r="I3100" s="85"/>
      <c r="J3100" s="104"/>
      <c r="K3100" s="144"/>
      <c r="L3100" s="62"/>
      <c r="M3100" s="49"/>
      <c r="N3100" s="37"/>
      <c r="O3100" s="37"/>
      <c r="P3100" s="37"/>
      <c r="Z3100" s="4"/>
      <c r="AA3100"/>
      <c r="AB3100"/>
    </row>
    <row r="3101" spans="1:28" s="3" customFormat="1" x14ac:dyDescent="0.15">
      <c r="A3101" s="165"/>
      <c r="B3101" s="93"/>
      <c r="C3101" s="102"/>
      <c r="D3101" s="70"/>
      <c r="E3101" s="70"/>
      <c r="F3101" s="102"/>
      <c r="G3101" s="102"/>
      <c r="H3101" s="175"/>
      <c r="I3101" s="85"/>
      <c r="J3101" s="104"/>
      <c r="K3101" s="144"/>
      <c r="L3101" s="62"/>
      <c r="M3101" s="49"/>
      <c r="N3101" s="37"/>
      <c r="O3101" s="37"/>
      <c r="P3101" s="37"/>
      <c r="Z3101" s="4"/>
      <c r="AA3101"/>
      <c r="AB3101"/>
    </row>
    <row r="3102" spans="1:28" s="37" customFormat="1" x14ac:dyDescent="0.15">
      <c r="A3102" s="166"/>
      <c r="B3102" s="82"/>
      <c r="C3102" s="70"/>
      <c r="D3102" s="70"/>
      <c r="E3102" s="70"/>
      <c r="F3102" s="70"/>
      <c r="G3102" s="70"/>
      <c r="H3102" s="93"/>
      <c r="I3102" s="85"/>
      <c r="J3102" s="85"/>
      <c r="K3102" s="131"/>
      <c r="L3102" s="61"/>
      <c r="M3102" s="33"/>
      <c r="Q3102" s="3"/>
      <c r="R3102" s="3"/>
      <c r="S3102" s="3"/>
      <c r="T3102" s="3"/>
      <c r="U3102" s="3"/>
      <c r="V3102" s="3"/>
      <c r="W3102" s="3"/>
      <c r="X3102" s="3"/>
      <c r="Y3102" s="3"/>
      <c r="Z3102" s="4"/>
      <c r="AA3102"/>
      <c r="AB3102"/>
    </row>
    <row r="3103" spans="1:28" s="37" customFormat="1" x14ac:dyDescent="0.15">
      <c r="A3103" s="167"/>
      <c r="B3103" s="87"/>
      <c r="C3103" s="88"/>
      <c r="D3103" s="86"/>
      <c r="E3103" s="86"/>
      <c r="F3103" s="86"/>
      <c r="G3103" s="86"/>
      <c r="H3103" s="87"/>
      <c r="I3103" s="85"/>
      <c r="J3103" s="89"/>
      <c r="K3103" s="132"/>
      <c r="L3103" s="61"/>
      <c r="M3103" s="49"/>
      <c r="Q3103" s="3"/>
      <c r="R3103" s="3"/>
      <c r="S3103" s="3"/>
      <c r="T3103" s="3"/>
      <c r="U3103" s="3"/>
      <c r="V3103" s="3"/>
      <c r="W3103" s="3"/>
      <c r="X3103" s="3"/>
      <c r="Y3103" s="3"/>
      <c r="Z3103" s="4"/>
      <c r="AA3103"/>
      <c r="AB3103"/>
    </row>
    <row r="3104" spans="1:28" s="37" customFormat="1" x14ac:dyDescent="0.15">
      <c r="A3104" s="167"/>
      <c r="B3104" s="87"/>
      <c r="C3104" s="88"/>
      <c r="D3104" s="86"/>
      <c r="E3104" s="86"/>
      <c r="F3104" s="86"/>
      <c r="G3104" s="86"/>
      <c r="H3104" s="87"/>
      <c r="I3104" s="85"/>
      <c r="J3104" s="89"/>
      <c r="K3104" s="132"/>
      <c r="L3104" s="61"/>
      <c r="M3104" s="49"/>
      <c r="Q3104" s="3"/>
      <c r="R3104" s="3"/>
      <c r="S3104" s="3"/>
      <c r="T3104" s="3"/>
      <c r="U3104" s="3"/>
      <c r="V3104" s="3"/>
      <c r="W3104" s="3"/>
      <c r="X3104" s="3"/>
      <c r="Y3104" s="3"/>
      <c r="Z3104" s="4"/>
      <c r="AA3104"/>
      <c r="AB3104"/>
    </row>
    <row r="3105" spans="1:28" s="37" customFormat="1" x14ac:dyDescent="0.15">
      <c r="A3105" s="167"/>
      <c r="B3105" s="87"/>
      <c r="C3105" s="88"/>
      <c r="D3105" s="86"/>
      <c r="E3105" s="86"/>
      <c r="F3105" s="86"/>
      <c r="G3105" s="86"/>
      <c r="H3105" s="87"/>
      <c r="I3105" s="85"/>
      <c r="J3105" s="89"/>
      <c r="K3105" s="132"/>
      <c r="L3105" s="61"/>
      <c r="M3105" s="49"/>
      <c r="Q3105" s="3"/>
      <c r="R3105" s="3"/>
      <c r="S3105" s="3"/>
      <c r="T3105" s="3"/>
      <c r="U3105" s="3"/>
      <c r="V3105" s="3"/>
      <c r="W3105" s="3"/>
      <c r="X3105" s="3"/>
      <c r="Y3105" s="3"/>
      <c r="Z3105" s="4"/>
      <c r="AA3105"/>
      <c r="AB3105"/>
    </row>
    <row r="3106" spans="1:28" s="37" customFormat="1" x14ac:dyDescent="0.15">
      <c r="A3106" s="167"/>
      <c r="B3106" s="87"/>
      <c r="C3106" s="88"/>
      <c r="D3106" s="86"/>
      <c r="E3106" s="86"/>
      <c r="F3106" s="86"/>
      <c r="G3106" s="86"/>
      <c r="H3106" s="87"/>
      <c r="I3106" s="85"/>
      <c r="J3106" s="89"/>
      <c r="K3106" s="132"/>
      <c r="L3106" s="61"/>
      <c r="M3106" s="49"/>
      <c r="Q3106" s="3"/>
      <c r="R3106" s="3"/>
      <c r="S3106" s="3"/>
      <c r="T3106" s="3"/>
      <c r="U3106" s="3"/>
      <c r="V3106" s="3"/>
      <c r="W3106" s="3"/>
      <c r="X3106" s="3"/>
      <c r="Y3106" s="3"/>
      <c r="Z3106" s="4"/>
      <c r="AA3106"/>
      <c r="AB3106"/>
    </row>
    <row r="3107" spans="1:28" s="37" customFormat="1" x14ac:dyDescent="0.15">
      <c r="A3107" s="167"/>
      <c r="B3107" s="87"/>
      <c r="C3107" s="88"/>
      <c r="D3107" s="86"/>
      <c r="E3107" s="86"/>
      <c r="F3107" s="86"/>
      <c r="G3107" s="86"/>
      <c r="H3107" s="87"/>
      <c r="I3107" s="85"/>
      <c r="J3107" s="89"/>
      <c r="K3107" s="132"/>
      <c r="L3107" s="61"/>
      <c r="M3107" s="49"/>
      <c r="Q3107" s="3"/>
      <c r="R3107" s="3"/>
      <c r="S3107" s="3"/>
      <c r="T3107" s="3"/>
      <c r="U3107" s="3"/>
      <c r="V3107" s="3"/>
      <c r="W3107" s="3"/>
      <c r="X3107" s="3"/>
      <c r="Y3107" s="3"/>
      <c r="Z3107" s="4"/>
      <c r="AA3107"/>
      <c r="AB3107"/>
    </row>
    <row r="3108" spans="1:28" s="37" customFormat="1" x14ac:dyDescent="0.15">
      <c r="A3108" s="167"/>
      <c r="B3108" s="87"/>
      <c r="C3108" s="88"/>
      <c r="D3108" s="86"/>
      <c r="E3108" s="86"/>
      <c r="F3108" s="86"/>
      <c r="G3108" s="86"/>
      <c r="H3108" s="87"/>
      <c r="I3108" s="85"/>
      <c r="J3108" s="89"/>
      <c r="K3108" s="132"/>
      <c r="L3108" s="61"/>
      <c r="M3108" s="49"/>
      <c r="Q3108" s="3"/>
      <c r="R3108" s="3"/>
      <c r="S3108" s="3"/>
      <c r="T3108" s="3"/>
      <c r="U3108" s="3"/>
      <c r="V3108" s="3"/>
      <c r="W3108" s="3"/>
      <c r="X3108" s="3"/>
      <c r="Y3108" s="3"/>
      <c r="Z3108" s="4"/>
      <c r="AA3108"/>
      <c r="AB3108"/>
    </row>
    <row r="3109" spans="1:28" s="37" customFormat="1" x14ac:dyDescent="0.15">
      <c r="A3109" s="167"/>
      <c r="B3109" s="87"/>
      <c r="C3109" s="88"/>
      <c r="D3109" s="86"/>
      <c r="E3109" s="86"/>
      <c r="F3109" s="86"/>
      <c r="G3109" s="86"/>
      <c r="H3109" s="87"/>
      <c r="I3109" s="85"/>
      <c r="J3109" s="89"/>
      <c r="K3109" s="132"/>
      <c r="L3109" s="61"/>
      <c r="M3109" s="49"/>
      <c r="Q3109" s="3"/>
      <c r="R3109" s="3"/>
      <c r="S3109" s="3"/>
      <c r="T3109" s="3"/>
      <c r="U3109" s="3"/>
      <c r="V3109" s="3"/>
      <c r="W3109" s="3"/>
      <c r="X3109" s="3"/>
      <c r="Y3109" s="3"/>
      <c r="Z3109" s="4"/>
      <c r="AA3109"/>
      <c r="AB3109"/>
    </row>
    <row r="3110" spans="1:28" s="37" customFormat="1" x14ac:dyDescent="0.15">
      <c r="A3110" s="167"/>
      <c r="B3110" s="87"/>
      <c r="C3110" s="88"/>
      <c r="D3110" s="86"/>
      <c r="E3110" s="86"/>
      <c r="F3110" s="86"/>
      <c r="G3110" s="86"/>
      <c r="H3110" s="87"/>
      <c r="I3110" s="85"/>
      <c r="J3110" s="89"/>
      <c r="K3110" s="132"/>
      <c r="L3110" s="61"/>
      <c r="M3110" s="49"/>
      <c r="Q3110" s="3"/>
      <c r="R3110" s="3"/>
      <c r="S3110" s="3"/>
      <c r="T3110" s="3"/>
      <c r="U3110" s="3"/>
      <c r="V3110" s="3"/>
      <c r="W3110" s="3"/>
      <c r="X3110" s="3"/>
      <c r="Y3110" s="3"/>
      <c r="Z3110" s="4"/>
      <c r="AA3110"/>
      <c r="AB3110"/>
    </row>
    <row r="3111" spans="1:28" s="37" customFormat="1" x14ac:dyDescent="0.15">
      <c r="A3111" s="167"/>
      <c r="B3111" s="87"/>
      <c r="C3111" s="88"/>
      <c r="D3111" s="86"/>
      <c r="E3111" s="86"/>
      <c r="F3111" s="86"/>
      <c r="G3111" s="86"/>
      <c r="H3111" s="87"/>
      <c r="I3111" s="85"/>
      <c r="J3111" s="89"/>
      <c r="K3111" s="132"/>
      <c r="L3111" s="61"/>
      <c r="M3111" s="49"/>
      <c r="Q3111" s="3"/>
      <c r="R3111" s="3"/>
      <c r="S3111" s="3"/>
      <c r="T3111" s="3"/>
      <c r="U3111" s="3"/>
      <c r="V3111" s="3"/>
      <c r="W3111" s="3"/>
      <c r="X3111" s="3"/>
      <c r="Y3111" s="3"/>
      <c r="Z3111" s="4"/>
      <c r="AA3111"/>
      <c r="AB3111"/>
    </row>
    <row r="3112" spans="1:28" s="37" customFormat="1" x14ac:dyDescent="0.15">
      <c r="A3112" s="167"/>
      <c r="B3112" s="87"/>
      <c r="C3112" s="88"/>
      <c r="D3112" s="86"/>
      <c r="E3112" s="86"/>
      <c r="F3112" s="86"/>
      <c r="G3112" s="86"/>
      <c r="H3112" s="87"/>
      <c r="I3112" s="85"/>
      <c r="J3112" s="89"/>
      <c r="K3112" s="132"/>
      <c r="L3112" s="61"/>
      <c r="M3112" s="49"/>
      <c r="Q3112" s="3"/>
      <c r="R3112" s="3"/>
      <c r="S3112" s="3"/>
      <c r="T3112" s="3"/>
      <c r="U3112" s="3"/>
      <c r="V3112" s="3"/>
      <c r="W3112" s="3"/>
      <c r="X3112" s="3"/>
      <c r="Y3112" s="3"/>
      <c r="Z3112" s="4"/>
      <c r="AA3112"/>
      <c r="AB3112"/>
    </row>
    <row r="3113" spans="1:28" s="37" customFormat="1" x14ac:dyDescent="0.15">
      <c r="A3113" s="167"/>
      <c r="B3113" s="87"/>
      <c r="C3113" s="88"/>
      <c r="D3113" s="86"/>
      <c r="E3113" s="86"/>
      <c r="F3113" s="86"/>
      <c r="G3113" s="86"/>
      <c r="H3113" s="87"/>
      <c r="I3113" s="85"/>
      <c r="J3113" s="89"/>
      <c r="K3113" s="132"/>
      <c r="L3113" s="61"/>
      <c r="M3113" s="49"/>
      <c r="Q3113" s="3"/>
      <c r="R3113" s="3"/>
      <c r="S3113" s="3"/>
      <c r="T3113" s="3"/>
      <c r="U3113" s="3"/>
      <c r="V3113" s="3"/>
      <c r="W3113" s="3"/>
      <c r="X3113" s="3"/>
      <c r="Y3113" s="3"/>
      <c r="Z3113" s="4"/>
      <c r="AA3113"/>
      <c r="AB3113"/>
    </row>
    <row r="3114" spans="1:28" s="37" customFormat="1" x14ac:dyDescent="0.15">
      <c r="A3114" s="167"/>
      <c r="B3114" s="87"/>
      <c r="C3114" s="88"/>
      <c r="D3114" s="86"/>
      <c r="E3114" s="86"/>
      <c r="F3114" s="86"/>
      <c r="G3114" s="86"/>
      <c r="H3114" s="87"/>
      <c r="I3114" s="85"/>
      <c r="J3114" s="89"/>
      <c r="K3114" s="132"/>
      <c r="L3114" s="61"/>
      <c r="M3114" s="49"/>
      <c r="Q3114" s="3"/>
      <c r="R3114" s="3"/>
      <c r="S3114" s="3"/>
      <c r="T3114" s="3"/>
      <c r="U3114" s="3"/>
      <c r="V3114" s="3"/>
      <c r="W3114" s="3"/>
      <c r="X3114" s="3"/>
      <c r="Y3114" s="3"/>
      <c r="Z3114" s="4"/>
      <c r="AA3114"/>
      <c r="AB3114"/>
    </row>
    <row r="3115" spans="1:28" s="37" customFormat="1" x14ac:dyDescent="0.15">
      <c r="A3115" s="167"/>
      <c r="B3115" s="87"/>
      <c r="C3115" s="88"/>
      <c r="D3115" s="86"/>
      <c r="E3115" s="86"/>
      <c r="F3115" s="86"/>
      <c r="G3115" s="86"/>
      <c r="H3115" s="87"/>
      <c r="I3115" s="85"/>
      <c r="J3115" s="89"/>
      <c r="K3115" s="132"/>
      <c r="L3115" s="61"/>
      <c r="M3115" s="49"/>
      <c r="Q3115" s="3"/>
      <c r="R3115" s="3"/>
      <c r="S3115" s="3"/>
      <c r="T3115" s="3"/>
      <c r="U3115" s="3"/>
      <c r="V3115" s="3"/>
      <c r="W3115" s="3"/>
      <c r="X3115" s="3"/>
      <c r="Y3115" s="3"/>
      <c r="Z3115" s="4"/>
      <c r="AA3115"/>
      <c r="AB3115"/>
    </row>
    <row r="3116" spans="1:28" s="37" customFormat="1" x14ac:dyDescent="0.15">
      <c r="A3116" s="167"/>
      <c r="B3116" s="87"/>
      <c r="C3116" s="88"/>
      <c r="D3116" s="86"/>
      <c r="E3116" s="86"/>
      <c r="F3116" s="86"/>
      <c r="G3116" s="86"/>
      <c r="H3116" s="87"/>
      <c r="I3116" s="85"/>
      <c r="J3116" s="89"/>
      <c r="K3116" s="132"/>
      <c r="L3116" s="61"/>
      <c r="M3116" s="49"/>
      <c r="Q3116" s="3"/>
      <c r="R3116" s="3"/>
      <c r="S3116" s="3"/>
      <c r="T3116" s="3"/>
      <c r="U3116" s="3"/>
      <c r="V3116" s="3"/>
      <c r="W3116" s="3"/>
      <c r="X3116" s="3"/>
      <c r="Y3116" s="3"/>
      <c r="Z3116" s="4"/>
      <c r="AA3116"/>
      <c r="AB3116"/>
    </row>
    <row r="3117" spans="1:28" s="37" customFormat="1" x14ac:dyDescent="0.15">
      <c r="A3117" s="167"/>
      <c r="B3117" s="87"/>
      <c r="C3117" s="88"/>
      <c r="D3117" s="86"/>
      <c r="E3117" s="86"/>
      <c r="F3117" s="86"/>
      <c r="G3117" s="86"/>
      <c r="H3117" s="87"/>
      <c r="I3117" s="85"/>
      <c r="J3117" s="89"/>
      <c r="K3117" s="132"/>
      <c r="L3117" s="62"/>
      <c r="M3117" s="49"/>
      <c r="Q3117" s="3"/>
      <c r="R3117" s="3"/>
      <c r="S3117" s="3"/>
      <c r="T3117" s="3"/>
      <c r="U3117" s="3"/>
      <c r="V3117" s="3"/>
      <c r="W3117" s="3"/>
      <c r="X3117" s="3"/>
      <c r="Y3117" s="3"/>
      <c r="Z3117" s="4"/>
      <c r="AA3117"/>
      <c r="AB3117"/>
    </row>
    <row r="3118" spans="1:28" s="37" customFormat="1" x14ac:dyDescent="0.15">
      <c r="A3118" s="167"/>
      <c r="B3118" s="87"/>
      <c r="C3118" s="88"/>
      <c r="D3118" s="86"/>
      <c r="E3118" s="86"/>
      <c r="F3118" s="86"/>
      <c r="G3118" s="86"/>
      <c r="H3118" s="87"/>
      <c r="I3118" s="85"/>
      <c r="J3118" s="89"/>
      <c r="K3118" s="132"/>
      <c r="L3118" s="62"/>
      <c r="M3118" s="49"/>
      <c r="Q3118" s="3"/>
      <c r="R3118" s="3"/>
      <c r="S3118" s="3"/>
      <c r="T3118" s="3"/>
      <c r="U3118" s="3"/>
      <c r="V3118" s="3"/>
      <c r="W3118" s="3"/>
      <c r="X3118" s="3"/>
      <c r="Y3118" s="3"/>
      <c r="Z3118" s="4"/>
      <c r="AA3118"/>
      <c r="AB3118"/>
    </row>
    <row r="3119" spans="1:28" s="37" customFormat="1" x14ac:dyDescent="0.15">
      <c r="A3119" s="167"/>
      <c r="B3119" s="87"/>
      <c r="C3119" s="88"/>
      <c r="D3119" s="86"/>
      <c r="E3119" s="86"/>
      <c r="F3119" s="86"/>
      <c r="G3119" s="86"/>
      <c r="H3119" s="87"/>
      <c r="I3119" s="85"/>
      <c r="J3119" s="89"/>
      <c r="K3119" s="132"/>
      <c r="L3119" s="62"/>
      <c r="M3119" s="49"/>
      <c r="Q3119" s="3"/>
      <c r="R3119" s="3"/>
      <c r="S3119" s="3"/>
      <c r="T3119" s="3"/>
      <c r="U3119" s="3"/>
      <c r="V3119" s="3"/>
      <c r="W3119" s="3"/>
      <c r="X3119" s="3"/>
      <c r="Y3119" s="3"/>
      <c r="Z3119" s="4"/>
      <c r="AA3119"/>
      <c r="AB3119"/>
    </row>
    <row r="3120" spans="1:28" s="37" customFormat="1" x14ac:dyDescent="0.15">
      <c r="A3120" s="167"/>
      <c r="B3120" s="87"/>
      <c r="C3120" s="88"/>
      <c r="D3120" s="86"/>
      <c r="E3120" s="86"/>
      <c r="F3120" s="86"/>
      <c r="G3120" s="86"/>
      <c r="H3120" s="87"/>
      <c r="I3120" s="85"/>
      <c r="J3120" s="89"/>
      <c r="K3120" s="132"/>
      <c r="L3120" s="62"/>
      <c r="M3120" s="49"/>
      <c r="Q3120" s="3"/>
      <c r="R3120" s="3"/>
      <c r="S3120" s="3"/>
      <c r="T3120" s="3"/>
      <c r="U3120" s="3"/>
      <c r="V3120" s="3"/>
      <c r="W3120" s="3"/>
      <c r="X3120" s="3"/>
      <c r="Y3120" s="3"/>
      <c r="Z3120" s="4"/>
      <c r="AA3120"/>
      <c r="AB3120"/>
    </row>
    <row r="3121" spans="1:28" s="37" customFormat="1" x14ac:dyDescent="0.15">
      <c r="A3121" s="167"/>
      <c r="B3121" s="87"/>
      <c r="C3121" s="88"/>
      <c r="D3121" s="86"/>
      <c r="E3121" s="86"/>
      <c r="F3121" s="86"/>
      <c r="G3121" s="86"/>
      <c r="H3121" s="87"/>
      <c r="I3121" s="85"/>
      <c r="J3121" s="89"/>
      <c r="K3121" s="132"/>
      <c r="L3121" s="62"/>
      <c r="M3121" s="49"/>
      <c r="Q3121" s="3"/>
      <c r="R3121" s="3"/>
      <c r="S3121" s="3"/>
      <c r="T3121" s="3"/>
      <c r="U3121" s="3"/>
      <c r="V3121" s="3"/>
      <c r="W3121" s="3"/>
      <c r="X3121" s="3"/>
      <c r="Y3121" s="3"/>
      <c r="Z3121" s="4"/>
      <c r="AA3121"/>
      <c r="AB3121"/>
    </row>
    <row r="3122" spans="1:28" s="37" customFormat="1" x14ac:dyDescent="0.15">
      <c r="A3122" s="167"/>
      <c r="B3122" s="87"/>
      <c r="C3122" s="88"/>
      <c r="D3122" s="86"/>
      <c r="E3122" s="86"/>
      <c r="F3122" s="86"/>
      <c r="G3122" s="86"/>
      <c r="H3122" s="87"/>
      <c r="I3122" s="85"/>
      <c r="J3122" s="89"/>
      <c r="K3122" s="132"/>
      <c r="L3122" s="61"/>
      <c r="M3122" s="49"/>
      <c r="Q3122" s="3"/>
      <c r="R3122" s="3"/>
      <c r="S3122" s="3"/>
      <c r="T3122" s="3"/>
      <c r="U3122" s="3"/>
      <c r="V3122" s="3"/>
      <c r="W3122" s="3"/>
      <c r="X3122" s="3"/>
      <c r="Y3122" s="3"/>
      <c r="Z3122" s="4"/>
      <c r="AA3122"/>
      <c r="AB3122"/>
    </row>
    <row r="3123" spans="1:28" s="37" customFormat="1" x14ac:dyDescent="0.15">
      <c r="A3123" s="167"/>
      <c r="B3123" s="87"/>
      <c r="C3123" s="88"/>
      <c r="D3123" s="86"/>
      <c r="E3123" s="86"/>
      <c r="F3123" s="86"/>
      <c r="G3123" s="86"/>
      <c r="H3123" s="87"/>
      <c r="I3123" s="85"/>
      <c r="J3123" s="89"/>
      <c r="K3123" s="132"/>
      <c r="L3123" s="61"/>
      <c r="M3123" s="49"/>
      <c r="Q3123" s="3"/>
      <c r="R3123" s="3"/>
      <c r="S3123" s="3"/>
      <c r="T3123" s="3"/>
      <c r="U3123" s="3"/>
      <c r="V3123" s="3"/>
      <c r="W3123" s="3"/>
      <c r="X3123" s="3"/>
      <c r="Y3123" s="3"/>
      <c r="Z3123" s="4"/>
      <c r="AA3123"/>
      <c r="AB3123"/>
    </row>
    <row r="3124" spans="1:28" s="37" customFormat="1" x14ac:dyDescent="0.15">
      <c r="A3124" s="167"/>
      <c r="B3124" s="87"/>
      <c r="C3124" s="88"/>
      <c r="D3124" s="86"/>
      <c r="E3124" s="86"/>
      <c r="F3124" s="86"/>
      <c r="G3124" s="86"/>
      <c r="H3124" s="87"/>
      <c r="I3124" s="85"/>
      <c r="J3124" s="89"/>
      <c r="K3124" s="132"/>
      <c r="L3124" s="62"/>
      <c r="M3124" s="49"/>
      <c r="Q3124" s="3"/>
      <c r="R3124" s="3"/>
      <c r="S3124" s="3"/>
      <c r="T3124" s="3"/>
      <c r="U3124" s="3"/>
      <c r="V3124" s="3"/>
      <c r="W3124" s="3"/>
      <c r="X3124" s="3"/>
      <c r="Y3124" s="3"/>
      <c r="Z3124" s="4"/>
      <c r="AA3124"/>
      <c r="AB3124"/>
    </row>
    <row r="3125" spans="1:28" s="37" customFormat="1" x14ac:dyDescent="0.15">
      <c r="A3125" s="166"/>
      <c r="B3125" s="82"/>
      <c r="C3125" s="70"/>
      <c r="D3125" s="70"/>
      <c r="E3125" s="70"/>
      <c r="F3125" s="70"/>
      <c r="G3125" s="70"/>
      <c r="H3125" s="93"/>
      <c r="I3125" s="85"/>
      <c r="J3125" s="85"/>
      <c r="K3125" s="131"/>
      <c r="L3125" s="60"/>
      <c r="M3125" s="49"/>
      <c r="Q3125" s="3"/>
      <c r="R3125" s="3"/>
      <c r="S3125" s="3"/>
      <c r="T3125" s="3"/>
      <c r="U3125" s="3"/>
      <c r="V3125" s="3"/>
      <c r="W3125" s="3"/>
      <c r="X3125" s="3"/>
      <c r="Y3125" s="3"/>
      <c r="Z3125" s="4"/>
      <c r="AA3125"/>
      <c r="AB3125"/>
    </row>
    <row r="3126" spans="1:28" s="37" customFormat="1" x14ac:dyDescent="0.15">
      <c r="A3126" s="166"/>
      <c r="B3126" s="82"/>
      <c r="C3126" s="70"/>
      <c r="D3126" s="70"/>
      <c r="E3126" s="70"/>
      <c r="F3126" s="70"/>
      <c r="G3126" s="70"/>
      <c r="H3126" s="93"/>
      <c r="I3126" s="85"/>
      <c r="J3126" s="85"/>
      <c r="K3126" s="131"/>
      <c r="L3126" s="60"/>
      <c r="M3126" s="49"/>
      <c r="Q3126" s="3"/>
      <c r="R3126" s="3"/>
      <c r="S3126" s="3"/>
      <c r="T3126" s="3"/>
      <c r="U3126" s="3"/>
      <c r="V3126" s="3"/>
      <c r="W3126" s="3"/>
      <c r="X3126" s="3"/>
      <c r="Y3126" s="3"/>
      <c r="Z3126" s="4"/>
      <c r="AA3126"/>
      <c r="AB3126"/>
    </row>
    <row r="3127" spans="1:28" s="37" customFormat="1" x14ac:dyDescent="0.15">
      <c r="A3127" s="166"/>
      <c r="B3127" s="82"/>
      <c r="C3127" s="70"/>
      <c r="D3127" s="70"/>
      <c r="E3127" s="70"/>
      <c r="F3127" s="70"/>
      <c r="G3127" s="70"/>
      <c r="H3127" s="93"/>
      <c r="I3127" s="85"/>
      <c r="J3127" s="85"/>
      <c r="K3127" s="131"/>
      <c r="L3127" s="60"/>
      <c r="M3127" s="49"/>
      <c r="Q3127" s="3"/>
      <c r="R3127" s="3"/>
      <c r="S3127" s="3"/>
      <c r="T3127" s="3"/>
      <c r="U3127" s="3"/>
      <c r="V3127" s="3"/>
      <c r="W3127" s="3"/>
      <c r="X3127" s="3"/>
      <c r="Y3127" s="3"/>
      <c r="Z3127" s="4"/>
      <c r="AA3127"/>
      <c r="AB3127"/>
    </row>
    <row r="3128" spans="1:28" s="37" customFormat="1" x14ac:dyDescent="0.15">
      <c r="A3128" s="166"/>
      <c r="B3128" s="82"/>
      <c r="C3128" s="70"/>
      <c r="D3128" s="70"/>
      <c r="E3128" s="70"/>
      <c r="F3128" s="70"/>
      <c r="G3128" s="70"/>
      <c r="H3128" s="93"/>
      <c r="I3128" s="85"/>
      <c r="J3128" s="85"/>
      <c r="K3128" s="131"/>
      <c r="L3128" s="60"/>
      <c r="M3128" s="49"/>
      <c r="Q3128" s="3"/>
      <c r="R3128" s="3"/>
      <c r="S3128" s="3"/>
      <c r="T3128" s="3"/>
      <c r="U3128" s="3"/>
      <c r="V3128" s="3"/>
      <c r="W3128" s="3"/>
      <c r="X3128" s="3"/>
      <c r="Y3128" s="3"/>
      <c r="Z3128" s="4"/>
      <c r="AA3128"/>
      <c r="AB3128"/>
    </row>
    <row r="3129" spans="1:28" s="37" customFormat="1" x14ac:dyDescent="0.15">
      <c r="A3129" s="166"/>
      <c r="B3129" s="82"/>
      <c r="C3129" s="70"/>
      <c r="D3129" s="70"/>
      <c r="E3129" s="70"/>
      <c r="F3129" s="70"/>
      <c r="G3129" s="70"/>
      <c r="H3129" s="93"/>
      <c r="I3129" s="85"/>
      <c r="J3129" s="85"/>
      <c r="K3129" s="131"/>
      <c r="L3129" s="60"/>
      <c r="M3129" s="49"/>
      <c r="Q3129" s="3"/>
      <c r="R3129" s="3"/>
      <c r="S3129" s="3"/>
      <c r="T3129" s="3"/>
      <c r="U3129" s="3"/>
      <c r="V3129" s="3"/>
      <c r="W3129" s="3"/>
      <c r="X3129" s="3"/>
      <c r="Y3129" s="3"/>
      <c r="Z3129" s="4"/>
      <c r="AA3129"/>
      <c r="AB3129"/>
    </row>
    <row r="3130" spans="1:28" s="37" customFormat="1" x14ac:dyDescent="0.15">
      <c r="A3130" s="166"/>
      <c r="B3130" s="82"/>
      <c r="C3130" s="70"/>
      <c r="D3130" s="70"/>
      <c r="E3130" s="70"/>
      <c r="F3130" s="70"/>
      <c r="G3130" s="70"/>
      <c r="H3130" s="93"/>
      <c r="I3130" s="85"/>
      <c r="J3130" s="85"/>
      <c r="K3130" s="131"/>
      <c r="L3130" s="60"/>
      <c r="M3130" s="49"/>
      <c r="Q3130" s="3"/>
      <c r="R3130" s="3"/>
      <c r="S3130" s="3"/>
      <c r="T3130" s="3"/>
      <c r="U3130" s="3"/>
      <c r="V3130" s="3"/>
      <c r="W3130" s="3"/>
      <c r="X3130" s="3"/>
      <c r="Y3130" s="3"/>
      <c r="Z3130" s="4"/>
      <c r="AA3130"/>
      <c r="AB3130"/>
    </row>
    <row r="3131" spans="1:28" s="37" customFormat="1" x14ac:dyDescent="0.15">
      <c r="A3131" s="166"/>
      <c r="B3131" s="82"/>
      <c r="C3131" s="70"/>
      <c r="D3131" s="70"/>
      <c r="E3131" s="70"/>
      <c r="F3131" s="70"/>
      <c r="G3131" s="70"/>
      <c r="H3131" s="93"/>
      <c r="I3131" s="85"/>
      <c r="J3131" s="85"/>
      <c r="K3131" s="131"/>
      <c r="L3131" s="63"/>
      <c r="M3131" s="49"/>
      <c r="Q3131" s="3"/>
      <c r="R3131" s="3"/>
      <c r="S3131" s="3"/>
      <c r="T3131" s="3"/>
      <c r="U3131" s="3"/>
      <c r="V3131" s="3"/>
      <c r="W3131" s="3"/>
      <c r="X3131" s="3"/>
      <c r="Y3131" s="3"/>
      <c r="Z3131" s="4"/>
      <c r="AA3131"/>
      <c r="AB3131"/>
    </row>
    <row r="3132" spans="1:28" s="37" customFormat="1" x14ac:dyDescent="0.15">
      <c r="A3132" s="166"/>
      <c r="B3132" s="82"/>
      <c r="C3132" s="70"/>
      <c r="D3132" s="70"/>
      <c r="E3132" s="70"/>
      <c r="F3132" s="70"/>
      <c r="G3132" s="70"/>
      <c r="H3132" s="93"/>
      <c r="I3132" s="85"/>
      <c r="J3132" s="85"/>
      <c r="K3132" s="131"/>
      <c r="L3132" s="60"/>
      <c r="M3132" s="49"/>
      <c r="Q3132" s="3"/>
      <c r="R3132" s="3"/>
      <c r="S3132" s="3"/>
      <c r="T3132" s="3"/>
      <c r="U3132" s="3"/>
      <c r="V3132" s="3"/>
      <c r="W3132" s="3"/>
      <c r="X3132" s="3"/>
      <c r="Y3132" s="3"/>
      <c r="Z3132" s="4"/>
      <c r="AA3132"/>
      <c r="AB3132"/>
    </row>
    <row r="3133" spans="1:28" s="37" customFormat="1" ht="16" x14ac:dyDescent="0.2">
      <c r="A3133" s="166"/>
      <c r="B3133" s="82"/>
      <c r="C3133" s="70"/>
      <c r="D3133" s="70"/>
      <c r="E3133" s="70"/>
      <c r="F3133" s="70"/>
      <c r="G3133" s="70"/>
      <c r="H3133" s="93"/>
      <c r="I3133" s="85"/>
      <c r="J3133" s="85"/>
      <c r="K3133" s="135"/>
      <c r="L3133" s="60"/>
      <c r="M3133" s="47"/>
      <c r="Q3133" s="3"/>
      <c r="R3133" s="3"/>
      <c r="S3133" s="3"/>
      <c r="T3133" s="3"/>
      <c r="U3133" s="3"/>
      <c r="V3133" s="3"/>
      <c r="W3133" s="3"/>
      <c r="X3133" s="3"/>
      <c r="Y3133" s="3"/>
      <c r="Z3133" s="4"/>
      <c r="AA3133"/>
      <c r="AB3133"/>
    </row>
    <row r="3134" spans="1:28" x14ac:dyDescent="0.15">
      <c r="A3134" s="166"/>
      <c r="B3134" s="82"/>
      <c r="C3134" s="70"/>
      <c r="D3134" s="70"/>
      <c r="E3134" s="70"/>
      <c r="F3134" s="70"/>
      <c r="G3134" s="70"/>
      <c r="H3134" s="93"/>
      <c r="I3134" s="85"/>
      <c r="J3134" s="85"/>
      <c r="K3134" s="131"/>
      <c r="L3134" s="60"/>
    </row>
    <row r="3135" spans="1:28" ht="16" x14ac:dyDescent="0.2">
      <c r="A3135" s="166"/>
      <c r="B3135" s="82"/>
      <c r="C3135" s="70"/>
      <c r="D3135" s="70"/>
      <c r="E3135" s="70"/>
      <c r="F3135" s="70"/>
      <c r="G3135" s="70"/>
      <c r="H3135" s="93"/>
      <c r="I3135" s="85"/>
      <c r="J3135" s="85"/>
      <c r="K3135" s="131"/>
      <c r="L3135" s="60"/>
      <c r="M3135" s="47"/>
    </row>
    <row r="3136" spans="1:28" x14ac:dyDescent="0.15">
      <c r="A3136" s="166"/>
      <c r="B3136" s="82"/>
      <c r="C3136" s="70"/>
      <c r="D3136" s="70"/>
      <c r="E3136" s="70"/>
      <c r="F3136" s="70"/>
      <c r="G3136" s="70"/>
      <c r="H3136" s="93"/>
      <c r="I3136" s="85"/>
      <c r="J3136" s="85"/>
      <c r="K3136" s="131"/>
      <c r="L3136" s="60"/>
    </row>
    <row r="3137" spans="1:28" x14ac:dyDescent="0.15">
      <c r="A3137" s="166"/>
      <c r="B3137" s="82"/>
      <c r="C3137" s="70"/>
      <c r="D3137" s="70"/>
      <c r="E3137" s="70"/>
      <c r="F3137" s="70"/>
      <c r="G3137" s="70"/>
      <c r="H3137" s="93"/>
      <c r="I3137" s="85"/>
      <c r="J3137" s="85"/>
      <c r="K3137" s="131"/>
      <c r="L3137" s="60"/>
    </row>
    <row r="3138" spans="1:28" x14ac:dyDescent="0.15">
      <c r="A3138" s="166"/>
      <c r="B3138" s="82"/>
      <c r="C3138" s="70"/>
      <c r="D3138" s="70"/>
      <c r="E3138" s="70"/>
      <c r="F3138" s="70"/>
      <c r="G3138" s="70"/>
      <c r="H3138" s="93"/>
      <c r="I3138" s="85"/>
      <c r="J3138" s="85"/>
      <c r="K3138" s="131"/>
      <c r="L3138" s="60"/>
    </row>
    <row r="3139" spans="1:28" ht="16" x14ac:dyDescent="0.2">
      <c r="A3139" s="166"/>
      <c r="B3139" s="82"/>
      <c r="C3139" s="70"/>
      <c r="D3139" s="70"/>
      <c r="E3139" s="70"/>
      <c r="F3139" s="70"/>
      <c r="G3139" s="70"/>
      <c r="H3139" s="93"/>
      <c r="I3139" s="85"/>
      <c r="J3139" s="85"/>
      <c r="K3139" s="131"/>
      <c r="L3139" s="60"/>
      <c r="M3139" s="47"/>
    </row>
    <row r="3140" spans="1:28" x14ac:dyDescent="0.15">
      <c r="A3140" s="166"/>
      <c r="B3140" s="82"/>
      <c r="C3140" s="70"/>
      <c r="D3140" s="70"/>
      <c r="E3140" s="70"/>
      <c r="F3140" s="70"/>
      <c r="G3140" s="70"/>
      <c r="H3140" s="93"/>
      <c r="I3140" s="85"/>
      <c r="J3140" s="85"/>
      <c r="K3140" s="131"/>
      <c r="L3140" s="69"/>
      <c r="S3140"/>
      <c r="T3140"/>
      <c r="U3140"/>
      <c r="V3140"/>
      <c r="W3140"/>
      <c r="X3140"/>
      <c r="Y3140"/>
      <c r="Z3140"/>
    </row>
    <row r="3141" spans="1:28" x14ac:dyDescent="0.15">
      <c r="A3141" s="166"/>
      <c r="B3141" s="82"/>
      <c r="C3141" s="70"/>
      <c r="D3141" s="70"/>
      <c r="E3141" s="70"/>
      <c r="F3141" s="70"/>
      <c r="G3141" s="70"/>
      <c r="H3141" s="93"/>
      <c r="I3141" s="85"/>
      <c r="J3141" s="85"/>
      <c r="K3141" s="131"/>
      <c r="L3141" s="69"/>
    </row>
    <row r="3142" spans="1:28" x14ac:dyDescent="0.15">
      <c r="A3142" s="166"/>
      <c r="B3142" s="82"/>
      <c r="C3142" s="70"/>
      <c r="D3142" s="70"/>
      <c r="E3142" s="70"/>
      <c r="F3142" s="70"/>
      <c r="G3142" s="70"/>
      <c r="H3142" s="93"/>
      <c r="I3142" s="85"/>
      <c r="J3142" s="85"/>
      <c r="K3142" s="131"/>
      <c r="L3142" s="60"/>
    </row>
    <row r="3143" spans="1:28" x14ac:dyDescent="0.15">
      <c r="A3143" s="166"/>
      <c r="B3143" s="82"/>
      <c r="C3143" s="70"/>
      <c r="D3143" s="70"/>
      <c r="E3143" s="70"/>
      <c r="F3143" s="70"/>
      <c r="G3143" s="70"/>
      <c r="H3143" s="93"/>
      <c r="I3143" s="85"/>
      <c r="J3143" s="85"/>
      <c r="K3143" s="131"/>
      <c r="L3143" s="69"/>
    </row>
    <row r="3144" spans="1:28" x14ac:dyDescent="0.15">
      <c r="A3144" s="166"/>
      <c r="B3144" s="82"/>
      <c r="C3144" s="70"/>
      <c r="D3144" s="70"/>
      <c r="E3144" s="70"/>
      <c r="F3144" s="70"/>
      <c r="G3144" s="70"/>
      <c r="H3144" s="93"/>
      <c r="I3144" s="85"/>
      <c r="J3144" s="85"/>
      <c r="K3144" s="131"/>
      <c r="L3144" s="60"/>
    </row>
    <row r="3145" spans="1:28" x14ac:dyDescent="0.15">
      <c r="A3145" s="166"/>
      <c r="B3145" s="82"/>
      <c r="C3145" s="70"/>
      <c r="D3145" s="70"/>
      <c r="E3145" s="70"/>
      <c r="F3145" s="70"/>
      <c r="G3145" s="70"/>
      <c r="H3145" s="93"/>
      <c r="I3145" s="85"/>
      <c r="J3145" s="85"/>
      <c r="K3145" s="131"/>
      <c r="L3145" s="60"/>
    </row>
    <row r="3146" spans="1:28" x14ac:dyDescent="0.15">
      <c r="A3146" s="166"/>
      <c r="B3146" s="82"/>
      <c r="C3146" s="70"/>
      <c r="D3146" s="70"/>
      <c r="E3146" s="70"/>
      <c r="F3146" s="70"/>
      <c r="G3146" s="70"/>
      <c r="H3146" s="93"/>
      <c r="I3146" s="85"/>
      <c r="J3146" s="85"/>
      <c r="K3146" s="131"/>
      <c r="L3146" s="60"/>
    </row>
    <row r="3147" spans="1:28" x14ac:dyDescent="0.15">
      <c r="A3147" s="166"/>
      <c r="B3147" s="82"/>
      <c r="C3147" s="70"/>
      <c r="D3147" s="70"/>
      <c r="E3147" s="70"/>
      <c r="F3147" s="70"/>
      <c r="G3147" s="70"/>
      <c r="H3147" s="93"/>
      <c r="I3147" s="85"/>
      <c r="J3147" s="85"/>
      <c r="K3147" s="131"/>
      <c r="L3147" s="60"/>
    </row>
    <row r="3148" spans="1:28" ht="16" x14ac:dyDescent="0.2">
      <c r="A3148" s="166"/>
      <c r="B3148" s="82"/>
      <c r="C3148" s="70"/>
      <c r="D3148" s="70"/>
      <c r="E3148" s="70"/>
      <c r="F3148" s="70"/>
      <c r="G3148" s="70"/>
      <c r="H3148" s="93"/>
      <c r="I3148" s="85"/>
      <c r="J3148" s="85"/>
      <c r="K3148" s="131"/>
      <c r="L3148" s="60"/>
      <c r="M3148" s="47"/>
    </row>
    <row r="3149" spans="1:28" x14ac:dyDescent="0.15">
      <c r="A3149" s="166"/>
      <c r="B3149" s="93"/>
      <c r="C3149" s="70"/>
      <c r="D3149" s="70"/>
      <c r="E3149" s="70"/>
      <c r="F3149" s="70"/>
      <c r="G3149" s="70"/>
      <c r="H3149" s="93"/>
      <c r="I3149" s="85"/>
      <c r="J3149" s="85"/>
      <c r="K3149" s="131"/>
      <c r="L3149" s="60"/>
    </row>
    <row r="3150" spans="1:28" s="37" customFormat="1" x14ac:dyDescent="0.15">
      <c r="A3150" s="166"/>
      <c r="B3150" s="82"/>
      <c r="C3150" s="70"/>
      <c r="D3150" s="70"/>
      <c r="E3150" s="70"/>
      <c r="F3150" s="70"/>
      <c r="G3150" s="70"/>
      <c r="H3150" s="93"/>
      <c r="I3150" s="85"/>
      <c r="J3150" s="85"/>
      <c r="K3150" s="131"/>
      <c r="L3150" s="60"/>
      <c r="M3150" s="49"/>
      <c r="Q3150" s="3"/>
      <c r="R3150" s="3"/>
      <c r="S3150" s="3"/>
      <c r="T3150" s="3"/>
      <c r="U3150" s="3"/>
      <c r="V3150" s="3"/>
      <c r="W3150" s="3"/>
      <c r="X3150" s="3"/>
      <c r="Y3150" s="3"/>
      <c r="Z3150" s="4"/>
      <c r="AA3150"/>
      <c r="AB3150"/>
    </row>
    <row r="3151" spans="1:28" s="37" customFormat="1" ht="16" x14ac:dyDescent="0.2">
      <c r="A3151" s="166"/>
      <c r="B3151" s="82"/>
      <c r="C3151" s="70"/>
      <c r="D3151" s="70"/>
      <c r="E3151" s="70"/>
      <c r="F3151" s="70"/>
      <c r="G3151" s="70"/>
      <c r="H3151" s="93"/>
      <c r="I3151" s="85"/>
      <c r="J3151" s="85"/>
      <c r="K3151" s="134"/>
      <c r="L3151" s="63"/>
      <c r="M3151" s="47"/>
      <c r="Q3151" s="3"/>
      <c r="R3151" s="3"/>
      <c r="S3151" s="3"/>
      <c r="T3151" s="3"/>
      <c r="U3151" s="3"/>
      <c r="V3151" s="3"/>
      <c r="W3151" s="3"/>
      <c r="X3151" s="3"/>
      <c r="Y3151" s="3"/>
      <c r="Z3151" s="4"/>
      <c r="AA3151"/>
      <c r="AB3151"/>
    </row>
    <row r="3152" spans="1:28" s="37" customFormat="1" x14ac:dyDescent="0.15">
      <c r="A3152" s="166"/>
      <c r="B3152" s="93"/>
      <c r="C3152" s="70"/>
      <c r="D3152" s="70"/>
      <c r="E3152" s="70"/>
      <c r="F3152" s="70"/>
      <c r="G3152" s="70"/>
      <c r="H3152" s="93"/>
      <c r="I3152" s="85"/>
      <c r="J3152" s="98"/>
      <c r="K3152" s="131"/>
      <c r="L3152" s="70"/>
      <c r="M3152" s="35"/>
      <c r="Q3152" s="3"/>
      <c r="R3152" s="3"/>
      <c r="S3152" s="3"/>
      <c r="T3152" s="3"/>
      <c r="U3152" s="3"/>
      <c r="V3152" s="3"/>
      <c r="W3152" s="3"/>
      <c r="X3152" s="3"/>
      <c r="Y3152" s="3"/>
      <c r="Z3152" s="4"/>
      <c r="AA3152"/>
      <c r="AB3152"/>
    </row>
    <row r="3153" spans="1:28" s="37" customFormat="1" x14ac:dyDescent="0.15">
      <c r="A3153" s="166"/>
      <c r="B3153" s="93"/>
      <c r="C3153" s="70"/>
      <c r="D3153" s="70"/>
      <c r="E3153" s="70"/>
      <c r="F3153" s="70"/>
      <c r="G3153" s="70"/>
      <c r="H3153" s="93"/>
      <c r="I3153" s="85"/>
      <c r="J3153" s="98"/>
      <c r="K3153" s="131"/>
      <c r="L3153" s="70"/>
      <c r="M3153" s="35"/>
      <c r="Q3153" s="3"/>
      <c r="R3153" s="3"/>
      <c r="S3153" s="3"/>
      <c r="T3153" s="3"/>
      <c r="U3153" s="3"/>
      <c r="V3153" s="3"/>
      <c r="W3153" s="3"/>
      <c r="X3153" s="3"/>
      <c r="Y3153" s="3"/>
      <c r="Z3153" s="4"/>
      <c r="AA3153"/>
      <c r="AB3153"/>
    </row>
    <row r="3154" spans="1:28" s="37" customFormat="1" x14ac:dyDescent="0.15">
      <c r="A3154" s="166"/>
      <c r="B3154" s="93"/>
      <c r="C3154" s="70"/>
      <c r="D3154" s="70"/>
      <c r="E3154" s="70"/>
      <c r="F3154" s="70"/>
      <c r="G3154" s="70"/>
      <c r="H3154" s="93"/>
      <c r="I3154" s="85"/>
      <c r="J3154" s="98"/>
      <c r="K3154" s="131"/>
      <c r="L3154" s="70"/>
      <c r="M3154" s="35"/>
      <c r="Q3154" s="3"/>
      <c r="R3154" s="3"/>
      <c r="S3154" s="3"/>
      <c r="T3154" s="3"/>
      <c r="U3154" s="3"/>
      <c r="V3154" s="3"/>
      <c r="W3154" s="3"/>
      <c r="X3154" s="3"/>
      <c r="Y3154" s="3"/>
      <c r="Z3154" s="4"/>
      <c r="AA3154"/>
      <c r="AB3154"/>
    </row>
    <row r="3155" spans="1:28" s="37" customFormat="1" x14ac:dyDescent="0.15">
      <c r="A3155" s="166"/>
      <c r="B3155" s="93"/>
      <c r="C3155" s="70"/>
      <c r="D3155" s="70"/>
      <c r="E3155" s="70"/>
      <c r="F3155" s="70"/>
      <c r="G3155" s="70"/>
      <c r="H3155" s="93"/>
      <c r="I3155" s="85"/>
      <c r="J3155" s="98"/>
      <c r="K3155" s="131"/>
      <c r="L3155" s="70"/>
      <c r="M3155" s="35"/>
      <c r="Q3155" s="3"/>
      <c r="R3155" s="3"/>
      <c r="S3155" s="3"/>
      <c r="T3155" s="3"/>
      <c r="U3155" s="3"/>
      <c r="V3155" s="3"/>
      <c r="W3155" s="3"/>
      <c r="X3155" s="3"/>
      <c r="Y3155" s="3"/>
      <c r="Z3155" s="4"/>
      <c r="AA3155"/>
      <c r="AB3155"/>
    </row>
    <row r="3156" spans="1:28" s="37" customFormat="1" x14ac:dyDescent="0.15">
      <c r="A3156" s="166"/>
      <c r="B3156" s="93"/>
      <c r="C3156" s="70"/>
      <c r="D3156" s="70"/>
      <c r="E3156" s="70"/>
      <c r="F3156" s="70"/>
      <c r="G3156" s="70"/>
      <c r="H3156" s="93"/>
      <c r="I3156" s="85"/>
      <c r="J3156" s="98"/>
      <c r="K3156" s="131"/>
      <c r="L3156" s="73"/>
      <c r="M3156" s="35"/>
      <c r="Q3156" s="3"/>
      <c r="R3156" s="3"/>
      <c r="S3156" s="3"/>
      <c r="T3156" s="3"/>
      <c r="U3156" s="3"/>
      <c r="V3156" s="3"/>
      <c r="W3156" s="3"/>
      <c r="X3156" s="3"/>
      <c r="Y3156" s="3"/>
      <c r="Z3156" s="4"/>
      <c r="AA3156"/>
      <c r="AB3156"/>
    </row>
    <row r="3157" spans="1:28" s="37" customFormat="1" ht="16" x14ac:dyDescent="0.2">
      <c r="A3157" s="166"/>
      <c r="B3157" s="93"/>
      <c r="C3157" s="70"/>
      <c r="D3157" s="70"/>
      <c r="E3157" s="70"/>
      <c r="F3157" s="70"/>
      <c r="G3157" s="70"/>
      <c r="H3157" s="93"/>
      <c r="I3157" s="85"/>
      <c r="J3157" s="98"/>
      <c r="K3157" s="131"/>
      <c r="L3157" s="70"/>
      <c r="M3157" s="35"/>
      <c r="N3157" s="48"/>
      <c r="Q3157" s="3"/>
      <c r="R3157" s="3"/>
      <c r="S3157" s="3"/>
      <c r="T3157" s="3"/>
      <c r="U3157" s="3"/>
      <c r="V3157" s="3"/>
      <c r="W3157" s="3"/>
      <c r="X3157" s="3"/>
      <c r="Y3157" s="3"/>
      <c r="Z3157" s="4"/>
      <c r="AA3157"/>
      <c r="AB3157"/>
    </row>
    <row r="3158" spans="1:28" s="37" customFormat="1" x14ac:dyDescent="0.15">
      <c r="A3158" s="166"/>
      <c r="B3158" s="93"/>
      <c r="C3158" s="70"/>
      <c r="D3158" s="70"/>
      <c r="E3158" s="70"/>
      <c r="F3158" s="70"/>
      <c r="G3158" s="70"/>
      <c r="H3158" s="93"/>
      <c r="I3158" s="85"/>
      <c r="J3158" s="98"/>
      <c r="K3158" s="131"/>
      <c r="L3158" s="70"/>
      <c r="M3158" s="35"/>
      <c r="Q3158" s="3"/>
      <c r="R3158" s="3"/>
      <c r="S3158" s="3"/>
      <c r="T3158" s="3"/>
      <c r="U3158" s="3"/>
      <c r="V3158" s="3"/>
      <c r="W3158" s="3"/>
      <c r="X3158" s="3"/>
      <c r="Y3158" s="3"/>
      <c r="Z3158" s="4"/>
      <c r="AA3158"/>
      <c r="AB3158"/>
    </row>
    <row r="3159" spans="1:28" s="37" customFormat="1" x14ac:dyDescent="0.15">
      <c r="A3159" s="166"/>
      <c r="B3159" s="93"/>
      <c r="C3159" s="88"/>
      <c r="D3159" s="70"/>
      <c r="E3159" s="70"/>
      <c r="F3159" s="70"/>
      <c r="G3159" s="70"/>
      <c r="H3159" s="93"/>
      <c r="I3159" s="85"/>
      <c r="J3159" s="98"/>
      <c r="K3159" s="131"/>
      <c r="L3159" s="61"/>
      <c r="M3159" s="35"/>
      <c r="Q3159" s="3"/>
      <c r="R3159" s="3"/>
      <c r="S3159" s="3"/>
      <c r="T3159" s="3"/>
      <c r="U3159" s="3"/>
      <c r="V3159" s="3"/>
      <c r="W3159" s="3"/>
      <c r="X3159" s="3"/>
      <c r="Y3159" s="3"/>
      <c r="Z3159" s="4"/>
      <c r="AA3159"/>
      <c r="AB3159"/>
    </row>
    <row r="3160" spans="1:28" s="37" customFormat="1" x14ac:dyDescent="0.15">
      <c r="A3160" s="166"/>
      <c r="B3160" s="93"/>
      <c r="C3160" s="70"/>
      <c r="D3160" s="70"/>
      <c r="E3160" s="70"/>
      <c r="F3160" s="70"/>
      <c r="G3160" s="70"/>
      <c r="H3160" s="93"/>
      <c r="I3160" s="85"/>
      <c r="J3160" s="85"/>
      <c r="K3160" s="131"/>
      <c r="L3160" s="61"/>
      <c r="Q3160" s="3"/>
      <c r="R3160" s="3"/>
      <c r="S3160" s="3"/>
      <c r="T3160" s="3"/>
      <c r="U3160" s="3"/>
      <c r="V3160" s="3"/>
      <c r="W3160" s="3"/>
      <c r="X3160" s="3"/>
      <c r="Y3160" s="3"/>
      <c r="Z3160" s="4"/>
      <c r="AA3160"/>
      <c r="AB3160"/>
    </row>
    <row r="3161" spans="1:28" s="37" customFormat="1" x14ac:dyDescent="0.15">
      <c r="A3161" s="166"/>
      <c r="B3161" s="93"/>
      <c r="C3161" s="88"/>
      <c r="D3161" s="70"/>
      <c r="E3161" s="70"/>
      <c r="F3161" s="70"/>
      <c r="G3161" s="70"/>
      <c r="H3161" s="93"/>
      <c r="I3161" s="85"/>
      <c r="J3161" s="98"/>
      <c r="K3161" s="131"/>
      <c r="L3161" s="61"/>
      <c r="M3161" s="35"/>
      <c r="Q3161" s="3"/>
      <c r="R3161" s="3"/>
      <c r="S3161" s="3"/>
      <c r="T3161" s="3"/>
      <c r="U3161" s="3"/>
      <c r="V3161" s="3"/>
      <c r="W3161" s="3"/>
      <c r="X3161" s="3"/>
      <c r="Y3161" s="3"/>
      <c r="Z3161" s="4"/>
      <c r="AA3161"/>
      <c r="AB3161"/>
    </row>
    <row r="3162" spans="1:28" s="37" customFormat="1" ht="16" x14ac:dyDescent="0.2">
      <c r="A3162" s="166"/>
      <c r="B3162" s="93"/>
      <c r="C3162" s="88"/>
      <c r="D3162" s="70"/>
      <c r="E3162" s="70"/>
      <c r="F3162" s="70"/>
      <c r="G3162" s="70"/>
      <c r="H3162" s="93"/>
      <c r="I3162" s="85"/>
      <c r="J3162" s="98"/>
      <c r="K3162" s="131"/>
      <c r="L3162" s="61"/>
      <c r="M3162" s="35"/>
      <c r="N3162" s="48"/>
      <c r="Q3162" s="3"/>
      <c r="R3162" s="3"/>
      <c r="S3162" s="3"/>
      <c r="T3162" s="3"/>
      <c r="U3162" s="3"/>
      <c r="V3162" s="3"/>
      <c r="W3162" s="3"/>
      <c r="X3162" s="3"/>
      <c r="Y3162" s="3"/>
      <c r="Z3162" s="4"/>
      <c r="AA3162"/>
      <c r="AB3162"/>
    </row>
    <row r="3163" spans="1:28" s="37" customFormat="1" x14ac:dyDescent="0.15">
      <c r="A3163" s="166"/>
      <c r="B3163" s="93"/>
      <c r="C3163" s="88"/>
      <c r="D3163" s="70"/>
      <c r="E3163" s="70"/>
      <c r="F3163" s="70"/>
      <c r="G3163" s="70"/>
      <c r="H3163" s="93"/>
      <c r="I3163" s="85"/>
      <c r="J3163" s="98"/>
      <c r="K3163" s="131"/>
      <c r="L3163" s="61"/>
      <c r="M3163" s="35"/>
      <c r="Q3163" s="3"/>
      <c r="R3163" s="3"/>
      <c r="S3163" s="3"/>
      <c r="T3163" s="3"/>
      <c r="U3163" s="3"/>
      <c r="V3163" s="3"/>
      <c r="W3163" s="3"/>
      <c r="X3163" s="3"/>
      <c r="Y3163" s="3"/>
      <c r="Z3163" s="4"/>
      <c r="AA3163"/>
      <c r="AB3163"/>
    </row>
    <row r="3164" spans="1:28" s="37" customFormat="1" x14ac:dyDescent="0.15">
      <c r="A3164" s="166"/>
      <c r="B3164" s="93"/>
      <c r="C3164" s="88"/>
      <c r="D3164" s="70"/>
      <c r="E3164" s="70"/>
      <c r="F3164" s="70"/>
      <c r="G3164" s="70"/>
      <c r="H3164" s="93"/>
      <c r="I3164" s="85"/>
      <c r="J3164" s="98"/>
      <c r="K3164" s="131"/>
      <c r="L3164" s="61"/>
      <c r="M3164" s="35"/>
      <c r="Q3164" s="3"/>
      <c r="R3164" s="3"/>
      <c r="S3164" s="3"/>
      <c r="T3164" s="3"/>
      <c r="U3164" s="3"/>
      <c r="V3164" s="3"/>
      <c r="W3164" s="3"/>
      <c r="X3164" s="3"/>
      <c r="Y3164" s="3"/>
      <c r="Z3164" s="4"/>
      <c r="AA3164"/>
      <c r="AB3164"/>
    </row>
    <row r="3165" spans="1:28" s="37" customFormat="1" x14ac:dyDescent="0.15">
      <c r="A3165" s="166"/>
      <c r="B3165" s="93"/>
      <c r="C3165" s="88"/>
      <c r="D3165" s="70"/>
      <c r="E3165" s="70"/>
      <c r="F3165" s="70"/>
      <c r="G3165" s="70"/>
      <c r="H3165" s="93"/>
      <c r="I3165" s="85"/>
      <c r="J3165" s="98"/>
      <c r="K3165" s="131"/>
      <c r="L3165" s="61"/>
      <c r="M3165" s="35"/>
      <c r="Q3165" s="3"/>
      <c r="R3165" s="3"/>
      <c r="S3165" s="3"/>
      <c r="T3165" s="3"/>
      <c r="U3165" s="3"/>
      <c r="V3165" s="3"/>
      <c r="W3165" s="3"/>
      <c r="X3165" s="3"/>
      <c r="Y3165" s="3"/>
      <c r="Z3165" s="4"/>
      <c r="AA3165"/>
      <c r="AB3165"/>
    </row>
    <row r="3166" spans="1:28" s="37" customFormat="1" x14ac:dyDescent="0.15">
      <c r="A3166" s="166"/>
      <c r="B3166" s="93"/>
      <c r="C3166" s="88"/>
      <c r="D3166" s="70"/>
      <c r="E3166" s="70"/>
      <c r="F3166" s="70"/>
      <c r="G3166" s="70"/>
      <c r="H3166" s="93"/>
      <c r="I3166" s="85"/>
      <c r="J3166" s="98"/>
      <c r="K3166" s="135"/>
      <c r="L3166" s="61"/>
      <c r="M3166" s="35"/>
      <c r="Q3166" s="3"/>
      <c r="R3166" s="3"/>
      <c r="S3166" s="3"/>
      <c r="T3166" s="3"/>
      <c r="U3166" s="3"/>
      <c r="V3166" s="3"/>
      <c r="W3166" s="3"/>
      <c r="X3166" s="3"/>
      <c r="Y3166" s="3"/>
      <c r="Z3166" s="4"/>
      <c r="AA3166"/>
      <c r="AB3166"/>
    </row>
    <row r="3167" spans="1:28" s="37" customFormat="1" x14ac:dyDescent="0.15">
      <c r="A3167" s="166"/>
      <c r="B3167" s="93"/>
      <c r="C3167" s="88"/>
      <c r="D3167" s="70"/>
      <c r="E3167" s="70"/>
      <c r="F3167" s="70"/>
      <c r="G3167" s="70"/>
      <c r="H3167" s="93"/>
      <c r="I3167" s="85"/>
      <c r="J3167" s="98"/>
      <c r="K3167" s="131"/>
      <c r="L3167" s="61"/>
      <c r="M3167" s="35"/>
      <c r="Q3167" s="3"/>
      <c r="R3167" s="3"/>
      <c r="S3167" s="3"/>
      <c r="T3167" s="3"/>
      <c r="U3167" s="3"/>
      <c r="V3167" s="3"/>
      <c r="W3167" s="3"/>
      <c r="X3167" s="3"/>
      <c r="Y3167" s="3"/>
      <c r="Z3167" s="4"/>
      <c r="AA3167"/>
      <c r="AB3167"/>
    </row>
    <row r="3168" spans="1:28" s="37" customFormat="1" x14ac:dyDescent="0.15">
      <c r="A3168" s="167"/>
      <c r="B3168" s="87"/>
      <c r="C3168" s="88"/>
      <c r="D3168" s="86"/>
      <c r="E3168" s="86"/>
      <c r="F3168" s="86"/>
      <c r="G3168" s="86"/>
      <c r="H3168" s="87"/>
      <c r="I3168" s="85"/>
      <c r="J3168" s="89"/>
      <c r="K3168" s="132"/>
      <c r="L3168" s="61"/>
      <c r="M3168" s="49"/>
      <c r="Q3168" s="3"/>
      <c r="R3168" s="3"/>
      <c r="S3168" s="3"/>
      <c r="T3168" s="3"/>
      <c r="U3168" s="3"/>
      <c r="V3168" s="3"/>
      <c r="W3168" s="3"/>
      <c r="X3168" s="3"/>
      <c r="Y3168" s="3"/>
      <c r="Z3168" s="4"/>
      <c r="AA3168"/>
      <c r="AB3168"/>
    </row>
    <row r="3169" spans="1:28" s="37" customFormat="1" x14ac:dyDescent="0.15">
      <c r="A3169" s="166"/>
      <c r="B3169" s="82"/>
      <c r="C3169" s="70"/>
      <c r="D3169" s="70"/>
      <c r="E3169" s="70"/>
      <c r="F3169" s="70"/>
      <c r="G3169" s="70"/>
      <c r="H3169" s="93"/>
      <c r="I3169" s="85"/>
      <c r="J3169" s="85"/>
      <c r="K3169" s="131"/>
      <c r="L3169" s="60"/>
      <c r="M3169" s="49"/>
      <c r="Q3169" s="3"/>
      <c r="R3169" s="3"/>
      <c r="S3169" s="3"/>
      <c r="T3169" s="3"/>
      <c r="U3169" s="3"/>
      <c r="V3169" s="3"/>
      <c r="W3169" s="3"/>
      <c r="X3169" s="3"/>
      <c r="Y3169" s="3"/>
      <c r="Z3169" s="4"/>
      <c r="AA3169"/>
      <c r="AB3169"/>
    </row>
    <row r="3170" spans="1:28" s="37" customFormat="1" x14ac:dyDescent="0.15">
      <c r="A3170" s="166"/>
      <c r="B3170" s="82"/>
      <c r="C3170" s="70"/>
      <c r="D3170" s="70"/>
      <c r="E3170" s="70"/>
      <c r="F3170" s="70"/>
      <c r="G3170" s="70"/>
      <c r="H3170" s="93"/>
      <c r="I3170" s="85"/>
      <c r="J3170" s="85"/>
      <c r="K3170" s="131"/>
      <c r="L3170" s="60"/>
      <c r="M3170" s="49"/>
      <c r="Q3170" s="3"/>
      <c r="R3170" s="3"/>
      <c r="S3170" s="3"/>
      <c r="T3170" s="3"/>
      <c r="U3170" s="3"/>
      <c r="V3170" s="3"/>
      <c r="W3170" s="3"/>
      <c r="X3170" s="3"/>
      <c r="Y3170" s="3"/>
      <c r="Z3170" s="4"/>
      <c r="AA3170"/>
      <c r="AB3170"/>
    </row>
    <row r="3171" spans="1:28" s="37" customFormat="1" x14ac:dyDescent="0.15">
      <c r="A3171" s="166"/>
      <c r="B3171" s="82"/>
      <c r="C3171" s="70"/>
      <c r="D3171" s="70"/>
      <c r="E3171" s="70"/>
      <c r="F3171" s="70"/>
      <c r="G3171" s="70"/>
      <c r="H3171" s="93"/>
      <c r="I3171" s="85"/>
      <c r="J3171" s="85"/>
      <c r="K3171" s="131"/>
      <c r="L3171" s="60"/>
      <c r="M3171" s="49"/>
      <c r="Q3171" s="3"/>
      <c r="R3171" s="3"/>
      <c r="S3171" s="3"/>
      <c r="T3171" s="3"/>
      <c r="U3171" s="3"/>
      <c r="V3171" s="3"/>
      <c r="W3171" s="3"/>
      <c r="X3171" s="3"/>
      <c r="Y3171" s="3"/>
      <c r="Z3171" s="4"/>
      <c r="AA3171"/>
      <c r="AB3171"/>
    </row>
    <row r="3172" spans="1:28" s="37" customFormat="1" x14ac:dyDescent="0.15">
      <c r="A3172" s="166"/>
      <c r="B3172" s="82"/>
      <c r="C3172" s="73"/>
      <c r="D3172" s="73"/>
      <c r="E3172" s="70"/>
      <c r="F3172" s="73"/>
      <c r="G3172" s="73"/>
      <c r="H3172" s="108"/>
      <c r="I3172" s="85"/>
      <c r="J3172" s="95"/>
      <c r="K3172" s="131"/>
      <c r="L3172" s="60"/>
      <c r="M3172" s="49"/>
      <c r="Q3172" s="3"/>
      <c r="R3172" s="3"/>
      <c r="S3172" s="3"/>
      <c r="T3172" s="3"/>
      <c r="U3172" s="3"/>
      <c r="V3172" s="3"/>
      <c r="W3172" s="3"/>
      <c r="X3172" s="3"/>
      <c r="Y3172" s="3"/>
      <c r="Z3172" s="4"/>
      <c r="AA3172"/>
      <c r="AB3172"/>
    </row>
    <row r="3173" spans="1:28" s="37" customFormat="1" x14ac:dyDescent="0.15">
      <c r="A3173" s="166"/>
      <c r="B3173" s="82"/>
      <c r="C3173" s="70"/>
      <c r="D3173" s="70"/>
      <c r="E3173" s="70"/>
      <c r="F3173" s="70"/>
      <c r="G3173" s="70"/>
      <c r="H3173" s="93"/>
      <c r="I3173" s="85"/>
      <c r="J3173" s="85"/>
      <c r="K3173" s="131"/>
      <c r="L3173" s="60"/>
      <c r="M3173" s="49"/>
      <c r="Q3173" s="3"/>
      <c r="R3173" s="3"/>
      <c r="S3173" s="3"/>
      <c r="T3173" s="3"/>
      <c r="U3173" s="3"/>
      <c r="V3173" s="3"/>
      <c r="W3173" s="3"/>
      <c r="X3173" s="3"/>
      <c r="Y3173" s="3"/>
      <c r="Z3173" s="4"/>
      <c r="AA3173"/>
      <c r="AB3173"/>
    </row>
    <row r="3174" spans="1:28" s="37" customFormat="1" x14ac:dyDescent="0.15">
      <c r="A3174" s="166"/>
      <c r="B3174" s="82"/>
      <c r="C3174" s="70"/>
      <c r="D3174" s="70"/>
      <c r="E3174" s="70"/>
      <c r="F3174" s="70"/>
      <c r="G3174" s="70"/>
      <c r="H3174" s="93"/>
      <c r="I3174" s="85"/>
      <c r="J3174" s="85"/>
      <c r="K3174" s="131"/>
      <c r="L3174" s="60"/>
      <c r="M3174" s="49"/>
      <c r="Q3174" s="3"/>
      <c r="R3174" s="3"/>
      <c r="S3174" s="3"/>
      <c r="T3174" s="3"/>
      <c r="U3174" s="3"/>
      <c r="V3174" s="3"/>
      <c r="W3174" s="3"/>
      <c r="X3174" s="3"/>
      <c r="Y3174" s="3"/>
      <c r="Z3174" s="4"/>
      <c r="AA3174"/>
      <c r="AB3174"/>
    </row>
    <row r="3175" spans="1:28" s="37" customFormat="1" x14ac:dyDescent="0.15">
      <c r="A3175" s="166"/>
      <c r="B3175" s="82"/>
      <c r="C3175" s="70"/>
      <c r="D3175" s="70"/>
      <c r="E3175" s="70"/>
      <c r="F3175" s="70"/>
      <c r="G3175" s="70"/>
      <c r="H3175" s="93"/>
      <c r="I3175" s="85"/>
      <c r="J3175" s="85"/>
      <c r="K3175" s="131"/>
      <c r="L3175" s="60"/>
      <c r="M3175" s="49"/>
      <c r="Q3175" s="3"/>
      <c r="R3175" s="3"/>
      <c r="S3175" s="3"/>
      <c r="T3175" s="3"/>
      <c r="U3175" s="3"/>
      <c r="V3175" s="3"/>
      <c r="W3175" s="3"/>
      <c r="X3175" s="3"/>
      <c r="Y3175" s="3"/>
      <c r="Z3175" s="4"/>
      <c r="AA3175"/>
      <c r="AB3175"/>
    </row>
    <row r="3176" spans="1:28" s="37" customFormat="1" x14ac:dyDescent="0.15">
      <c r="A3176" s="166"/>
      <c r="B3176" s="82"/>
      <c r="C3176" s="70"/>
      <c r="D3176" s="70"/>
      <c r="E3176" s="70"/>
      <c r="F3176" s="70"/>
      <c r="G3176" s="70"/>
      <c r="H3176" s="93"/>
      <c r="I3176" s="85"/>
      <c r="J3176" s="85"/>
      <c r="K3176" s="141"/>
      <c r="L3176" s="60"/>
      <c r="M3176" s="49"/>
      <c r="Q3176" s="3"/>
      <c r="R3176" s="3"/>
      <c r="S3176" s="3"/>
      <c r="T3176" s="3"/>
      <c r="U3176" s="3"/>
      <c r="V3176" s="3"/>
      <c r="W3176" s="3"/>
      <c r="X3176" s="3"/>
      <c r="Y3176" s="3"/>
      <c r="Z3176" s="4"/>
      <c r="AA3176"/>
      <c r="AB3176"/>
    </row>
    <row r="3177" spans="1:28" s="37" customFormat="1" x14ac:dyDescent="0.15">
      <c r="A3177" s="166"/>
      <c r="B3177" s="82"/>
      <c r="C3177" s="70"/>
      <c r="D3177" s="70"/>
      <c r="E3177" s="70"/>
      <c r="F3177" s="70"/>
      <c r="G3177" s="70"/>
      <c r="H3177" s="93"/>
      <c r="I3177" s="85"/>
      <c r="J3177" s="85"/>
      <c r="K3177" s="131"/>
      <c r="L3177" s="60"/>
      <c r="M3177" s="49"/>
      <c r="Q3177" s="3"/>
      <c r="R3177" s="3"/>
      <c r="S3177" s="3"/>
      <c r="T3177" s="3"/>
      <c r="U3177" s="3"/>
      <c r="V3177" s="3"/>
      <c r="W3177" s="3"/>
      <c r="X3177" s="3"/>
      <c r="Y3177" s="3"/>
      <c r="Z3177" s="4"/>
      <c r="AA3177"/>
      <c r="AB3177"/>
    </row>
    <row r="3178" spans="1:28" s="37" customFormat="1" x14ac:dyDescent="0.15">
      <c r="A3178" s="166"/>
      <c r="B3178" s="82"/>
      <c r="C3178" s="70"/>
      <c r="D3178" s="70"/>
      <c r="E3178" s="70"/>
      <c r="F3178" s="70"/>
      <c r="G3178" s="70"/>
      <c r="H3178" s="93"/>
      <c r="I3178" s="85"/>
      <c r="J3178" s="85"/>
      <c r="K3178" s="131"/>
      <c r="L3178" s="60"/>
      <c r="M3178" s="49"/>
      <c r="Q3178" s="3"/>
      <c r="R3178" s="3"/>
      <c r="S3178" s="3"/>
      <c r="T3178" s="3"/>
      <c r="U3178" s="3"/>
      <c r="V3178" s="3"/>
      <c r="W3178" s="3"/>
      <c r="X3178" s="3"/>
      <c r="Y3178" s="3"/>
      <c r="Z3178" s="4"/>
      <c r="AA3178"/>
      <c r="AB3178"/>
    </row>
    <row r="3179" spans="1:28" s="37" customFormat="1" x14ac:dyDescent="0.15">
      <c r="A3179" s="166"/>
      <c r="B3179" s="82"/>
      <c r="C3179" s="70"/>
      <c r="D3179" s="70"/>
      <c r="E3179" s="70"/>
      <c r="F3179" s="70"/>
      <c r="G3179" s="70"/>
      <c r="H3179" s="93"/>
      <c r="I3179" s="85"/>
      <c r="J3179" s="85"/>
      <c r="K3179" s="131"/>
      <c r="L3179" s="60"/>
      <c r="M3179" s="49"/>
      <c r="Q3179" s="3"/>
      <c r="R3179" s="3"/>
      <c r="S3179" s="3"/>
      <c r="T3179" s="3"/>
      <c r="U3179" s="3"/>
      <c r="V3179" s="3"/>
      <c r="W3179" s="3"/>
      <c r="X3179" s="3"/>
      <c r="Y3179" s="3"/>
      <c r="Z3179" s="4"/>
      <c r="AA3179"/>
      <c r="AB3179"/>
    </row>
    <row r="3180" spans="1:28" s="37" customFormat="1" x14ac:dyDescent="0.15">
      <c r="A3180" s="166"/>
      <c r="B3180" s="82"/>
      <c r="C3180" s="70"/>
      <c r="D3180" s="70"/>
      <c r="E3180" s="70"/>
      <c r="F3180" s="70"/>
      <c r="G3180" s="70"/>
      <c r="H3180" s="93"/>
      <c r="I3180" s="85"/>
      <c r="J3180" s="85"/>
      <c r="K3180" s="131"/>
      <c r="L3180" s="60"/>
      <c r="M3180" s="49"/>
      <c r="Q3180" s="3"/>
      <c r="R3180" s="3"/>
      <c r="S3180" s="3"/>
      <c r="T3180" s="3"/>
      <c r="U3180" s="3"/>
      <c r="V3180" s="3"/>
      <c r="W3180" s="3"/>
      <c r="X3180" s="3"/>
      <c r="Y3180" s="3"/>
      <c r="Z3180" s="4"/>
      <c r="AA3180"/>
      <c r="AB3180"/>
    </row>
    <row r="3181" spans="1:28" s="37" customFormat="1" x14ac:dyDescent="0.15">
      <c r="A3181" s="166"/>
      <c r="B3181" s="82"/>
      <c r="C3181" s="70"/>
      <c r="D3181" s="70"/>
      <c r="E3181" s="70"/>
      <c r="F3181" s="70"/>
      <c r="G3181" s="70"/>
      <c r="H3181" s="93"/>
      <c r="I3181" s="85"/>
      <c r="J3181" s="85"/>
      <c r="K3181" s="131"/>
      <c r="L3181" s="60"/>
      <c r="M3181" s="49"/>
      <c r="Q3181" s="3"/>
      <c r="R3181" s="3"/>
      <c r="S3181" s="3"/>
      <c r="T3181" s="3"/>
      <c r="U3181" s="3"/>
      <c r="V3181" s="3"/>
      <c r="W3181" s="3"/>
      <c r="X3181" s="3"/>
      <c r="Y3181" s="3"/>
      <c r="Z3181" s="4"/>
      <c r="AA3181"/>
      <c r="AB3181"/>
    </row>
    <row r="3182" spans="1:28" s="49" customFormat="1" x14ac:dyDescent="0.15">
      <c r="A3182" s="166"/>
      <c r="B3182" s="82"/>
      <c r="C3182" s="70"/>
      <c r="D3182" s="70"/>
      <c r="E3182" s="70"/>
      <c r="F3182" s="70"/>
      <c r="G3182" s="70"/>
      <c r="H3182" s="93"/>
      <c r="I3182" s="85"/>
      <c r="J3182" s="85"/>
      <c r="K3182" s="131"/>
      <c r="L3182" s="60"/>
      <c r="N3182" s="37"/>
      <c r="O3182" s="37"/>
      <c r="P3182" s="37"/>
      <c r="Q3182" s="3"/>
      <c r="R3182" s="3"/>
      <c r="S3182" s="3"/>
      <c r="T3182" s="3"/>
      <c r="U3182" s="3"/>
      <c r="V3182" s="3"/>
      <c r="W3182" s="3"/>
      <c r="X3182" s="3"/>
      <c r="Y3182" s="3"/>
      <c r="Z3182" s="4"/>
      <c r="AA3182"/>
      <c r="AB3182"/>
    </row>
    <row r="3183" spans="1:28" s="49" customFormat="1" x14ac:dyDescent="0.15">
      <c r="A3183" s="166"/>
      <c r="B3183" s="82"/>
      <c r="C3183" s="70"/>
      <c r="D3183" s="70"/>
      <c r="E3183" s="70"/>
      <c r="F3183" s="70"/>
      <c r="G3183" s="70"/>
      <c r="H3183" s="93"/>
      <c r="I3183" s="85"/>
      <c r="J3183" s="85"/>
      <c r="K3183" s="131"/>
      <c r="L3183" s="60"/>
      <c r="N3183" s="37"/>
      <c r="O3183" s="37"/>
      <c r="P3183" s="37"/>
      <c r="Q3183" s="3"/>
      <c r="R3183" s="3"/>
      <c r="S3183" s="3"/>
      <c r="T3183" s="3"/>
      <c r="U3183" s="3"/>
      <c r="V3183" s="3"/>
      <c r="W3183" s="3"/>
      <c r="X3183" s="3"/>
      <c r="Y3183" s="3"/>
      <c r="Z3183" s="4"/>
      <c r="AA3183"/>
      <c r="AB3183"/>
    </row>
    <row r="3184" spans="1:28" s="49" customFormat="1" x14ac:dyDescent="0.15">
      <c r="A3184" s="166"/>
      <c r="B3184" s="82"/>
      <c r="C3184" s="70"/>
      <c r="D3184" s="70"/>
      <c r="E3184" s="70"/>
      <c r="F3184" s="70"/>
      <c r="G3184" s="70"/>
      <c r="H3184" s="93"/>
      <c r="I3184" s="85"/>
      <c r="J3184" s="85"/>
      <c r="K3184" s="131"/>
      <c r="L3184" s="60"/>
      <c r="N3184" s="37"/>
      <c r="O3184" s="37"/>
      <c r="P3184" s="37"/>
      <c r="Q3184" s="3"/>
      <c r="R3184" s="3"/>
      <c r="S3184" s="3"/>
      <c r="T3184" s="3"/>
      <c r="U3184" s="3"/>
      <c r="V3184" s="3"/>
      <c r="W3184" s="3"/>
      <c r="X3184" s="3"/>
      <c r="Y3184" s="3"/>
      <c r="Z3184" s="4"/>
      <c r="AA3184"/>
      <c r="AB3184"/>
    </row>
    <row r="3185" spans="1:28" s="49" customFormat="1" x14ac:dyDescent="0.15">
      <c r="A3185" s="166"/>
      <c r="B3185" s="82"/>
      <c r="C3185" s="70"/>
      <c r="D3185" s="70"/>
      <c r="E3185" s="70"/>
      <c r="F3185" s="70"/>
      <c r="G3185" s="70"/>
      <c r="H3185" s="93"/>
      <c r="I3185" s="85"/>
      <c r="J3185" s="85"/>
      <c r="K3185" s="131"/>
      <c r="L3185" s="60"/>
      <c r="N3185" s="37"/>
      <c r="O3185" s="37"/>
      <c r="P3185" s="37"/>
      <c r="Q3185" s="3"/>
      <c r="R3185" s="3"/>
      <c r="S3185" s="3"/>
      <c r="T3185" s="3"/>
      <c r="U3185" s="3"/>
      <c r="V3185" s="3"/>
      <c r="W3185" s="3"/>
      <c r="X3185" s="3"/>
      <c r="Y3185" s="3"/>
      <c r="Z3185" s="4"/>
      <c r="AA3185"/>
      <c r="AB3185"/>
    </row>
    <row r="3186" spans="1:28" s="49" customFormat="1" x14ac:dyDescent="0.15">
      <c r="A3186" s="166"/>
      <c r="B3186" s="82"/>
      <c r="C3186" s="70"/>
      <c r="D3186" s="70"/>
      <c r="E3186" s="70"/>
      <c r="F3186" s="70"/>
      <c r="G3186" s="70"/>
      <c r="H3186" s="93"/>
      <c r="I3186" s="85"/>
      <c r="J3186" s="85"/>
      <c r="K3186" s="131"/>
      <c r="L3186" s="60"/>
      <c r="N3186" s="37"/>
      <c r="O3186" s="37"/>
      <c r="P3186" s="37"/>
      <c r="Q3186" s="3"/>
      <c r="R3186" s="3"/>
      <c r="S3186" s="3"/>
      <c r="T3186" s="3"/>
      <c r="U3186" s="3"/>
      <c r="V3186" s="3"/>
      <c r="W3186" s="3"/>
      <c r="X3186" s="3"/>
      <c r="Y3186" s="3"/>
      <c r="Z3186" s="4"/>
      <c r="AA3186"/>
      <c r="AB3186"/>
    </row>
    <row r="3187" spans="1:28" s="49" customFormat="1" x14ac:dyDescent="0.15">
      <c r="A3187" s="166"/>
      <c r="B3187" s="82"/>
      <c r="C3187" s="70"/>
      <c r="D3187" s="70"/>
      <c r="E3187" s="70"/>
      <c r="F3187" s="70"/>
      <c r="G3187" s="70"/>
      <c r="H3187" s="93"/>
      <c r="I3187" s="85"/>
      <c r="J3187" s="85"/>
      <c r="K3187" s="131"/>
      <c r="L3187" s="60"/>
      <c r="N3187" s="37"/>
      <c r="O3187" s="37"/>
      <c r="P3187" s="37"/>
      <c r="Q3187" s="3"/>
      <c r="R3187" s="3"/>
      <c r="S3187" s="3"/>
      <c r="T3187" s="3"/>
      <c r="U3187" s="3"/>
      <c r="V3187" s="3"/>
      <c r="W3187" s="3"/>
      <c r="X3187" s="3"/>
      <c r="Y3187" s="3"/>
      <c r="Z3187" s="4"/>
      <c r="AA3187"/>
      <c r="AB3187"/>
    </row>
    <row r="3188" spans="1:28" s="49" customFormat="1" x14ac:dyDescent="0.15">
      <c r="A3188" s="166"/>
      <c r="B3188" s="82"/>
      <c r="C3188" s="70"/>
      <c r="D3188" s="70"/>
      <c r="E3188" s="70"/>
      <c r="F3188" s="70"/>
      <c r="G3188" s="70"/>
      <c r="H3188" s="93"/>
      <c r="I3188" s="85"/>
      <c r="J3188" s="85"/>
      <c r="K3188" s="131"/>
      <c r="L3188" s="60"/>
      <c r="N3188" s="37"/>
      <c r="O3188" s="37"/>
      <c r="P3188" s="37"/>
      <c r="Q3188" s="3"/>
      <c r="R3188" s="3"/>
      <c r="S3188" s="3"/>
      <c r="T3188" s="3"/>
      <c r="U3188" s="3"/>
      <c r="V3188" s="3"/>
      <c r="W3188" s="3"/>
      <c r="X3188" s="3"/>
      <c r="Y3188" s="3"/>
      <c r="Z3188" s="4"/>
      <c r="AA3188"/>
      <c r="AB3188"/>
    </row>
    <row r="3189" spans="1:28" s="49" customFormat="1" x14ac:dyDescent="0.15">
      <c r="A3189" s="166"/>
      <c r="B3189" s="82"/>
      <c r="C3189" s="70"/>
      <c r="D3189" s="70"/>
      <c r="E3189" s="70"/>
      <c r="F3189" s="70"/>
      <c r="G3189" s="70"/>
      <c r="H3189" s="93"/>
      <c r="I3189" s="85"/>
      <c r="J3189" s="85"/>
      <c r="K3189" s="131"/>
      <c r="L3189" s="60"/>
      <c r="N3189" s="37"/>
      <c r="O3189" s="37"/>
      <c r="P3189" s="37"/>
      <c r="Q3189" s="3"/>
      <c r="R3189" s="3"/>
      <c r="S3189" s="3"/>
      <c r="T3189" s="3"/>
      <c r="U3189" s="3"/>
      <c r="V3189" s="3"/>
      <c r="W3189" s="3"/>
      <c r="X3189" s="3"/>
      <c r="Y3189" s="3"/>
      <c r="Z3189" s="4"/>
      <c r="AA3189"/>
      <c r="AB3189"/>
    </row>
    <row r="3190" spans="1:28" s="49" customFormat="1" x14ac:dyDescent="0.15">
      <c r="A3190" s="166"/>
      <c r="B3190" s="82"/>
      <c r="C3190" s="70"/>
      <c r="D3190" s="70"/>
      <c r="E3190" s="70"/>
      <c r="F3190" s="70"/>
      <c r="G3190" s="70"/>
      <c r="H3190" s="93"/>
      <c r="I3190" s="85"/>
      <c r="J3190" s="85"/>
      <c r="K3190" s="141"/>
      <c r="L3190" s="60"/>
      <c r="N3190" s="37"/>
      <c r="O3190" s="37"/>
      <c r="P3190" s="37"/>
      <c r="Q3190" s="3"/>
      <c r="R3190" s="3"/>
      <c r="S3190" s="3"/>
      <c r="T3190" s="3"/>
      <c r="U3190" s="3"/>
      <c r="V3190" s="3"/>
      <c r="W3190" s="3"/>
      <c r="X3190" s="3"/>
      <c r="Y3190" s="3"/>
      <c r="Z3190" s="4"/>
      <c r="AA3190"/>
      <c r="AB3190"/>
    </row>
    <row r="3191" spans="1:28" s="49" customFormat="1" x14ac:dyDescent="0.15">
      <c r="A3191" s="166"/>
      <c r="B3191" s="82"/>
      <c r="C3191" s="70"/>
      <c r="D3191" s="70"/>
      <c r="E3191" s="70"/>
      <c r="F3191" s="70"/>
      <c r="G3191" s="70"/>
      <c r="H3191" s="93"/>
      <c r="I3191" s="85"/>
      <c r="J3191" s="85"/>
      <c r="K3191" s="131"/>
      <c r="L3191" s="60"/>
      <c r="N3191" s="37"/>
      <c r="O3191" s="37"/>
      <c r="P3191" s="37"/>
      <c r="Q3191" s="3"/>
      <c r="R3191" s="3"/>
      <c r="S3191" s="3"/>
      <c r="T3191" s="3"/>
      <c r="U3191" s="3"/>
      <c r="V3191" s="3"/>
      <c r="W3191" s="3"/>
      <c r="X3191" s="3"/>
      <c r="Y3191" s="3"/>
      <c r="Z3191" s="4"/>
      <c r="AA3191"/>
      <c r="AB3191"/>
    </row>
    <row r="3192" spans="1:28" s="49" customFormat="1" x14ac:dyDescent="0.15">
      <c r="A3192" s="166"/>
      <c r="B3192" s="82"/>
      <c r="C3192" s="70"/>
      <c r="D3192" s="70"/>
      <c r="E3192" s="70"/>
      <c r="F3192" s="70"/>
      <c r="G3192" s="70"/>
      <c r="H3192" s="93"/>
      <c r="I3192" s="85"/>
      <c r="J3192" s="85"/>
      <c r="K3192" s="131"/>
      <c r="L3192" s="67"/>
      <c r="N3192" s="37"/>
      <c r="O3192" s="37"/>
      <c r="P3192" s="37"/>
      <c r="Q3192" s="3"/>
      <c r="R3192" s="3"/>
      <c r="S3192" s="3"/>
      <c r="T3192" s="3"/>
      <c r="U3192" s="3"/>
      <c r="V3192" s="3"/>
      <c r="W3192" s="3"/>
      <c r="X3192" s="3"/>
      <c r="Y3192" s="3"/>
      <c r="Z3192" s="4"/>
      <c r="AA3192"/>
      <c r="AB3192"/>
    </row>
    <row r="3193" spans="1:28" s="49" customFormat="1" x14ac:dyDescent="0.15">
      <c r="A3193" s="166"/>
      <c r="B3193" s="82"/>
      <c r="C3193" s="70"/>
      <c r="D3193" s="70"/>
      <c r="E3193" s="70"/>
      <c r="F3193" s="70"/>
      <c r="G3193" s="70"/>
      <c r="H3193" s="93"/>
      <c r="I3193" s="85"/>
      <c r="J3193" s="85"/>
      <c r="K3193" s="131"/>
      <c r="L3193" s="60"/>
      <c r="N3193" s="37"/>
      <c r="O3193" s="37"/>
      <c r="P3193" s="37"/>
      <c r="Q3193" s="3"/>
      <c r="R3193" s="3"/>
      <c r="S3193" s="3"/>
      <c r="T3193" s="3"/>
      <c r="U3193" s="3"/>
      <c r="V3193" s="3"/>
      <c r="W3193" s="3"/>
      <c r="X3193" s="3"/>
      <c r="Y3193" s="3"/>
      <c r="Z3193" s="4"/>
      <c r="AA3193"/>
      <c r="AB3193"/>
    </row>
    <row r="3194" spans="1:28" s="49" customFormat="1" x14ac:dyDescent="0.15">
      <c r="A3194" s="166"/>
      <c r="B3194" s="93"/>
      <c r="C3194" s="70"/>
      <c r="D3194" s="70"/>
      <c r="E3194" s="70"/>
      <c r="F3194" s="70"/>
      <c r="G3194" s="70"/>
      <c r="H3194" s="93"/>
      <c r="I3194" s="85"/>
      <c r="J3194" s="85"/>
      <c r="K3194" s="131"/>
      <c r="L3194" s="60"/>
      <c r="N3194" s="37"/>
      <c r="O3194" s="37"/>
      <c r="P3194" s="37"/>
      <c r="Q3194" s="3"/>
      <c r="R3194" s="3"/>
      <c r="S3194" s="3"/>
      <c r="T3194" s="3"/>
      <c r="U3194" s="3"/>
      <c r="V3194" s="3"/>
      <c r="W3194" s="3"/>
      <c r="X3194" s="3"/>
      <c r="Y3194" s="3"/>
      <c r="Z3194" s="4"/>
      <c r="AA3194"/>
      <c r="AB3194"/>
    </row>
    <row r="3195" spans="1:28" s="49" customFormat="1" x14ac:dyDescent="0.15">
      <c r="A3195" s="166"/>
      <c r="B3195" s="82"/>
      <c r="C3195" s="70"/>
      <c r="D3195" s="70"/>
      <c r="E3195" s="70"/>
      <c r="F3195" s="70"/>
      <c r="G3195" s="70"/>
      <c r="H3195" s="93"/>
      <c r="I3195" s="85"/>
      <c r="J3195" s="85"/>
      <c r="K3195" s="131"/>
      <c r="L3195" s="60"/>
      <c r="N3195" s="37"/>
      <c r="O3195" s="37"/>
      <c r="P3195" s="37"/>
      <c r="Q3195" s="3"/>
      <c r="R3195" s="3"/>
      <c r="S3195" s="3"/>
      <c r="T3195" s="3"/>
      <c r="U3195" s="3"/>
      <c r="V3195" s="3"/>
      <c r="W3195" s="3"/>
      <c r="X3195" s="3"/>
      <c r="Y3195" s="3"/>
      <c r="Z3195" s="4"/>
      <c r="AA3195"/>
      <c r="AB3195"/>
    </row>
    <row r="3196" spans="1:28" s="49" customFormat="1" x14ac:dyDescent="0.15">
      <c r="A3196" s="166"/>
      <c r="B3196" s="82"/>
      <c r="C3196" s="70"/>
      <c r="D3196" s="70"/>
      <c r="E3196" s="70"/>
      <c r="F3196" s="70"/>
      <c r="G3196" s="70"/>
      <c r="H3196" s="93"/>
      <c r="I3196" s="85"/>
      <c r="J3196" s="85"/>
      <c r="K3196" s="131"/>
      <c r="L3196" s="60"/>
      <c r="N3196" s="37"/>
      <c r="O3196" s="37"/>
      <c r="P3196" s="37"/>
      <c r="Q3196" s="3"/>
      <c r="R3196" s="3"/>
      <c r="S3196" s="3"/>
      <c r="T3196" s="3"/>
      <c r="U3196" s="3"/>
      <c r="V3196" s="3"/>
      <c r="W3196" s="3"/>
      <c r="X3196" s="3"/>
      <c r="Y3196" s="3"/>
      <c r="Z3196" s="4"/>
      <c r="AA3196"/>
      <c r="AB3196"/>
    </row>
    <row r="3197" spans="1:28" s="49" customFormat="1" x14ac:dyDescent="0.15">
      <c r="A3197" s="166"/>
      <c r="B3197" s="82"/>
      <c r="C3197" s="70"/>
      <c r="D3197" s="70"/>
      <c r="E3197" s="70"/>
      <c r="F3197" s="70"/>
      <c r="G3197" s="70"/>
      <c r="H3197" s="93"/>
      <c r="I3197" s="85"/>
      <c r="J3197" s="85"/>
      <c r="K3197" s="131"/>
      <c r="L3197" s="60"/>
      <c r="N3197" s="37"/>
      <c r="O3197" s="37"/>
      <c r="P3197" s="37"/>
      <c r="Q3197" s="3"/>
      <c r="R3197" s="3"/>
      <c r="S3197" s="3"/>
      <c r="T3197" s="3"/>
      <c r="U3197" s="3"/>
      <c r="V3197" s="3"/>
      <c r="W3197" s="3"/>
      <c r="X3197" s="3"/>
      <c r="Y3197" s="3"/>
      <c r="Z3197" s="4"/>
      <c r="AA3197"/>
      <c r="AB3197"/>
    </row>
    <row r="3198" spans="1:28" s="49" customFormat="1" x14ac:dyDescent="0.15">
      <c r="A3198" s="166"/>
      <c r="B3198" s="82"/>
      <c r="C3198" s="70"/>
      <c r="D3198" s="70"/>
      <c r="E3198" s="70"/>
      <c r="F3198" s="70"/>
      <c r="G3198" s="70"/>
      <c r="H3198" s="93"/>
      <c r="I3198" s="85"/>
      <c r="J3198" s="85"/>
      <c r="K3198" s="131"/>
      <c r="L3198" s="60"/>
      <c r="N3198" s="37"/>
      <c r="O3198" s="37"/>
      <c r="P3198" s="37"/>
      <c r="Q3198" s="3"/>
      <c r="R3198" s="3"/>
      <c r="S3198" s="3"/>
      <c r="T3198" s="3"/>
      <c r="U3198" s="3"/>
      <c r="V3198" s="3"/>
      <c r="W3198" s="3"/>
      <c r="X3198" s="3"/>
      <c r="Y3198" s="3"/>
      <c r="Z3198" s="4"/>
      <c r="AA3198"/>
      <c r="AB3198"/>
    </row>
    <row r="3199" spans="1:28" s="49" customFormat="1" x14ac:dyDescent="0.15">
      <c r="A3199" s="166"/>
      <c r="B3199" s="82"/>
      <c r="C3199" s="70"/>
      <c r="D3199" s="70"/>
      <c r="E3199" s="70"/>
      <c r="F3199" s="70"/>
      <c r="G3199" s="70"/>
      <c r="H3199" s="93"/>
      <c r="I3199" s="85"/>
      <c r="J3199" s="85"/>
      <c r="K3199" s="131"/>
      <c r="L3199" s="60"/>
      <c r="N3199" s="37"/>
      <c r="O3199" s="37"/>
      <c r="P3199" s="37"/>
      <c r="Q3199" s="3"/>
      <c r="R3199" s="3"/>
      <c r="S3199" s="3"/>
      <c r="T3199" s="3"/>
      <c r="U3199" s="3"/>
      <c r="V3199" s="3"/>
      <c r="W3199" s="3"/>
      <c r="X3199" s="3"/>
      <c r="Y3199" s="3"/>
      <c r="Z3199" s="4"/>
      <c r="AA3199"/>
      <c r="AB3199"/>
    </row>
    <row r="3200" spans="1:28" s="49" customFormat="1" x14ac:dyDescent="0.15">
      <c r="A3200" s="166"/>
      <c r="B3200" s="82"/>
      <c r="C3200" s="70"/>
      <c r="D3200" s="70"/>
      <c r="E3200" s="70"/>
      <c r="F3200" s="70"/>
      <c r="G3200" s="70"/>
      <c r="H3200" s="93"/>
      <c r="I3200" s="85"/>
      <c r="J3200" s="85"/>
      <c r="K3200" s="131"/>
      <c r="L3200" s="60"/>
      <c r="N3200" s="37"/>
      <c r="O3200" s="37"/>
      <c r="P3200" s="37"/>
      <c r="Q3200" s="3"/>
      <c r="R3200" s="3"/>
      <c r="S3200" s="3"/>
      <c r="T3200" s="3"/>
      <c r="U3200" s="3"/>
      <c r="V3200" s="3"/>
      <c r="W3200" s="3"/>
      <c r="X3200" s="3"/>
      <c r="Y3200" s="3"/>
      <c r="Z3200" s="4"/>
      <c r="AA3200"/>
      <c r="AB3200"/>
    </row>
    <row r="3201" spans="1:28" s="49" customFormat="1" x14ac:dyDescent="0.15">
      <c r="A3201" s="166"/>
      <c r="B3201" s="82"/>
      <c r="C3201" s="70"/>
      <c r="D3201" s="70"/>
      <c r="E3201" s="70"/>
      <c r="F3201" s="70"/>
      <c r="G3201" s="70"/>
      <c r="H3201" s="93"/>
      <c r="I3201" s="85"/>
      <c r="J3201" s="85"/>
      <c r="K3201" s="131"/>
      <c r="L3201" s="60"/>
      <c r="N3201" s="37"/>
      <c r="O3201" s="37"/>
      <c r="P3201" s="37"/>
      <c r="Q3201" s="3"/>
      <c r="R3201" s="3"/>
      <c r="S3201" s="3"/>
      <c r="T3201" s="3"/>
      <c r="U3201" s="3"/>
      <c r="V3201" s="3"/>
      <c r="W3201" s="3"/>
      <c r="X3201" s="3"/>
      <c r="Y3201" s="3"/>
      <c r="Z3201" s="4"/>
      <c r="AA3201"/>
      <c r="AB3201"/>
    </row>
    <row r="3202" spans="1:28" s="49" customFormat="1" x14ac:dyDescent="0.15">
      <c r="A3202" s="166"/>
      <c r="B3202" s="82"/>
      <c r="C3202" s="70"/>
      <c r="D3202" s="70"/>
      <c r="E3202" s="70"/>
      <c r="F3202" s="70"/>
      <c r="G3202" s="70"/>
      <c r="H3202" s="93"/>
      <c r="I3202" s="85"/>
      <c r="J3202" s="85"/>
      <c r="K3202" s="131"/>
      <c r="L3202" s="60"/>
      <c r="N3202" s="37"/>
      <c r="O3202" s="37"/>
      <c r="P3202" s="37"/>
      <c r="Q3202" s="3"/>
      <c r="R3202" s="3"/>
      <c r="S3202" s="3"/>
      <c r="T3202" s="3"/>
      <c r="U3202" s="3"/>
      <c r="V3202" s="3"/>
      <c r="W3202" s="3"/>
      <c r="X3202" s="3"/>
      <c r="Y3202" s="3"/>
      <c r="Z3202" s="4"/>
      <c r="AA3202"/>
      <c r="AB3202"/>
    </row>
    <row r="3203" spans="1:28" s="49" customFormat="1" x14ac:dyDescent="0.15">
      <c r="A3203" s="166"/>
      <c r="B3203" s="82"/>
      <c r="C3203" s="70"/>
      <c r="D3203" s="70"/>
      <c r="E3203" s="70"/>
      <c r="F3203" s="70"/>
      <c r="G3203" s="70"/>
      <c r="H3203" s="93"/>
      <c r="I3203" s="85"/>
      <c r="J3203" s="85"/>
      <c r="K3203" s="131"/>
      <c r="L3203" s="60"/>
      <c r="N3203" s="37"/>
      <c r="O3203" s="37"/>
      <c r="P3203" s="37"/>
      <c r="Q3203" s="3"/>
      <c r="R3203" s="3"/>
      <c r="S3203" s="3"/>
      <c r="T3203" s="3"/>
      <c r="U3203" s="3"/>
      <c r="V3203" s="3"/>
      <c r="W3203" s="3"/>
      <c r="X3203" s="3"/>
      <c r="Y3203" s="3"/>
      <c r="Z3203" s="4"/>
      <c r="AA3203"/>
      <c r="AB3203"/>
    </row>
    <row r="3204" spans="1:28" s="49" customFormat="1" x14ac:dyDescent="0.15">
      <c r="A3204" s="166"/>
      <c r="B3204" s="82"/>
      <c r="C3204" s="70"/>
      <c r="D3204" s="70"/>
      <c r="E3204" s="70"/>
      <c r="F3204" s="70"/>
      <c r="G3204" s="70"/>
      <c r="H3204" s="93"/>
      <c r="I3204" s="85"/>
      <c r="J3204" s="85"/>
      <c r="K3204" s="131"/>
      <c r="L3204" s="60"/>
      <c r="N3204" s="37"/>
      <c r="O3204" s="37"/>
      <c r="P3204" s="37"/>
      <c r="Q3204" s="3"/>
      <c r="R3204" s="3"/>
      <c r="S3204" s="3"/>
      <c r="T3204" s="3"/>
      <c r="U3204" s="3"/>
      <c r="V3204" s="3"/>
      <c r="W3204" s="3"/>
      <c r="X3204" s="3"/>
      <c r="Y3204" s="3"/>
      <c r="Z3204" s="4"/>
      <c r="AA3204"/>
      <c r="AB3204"/>
    </row>
    <row r="3205" spans="1:28" s="49" customFormat="1" x14ac:dyDescent="0.15">
      <c r="A3205" s="166"/>
      <c r="B3205" s="93"/>
      <c r="C3205" s="70"/>
      <c r="D3205" s="70"/>
      <c r="E3205" s="70"/>
      <c r="F3205" s="70"/>
      <c r="G3205" s="70"/>
      <c r="H3205" s="93"/>
      <c r="I3205" s="85"/>
      <c r="J3205" s="85"/>
      <c r="K3205" s="131"/>
      <c r="L3205" s="60"/>
      <c r="N3205" s="37"/>
      <c r="O3205" s="37"/>
      <c r="P3205" s="37"/>
      <c r="Q3205" s="3"/>
      <c r="R3205" s="3"/>
      <c r="S3205" s="3"/>
      <c r="T3205" s="3"/>
      <c r="U3205" s="3"/>
      <c r="V3205" s="3"/>
      <c r="W3205" s="3"/>
      <c r="X3205" s="3"/>
      <c r="Y3205" s="3"/>
      <c r="Z3205" s="4"/>
      <c r="AA3205"/>
      <c r="AB3205"/>
    </row>
    <row r="3206" spans="1:28" s="49" customFormat="1" x14ac:dyDescent="0.15">
      <c r="A3206" s="166"/>
      <c r="B3206" s="82"/>
      <c r="C3206" s="70"/>
      <c r="D3206" s="70"/>
      <c r="E3206" s="70"/>
      <c r="F3206" s="70"/>
      <c r="G3206" s="70"/>
      <c r="H3206" s="93"/>
      <c r="I3206" s="85"/>
      <c r="J3206" s="85"/>
      <c r="K3206" s="131"/>
      <c r="L3206" s="67"/>
      <c r="N3206" s="37"/>
      <c r="O3206" s="37"/>
      <c r="P3206" s="37"/>
      <c r="Q3206" s="3"/>
      <c r="R3206" s="3"/>
      <c r="S3206" s="3"/>
      <c r="T3206" s="3"/>
      <c r="U3206" s="3"/>
      <c r="V3206" s="3"/>
      <c r="W3206" s="3"/>
      <c r="X3206" s="3"/>
      <c r="Y3206" s="3"/>
      <c r="Z3206" s="4"/>
      <c r="AA3206"/>
      <c r="AB3206"/>
    </row>
    <row r="3207" spans="1:28" s="49" customFormat="1" x14ac:dyDescent="0.15">
      <c r="A3207" s="166"/>
      <c r="B3207" s="93"/>
      <c r="C3207" s="70"/>
      <c r="D3207" s="70"/>
      <c r="E3207" s="70"/>
      <c r="F3207" s="70"/>
      <c r="G3207" s="70"/>
      <c r="H3207" s="93"/>
      <c r="I3207" s="85"/>
      <c r="J3207" s="85"/>
      <c r="K3207" s="131"/>
      <c r="L3207" s="60"/>
      <c r="N3207" s="37"/>
      <c r="O3207" s="37"/>
      <c r="P3207" s="37"/>
      <c r="Q3207" s="3"/>
      <c r="R3207" s="3"/>
      <c r="S3207" s="3"/>
      <c r="T3207" s="3"/>
      <c r="U3207" s="3"/>
      <c r="V3207" s="3"/>
      <c r="W3207" s="3"/>
      <c r="X3207" s="3"/>
      <c r="Y3207" s="3"/>
      <c r="Z3207" s="4"/>
      <c r="AA3207"/>
      <c r="AB3207"/>
    </row>
    <row r="3208" spans="1:28" s="49" customFormat="1" x14ac:dyDescent="0.15">
      <c r="A3208" s="166"/>
      <c r="B3208" s="93"/>
      <c r="C3208" s="70"/>
      <c r="D3208" s="70"/>
      <c r="E3208" s="70"/>
      <c r="F3208" s="70"/>
      <c r="G3208" s="70"/>
      <c r="H3208" s="93"/>
      <c r="I3208" s="85"/>
      <c r="J3208" s="85"/>
      <c r="K3208" s="131"/>
      <c r="L3208" s="60"/>
      <c r="N3208" s="37"/>
      <c r="O3208" s="37"/>
      <c r="P3208" s="37"/>
      <c r="Q3208" s="3"/>
      <c r="R3208" s="3"/>
      <c r="S3208" s="3"/>
      <c r="T3208" s="3"/>
      <c r="U3208" s="3"/>
      <c r="V3208" s="3"/>
      <c r="W3208" s="3"/>
      <c r="X3208" s="3"/>
      <c r="Y3208" s="3"/>
      <c r="Z3208" s="4"/>
      <c r="AA3208"/>
      <c r="AB3208"/>
    </row>
    <row r="3209" spans="1:28" s="49" customFormat="1" x14ac:dyDescent="0.15">
      <c r="A3209" s="166"/>
      <c r="B3209" s="82"/>
      <c r="C3209" s="70"/>
      <c r="D3209" s="70"/>
      <c r="E3209" s="70"/>
      <c r="F3209" s="70"/>
      <c r="G3209" s="70"/>
      <c r="H3209" s="93"/>
      <c r="I3209" s="85"/>
      <c r="J3209" s="85"/>
      <c r="K3209" s="131"/>
      <c r="L3209" s="60"/>
      <c r="N3209" s="37"/>
      <c r="O3209" s="37"/>
      <c r="P3209" s="37"/>
      <c r="Q3209" s="3"/>
      <c r="R3209" s="3"/>
      <c r="S3209" s="3"/>
      <c r="T3209" s="3"/>
      <c r="U3209" s="3"/>
      <c r="V3209" s="3"/>
      <c r="W3209" s="3"/>
      <c r="X3209" s="3"/>
      <c r="Y3209" s="3"/>
      <c r="Z3209" s="4"/>
      <c r="AA3209"/>
      <c r="AB3209"/>
    </row>
    <row r="3210" spans="1:28" s="49" customFormat="1" x14ac:dyDescent="0.15">
      <c r="A3210" s="166"/>
      <c r="B3210" s="82"/>
      <c r="C3210" s="70"/>
      <c r="D3210" s="70"/>
      <c r="E3210" s="70"/>
      <c r="F3210" s="70"/>
      <c r="G3210" s="70"/>
      <c r="H3210" s="93"/>
      <c r="I3210" s="85"/>
      <c r="J3210" s="85"/>
      <c r="K3210" s="131"/>
      <c r="L3210" s="60"/>
      <c r="N3210" s="37"/>
      <c r="O3210" s="37"/>
      <c r="P3210" s="37"/>
      <c r="Q3210" s="3"/>
      <c r="R3210" s="3"/>
      <c r="S3210" s="3"/>
      <c r="T3210" s="3"/>
      <c r="U3210" s="3"/>
      <c r="V3210" s="3"/>
      <c r="W3210" s="3"/>
      <c r="X3210" s="3"/>
      <c r="Y3210" s="3"/>
      <c r="Z3210" s="4"/>
      <c r="AA3210"/>
      <c r="AB3210"/>
    </row>
    <row r="3211" spans="1:28" s="49" customFormat="1" x14ac:dyDescent="0.15">
      <c r="A3211" s="166"/>
      <c r="B3211" s="82"/>
      <c r="C3211" s="70"/>
      <c r="D3211" s="70"/>
      <c r="E3211" s="70"/>
      <c r="F3211" s="70"/>
      <c r="G3211" s="70"/>
      <c r="H3211" s="93"/>
      <c r="I3211" s="85"/>
      <c r="J3211" s="85"/>
      <c r="K3211" s="131"/>
      <c r="L3211" s="60"/>
      <c r="N3211" s="37"/>
      <c r="O3211" s="37"/>
      <c r="P3211" s="37"/>
      <c r="Q3211" s="3"/>
      <c r="R3211" s="3"/>
      <c r="S3211" s="3"/>
      <c r="T3211" s="3"/>
      <c r="U3211" s="3"/>
      <c r="V3211" s="3"/>
      <c r="W3211" s="3"/>
      <c r="X3211" s="3"/>
      <c r="Y3211" s="3"/>
      <c r="Z3211" s="4"/>
      <c r="AA3211"/>
      <c r="AB3211"/>
    </row>
    <row r="3212" spans="1:28" s="49" customFormat="1" x14ac:dyDescent="0.15">
      <c r="A3212" s="166"/>
      <c r="B3212" s="82"/>
      <c r="C3212" s="70"/>
      <c r="D3212" s="70"/>
      <c r="E3212" s="70"/>
      <c r="F3212" s="70"/>
      <c r="G3212" s="70"/>
      <c r="H3212" s="93"/>
      <c r="I3212" s="85"/>
      <c r="J3212" s="85"/>
      <c r="K3212" s="131"/>
      <c r="L3212" s="60"/>
      <c r="N3212" s="37"/>
      <c r="O3212" s="37"/>
      <c r="P3212" s="37"/>
      <c r="Q3212" s="3"/>
      <c r="R3212" s="3"/>
      <c r="S3212" s="3"/>
      <c r="T3212" s="3"/>
      <c r="U3212" s="3"/>
      <c r="V3212" s="3"/>
      <c r="W3212" s="3"/>
      <c r="X3212" s="3"/>
      <c r="Y3212" s="3"/>
      <c r="Z3212" s="4"/>
      <c r="AA3212"/>
      <c r="AB3212"/>
    </row>
    <row r="3213" spans="1:28" s="49" customFormat="1" x14ac:dyDescent="0.15">
      <c r="A3213" s="166"/>
      <c r="B3213" s="82"/>
      <c r="C3213" s="70"/>
      <c r="D3213" s="70"/>
      <c r="E3213" s="70"/>
      <c r="F3213" s="70"/>
      <c r="G3213" s="70"/>
      <c r="H3213" s="93"/>
      <c r="I3213" s="85"/>
      <c r="J3213" s="85"/>
      <c r="K3213" s="131"/>
      <c r="L3213" s="67"/>
      <c r="N3213" s="37"/>
      <c r="O3213" s="37"/>
      <c r="P3213" s="37"/>
      <c r="Q3213" s="3"/>
      <c r="R3213" s="3"/>
      <c r="S3213" s="3"/>
      <c r="T3213" s="3"/>
      <c r="U3213" s="3"/>
      <c r="V3213" s="3"/>
      <c r="W3213" s="3"/>
      <c r="X3213" s="3"/>
      <c r="Y3213" s="3"/>
      <c r="Z3213" s="4"/>
      <c r="AA3213"/>
      <c r="AB3213"/>
    </row>
    <row r="3214" spans="1:28" s="37" customFormat="1" x14ac:dyDescent="0.15">
      <c r="A3214" s="166"/>
      <c r="B3214" s="82"/>
      <c r="C3214" s="70"/>
      <c r="D3214" s="70"/>
      <c r="E3214" s="70"/>
      <c r="F3214" s="70"/>
      <c r="G3214" s="70"/>
      <c r="H3214" s="93"/>
      <c r="I3214" s="85"/>
      <c r="J3214" s="85"/>
      <c r="K3214" s="131"/>
      <c r="L3214" s="60"/>
      <c r="M3214" s="49"/>
      <c r="Q3214" s="3"/>
      <c r="R3214" s="3"/>
      <c r="S3214" s="3"/>
      <c r="T3214" s="3"/>
      <c r="U3214" s="3"/>
      <c r="V3214" s="3"/>
      <c r="W3214" s="3"/>
      <c r="X3214" s="3"/>
      <c r="Y3214" s="3"/>
      <c r="Z3214" s="4"/>
      <c r="AA3214"/>
      <c r="AB3214"/>
    </row>
    <row r="3215" spans="1:28" s="37" customFormat="1" x14ac:dyDescent="0.15">
      <c r="A3215" s="166"/>
      <c r="B3215" s="93"/>
      <c r="C3215" s="70"/>
      <c r="D3215" s="70"/>
      <c r="E3215" s="70"/>
      <c r="F3215" s="70"/>
      <c r="G3215" s="70"/>
      <c r="H3215" s="93"/>
      <c r="I3215" s="85"/>
      <c r="J3215" s="85"/>
      <c r="K3215" s="131"/>
      <c r="L3215" s="60"/>
      <c r="M3215" s="49"/>
      <c r="Q3215" s="3"/>
      <c r="R3215" s="3"/>
      <c r="S3215" s="3"/>
      <c r="T3215" s="3"/>
      <c r="U3215" s="3"/>
      <c r="V3215" s="3"/>
      <c r="W3215" s="3"/>
      <c r="X3215" s="3"/>
      <c r="Y3215" s="3"/>
      <c r="Z3215" s="4"/>
      <c r="AA3215"/>
      <c r="AB3215"/>
    </row>
    <row r="3216" spans="1:28" s="37" customFormat="1" x14ac:dyDescent="0.15">
      <c r="A3216" s="166"/>
      <c r="B3216" s="82"/>
      <c r="C3216" s="70"/>
      <c r="D3216" s="70"/>
      <c r="E3216" s="70"/>
      <c r="F3216" s="70"/>
      <c r="G3216" s="70"/>
      <c r="H3216" s="93"/>
      <c r="I3216" s="85"/>
      <c r="J3216" s="85"/>
      <c r="K3216" s="131"/>
      <c r="L3216" s="60"/>
      <c r="M3216" s="49"/>
      <c r="N3216" s="49"/>
      <c r="Q3216" s="3"/>
      <c r="R3216" s="3"/>
      <c r="S3216" s="3"/>
      <c r="T3216" s="3"/>
      <c r="U3216" s="3"/>
      <c r="V3216" s="3"/>
      <c r="W3216" s="3"/>
      <c r="X3216" s="3"/>
      <c r="Y3216" s="3"/>
      <c r="Z3216" s="4"/>
      <c r="AA3216"/>
      <c r="AB3216"/>
    </row>
    <row r="3217" spans="1:28" s="37" customFormat="1" ht="16" x14ac:dyDescent="0.2">
      <c r="A3217" s="166"/>
      <c r="B3217" s="82"/>
      <c r="C3217" s="70"/>
      <c r="D3217" s="70"/>
      <c r="E3217" s="70"/>
      <c r="F3217" s="70"/>
      <c r="G3217" s="70"/>
      <c r="H3217" s="93"/>
      <c r="I3217" s="85"/>
      <c r="J3217" s="85"/>
      <c r="K3217" s="131"/>
      <c r="L3217" s="60"/>
      <c r="M3217" s="49"/>
      <c r="N3217" s="48"/>
      <c r="Q3217" s="3"/>
      <c r="R3217" s="3"/>
      <c r="S3217" s="3"/>
      <c r="T3217" s="3"/>
      <c r="U3217" s="3"/>
      <c r="V3217" s="3"/>
      <c r="W3217" s="3"/>
      <c r="X3217" s="3"/>
      <c r="Y3217" s="3"/>
      <c r="Z3217" s="4"/>
      <c r="AA3217"/>
      <c r="AB3217"/>
    </row>
    <row r="3218" spans="1:28" s="37" customFormat="1" x14ac:dyDescent="0.15">
      <c r="A3218" s="166"/>
      <c r="B3218" s="82"/>
      <c r="C3218" s="70"/>
      <c r="D3218" s="70"/>
      <c r="E3218" s="70"/>
      <c r="F3218" s="70"/>
      <c r="G3218" s="70"/>
      <c r="H3218" s="93"/>
      <c r="I3218" s="85"/>
      <c r="J3218" s="85"/>
      <c r="K3218" s="131"/>
      <c r="L3218" s="60"/>
      <c r="M3218" s="49"/>
      <c r="Q3218" s="3"/>
      <c r="R3218" s="3"/>
      <c r="S3218" s="3"/>
      <c r="T3218" s="3"/>
      <c r="U3218" s="3"/>
      <c r="V3218" s="3"/>
      <c r="W3218" s="3"/>
      <c r="X3218" s="3"/>
      <c r="Y3218" s="3"/>
      <c r="Z3218" s="4"/>
      <c r="AA3218"/>
      <c r="AB3218"/>
    </row>
    <row r="3219" spans="1:28" s="37" customFormat="1" x14ac:dyDescent="0.15">
      <c r="A3219" s="166"/>
      <c r="B3219" s="82"/>
      <c r="C3219" s="70"/>
      <c r="D3219" s="70"/>
      <c r="E3219" s="70"/>
      <c r="F3219" s="70"/>
      <c r="G3219" s="70"/>
      <c r="H3219" s="93"/>
      <c r="I3219" s="85"/>
      <c r="J3219" s="85"/>
      <c r="K3219" s="131"/>
      <c r="L3219" s="60"/>
      <c r="M3219" s="49"/>
      <c r="Q3219" s="3"/>
      <c r="R3219" s="3"/>
      <c r="S3219" s="3"/>
      <c r="T3219" s="3"/>
      <c r="U3219" s="3"/>
      <c r="V3219" s="3"/>
      <c r="W3219" s="3"/>
      <c r="X3219" s="3"/>
      <c r="Y3219" s="3"/>
      <c r="Z3219" s="4"/>
      <c r="AA3219"/>
      <c r="AB3219"/>
    </row>
    <row r="3220" spans="1:28" s="37" customFormat="1" x14ac:dyDescent="0.15">
      <c r="A3220" s="166"/>
      <c r="B3220" s="82"/>
      <c r="C3220" s="70"/>
      <c r="D3220" s="70"/>
      <c r="E3220" s="70"/>
      <c r="F3220" s="70"/>
      <c r="G3220" s="70"/>
      <c r="H3220" s="93"/>
      <c r="I3220" s="85"/>
      <c r="J3220" s="85"/>
      <c r="K3220" s="131"/>
      <c r="L3220" s="67"/>
      <c r="M3220" s="49"/>
      <c r="Q3220" s="3"/>
      <c r="R3220" s="3"/>
      <c r="S3220" s="3"/>
      <c r="T3220" s="3"/>
      <c r="U3220" s="3"/>
      <c r="V3220" s="3"/>
      <c r="W3220" s="3"/>
      <c r="X3220" s="3"/>
      <c r="Y3220" s="3"/>
      <c r="Z3220" s="4"/>
      <c r="AA3220"/>
      <c r="AB3220"/>
    </row>
    <row r="3221" spans="1:28" s="37" customFormat="1" x14ac:dyDescent="0.15">
      <c r="A3221" s="166"/>
      <c r="B3221" s="82"/>
      <c r="C3221" s="70"/>
      <c r="D3221" s="70"/>
      <c r="E3221" s="70"/>
      <c r="F3221" s="70"/>
      <c r="G3221" s="70"/>
      <c r="H3221" s="93"/>
      <c r="I3221" s="85"/>
      <c r="J3221" s="85"/>
      <c r="K3221" s="131"/>
      <c r="L3221" s="60"/>
      <c r="M3221" s="49"/>
      <c r="Q3221" s="3"/>
      <c r="R3221" s="3"/>
      <c r="S3221" s="3"/>
      <c r="T3221" s="3"/>
      <c r="U3221" s="3"/>
      <c r="V3221" s="3"/>
      <c r="W3221" s="3"/>
      <c r="X3221" s="3"/>
      <c r="Y3221" s="3"/>
      <c r="Z3221" s="4"/>
      <c r="AA3221"/>
      <c r="AB3221"/>
    </row>
    <row r="3222" spans="1:28" s="37" customFormat="1" x14ac:dyDescent="0.15">
      <c r="A3222" s="166"/>
      <c r="B3222" s="82"/>
      <c r="C3222" s="70"/>
      <c r="D3222" s="70"/>
      <c r="E3222" s="70"/>
      <c r="F3222" s="70"/>
      <c r="G3222" s="70"/>
      <c r="H3222" s="93"/>
      <c r="I3222" s="85"/>
      <c r="J3222" s="85"/>
      <c r="K3222" s="131"/>
      <c r="L3222" s="60"/>
      <c r="M3222" s="49"/>
      <c r="Q3222" s="3"/>
      <c r="R3222" s="3"/>
      <c r="S3222" s="3"/>
      <c r="T3222" s="3"/>
      <c r="U3222" s="3"/>
      <c r="V3222" s="3"/>
      <c r="W3222" s="3"/>
      <c r="X3222" s="3"/>
      <c r="Y3222" s="3"/>
      <c r="Z3222" s="4"/>
      <c r="AA3222"/>
      <c r="AB3222"/>
    </row>
    <row r="3223" spans="1:28" s="37" customFormat="1" x14ac:dyDescent="0.15">
      <c r="A3223" s="166"/>
      <c r="B3223" s="82"/>
      <c r="C3223" s="70"/>
      <c r="D3223" s="70"/>
      <c r="E3223" s="70"/>
      <c r="F3223" s="70"/>
      <c r="G3223" s="70"/>
      <c r="H3223" s="93"/>
      <c r="I3223" s="85"/>
      <c r="J3223" s="85"/>
      <c r="K3223" s="131"/>
      <c r="L3223" s="60"/>
      <c r="M3223" s="49"/>
      <c r="Q3223" s="3"/>
      <c r="R3223" s="3"/>
      <c r="S3223" s="3"/>
      <c r="T3223" s="3"/>
      <c r="U3223" s="3"/>
      <c r="V3223" s="3"/>
      <c r="W3223" s="3"/>
      <c r="X3223" s="3"/>
      <c r="Y3223" s="3"/>
      <c r="Z3223" s="4"/>
      <c r="AA3223"/>
      <c r="AB3223"/>
    </row>
    <row r="3224" spans="1:28" s="37" customFormat="1" x14ac:dyDescent="0.15">
      <c r="A3224" s="166"/>
      <c r="B3224" s="82"/>
      <c r="C3224" s="70"/>
      <c r="D3224" s="70"/>
      <c r="E3224" s="70"/>
      <c r="F3224" s="70"/>
      <c r="G3224" s="70"/>
      <c r="H3224" s="93"/>
      <c r="I3224" s="85"/>
      <c r="J3224" s="85"/>
      <c r="K3224" s="131"/>
      <c r="L3224" s="60"/>
      <c r="M3224" s="49"/>
      <c r="O3224" s="49"/>
      <c r="Q3224" s="3"/>
      <c r="R3224" s="3"/>
      <c r="S3224" s="3"/>
      <c r="T3224" s="3"/>
      <c r="U3224" s="3"/>
      <c r="V3224" s="3"/>
      <c r="W3224" s="3"/>
      <c r="X3224" s="3"/>
      <c r="Y3224" s="3"/>
      <c r="Z3224" s="4"/>
      <c r="AA3224"/>
      <c r="AB3224"/>
    </row>
    <row r="3225" spans="1:28" s="37" customFormat="1" x14ac:dyDescent="0.15">
      <c r="A3225" s="166"/>
      <c r="B3225" s="82"/>
      <c r="C3225" s="70"/>
      <c r="D3225" s="70"/>
      <c r="E3225" s="70"/>
      <c r="F3225" s="70"/>
      <c r="G3225" s="70"/>
      <c r="H3225" s="93"/>
      <c r="I3225" s="85"/>
      <c r="J3225" s="85"/>
      <c r="K3225" s="131"/>
      <c r="L3225" s="60"/>
      <c r="M3225" s="49"/>
      <c r="Q3225" s="3"/>
      <c r="R3225" s="3"/>
      <c r="S3225" s="3"/>
      <c r="T3225" s="3"/>
      <c r="U3225" s="3"/>
      <c r="V3225" s="3"/>
      <c r="W3225" s="3"/>
      <c r="X3225" s="3"/>
      <c r="Y3225" s="3"/>
      <c r="Z3225" s="4"/>
      <c r="AA3225"/>
      <c r="AB3225"/>
    </row>
    <row r="3226" spans="1:28" s="37" customFormat="1" x14ac:dyDescent="0.15">
      <c r="A3226" s="166"/>
      <c r="B3226" s="82"/>
      <c r="C3226" s="70"/>
      <c r="D3226" s="70"/>
      <c r="E3226" s="70"/>
      <c r="F3226" s="70"/>
      <c r="G3226" s="70"/>
      <c r="H3226" s="93"/>
      <c r="I3226" s="85"/>
      <c r="J3226" s="85"/>
      <c r="K3226" s="131"/>
      <c r="L3226" s="60"/>
      <c r="M3226" s="49"/>
      <c r="Q3226" s="3"/>
      <c r="R3226" s="3"/>
      <c r="S3226" s="3"/>
      <c r="T3226" s="3"/>
      <c r="U3226" s="3"/>
      <c r="V3226" s="3"/>
      <c r="W3226" s="3"/>
      <c r="X3226" s="3"/>
      <c r="Y3226" s="3"/>
      <c r="Z3226" s="4"/>
      <c r="AA3226"/>
      <c r="AB3226"/>
    </row>
    <row r="3227" spans="1:28" s="37" customFormat="1" x14ac:dyDescent="0.15">
      <c r="A3227" s="166"/>
      <c r="B3227" s="82"/>
      <c r="C3227" s="70"/>
      <c r="D3227" s="70"/>
      <c r="E3227" s="70"/>
      <c r="F3227" s="70"/>
      <c r="G3227" s="70"/>
      <c r="H3227" s="93"/>
      <c r="I3227" s="85"/>
      <c r="J3227" s="85"/>
      <c r="K3227" s="131"/>
      <c r="L3227" s="60"/>
      <c r="M3227" s="49"/>
      <c r="Q3227" s="3"/>
      <c r="R3227" s="3"/>
      <c r="S3227" s="3"/>
      <c r="T3227" s="3"/>
      <c r="U3227" s="3"/>
      <c r="V3227" s="3"/>
      <c r="W3227" s="3"/>
      <c r="X3227" s="3"/>
      <c r="Y3227" s="3"/>
      <c r="Z3227" s="4"/>
      <c r="AA3227"/>
      <c r="AB3227"/>
    </row>
    <row r="3228" spans="1:28" s="37" customFormat="1" x14ac:dyDescent="0.15">
      <c r="A3228" s="166"/>
      <c r="B3228" s="82"/>
      <c r="C3228" s="70"/>
      <c r="D3228" s="70"/>
      <c r="E3228" s="70"/>
      <c r="F3228" s="70"/>
      <c r="G3228" s="70"/>
      <c r="H3228" s="93"/>
      <c r="I3228" s="85"/>
      <c r="J3228" s="85"/>
      <c r="K3228" s="131"/>
      <c r="L3228" s="60"/>
      <c r="M3228" s="49"/>
      <c r="Q3228" s="3"/>
      <c r="R3228" s="3"/>
      <c r="S3228" s="3"/>
      <c r="T3228" s="3"/>
      <c r="U3228" s="3"/>
      <c r="V3228" s="3"/>
      <c r="W3228" s="3"/>
      <c r="X3228" s="3"/>
      <c r="Y3228" s="3"/>
      <c r="Z3228" s="4"/>
      <c r="AA3228"/>
      <c r="AB3228"/>
    </row>
    <row r="3229" spans="1:28" s="37" customFormat="1" x14ac:dyDescent="0.15">
      <c r="A3229" s="166"/>
      <c r="B3229" s="82"/>
      <c r="C3229" s="70"/>
      <c r="D3229" s="70"/>
      <c r="E3229" s="70"/>
      <c r="F3229" s="70"/>
      <c r="G3229" s="70"/>
      <c r="H3229" s="93"/>
      <c r="I3229" s="85"/>
      <c r="J3229" s="85"/>
      <c r="K3229" s="131"/>
      <c r="L3229" s="60"/>
      <c r="M3229" s="49"/>
      <c r="Q3229" s="3"/>
      <c r="R3229" s="3"/>
      <c r="S3229" s="3"/>
      <c r="T3229" s="3"/>
      <c r="U3229" s="3"/>
      <c r="V3229" s="3"/>
      <c r="W3229" s="3"/>
      <c r="X3229" s="3"/>
      <c r="Y3229" s="3"/>
      <c r="Z3229" s="4"/>
      <c r="AA3229"/>
      <c r="AB3229"/>
    </row>
    <row r="3230" spans="1:28" s="3" customFormat="1" x14ac:dyDescent="0.15">
      <c r="A3230" s="166"/>
      <c r="B3230" s="82"/>
      <c r="C3230" s="70"/>
      <c r="D3230" s="70"/>
      <c r="E3230" s="70"/>
      <c r="F3230" s="70"/>
      <c r="G3230" s="70"/>
      <c r="H3230" s="93"/>
      <c r="I3230" s="85"/>
      <c r="J3230" s="85"/>
      <c r="K3230" s="131"/>
      <c r="L3230" s="60"/>
      <c r="M3230" s="49"/>
      <c r="N3230" s="37"/>
      <c r="O3230" s="37"/>
      <c r="P3230" s="37"/>
      <c r="Z3230" s="4"/>
      <c r="AA3230"/>
      <c r="AB3230"/>
    </row>
    <row r="3231" spans="1:28" s="3" customFormat="1" x14ac:dyDescent="0.15">
      <c r="A3231" s="166"/>
      <c r="B3231" s="82"/>
      <c r="C3231" s="70"/>
      <c r="D3231" s="70"/>
      <c r="E3231" s="70"/>
      <c r="F3231" s="70"/>
      <c r="G3231" s="70"/>
      <c r="H3231" s="93"/>
      <c r="I3231" s="85"/>
      <c r="J3231" s="85"/>
      <c r="K3231" s="131"/>
      <c r="L3231" s="60"/>
      <c r="M3231" s="49"/>
      <c r="N3231" s="37"/>
      <c r="O3231" s="37"/>
      <c r="P3231" s="37"/>
      <c r="Z3231" s="4"/>
      <c r="AA3231"/>
      <c r="AB3231"/>
    </row>
    <row r="3232" spans="1:28" s="3" customFormat="1" ht="16" x14ac:dyDescent="0.2">
      <c r="A3232" s="166"/>
      <c r="B3232" s="82"/>
      <c r="C3232" s="70"/>
      <c r="D3232" s="70"/>
      <c r="E3232" s="70"/>
      <c r="F3232" s="70"/>
      <c r="G3232" s="70"/>
      <c r="H3232" s="93"/>
      <c r="I3232" s="85"/>
      <c r="J3232" s="85"/>
      <c r="K3232" s="131"/>
      <c r="L3232" s="60"/>
      <c r="M3232" s="47"/>
      <c r="N3232" s="37"/>
      <c r="O3232" s="37"/>
      <c r="P3232" s="37"/>
      <c r="Z3232" s="4"/>
      <c r="AA3232"/>
      <c r="AB3232"/>
    </row>
    <row r="3233" spans="1:28" s="3" customFormat="1" ht="16" x14ac:dyDescent="0.2">
      <c r="A3233" s="166"/>
      <c r="B3233" s="93"/>
      <c r="C3233" s="70"/>
      <c r="D3233" s="70"/>
      <c r="E3233" s="70"/>
      <c r="F3233" s="70"/>
      <c r="G3233" s="70"/>
      <c r="H3233" s="93"/>
      <c r="I3233" s="85"/>
      <c r="J3233" s="85"/>
      <c r="K3233" s="131"/>
      <c r="L3233" s="60"/>
      <c r="M3233" s="47"/>
      <c r="N3233" s="37"/>
      <c r="O3233" s="37"/>
      <c r="P3233" s="37"/>
      <c r="Z3233" s="4"/>
      <c r="AA3233"/>
      <c r="AB3233"/>
    </row>
    <row r="3234" spans="1:28" s="3" customFormat="1" x14ac:dyDescent="0.15">
      <c r="A3234" s="166"/>
      <c r="B3234" s="93"/>
      <c r="C3234" s="70"/>
      <c r="D3234" s="70"/>
      <c r="E3234" s="70"/>
      <c r="F3234" s="70"/>
      <c r="G3234" s="70"/>
      <c r="H3234" s="93"/>
      <c r="I3234" s="85"/>
      <c r="J3234" s="85"/>
      <c r="K3234" s="131"/>
      <c r="L3234" s="60"/>
      <c r="M3234" s="49"/>
      <c r="N3234" s="37"/>
      <c r="O3234" s="37"/>
      <c r="P3234" s="37"/>
      <c r="Z3234" s="4"/>
      <c r="AA3234"/>
      <c r="AB3234"/>
    </row>
    <row r="3235" spans="1:28" s="3" customFormat="1" x14ac:dyDescent="0.15">
      <c r="A3235" s="166"/>
      <c r="B3235" s="82"/>
      <c r="C3235" s="70"/>
      <c r="D3235" s="70"/>
      <c r="E3235" s="70"/>
      <c r="F3235" s="70"/>
      <c r="G3235" s="70"/>
      <c r="H3235" s="93"/>
      <c r="I3235" s="85"/>
      <c r="J3235" s="85"/>
      <c r="K3235" s="131"/>
      <c r="L3235" s="60"/>
      <c r="M3235" s="49"/>
      <c r="N3235" s="37"/>
      <c r="O3235" s="37"/>
      <c r="P3235" s="37"/>
      <c r="Z3235" s="4"/>
      <c r="AA3235"/>
      <c r="AB3235"/>
    </row>
    <row r="3236" spans="1:28" s="3" customFormat="1" x14ac:dyDescent="0.15">
      <c r="A3236" s="166"/>
      <c r="B3236" s="93"/>
      <c r="C3236" s="70"/>
      <c r="D3236" s="70"/>
      <c r="E3236" s="70"/>
      <c r="F3236" s="70"/>
      <c r="G3236" s="70"/>
      <c r="H3236" s="93"/>
      <c r="I3236" s="85"/>
      <c r="J3236" s="85"/>
      <c r="K3236" s="131"/>
      <c r="L3236" s="60"/>
      <c r="M3236" s="33"/>
      <c r="N3236" s="37"/>
      <c r="O3236" s="37"/>
      <c r="P3236" s="37"/>
      <c r="Z3236" s="4"/>
      <c r="AA3236"/>
      <c r="AB3236"/>
    </row>
    <row r="3237" spans="1:28" s="3" customFormat="1" x14ac:dyDescent="0.15">
      <c r="A3237" s="166"/>
      <c r="B3237" s="93"/>
      <c r="C3237" s="70"/>
      <c r="D3237" s="70"/>
      <c r="E3237" s="70"/>
      <c r="F3237" s="70"/>
      <c r="G3237" s="70"/>
      <c r="H3237" s="93"/>
      <c r="I3237" s="85"/>
      <c r="J3237" s="85"/>
      <c r="K3237" s="131"/>
      <c r="L3237" s="60"/>
      <c r="M3237" s="33"/>
      <c r="N3237" s="37"/>
      <c r="O3237" s="37"/>
      <c r="P3237" s="37"/>
      <c r="Z3237" s="4"/>
      <c r="AA3237"/>
      <c r="AB3237"/>
    </row>
    <row r="3238" spans="1:28" s="3" customFormat="1" x14ac:dyDescent="0.15">
      <c r="A3238" s="166"/>
      <c r="B3238" s="93"/>
      <c r="C3238" s="70"/>
      <c r="D3238" s="70"/>
      <c r="E3238" s="70"/>
      <c r="F3238" s="70"/>
      <c r="G3238" s="70"/>
      <c r="H3238" s="93"/>
      <c r="I3238" s="85"/>
      <c r="J3238" s="85"/>
      <c r="K3238" s="131"/>
      <c r="L3238" s="60"/>
      <c r="M3238" s="49"/>
      <c r="N3238" s="37"/>
      <c r="O3238" s="37"/>
      <c r="P3238" s="37"/>
      <c r="Z3238" s="4"/>
      <c r="AA3238"/>
      <c r="AB3238"/>
    </row>
    <row r="3239" spans="1:28" s="3" customFormat="1" x14ac:dyDescent="0.15">
      <c r="A3239" s="166"/>
      <c r="B3239" s="93"/>
      <c r="C3239" s="70"/>
      <c r="D3239" s="70"/>
      <c r="E3239" s="70"/>
      <c r="F3239" s="70"/>
      <c r="G3239" s="70"/>
      <c r="H3239" s="93"/>
      <c r="I3239" s="85"/>
      <c r="J3239" s="85"/>
      <c r="K3239" s="131"/>
      <c r="L3239" s="60"/>
      <c r="M3239" s="33"/>
      <c r="N3239" s="37"/>
      <c r="O3239" s="37"/>
      <c r="P3239" s="37"/>
      <c r="Z3239" s="4"/>
      <c r="AA3239"/>
      <c r="AB3239"/>
    </row>
    <row r="3240" spans="1:28" s="3" customFormat="1" x14ac:dyDescent="0.15">
      <c r="A3240" s="166"/>
      <c r="B3240" s="93"/>
      <c r="C3240" s="70"/>
      <c r="D3240" s="70"/>
      <c r="E3240" s="70"/>
      <c r="F3240" s="70"/>
      <c r="G3240" s="70"/>
      <c r="H3240" s="93"/>
      <c r="I3240" s="85"/>
      <c r="J3240" s="85"/>
      <c r="K3240" s="131"/>
      <c r="L3240" s="60"/>
      <c r="M3240" s="49"/>
      <c r="N3240" s="37"/>
      <c r="O3240" s="37"/>
      <c r="P3240" s="37"/>
      <c r="Z3240" s="4"/>
      <c r="AA3240"/>
      <c r="AB3240"/>
    </row>
    <row r="3241" spans="1:28" s="3" customFormat="1" ht="16" x14ac:dyDescent="0.2">
      <c r="A3241" s="166"/>
      <c r="B3241" s="93"/>
      <c r="C3241" s="70"/>
      <c r="D3241" s="70"/>
      <c r="E3241" s="70"/>
      <c r="F3241" s="70"/>
      <c r="G3241" s="70"/>
      <c r="H3241" s="93"/>
      <c r="I3241" s="85"/>
      <c r="J3241" s="85"/>
      <c r="K3241" s="131"/>
      <c r="L3241" s="60"/>
      <c r="M3241" s="47"/>
      <c r="N3241" s="37"/>
      <c r="O3241" s="37"/>
      <c r="P3241" s="37"/>
      <c r="Z3241" s="4"/>
      <c r="AA3241"/>
      <c r="AB3241"/>
    </row>
    <row r="3242" spans="1:28" s="3" customFormat="1" x14ac:dyDescent="0.15">
      <c r="A3242" s="166"/>
      <c r="B3242" s="93"/>
      <c r="C3242" s="70"/>
      <c r="D3242" s="70"/>
      <c r="E3242" s="70"/>
      <c r="F3242" s="70"/>
      <c r="G3242" s="70"/>
      <c r="H3242" s="93"/>
      <c r="I3242" s="85"/>
      <c r="J3242" s="95"/>
      <c r="K3242" s="131"/>
      <c r="L3242" s="60"/>
      <c r="M3242" s="49"/>
      <c r="N3242" s="37"/>
      <c r="O3242" s="37"/>
      <c r="P3242" s="37"/>
      <c r="Z3242" s="4"/>
      <c r="AA3242"/>
      <c r="AB3242"/>
    </row>
    <row r="3243" spans="1:28" s="3" customFormat="1" x14ac:dyDescent="0.15">
      <c r="A3243" s="166"/>
      <c r="B3243" s="82"/>
      <c r="C3243" s="70"/>
      <c r="D3243" s="70"/>
      <c r="E3243" s="70"/>
      <c r="F3243" s="70"/>
      <c r="G3243" s="70"/>
      <c r="H3243" s="93"/>
      <c r="I3243" s="85"/>
      <c r="J3243" s="85"/>
      <c r="K3243" s="131"/>
      <c r="L3243" s="60"/>
      <c r="M3243" s="49"/>
      <c r="N3243" s="37"/>
      <c r="O3243" s="37"/>
      <c r="P3243" s="33"/>
      <c r="Z3243" s="4"/>
      <c r="AA3243"/>
      <c r="AB3243"/>
    </row>
    <row r="3244" spans="1:28" s="3" customFormat="1" x14ac:dyDescent="0.15">
      <c r="A3244" s="166"/>
      <c r="B3244" s="82"/>
      <c r="C3244" s="70"/>
      <c r="D3244" s="70"/>
      <c r="E3244" s="70"/>
      <c r="F3244" s="70"/>
      <c r="G3244" s="70"/>
      <c r="H3244" s="93"/>
      <c r="I3244" s="85"/>
      <c r="J3244" s="85"/>
      <c r="K3244" s="131"/>
      <c r="L3244" s="60"/>
      <c r="M3244" s="49"/>
      <c r="N3244" s="37"/>
      <c r="O3244" s="37"/>
      <c r="P3244" s="37"/>
      <c r="Z3244" s="4"/>
      <c r="AA3244"/>
      <c r="AB3244"/>
    </row>
    <row r="3245" spans="1:28" s="3" customFormat="1" x14ac:dyDescent="0.15">
      <c r="A3245" s="166"/>
      <c r="B3245" s="93"/>
      <c r="C3245" s="70"/>
      <c r="D3245" s="70"/>
      <c r="E3245" s="70"/>
      <c r="F3245" s="70"/>
      <c r="G3245" s="70"/>
      <c r="H3245" s="93"/>
      <c r="I3245" s="85"/>
      <c r="J3245" s="85"/>
      <c r="K3245" s="131"/>
      <c r="L3245" s="60"/>
      <c r="M3245" s="33"/>
      <c r="N3245" s="37"/>
      <c r="O3245" s="37"/>
      <c r="P3245" s="37"/>
      <c r="Z3245" s="4"/>
      <c r="AA3245"/>
      <c r="AB3245"/>
    </row>
    <row r="3246" spans="1:28" s="37" customFormat="1" x14ac:dyDescent="0.15">
      <c r="A3246" s="166"/>
      <c r="B3246" s="82"/>
      <c r="C3246" s="70"/>
      <c r="D3246" s="70"/>
      <c r="E3246" s="70"/>
      <c r="F3246" s="70"/>
      <c r="G3246" s="70"/>
      <c r="H3246" s="93"/>
      <c r="I3246" s="85"/>
      <c r="J3246" s="85"/>
      <c r="K3246" s="131"/>
      <c r="L3246" s="60"/>
      <c r="M3246" s="49"/>
      <c r="Q3246" s="3"/>
      <c r="R3246" s="3"/>
      <c r="S3246" s="3"/>
      <c r="T3246" s="3"/>
      <c r="U3246" s="3"/>
      <c r="V3246" s="3"/>
      <c r="W3246" s="3"/>
      <c r="X3246" s="3"/>
      <c r="Y3246" s="3"/>
      <c r="Z3246" s="4"/>
      <c r="AA3246"/>
      <c r="AB3246"/>
    </row>
    <row r="3247" spans="1:28" s="37" customFormat="1" x14ac:dyDescent="0.15">
      <c r="A3247" s="166"/>
      <c r="B3247" s="93"/>
      <c r="C3247" s="70"/>
      <c r="D3247" s="70"/>
      <c r="E3247" s="70"/>
      <c r="F3247" s="70"/>
      <c r="G3247" s="70"/>
      <c r="H3247" s="93"/>
      <c r="I3247" s="85"/>
      <c r="J3247" s="85"/>
      <c r="K3247" s="131"/>
      <c r="L3247" s="60"/>
      <c r="M3247" s="33"/>
      <c r="N3247" s="32"/>
      <c r="Q3247" s="3"/>
      <c r="R3247" s="3"/>
      <c r="S3247" s="3"/>
      <c r="T3247" s="3"/>
      <c r="U3247" s="3"/>
      <c r="V3247" s="3"/>
      <c r="W3247" s="3"/>
      <c r="X3247" s="3"/>
      <c r="Y3247" s="3"/>
      <c r="Z3247" s="4"/>
      <c r="AA3247"/>
      <c r="AB3247"/>
    </row>
    <row r="3248" spans="1:28" s="37" customFormat="1" x14ac:dyDescent="0.15">
      <c r="A3248" s="166"/>
      <c r="B3248" s="93"/>
      <c r="C3248" s="70"/>
      <c r="D3248" s="70"/>
      <c r="E3248" s="70"/>
      <c r="F3248" s="70"/>
      <c r="G3248" s="70"/>
      <c r="H3248" s="93"/>
      <c r="I3248" s="85"/>
      <c r="J3248" s="85"/>
      <c r="K3248" s="131"/>
      <c r="L3248" s="60"/>
      <c r="M3248" s="33"/>
      <c r="Q3248" s="3"/>
      <c r="R3248" s="3"/>
      <c r="S3248" s="3"/>
      <c r="T3248" s="3"/>
      <c r="U3248" s="3"/>
      <c r="V3248" s="3"/>
      <c r="W3248" s="3"/>
      <c r="X3248" s="3"/>
      <c r="Y3248" s="3"/>
      <c r="Z3248" s="4"/>
      <c r="AA3248"/>
      <c r="AB3248"/>
    </row>
    <row r="3249" spans="1:28" s="37" customFormat="1" x14ac:dyDescent="0.15">
      <c r="A3249" s="166"/>
      <c r="B3249" s="82"/>
      <c r="C3249" s="70"/>
      <c r="D3249" s="70"/>
      <c r="E3249" s="70"/>
      <c r="F3249" s="70"/>
      <c r="G3249" s="70"/>
      <c r="H3249" s="93"/>
      <c r="I3249" s="85"/>
      <c r="J3249" s="85"/>
      <c r="K3249" s="131"/>
      <c r="L3249" s="60"/>
      <c r="M3249" s="33"/>
      <c r="Q3249" s="3"/>
      <c r="R3249" s="3"/>
      <c r="S3249" s="3"/>
      <c r="T3249" s="3"/>
      <c r="U3249" s="3"/>
      <c r="V3249" s="3"/>
      <c r="W3249" s="3"/>
      <c r="X3249" s="3"/>
      <c r="Y3249" s="3"/>
      <c r="Z3249" s="4"/>
      <c r="AA3249"/>
      <c r="AB3249"/>
    </row>
    <row r="3250" spans="1:28" s="37" customFormat="1" x14ac:dyDescent="0.15">
      <c r="A3250" s="166"/>
      <c r="B3250" s="82"/>
      <c r="C3250" s="70"/>
      <c r="D3250" s="70"/>
      <c r="E3250" s="70"/>
      <c r="F3250" s="70"/>
      <c r="G3250" s="70"/>
      <c r="H3250" s="93"/>
      <c r="I3250" s="85"/>
      <c r="J3250" s="85"/>
      <c r="K3250" s="131"/>
      <c r="L3250" s="60"/>
      <c r="M3250" s="33"/>
      <c r="N3250" s="32"/>
      <c r="Q3250" s="3"/>
      <c r="R3250" s="3"/>
      <c r="S3250" s="3"/>
      <c r="T3250" s="3"/>
      <c r="U3250" s="3"/>
      <c r="V3250" s="3"/>
      <c r="W3250" s="3"/>
      <c r="X3250" s="3"/>
      <c r="Y3250" s="3"/>
      <c r="Z3250" s="4"/>
      <c r="AA3250"/>
      <c r="AB3250"/>
    </row>
    <row r="3251" spans="1:28" s="37" customFormat="1" x14ac:dyDescent="0.15">
      <c r="A3251" s="166"/>
      <c r="B3251" s="82"/>
      <c r="C3251" s="70"/>
      <c r="D3251" s="70"/>
      <c r="E3251" s="70"/>
      <c r="F3251" s="70"/>
      <c r="G3251" s="70"/>
      <c r="H3251" s="93"/>
      <c r="I3251" s="85"/>
      <c r="J3251" s="85"/>
      <c r="K3251" s="131"/>
      <c r="L3251" s="60"/>
      <c r="M3251" s="49"/>
      <c r="Q3251" s="3"/>
      <c r="R3251" s="3"/>
      <c r="S3251" s="3"/>
      <c r="T3251" s="3"/>
      <c r="U3251" s="3"/>
      <c r="V3251" s="3"/>
      <c r="W3251" s="3"/>
      <c r="X3251" s="3"/>
      <c r="Y3251" s="3"/>
      <c r="Z3251" s="4"/>
      <c r="AA3251"/>
      <c r="AB3251"/>
    </row>
    <row r="3252" spans="1:28" s="37" customFormat="1" x14ac:dyDescent="0.15">
      <c r="A3252" s="166"/>
      <c r="B3252" s="93"/>
      <c r="C3252" s="70"/>
      <c r="D3252" s="70"/>
      <c r="E3252" s="70"/>
      <c r="F3252" s="70"/>
      <c r="G3252" s="70"/>
      <c r="H3252" s="93"/>
      <c r="I3252" s="85"/>
      <c r="J3252" s="85"/>
      <c r="K3252" s="131"/>
      <c r="L3252" s="60"/>
      <c r="M3252" s="49"/>
      <c r="Q3252" s="3"/>
      <c r="R3252" s="3"/>
      <c r="S3252" s="3"/>
      <c r="T3252" s="3"/>
      <c r="U3252" s="3"/>
      <c r="V3252" s="3"/>
      <c r="W3252" s="3"/>
      <c r="X3252" s="3"/>
      <c r="Y3252" s="3"/>
      <c r="Z3252" s="4"/>
      <c r="AA3252"/>
      <c r="AB3252"/>
    </row>
    <row r="3253" spans="1:28" s="37" customFormat="1" x14ac:dyDescent="0.15">
      <c r="A3253" s="166"/>
      <c r="B3253" s="82"/>
      <c r="C3253" s="70"/>
      <c r="D3253" s="70"/>
      <c r="E3253" s="70"/>
      <c r="F3253" s="70"/>
      <c r="G3253" s="70"/>
      <c r="H3253" s="93"/>
      <c r="I3253" s="85"/>
      <c r="J3253" s="85"/>
      <c r="K3253" s="131"/>
      <c r="L3253" s="60"/>
      <c r="M3253" s="49"/>
      <c r="Q3253" s="3"/>
      <c r="R3253" s="3"/>
      <c r="S3253" s="3"/>
      <c r="T3253" s="3"/>
      <c r="U3253" s="3"/>
      <c r="V3253" s="3"/>
      <c r="W3253" s="3"/>
      <c r="X3253" s="3"/>
      <c r="Y3253" s="3"/>
      <c r="Z3253" s="4"/>
      <c r="AA3253"/>
      <c r="AB3253"/>
    </row>
    <row r="3254" spans="1:28" s="37" customFormat="1" x14ac:dyDescent="0.15">
      <c r="A3254" s="166"/>
      <c r="B3254" s="93"/>
      <c r="C3254" s="70"/>
      <c r="D3254" s="70"/>
      <c r="E3254" s="70"/>
      <c r="F3254" s="70"/>
      <c r="G3254" s="70"/>
      <c r="H3254" s="93"/>
      <c r="I3254" s="85"/>
      <c r="J3254" s="85"/>
      <c r="K3254" s="131"/>
      <c r="L3254" s="60"/>
      <c r="M3254" s="49"/>
      <c r="N3254" s="32"/>
      <c r="Q3254" s="3"/>
      <c r="R3254" s="3"/>
      <c r="S3254" s="3"/>
      <c r="T3254" s="3"/>
      <c r="U3254" s="3"/>
      <c r="V3254" s="3"/>
      <c r="W3254" s="3"/>
      <c r="X3254" s="3"/>
      <c r="Y3254" s="3"/>
      <c r="Z3254" s="4"/>
      <c r="AA3254"/>
      <c r="AB3254"/>
    </row>
    <row r="3255" spans="1:28" s="37" customFormat="1" ht="16" x14ac:dyDescent="0.2">
      <c r="A3255" s="166"/>
      <c r="B3255" s="82"/>
      <c r="C3255" s="70"/>
      <c r="D3255" s="70"/>
      <c r="E3255" s="70"/>
      <c r="F3255" s="70"/>
      <c r="G3255" s="70"/>
      <c r="H3255" s="93"/>
      <c r="I3255" s="85"/>
      <c r="J3255" s="85"/>
      <c r="K3255" s="131"/>
      <c r="L3255" s="60"/>
      <c r="M3255" s="47"/>
      <c r="Q3255" s="3"/>
      <c r="R3255" s="3"/>
      <c r="S3255" s="3"/>
      <c r="T3255" s="3"/>
      <c r="U3255" s="3"/>
      <c r="V3255" s="3"/>
      <c r="W3255" s="3"/>
      <c r="X3255" s="3"/>
      <c r="Y3255" s="3"/>
      <c r="Z3255" s="4"/>
      <c r="AA3255"/>
      <c r="AB3255"/>
    </row>
    <row r="3256" spans="1:28" s="37" customFormat="1" x14ac:dyDescent="0.15">
      <c r="A3256" s="166"/>
      <c r="B3256" s="82"/>
      <c r="C3256" s="70"/>
      <c r="D3256" s="70"/>
      <c r="E3256" s="70"/>
      <c r="F3256" s="70"/>
      <c r="G3256" s="70"/>
      <c r="H3256" s="93"/>
      <c r="I3256" s="85"/>
      <c r="J3256" s="85"/>
      <c r="K3256" s="131"/>
      <c r="L3256" s="60"/>
      <c r="M3256" s="49"/>
      <c r="N3256" s="32"/>
      <c r="Q3256" s="3"/>
      <c r="R3256" s="3"/>
      <c r="S3256" s="3"/>
      <c r="T3256" s="3"/>
      <c r="U3256" s="3"/>
      <c r="V3256" s="3"/>
      <c r="W3256" s="3"/>
      <c r="X3256" s="3"/>
      <c r="Y3256" s="3"/>
      <c r="Z3256" s="4"/>
      <c r="AA3256"/>
      <c r="AB3256"/>
    </row>
    <row r="3257" spans="1:28" s="37" customFormat="1" x14ac:dyDescent="0.15">
      <c r="A3257" s="166"/>
      <c r="B3257" s="93"/>
      <c r="C3257" s="70"/>
      <c r="D3257" s="70"/>
      <c r="E3257" s="70"/>
      <c r="F3257" s="70"/>
      <c r="G3257" s="70"/>
      <c r="H3257" s="93"/>
      <c r="I3257" s="85"/>
      <c r="J3257" s="85"/>
      <c r="K3257" s="131"/>
      <c r="L3257" s="60"/>
      <c r="M3257" s="33"/>
      <c r="Q3257" s="3"/>
      <c r="R3257" s="3"/>
      <c r="S3257" s="3"/>
      <c r="T3257" s="3"/>
      <c r="U3257" s="3"/>
      <c r="V3257" s="3"/>
      <c r="W3257" s="3"/>
      <c r="X3257" s="3"/>
      <c r="Y3257" s="3"/>
      <c r="Z3257" s="4"/>
      <c r="AA3257"/>
      <c r="AB3257"/>
    </row>
    <row r="3258" spans="1:28" s="37" customFormat="1" ht="16" x14ac:dyDescent="0.2">
      <c r="A3258" s="166"/>
      <c r="B3258" s="93"/>
      <c r="C3258" s="70"/>
      <c r="D3258" s="70"/>
      <c r="E3258" s="70"/>
      <c r="F3258" s="70"/>
      <c r="G3258" s="70"/>
      <c r="H3258" s="93"/>
      <c r="I3258" s="85"/>
      <c r="J3258" s="85"/>
      <c r="K3258" s="131"/>
      <c r="L3258" s="60"/>
      <c r="M3258" s="47"/>
      <c r="Q3258" s="3"/>
      <c r="R3258" s="3"/>
      <c r="S3258" s="3"/>
      <c r="T3258" s="3"/>
      <c r="U3258" s="3"/>
      <c r="V3258" s="3"/>
      <c r="W3258" s="3"/>
      <c r="X3258" s="3"/>
      <c r="Y3258" s="3"/>
      <c r="Z3258" s="4"/>
      <c r="AA3258"/>
      <c r="AB3258"/>
    </row>
    <row r="3259" spans="1:28" s="37" customFormat="1" x14ac:dyDescent="0.15">
      <c r="A3259" s="166"/>
      <c r="B3259" s="82"/>
      <c r="C3259" s="70"/>
      <c r="D3259" s="70"/>
      <c r="E3259" s="70"/>
      <c r="F3259" s="70"/>
      <c r="G3259" s="70"/>
      <c r="H3259" s="93"/>
      <c r="I3259" s="85"/>
      <c r="J3259" s="85"/>
      <c r="K3259" s="131"/>
      <c r="L3259" s="60"/>
      <c r="M3259" s="49"/>
      <c r="Q3259" s="3"/>
      <c r="R3259" s="3"/>
      <c r="S3259" s="3"/>
      <c r="T3259" s="3"/>
      <c r="U3259" s="3"/>
      <c r="V3259" s="3"/>
      <c r="W3259" s="3"/>
      <c r="X3259" s="3"/>
      <c r="Y3259" s="3"/>
      <c r="Z3259" s="4"/>
      <c r="AA3259"/>
      <c r="AB3259"/>
    </row>
    <row r="3260" spans="1:28" s="37" customFormat="1" x14ac:dyDescent="0.15">
      <c r="A3260" s="166"/>
      <c r="B3260" s="82"/>
      <c r="C3260" s="70"/>
      <c r="D3260" s="70"/>
      <c r="E3260" s="70"/>
      <c r="F3260" s="70"/>
      <c r="G3260" s="70"/>
      <c r="H3260" s="93"/>
      <c r="I3260" s="85"/>
      <c r="J3260" s="85"/>
      <c r="K3260" s="131"/>
      <c r="L3260" s="60"/>
      <c r="M3260" s="49"/>
      <c r="Q3260" s="3"/>
      <c r="R3260" s="3"/>
      <c r="S3260" s="3"/>
      <c r="T3260" s="3"/>
      <c r="U3260" s="3"/>
      <c r="V3260" s="3"/>
      <c r="W3260" s="3"/>
      <c r="X3260" s="3"/>
      <c r="Y3260" s="3"/>
      <c r="Z3260" s="4"/>
      <c r="AA3260"/>
      <c r="AB3260"/>
    </row>
    <row r="3261" spans="1:28" s="37" customFormat="1" x14ac:dyDescent="0.15">
      <c r="A3261" s="166"/>
      <c r="B3261" s="82"/>
      <c r="C3261" s="70"/>
      <c r="D3261" s="70"/>
      <c r="E3261" s="70"/>
      <c r="F3261" s="70"/>
      <c r="G3261" s="70"/>
      <c r="H3261" s="93"/>
      <c r="I3261" s="85"/>
      <c r="J3261" s="85"/>
      <c r="K3261" s="131"/>
      <c r="L3261" s="60"/>
      <c r="M3261" s="49"/>
      <c r="Q3261" s="3"/>
      <c r="R3261" s="3"/>
      <c r="S3261" s="3"/>
      <c r="T3261" s="3"/>
      <c r="U3261" s="3"/>
      <c r="V3261" s="3"/>
      <c r="W3261" s="3"/>
      <c r="X3261" s="3"/>
      <c r="Y3261" s="3"/>
      <c r="Z3261" s="4"/>
      <c r="AA3261"/>
      <c r="AB3261"/>
    </row>
    <row r="3262" spans="1:28" s="37" customFormat="1" x14ac:dyDescent="0.15">
      <c r="A3262" s="166"/>
      <c r="B3262" s="82"/>
      <c r="C3262" s="70"/>
      <c r="D3262" s="70"/>
      <c r="E3262" s="70"/>
      <c r="F3262" s="70"/>
      <c r="G3262" s="70"/>
      <c r="H3262" s="93"/>
      <c r="I3262" s="85"/>
      <c r="J3262" s="85"/>
      <c r="K3262" s="131"/>
      <c r="L3262" s="60"/>
      <c r="M3262" s="49"/>
      <c r="Q3262" s="3"/>
      <c r="R3262" s="3"/>
      <c r="S3262" s="3"/>
      <c r="T3262" s="3"/>
      <c r="U3262" s="3"/>
      <c r="V3262" s="3"/>
      <c r="W3262" s="3"/>
      <c r="X3262" s="3"/>
      <c r="Y3262" s="3"/>
      <c r="Z3262" s="4"/>
      <c r="AA3262"/>
      <c r="AB3262"/>
    </row>
    <row r="3263" spans="1:28" s="37" customFormat="1" x14ac:dyDescent="0.15">
      <c r="A3263" s="166"/>
      <c r="B3263" s="82"/>
      <c r="C3263" s="70"/>
      <c r="D3263" s="70"/>
      <c r="E3263" s="70"/>
      <c r="F3263" s="70"/>
      <c r="G3263" s="70"/>
      <c r="H3263" s="93"/>
      <c r="I3263" s="85"/>
      <c r="J3263" s="85"/>
      <c r="K3263" s="131"/>
      <c r="L3263" s="60"/>
      <c r="M3263" s="49"/>
      <c r="Q3263" s="3"/>
      <c r="R3263" s="3"/>
      <c r="S3263" s="3"/>
      <c r="T3263" s="3"/>
      <c r="U3263" s="3"/>
      <c r="V3263" s="3"/>
      <c r="W3263" s="3"/>
      <c r="X3263" s="3"/>
      <c r="Y3263" s="3"/>
      <c r="Z3263" s="4"/>
      <c r="AA3263"/>
      <c r="AB3263"/>
    </row>
    <row r="3264" spans="1:28" s="37" customFormat="1" x14ac:dyDescent="0.15">
      <c r="A3264" s="166"/>
      <c r="B3264" s="93"/>
      <c r="C3264" s="70"/>
      <c r="D3264" s="70"/>
      <c r="E3264" s="70"/>
      <c r="F3264" s="70"/>
      <c r="G3264" s="70"/>
      <c r="H3264" s="93"/>
      <c r="I3264" s="85"/>
      <c r="J3264" s="85"/>
      <c r="K3264" s="131"/>
      <c r="L3264" s="60"/>
      <c r="M3264" s="33"/>
      <c r="Q3264" s="3"/>
      <c r="R3264" s="3"/>
      <c r="S3264" s="3"/>
      <c r="T3264" s="3"/>
      <c r="U3264" s="3"/>
      <c r="V3264" s="3"/>
      <c r="W3264" s="3"/>
      <c r="X3264" s="3"/>
      <c r="Y3264" s="3"/>
      <c r="Z3264" s="4"/>
      <c r="AA3264"/>
      <c r="AB3264"/>
    </row>
    <row r="3265" spans="1:28" s="37" customFormat="1" x14ac:dyDescent="0.15">
      <c r="A3265" s="166"/>
      <c r="B3265" s="82"/>
      <c r="C3265" s="70"/>
      <c r="D3265" s="70"/>
      <c r="E3265" s="70"/>
      <c r="F3265" s="70"/>
      <c r="G3265" s="70"/>
      <c r="H3265" s="93"/>
      <c r="I3265" s="85"/>
      <c r="J3265" s="85"/>
      <c r="K3265" s="131"/>
      <c r="L3265" s="60"/>
      <c r="M3265" s="33"/>
      <c r="Q3265" s="3"/>
      <c r="R3265" s="3"/>
      <c r="S3265" s="3"/>
      <c r="T3265" s="3"/>
      <c r="U3265" s="3"/>
      <c r="V3265" s="3"/>
      <c r="W3265" s="3"/>
      <c r="X3265" s="3"/>
      <c r="Y3265" s="3"/>
      <c r="Z3265" s="4"/>
      <c r="AA3265"/>
      <c r="AB3265"/>
    </row>
    <row r="3266" spans="1:28" s="37" customFormat="1" x14ac:dyDescent="0.15">
      <c r="A3266" s="166"/>
      <c r="B3266" s="93"/>
      <c r="C3266" s="70"/>
      <c r="D3266" s="70"/>
      <c r="E3266" s="70"/>
      <c r="F3266" s="70"/>
      <c r="G3266" s="70"/>
      <c r="H3266" s="93"/>
      <c r="I3266" s="85"/>
      <c r="J3266" s="85"/>
      <c r="K3266" s="131"/>
      <c r="L3266" s="60"/>
      <c r="M3266" s="33"/>
      <c r="Q3266" s="3"/>
      <c r="R3266" s="3"/>
      <c r="S3266" s="3"/>
      <c r="T3266" s="3"/>
      <c r="U3266" s="3"/>
      <c r="V3266" s="3"/>
      <c r="W3266" s="3"/>
      <c r="X3266" s="3"/>
      <c r="Y3266" s="3"/>
      <c r="Z3266" s="4"/>
      <c r="AA3266"/>
      <c r="AB3266"/>
    </row>
    <row r="3267" spans="1:28" s="37" customFormat="1" x14ac:dyDescent="0.15">
      <c r="A3267" s="166"/>
      <c r="B3267" s="93"/>
      <c r="C3267" s="70"/>
      <c r="D3267" s="70"/>
      <c r="E3267" s="70"/>
      <c r="F3267" s="70"/>
      <c r="G3267" s="70"/>
      <c r="H3267" s="93"/>
      <c r="I3267" s="85"/>
      <c r="J3267" s="85"/>
      <c r="K3267" s="131"/>
      <c r="L3267" s="60"/>
      <c r="M3267" s="33"/>
      <c r="Q3267" s="3"/>
      <c r="R3267" s="3"/>
      <c r="S3267" s="3"/>
      <c r="T3267" s="3"/>
      <c r="U3267" s="3"/>
      <c r="V3267" s="3"/>
      <c r="W3267" s="3"/>
      <c r="X3267" s="3"/>
      <c r="Y3267" s="3"/>
      <c r="Z3267" s="4"/>
      <c r="AA3267"/>
      <c r="AB3267"/>
    </row>
    <row r="3268" spans="1:28" s="37" customFormat="1" x14ac:dyDescent="0.15">
      <c r="A3268" s="166"/>
      <c r="B3268" s="82"/>
      <c r="C3268" s="70"/>
      <c r="D3268" s="70"/>
      <c r="E3268" s="70"/>
      <c r="F3268" s="70"/>
      <c r="G3268" s="70"/>
      <c r="H3268" s="93"/>
      <c r="I3268" s="85"/>
      <c r="J3268" s="85"/>
      <c r="K3268" s="131"/>
      <c r="L3268" s="60"/>
      <c r="M3268" s="33"/>
      <c r="Q3268" s="3"/>
      <c r="R3268" s="3"/>
      <c r="S3268" s="3"/>
      <c r="T3268" s="3"/>
      <c r="U3268" s="3"/>
      <c r="V3268" s="3"/>
      <c r="W3268" s="3"/>
      <c r="X3268" s="3"/>
      <c r="Y3268" s="3"/>
      <c r="Z3268" s="4"/>
      <c r="AA3268"/>
      <c r="AB3268"/>
    </row>
    <row r="3269" spans="1:28" s="37" customFormat="1" x14ac:dyDescent="0.15">
      <c r="A3269" s="166"/>
      <c r="B3269" s="93"/>
      <c r="C3269" s="70"/>
      <c r="D3269" s="70"/>
      <c r="E3269" s="70"/>
      <c r="F3269" s="70"/>
      <c r="G3269" s="70"/>
      <c r="H3269" s="93"/>
      <c r="I3269" s="85"/>
      <c r="J3269" s="85"/>
      <c r="K3269" s="131"/>
      <c r="L3269" s="60"/>
      <c r="M3269" s="33"/>
      <c r="Q3269" s="3"/>
      <c r="R3269" s="3"/>
      <c r="S3269" s="3"/>
      <c r="T3269" s="3"/>
      <c r="U3269" s="3"/>
      <c r="V3269" s="3"/>
      <c r="W3269" s="3"/>
      <c r="X3269" s="3"/>
      <c r="Y3269" s="3"/>
      <c r="Z3269" s="4"/>
      <c r="AA3269"/>
      <c r="AB3269"/>
    </row>
    <row r="3270" spans="1:28" s="37" customFormat="1" x14ac:dyDescent="0.15">
      <c r="A3270" s="166"/>
      <c r="B3270" s="93"/>
      <c r="C3270" s="70"/>
      <c r="D3270" s="70"/>
      <c r="E3270" s="70"/>
      <c r="F3270" s="70"/>
      <c r="G3270" s="70"/>
      <c r="H3270" s="93"/>
      <c r="I3270" s="85"/>
      <c r="J3270" s="85"/>
      <c r="K3270" s="131"/>
      <c r="L3270" s="60"/>
      <c r="M3270" s="33"/>
      <c r="Q3270" s="3"/>
      <c r="R3270" s="3"/>
      <c r="S3270" s="3"/>
      <c r="T3270" s="3"/>
      <c r="U3270" s="3"/>
      <c r="V3270" s="3"/>
      <c r="W3270" s="3"/>
      <c r="X3270" s="3"/>
      <c r="Y3270" s="3"/>
      <c r="Z3270" s="4"/>
      <c r="AA3270"/>
      <c r="AB3270"/>
    </row>
    <row r="3271" spans="1:28" s="37" customFormat="1" ht="16" x14ac:dyDescent="0.2">
      <c r="A3271" s="166"/>
      <c r="B3271" s="82"/>
      <c r="C3271" s="70"/>
      <c r="D3271" s="70"/>
      <c r="E3271" s="70"/>
      <c r="F3271" s="70"/>
      <c r="G3271" s="70"/>
      <c r="H3271" s="93"/>
      <c r="I3271" s="85"/>
      <c r="J3271" s="85"/>
      <c r="K3271" s="131"/>
      <c r="L3271" s="60"/>
      <c r="M3271" s="47"/>
      <c r="Q3271" s="3"/>
      <c r="R3271" s="3"/>
      <c r="S3271" s="3"/>
      <c r="T3271" s="3"/>
      <c r="U3271" s="3"/>
      <c r="V3271" s="3"/>
      <c r="W3271" s="3"/>
      <c r="X3271" s="3"/>
      <c r="Y3271" s="3"/>
      <c r="Z3271" s="4"/>
      <c r="AA3271"/>
      <c r="AB3271"/>
    </row>
    <row r="3272" spans="1:28" s="37" customFormat="1" x14ac:dyDescent="0.15">
      <c r="A3272" s="166"/>
      <c r="B3272" s="93"/>
      <c r="C3272" s="70"/>
      <c r="D3272" s="70"/>
      <c r="E3272" s="70"/>
      <c r="F3272" s="70"/>
      <c r="G3272" s="70"/>
      <c r="H3272" s="93"/>
      <c r="I3272" s="85"/>
      <c r="J3272" s="85"/>
      <c r="K3272" s="131"/>
      <c r="L3272" s="60"/>
      <c r="M3272" s="33"/>
      <c r="N3272" s="32"/>
      <c r="Q3272" s="3"/>
      <c r="R3272" s="3"/>
      <c r="S3272" s="3"/>
      <c r="T3272" s="3"/>
      <c r="U3272" s="3"/>
      <c r="V3272" s="3"/>
      <c r="W3272" s="3"/>
      <c r="X3272" s="3"/>
      <c r="Y3272" s="3"/>
      <c r="Z3272" s="4"/>
      <c r="AA3272"/>
      <c r="AB3272"/>
    </row>
    <row r="3273" spans="1:28" s="37" customFormat="1" ht="16" x14ac:dyDescent="0.2">
      <c r="A3273" s="166"/>
      <c r="B3273" s="93"/>
      <c r="C3273" s="70"/>
      <c r="D3273" s="70"/>
      <c r="E3273" s="70"/>
      <c r="F3273" s="70"/>
      <c r="G3273" s="70"/>
      <c r="H3273" s="93"/>
      <c r="I3273" s="85"/>
      <c r="J3273" s="85"/>
      <c r="K3273" s="131"/>
      <c r="L3273" s="60"/>
      <c r="M3273" s="47"/>
      <c r="Q3273" s="3"/>
      <c r="R3273" s="3"/>
      <c r="S3273" s="3"/>
      <c r="T3273" s="3"/>
      <c r="U3273" s="3"/>
      <c r="V3273" s="3"/>
      <c r="W3273" s="3"/>
      <c r="X3273" s="3"/>
      <c r="Y3273" s="3"/>
      <c r="Z3273" s="4"/>
      <c r="AA3273"/>
      <c r="AB3273"/>
    </row>
    <row r="3274" spans="1:28" s="37" customFormat="1" x14ac:dyDescent="0.15">
      <c r="A3274" s="166"/>
      <c r="B3274" s="93"/>
      <c r="C3274" s="70"/>
      <c r="D3274" s="70"/>
      <c r="E3274" s="70"/>
      <c r="F3274" s="70"/>
      <c r="G3274" s="70"/>
      <c r="H3274" s="93"/>
      <c r="I3274" s="85"/>
      <c r="J3274" s="85"/>
      <c r="K3274" s="131"/>
      <c r="L3274" s="60"/>
      <c r="M3274" s="33"/>
      <c r="N3274" s="32"/>
      <c r="Q3274" s="3"/>
      <c r="R3274" s="3"/>
      <c r="S3274" s="3"/>
      <c r="T3274" s="3"/>
      <c r="U3274" s="3"/>
      <c r="V3274" s="3"/>
      <c r="W3274" s="3"/>
      <c r="X3274" s="3"/>
      <c r="Y3274" s="3"/>
      <c r="Z3274" s="4"/>
      <c r="AA3274"/>
      <c r="AB3274"/>
    </row>
    <row r="3275" spans="1:28" s="37" customFormat="1" x14ac:dyDescent="0.15">
      <c r="A3275" s="166"/>
      <c r="B3275" s="93"/>
      <c r="C3275" s="70"/>
      <c r="D3275" s="70"/>
      <c r="E3275" s="70"/>
      <c r="F3275" s="70"/>
      <c r="G3275" s="70"/>
      <c r="H3275" s="93"/>
      <c r="I3275" s="85"/>
      <c r="J3275" s="85"/>
      <c r="K3275" s="131"/>
      <c r="L3275" s="60"/>
      <c r="M3275" s="33"/>
      <c r="Q3275" s="3"/>
      <c r="R3275" s="3"/>
      <c r="S3275" s="3"/>
      <c r="T3275" s="3"/>
      <c r="U3275" s="3"/>
      <c r="V3275" s="3"/>
      <c r="W3275" s="3"/>
      <c r="X3275" s="3"/>
      <c r="Y3275" s="3"/>
      <c r="Z3275" s="4"/>
      <c r="AA3275"/>
      <c r="AB3275"/>
    </row>
    <row r="3276" spans="1:28" s="37" customFormat="1" x14ac:dyDescent="0.15">
      <c r="A3276" s="166"/>
      <c r="B3276" s="93"/>
      <c r="C3276" s="70"/>
      <c r="D3276" s="70"/>
      <c r="E3276" s="70"/>
      <c r="F3276" s="70"/>
      <c r="G3276" s="70"/>
      <c r="H3276" s="93"/>
      <c r="I3276" s="85"/>
      <c r="J3276" s="85"/>
      <c r="K3276" s="131"/>
      <c r="L3276" s="60"/>
      <c r="M3276" s="49"/>
      <c r="Q3276" s="3"/>
      <c r="R3276" s="3"/>
      <c r="S3276" s="3"/>
      <c r="T3276" s="3"/>
      <c r="U3276" s="3"/>
      <c r="V3276" s="3"/>
      <c r="W3276" s="3"/>
      <c r="X3276" s="3"/>
      <c r="Y3276" s="3"/>
      <c r="Z3276" s="4"/>
      <c r="AA3276"/>
      <c r="AB3276"/>
    </row>
    <row r="3277" spans="1:28" s="37" customFormat="1" x14ac:dyDescent="0.15">
      <c r="A3277" s="166"/>
      <c r="B3277" s="93"/>
      <c r="C3277" s="70"/>
      <c r="D3277" s="70"/>
      <c r="E3277" s="70"/>
      <c r="F3277" s="70"/>
      <c r="G3277" s="70"/>
      <c r="H3277" s="93"/>
      <c r="I3277" s="85"/>
      <c r="J3277" s="85"/>
      <c r="K3277" s="131"/>
      <c r="L3277" s="60"/>
      <c r="M3277" s="33"/>
      <c r="Q3277" s="3"/>
      <c r="R3277" s="3"/>
      <c r="S3277" s="3"/>
      <c r="T3277" s="3"/>
      <c r="U3277" s="3"/>
      <c r="V3277" s="3"/>
      <c r="W3277" s="3"/>
      <c r="X3277" s="3"/>
      <c r="Y3277" s="3"/>
      <c r="Z3277" s="4"/>
      <c r="AA3277"/>
      <c r="AB3277"/>
    </row>
    <row r="3278" spans="1:28" s="37" customFormat="1" x14ac:dyDescent="0.15">
      <c r="A3278" s="166"/>
      <c r="B3278" s="93"/>
      <c r="C3278" s="70"/>
      <c r="D3278" s="70"/>
      <c r="E3278" s="70"/>
      <c r="F3278" s="70"/>
      <c r="G3278" s="70"/>
      <c r="H3278" s="93"/>
      <c r="I3278" s="85"/>
      <c r="J3278" s="85"/>
      <c r="K3278" s="131"/>
      <c r="L3278" s="60"/>
      <c r="M3278" s="49"/>
      <c r="Q3278" s="3"/>
      <c r="R3278" s="3"/>
      <c r="S3278" s="3"/>
      <c r="T3278" s="3"/>
      <c r="U3278" s="3"/>
      <c r="V3278" s="3"/>
      <c r="W3278" s="3"/>
      <c r="X3278" s="3"/>
      <c r="Y3278" s="3"/>
      <c r="Z3278" s="4"/>
      <c r="AA3278"/>
      <c r="AB3278"/>
    </row>
    <row r="3279" spans="1:28" s="37" customFormat="1" x14ac:dyDescent="0.15">
      <c r="A3279" s="166"/>
      <c r="B3279" s="93"/>
      <c r="C3279" s="70"/>
      <c r="D3279" s="70"/>
      <c r="E3279" s="70"/>
      <c r="F3279" s="70"/>
      <c r="G3279" s="70"/>
      <c r="H3279" s="93"/>
      <c r="I3279" s="85"/>
      <c r="J3279" s="85"/>
      <c r="K3279" s="131"/>
      <c r="L3279" s="60"/>
      <c r="M3279" s="33"/>
      <c r="N3279" s="32"/>
      <c r="Q3279" s="3"/>
      <c r="R3279" s="3"/>
      <c r="S3279" s="3"/>
      <c r="T3279" s="3"/>
      <c r="U3279" s="3"/>
      <c r="V3279" s="3"/>
      <c r="W3279" s="3"/>
      <c r="X3279" s="3"/>
      <c r="Y3279" s="3"/>
      <c r="Z3279" s="4"/>
      <c r="AA3279"/>
      <c r="AB3279"/>
    </row>
    <row r="3280" spans="1:28" s="37" customFormat="1" x14ac:dyDescent="0.15">
      <c r="A3280" s="166"/>
      <c r="B3280" s="93"/>
      <c r="C3280" s="70"/>
      <c r="D3280" s="70"/>
      <c r="E3280" s="70"/>
      <c r="F3280" s="70"/>
      <c r="G3280" s="70"/>
      <c r="H3280" s="93"/>
      <c r="I3280" s="85"/>
      <c r="J3280" s="85"/>
      <c r="K3280" s="131"/>
      <c r="L3280" s="60"/>
      <c r="M3280" s="49"/>
      <c r="Q3280" s="3"/>
      <c r="R3280" s="3"/>
      <c r="S3280" s="3"/>
      <c r="T3280" s="3"/>
      <c r="U3280" s="3"/>
      <c r="V3280" s="3"/>
      <c r="W3280" s="3"/>
      <c r="X3280" s="3"/>
      <c r="Y3280" s="3"/>
      <c r="Z3280" s="4"/>
      <c r="AA3280"/>
      <c r="AB3280"/>
    </row>
    <row r="3281" spans="1:28" s="37" customFormat="1" x14ac:dyDescent="0.15">
      <c r="A3281" s="166"/>
      <c r="B3281" s="93"/>
      <c r="C3281" s="70"/>
      <c r="D3281" s="70"/>
      <c r="E3281" s="70"/>
      <c r="F3281" s="70"/>
      <c r="G3281" s="70"/>
      <c r="H3281" s="93"/>
      <c r="I3281" s="85"/>
      <c r="J3281" s="85"/>
      <c r="K3281" s="131"/>
      <c r="L3281" s="60"/>
      <c r="M3281" s="33"/>
      <c r="N3281" s="32"/>
      <c r="Q3281" s="3"/>
      <c r="R3281" s="3"/>
      <c r="S3281" s="3"/>
      <c r="T3281" s="3"/>
      <c r="U3281" s="3"/>
      <c r="V3281" s="3"/>
      <c r="W3281" s="3"/>
      <c r="X3281" s="3"/>
      <c r="Y3281" s="3"/>
      <c r="Z3281" s="4"/>
      <c r="AA3281"/>
      <c r="AB3281"/>
    </row>
    <row r="3282" spans="1:28" s="37" customFormat="1" x14ac:dyDescent="0.15">
      <c r="A3282" s="166"/>
      <c r="B3282" s="93"/>
      <c r="C3282" s="70"/>
      <c r="D3282" s="70"/>
      <c r="E3282" s="70"/>
      <c r="F3282" s="70"/>
      <c r="G3282" s="70"/>
      <c r="H3282" s="93"/>
      <c r="I3282" s="85"/>
      <c r="J3282" s="85"/>
      <c r="K3282" s="131"/>
      <c r="L3282" s="60"/>
      <c r="M3282" s="33"/>
      <c r="Q3282" s="3"/>
      <c r="R3282" s="3"/>
      <c r="S3282" s="3"/>
      <c r="T3282" s="3"/>
      <c r="U3282" s="3"/>
      <c r="V3282" s="3"/>
      <c r="W3282" s="3"/>
      <c r="X3282" s="3"/>
      <c r="Y3282" s="3"/>
      <c r="Z3282" s="4"/>
      <c r="AA3282"/>
      <c r="AB3282"/>
    </row>
    <row r="3283" spans="1:28" s="37" customFormat="1" x14ac:dyDescent="0.15">
      <c r="A3283" s="166"/>
      <c r="B3283" s="93"/>
      <c r="C3283" s="70"/>
      <c r="D3283" s="70"/>
      <c r="E3283" s="70"/>
      <c r="F3283" s="70"/>
      <c r="G3283" s="70"/>
      <c r="H3283" s="93"/>
      <c r="I3283" s="85"/>
      <c r="J3283" s="85"/>
      <c r="K3283" s="131"/>
      <c r="L3283" s="60"/>
      <c r="M3283" s="49"/>
      <c r="Q3283" s="3"/>
      <c r="R3283" s="3"/>
      <c r="S3283" s="3"/>
      <c r="T3283" s="3"/>
      <c r="U3283" s="3"/>
      <c r="V3283" s="3"/>
      <c r="W3283" s="3"/>
      <c r="X3283" s="3"/>
      <c r="Y3283" s="3"/>
      <c r="Z3283" s="4"/>
      <c r="AA3283"/>
      <c r="AB3283"/>
    </row>
    <row r="3284" spans="1:28" s="37" customFormat="1" x14ac:dyDescent="0.15">
      <c r="A3284" s="166"/>
      <c r="B3284" s="93"/>
      <c r="C3284" s="70"/>
      <c r="D3284" s="70"/>
      <c r="E3284" s="70"/>
      <c r="F3284" s="70"/>
      <c r="G3284" s="70"/>
      <c r="H3284" s="93"/>
      <c r="I3284" s="85"/>
      <c r="J3284" s="85"/>
      <c r="K3284" s="131"/>
      <c r="L3284" s="60"/>
      <c r="M3284" s="33"/>
      <c r="Q3284" s="3"/>
      <c r="R3284" s="3"/>
      <c r="S3284" s="3"/>
      <c r="T3284" s="3"/>
      <c r="U3284" s="3"/>
      <c r="V3284" s="3"/>
      <c r="W3284" s="3"/>
      <c r="X3284" s="3"/>
      <c r="Y3284" s="3"/>
      <c r="Z3284" s="4"/>
      <c r="AA3284"/>
      <c r="AB3284"/>
    </row>
    <row r="3285" spans="1:28" s="37" customFormat="1" x14ac:dyDescent="0.15">
      <c r="A3285" s="166"/>
      <c r="B3285" s="93"/>
      <c r="C3285" s="70"/>
      <c r="D3285" s="70"/>
      <c r="E3285" s="70"/>
      <c r="F3285" s="70"/>
      <c r="G3285" s="70"/>
      <c r="H3285" s="93"/>
      <c r="I3285" s="85"/>
      <c r="J3285" s="85"/>
      <c r="K3285" s="131"/>
      <c r="L3285" s="60"/>
      <c r="M3285" s="33"/>
      <c r="Q3285" s="3"/>
      <c r="R3285" s="3"/>
      <c r="S3285" s="3"/>
      <c r="T3285" s="3"/>
      <c r="U3285" s="3"/>
      <c r="V3285" s="3"/>
      <c r="W3285" s="3"/>
      <c r="X3285" s="3"/>
      <c r="Y3285" s="3"/>
      <c r="Z3285" s="4"/>
      <c r="AA3285"/>
      <c r="AB3285"/>
    </row>
    <row r="3286" spans="1:28" s="37" customFormat="1" x14ac:dyDescent="0.15">
      <c r="A3286" s="166"/>
      <c r="B3286" s="82"/>
      <c r="C3286" s="70"/>
      <c r="D3286" s="70"/>
      <c r="E3286" s="73"/>
      <c r="F3286" s="70"/>
      <c r="G3286" s="70"/>
      <c r="H3286" s="93"/>
      <c r="I3286" s="85"/>
      <c r="J3286" s="85"/>
      <c r="K3286" s="134"/>
      <c r="L3286" s="63"/>
      <c r="M3286" s="33"/>
      <c r="Q3286" s="3"/>
      <c r="R3286" s="3"/>
      <c r="S3286" s="3"/>
      <c r="T3286" s="3"/>
      <c r="U3286" s="3"/>
      <c r="V3286" s="3"/>
      <c r="W3286" s="3"/>
      <c r="X3286" s="3"/>
      <c r="Y3286" s="3"/>
      <c r="Z3286" s="4"/>
      <c r="AA3286"/>
      <c r="AB3286"/>
    </row>
    <row r="3287" spans="1:28" s="37" customFormat="1" x14ac:dyDescent="0.15">
      <c r="A3287" s="166"/>
      <c r="B3287" s="82"/>
      <c r="C3287" s="70"/>
      <c r="D3287" s="70"/>
      <c r="E3287" s="73"/>
      <c r="F3287" s="70"/>
      <c r="G3287" s="70"/>
      <c r="H3287" s="93"/>
      <c r="I3287" s="85"/>
      <c r="J3287" s="85"/>
      <c r="K3287" s="134"/>
      <c r="L3287" s="63"/>
      <c r="M3287" s="33"/>
      <c r="Q3287" s="3"/>
      <c r="R3287" s="3"/>
      <c r="S3287" s="3"/>
      <c r="T3287" s="3"/>
      <c r="U3287" s="3"/>
      <c r="V3287" s="3"/>
      <c r="W3287" s="3"/>
      <c r="X3287" s="3"/>
      <c r="Y3287" s="3"/>
      <c r="Z3287" s="4"/>
      <c r="AA3287"/>
      <c r="AB3287"/>
    </row>
    <row r="3288" spans="1:28" s="37" customFormat="1" x14ac:dyDescent="0.15">
      <c r="A3288" s="166"/>
      <c r="B3288" s="93"/>
      <c r="C3288" s="70"/>
      <c r="D3288" s="70"/>
      <c r="E3288" s="70"/>
      <c r="F3288" s="70"/>
      <c r="G3288" s="70"/>
      <c r="H3288" s="93"/>
      <c r="I3288" s="85"/>
      <c r="J3288" s="85"/>
      <c r="K3288" s="131"/>
      <c r="L3288" s="60"/>
      <c r="M3288" s="33"/>
      <c r="Q3288" s="3"/>
      <c r="R3288" s="3"/>
      <c r="S3288" s="3"/>
      <c r="T3288" s="3"/>
      <c r="U3288" s="3"/>
      <c r="V3288" s="3"/>
      <c r="W3288" s="3"/>
      <c r="X3288" s="3"/>
      <c r="Y3288" s="3"/>
      <c r="Z3288" s="4"/>
      <c r="AA3288"/>
      <c r="AB3288"/>
    </row>
    <row r="3289" spans="1:28" s="37" customFormat="1" x14ac:dyDescent="0.15">
      <c r="A3289" s="166"/>
      <c r="B3289" s="93"/>
      <c r="C3289" s="70"/>
      <c r="D3289" s="70"/>
      <c r="E3289" s="70"/>
      <c r="F3289" s="70"/>
      <c r="G3289" s="70"/>
      <c r="H3289" s="93"/>
      <c r="I3289" s="85"/>
      <c r="J3289" s="85"/>
      <c r="K3289" s="131"/>
      <c r="L3289" s="60"/>
      <c r="M3289" s="33"/>
      <c r="Q3289" s="3"/>
      <c r="R3289" s="3"/>
      <c r="S3289" s="3"/>
      <c r="T3289" s="3"/>
      <c r="U3289" s="3"/>
      <c r="V3289" s="3"/>
      <c r="W3289" s="3"/>
      <c r="X3289" s="3"/>
      <c r="Y3289" s="3"/>
      <c r="Z3289" s="4"/>
      <c r="AA3289"/>
      <c r="AB3289"/>
    </row>
    <row r="3290" spans="1:28" s="37" customFormat="1" x14ac:dyDescent="0.15">
      <c r="A3290" s="166"/>
      <c r="B3290" s="82"/>
      <c r="C3290" s="70"/>
      <c r="D3290" s="70"/>
      <c r="E3290" s="70"/>
      <c r="F3290" s="70"/>
      <c r="G3290" s="70"/>
      <c r="H3290" s="93"/>
      <c r="I3290" s="85"/>
      <c r="J3290" s="85"/>
      <c r="K3290" s="131"/>
      <c r="L3290" s="60"/>
      <c r="M3290" s="33"/>
      <c r="Q3290" s="3"/>
      <c r="R3290" s="3"/>
      <c r="S3290" s="3"/>
      <c r="T3290" s="3"/>
      <c r="U3290" s="3"/>
      <c r="V3290" s="3"/>
      <c r="W3290" s="3"/>
      <c r="X3290" s="3"/>
      <c r="Y3290" s="3"/>
      <c r="Z3290" s="4"/>
      <c r="AA3290"/>
      <c r="AB3290"/>
    </row>
    <row r="3291" spans="1:28" s="37" customFormat="1" x14ac:dyDescent="0.15">
      <c r="A3291" s="166"/>
      <c r="B3291" s="82"/>
      <c r="C3291" s="70"/>
      <c r="D3291" s="70"/>
      <c r="E3291" s="70"/>
      <c r="F3291" s="70"/>
      <c r="G3291" s="70"/>
      <c r="H3291" s="93"/>
      <c r="I3291" s="85"/>
      <c r="J3291" s="85"/>
      <c r="K3291" s="142"/>
      <c r="L3291" s="60"/>
      <c r="Q3291" s="3"/>
      <c r="R3291" s="3"/>
      <c r="S3291" s="3"/>
      <c r="T3291" s="3"/>
      <c r="U3291" s="3"/>
      <c r="V3291" s="3"/>
      <c r="W3291" s="3"/>
      <c r="X3291" s="3"/>
      <c r="Y3291" s="3"/>
      <c r="Z3291" s="4"/>
      <c r="AA3291"/>
      <c r="AB3291"/>
    </row>
    <row r="3292" spans="1:28" s="37" customFormat="1" x14ac:dyDescent="0.15">
      <c r="A3292" s="166"/>
      <c r="B3292" s="93"/>
      <c r="C3292" s="70"/>
      <c r="D3292" s="70"/>
      <c r="E3292" s="70"/>
      <c r="F3292" s="70"/>
      <c r="G3292" s="70"/>
      <c r="H3292" s="93"/>
      <c r="I3292" s="85"/>
      <c r="J3292" s="85"/>
      <c r="K3292" s="131"/>
      <c r="L3292" s="60"/>
      <c r="Q3292" s="3"/>
      <c r="R3292" s="3"/>
      <c r="S3292" s="3"/>
      <c r="T3292" s="3"/>
      <c r="U3292" s="3"/>
      <c r="V3292" s="3"/>
      <c r="W3292" s="3"/>
      <c r="X3292" s="3"/>
      <c r="Y3292" s="3"/>
      <c r="Z3292" s="4"/>
      <c r="AA3292"/>
      <c r="AB3292"/>
    </row>
    <row r="3293" spans="1:28" s="37" customFormat="1" x14ac:dyDescent="0.15">
      <c r="A3293" s="166"/>
      <c r="B3293" s="93"/>
      <c r="C3293" s="70"/>
      <c r="D3293" s="70"/>
      <c r="E3293" s="70"/>
      <c r="F3293" s="70"/>
      <c r="G3293" s="70"/>
      <c r="H3293" s="93"/>
      <c r="I3293" s="85"/>
      <c r="J3293" s="85"/>
      <c r="K3293" s="131"/>
      <c r="L3293" s="60"/>
      <c r="M3293" s="49"/>
      <c r="Q3293" s="3"/>
      <c r="R3293" s="3"/>
      <c r="S3293" s="3"/>
      <c r="T3293" s="3"/>
      <c r="U3293" s="3"/>
      <c r="V3293" s="3"/>
      <c r="W3293" s="3"/>
      <c r="X3293" s="3"/>
      <c r="Y3293" s="3"/>
      <c r="Z3293" s="4"/>
      <c r="AA3293"/>
      <c r="AB3293"/>
    </row>
    <row r="3294" spans="1:28" s="37" customFormat="1" x14ac:dyDescent="0.15">
      <c r="A3294" s="166"/>
      <c r="B3294" s="93"/>
      <c r="C3294" s="70"/>
      <c r="D3294" s="70"/>
      <c r="E3294" s="70"/>
      <c r="F3294" s="70"/>
      <c r="G3294" s="70"/>
      <c r="H3294" s="93"/>
      <c r="I3294" s="85"/>
      <c r="J3294" s="85"/>
      <c r="K3294" s="131"/>
      <c r="L3294" s="60"/>
      <c r="Q3294" s="3"/>
      <c r="R3294" s="3"/>
      <c r="S3294" s="3"/>
      <c r="T3294" s="3"/>
      <c r="U3294" s="3"/>
      <c r="V3294" s="3"/>
      <c r="W3294" s="3"/>
      <c r="X3294" s="3"/>
      <c r="Y3294" s="3"/>
      <c r="Z3294" s="4"/>
      <c r="AA3294"/>
      <c r="AB3294"/>
    </row>
    <row r="3295" spans="1:28" s="37" customFormat="1" x14ac:dyDescent="0.15">
      <c r="A3295" s="166"/>
      <c r="B3295" s="93"/>
      <c r="C3295" s="70"/>
      <c r="D3295" s="70"/>
      <c r="E3295" s="70"/>
      <c r="F3295" s="70"/>
      <c r="G3295" s="70"/>
      <c r="H3295" s="93"/>
      <c r="I3295" s="85"/>
      <c r="J3295" s="85"/>
      <c r="K3295" s="131"/>
      <c r="L3295" s="60"/>
      <c r="M3295" s="49"/>
      <c r="Q3295" s="3"/>
      <c r="R3295" s="3"/>
      <c r="S3295" s="3"/>
      <c r="T3295" s="3"/>
      <c r="U3295" s="3"/>
      <c r="V3295" s="3"/>
      <c r="W3295" s="3"/>
      <c r="X3295" s="3"/>
      <c r="Y3295" s="3"/>
      <c r="Z3295" s="4"/>
      <c r="AA3295"/>
      <c r="AB3295"/>
    </row>
    <row r="3296" spans="1:28" s="37" customFormat="1" x14ac:dyDescent="0.15">
      <c r="A3296" s="166"/>
      <c r="B3296" s="82"/>
      <c r="C3296" s="70"/>
      <c r="D3296" s="70"/>
      <c r="E3296" s="70"/>
      <c r="F3296" s="70"/>
      <c r="G3296" s="70"/>
      <c r="H3296" s="93"/>
      <c r="I3296" s="85"/>
      <c r="J3296" s="85"/>
      <c r="K3296" s="142"/>
      <c r="L3296" s="60"/>
      <c r="Q3296" s="3"/>
      <c r="R3296" s="3"/>
      <c r="S3296" s="3"/>
      <c r="T3296" s="3"/>
      <c r="U3296" s="3"/>
      <c r="V3296" s="3"/>
      <c r="W3296" s="3"/>
      <c r="X3296" s="3"/>
      <c r="Y3296" s="3"/>
      <c r="Z3296" s="4"/>
      <c r="AA3296"/>
      <c r="AB3296"/>
    </row>
    <row r="3297" spans="1:28" s="37" customFormat="1" x14ac:dyDescent="0.15">
      <c r="A3297" s="166"/>
      <c r="B3297" s="82"/>
      <c r="C3297" s="70"/>
      <c r="D3297" s="70"/>
      <c r="E3297" s="70"/>
      <c r="F3297" s="70"/>
      <c r="G3297" s="70"/>
      <c r="H3297" s="93"/>
      <c r="I3297" s="85"/>
      <c r="J3297" s="85"/>
      <c r="K3297" s="131"/>
      <c r="L3297" s="60"/>
      <c r="Q3297" s="3"/>
      <c r="R3297" s="3"/>
      <c r="S3297" s="3"/>
      <c r="T3297" s="3"/>
      <c r="U3297" s="3"/>
      <c r="V3297" s="3"/>
      <c r="W3297" s="3"/>
      <c r="X3297" s="3"/>
      <c r="Y3297" s="3"/>
      <c r="Z3297" s="4"/>
      <c r="AA3297"/>
      <c r="AB3297"/>
    </row>
    <row r="3298" spans="1:28" s="37" customFormat="1" x14ac:dyDescent="0.15">
      <c r="A3298" s="166"/>
      <c r="B3298" s="82"/>
      <c r="C3298" s="70"/>
      <c r="D3298" s="70"/>
      <c r="E3298" s="70"/>
      <c r="F3298" s="70"/>
      <c r="G3298" s="70"/>
      <c r="H3298" s="93"/>
      <c r="I3298" s="85"/>
      <c r="J3298" s="85"/>
      <c r="K3298" s="142"/>
      <c r="L3298" s="60"/>
      <c r="Q3298" s="3"/>
      <c r="R3298" s="3"/>
      <c r="S3298" s="3"/>
      <c r="T3298" s="3"/>
      <c r="U3298" s="3"/>
      <c r="V3298" s="3"/>
      <c r="W3298" s="3"/>
      <c r="X3298" s="3"/>
      <c r="Y3298" s="3"/>
      <c r="Z3298" s="4"/>
      <c r="AA3298"/>
      <c r="AB3298"/>
    </row>
    <row r="3299" spans="1:28" s="37" customFormat="1" x14ac:dyDescent="0.15">
      <c r="A3299" s="166"/>
      <c r="B3299" s="93"/>
      <c r="C3299" s="70"/>
      <c r="D3299" s="70"/>
      <c r="E3299" s="70"/>
      <c r="F3299" s="70"/>
      <c r="G3299" s="70"/>
      <c r="H3299" s="93"/>
      <c r="I3299" s="85"/>
      <c r="J3299" s="85"/>
      <c r="K3299" s="131"/>
      <c r="L3299" s="60"/>
      <c r="Q3299" s="3"/>
      <c r="R3299" s="3"/>
      <c r="S3299" s="3"/>
      <c r="T3299" s="3"/>
      <c r="U3299" s="3"/>
      <c r="V3299" s="3"/>
      <c r="W3299" s="3"/>
      <c r="X3299" s="3"/>
      <c r="Y3299" s="3"/>
      <c r="Z3299" s="4"/>
      <c r="AA3299"/>
      <c r="AB3299"/>
    </row>
    <row r="3300" spans="1:28" s="37" customFormat="1" x14ac:dyDescent="0.15">
      <c r="A3300" s="166"/>
      <c r="B3300" s="93"/>
      <c r="C3300" s="70"/>
      <c r="D3300" s="70"/>
      <c r="E3300" s="70"/>
      <c r="F3300" s="70"/>
      <c r="G3300" s="70"/>
      <c r="H3300" s="93"/>
      <c r="I3300" s="85"/>
      <c r="J3300" s="85"/>
      <c r="K3300" s="131"/>
      <c r="L3300" s="60"/>
      <c r="M3300" s="49"/>
      <c r="Q3300" s="3"/>
      <c r="R3300" s="3"/>
      <c r="S3300" s="3"/>
      <c r="T3300" s="3"/>
      <c r="U3300" s="3"/>
      <c r="V3300" s="3"/>
      <c r="W3300" s="3"/>
      <c r="X3300" s="3"/>
      <c r="Y3300" s="3"/>
      <c r="Z3300" s="4"/>
      <c r="AA3300"/>
      <c r="AB3300"/>
    </row>
    <row r="3301" spans="1:28" s="37" customFormat="1" x14ac:dyDescent="0.15">
      <c r="A3301" s="166"/>
      <c r="B3301" s="93"/>
      <c r="C3301" s="70"/>
      <c r="D3301" s="70"/>
      <c r="E3301" s="70"/>
      <c r="F3301" s="70"/>
      <c r="G3301" s="70"/>
      <c r="H3301" s="93"/>
      <c r="I3301" s="85"/>
      <c r="J3301" s="85"/>
      <c r="K3301" s="131"/>
      <c r="L3301" s="60"/>
      <c r="M3301" s="49"/>
      <c r="Q3301" s="3"/>
      <c r="R3301" s="3"/>
      <c r="S3301" s="3"/>
      <c r="T3301" s="3"/>
      <c r="U3301" s="3"/>
      <c r="V3301" s="3"/>
      <c r="W3301" s="3"/>
      <c r="X3301" s="3"/>
      <c r="Y3301" s="3"/>
      <c r="Z3301" s="4"/>
      <c r="AA3301"/>
      <c r="AB3301"/>
    </row>
    <row r="3302" spans="1:28" s="37" customFormat="1" x14ac:dyDescent="0.15">
      <c r="A3302" s="166"/>
      <c r="B3302" s="93"/>
      <c r="C3302" s="70"/>
      <c r="D3302" s="70"/>
      <c r="E3302" s="70"/>
      <c r="F3302" s="70"/>
      <c r="G3302" s="70"/>
      <c r="H3302" s="93"/>
      <c r="I3302" s="85"/>
      <c r="J3302" s="85"/>
      <c r="K3302" s="141"/>
      <c r="L3302" s="60"/>
      <c r="M3302" s="35"/>
      <c r="Q3302" s="3"/>
      <c r="R3302" s="3"/>
      <c r="S3302" s="3"/>
      <c r="T3302" s="3"/>
      <c r="U3302" s="3"/>
      <c r="V3302" s="3"/>
      <c r="W3302" s="3"/>
      <c r="X3302" s="3"/>
      <c r="Y3302" s="3"/>
      <c r="Z3302" s="4"/>
      <c r="AA3302"/>
      <c r="AB3302"/>
    </row>
    <row r="3303" spans="1:28" s="37" customFormat="1" x14ac:dyDescent="0.15">
      <c r="A3303" s="166"/>
      <c r="B3303" s="93"/>
      <c r="C3303" s="70"/>
      <c r="D3303" s="70"/>
      <c r="E3303" s="70"/>
      <c r="F3303" s="70"/>
      <c r="G3303" s="70"/>
      <c r="H3303" s="93"/>
      <c r="I3303" s="85"/>
      <c r="J3303" s="85"/>
      <c r="K3303" s="131"/>
      <c r="L3303" s="60"/>
      <c r="M3303" s="49"/>
      <c r="Q3303" s="3"/>
      <c r="R3303" s="3"/>
      <c r="S3303" s="3"/>
      <c r="T3303" s="3"/>
      <c r="U3303" s="3"/>
      <c r="V3303" s="3"/>
      <c r="W3303" s="3"/>
      <c r="X3303" s="3"/>
      <c r="Y3303" s="3"/>
      <c r="Z3303" s="4"/>
      <c r="AA3303"/>
      <c r="AB3303"/>
    </row>
    <row r="3304" spans="1:28" s="37" customFormat="1" x14ac:dyDescent="0.15">
      <c r="A3304" s="166"/>
      <c r="B3304" s="93"/>
      <c r="C3304" s="70"/>
      <c r="D3304" s="70"/>
      <c r="E3304" s="70"/>
      <c r="F3304" s="70"/>
      <c r="G3304" s="70"/>
      <c r="H3304" s="93"/>
      <c r="I3304" s="85"/>
      <c r="J3304" s="85"/>
      <c r="K3304" s="142"/>
      <c r="L3304" s="60"/>
      <c r="M3304" s="35"/>
      <c r="Q3304" s="3"/>
      <c r="R3304" s="3"/>
      <c r="S3304" s="3"/>
      <c r="T3304" s="3"/>
      <c r="U3304" s="3"/>
      <c r="V3304" s="3"/>
      <c r="W3304" s="3"/>
      <c r="X3304" s="3"/>
      <c r="Y3304" s="3"/>
      <c r="Z3304" s="4"/>
      <c r="AA3304"/>
      <c r="AB3304"/>
    </row>
    <row r="3305" spans="1:28" s="37" customFormat="1" x14ac:dyDescent="0.15">
      <c r="A3305" s="166"/>
      <c r="B3305" s="93"/>
      <c r="C3305" s="70"/>
      <c r="D3305" s="70"/>
      <c r="E3305" s="70"/>
      <c r="F3305" s="70"/>
      <c r="G3305" s="70"/>
      <c r="H3305" s="93"/>
      <c r="I3305" s="85"/>
      <c r="J3305" s="85"/>
      <c r="K3305" s="141"/>
      <c r="L3305" s="60"/>
      <c r="Q3305" s="3"/>
      <c r="R3305" s="3"/>
      <c r="S3305" s="3"/>
      <c r="T3305" s="3"/>
      <c r="U3305" s="3"/>
      <c r="V3305" s="3"/>
      <c r="W3305" s="3"/>
      <c r="X3305" s="3"/>
      <c r="Y3305" s="3"/>
      <c r="Z3305" s="4"/>
      <c r="AA3305"/>
      <c r="AB3305"/>
    </row>
    <row r="3306" spans="1:28" s="37" customFormat="1" x14ac:dyDescent="0.15">
      <c r="A3306" s="166"/>
      <c r="B3306" s="93"/>
      <c r="C3306" s="70"/>
      <c r="D3306" s="70"/>
      <c r="E3306" s="70"/>
      <c r="F3306" s="70"/>
      <c r="G3306" s="70"/>
      <c r="H3306" s="93"/>
      <c r="I3306" s="85"/>
      <c r="J3306" s="85"/>
      <c r="K3306" s="131"/>
      <c r="L3306" s="60"/>
      <c r="M3306" s="49"/>
      <c r="Q3306" s="3"/>
      <c r="R3306" s="3"/>
      <c r="S3306" s="3"/>
      <c r="T3306" s="3"/>
      <c r="U3306" s="3"/>
      <c r="V3306" s="3"/>
      <c r="W3306" s="3"/>
      <c r="X3306" s="3"/>
      <c r="Y3306" s="3"/>
      <c r="Z3306" s="4"/>
      <c r="AA3306"/>
      <c r="AB3306"/>
    </row>
    <row r="3307" spans="1:28" s="37" customFormat="1" x14ac:dyDescent="0.15">
      <c r="A3307" s="166"/>
      <c r="B3307" s="82"/>
      <c r="C3307" s="70"/>
      <c r="D3307" s="70"/>
      <c r="E3307" s="70"/>
      <c r="F3307" s="70"/>
      <c r="G3307" s="70"/>
      <c r="H3307" s="93"/>
      <c r="I3307" s="85"/>
      <c r="J3307" s="85"/>
      <c r="K3307" s="131"/>
      <c r="L3307" s="60"/>
      <c r="M3307" s="33"/>
      <c r="N3307" s="32"/>
      <c r="Q3307" s="3"/>
      <c r="R3307" s="3"/>
      <c r="S3307" s="3"/>
      <c r="T3307" s="3"/>
      <c r="U3307" s="3"/>
      <c r="V3307" s="3"/>
      <c r="W3307" s="3"/>
      <c r="X3307" s="3"/>
      <c r="Y3307" s="3"/>
      <c r="Z3307" s="4"/>
      <c r="AA3307"/>
      <c r="AB3307"/>
    </row>
    <row r="3308" spans="1:28" s="37" customFormat="1" x14ac:dyDescent="0.15">
      <c r="A3308" s="166"/>
      <c r="B3308" s="93"/>
      <c r="C3308" s="70"/>
      <c r="D3308" s="70"/>
      <c r="E3308" s="70"/>
      <c r="F3308" s="70"/>
      <c r="G3308" s="70"/>
      <c r="H3308" s="93"/>
      <c r="I3308" s="85"/>
      <c r="J3308" s="85"/>
      <c r="K3308" s="131"/>
      <c r="L3308" s="60"/>
      <c r="M3308" s="33"/>
      <c r="Q3308" s="3"/>
      <c r="R3308" s="3"/>
      <c r="S3308" s="3"/>
      <c r="T3308" s="3"/>
      <c r="U3308" s="3"/>
      <c r="V3308" s="3"/>
      <c r="W3308" s="3"/>
      <c r="X3308" s="3"/>
      <c r="Y3308" s="3"/>
      <c r="Z3308" s="4"/>
      <c r="AA3308"/>
      <c r="AB3308"/>
    </row>
    <row r="3309" spans="1:28" s="37" customFormat="1" x14ac:dyDescent="0.15">
      <c r="A3309" s="166"/>
      <c r="B3309" s="93"/>
      <c r="C3309" s="70"/>
      <c r="D3309" s="70"/>
      <c r="E3309" s="70"/>
      <c r="F3309" s="70"/>
      <c r="G3309" s="70"/>
      <c r="H3309" s="93"/>
      <c r="I3309" s="85"/>
      <c r="J3309" s="85"/>
      <c r="K3309" s="131"/>
      <c r="L3309" s="60"/>
      <c r="M3309" s="49"/>
      <c r="Q3309" s="3"/>
      <c r="R3309" s="3"/>
      <c r="S3309" s="3"/>
      <c r="T3309" s="3"/>
      <c r="U3309" s="3"/>
      <c r="V3309" s="3"/>
      <c r="W3309" s="3"/>
      <c r="X3309" s="3"/>
      <c r="Y3309" s="3"/>
      <c r="Z3309" s="4"/>
      <c r="AA3309"/>
      <c r="AB3309"/>
    </row>
    <row r="3310" spans="1:28" s="37" customFormat="1" x14ac:dyDescent="0.15">
      <c r="A3310" s="166"/>
      <c r="B3310" s="93"/>
      <c r="C3310" s="70"/>
      <c r="D3310" s="70"/>
      <c r="E3310" s="70"/>
      <c r="F3310" s="70"/>
      <c r="G3310" s="70"/>
      <c r="H3310" s="93"/>
      <c r="I3310" s="85"/>
      <c r="J3310" s="85"/>
      <c r="K3310" s="141"/>
      <c r="L3310" s="60"/>
      <c r="Q3310" s="3"/>
      <c r="R3310" s="3"/>
      <c r="S3310" s="3"/>
      <c r="T3310" s="3"/>
      <c r="U3310" s="3"/>
      <c r="V3310" s="3"/>
      <c r="W3310" s="3"/>
      <c r="X3310" s="3"/>
      <c r="Y3310" s="3"/>
      <c r="Z3310" s="4"/>
      <c r="AA3310"/>
      <c r="AB3310"/>
    </row>
    <row r="3311" spans="1:28" s="37" customFormat="1" x14ac:dyDescent="0.15">
      <c r="A3311" s="166"/>
      <c r="B3311" s="93"/>
      <c r="C3311" s="70"/>
      <c r="D3311" s="70"/>
      <c r="E3311" s="70"/>
      <c r="F3311" s="70"/>
      <c r="G3311" s="70"/>
      <c r="H3311" s="93"/>
      <c r="I3311" s="85"/>
      <c r="J3311" s="85"/>
      <c r="K3311" s="141"/>
      <c r="L3311" s="60"/>
      <c r="Q3311" s="3"/>
      <c r="R3311" s="3"/>
      <c r="S3311" s="3"/>
      <c r="T3311" s="3"/>
      <c r="U3311" s="3"/>
      <c r="V3311" s="3"/>
      <c r="W3311" s="3"/>
      <c r="X3311" s="3"/>
      <c r="Y3311" s="3"/>
      <c r="Z3311" s="4"/>
      <c r="AA3311"/>
      <c r="AB3311"/>
    </row>
    <row r="3312" spans="1:28" s="37" customFormat="1" x14ac:dyDescent="0.15">
      <c r="A3312" s="166"/>
      <c r="B3312" s="93"/>
      <c r="C3312" s="70"/>
      <c r="D3312" s="70"/>
      <c r="E3312" s="70"/>
      <c r="F3312" s="70"/>
      <c r="G3312" s="70"/>
      <c r="H3312" s="93"/>
      <c r="I3312" s="85"/>
      <c r="J3312" s="85"/>
      <c r="K3312" s="131"/>
      <c r="L3312" s="60"/>
      <c r="M3312" s="49"/>
      <c r="Q3312" s="3"/>
      <c r="R3312" s="3"/>
      <c r="S3312" s="3"/>
      <c r="T3312" s="3"/>
      <c r="U3312" s="3"/>
      <c r="V3312" s="3"/>
      <c r="W3312" s="3"/>
      <c r="X3312" s="3"/>
      <c r="Y3312" s="3"/>
      <c r="Z3312" s="4"/>
      <c r="AA3312"/>
      <c r="AB3312"/>
    </row>
    <row r="3313" spans="1:28" s="37" customFormat="1" ht="16" x14ac:dyDescent="0.2">
      <c r="A3313" s="166"/>
      <c r="B3313" s="93"/>
      <c r="C3313" s="70"/>
      <c r="D3313" s="70"/>
      <c r="E3313" s="70"/>
      <c r="F3313" s="70"/>
      <c r="G3313" s="70"/>
      <c r="H3313" s="93"/>
      <c r="I3313" s="85"/>
      <c r="J3313" s="85"/>
      <c r="K3313" s="141"/>
      <c r="L3313" s="60"/>
      <c r="N3313" s="48"/>
      <c r="Q3313" s="3"/>
      <c r="R3313" s="3"/>
      <c r="S3313" s="3"/>
      <c r="T3313" s="3"/>
      <c r="U3313" s="3"/>
      <c r="V3313" s="3"/>
      <c r="W3313" s="3"/>
      <c r="X3313" s="3"/>
      <c r="Y3313" s="3"/>
      <c r="Z3313" s="4"/>
      <c r="AA3313"/>
      <c r="AB3313"/>
    </row>
    <row r="3314" spans="1:28" s="37" customFormat="1" x14ac:dyDescent="0.15">
      <c r="A3314" s="166"/>
      <c r="B3314" s="93"/>
      <c r="C3314" s="70"/>
      <c r="D3314" s="70"/>
      <c r="E3314" s="70"/>
      <c r="F3314" s="70"/>
      <c r="G3314" s="70"/>
      <c r="H3314" s="93"/>
      <c r="I3314" s="85"/>
      <c r="J3314" s="85"/>
      <c r="K3314" s="141"/>
      <c r="L3314" s="60"/>
      <c r="M3314" s="35"/>
      <c r="Q3314" s="3"/>
      <c r="R3314" s="3"/>
      <c r="S3314" s="3"/>
      <c r="T3314" s="3"/>
      <c r="U3314" s="3"/>
      <c r="V3314" s="3"/>
      <c r="W3314" s="3"/>
      <c r="X3314" s="3"/>
      <c r="Y3314" s="3"/>
      <c r="Z3314" s="4"/>
      <c r="AA3314"/>
      <c r="AB3314"/>
    </row>
    <row r="3315" spans="1:28" s="37" customFormat="1" x14ac:dyDescent="0.15">
      <c r="A3315" s="166"/>
      <c r="B3315" s="93"/>
      <c r="C3315" s="70"/>
      <c r="D3315" s="70"/>
      <c r="E3315" s="70"/>
      <c r="F3315" s="70"/>
      <c r="G3315" s="70"/>
      <c r="H3315" s="93"/>
      <c r="I3315" s="85"/>
      <c r="J3315" s="85"/>
      <c r="K3315" s="141"/>
      <c r="L3315" s="60"/>
      <c r="M3315" s="35"/>
      <c r="Q3315" s="3"/>
      <c r="R3315" s="3"/>
      <c r="S3315" s="3"/>
      <c r="T3315" s="3"/>
      <c r="U3315" s="3"/>
      <c r="V3315" s="3"/>
      <c r="W3315" s="3"/>
      <c r="X3315" s="3"/>
      <c r="Y3315" s="3"/>
      <c r="Z3315" s="4"/>
      <c r="AA3315"/>
      <c r="AB3315"/>
    </row>
    <row r="3316" spans="1:28" s="37" customFormat="1" x14ac:dyDescent="0.15">
      <c r="A3316" s="166"/>
      <c r="B3316" s="93"/>
      <c r="C3316" s="70"/>
      <c r="D3316" s="70"/>
      <c r="E3316" s="70"/>
      <c r="F3316" s="70"/>
      <c r="G3316" s="70"/>
      <c r="H3316" s="93"/>
      <c r="I3316" s="85"/>
      <c r="J3316" s="85"/>
      <c r="K3316" s="141"/>
      <c r="L3316" s="60"/>
      <c r="M3316" s="35"/>
      <c r="Q3316" s="3"/>
      <c r="R3316" s="3"/>
      <c r="S3316" s="3"/>
      <c r="T3316" s="3"/>
      <c r="U3316" s="3"/>
      <c r="V3316" s="3"/>
      <c r="W3316" s="3"/>
      <c r="X3316" s="3"/>
      <c r="Y3316" s="3"/>
      <c r="Z3316" s="4"/>
      <c r="AA3316"/>
      <c r="AB3316"/>
    </row>
    <row r="3317" spans="1:28" s="37" customFormat="1" x14ac:dyDescent="0.15">
      <c r="A3317" s="166"/>
      <c r="B3317" s="93"/>
      <c r="C3317" s="70"/>
      <c r="D3317" s="70"/>
      <c r="E3317" s="70"/>
      <c r="F3317" s="70"/>
      <c r="G3317" s="70"/>
      <c r="H3317" s="93"/>
      <c r="I3317" s="85"/>
      <c r="J3317" s="85"/>
      <c r="K3317" s="141"/>
      <c r="L3317" s="60"/>
      <c r="Q3317" s="3"/>
      <c r="R3317" s="3"/>
      <c r="S3317" s="3"/>
      <c r="T3317" s="3"/>
      <c r="U3317" s="3"/>
      <c r="V3317" s="3"/>
      <c r="W3317" s="3"/>
      <c r="X3317" s="3"/>
      <c r="Y3317" s="3"/>
      <c r="Z3317" s="4"/>
      <c r="AA3317"/>
      <c r="AB3317"/>
    </row>
    <row r="3318" spans="1:28" s="37" customFormat="1" x14ac:dyDescent="0.15">
      <c r="A3318" s="166"/>
      <c r="B3318" s="93"/>
      <c r="C3318" s="70"/>
      <c r="D3318" s="70"/>
      <c r="E3318" s="70"/>
      <c r="F3318" s="70"/>
      <c r="G3318" s="70"/>
      <c r="H3318" s="93"/>
      <c r="I3318" s="85"/>
      <c r="J3318" s="85"/>
      <c r="K3318" s="141"/>
      <c r="L3318" s="60"/>
      <c r="Q3318" s="3"/>
      <c r="R3318" s="3"/>
      <c r="S3318" s="3"/>
      <c r="T3318" s="3"/>
      <c r="U3318" s="3"/>
      <c r="V3318" s="3"/>
      <c r="W3318" s="3"/>
      <c r="X3318" s="3"/>
      <c r="Y3318" s="3"/>
      <c r="Z3318" s="4"/>
      <c r="AA3318"/>
      <c r="AB3318"/>
    </row>
    <row r="3319" spans="1:28" s="37" customFormat="1" x14ac:dyDescent="0.15">
      <c r="A3319" s="166"/>
      <c r="B3319" s="93"/>
      <c r="C3319" s="70"/>
      <c r="D3319" s="70"/>
      <c r="E3319" s="70"/>
      <c r="F3319" s="70"/>
      <c r="G3319" s="70"/>
      <c r="H3319" s="93"/>
      <c r="I3319" s="85"/>
      <c r="J3319" s="85"/>
      <c r="K3319" s="141"/>
      <c r="L3319" s="60"/>
      <c r="Q3319" s="3"/>
      <c r="R3319" s="3"/>
      <c r="S3319" s="3"/>
      <c r="T3319" s="3"/>
      <c r="U3319" s="3"/>
      <c r="V3319" s="3"/>
      <c r="W3319" s="3"/>
      <c r="X3319" s="3"/>
      <c r="Y3319" s="3"/>
      <c r="Z3319" s="4"/>
      <c r="AA3319"/>
      <c r="AB3319"/>
    </row>
    <row r="3320" spans="1:28" s="37" customFormat="1" x14ac:dyDescent="0.15">
      <c r="A3320" s="166"/>
      <c r="B3320" s="93"/>
      <c r="C3320" s="70"/>
      <c r="D3320" s="70"/>
      <c r="E3320" s="70"/>
      <c r="F3320" s="70"/>
      <c r="G3320" s="70"/>
      <c r="H3320" s="93"/>
      <c r="I3320" s="85"/>
      <c r="J3320" s="85"/>
      <c r="K3320" s="141"/>
      <c r="L3320" s="60"/>
      <c r="Q3320" s="3"/>
      <c r="R3320" s="3"/>
      <c r="S3320" s="3"/>
      <c r="T3320" s="3"/>
      <c r="U3320" s="3"/>
      <c r="V3320" s="3"/>
      <c r="W3320" s="3"/>
      <c r="X3320" s="3"/>
      <c r="Y3320" s="3"/>
      <c r="Z3320" s="4"/>
      <c r="AA3320"/>
      <c r="AB3320"/>
    </row>
    <row r="3321" spans="1:28" s="37" customFormat="1" x14ac:dyDescent="0.15">
      <c r="A3321" s="166"/>
      <c r="B3321" s="93"/>
      <c r="C3321" s="70"/>
      <c r="D3321" s="70"/>
      <c r="E3321" s="70"/>
      <c r="F3321" s="70"/>
      <c r="G3321" s="70"/>
      <c r="H3321" s="93"/>
      <c r="I3321" s="85"/>
      <c r="J3321" s="85"/>
      <c r="K3321" s="131"/>
      <c r="L3321" s="60"/>
      <c r="Q3321" s="3"/>
      <c r="R3321" s="3"/>
      <c r="S3321" s="3"/>
      <c r="T3321" s="3"/>
      <c r="U3321" s="3"/>
      <c r="V3321" s="3"/>
      <c r="W3321" s="3"/>
      <c r="X3321" s="3"/>
      <c r="Y3321" s="3"/>
      <c r="Z3321" s="4"/>
      <c r="AA3321"/>
      <c r="AB3321"/>
    </row>
    <row r="3322" spans="1:28" s="37" customFormat="1" x14ac:dyDescent="0.15">
      <c r="A3322" s="166"/>
      <c r="B3322" s="93"/>
      <c r="C3322" s="70"/>
      <c r="D3322" s="70"/>
      <c r="E3322" s="70"/>
      <c r="F3322" s="70"/>
      <c r="G3322" s="70"/>
      <c r="H3322" s="93"/>
      <c r="I3322" s="85"/>
      <c r="J3322" s="85"/>
      <c r="K3322" s="131"/>
      <c r="L3322" s="60"/>
      <c r="Q3322" s="3"/>
      <c r="R3322" s="3"/>
      <c r="S3322" s="3"/>
      <c r="T3322" s="3"/>
      <c r="U3322" s="3"/>
      <c r="V3322" s="3"/>
      <c r="W3322" s="3"/>
      <c r="X3322" s="3"/>
      <c r="Y3322" s="3"/>
      <c r="Z3322" s="4"/>
      <c r="AA3322"/>
      <c r="AB3322"/>
    </row>
    <row r="3323" spans="1:28" s="37" customFormat="1" x14ac:dyDescent="0.15">
      <c r="A3323" s="166"/>
      <c r="B3323" s="93"/>
      <c r="C3323" s="70"/>
      <c r="D3323" s="70"/>
      <c r="E3323" s="70"/>
      <c r="F3323" s="70"/>
      <c r="G3323" s="70"/>
      <c r="H3323" s="93"/>
      <c r="I3323" s="85"/>
      <c r="J3323" s="85"/>
      <c r="K3323" s="141"/>
      <c r="L3323" s="60"/>
      <c r="Q3323" s="3"/>
      <c r="R3323" s="3"/>
      <c r="S3323" s="3"/>
      <c r="T3323" s="3"/>
      <c r="U3323" s="3"/>
      <c r="V3323" s="3"/>
      <c r="W3323" s="3"/>
      <c r="X3323" s="3"/>
      <c r="Y3323" s="3"/>
      <c r="Z3323" s="4"/>
      <c r="AA3323"/>
      <c r="AB3323"/>
    </row>
    <row r="3324" spans="1:28" s="37" customFormat="1" x14ac:dyDescent="0.15">
      <c r="A3324" s="166"/>
      <c r="B3324" s="93"/>
      <c r="C3324" s="70"/>
      <c r="D3324" s="70"/>
      <c r="E3324" s="70"/>
      <c r="F3324" s="70"/>
      <c r="G3324" s="70"/>
      <c r="H3324" s="93"/>
      <c r="I3324" s="85"/>
      <c r="J3324" s="85"/>
      <c r="K3324" s="131"/>
      <c r="L3324" s="60"/>
      <c r="M3324" s="49"/>
      <c r="Q3324" s="3"/>
      <c r="R3324" s="3"/>
      <c r="S3324" s="3"/>
      <c r="T3324" s="3"/>
      <c r="U3324" s="3"/>
      <c r="V3324" s="3"/>
      <c r="W3324" s="3"/>
      <c r="X3324" s="3"/>
      <c r="Y3324" s="3"/>
      <c r="Z3324" s="4"/>
      <c r="AA3324"/>
      <c r="AB3324"/>
    </row>
    <row r="3325" spans="1:28" s="37" customFormat="1" x14ac:dyDescent="0.15">
      <c r="A3325" s="166"/>
      <c r="B3325" s="93"/>
      <c r="C3325" s="70"/>
      <c r="D3325" s="70"/>
      <c r="E3325" s="70"/>
      <c r="F3325" s="70"/>
      <c r="G3325" s="70"/>
      <c r="H3325" s="93"/>
      <c r="I3325" s="85"/>
      <c r="J3325" s="85"/>
      <c r="K3325" s="141"/>
      <c r="L3325" s="60"/>
      <c r="Q3325" s="3"/>
      <c r="R3325" s="3"/>
      <c r="S3325" s="3"/>
      <c r="T3325" s="3"/>
      <c r="U3325" s="3"/>
      <c r="V3325" s="3"/>
      <c r="W3325" s="3"/>
      <c r="X3325" s="3"/>
      <c r="Y3325" s="3"/>
      <c r="Z3325" s="4"/>
      <c r="AA3325"/>
      <c r="AB3325"/>
    </row>
    <row r="3326" spans="1:28" s="37" customFormat="1" x14ac:dyDescent="0.15">
      <c r="A3326" s="166"/>
      <c r="B3326" s="93"/>
      <c r="C3326" s="70"/>
      <c r="D3326" s="70"/>
      <c r="E3326" s="70"/>
      <c r="F3326" s="70"/>
      <c r="G3326" s="70"/>
      <c r="H3326" s="93"/>
      <c r="I3326" s="85"/>
      <c r="J3326" s="85"/>
      <c r="K3326" s="135"/>
      <c r="L3326" s="60"/>
      <c r="Q3326" s="3"/>
      <c r="R3326" s="3"/>
      <c r="S3326" s="3"/>
      <c r="T3326" s="3"/>
      <c r="U3326" s="3"/>
      <c r="V3326" s="3"/>
      <c r="W3326" s="3"/>
      <c r="X3326" s="3"/>
      <c r="Y3326" s="3"/>
      <c r="Z3326" s="4"/>
      <c r="AA3326"/>
      <c r="AB3326"/>
    </row>
    <row r="3327" spans="1:28" s="37" customFormat="1" x14ac:dyDescent="0.15">
      <c r="A3327" s="166"/>
      <c r="B3327" s="93"/>
      <c r="C3327" s="70"/>
      <c r="D3327" s="70"/>
      <c r="E3327" s="70"/>
      <c r="F3327" s="70"/>
      <c r="G3327" s="70"/>
      <c r="H3327" s="93"/>
      <c r="I3327" s="85"/>
      <c r="J3327" s="85"/>
      <c r="K3327" s="131"/>
      <c r="L3327" s="60"/>
      <c r="M3327" s="49"/>
      <c r="Q3327" s="3"/>
      <c r="R3327" s="3"/>
      <c r="S3327" s="3"/>
      <c r="T3327" s="3"/>
      <c r="U3327" s="3"/>
      <c r="V3327" s="3"/>
      <c r="W3327" s="3"/>
      <c r="X3327" s="3"/>
      <c r="Y3327" s="3"/>
      <c r="Z3327" s="4"/>
      <c r="AA3327"/>
      <c r="AB3327"/>
    </row>
    <row r="3328" spans="1:28" s="37" customFormat="1" x14ac:dyDescent="0.15">
      <c r="A3328" s="166"/>
      <c r="B3328" s="93"/>
      <c r="C3328" s="70"/>
      <c r="D3328" s="70"/>
      <c r="E3328" s="70"/>
      <c r="F3328" s="70"/>
      <c r="G3328" s="70"/>
      <c r="H3328" s="93"/>
      <c r="I3328" s="85"/>
      <c r="J3328" s="85"/>
      <c r="K3328" s="141"/>
      <c r="L3328" s="60"/>
      <c r="M3328" s="35"/>
      <c r="Q3328" s="3"/>
      <c r="R3328" s="3"/>
      <c r="S3328" s="3"/>
      <c r="T3328" s="3"/>
      <c r="U3328" s="3"/>
      <c r="V3328" s="3"/>
      <c r="W3328" s="3"/>
      <c r="X3328" s="3"/>
      <c r="Y3328" s="3"/>
      <c r="Z3328" s="4"/>
      <c r="AA3328"/>
      <c r="AB3328"/>
    </row>
    <row r="3329" spans="1:28" s="37" customFormat="1" x14ac:dyDescent="0.15">
      <c r="A3329" s="166"/>
      <c r="B3329" s="82"/>
      <c r="C3329" s="70"/>
      <c r="D3329" s="70"/>
      <c r="E3329" s="70"/>
      <c r="F3329" s="70"/>
      <c r="G3329" s="70"/>
      <c r="H3329" s="93"/>
      <c r="I3329" s="85"/>
      <c r="J3329" s="85"/>
      <c r="K3329" s="131"/>
      <c r="L3329" s="60"/>
      <c r="M3329" s="33"/>
      <c r="Q3329" s="3"/>
      <c r="R3329" s="3"/>
      <c r="S3329" s="3"/>
      <c r="T3329" s="3"/>
      <c r="U3329" s="3"/>
      <c r="V3329" s="3"/>
      <c r="W3329" s="3"/>
      <c r="X3329" s="3"/>
      <c r="Y3329" s="3"/>
      <c r="Z3329" s="4"/>
      <c r="AA3329"/>
      <c r="AB3329"/>
    </row>
    <row r="3330" spans="1:28" s="37" customFormat="1" x14ac:dyDescent="0.15">
      <c r="A3330" s="166"/>
      <c r="B3330" s="82"/>
      <c r="C3330" s="70"/>
      <c r="D3330" s="70"/>
      <c r="E3330" s="70"/>
      <c r="F3330" s="70"/>
      <c r="G3330" s="70"/>
      <c r="H3330" s="93"/>
      <c r="I3330" s="85"/>
      <c r="J3330" s="85"/>
      <c r="K3330" s="131"/>
      <c r="L3330" s="60"/>
      <c r="M3330" s="33"/>
      <c r="Q3330" s="3"/>
      <c r="R3330" s="3"/>
      <c r="S3330" s="3"/>
      <c r="T3330" s="3"/>
      <c r="U3330" s="3"/>
      <c r="V3330" s="3"/>
      <c r="W3330" s="3"/>
      <c r="X3330" s="3"/>
      <c r="Y3330" s="3"/>
      <c r="Z3330" s="4"/>
      <c r="AA3330"/>
      <c r="AB3330"/>
    </row>
    <row r="3331" spans="1:28" s="37" customFormat="1" x14ac:dyDescent="0.15">
      <c r="A3331" s="166"/>
      <c r="B3331" s="93"/>
      <c r="C3331" s="70"/>
      <c r="D3331" s="70"/>
      <c r="E3331" s="70"/>
      <c r="F3331" s="70"/>
      <c r="G3331" s="70"/>
      <c r="H3331" s="93"/>
      <c r="I3331" s="85"/>
      <c r="J3331" s="85"/>
      <c r="K3331" s="142"/>
      <c r="L3331" s="60"/>
      <c r="Q3331" s="3"/>
      <c r="R3331" s="3"/>
      <c r="S3331" s="3"/>
      <c r="T3331" s="3"/>
      <c r="U3331" s="3"/>
      <c r="V3331" s="3"/>
      <c r="W3331" s="3"/>
      <c r="X3331" s="3"/>
      <c r="Y3331" s="3"/>
      <c r="Z3331" s="4"/>
      <c r="AA3331"/>
      <c r="AB3331"/>
    </row>
    <row r="3332" spans="1:28" s="37" customFormat="1" x14ac:dyDescent="0.15">
      <c r="A3332" s="166"/>
      <c r="B3332" s="93"/>
      <c r="C3332" s="70"/>
      <c r="D3332" s="70"/>
      <c r="E3332" s="70"/>
      <c r="F3332" s="70"/>
      <c r="G3332" s="70"/>
      <c r="H3332" s="93"/>
      <c r="I3332" s="85"/>
      <c r="J3332" s="85"/>
      <c r="K3332" s="142"/>
      <c r="L3332" s="60"/>
      <c r="Q3332" s="3"/>
      <c r="R3332" s="3"/>
      <c r="S3332" s="3"/>
      <c r="T3332" s="3"/>
      <c r="U3332" s="3"/>
      <c r="V3332" s="3"/>
      <c r="W3332" s="3"/>
      <c r="X3332" s="3"/>
      <c r="Y3332" s="3"/>
      <c r="Z3332" s="4"/>
      <c r="AA3332"/>
      <c r="AB3332"/>
    </row>
    <row r="3333" spans="1:28" s="37" customFormat="1" x14ac:dyDescent="0.15">
      <c r="A3333" s="166"/>
      <c r="B3333" s="93"/>
      <c r="C3333" s="70"/>
      <c r="D3333" s="70"/>
      <c r="E3333" s="70"/>
      <c r="F3333" s="70"/>
      <c r="G3333" s="70"/>
      <c r="H3333" s="93"/>
      <c r="I3333" s="85"/>
      <c r="J3333" s="85"/>
      <c r="K3333" s="142"/>
      <c r="L3333" s="60"/>
      <c r="Q3333" s="3"/>
      <c r="R3333" s="3"/>
      <c r="S3333" s="3"/>
      <c r="T3333" s="3"/>
      <c r="U3333" s="3"/>
      <c r="V3333" s="3"/>
      <c r="W3333" s="3"/>
      <c r="X3333" s="3"/>
      <c r="Y3333" s="3"/>
      <c r="Z3333" s="4"/>
      <c r="AA3333"/>
      <c r="AB3333"/>
    </row>
    <row r="3334" spans="1:28" s="37" customFormat="1" x14ac:dyDescent="0.15">
      <c r="A3334" s="166"/>
      <c r="B3334" s="93"/>
      <c r="C3334" s="70"/>
      <c r="D3334" s="70"/>
      <c r="E3334" s="70"/>
      <c r="F3334" s="70"/>
      <c r="G3334" s="70"/>
      <c r="H3334" s="93"/>
      <c r="I3334" s="85"/>
      <c r="J3334" s="85"/>
      <c r="K3334" s="142"/>
      <c r="L3334" s="60"/>
      <c r="Q3334" s="3"/>
      <c r="R3334" s="3"/>
      <c r="S3334" s="3"/>
      <c r="T3334" s="3"/>
      <c r="U3334" s="3"/>
      <c r="V3334" s="3"/>
      <c r="W3334" s="3"/>
      <c r="X3334" s="3"/>
      <c r="Y3334" s="3"/>
      <c r="Z3334" s="4"/>
      <c r="AA3334"/>
      <c r="AB3334"/>
    </row>
    <row r="3335" spans="1:28" s="37" customFormat="1" x14ac:dyDescent="0.15">
      <c r="A3335" s="166"/>
      <c r="B3335" s="93"/>
      <c r="C3335" s="70"/>
      <c r="D3335" s="70"/>
      <c r="E3335" s="70"/>
      <c r="F3335" s="70"/>
      <c r="G3335" s="70"/>
      <c r="H3335" s="93"/>
      <c r="I3335" s="85"/>
      <c r="J3335" s="85"/>
      <c r="K3335" s="131"/>
      <c r="L3335" s="60"/>
      <c r="M3335" s="49"/>
      <c r="Q3335" s="3"/>
      <c r="R3335" s="3"/>
      <c r="S3335" s="3"/>
      <c r="T3335" s="3"/>
      <c r="U3335" s="3"/>
      <c r="V3335" s="3"/>
      <c r="W3335" s="3"/>
      <c r="X3335" s="3"/>
      <c r="Y3335" s="3"/>
      <c r="Z3335" s="4"/>
      <c r="AA3335"/>
      <c r="AB3335"/>
    </row>
    <row r="3336" spans="1:28" s="37" customFormat="1" x14ac:dyDescent="0.15">
      <c r="A3336" s="166"/>
      <c r="B3336" s="93"/>
      <c r="C3336" s="70"/>
      <c r="D3336" s="70"/>
      <c r="E3336" s="70"/>
      <c r="F3336" s="70"/>
      <c r="G3336" s="70"/>
      <c r="H3336" s="93"/>
      <c r="I3336" s="85"/>
      <c r="J3336" s="85"/>
      <c r="K3336" s="131"/>
      <c r="L3336" s="60"/>
      <c r="M3336" s="49"/>
      <c r="Q3336" s="3"/>
      <c r="R3336" s="3"/>
      <c r="S3336" s="3"/>
      <c r="T3336" s="3"/>
      <c r="U3336" s="3"/>
      <c r="V3336" s="3"/>
      <c r="W3336" s="3"/>
      <c r="X3336" s="3"/>
      <c r="Y3336" s="3"/>
      <c r="Z3336" s="4"/>
      <c r="AA3336"/>
      <c r="AB3336"/>
    </row>
    <row r="3337" spans="1:28" s="37" customFormat="1" x14ac:dyDescent="0.15">
      <c r="A3337" s="166"/>
      <c r="B3337" s="93"/>
      <c r="C3337" s="70"/>
      <c r="D3337" s="70"/>
      <c r="E3337" s="70"/>
      <c r="F3337" s="70"/>
      <c r="G3337" s="70"/>
      <c r="H3337" s="93"/>
      <c r="I3337" s="85"/>
      <c r="J3337" s="85"/>
      <c r="K3337" s="142"/>
      <c r="L3337" s="60"/>
      <c r="Q3337" s="3"/>
      <c r="R3337" s="3"/>
      <c r="S3337" s="3"/>
      <c r="T3337" s="3"/>
      <c r="U3337" s="3"/>
      <c r="V3337" s="3"/>
      <c r="W3337" s="3"/>
      <c r="X3337" s="3"/>
      <c r="Y3337" s="3"/>
      <c r="Z3337" s="4"/>
      <c r="AA3337"/>
      <c r="AB3337"/>
    </row>
    <row r="3338" spans="1:28" s="37" customFormat="1" x14ac:dyDescent="0.15">
      <c r="A3338" s="166"/>
      <c r="B3338" s="93"/>
      <c r="C3338" s="70"/>
      <c r="D3338" s="70"/>
      <c r="E3338" s="70"/>
      <c r="F3338" s="70"/>
      <c r="G3338" s="70"/>
      <c r="H3338" s="93"/>
      <c r="I3338" s="85"/>
      <c r="J3338" s="85"/>
      <c r="K3338" s="142"/>
      <c r="L3338" s="60"/>
      <c r="Q3338" s="3"/>
      <c r="R3338" s="3"/>
      <c r="S3338" s="3"/>
      <c r="T3338" s="3"/>
      <c r="U3338" s="3"/>
      <c r="V3338" s="3"/>
      <c r="W3338" s="3"/>
      <c r="X3338" s="3"/>
      <c r="Y3338" s="3"/>
      <c r="Z3338" s="4"/>
      <c r="AA3338"/>
      <c r="AB3338"/>
    </row>
    <row r="3339" spans="1:28" s="37" customFormat="1" x14ac:dyDescent="0.15">
      <c r="A3339" s="166"/>
      <c r="B3339" s="93"/>
      <c r="C3339" s="70"/>
      <c r="D3339" s="70"/>
      <c r="E3339" s="70"/>
      <c r="F3339" s="70"/>
      <c r="G3339" s="70"/>
      <c r="H3339" s="93"/>
      <c r="I3339" s="85"/>
      <c r="J3339" s="85"/>
      <c r="K3339" s="142"/>
      <c r="L3339" s="60"/>
      <c r="Q3339" s="3"/>
      <c r="R3339" s="3"/>
      <c r="S3339" s="3"/>
      <c r="T3339" s="3"/>
      <c r="U3339" s="3"/>
      <c r="V3339" s="3"/>
      <c r="W3339" s="3"/>
      <c r="X3339" s="3"/>
      <c r="Y3339" s="3"/>
      <c r="Z3339" s="4"/>
      <c r="AA3339"/>
      <c r="AB3339"/>
    </row>
    <row r="3340" spans="1:28" s="37" customFormat="1" x14ac:dyDescent="0.15">
      <c r="A3340" s="166"/>
      <c r="B3340" s="93"/>
      <c r="C3340" s="70"/>
      <c r="D3340" s="70"/>
      <c r="E3340" s="70"/>
      <c r="F3340" s="70"/>
      <c r="G3340" s="70"/>
      <c r="H3340" s="93"/>
      <c r="I3340" s="85"/>
      <c r="J3340" s="85"/>
      <c r="K3340" s="131"/>
      <c r="L3340" s="60"/>
      <c r="M3340" s="33"/>
      <c r="Q3340" s="3"/>
      <c r="R3340" s="3"/>
      <c r="S3340" s="3"/>
      <c r="T3340" s="3"/>
      <c r="U3340" s="3"/>
      <c r="V3340" s="3"/>
      <c r="W3340" s="3"/>
      <c r="X3340" s="3"/>
      <c r="Y3340" s="3"/>
      <c r="Z3340" s="4"/>
      <c r="AA3340"/>
      <c r="AB3340"/>
    </row>
    <row r="3341" spans="1:28" s="37" customFormat="1" x14ac:dyDescent="0.15">
      <c r="A3341" s="166"/>
      <c r="B3341" s="93"/>
      <c r="C3341" s="70"/>
      <c r="D3341" s="70"/>
      <c r="E3341" s="70"/>
      <c r="F3341" s="70"/>
      <c r="G3341" s="70"/>
      <c r="H3341" s="93"/>
      <c r="I3341" s="85"/>
      <c r="J3341" s="85"/>
      <c r="K3341" s="131"/>
      <c r="L3341" s="60"/>
      <c r="M3341" s="33"/>
      <c r="Q3341" s="3"/>
      <c r="R3341" s="3"/>
      <c r="S3341" s="3"/>
      <c r="T3341" s="3"/>
      <c r="U3341" s="3"/>
      <c r="V3341" s="3"/>
      <c r="W3341" s="3"/>
      <c r="X3341" s="3"/>
      <c r="Y3341" s="3"/>
      <c r="Z3341" s="4"/>
      <c r="AA3341"/>
      <c r="AB3341"/>
    </row>
    <row r="3342" spans="1:28" x14ac:dyDescent="0.15">
      <c r="A3342" s="170"/>
      <c r="B3342" s="82"/>
      <c r="C3342" s="83"/>
      <c r="D3342" s="83"/>
      <c r="E3342" s="81"/>
      <c r="F3342" s="83"/>
      <c r="G3342" s="83"/>
      <c r="H3342" s="82"/>
      <c r="I3342" s="85"/>
      <c r="J3342" s="84"/>
      <c r="K3342" s="139"/>
      <c r="L3342" s="72"/>
      <c r="M3342" s="31"/>
    </row>
    <row r="3343" spans="1:28" x14ac:dyDescent="0.15">
      <c r="A3343" s="166"/>
      <c r="B3343" s="93"/>
      <c r="C3343" s="70"/>
      <c r="D3343" s="70"/>
      <c r="E3343" s="70"/>
      <c r="F3343" s="70"/>
      <c r="G3343" s="70"/>
      <c r="H3343" s="93"/>
      <c r="I3343" s="85"/>
      <c r="J3343" s="85"/>
      <c r="K3343" s="131"/>
      <c r="L3343" s="60"/>
    </row>
    <row r="3344" spans="1:28" x14ac:dyDescent="0.15">
      <c r="A3344" s="166"/>
      <c r="B3344" s="93"/>
      <c r="C3344" s="70"/>
      <c r="D3344" s="70"/>
      <c r="E3344" s="70"/>
      <c r="F3344" s="70"/>
      <c r="G3344" s="70"/>
      <c r="H3344" s="93"/>
      <c r="I3344" s="85"/>
      <c r="J3344" s="85"/>
      <c r="K3344" s="131"/>
      <c r="L3344" s="70"/>
    </row>
    <row r="3345" spans="1:28" x14ac:dyDescent="0.15">
      <c r="A3345" s="166"/>
      <c r="B3345" s="82"/>
      <c r="C3345" s="70"/>
      <c r="D3345" s="70"/>
      <c r="E3345" s="70"/>
      <c r="F3345" s="70"/>
      <c r="G3345" s="70"/>
      <c r="H3345" s="93"/>
      <c r="I3345" s="85"/>
      <c r="J3345" s="85"/>
      <c r="K3345" s="131"/>
      <c r="L3345" s="60"/>
      <c r="S3345"/>
      <c r="T3345"/>
      <c r="U3345"/>
      <c r="V3345"/>
      <c r="W3345"/>
      <c r="X3345"/>
      <c r="Y3345"/>
      <c r="Z3345"/>
    </row>
    <row r="3346" spans="1:28" x14ac:dyDescent="0.15">
      <c r="A3346" s="166"/>
      <c r="B3346" s="82"/>
      <c r="C3346" s="70"/>
      <c r="D3346" s="70"/>
      <c r="E3346" s="70"/>
      <c r="F3346" s="70"/>
      <c r="G3346" s="70"/>
      <c r="H3346" s="93"/>
      <c r="I3346" s="85"/>
      <c r="J3346" s="85"/>
      <c r="K3346" s="131"/>
      <c r="L3346" s="60"/>
      <c r="S3346"/>
      <c r="T3346"/>
      <c r="U3346"/>
      <c r="V3346"/>
      <c r="W3346"/>
      <c r="X3346"/>
      <c r="Y3346"/>
      <c r="Z3346"/>
    </row>
    <row r="3347" spans="1:28" x14ac:dyDescent="0.15">
      <c r="A3347" s="165"/>
      <c r="B3347" s="97"/>
      <c r="C3347" s="61"/>
      <c r="D3347" s="61"/>
      <c r="E3347" s="61"/>
      <c r="F3347" s="61"/>
      <c r="G3347" s="61"/>
      <c r="H3347" s="115"/>
      <c r="I3347" s="85"/>
      <c r="J3347" s="103"/>
      <c r="K3347" s="141"/>
      <c r="L3347" s="67"/>
      <c r="M3347" s="54"/>
      <c r="S3347"/>
      <c r="T3347"/>
      <c r="U3347"/>
      <c r="V3347"/>
      <c r="W3347"/>
      <c r="X3347"/>
      <c r="Y3347"/>
      <c r="Z3347"/>
    </row>
    <row r="3348" spans="1:28" x14ac:dyDescent="0.15">
      <c r="A3348" s="166"/>
      <c r="B3348" s="82"/>
      <c r="C3348" s="70"/>
      <c r="D3348" s="70"/>
      <c r="E3348" s="70"/>
      <c r="F3348" s="70"/>
      <c r="G3348" s="70"/>
      <c r="H3348" s="93"/>
      <c r="I3348" s="85"/>
      <c r="J3348" s="85"/>
      <c r="K3348" s="131"/>
      <c r="L3348" s="60"/>
      <c r="S3348"/>
      <c r="T3348"/>
      <c r="U3348"/>
      <c r="V3348"/>
      <c r="W3348"/>
      <c r="X3348"/>
      <c r="Y3348"/>
      <c r="Z3348"/>
    </row>
    <row r="3349" spans="1:28" x14ac:dyDescent="0.15">
      <c r="A3349" s="166"/>
      <c r="B3349" s="82"/>
      <c r="C3349" s="70"/>
      <c r="D3349" s="70"/>
      <c r="E3349" s="70"/>
      <c r="F3349" s="70"/>
      <c r="G3349" s="70"/>
      <c r="H3349" s="93"/>
      <c r="I3349" s="85"/>
      <c r="J3349" s="85"/>
      <c r="K3349" s="131"/>
      <c r="L3349" s="60"/>
    </row>
    <row r="3350" spans="1:28" x14ac:dyDescent="0.15">
      <c r="A3350" s="166"/>
      <c r="B3350" s="82"/>
      <c r="C3350" s="70"/>
      <c r="D3350" s="70"/>
      <c r="E3350" s="70"/>
      <c r="F3350" s="70"/>
      <c r="G3350" s="70"/>
      <c r="H3350" s="93"/>
      <c r="I3350" s="85"/>
      <c r="J3350" s="85"/>
      <c r="K3350" s="131"/>
      <c r="L3350" s="69"/>
    </row>
    <row r="3351" spans="1:28" x14ac:dyDescent="0.15">
      <c r="A3351" s="166"/>
      <c r="B3351" s="82"/>
      <c r="C3351" s="70"/>
      <c r="D3351" s="70"/>
      <c r="E3351" s="70"/>
      <c r="F3351" s="70"/>
      <c r="G3351" s="70"/>
      <c r="H3351" s="93"/>
      <c r="I3351" s="85"/>
      <c r="J3351" s="85"/>
      <c r="K3351" s="131"/>
      <c r="L3351" s="60"/>
    </row>
    <row r="3352" spans="1:28" x14ac:dyDescent="0.15">
      <c r="A3352" s="166"/>
      <c r="B3352" s="82"/>
      <c r="C3352" s="70"/>
      <c r="D3352" s="70"/>
      <c r="E3352" s="70"/>
      <c r="F3352" s="70"/>
      <c r="G3352" s="70"/>
      <c r="H3352" s="93"/>
      <c r="I3352" s="85"/>
      <c r="J3352" s="85"/>
      <c r="K3352" s="131"/>
      <c r="L3352" s="60"/>
    </row>
    <row r="3353" spans="1:28" x14ac:dyDescent="0.15">
      <c r="A3353" s="166"/>
      <c r="B3353" s="82"/>
      <c r="C3353" s="70"/>
      <c r="D3353" s="70"/>
      <c r="E3353" s="70"/>
      <c r="F3353" s="70"/>
      <c r="G3353" s="70"/>
      <c r="H3353" s="93"/>
      <c r="I3353" s="85"/>
      <c r="J3353" s="85"/>
      <c r="K3353" s="131"/>
      <c r="L3353" s="60"/>
    </row>
    <row r="3354" spans="1:28" x14ac:dyDescent="0.15">
      <c r="A3354" s="166"/>
      <c r="B3354" s="82"/>
      <c r="C3354" s="70"/>
      <c r="D3354" s="70"/>
      <c r="E3354" s="70"/>
      <c r="F3354" s="70"/>
      <c r="G3354" s="70"/>
      <c r="H3354" s="93"/>
      <c r="I3354" s="85"/>
      <c r="J3354" s="85"/>
      <c r="K3354" s="131"/>
      <c r="L3354" s="60"/>
      <c r="M3354" s="50"/>
    </row>
    <row r="3355" spans="1:28" x14ac:dyDescent="0.15">
      <c r="A3355" s="166"/>
      <c r="B3355" s="82"/>
      <c r="C3355" s="70"/>
      <c r="D3355" s="70"/>
      <c r="E3355" s="70"/>
      <c r="F3355" s="70"/>
      <c r="G3355" s="70"/>
      <c r="H3355" s="93"/>
      <c r="I3355" s="85"/>
      <c r="J3355" s="85"/>
      <c r="K3355" s="131"/>
      <c r="L3355" s="60"/>
      <c r="M3355" s="50"/>
    </row>
    <row r="3356" spans="1:28" x14ac:dyDescent="0.15">
      <c r="A3356" s="166"/>
      <c r="B3356" s="82"/>
      <c r="C3356" s="70"/>
      <c r="D3356" s="70"/>
      <c r="E3356" s="70"/>
      <c r="F3356" s="70"/>
      <c r="G3356" s="70"/>
      <c r="H3356" s="93"/>
      <c r="I3356" s="85"/>
      <c r="J3356" s="85"/>
      <c r="K3356" s="131"/>
      <c r="L3356" s="60"/>
      <c r="M3356" s="50"/>
    </row>
    <row r="3357" spans="1:28" x14ac:dyDescent="0.15">
      <c r="A3357" s="166"/>
      <c r="B3357" s="82"/>
      <c r="C3357" s="70"/>
      <c r="D3357" s="70"/>
      <c r="E3357" s="70"/>
      <c r="F3357" s="70"/>
      <c r="G3357" s="70"/>
      <c r="H3357" s="93"/>
      <c r="I3357" s="85"/>
      <c r="J3357" s="85"/>
      <c r="K3357" s="131"/>
      <c r="L3357" s="60"/>
    </row>
    <row r="3358" spans="1:28" s="37" customFormat="1" x14ac:dyDescent="0.15">
      <c r="A3358" s="166"/>
      <c r="B3358" s="82"/>
      <c r="C3358" s="70"/>
      <c r="D3358" s="70"/>
      <c r="E3358" s="70"/>
      <c r="F3358" s="70"/>
      <c r="G3358" s="70"/>
      <c r="H3358" s="93"/>
      <c r="I3358" s="85"/>
      <c r="J3358" s="85"/>
      <c r="K3358" s="131"/>
      <c r="L3358" s="60"/>
      <c r="M3358" s="49"/>
      <c r="Q3358" s="3"/>
      <c r="R3358" s="3"/>
      <c r="S3358" s="3"/>
      <c r="T3358" s="3"/>
      <c r="U3358" s="3"/>
      <c r="V3358" s="3"/>
      <c r="W3358" s="3"/>
      <c r="X3358" s="3"/>
      <c r="Y3358" s="3"/>
      <c r="Z3358" s="4"/>
      <c r="AA3358"/>
      <c r="AB3358"/>
    </row>
    <row r="3359" spans="1:28" s="37" customFormat="1" x14ac:dyDescent="0.15">
      <c r="A3359" s="166"/>
      <c r="B3359" s="82"/>
      <c r="C3359" s="70"/>
      <c r="D3359" s="70"/>
      <c r="E3359" s="70"/>
      <c r="F3359" s="70"/>
      <c r="G3359" s="70"/>
      <c r="H3359" s="93"/>
      <c r="I3359" s="85"/>
      <c r="J3359" s="85"/>
      <c r="K3359" s="131"/>
      <c r="L3359" s="60"/>
      <c r="M3359" s="50"/>
      <c r="Q3359" s="3"/>
      <c r="R3359" s="3"/>
      <c r="S3359" s="3"/>
      <c r="T3359" s="3"/>
      <c r="U3359" s="3"/>
      <c r="V3359" s="3"/>
      <c r="W3359" s="3"/>
      <c r="X3359" s="3"/>
      <c r="Y3359" s="3"/>
      <c r="Z3359" s="4"/>
      <c r="AA3359"/>
      <c r="AB3359"/>
    </row>
    <row r="3360" spans="1:28" s="37" customFormat="1" x14ac:dyDescent="0.15">
      <c r="A3360" s="166"/>
      <c r="B3360" s="82"/>
      <c r="C3360" s="70"/>
      <c r="D3360" s="70"/>
      <c r="E3360" s="70"/>
      <c r="F3360" s="70"/>
      <c r="G3360" s="70"/>
      <c r="H3360" s="93"/>
      <c r="I3360" s="85"/>
      <c r="J3360" s="85"/>
      <c r="K3360" s="131"/>
      <c r="L3360" s="60"/>
      <c r="M3360" s="50"/>
      <c r="Q3360" s="3"/>
      <c r="R3360" s="3"/>
      <c r="S3360" s="3"/>
      <c r="T3360" s="3"/>
      <c r="U3360" s="3"/>
      <c r="V3360" s="3"/>
      <c r="W3360" s="3"/>
      <c r="X3360" s="3"/>
      <c r="Y3360" s="3"/>
      <c r="Z3360" s="4"/>
      <c r="AA3360"/>
      <c r="AB3360"/>
    </row>
    <row r="3361" spans="1:28" s="37" customFormat="1" x14ac:dyDescent="0.15">
      <c r="A3361" s="166"/>
      <c r="B3361" s="82"/>
      <c r="C3361" s="70"/>
      <c r="D3361" s="70"/>
      <c r="E3361" s="70"/>
      <c r="F3361" s="70"/>
      <c r="G3361" s="70"/>
      <c r="H3361" s="93"/>
      <c r="I3361" s="85"/>
      <c r="J3361" s="85"/>
      <c r="K3361" s="131"/>
      <c r="L3361" s="69"/>
      <c r="M3361" s="49"/>
      <c r="Q3361" s="3"/>
      <c r="R3361" s="3"/>
      <c r="S3361" s="3"/>
      <c r="T3361" s="3"/>
      <c r="U3361" s="3"/>
      <c r="V3361" s="3"/>
      <c r="W3361" s="3"/>
      <c r="X3361" s="3"/>
      <c r="Y3361" s="3"/>
      <c r="Z3361" s="4"/>
      <c r="AA3361"/>
      <c r="AB3361"/>
    </row>
    <row r="3362" spans="1:28" s="37" customFormat="1" x14ac:dyDescent="0.15">
      <c r="A3362" s="166"/>
      <c r="B3362" s="82"/>
      <c r="C3362" s="70"/>
      <c r="D3362" s="70"/>
      <c r="E3362" s="70"/>
      <c r="F3362" s="70"/>
      <c r="G3362" s="70"/>
      <c r="H3362" s="93"/>
      <c r="I3362" s="85"/>
      <c r="J3362" s="85"/>
      <c r="K3362" s="131"/>
      <c r="L3362" s="69"/>
      <c r="M3362" s="49"/>
      <c r="Q3362" s="3"/>
      <c r="R3362" s="3"/>
      <c r="S3362" s="3"/>
      <c r="T3362" s="3"/>
      <c r="U3362" s="3"/>
      <c r="V3362" s="3"/>
      <c r="W3362" s="3"/>
      <c r="X3362" s="3"/>
      <c r="Y3362" s="3"/>
      <c r="Z3362" s="4"/>
      <c r="AA3362"/>
      <c r="AB3362"/>
    </row>
    <row r="3363" spans="1:28" s="37" customFormat="1" x14ac:dyDescent="0.15">
      <c r="A3363" s="166"/>
      <c r="B3363" s="82"/>
      <c r="C3363" s="70"/>
      <c r="D3363" s="70"/>
      <c r="E3363" s="70"/>
      <c r="F3363" s="70"/>
      <c r="G3363" s="70"/>
      <c r="H3363" s="93"/>
      <c r="I3363" s="85"/>
      <c r="J3363" s="85"/>
      <c r="K3363" s="131"/>
      <c r="L3363" s="69"/>
      <c r="M3363" s="49"/>
      <c r="Q3363" s="3"/>
      <c r="R3363" s="3"/>
      <c r="S3363" s="3"/>
      <c r="T3363" s="3"/>
      <c r="U3363" s="3"/>
      <c r="V3363" s="3"/>
      <c r="W3363" s="3"/>
      <c r="X3363" s="3"/>
      <c r="Y3363" s="3"/>
      <c r="Z3363" s="4"/>
      <c r="AA3363"/>
      <c r="AB3363"/>
    </row>
    <row r="3364" spans="1:28" s="37" customFormat="1" x14ac:dyDescent="0.15">
      <c r="A3364" s="166"/>
      <c r="B3364" s="82"/>
      <c r="C3364" s="70"/>
      <c r="D3364" s="70"/>
      <c r="E3364" s="70"/>
      <c r="F3364" s="70"/>
      <c r="G3364" s="70"/>
      <c r="H3364" s="93"/>
      <c r="I3364" s="85"/>
      <c r="J3364" s="85"/>
      <c r="K3364" s="131"/>
      <c r="L3364" s="69"/>
      <c r="M3364" s="49"/>
      <c r="Q3364" s="3"/>
      <c r="R3364" s="3"/>
      <c r="S3364" s="3"/>
      <c r="T3364" s="3"/>
      <c r="U3364" s="3"/>
      <c r="V3364" s="3"/>
      <c r="W3364" s="3"/>
      <c r="X3364" s="3"/>
      <c r="Y3364" s="3"/>
      <c r="Z3364" s="4"/>
      <c r="AA3364"/>
      <c r="AB3364"/>
    </row>
    <row r="3365" spans="1:28" s="37" customFormat="1" x14ac:dyDescent="0.15">
      <c r="A3365" s="166"/>
      <c r="B3365" s="82"/>
      <c r="C3365" s="70"/>
      <c r="D3365" s="70"/>
      <c r="E3365" s="70"/>
      <c r="F3365" s="70"/>
      <c r="G3365" s="70"/>
      <c r="H3365" s="93"/>
      <c r="I3365" s="85"/>
      <c r="J3365" s="85"/>
      <c r="K3365" s="131"/>
      <c r="L3365" s="69"/>
      <c r="M3365" s="49"/>
      <c r="Q3365" s="3"/>
      <c r="R3365" s="3"/>
      <c r="S3365" s="3"/>
      <c r="T3365" s="3"/>
      <c r="U3365" s="3"/>
      <c r="V3365" s="3"/>
      <c r="W3365" s="3"/>
      <c r="X3365" s="3"/>
      <c r="Y3365" s="3"/>
      <c r="Z3365" s="4"/>
      <c r="AA3365"/>
      <c r="AB3365"/>
    </row>
    <row r="3366" spans="1:28" s="37" customFormat="1" x14ac:dyDescent="0.15">
      <c r="A3366" s="166"/>
      <c r="B3366" s="82"/>
      <c r="C3366" s="70"/>
      <c r="D3366" s="70"/>
      <c r="E3366" s="70"/>
      <c r="F3366" s="70"/>
      <c r="G3366" s="70"/>
      <c r="H3366" s="108"/>
      <c r="I3366" s="85"/>
      <c r="J3366" s="85"/>
      <c r="K3366" s="131"/>
      <c r="L3366" s="69"/>
      <c r="M3366" s="49"/>
      <c r="Q3366" s="3"/>
      <c r="R3366" s="3"/>
      <c r="S3366" s="3"/>
      <c r="T3366" s="3"/>
      <c r="U3366" s="3"/>
      <c r="V3366" s="3"/>
      <c r="W3366" s="3"/>
      <c r="X3366" s="3"/>
      <c r="Y3366" s="3"/>
      <c r="Z3366" s="4"/>
      <c r="AA3366"/>
      <c r="AB3366"/>
    </row>
    <row r="3367" spans="1:28" s="37" customFormat="1" x14ac:dyDescent="0.15">
      <c r="A3367" s="166"/>
      <c r="B3367" s="82"/>
      <c r="C3367" s="70"/>
      <c r="D3367" s="70"/>
      <c r="E3367" s="70"/>
      <c r="F3367" s="70"/>
      <c r="G3367" s="70"/>
      <c r="H3367" s="93"/>
      <c r="I3367" s="85"/>
      <c r="J3367" s="85"/>
      <c r="K3367" s="131"/>
      <c r="L3367" s="69"/>
      <c r="M3367" s="49"/>
      <c r="Q3367" s="3"/>
      <c r="R3367" s="3"/>
      <c r="S3367" s="3"/>
      <c r="T3367" s="3"/>
      <c r="U3367" s="3"/>
      <c r="V3367" s="3"/>
      <c r="W3367" s="3"/>
      <c r="X3367" s="3"/>
      <c r="Y3367" s="3"/>
      <c r="Z3367" s="4"/>
      <c r="AA3367"/>
      <c r="AB3367"/>
    </row>
    <row r="3368" spans="1:28" s="37" customFormat="1" x14ac:dyDescent="0.15">
      <c r="A3368" s="166"/>
      <c r="B3368" s="82"/>
      <c r="C3368" s="70"/>
      <c r="D3368" s="70"/>
      <c r="E3368" s="70"/>
      <c r="F3368" s="70"/>
      <c r="G3368" s="70"/>
      <c r="H3368" s="93"/>
      <c r="I3368" s="85"/>
      <c r="J3368" s="85"/>
      <c r="K3368" s="131"/>
      <c r="L3368" s="69"/>
      <c r="M3368" s="49"/>
      <c r="Q3368" s="3"/>
      <c r="R3368" s="3"/>
      <c r="S3368" s="3"/>
      <c r="T3368" s="3"/>
      <c r="U3368" s="3"/>
      <c r="V3368" s="3"/>
      <c r="W3368" s="3"/>
      <c r="X3368" s="3"/>
      <c r="Y3368" s="3"/>
      <c r="Z3368" s="4"/>
      <c r="AA3368"/>
      <c r="AB3368"/>
    </row>
    <row r="3369" spans="1:28" s="37" customFormat="1" x14ac:dyDescent="0.15">
      <c r="A3369" s="166"/>
      <c r="B3369" s="82"/>
      <c r="C3369" s="70"/>
      <c r="D3369" s="70"/>
      <c r="E3369" s="70"/>
      <c r="F3369" s="70"/>
      <c r="G3369" s="70"/>
      <c r="H3369" s="93"/>
      <c r="I3369" s="85"/>
      <c r="J3369" s="85"/>
      <c r="K3369" s="131"/>
      <c r="L3369" s="72"/>
      <c r="M3369" s="49"/>
      <c r="Q3369" s="3"/>
      <c r="R3369" s="3"/>
      <c r="S3369" s="3"/>
      <c r="T3369" s="3"/>
      <c r="U3369" s="3"/>
      <c r="V3369" s="3"/>
      <c r="W3369" s="3"/>
      <c r="X3369" s="3"/>
      <c r="Y3369" s="3"/>
      <c r="Z3369" s="4"/>
      <c r="AA3369"/>
      <c r="AB3369"/>
    </row>
    <row r="3370" spans="1:28" s="37" customFormat="1" x14ac:dyDescent="0.15">
      <c r="A3370" s="166"/>
      <c r="B3370" s="82"/>
      <c r="C3370" s="70"/>
      <c r="D3370" s="70"/>
      <c r="E3370" s="70"/>
      <c r="F3370" s="70"/>
      <c r="G3370" s="70"/>
      <c r="H3370" s="93"/>
      <c r="I3370" s="85"/>
      <c r="J3370" s="85"/>
      <c r="K3370" s="131"/>
      <c r="L3370" s="69"/>
      <c r="M3370" s="49"/>
      <c r="Q3370" s="3"/>
      <c r="R3370" s="3"/>
      <c r="S3370" s="3"/>
      <c r="T3370" s="3"/>
      <c r="U3370" s="3"/>
      <c r="V3370" s="3"/>
      <c r="W3370" s="3"/>
      <c r="X3370" s="3"/>
      <c r="Y3370" s="3"/>
      <c r="Z3370" s="4"/>
      <c r="AA3370"/>
      <c r="AB3370"/>
    </row>
    <row r="3371" spans="1:28" s="37" customFormat="1" x14ac:dyDescent="0.15">
      <c r="A3371" s="166"/>
      <c r="B3371" s="82"/>
      <c r="C3371" s="70"/>
      <c r="D3371" s="70"/>
      <c r="E3371" s="70"/>
      <c r="F3371" s="70"/>
      <c r="G3371" s="70"/>
      <c r="H3371" s="93"/>
      <c r="I3371" s="85"/>
      <c r="J3371" s="85"/>
      <c r="K3371" s="131"/>
      <c r="L3371" s="69"/>
      <c r="M3371" s="49"/>
      <c r="Q3371" s="3"/>
      <c r="R3371" s="3"/>
      <c r="S3371" s="3"/>
      <c r="T3371" s="3"/>
      <c r="U3371" s="3"/>
      <c r="V3371" s="3"/>
      <c r="W3371" s="3"/>
      <c r="X3371" s="3"/>
      <c r="Y3371" s="3"/>
      <c r="Z3371" s="4"/>
      <c r="AA3371"/>
      <c r="AB3371"/>
    </row>
    <row r="3372" spans="1:28" s="37" customFormat="1" x14ac:dyDescent="0.15">
      <c r="A3372" s="166"/>
      <c r="B3372" s="82"/>
      <c r="C3372" s="70"/>
      <c r="D3372" s="70"/>
      <c r="E3372" s="70"/>
      <c r="F3372" s="70"/>
      <c r="G3372" s="70"/>
      <c r="H3372" s="93"/>
      <c r="I3372" s="85"/>
      <c r="J3372" s="85"/>
      <c r="K3372" s="131"/>
      <c r="L3372" s="69"/>
      <c r="M3372" s="49"/>
      <c r="Q3372" s="3"/>
      <c r="R3372" s="3"/>
      <c r="S3372" s="3"/>
      <c r="T3372" s="3"/>
      <c r="U3372" s="3"/>
      <c r="V3372" s="3"/>
      <c r="W3372" s="3"/>
      <c r="X3372" s="3"/>
      <c r="Y3372" s="3"/>
      <c r="Z3372" s="4"/>
      <c r="AA3372"/>
      <c r="AB3372"/>
    </row>
    <row r="3373" spans="1:28" s="37" customFormat="1" x14ac:dyDescent="0.15">
      <c r="A3373" s="166"/>
      <c r="B3373" s="82"/>
      <c r="C3373" s="70"/>
      <c r="D3373" s="70"/>
      <c r="E3373" s="70"/>
      <c r="F3373" s="70"/>
      <c r="G3373" s="70"/>
      <c r="H3373" s="93"/>
      <c r="I3373" s="85"/>
      <c r="J3373" s="85"/>
      <c r="K3373" s="131"/>
      <c r="L3373" s="69"/>
      <c r="M3373" s="49"/>
      <c r="Q3373" s="3"/>
      <c r="R3373" s="3"/>
      <c r="S3373" s="3"/>
      <c r="T3373" s="3"/>
      <c r="U3373" s="3"/>
      <c r="V3373" s="3"/>
      <c r="W3373" s="3"/>
      <c r="X3373" s="3"/>
      <c r="Y3373" s="3"/>
      <c r="Z3373" s="4"/>
      <c r="AA3373"/>
      <c r="AB3373"/>
    </row>
    <row r="3374" spans="1:28" s="37" customFormat="1" x14ac:dyDescent="0.15">
      <c r="A3374" s="166"/>
      <c r="B3374" s="82"/>
      <c r="C3374" s="70"/>
      <c r="D3374" s="70"/>
      <c r="E3374" s="70"/>
      <c r="F3374" s="70"/>
      <c r="G3374" s="70"/>
      <c r="H3374" s="93"/>
      <c r="I3374" s="85"/>
      <c r="J3374" s="85"/>
      <c r="K3374" s="131"/>
      <c r="L3374" s="69"/>
      <c r="M3374" s="49"/>
      <c r="Q3374" s="3"/>
      <c r="R3374" s="3"/>
      <c r="S3374" s="3"/>
      <c r="T3374" s="3"/>
      <c r="U3374" s="3"/>
      <c r="V3374" s="3"/>
      <c r="W3374" s="3"/>
      <c r="X3374" s="3"/>
      <c r="Y3374" s="3"/>
      <c r="Z3374" s="4"/>
      <c r="AA3374"/>
      <c r="AB3374"/>
    </row>
    <row r="3375" spans="1:28" s="37" customFormat="1" x14ac:dyDescent="0.15">
      <c r="A3375" s="166"/>
      <c r="B3375" s="82"/>
      <c r="C3375" s="70"/>
      <c r="D3375" s="70"/>
      <c r="E3375" s="70"/>
      <c r="F3375" s="70"/>
      <c r="G3375" s="70"/>
      <c r="H3375" s="93"/>
      <c r="I3375" s="85"/>
      <c r="J3375" s="85"/>
      <c r="K3375" s="131"/>
      <c r="L3375" s="69"/>
      <c r="M3375" s="49"/>
      <c r="Q3375" s="3"/>
      <c r="R3375" s="3"/>
      <c r="S3375" s="3"/>
      <c r="T3375" s="3"/>
      <c r="U3375" s="3"/>
      <c r="V3375" s="3"/>
      <c r="W3375" s="3"/>
      <c r="X3375" s="3"/>
      <c r="Y3375" s="3"/>
      <c r="Z3375" s="4"/>
      <c r="AA3375"/>
      <c r="AB3375"/>
    </row>
    <row r="3376" spans="1:28" s="37" customFormat="1" x14ac:dyDescent="0.15">
      <c r="A3376" s="166"/>
      <c r="B3376" s="82"/>
      <c r="C3376" s="70"/>
      <c r="D3376" s="70"/>
      <c r="E3376" s="70"/>
      <c r="F3376" s="70"/>
      <c r="G3376" s="70"/>
      <c r="H3376" s="93"/>
      <c r="I3376" s="85"/>
      <c r="J3376" s="85"/>
      <c r="K3376" s="131"/>
      <c r="L3376" s="60"/>
      <c r="M3376" s="49"/>
      <c r="Q3376" s="3"/>
      <c r="R3376" s="3"/>
      <c r="S3376" s="3"/>
      <c r="T3376" s="3"/>
      <c r="U3376" s="3"/>
      <c r="V3376" s="3"/>
      <c r="W3376" s="3"/>
      <c r="X3376" s="3"/>
      <c r="Y3376" s="3"/>
      <c r="Z3376" s="4"/>
      <c r="AA3376"/>
      <c r="AB3376"/>
    </row>
    <row r="3377" spans="1:28" s="37" customFormat="1" x14ac:dyDescent="0.15">
      <c r="A3377" s="166"/>
      <c r="B3377" s="82"/>
      <c r="C3377" s="70"/>
      <c r="D3377" s="70"/>
      <c r="E3377" s="70"/>
      <c r="F3377" s="70"/>
      <c r="G3377" s="70"/>
      <c r="H3377" s="93"/>
      <c r="I3377" s="85"/>
      <c r="J3377" s="85"/>
      <c r="K3377" s="131"/>
      <c r="L3377" s="60"/>
      <c r="M3377" s="50"/>
      <c r="Q3377" s="3"/>
      <c r="R3377" s="3"/>
      <c r="S3377" s="3"/>
      <c r="T3377" s="3"/>
      <c r="U3377" s="3"/>
      <c r="V3377" s="3"/>
      <c r="W3377" s="3"/>
      <c r="X3377" s="3"/>
      <c r="Y3377" s="3"/>
      <c r="Z3377" s="4"/>
      <c r="AA3377"/>
      <c r="AB3377"/>
    </row>
    <row r="3378" spans="1:28" s="37" customFormat="1" x14ac:dyDescent="0.15">
      <c r="A3378" s="166"/>
      <c r="B3378" s="82"/>
      <c r="C3378" s="70"/>
      <c r="D3378" s="70"/>
      <c r="E3378" s="70"/>
      <c r="F3378" s="70"/>
      <c r="G3378" s="70"/>
      <c r="H3378" s="108"/>
      <c r="I3378" s="85"/>
      <c r="J3378" s="85"/>
      <c r="K3378" s="131"/>
      <c r="L3378" s="60"/>
      <c r="M3378" s="49"/>
      <c r="Q3378" s="3"/>
      <c r="R3378" s="3"/>
      <c r="S3378" s="3"/>
      <c r="T3378" s="3"/>
      <c r="U3378" s="3"/>
      <c r="V3378" s="3"/>
      <c r="W3378" s="3"/>
      <c r="X3378" s="3"/>
      <c r="Y3378" s="3"/>
      <c r="Z3378" s="4"/>
      <c r="AA3378"/>
      <c r="AB3378"/>
    </row>
    <row r="3379" spans="1:28" s="37" customFormat="1" x14ac:dyDescent="0.15">
      <c r="A3379" s="166"/>
      <c r="B3379" s="82"/>
      <c r="C3379" s="70"/>
      <c r="D3379" s="70"/>
      <c r="E3379" s="70"/>
      <c r="F3379" s="70"/>
      <c r="G3379" s="70"/>
      <c r="H3379" s="93"/>
      <c r="I3379" s="85"/>
      <c r="J3379" s="85"/>
      <c r="K3379" s="131"/>
      <c r="L3379" s="60"/>
      <c r="M3379" s="50"/>
      <c r="Q3379" s="3"/>
      <c r="R3379" s="3"/>
      <c r="S3379" s="3"/>
      <c r="T3379" s="3"/>
      <c r="U3379" s="3"/>
      <c r="V3379" s="3"/>
      <c r="W3379" s="3"/>
      <c r="X3379" s="3"/>
      <c r="Y3379" s="3"/>
      <c r="Z3379" s="4"/>
      <c r="AA3379"/>
      <c r="AB3379"/>
    </row>
    <row r="3380" spans="1:28" s="37" customFormat="1" x14ac:dyDescent="0.15">
      <c r="A3380" s="166"/>
      <c r="B3380" s="82"/>
      <c r="C3380" s="70"/>
      <c r="D3380" s="70"/>
      <c r="E3380" s="70"/>
      <c r="F3380" s="70"/>
      <c r="G3380" s="70"/>
      <c r="H3380" s="93"/>
      <c r="I3380" s="85"/>
      <c r="J3380" s="85"/>
      <c r="K3380" s="131"/>
      <c r="L3380" s="60"/>
      <c r="M3380" s="50"/>
      <c r="Q3380" s="3"/>
      <c r="R3380" s="3"/>
      <c r="S3380" s="3"/>
      <c r="T3380" s="3"/>
      <c r="U3380" s="3"/>
      <c r="V3380" s="3"/>
      <c r="W3380" s="3"/>
      <c r="X3380" s="3"/>
      <c r="Y3380" s="3"/>
      <c r="Z3380" s="4"/>
      <c r="AA3380"/>
      <c r="AB3380"/>
    </row>
    <row r="3381" spans="1:28" s="37" customFormat="1" x14ac:dyDescent="0.15">
      <c r="A3381" s="166"/>
      <c r="B3381" s="82"/>
      <c r="C3381" s="70"/>
      <c r="D3381" s="70"/>
      <c r="E3381" s="70"/>
      <c r="F3381" s="70"/>
      <c r="G3381" s="70"/>
      <c r="H3381" s="93"/>
      <c r="I3381" s="85"/>
      <c r="J3381" s="85"/>
      <c r="K3381" s="131"/>
      <c r="L3381" s="60"/>
      <c r="M3381" s="50"/>
      <c r="Q3381" s="3"/>
      <c r="R3381" s="3"/>
      <c r="S3381" s="3"/>
      <c r="T3381" s="3"/>
      <c r="U3381" s="3"/>
      <c r="V3381" s="3"/>
      <c r="W3381" s="3"/>
      <c r="X3381" s="3"/>
      <c r="Y3381" s="3"/>
      <c r="Z3381" s="4"/>
      <c r="AA3381"/>
      <c r="AB3381"/>
    </row>
    <row r="3382" spans="1:28" s="37" customFormat="1" x14ac:dyDescent="0.15">
      <c r="A3382" s="166"/>
      <c r="B3382" s="82"/>
      <c r="C3382" s="70"/>
      <c r="D3382" s="70"/>
      <c r="E3382" s="70"/>
      <c r="F3382" s="70"/>
      <c r="G3382" s="70"/>
      <c r="H3382" s="93"/>
      <c r="I3382" s="85"/>
      <c r="J3382" s="85"/>
      <c r="K3382" s="131"/>
      <c r="L3382" s="60"/>
      <c r="M3382" s="49"/>
      <c r="Q3382" s="3"/>
      <c r="R3382" s="3"/>
      <c r="S3382" s="3"/>
      <c r="T3382" s="3"/>
      <c r="U3382" s="3"/>
      <c r="V3382" s="3"/>
      <c r="W3382" s="3"/>
      <c r="X3382" s="3"/>
      <c r="Y3382" s="3"/>
      <c r="Z3382" s="4"/>
      <c r="AA3382"/>
      <c r="AB3382"/>
    </row>
    <row r="3383" spans="1:28" s="37" customFormat="1" x14ac:dyDescent="0.15">
      <c r="A3383" s="166"/>
      <c r="B3383" s="82"/>
      <c r="C3383" s="70"/>
      <c r="D3383" s="70"/>
      <c r="E3383" s="70"/>
      <c r="F3383" s="70"/>
      <c r="G3383" s="70"/>
      <c r="H3383" s="93"/>
      <c r="I3383" s="85"/>
      <c r="J3383" s="85"/>
      <c r="K3383" s="131"/>
      <c r="L3383" s="60"/>
      <c r="M3383" s="50"/>
      <c r="Q3383" s="3"/>
      <c r="R3383" s="3"/>
      <c r="S3383" s="3"/>
      <c r="T3383" s="3"/>
      <c r="U3383" s="3"/>
      <c r="V3383" s="3"/>
      <c r="W3383" s="3"/>
      <c r="X3383" s="3"/>
      <c r="Y3383" s="3"/>
      <c r="Z3383" s="4"/>
      <c r="AA3383"/>
      <c r="AB3383"/>
    </row>
    <row r="3384" spans="1:28" s="37" customFormat="1" x14ac:dyDescent="0.15">
      <c r="A3384" s="166"/>
      <c r="B3384" s="82"/>
      <c r="C3384" s="70"/>
      <c r="D3384" s="70"/>
      <c r="E3384" s="70"/>
      <c r="F3384" s="70"/>
      <c r="G3384" s="70"/>
      <c r="H3384" s="93"/>
      <c r="I3384" s="85"/>
      <c r="J3384" s="85"/>
      <c r="K3384" s="131"/>
      <c r="L3384" s="60"/>
      <c r="M3384" s="50"/>
      <c r="Q3384" s="3"/>
      <c r="R3384" s="3"/>
      <c r="S3384" s="3"/>
      <c r="T3384" s="3"/>
      <c r="U3384" s="3"/>
      <c r="V3384" s="3"/>
      <c r="W3384" s="3"/>
      <c r="X3384" s="3"/>
      <c r="Y3384" s="3"/>
      <c r="Z3384" s="4"/>
      <c r="AA3384"/>
      <c r="AB3384"/>
    </row>
    <row r="3385" spans="1:28" s="37" customFormat="1" x14ac:dyDescent="0.15">
      <c r="A3385" s="166"/>
      <c r="B3385" s="82"/>
      <c r="C3385" s="70"/>
      <c r="D3385" s="70"/>
      <c r="E3385" s="70"/>
      <c r="F3385" s="70"/>
      <c r="G3385" s="70"/>
      <c r="H3385" s="93"/>
      <c r="I3385" s="85"/>
      <c r="J3385" s="85"/>
      <c r="K3385" s="131"/>
      <c r="L3385" s="60"/>
      <c r="M3385" s="49"/>
      <c r="Q3385" s="3"/>
      <c r="R3385" s="3"/>
      <c r="S3385" s="3"/>
      <c r="T3385" s="3"/>
      <c r="U3385" s="3"/>
      <c r="V3385" s="3"/>
      <c r="W3385" s="3"/>
      <c r="X3385" s="3"/>
      <c r="Y3385" s="3"/>
      <c r="Z3385" s="4"/>
      <c r="AA3385"/>
      <c r="AB3385"/>
    </row>
    <row r="3386" spans="1:28" s="37" customFormat="1" x14ac:dyDescent="0.15">
      <c r="A3386" s="166"/>
      <c r="B3386" s="82"/>
      <c r="C3386" s="70"/>
      <c r="D3386" s="70"/>
      <c r="E3386" s="70"/>
      <c r="F3386" s="70"/>
      <c r="G3386" s="70"/>
      <c r="H3386" s="93"/>
      <c r="I3386" s="85"/>
      <c r="J3386" s="85"/>
      <c r="K3386" s="131"/>
      <c r="L3386" s="60"/>
      <c r="M3386" s="49"/>
      <c r="Q3386" s="3"/>
      <c r="R3386" s="3"/>
      <c r="S3386" s="3"/>
      <c r="T3386" s="3"/>
      <c r="U3386" s="3"/>
      <c r="V3386" s="3"/>
      <c r="W3386" s="3"/>
      <c r="X3386" s="3"/>
      <c r="Y3386" s="3"/>
      <c r="Z3386" s="4"/>
      <c r="AA3386"/>
      <c r="AB3386"/>
    </row>
    <row r="3387" spans="1:28" s="37" customFormat="1" x14ac:dyDescent="0.15">
      <c r="A3387" s="166"/>
      <c r="B3387" s="82"/>
      <c r="C3387" s="70"/>
      <c r="D3387" s="70"/>
      <c r="E3387" s="70"/>
      <c r="F3387" s="70"/>
      <c r="G3387" s="70"/>
      <c r="H3387" s="93"/>
      <c r="I3387" s="85"/>
      <c r="J3387" s="85"/>
      <c r="K3387" s="131"/>
      <c r="L3387" s="60"/>
      <c r="M3387" s="49"/>
      <c r="Q3387" s="3"/>
      <c r="R3387" s="3"/>
      <c r="S3387" s="3"/>
      <c r="T3387" s="3"/>
      <c r="U3387" s="3"/>
      <c r="V3387" s="3"/>
      <c r="W3387" s="3"/>
      <c r="X3387" s="3"/>
      <c r="Y3387" s="3"/>
      <c r="Z3387" s="4"/>
      <c r="AA3387"/>
      <c r="AB3387"/>
    </row>
    <row r="3388" spans="1:28" s="37" customFormat="1" x14ac:dyDescent="0.15">
      <c r="A3388" s="166"/>
      <c r="B3388" s="82"/>
      <c r="C3388" s="70"/>
      <c r="D3388" s="70"/>
      <c r="E3388" s="70"/>
      <c r="F3388" s="70"/>
      <c r="G3388" s="70"/>
      <c r="H3388" s="93"/>
      <c r="I3388" s="85"/>
      <c r="J3388" s="85"/>
      <c r="K3388" s="131"/>
      <c r="L3388" s="60"/>
      <c r="M3388" s="50"/>
      <c r="Q3388" s="3"/>
      <c r="R3388" s="3"/>
      <c r="S3388" s="3"/>
      <c r="T3388" s="3"/>
      <c r="U3388" s="3"/>
      <c r="V3388" s="3"/>
      <c r="W3388" s="3"/>
      <c r="X3388" s="3"/>
      <c r="Y3388" s="3"/>
      <c r="Z3388" s="4"/>
      <c r="AA3388"/>
      <c r="AB3388"/>
    </row>
    <row r="3389" spans="1:28" s="37" customFormat="1" x14ac:dyDescent="0.15">
      <c r="A3389" s="166"/>
      <c r="B3389" s="82"/>
      <c r="C3389" s="70"/>
      <c r="D3389" s="70"/>
      <c r="E3389" s="70"/>
      <c r="F3389" s="70"/>
      <c r="G3389" s="70"/>
      <c r="H3389" s="93"/>
      <c r="I3389" s="85"/>
      <c r="J3389" s="85"/>
      <c r="K3389" s="131"/>
      <c r="L3389" s="60"/>
      <c r="M3389" s="49"/>
      <c r="Q3389" s="3"/>
      <c r="R3389" s="3"/>
      <c r="S3389" s="3"/>
      <c r="T3389" s="3"/>
      <c r="U3389" s="3"/>
      <c r="V3389" s="3"/>
      <c r="W3389" s="3"/>
      <c r="X3389" s="3"/>
      <c r="Y3389" s="3"/>
      <c r="Z3389" s="4"/>
      <c r="AA3389"/>
      <c r="AB3389"/>
    </row>
    <row r="3390" spans="1:28" s="37" customFormat="1" x14ac:dyDescent="0.15">
      <c r="A3390" s="166"/>
      <c r="B3390" s="82"/>
      <c r="C3390" s="70"/>
      <c r="D3390" s="70"/>
      <c r="E3390" s="70"/>
      <c r="F3390" s="70"/>
      <c r="G3390" s="70"/>
      <c r="H3390" s="93"/>
      <c r="I3390" s="85"/>
      <c r="J3390" s="85"/>
      <c r="K3390" s="131"/>
      <c r="L3390" s="60"/>
      <c r="M3390" s="50"/>
      <c r="Q3390" s="3"/>
      <c r="R3390" s="3"/>
      <c r="S3390" s="3"/>
      <c r="T3390" s="3"/>
      <c r="U3390" s="3"/>
      <c r="V3390" s="3"/>
      <c r="W3390" s="3"/>
      <c r="X3390" s="3"/>
      <c r="Y3390" s="3"/>
      <c r="Z3390" s="4"/>
      <c r="AA3390"/>
      <c r="AB3390"/>
    </row>
    <row r="3391" spans="1:28" s="37" customFormat="1" x14ac:dyDescent="0.15">
      <c r="A3391" s="166"/>
      <c r="B3391" s="82"/>
      <c r="C3391" s="70"/>
      <c r="D3391" s="70"/>
      <c r="E3391" s="70"/>
      <c r="F3391" s="70"/>
      <c r="G3391" s="70"/>
      <c r="H3391" s="93"/>
      <c r="I3391" s="85"/>
      <c r="J3391" s="85"/>
      <c r="K3391" s="131"/>
      <c r="L3391" s="60"/>
      <c r="M3391" s="49"/>
      <c r="Q3391" s="3"/>
      <c r="R3391" s="3"/>
      <c r="S3391" s="3"/>
      <c r="T3391" s="3"/>
      <c r="U3391" s="3"/>
      <c r="V3391" s="3"/>
      <c r="W3391" s="3"/>
      <c r="X3391" s="3"/>
      <c r="Y3391" s="3"/>
      <c r="Z3391" s="4"/>
      <c r="AA3391"/>
      <c r="AB3391"/>
    </row>
    <row r="3392" spans="1:28" s="37" customFormat="1" x14ac:dyDescent="0.15">
      <c r="A3392" s="166"/>
      <c r="B3392" s="82"/>
      <c r="C3392" s="70"/>
      <c r="D3392" s="70"/>
      <c r="E3392" s="70"/>
      <c r="F3392" s="70"/>
      <c r="G3392" s="70"/>
      <c r="H3392" s="93"/>
      <c r="I3392" s="85"/>
      <c r="J3392" s="85"/>
      <c r="K3392" s="131"/>
      <c r="L3392" s="60"/>
      <c r="M3392" s="50"/>
      <c r="Q3392" s="3"/>
      <c r="R3392" s="3"/>
      <c r="S3392" s="3"/>
      <c r="T3392" s="3"/>
      <c r="U3392" s="3"/>
      <c r="V3392" s="3"/>
      <c r="W3392" s="3"/>
      <c r="X3392" s="3"/>
      <c r="Y3392" s="3"/>
      <c r="Z3392" s="4"/>
      <c r="AA3392"/>
      <c r="AB3392"/>
    </row>
    <row r="3393" spans="1:28" s="37" customFormat="1" x14ac:dyDescent="0.15">
      <c r="A3393" s="166"/>
      <c r="B3393" s="82"/>
      <c r="C3393" s="70"/>
      <c r="D3393" s="70"/>
      <c r="E3393" s="70"/>
      <c r="F3393" s="70"/>
      <c r="G3393" s="70"/>
      <c r="H3393" s="93"/>
      <c r="I3393" s="85"/>
      <c r="J3393" s="85"/>
      <c r="K3393" s="131"/>
      <c r="L3393" s="60"/>
      <c r="M3393" s="49"/>
      <c r="Q3393" s="3"/>
      <c r="R3393" s="3"/>
      <c r="S3393" s="3"/>
      <c r="T3393" s="3"/>
      <c r="U3393" s="3"/>
      <c r="V3393" s="3"/>
      <c r="W3393" s="3"/>
      <c r="X3393" s="3"/>
      <c r="Y3393" s="3"/>
      <c r="Z3393" s="4"/>
      <c r="AA3393"/>
      <c r="AB3393"/>
    </row>
    <row r="3394" spans="1:28" s="37" customFormat="1" x14ac:dyDescent="0.15">
      <c r="A3394" s="166"/>
      <c r="B3394" s="82"/>
      <c r="C3394" s="70"/>
      <c r="D3394" s="70"/>
      <c r="E3394" s="70"/>
      <c r="F3394" s="70"/>
      <c r="G3394" s="70"/>
      <c r="H3394" s="93"/>
      <c r="I3394" s="85"/>
      <c r="J3394" s="85"/>
      <c r="K3394" s="131"/>
      <c r="L3394" s="60"/>
      <c r="M3394" s="49"/>
      <c r="Q3394" s="3"/>
      <c r="R3394" s="3"/>
      <c r="S3394" s="3"/>
      <c r="T3394" s="3"/>
      <c r="U3394" s="3"/>
      <c r="V3394" s="3"/>
      <c r="W3394" s="3"/>
      <c r="X3394" s="3"/>
      <c r="Y3394" s="3"/>
      <c r="Z3394" s="4"/>
      <c r="AA3394"/>
      <c r="AB3394"/>
    </row>
    <row r="3395" spans="1:28" s="37" customFormat="1" x14ac:dyDescent="0.15">
      <c r="A3395" s="166"/>
      <c r="B3395" s="82"/>
      <c r="C3395" s="70"/>
      <c r="D3395" s="70"/>
      <c r="E3395" s="70"/>
      <c r="F3395" s="70"/>
      <c r="G3395" s="70"/>
      <c r="H3395" s="93"/>
      <c r="I3395" s="85"/>
      <c r="J3395" s="85"/>
      <c r="K3395" s="131"/>
      <c r="L3395" s="60"/>
      <c r="M3395" s="49"/>
      <c r="Q3395" s="3"/>
      <c r="R3395" s="3"/>
      <c r="S3395" s="3"/>
      <c r="T3395" s="3"/>
      <c r="U3395" s="3"/>
      <c r="V3395" s="3"/>
      <c r="W3395" s="3"/>
      <c r="X3395" s="3"/>
      <c r="Y3395" s="3"/>
      <c r="Z3395" s="4"/>
      <c r="AA3395"/>
      <c r="AB3395"/>
    </row>
    <row r="3396" spans="1:28" s="37" customFormat="1" x14ac:dyDescent="0.15">
      <c r="A3396" s="166"/>
      <c r="B3396" s="82"/>
      <c r="C3396" s="70"/>
      <c r="D3396" s="70"/>
      <c r="E3396" s="70"/>
      <c r="F3396" s="70"/>
      <c r="G3396" s="70"/>
      <c r="H3396" s="93"/>
      <c r="I3396" s="85"/>
      <c r="J3396" s="85"/>
      <c r="K3396" s="131"/>
      <c r="L3396" s="60"/>
      <c r="M3396" s="50"/>
      <c r="Q3396" s="3"/>
      <c r="R3396" s="3"/>
      <c r="S3396" s="3"/>
      <c r="T3396" s="3"/>
      <c r="U3396" s="3"/>
      <c r="V3396" s="3"/>
      <c r="W3396" s="3"/>
      <c r="X3396" s="3"/>
      <c r="Y3396" s="3"/>
      <c r="Z3396" s="4"/>
      <c r="AA3396"/>
      <c r="AB3396"/>
    </row>
    <row r="3397" spans="1:28" s="37" customFormat="1" x14ac:dyDescent="0.15">
      <c r="A3397" s="166"/>
      <c r="B3397" s="82"/>
      <c r="C3397" s="70"/>
      <c r="D3397" s="70"/>
      <c r="E3397" s="70"/>
      <c r="F3397" s="70"/>
      <c r="G3397" s="70"/>
      <c r="H3397" s="93"/>
      <c r="I3397" s="85"/>
      <c r="J3397" s="85"/>
      <c r="K3397" s="131"/>
      <c r="L3397" s="60"/>
      <c r="M3397" s="50"/>
      <c r="Q3397" s="3"/>
      <c r="R3397" s="3"/>
      <c r="S3397" s="3"/>
      <c r="T3397" s="3"/>
      <c r="U3397" s="3"/>
      <c r="V3397" s="3"/>
      <c r="W3397" s="3"/>
      <c r="X3397" s="3"/>
      <c r="Y3397" s="3"/>
      <c r="Z3397" s="4"/>
      <c r="AA3397"/>
      <c r="AB3397"/>
    </row>
    <row r="3398" spans="1:28" s="37" customFormat="1" x14ac:dyDescent="0.15">
      <c r="A3398" s="166"/>
      <c r="B3398" s="82"/>
      <c r="C3398" s="70"/>
      <c r="D3398" s="70"/>
      <c r="E3398" s="70"/>
      <c r="F3398" s="70"/>
      <c r="G3398" s="70"/>
      <c r="H3398" s="93"/>
      <c r="I3398" s="85"/>
      <c r="J3398" s="85"/>
      <c r="K3398" s="131"/>
      <c r="L3398" s="60"/>
      <c r="M3398" s="50"/>
      <c r="Q3398" s="3"/>
      <c r="R3398" s="3"/>
      <c r="S3398" s="3"/>
      <c r="T3398" s="3"/>
      <c r="U3398" s="3"/>
      <c r="V3398" s="3"/>
      <c r="W3398" s="3"/>
      <c r="X3398" s="3"/>
      <c r="Y3398" s="3"/>
      <c r="Z3398" s="4"/>
      <c r="AA3398"/>
      <c r="AB3398"/>
    </row>
    <row r="3399" spans="1:28" s="37" customFormat="1" x14ac:dyDescent="0.15">
      <c r="A3399" s="166"/>
      <c r="B3399" s="82"/>
      <c r="C3399" s="70"/>
      <c r="D3399" s="70"/>
      <c r="E3399" s="70"/>
      <c r="F3399" s="70"/>
      <c r="G3399" s="70"/>
      <c r="H3399" s="108"/>
      <c r="I3399" s="85"/>
      <c r="J3399" s="85"/>
      <c r="K3399" s="131"/>
      <c r="L3399" s="60"/>
      <c r="M3399" s="50"/>
      <c r="Q3399" s="3"/>
      <c r="R3399" s="3"/>
      <c r="S3399" s="3"/>
      <c r="T3399" s="3"/>
      <c r="U3399" s="3"/>
      <c r="V3399" s="3"/>
      <c r="W3399" s="3"/>
      <c r="X3399" s="3"/>
      <c r="Y3399" s="3"/>
      <c r="Z3399" s="4"/>
      <c r="AA3399"/>
      <c r="AB3399"/>
    </row>
    <row r="3400" spans="1:28" s="37" customFormat="1" x14ac:dyDescent="0.15">
      <c r="A3400" s="166"/>
      <c r="B3400" s="82"/>
      <c r="C3400" s="70"/>
      <c r="D3400" s="70"/>
      <c r="E3400" s="70"/>
      <c r="F3400" s="70"/>
      <c r="G3400" s="70"/>
      <c r="H3400" s="93"/>
      <c r="I3400" s="85"/>
      <c r="J3400" s="85"/>
      <c r="K3400" s="131"/>
      <c r="L3400" s="60"/>
      <c r="M3400" s="49"/>
      <c r="Q3400" s="3"/>
      <c r="R3400" s="3"/>
      <c r="S3400" s="3"/>
      <c r="T3400" s="3"/>
      <c r="U3400" s="3"/>
      <c r="V3400" s="3"/>
      <c r="W3400" s="3"/>
      <c r="X3400" s="3"/>
      <c r="Y3400" s="3"/>
      <c r="Z3400" s="4"/>
      <c r="AA3400"/>
      <c r="AB3400"/>
    </row>
    <row r="3401" spans="1:28" s="37" customFormat="1" x14ac:dyDescent="0.15">
      <c r="A3401" s="166"/>
      <c r="B3401" s="82"/>
      <c r="C3401" s="70"/>
      <c r="D3401" s="70"/>
      <c r="E3401" s="70"/>
      <c r="F3401" s="70"/>
      <c r="G3401" s="70"/>
      <c r="H3401" s="93"/>
      <c r="I3401" s="85"/>
      <c r="J3401" s="85"/>
      <c r="K3401" s="131"/>
      <c r="L3401" s="60"/>
      <c r="M3401" s="49"/>
      <c r="Q3401" s="3"/>
      <c r="R3401" s="3"/>
      <c r="S3401" s="3"/>
      <c r="T3401" s="3"/>
      <c r="U3401" s="3"/>
      <c r="V3401" s="3"/>
      <c r="W3401" s="3"/>
      <c r="X3401" s="3"/>
      <c r="Y3401" s="3"/>
      <c r="Z3401" s="4"/>
      <c r="AA3401"/>
      <c r="AB3401"/>
    </row>
    <row r="3402" spans="1:28" s="37" customFormat="1" x14ac:dyDescent="0.15">
      <c r="A3402" s="166"/>
      <c r="B3402" s="82"/>
      <c r="C3402" s="70"/>
      <c r="D3402" s="70"/>
      <c r="E3402" s="70"/>
      <c r="F3402" s="70"/>
      <c r="G3402" s="70"/>
      <c r="H3402" s="93"/>
      <c r="I3402" s="85"/>
      <c r="J3402" s="85"/>
      <c r="K3402" s="131"/>
      <c r="L3402" s="60"/>
      <c r="M3402" s="49"/>
      <c r="Q3402" s="3"/>
      <c r="R3402" s="3"/>
      <c r="S3402" s="3"/>
      <c r="T3402" s="3"/>
      <c r="U3402" s="3"/>
      <c r="V3402" s="3"/>
      <c r="W3402" s="3"/>
      <c r="X3402" s="3"/>
      <c r="Y3402" s="3"/>
      <c r="Z3402" s="4"/>
      <c r="AA3402"/>
      <c r="AB3402"/>
    </row>
    <row r="3403" spans="1:28" s="37" customFormat="1" x14ac:dyDescent="0.15">
      <c r="A3403" s="166"/>
      <c r="B3403" s="82"/>
      <c r="C3403" s="70"/>
      <c r="D3403" s="70"/>
      <c r="E3403" s="70"/>
      <c r="F3403" s="70"/>
      <c r="G3403" s="70"/>
      <c r="H3403" s="93"/>
      <c r="I3403" s="85"/>
      <c r="J3403" s="85"/>
      <c r="K3403" s="131"/>
      <c r="L3403" s="60"/>
      <c r="M3403" s="50"/>
      <c r="Q3403" s="3"/>
      <c r="R3403" s="3"/>
      <c r="S3403" s="3"/>
      <c r="T3403" s="3"/>
      <c r="U3403" s="3"/>
      <c r="V3403" s="3"/>
      <c r="W3403" s="3"/>
      <c r="X3403" s="3"/>
      <c r="Y3403" s="3"/>
      <c r="Z3403" s="4"/>
      <c r="AA3403"/>
      <c r="AB3403"/>
    </row>
    <row r="3404" spans="1:28" s="37" customFormat="1" x14ac:dyDescent="0.15">
      <c r="A3404" s="166"/>
      <c r="B3404" s="82"/>
      <c r="C3404" s="70"/>
      <c r="D3404" s="70"/>
      <c r="E3404" s="70"/>
      <c r="F3404" s="70"/>
      <c r="G3404" s="70"/>
      <c r="H3404" s="93"/>
      <c r="I3404" s="85"/>
      <c r="J3404" s="85"/>
      <c r="K3404" s="131"/>
      <c r="L3404" s="60"/>
      <c r="M3404" s="49"/>
      <c r="Q3404" s="3"/>
      <c r="R3404" s="3"/>
      <c r="S3404" s="3"/>
      <c r="T3404" s="3"/>
      <c r="U3404" s="3"/>
      <c r="V3404" s="3"/>
      <c r="W3404" s="3"/>
      <c r="X3404" s="3"/>
      <c r="Y3404" s="3"/>
      <c r="Z3404" s="4"/>
      <c r="AA3404"/>
      <c r="AB3404"/>
    </row>
    <row r="3405" spans="1:28" s="37" customFormat="1" x14ac:dyDescent="0.15">
      <c r="A3405" s="166"/>
      <c r="B3405" s="82"/>
      <c r="C3405" s="70"/>
      <c r="D3405" s="70"/>
      <c r="E3405" s="70"/>
      <c r="F3405" s="70"/>
      <c r="G3405" s="70"/>
      <c r="H3405" s="93"/>
      <c r="I3405" s="85"/>
      <c r="J3405" s="85"/>
      <c r="K3405" s="131"/>
      <c r="L3405" s="60"/>
      <c r="M3405" s="49"/>
      <c r="Q3405" s="3"/>
      <c r="R3405" s="3"/>
      <c r="S3405" s="3"/>
      <c r="T3405" s="3"/>
      <c r="U3405" s="3"/>
      <c r="V3405" s="3"/>
      <c r="W3405" s="3"/>
      <c r="X3405" s="3"/>
      <c r="Y3405" s="3"/>
      <c r="Z3405" s="4"/>
      <c r="AA3405"/>
      <c r="AB3405"/>
    </row>
    <row r="3406" spans="1:28" s="37" customFormat="1" x14ac:dyDescent="0.15">
      <c r="A3406" s="166"/>
      <c r="B3406" s="82"/>
      <c r="C3406" s="70"/>
      <c r="D3406" s="70"/>
      <c r="E3406" s="70"/>
      <c r="F3406" s="70"/>
      <c r="G3406" s="70"/>
      <c r="H3406" s="93"/>
      <c r="I3406" s="85"/>
      <c r="J3406" s="85"/>
      <c r="K3406" s="131"/>
      <c r="L3406" s="60"/>
      <c r="M3406" s="50"/>
      <c r="Q3406" s="3"/>
      <c r="R3406" s="3"/>
      <c r="S3406" s="3"/>
      <c r="T3406" s="3"/>
      <c r="U3406" s="3"/>
      <c r="V3406" s="3"/>
      <c r="W3406" s="3"/>
      <c r="X3406" s="3"/>
      <c r="Y3406" s="3"/>
      <c r="Z3406" s="4"/>
      <c r="AA3406"/>
      <c r="AB3406"/>
    </row>
    <row r="3407" spans="1:28" s="37" customFormat="1" x14ac:dyDescent="0.15">
      <c r="A3407" s="166"/>
      <c r="B3407" s="82"/>
      <c r="C3407" s="70"/>
      <c r="D3407" s="70"/>
      <c r="E3407" s="70"/>
      <c r="F3407" s="70"/>
      <c r="G3407" s="70"/>
      <c r="H3407" s="93"/>
      <c r="I3407" s="85"/>
      <c r="J3407" s="85"/>
      <c r="K3407" s="131"/>
      <c r="L3407" s="60"/>
      <c r="M3407" s="49"/>
      <c r="Q3407" s="3"/>
      <c r="R3407" s="3"/>
      <c r="S3407" s="3"/>
      <c r="T3407" s="3"/>
      <c r="U3407" s="3"/>
      <c r="V3407" s="3"/>
      <c r="W3407" s="3"/>
      <c r="X3407" s="3"/>
      <c r="Y3407" s="3"/>
      <c r="Z3407" s="4"/>
      <c r="AA3407"/>
      <c r="AB3407"/>
    </row>
    <row r="3408" spans="1:28" s="37" customFormat="1" x14ac:dyDescent="0.15">
      <c r="A3408" s="166"/>
      <c r="B3408" s="82"/>
      <c r="C3408" s="70"/>
      <c r="D3408" s="70"/>
      <c r="E3408" s="70"/>
      <c r="F3408" s="70"/>
      <c r="G3408" s="70"/>
      <c r="H3408" s="93"/>
      <c r="I3408" s="85"/>
      <c r="J3408" s="85"/>
      <c r="K3408" s="131"/>
      <c r="L3408" s="60"/>
      <c r="M3408" s="49"/>
      <c r="Q3408" s="3"/>
      <c r="R3408" s="3"/>
      <c r="S3408" s="3"/>
      <c r="T3408" s="3"/>
      <c r="U3408" s="3"/>
      <c r="V3408" s="3"/>
      <c r="W3408" s="3"/>
      <c r="X3408" s="3"/>
      <c r="Y3408" s="3"/>
      <c r="Z3408" s="4"/>
      <c r="AA3408"/>
      <c r="AB3408"/>
    </row>
    <row r="3409" spans="1:28" s="37" customFormat="1" x14ac:dyDescent="0.15">
      <c r="A3409" s="166"/>
      <c r="B3409" s="82"/>
      <c r="C3409" s="70"/>
      <c r="D3409" s="70"/>
      <c r="E3409" s="70"/>
      <c r="F3409" s="70"/>
      <c r="G3409" s="70"/>
      <c r="H3409" s="93"/>
      <c r="I3409" s="85"/>
      <c r="J3409" s="85"/>
      <c r="K3409" s="131"/>
      <c r="L3409" s="60"/>
      <c r="M3409" s="49"/>
      <c r="Q3409" s="3"/>
      <c r="R3409" s="3"/>
      <c r="S3409" s="3"/>
      <c r="T3409" s="3"/>
      <c r="U3409" s="3"/>
      <c r="V3409" s="3"/>
      <c r="W3409" s="3"/>
      <c r="X3409" s="3"/>
      <c r="Y3409" s="3"/>
      <c r="Z3409" s="4"/>
      <c r="AA3409"/>
      <c r="AB3409"/>
    </row>
    <row r="3410" spans="1:28" s="37" customFormat="1" x14ac:dyDescent="0.15">
      <c r="A3410" s="166"/>
      <c r="B3410" s="82"/>
      <c r="C3410" s="70"/>
      <c r="D3410" s="70"/>
      <c r="E3410" s="70"/>
      <c r="F3410" s="70"/>
      <c r="G3410" s="70"/>
      <c r="H3410" s="93"/>
      <c r="I3410" s="85"/>
      <c r="J3410" s="85"/>
      <c r="K3410" s="131"/>
      <c r="L3410" s="60"/>
      <c r="M3410" s="49"/>
      <c r="Q3410" s="3"/>
      <c r="R3410" s="3"/>
      <c r="S3410" s="3"/>
      <c r="T3410" s="3"/>
      <c r="U3410" s="3"/>
      <c r="V3410" s="3"/>
      <c r="W3410" s="3"/>
      <c r="X3410" s="3"/>
      <c r="Y3410" s="3"/>
      <c r="Z3410" s="4"/>
      <c r="AA3410"/>
      <c r="AB3410"/>
    </row>
    <row r="3411" spans="1:28" s="37" customFormat="1" x14ac:dyDescent="0.15">
      <c r="A3411" s="166"/>
      <c r="B3411" s="82"/>
      <c r="C3411" s="70"/>
      <c r="D3411" s="70"/>
      <c r="E3411" s="70"/>
      <c r="F3411" s="70"/>
      <c r="G3411" s="70"/>
      <c r="H3411" s="108"/>
      <c r="I3411" s="85"/>
      <c r="J3411" s="85"/>
      <c r="K3411" s="131"/>
      <c r="L3411" s="60"/>
      <c r="M3411" s="49"/>
      <c r="Q3411" s="3"/>
      <c r="R3411" s="3"/>
      <c r="S3411" s="3"/>
      <c r="T3411" s="3"/>
      <c r="U3411" s="3"/>
      <c r="V3411" s="3"/>
      <c r="W3411" s="3"/>
      <c r="X3411" s="3"/>
      <c r="Y3411" s="3"/>
      <c r="Z3411" s="4"/>
      <c r="AA3411"/>
      <c r="AB3411"/>
    </row>
    <row r="3412" spans="1:28" s="37" customFormat="1" x14ac:dyDescent="0.15">
      <c r="A3412" s="166"/>
      <c r="B3412" s="82"/>
      <c r="C3412" s="70"/>
      <c r="D3412" s="70"/>
      <c r="E3412" s="70"/>
      <c r="F3412" s="70"/>
      <c r="G3412" s="70"/>
      <c r="H3412" s="93"/>
      <c r="I3412" s="85"/>
      <c r="J3412" s="85"/>
      <c r="K3412" s="131"/>
      <c r="L3412" s="60"/>
      <c r="M3412" s="49"/>
      <c r="Q3412" s="3"/>
      <c r="R3412" s="3"/>
      <c r="S3412" s="3"/>
      <c r="T3412" s="3"/>
      <c r="U3412" s="3"/>
      <c r="V3412" s="3"/>
      <c r="W3412" s="3"/>
      <c r="X3412" s="3"/>
      <c r="Y3412" s="3"/>
      <c r="Z3412" s="4"/>
      <c r="AA3412"/>
      <c r="AB3412"/>
    </row>
    <row r="3413" spans="1:28" s="37" customFormat="1" x14ac:dyDescent="0.15">
      <c r="A3413" s="166"/>
      <c r="B3413" s="82"/>
      <c r="C3413" s="70"/>
      <c r="D3413" s="70"/>
      <c r="E3413" s="70"/>
      <c r="F3413" s="70"/>
      <c r="G3413" s="70"/>
      <c r="H3413" s="108"/>
      <c r="I3413" s="85"/>
      <c r="J3413" s="85"/>
      <c r="K3413" s="131"/>
      <c r="L3413" s="60"/>
      <c r="M3413" s="49"/>
      <c r="Q3413" s="3"/>
      <c r="R3413" s="3"/>
      <c r="S3413" s="3"/>
      <c r="T3413" s="3"/>
      <c r="U3413" s="3"/>
      <c r="V3413" s="3"/>
      <c r="W3413" s="3"/>
      <c r="X3413" s="3"/>
      <c r="Y3413" s="3"/>
      <c r="Z3413" s="4"/>
      <c r="AA3413"/>
      <c r="AB3413"/>
    </row>
    <row r="3414" spans="1:28" s="37" customFormat="1" x14ac:dyDescent="0.15">
      <c r="A3414" s="166"/>
      <c r="B3414" s="82"/>
      <c r="C3414" s="70"/>
      <c r="D3414" s="70"/>
      <c r="E3414" s="70"/>
      <c r="F3414" s="70"/>
      <c r="G3414" s="70"/>
      <c r="H3414" s="93"/>
      <c r="I3414" s="85"/>
      <c r="J3414" s="85"/>
      <c r="K3414" s="131"/>
      <c r="L3414" s="60"/>
      <c r="M3414" s="49"/>
      <c r="Q3414" s="3"/>
      <c r="R3414" s="3"/>
      <c r="S3414" s="3"/>
      <c r="T3414" s="3"/>
      <c r="U3414" s="3"/>
      <c r="V3414" s="3"/>
      <c r="W3414" s="3"/>
      <c r="X3414" s="3"/>
      <c r="Y3414" s="3"/>
      <c r="Z3414" s="4"/>
      <c r="AA3414"/>
      <c r="AB3414"/>
    </row>
    <row r="3415" spans="1:28" s="37" customFormat="1" x14ac:dyDescent="0.15">
      <c r="A3415" s="166"/>
      <c r="B3415" s="82"/>
      <c r="C3415" s="70"/>
      <c r="D3415" s="70"/>
      <c r="E3415" s="70"/>
      <c r="F3415" s="70"/>
      <c r="G3415" s="70"/>
      <c r="H3415" s="93"/>
      <c r="I3415" s="85"/>
      <c r="J3415" s="85"/>
      <c r="K3415" s="131"/>
      <c r="L3415" s="60"/>
      <c r="M3415" s="49"/>
      <c r="Q3415" s="3"/>
      <c r="R3415" s="3"/>
      <c r="S3415" s="3"/>
      <c r="T3415" s="3"/>
      <c r="U3415" s="3"/>
      <c r="V3415" s="3"/>
      <c r="W3415" s="3"/>
      <c r="X3415" s="3"/>
      <c r="Y3415" s="3"/>
      <c r="Z3415" s="4"/>
      <c r="AA3415"/>
      <c r="AB3415"/>
    </row>
    <row r="3416" spans="1:28" s="37" customFormat="1" x14ac:dyDescent="0.15">
      <c r="A3416" s="166"/>
      <c r="B3416" s="82"/>
      <c r="C3416" s="70"/>
      <c r="D3416" s="70"/>
      <c r="E3416" s="70"/>
      <c r="F3416" s="70"/>
      <c r="G3416" s="70"/>
      <c r="H3416" s="93"/>
      <c r="I3416" s="85"/>
      <c r="J3416" s="85"/>
      <c r="K3416" s="131"/>
      <c r="L3416" s="60"/>
      <c r="M3416" s="49"/>
      <c r="Q3416" s="3"/>
      <c r="R3416" s="3"/>
      <c r="S3416" s="3"/>
      <c r="T3416" s="3"/>
      <c r="U3416" s="3"/>
      <c r="V3416" s="3"/>
      <c r="W3416" s="3"/>
      <c r="X3416" s="3"/>
      <c r="Y3416" s="3"/>
      <c r="Z3416" s="4"/>
      <c r="AA3416"/>
      <c r="AB3416"/>
    </row>
    <row r="3417" spans="1:28" s="37" customFormat="1" x14ac:dyDescent="0.15">
      <c r="A3417" s="166"/>
      <c r="B3417" s="82"/>
      <c r="C3417" s="70"/>
      <c r="D3417" s="70"/>
      <c r="E3417" s="70"/>
      <c r="F3417" s="70"/>
      <c r="G3417" s="70"/>
      <c r="H3417" s="93"/>
      <c r="I3417" s="85"/>
      <c r="J3417" s="85"/>
      <c r="K3417" s="131"/>
      <c r="L3417" s="60"/>
      <c r="M3417" s="49"/>
      <c r="Q3417" s="3"/>
      <c r="R3417" s="3"/>
      <c r="S3417" s="3"/>
      <c r="T3417" s="3"/>
      <c r="U3417" s="3"/>
      <c r="V3417" s="3"/>
      <c r="W3417" s="3"/>
      <c r="X3417" s="3"/>
      <c r="Y3417" s="3"/>
      <c r="Z3417" s="4"/>
      <c r="AA3417"/>
      <c r="AB3417"/>
    </row>
    <row r="3418" spans="1:28" s="37" customFormat="1" x14ac:dyDescent="0.15">
      <c r="A3418" s="166"/>
      <c r="B3418" s="82"/>
      <c r="C3418" s="70"/>
      <c r="D3418" s="70"/>
      <c r="E3418" s="70"/>
      <c r="F3418" s="70"/>
      <c r="G3418" s="70"/>
      <c r="H3418" s="93"/>
      <c r="I3418" s="85"/>
      <c r="J3418" s="85"/>
      <c r="K3418" s="131"/>
      <c r="L3418" s="60"/>
      <c r="M3418" s="49"/>
      <c r="Q3418" s="3"/>
      <c r="R3418" s="3"/>
      <c r="S3418" s="3"/>
      <c r="T3418" s="3"/>
      <c r="U3418" s="3"/>
      <c r="V3418" s="3"/>
      <c r="W3418" s="3"/>
      <c r="X3418" s="3"/>
      <c r="Y3418" s="3"/>
      <c r="Z3418" s="4"/>
      <c r="AA3418"/>
      <c r="AB3418"/>
    </row>
    <row r="3419" spans="1:28" s="37" customFormat="1" x14ac:dyDescent="0.15">
      <c r="A3419" s="166"/>
      <c r="B3419" s="82"/>
      <c r="C3419" s="70"/>
      <c r="D3419" s="70"/>
      <c r="E3419" s="70"/>
      <c r="F3419" s="70"/>
      <c r="G3419" s="70"/>
      <c r="H3419" s="93"/>
      <c r="I3419" s="85"/>
      <c r="J3419" s="85"/>
      <c r="K3419" s="131"/>
      <c r="L3419" s="60"/>
      <c r="M3419" s="49"/>
      <c r="Q3419" s="3"/>
      <c r="R3419" s="3"/>
      <c r="S3419" s="3"/>
      <c r="T3419" s="3"/>
      <c r="U3419" s="3"/>
      <c r="V3419" s="3"/>
      <c r="W3419" s="3"/>
      <c r="X3419" s="3"/>
      <c r="Y3419" s="3"/>
      <c r="Z3419" s="4"/>
      <c r="AA3419"/>
      <c r="AB3419"/>
    </row>
    <row r="3420" spans="1:28" s="37" customFormat="1" x14ac:dyDescent="0.15">
      <c r="A3420" s="166"/>
      <c r="B3420" s="82"/>
      <c r="C3420" s="70"/>
      <c r="D3420" s="70"/>
      <c r="E3420" s="70"/>
      <c r="F3420" s="70"/>
      <c r="G3420" s="70"/>
      <c r="H3420" s="93"/>
      <c r="I3420" s="85"/>
      <c r="J3420" s="85"/>
      <c r="K3420" s="131"/>
      <c r="L3420" s="69"/>
      <c r="M3420" s="49"/>
      <c r="Q3420" s="3"/>
      <c r="R3420" s="3"/>
      <c r="S3420" s="3"/>
      <c r="T3420" s="3"/>
      <c r="U3420" s="3"/>
      <c r="V3420" s="3"/>
      <c r="W3420" s="3"/>
      <c r="X3420" s="3"/>
      <c r="Y3420" s="3"/>
      <c r="Z3420" s="4"/>
      <c r="AA3420"/>
      <c r="AB3420"/>
    </row>
    <row r="3421" spans="1:28" s="37" customFormat="1" x14ac:dyDescent="0.15">
      <c r="A3421" s="166"/>
      <c r="B3421" s="82"/>
      <c r="C3421" s="70"/>
      <c r="D3421" s="70"/>
      <c r="E3421" s="70"/>
      <c r="F3421" s="70"/>
      <c r="G3421" s="70"/>
      <c r="H3421" s="93"/>
      <c r="I3421" s="85"/>
      <c r="J3421" s="85"/>
      <c r="K3421" s="131"/>
      <c r="L3421" s="60"/>
      <c r="M3421" s="49"/>
      <c r="Q3421" s="3"/>
      <c r="R3421" s="3"/>
      <c r="S3421" s="3"/>
      <c r="T3421" s="3"/>
      <c r="U3421" s="3"/>
      <c r="V3421" s="3"/>
      <c r="W3421" s="3"/>
      <c r="X3421" s="3"/>
      <c r="Y3421" s="3"/>
      <c r="Z3421" s="4"/>
      <c r="AA3421"/>
      <c r="AB3421"/>
    </row>
    <row r="3422" spans="1:28" s="49" customFormat="1" x14ac:dyDescent="0.15">
      <c r="A3422" s="166"/>
      <c r="B3422" s="82"/>
      <c r="C3422" s="70"/>
      <c r="D3422" s="70"/>
      <c r="E3422" s="70"/>
      <c r="F3422" s="70"/>
      <c r="G3422" s="70"/>
      <c r="H3422" s="93"/>
      <c r="I3422" s="85"/>
      <c r="J3422" s="85"/>
      <c r="K3422" s="131"/>
      <c r="L3422" s="60"/>
      <c r="N3422" s="37"/>
      <c r="O3422" s="37"/>
      <c r="P3422" s="37"/>
      <c r="Q3422" s="3"/>
      <c r="R3422" s="3"/>
      <c r="S3422" s="3"/>
      <c r="T3422" s="3"/>
      <c r="U3422" s="3"/>
      <c r="V3422" s="3"/>
      <c r="W3422" s="3"/>
      <c r="X3422" s="3"/>
      <c r="Y3422" s="3"/>
      <c r="Z3422" s="4"/>
      <c r="AA3422"/>
      <c r="AB3422"/>
    </row>
    <row r="3423" spans="1:28" s="49" customFormat="1" x14ac:dyDescent="0.15">
      <c r="A3423" s="166"/>
      <c r="B3423" s="82"/>
      <c r="C3423" s="70"/>
      <c r="D3423" s="70"/>
      <c r="E3423" s="70"/>
      <c r="F3423" s="70"/>
      <c r="G3423" s="70"/>
      <c r="H3423" s="93"/>
      <c r="I3423" s="85"/>
      <c r="J3423" s="85"/>
      <c r="K3423" s="131"/>
      <c r="L3423" s="69"/>
      <c r="N3423" s="37"/>
      <c r="O3423" s="37"/>
      <c r="P3423" s="37"/>
      <c r="Q3423" s="3"/>
      <c r="R3423" s="3"/>
      <c r="S3423" s="3"/>
      <c r="T3423" s="3"/>
      <c r="U3423" s="3"/>
      <c r="V3423" s="3"/>
      <c r="W3423" s="3"/>
      <c r="X3423" s="3"/>
      <c r="Y3423" s="3"/>
      <c r="Z3423" s="4"/>
      <c r="AA3423"/>
      <c r="AB3423"/>
    </row>
    <row r="3424" spans="1:28" s="49" customFormat="1" x14ac:dyDescent="0.15">
      <c r="A3424" s="166"/>
      <c r="B3424" s="82"/>
      <c r="C3424" s="70"/>
      <c r="D3424" s="70"/>
      <c r="E3424" s="70"/>
      <c r="F3424" s="70"/>
      <c r="G3424" s="70"/>
      <c r="H3424" s="93"/>
      <c r="I3424" s="85"/>
      <c r="J3424" s="85"/>
      <c r="K3424" s="131"/>
      <c r="L3424" s="69"/>
      <c r="N3424" s="37"/>
      <c r="O3424" s="37"/>
      <c r="P3424" s="37"/>
      <c r="Q3424" s="3"/>
      <c r="R3424" s="3"/>
      <c r="S3424" s="3"/>
      <c r="T3424" s="3"/>
      <c r="U3424" s="3"/>
      <c r="V3424" s="3"/>
      <c r="W3424" s="3"/>
      <c r="X3424" s="3"/>
      <c r="Y3424" s="3"/>
      <c r="Z3424" s="4"/>
      <c r="AA3424"/>
      <c r="AB3424"/>
    </row>
    <row r="3425" spans="1:28" s="49" customFormat="1" x14ac:dyDescent="0.15">
      <c r="A3425" s="166"/>
      <c r="B3425" s="82"/>
      <c r="C3425" s="70"/>
      <c r="D3425" s="70"/>
      <c r="E3425" s="70"/>
      <c r="F3425" s="70"/>
      <c r="G3425" s="70"/>
      <c r="H3425" s="93"/>
      <c r="I3425" s="85"/>
      <c r="J3425" s="85"/>
      <c r="K3425" s="131"/>
      <c r="L3425" s="69"/>
      <c r="N3425" s="37"/>
      <c r="O3425" s="37"/>
      <c r="P3425" s="37"/>
      <c r="Q3425" s="3"/>
      <c r="R3425" s="3"/>
      <c r="S3425" s="3"/>
      <c r="T3425" s="3"/>
      <c r="U3425" s="3"/>
      <c r="V3425" s="3"/>
      <c r="W3425" s="3"/>
      <c r="X3425" s="3"/>
      <c r="Y3425" s="3"/>
      <c r="Z3425" s="4"/>
      <c r="AA3425"/>
      <c r="AB3425"/>
    </row>
    <row r="3426" spans="1:28" s="49" customFormat="1" x14ac:dyDescent="0.15">
      <c r="A3426" s="166"/>
      <c r="B3426" s="82"/>
      <c r="C3426" s="70"/>
      <c r="D3426" s="70"/>
      <c r="E3426" s="70"/>
      <c r="F3426" s="70"/>
      <c r="G3426" s="70"/>
      <c r="H3426" s="93"/>
      <c r="I3426" s="85"/>
      <c r="J3426" s="85"/>
      <c r="K3426" s="131"/>
      <c r="L3426" s="60"/>
      <c r="N3426" s="37"/>
      <c r="O3426" s="37"/>
      <c r="P3426" s="37"/>
      <c r="Q3426" s="3"/>
      <c r="R3426" s="3"/>
      <c r="S3426" s="3"/>
      <c r="T3426" s="3"/>
      <c r="U3426" s="3"/>
      <c r="V3426" s="3"/>
      <c r="W3426" s="3"/>
      <c r="X3426" s="3"/>
      <c r="Y3426" s="3"/>
      <c r="Z3426" s="4"/>
      <c r="AA3426"/>
      <c r="AB3426"/>
    </row>
    <row r="3427" spans="1:28" s="49" customFormat="1" x14ac:dyDescent="0.15">
      <c r="A3427" s="166"/>
      <c r="B3427" s="82"/>
      <c r="C3427" s="70"/>
      <c r="D3427" s="70"/>
      <c r="E3427" s="70"/>
      <c r="F3427" s="70"/>
      <c r="G3427" s="70"/>
      <c r="H3427" s="93"/>
      <c r="I3427" s="85"/>
      <c r="J3427" s="85"/>
      <c r="K3427" s="131"/>
      <c r="L3427" s="60"/>
      <c r="N3427" s="37"/>
      <c r="O3427" s="37"/>
      <c r="P3427" s="37"/>
      <c r="Q3427" s="3"/>
      <c r="R3427" s="3"/>
      <c r="S3427" s="3"/>
      <c r="T3427" s="3"/>
      <c r="U3427" s="3"/>
      <c r="V3427" s="3"/>
      <c r="W3427" s="3"/>
      <c r="X3427" s="3"/>
      <c r="Y3427" s="3"/>
      <c r="Z3427" s="4"/>
      <c r="AA3427"/>
      <c r="AB3427"/>
    </row>
    <row r="3428" spans="1:28" s="49" customFormat="1" x14ac:dyDescent="0.15">
      <c r="A3428" s="166"/>
      <c r="B3428" s="82"/>
      <c r="C3428" s="70"/>
      <c r="D3428" s="70"/>
      <c r="E3428" s="70"/>
      <c r="F3428" s="70"/>
      <c r="G3428" s="70"/>
      <c r="H3428" s="93"/>
      <c r="I3428" s="85"/>
      <c r="J3428" s="85"/>
      <c r="K3428" s="131"/>
      <c r="L3428" s="69"/>
      <c r="N3428" s="37"/>
      <c r="O3428" s="37"/>
      <c r="P3428" s="37"/>
      <c r="Q3428" s="3"/>
      <c r="R3428" s="3"/>
      <c r="S3428" s="3"/>
      <c r="T3428" s="3"/>
      <c r="U3428" s="3"/>
      <c r="V3428" s="3"/>
      <c r="W3428" s="3"/>
      <c r="X3428" s="3"/>
      <c r="Y3428" s="3"/>
      <c r="Z3428" s="4"/>
      <c r="AA3428"/>
      <c r="AB3428"/>
    </row>
    <row r="3429" spans="1:28" s="49" customFormat="1" x14ac:dyDescent="0.15">
      <c r="A3429" s="166"/>
      <c r="B3429" s="82"/>
      <c r="C3429" s="70"/>
      <c r="D3429" s="70"/>
      <c r="E3429" s="70"/>
      <c r="F3429" s="70"/>
      <c r="G3429" s="70"/>
      <c r="H3429" s="93"/>
      <c r="I3429" s="85"/>
      <c r="J3429" s="85"/>
      <c r="K3429" s="131"/>
      <c r="L3429" s="69"/>
      <c r="N3429" s="37"/>
      <c r="O3429" s="37"/>
      <c r="P3429" s="37"/>
      <c r="Q3429" s="3"/>
      <c r="R3429" s="3"/>
      <c r="S3429" s="3"/>
      <c r="T3429" s="3"/>
      <c r="U3429" s="3"/>
      <c r="V3429" s="3"/>
      <c r="W3429" s="3"/>
      <c r="X3429" s="3"/>
      <c r="Y3429" s="3"/>
      <c r="Z3429" s="4"/>
      <c r="AA3429"/>
      <c r="AB3429"/>
    </row>
    <row r="3430" spans="1:28" s="49" customFormat="1" x14ac:dyDescent="0.15">
      <c r="A3430" s="167"/>
      <c r="B3430" s="87"/>
      <c r="C3430" s="88"/>
      <c r="D3430" s="86"/>
      <c r="E3430" s="86"/>
      <c r="F3430" s="86"/>
      <c r="G3430" s="86"/>
      <c r="H3430" s="87"/>
      <c r="I3430" s="85"/>
      <c r="J3430" s="89"/>
      <c r="K3430" s="132"/>
      <c r="L3430" s="62"/>
      <c r="N3430" s="37"/>
      <c r="O3430" s="37"/>
      <c r="P3430" s="37"/>
      <c r="Q3430" s="3"/>
      <c r="R3430" s="3"/>
      <c r="S3430" s="3"/>
      <c r="T3430" s="3"/>
      <c r="U3430" s="3"/>
      <c r="V3430" s="3"/>
      <c r="W3430" s="3"/>
      <c r="X3430" s="3"/>
      <c r="Y3430" s="3"/>
      <c r="Z3430" s="4"/>
      <c r="AA3430"/>
      <c r="AB3430"/>
    </row>
    <row r="3431" spans="1:28" s="49" customFormat="1" x14ac:dyDescent="0.15">
      <c r="A3431" s="167"/>
      <c r="B3431" s="87"/>
      <c r="C3431" s="88"/>
      <c r="D3431" s="86"/>
      <c r="E3431" s="86"/>
      <c r="F3431" s="86"/>
      <c r="G3431" s="86"/>
      <c r="H3431" s="87"/>
      <c r="I3431" s="85"/>
      <c r="J3431" s="89"/>
      <c r="K3431" s="132"/>
      <c r="L3431" s="62"/>
      <c r="N3431" s="37"/>
      <c r="O3431" s="37"/>
      <c r="P3431" s="37"/>
      <c r="Q3431" s="3"/>
      <c r="R3431" s="3"/>
      <c r="S3431" s="3"/>
      <c r="T3431" s="3"/>
      <c r="U3431" s="3"/>
      <c r="V3431" s="3"/>
      <c r="W3431" s="3"/>
      <c r="X3431" s="3"/>
      <c r="Y3431" s="3"/>
      <c r="Z3431" s="4"/>
      <c r="AA3431"/>
      <c r="AB3431"/>
    </row>
    <row r="3432" spans="1:28" s="49" customFormat="1" x14ac:dyDescent="0.15">
      <c r="A3432" s="167"/>
      <c r="B3432" s="87"/>
      <c r="C3432" s="88"/>
      <c r="D3432" s="86"/>
      <c r="E3432" s="86"/>
      <c r="F3432" s="86"/>
      <c r="G3432" s="86"/>
      <c r="H3432" s="87"/>
      <c r="I3432" s="85"/>
      <c r="J3432" s="89"/>
      <c r="K3432" s="132"/>
      <c r="L3432" s="62"/>
      <c r="N3432" s="37"/>
      <c r="O3432" s="37"/>
      <c r="P3432" s="37"/>
      <c r="Q3432" s="3"/>
      <c r="R3432" s="3"/>
      <c r="S3432" s="3"/>
      <c r="T3432" s="3"/>
      <c r="U3432" s="3"/>
      <c r="V3432" s="3"/>
      <c r="W3432" s="3"/>
      <c r="X3432" s="3"/>
      <c r="Y3432" s="3"/>
      <c r="Z3432" s="4"/>
      <c r="AA3432"/>
      <c r="AB3432"/>
    </row>
    <row r="3433" spans="1:28" s="49" customFormat="1" x14ac:dyDescent="0.15">
      <c r="A3433" s="167"/>
      <c r="B3433" s="87"/>
      <c r="C3433" s="88"/>
      <c r="D3433" s="86"/>
      <c r="E3433" s="86"/>
      <c r="F3433" s="86"/>
      <c r="G3433" s="86"/>
      <c r="H3433" s="87"/>
      <c r="I3433" s="85"/>
      <c r="J3433" s="89"/>
      <c r="K3433" s="132"/>
      <c r="L3433" s="62"/>
      <c r="N3433" s="37"/>
      <c r="O3433" s="37"/>
      <c r="P3433" s="37"/>
      <c r="Q3433" s="3"/>
      <c r="R3433" s="3"/>
      <c r="S3433" s="3"/>
      <c r="T3433" s="3"/>
      <c r="U3433" s="3"/>
      <c r="V3433" s="3"/>
      <c r="W3433" s="3"/>
      <c r="X3433" s="3"/>
      <c r="Y3433" s="3"/>
      <c r="Z3433" s="4"/>
      <c r="AA3433"/>
      <c r="AB3433"/>
    </row>
    <row r="3434" spans="1:28" s="49" customFormat="1" x14ac:dyDescent="0.15">
      <c r="A3434" s="167"/>
      <c r="B3434" s="87"/>
      <c r="C3434" s="88"/>
      <c r="D3434" s="86"/>
      <c r="E3434" s="86"/>
      <c r="F3434" s="86"/>
      <c r="G3434" s="86"/>
      <c r="H3434" s="87"/>
      <c r="I3434" s="85"/>
      <c r="J3434" s="89"/>
      <c r="K3434" s="132"/>
      <c r="L3434" s="62"/>
      <c r="N3434" s="37"/>
      <c r="O3434" s="37"/>
      <c r="P3434" s="37"/>
      <c r="Q3434" s="3"/>
      <c r="R3434" s="3"/>
      <c r="S3434" s="3"/>
      <c r="T3434" s="3"/>
      <c r="U3434" s="3"/>
      <c r="V3434" s="3"/>
      <c r="W3434" s="3"/>
      <c r="X3434" s="3"/>
      <c r="Y3434" s="3"/>
      <c r="Z3434" s="4"/>
      <c r="AA3434"/>
      <c r="AB3434"/>
    </row>
    <row r="3435" spans="1:28" s="49" customFormat="1" x14ac:dyDescent="0.15">
      <c r="A3435" s="167"/>
      <c r="B3435" s="87"/>
      <c r="C3435" s="88"/>
      <c r="D3435" s="86"/>
      <c r="E3435" s="86"/>
      <c r="F3435" s="86"/>
      <c r="G3435" s="86"/>
      <c r="H3435" s="87"/>
      <c r="I3435" s="85"/>
      <c r="J3435" s="89"/>
      <c r="K3435" s="132"/>
      <c r="L3435" s="62"/>
      <c r="N3435" s="37"/>
      <c r="O3435" s="37"/>
      <c r="P3435" s="37"/>
      <c r="Q3435" s="3"/>
      <c r="R3435" s="3"/>
      <c r="S3435" s="3"/>
      <c r="T3435" s="3"/>
      <c r="U3435" s="3"/>
      <c r="V3435" s="3"/>
      <c r="W3435" s="3"/>
      <c r="X3435" s="3"/>
      <c r="Y3435" s="3"/>
      <c r="Z3435" s="4"/>
      <c r="AA3435"/>
      <c r="AB3435"/>
    </row>
    <row r="3436" spans="1:28" s="49" customFormat="1" x14ac:dyDescent="0.15">
      <c r="A3436" s="167"/>
      <c r="B3436" s="87"/>
      <c r="C3436" s="88"/>
      <c r="D3436" s="86"/>
      <c r="E3436" s="86"/>
      <c r="F3436" s="86"/>
      <c r="G3436" s="86"/>
      <c r="H3436" s="87"/>
      <c r="I3436" s="85"/>
      <c r="J3436" s="89"/>
      <c r="K3436" s="132"/>
      <c r="L3436" s="62"/>
      <c r="N3436" s="37"/>
      <c r="O3436" s="37"/>
      <c r="P3436" s="37"/>
      <c r="Q3436" s="3"/>
      <c r="R3436" s="3"/>
      <c r="S3436" s="3"/>
      <c r="T3436" s="3"/>
      <c r="U3436" s="3"/>
      <c r="V3436" s="3"/>
      <c r="W3436" s="3"/>
      <c r="X3436" s="3"/>
      <c r="Y3436" s="3"/>
      <c r="Z3436" s="4"/>
      <c r="AA3436"/>
      <c r="AB3436"/>
    </row>
    <row r="3437" spans="1:28" s="49" customFormat="1" x14ac:dyDescent="0.15">
      <c r="A3437" s="167"/>
      <c r="B3437" s="87"/>
      <c r="C3437" s="88"/>
      <c r="D3437" s="86"/>
      <c r="E3437" s="86"/>
      <c r="F3437" s="86"/>
      <c r="G3437" s="86"/>
      <c r="H3437" s="87"/>
      <c r="I3437" s="85"/>
      <c r="J3437" s="89"/>
      <c r="K3437" s="132"/>
      <c r="L3437" s="62"/>
      <c r="N3437" s="37"/>
      <c r="O3437" s="37"/>
      <c r="P3437" s="37"/>
      <c r="Q3437" s="3"/>
      <c r="R3437" s="3"/>
      <c r="S3437" s="3"/>
      <c r="T3437" s="3"/>
      <c r="U3437" s="3"/>
      <c r="V3437" s="3"/>
      <c r="W3437" s="3"/>
      <c r="X3437" s="3"/>
      <c r="Y3437" s="3"/>
      <c r="Z3437" s="4"/>
      <c r="AA3437"/>
      <c r="AB3437"/>
    </row>
    <row r="3438" spans="1:28" x14ac:dyDescent="0.15">
      <c r="A3438" s="167"/>
      <c r="B3438" s="87"/>
      <c r="C3438" s="88"/>
      <c r="D3438" s="86"/>
      <c r="E3438" s="86"/>
      <c r="F3438" s="86"/>
      <c r="G3438" s="86"/>
      <c r="H3438" s="87"/>
      <c r="I3438" s="85"/>
      <c r="J3438" s="89"/>
      <c r="K3438" s="132"/>
      <c r="L3438" s="62"/>
    </row>
    <row r="3439" spans="1:28" x14ac:dyDescent="0.15">
      <c r="A3439" s="167"/>
      <c r="B3439" s="87"/>
      <c r="C3439" s="88"/>
      <c r="D3439" s="86"/>
      <c r="E3439" s="86"/>
      <c r="F3439" s="86"/>
      <c r="G3439" s="86"/>
      <c r="H3439" s="87"/>
      <c r="I3439" s="85"/>
      <c r="J3439" s="89"/>
      <c r="K3439" s="132"/>
      <c r="L3439" s="62"/>
    </row>
    <row r="3440" spans="1:28" x14ac:dyDescent="0.15">
      <c r="A3440" s="167"/>
      <c r="B3440" s="87"/>
      <c r="C3440" s="88"/>
      <c r="D3440" s="86"/>
      <c r="E3440" s="86"/>
      <c r="F3440" s="86"/>
      <c r="G3440" s="86"/>
      <c r="H3440" s="87"/>
      <c r="I3440" s="85"/>
      <c r="J3440" s="89"/>
      <c r="K3440" s="132"/>
      <c r="L3440" s="62"/>
    </row>
    <row r="3441" spans="1:28" x14ac:dyDescent="0.15">
      <c r="A3441" s="166"/>
      <c r="B3441" s="82"/>
      <c r="C3441" s="70"/>
      <c r="D3441" s="70"/>
      <c r="E3441" s="70"/>
      <c r="F3441" s="70"/>
      <c r="G3441" s="70"/>
      <c r="H3441" s="93"/>
      <c r="I3441" s="85"/>
      <c r="J3441" s="85"/>
      <c r="K3441" s="131"/>
      <c r="L3441" s="63"/>
    </row>
    <row r="3442" spans="1:28" x14ac:dyDescent="0.15">
      <c r="A3442" s="166"/>
      <c r="B3442" s="82"/>
      <c r="C3442" s="70"/>
      <c r="D3442" s="70"/>
      <c r="E3442" s="70"/>
      <c r="F3442" s="70"/>
      <c r="G3442" s="70"/>
      <c r="H3442" s="93"/>
      <c r="I3442" s="85"/>
      <c r="J3442" s="85"/>
      <c r="K3442" s="131"/>
      <c r="L3442" s="60"/>
      <c r="M3442" s="33"/>
    </row>
    <row r="3443" spans="1:28" x14ac:dyDescent="0.15">
      <c r="A3443" s="166"/>
      <c r="B3443" s="82"/>
      <c r="C3443" s="70"/>
      <c r="D3443" s="70"/>
      <c r="E3443" s="70"/>
      <c r="F3443" s="70"/>
      <c r="G3443" s="70"/>
      <c r="H3443" s="93"/>
      <c r="I3443" s="85"/>
      <c r="J3443" s="85"/>
      <c r="K3443" s="131"/>
      <c r="L3443" s="63"/>
      <c r="M3443" s="33"/>
    </row>
    <row r="3444" spans="1:28" x14ac:dyDescent="0.15">
      <c r="A3444" s="166"/>
      <c r="B3444" s="82"/>
      <c r="C3444" s="70"/>
      <c r="D3444" s="70"/>
      <c r="E3444" s="70"/>
      <c r="F3444" s="70"/>
      <c r="G3444" s="70"/>
      <c r="H3444" s="93"/>
      <c r="I3444" s="85"/>
      <c r="J3444" s="85"/>
      <c r="K3444" s="131"/>
      <c r="L3444" s="60"/>
      <c r="M3444" s="33"/>
    </row>
    <row r="3445" spans="1:28" x14ac:dyDescent="0.15">
      <c r="A3445" s="166"/>
      <c r="B3445" s="82"/>
      <c r="C3445" s="70"/>
      <c r="D3445" s="70"/>
      <c r="E3445" s="70"/>
      <c r="F3445" s="70"/>
      <c r="G3445" s="70"/>
      <c r="H3445" s="93"/>
      <c r="I3445" s="85"/>
      <c r="J3445" s="85"/>
      <c r="K3445" s="131"/>
      <c r="L3445" s="63"/>
    </row>
    <row r="3446" spans="1:28" x14ac:dyDescent="0.15">
      <c r="A3446" s="166"/>
      <c r="B3446" s="82"/>
      <c r="C3446" s="70"/>
      <c r="D3446" s="70"/>
      <c r="E3446" s="70"/>
      <c r="F3446" s="70"/>
      <c r="G3446" s="70"/>
      <c r="H3446" s="93"/>
      <c r="I3446" s="85"/>
      <c r="J3446" s="85"/>
      <c r="K3446" s="131"/>
      <c r="L3446" s="63"/>
    </row>
    <row r="3447" spans="1:28" x14ac:dyDescent="0.15">
      <c r="A3447" s="166"/>
      <c r="B3447" s="82"/>
      <c r="C3447" s="70"/>
      <c r="D3447" s="70"/>
      <c r="E3447" s="70"/>
      <c r="F3447" s="70"/>
      <c r="G3447" s="70"/>
      <c r="H3447" s="93"/>
      <c r="I3447" s="85"/>
      <c r="J3447" s="85"/>
      <c r="K3447" s="131"/>
      <c r="L3447" s="63"/>
    </row>
    <row r="3448" spans="1:28" x14ac:dyDescent="0.15">
      <c r="A3448" s="166"/>
      <c r="B3448" s="93"/>
      <c r="C3448" s="70"/>
      <c r="D3448" s="70"/>
      <c r="E3448" s="70"/>
      <c r="F3448" s="70"/>
      <c r="G3448" s="70"/>
      <c r="H3448" s="93"/>
      <c r="I3448" s="85"/>
      <c r="J3448" s="85"/>
      <c r="K3448" s="131"/>
      <c r="L3448" s="60"/>
      <c r="Q3448" s="6"/>
      <c r="R3448" s="6"/>
      <c r="S3448" s="187"/>
      <c r="T3448" s="187"/>
      <c r="U3448" s="187"/>
      <c r="V3448" s="187"/>
      <c r="W3448" s="187"/>
      <c r="X3448" s="187"/>
      <c r="Y3448" s="187"/>
      <c r="Z3448" s="188"/>
      <c r="AA3448" s="189"/>
      <c r="AB3448" s="189"/>
    </row>
    <row r="3449" spans="1:28" x14ac:dyDescent="0.15">
      <c r="A3449" s="167"/>
      <c r="B3449" s="87"/>
      <c r="C3449" s="88"/>
      <c r="D3449" s="86"/>
      <c r="E3449" s="86"/>
      <c r="F3449" s="86"/>
      <c r="G3449" s="86"/>
      <c r="H3449" s="87"/>
      <c r="I3449" s="85"/>
      <c r="J3449" s="89"/>
      <c r="K3449" s="132"/>
      <c r="L3449" s="68"/>
      <c r="M3449" s="54"/>
      <c r="S3449" s="12"/>
      <c r="T3449" s="12"/>
      <c r="U3449" s="12"/>
      <c r="V3449" s="12"/>
      <c r="W3449" s="12"/>
      <c r="X3449" s="12"/>
      <c r="Y3449" s="12"/>
      <c r="Z3449" s="16"/>
      <c r="AA3449" s="13"/>
      <c r="AB3449" s="13"/>
    </row>
    <row r="3450" spans="1:28" x14ac:dyDescent="0.15">
      <c r="A3450" s="167"/>
      <c r="B3450" s="87"/>
      <c r="C3450" s="88"/>
      <c r="D3450" s="86"/>
      <c r="E3450" s="86"/>
      <c r="F3450" s="86"/>
      <c r="G3450" s="86"/>
      <c r="H3450" s="87"/>
      <c r="I3450" s="85"/>
      <c r="J3450" s="89"/>
      <c r="K3450" s="132"/>
      <c r="L3450" s="68"/>
      <c r="Q3450"/>
      <c r="R3450"/>
      <c r="S3450" s="12"/>
      <c r="T3450" s="12"/>
      <c r="U3450" s="12"/>
      <c r="V3450" s="12"/>
      <c r="W3450" s="12"/>
      <c r="X3450" s="12"/>
      <c r="Y3450" s="12"/>
      <c r="Z3450" s="16"/>
      <c r="AA3450" s="13"/>
      <c r="AB3450" s="13"/>
    </row>
    <row r="3451" spans="1:28" x14ac:dyDescent="0.15">
      <c r="A3451" s="167"/>
      <c r="B3451" s="87"/>
      <c r="C3451" s="88"/>
      <c r="D3451" s="86"/>
      <c r="E3451" s="86"/>
      <c r="F3451" s="86"/>
      <c r="G3451" s="86"/>
      <c r="H3451" s="87"/>
      <c r="I3451" s="85"/>
      <c r="J3451" s="89"/>
      <c r="K3451" s="146"/>
      <c r="L3451" s="68"/>
      <c r="M3451" s="54"/>
    </row>
    <row r="3452" spans="1:28" x14ac:dyDescent="0.15">
      <c r="A3452" s="167"/>
      <c r="B3452" s="87"/>
      <c r="C3452" s="88"/>
      <c r="D3452" s="86"/>
      <c r="E3452" s="86"/>
      <c r="F3452" s="86"/>
      <c r="G3452" s="86"/>
      <c r="H3452" s="87"/>
      <c r="I3452" s="85"/>
      <c r="J3452" s="89"/>
      <c r="K3452" s="132"/>
      <c r="L3452" s="68"/>
      <c r="S3452" s="203"/>
      <c r="T3452" s="203"/>
      <c r="U3452" s="203"/>
      <c r="V3452" s="203"/>
      <c r="W3452" s="203"/>
      <c r="X3452" s="203"/>
      <c r="Y3452" s="203"/>
      <c r="Z3452" s="204"/>
      <c r="AA3452" s="11"/>
      <c r="AB3452" s="11"/>
    </row>
    <row r="3453" spans="1:28" x14ac:dyDescent="0.15">
      <c r="A3453" s="167"/>
      <c r="B3453" s="87"/>
      <c r="C3453" s="88"/>
      <c r="D3453" s="86"/>
      <c r="E3453" s="86"/>
      <c r="F3453" s="86"/>
      <c r="G3453" s="86"/>
      <c r="H3453" s="87"/>
      <c r="I3453" s="85"/>
      <c r="J3453" s="89"/>
      <c r="K3453" s="146"/>
      <c r="L3453" s="68"/>
      <c r="S3453" s="12"/>
      <c r="T3453" s="12"/>
      <c r="U3453" s="12"/>
      <c r="V3453" s="12"/>
      <c r="W3453" s="12"/>
      <c r="X3453" s="12"/>
      <c r="Y3453" s="12"/>
      <c r="Z3453" s="16"/>
      <c r="AA3453" s="13"/>
      <c r="AB3453" s="13"/>
    </row>
    <row r="3454" spans="1:28" x14ac:dyDescent="0.15">
      <c r="A3454" s="169"/>
      <c r="B3454" s="90"/>
      <c r="C3454" s="91"/>
      <c r="D3454" s="91"/>
      <c r="E3454" s="91"/>
      <c r="F3454" s="91"/>
      <c r="G3454" s="91"/>
      <c r="H3454" s="176"/>
      <c r="I3454" s="85"/>
      <c r="J3454" s="92"/>
      <c r="K3454" s="133"/>
      <c r="L3454" s="65"/>
    </row>
    <row r="3455" spans="1:28" x14ac:dyDescent="0.15">
      <c r="A3455" s="167"/>
      <c r="B3455" s="87"/>
      <c r="C3455" s="88"/>
      <c r="D3455" s="86"/>
      <c r="E3455" s="86"/>
      <c r="F3455" s="86"/>
      <c r="G3455" s="86"/>
      <c r="H3455" s="87"/>
      <c r="I3455" s="85"/>
      <c r="J3455" s="89"/>
      <c r="K3455" s="132"/>
      <c r="L3455" s="68"/>
      <c r="M3455" s="54"/>
    </row>
    <row r="3456" spans="1:28" x14ac:dyDescent="0.15">
      <c r="A3456" s="166"/>
      <c r="B3456" s="93"/>
      <c r="C3456" s="70"/>
      <c r="D3456" s="70"/>
      <c r="E3456" s="70"/>
      <c r="F3456" s="70"/>
      <c r="G3456" s="70"/>
      <c r="H3456" s="93"/>
      <c r="I3456" s="85"/>
      <c r="J3456" s="85"/>
      <c r="K3456" s="132"/>
      <c r="L3456" s="63"/>
      <c r="S3456" s="12"/>
      <c r="T3456" s="12"/>
      <c r="U3456" s="12"/>
      <c r="V3456" s="12"/>
      <c r="W3456" s="12"/>
      <c r="X3456" s="12"/>
      <c r="Y3456" s="12"/>
      <c r="Z3456" s="16"/>
      <c r="AA3456" s="13"/>
      <c r="AB3456" s="13"/>
    </row>
    <row r="3457" spans="1:28" x14ac:dyDescent="0.15">
      <c r="A3457" s="166"/>
      <c r="B3457" s="82"/>
      <c r="C3457" s="70"/>
      <c r="D3457" s="70"/>
      <c r="E3457" s="70"/>
      <c r="F3457" s="70"/>
      <c r="G3457" s="70"/>
      <c r="H3457" s="93"/>
      <c r="I3457" s="85"/>
      <c r="J3457" s="85"/>
      <c r="K3457" s="131"/>
      <c r="L3457" s="63"/>
    </row>
    <row r="3458" spans="1:28" x14ac:dyDescent="0.15">
      <c r="A3458" s="167"/>
      <c r="B3458" s="87"/>
      <c r="C3458" s="88"/>
      <c r="D3458" s="86"/>
      <c r="E3458" s="86"/>
      <c r="F3458" s="86"/>
      <c r="G3458" s="86"/>
      <c r="H3458" s="87"/>
      <c r="I3458" s="85"/>
      <c r="J3458" s="89"/>
      <c r="K3458" s="132"/>
      <c r="L3458" s="68"/>
    </row>
    <row r="3459" spans="1:28" x14ac:dyDescent="0.15">
      <c r="A3459" s="167"/>
      <c r="B3459" s="87"/>
      <c r="C3459" s="88"/>
      <c r="D3459" s="86"/>
      <c r="E3459" s="86"/>
      <c r="F3459" s="86"/>
      <c r="G3459" s="86"/>
      <c r="H3459" s="87"/>
      <c r="I3459" s="85"/>
      <c r="J3459" s="89"/>
      <c r="K3459" s="132"/>
      <c r="L3459" s="68"/>
      <c r="M3459" s="54"/>
    </row>
    <row r="3460" spans="1:28" x14ac:dyDescent="0.15">
      <c r="A3460" s="166"/>
      <c r="B3460" s="93"/>
      <c r="C3460" s="70"/>
      <c r="D3460" s="70"/>
      <c r="E3460" s="70"/>
      <c r="F3460" s="70"/>
      <c r="G3460" s="70"/>
      <c r="H3460" s="93"/>
      <c r="I3460" s="85"/>
      <c r="J3460" s="85"/>
      <c r="K3460" s="131"/>
      <c r="L3460" s="60"/>
    </row>
    <row r="3461" spans="1:28" x14ac:dyDescent="0.15">
      <c r="A3461" s="166"/>
      <c r="B3461" s="82"/>
      <c r="C3461" s="70"/>
      <c r="D3461" s="70"/>
      <c r="E3461" s="70"/>
      <c r="F3461" s="70"/>
      <c r="G3461" s="70"/>
      <c r="H3461" s="93"/>
      <c r="I3461" s="98"/>
      <c r="J3461" s="98"/>
      <c r="K3461" s="131"/>
      <c r="L3461" s="62"/>
      <c r="M3461" s="33"/>
    </row>
    <row r="3462" spans="1:28" x14ac:dyDescent="0.15">
      <c r="A3462" s="166"/>
      <c r="B3462" s="82"/>
      <c r="C3462" s="70"/>
      <c r="D3462" s="70"/>
      <c r="E3462" s="70"/>
      <c r="F3462" s="70"/>
      <c r="G3462" s="70"/>
      <c r="H3462" s="93"/>
      <c r="I3462" s="98"/>
      <c r="J3462" s="98"/>
      <c r="K3462" s="131"/>
      <c r="L3462" s="62"/>
      <c r="M3462" s="33"/>
    </row>
    <row r="3463" spans="1:28" x14ac:dyDescent="0.15">
      <c r="A3463" s="166"/>
      <c r="B3463" s="93"/>
      <c r="C3463" s="70"/>
      <c r="D3463" s="70"/>
      <c r="E3463" s="70"/>
      <c r="F3463" s="70"/>
      <c r="G3463" s="70"/>
      <c r="H3463" s="93"/>
      <c r="I3463" s="85"/>
      <c r="J3463" s="85"/>
      <c r="K3463" s="131"/>
      <c r="L3463" s="60"/>
      <c r="M3463" s="33"/>
    </row>
    <row r="3464" spans="1:28" x14ac:dyDescent="0.15">
      <c r="A3464" s="166"/>
      <c r="B3464" s="93"/>
      <c r="C3464" s="70"/>
      <c r="D3464" s="70"/>
      <c r="E3464" s="70"/>
      <c r="F3464" s="70"/>
      <c r="G3464" s="70"/>
      <c r="H3464" s="93"/>
      <c r="I3464" s="85"/>
      <c r="J3464" s="85"/>
      <c r="K3464" s="131"/>
      <c r="L3464" s="60"/>
      <c r="M3464" s="33"/>
    </row>
    <row r="3465" spans="1:28" x14ac:dyDescent="0.15">
      <c r="A3465" s="166"/>
      <c r="B3465" s="93"/>
      <c r="C3465" s="70"/>
      <c r="D3465" s="70"/>
      <c r="E3465" s="70"/>
      <c r="F3465" s="70"/>
      <c r="G3465" s="70"/>
      <c r="H3465" s="93"/>
      <c r="I3465" s="85"/>
      <c r="J3465" s="85"/>
      <c r="K3465" s="131"/>
      <c r="L3465" s="60"/>
      <c r="M3465" s="33"/>
    </row>
    <row r="3466" spans="1:28" x14ac:dyDescent="0.15">
      <c r="A3466" s="166"/>
      <c r="B3466" s="93"/>
      <c r="C3466" s="70"/>
      <c r="D3466" s="70"/>
      <c r="E3466" s="70"/>
      <c r="F3466" s="70"/>
      <c r="G3466" s="70"/>
      <c r="H3466" s="93"/>
      <c r="I3466" s="85"/>
      <c r="J3466" s="85"/>
      <c r="K3466" s="131"/>
      <c r="L3466" s="60"/>
      <c r="M3466" s="33"/>
    </row>
    <row r="3467" spans="1:28" x14ac:dyDescent="0.15">
      <c r="A3467" s="166"/>
      <c r="B3467" s="93"/>
      <c r="C3467" s="70"/>
      <c r="D3467" s="70"/>
      <c r="E3467" s="70"/>
      <c r="F3467" s="70"/>
      <c r="G3467" s="70"/>
      <c r="H3467" s="93"/>
      <c r="I3467" s="85"/>
      <c r="J3467" s="85"/>
      <c r="K3467" s="131"/>
      <c r="L3467" s="60"/>
      <c r="M3467" s="33"/>
    </row>
    <row r="3468" spans="1:28" x14ac:dyDescent="0.15">
      <c r="A3468" s="166"/>
      <c r="B3468" s="93"/>
      <c r="C3468" s="70"/>
      <c r="D3468" s="70"/>
      <c r="E3468" s="70"/>
      <c r="F3468" s="70"/>
      <c r="G3468" s="70"/>
      <c r="H3468" s="93"/>
      <c r="I3468" s="85"/>
      <c r="J3468" s="85"/>
      <c r="K3468" s="131"/>
      <c r="L3468" s="60"/>
      <c r="M3468" s="53"/>
    </row>
    <row r="3469" spans="1:28" x14ac:dyDescent="0.15">
      <c r="A3469" s="166"/>
      <c r="B3469" s="93"/>
      <c r="C3469" s="70"/>
      <c r="D3469" s="70"/>
      <c r="E3469" s="70"/>
      <c r="F3469" s="70"/>
      <c r="G3469" s="70"/>
      <c r="H3469" s="93"/>
      <c r="I3469" s="85"/>
      <c r="J3469" s="85"/>
      <c r="K3469" s="131"/>
      <c r="L3469" s="60"/>
      <c r="M3469" s="33"/>
      <c r="Q3469" s="6"/>
      <c r="R3469" s="6"/>
    </row>
    <row r="3470" spans="1:28" s="3" customFormat="1" x14ac:dyDescent="0.15">
      <c r="A3470" s="166"/>
      <c r="B3470" s="93"/>
      <c r="C3470" s="70"/>
      <c r="D3470" s="70"/>
      <c r="E3470" s="70"/>
      <c r="F3470" s="70"/>
      <c r="G3470" s="70"/>
      <c r="H3470" s="93"/>
      <c r="I3470" s="85"/>
      <c r="J3470" s="85"/>
      <c r="K3470" s="131"/>
      <c r="L3470" s="60"/>
      <c r="M3470" s="33"/>
      <c r="N3470" s="37"/>
      <c r="O3470" s="37"/>
      <c r="P3470" s="37"/>
      <c r="Q3470" s="6"/>
      <c r="R3470" s="6"/>
      <c r="Z3470" s="4"/>
      <c r="AA3470"/>
      <c r="AB3470"/>
    </row>
    <row r="3471" spans="1:28" s="3" customFormat="1" x14ac:dyDescent="0.15">
      <c r="A3471" s="166"/>
      <c r="B3471" s="93"/>
      <c r="C3471" s="70"/>
      <c r="D3471" s="70"/>
      <c r="E3471" s="70"/>
      <c r="F3471" s="70"/>
      <c r="G3471" s="70"/>
      <c r="H3471" s="93"/>
      <c r="I3471" s="85"/>
      <c r="J3471" s="85"/>
      <c r="K3471" s="131"/>
      <c r="L3471" s="60"/>
      <c r="M3471" s="33"/>
      <c r="N3471" s="37"/>
      <c r="O3471" s="37"/>
      <c r="P3471" s="37"/>
      <c r="Z3471" s="4"/>
      <c r="AA3471"/>
      <c r="AB3471"/>
    </row>
    <row r="3472" spans="1:28" s="3" customFormat="1" ht="16" x14ac:dyDescent="0.2">
      <c r="A3472" s="166"/>
      <c r="B3472" s="93"/>
      <c r="C3472" s="70"/>
      <c r="D3472" s="70"/>
      <c r="E3472" s="70"/>
      <c r="F3472" s="70"/>
      <c r="G3472" s="70"/>
      <c r="H3472" s="93"/>
      <c r="I3472" s="85"/>
      <c r="J3472" s="85"/>
      <c r="K3472" s="131"/>
      <c r="L3472" s="60"/>
      <c r="M3472" s="47"/>
      <c r="N3472" s="37"/>
      <c r="O3472" s="37"/>
      <c r="P3472" s="37"/>
      <c r="Z3472" s="4"/>
      <c r="AA3472"/>
      <c r="AB3472"/>
    </row>
    <row r="3473" spans="1:28" s="3" customFormat="1" x14ac:dyDescent="0.15">
      <c r="A3473" s="166"/>
      <c r="B3473" s="93"/>
      <c r="C3473" s="70"/>
      <c r="D3473" s="70"/>
      <c r="E3473" s="70"/>
      <c r="F3473" s="70"/>
      <c r="G3473" s="70"/>
      <c r="H3473" s="93"/>
      <c r="I3473" s="85"/>
      <c r="J3473" s="85"/>
      <c r="K3473" s="131"/>
      <c r="L3473" s="60"/>
      <c r="M3473" s="33"/>
      <c r="N3473" s="37"/>
      <c r="O3473" s="37"/>
      <c r="P3473" s="37"/>
      <c r="Z3473" s="4"/>
      <c r="AA3473"/>
      <c r="AB3473"/>
    </row>
    <row r="3474" spans="1:28" s="3" customFormat="1" x14ac:dyDescent="0.15">
      <c r="A3474" s="166"/>
      <c r="B3474" s="93"/>
      <c r="C3474" s="70"/>
      <c r="D3474" s="70"/>
      <c r="E3474" s="70"/>
      <c r="F3474" s="70"/>
      <c r="G3474" s="70"/>
      <c r="H3474" s="93"/>
      <c r="I3474" s="85"/>
      <c r="J3474" s="85"/>
      <c r="K3474" s="131"/>
      <c r="L3474" s="60"/>
      <c r="M3474" s="33"/>
      <c r="N3474" s="37"/>
      <c r="O3474" s="37"/>
      <c r="P3474" s="37"/>
      <c r="Z3474" s="4"/>
      <c r="AA3474"/>
      <c r="AB3474"/>
    </row>
    <row r="3475" spans="1:28" s="3" customFormat="1" x14ac:dyDescent="0.15">
      <c r="A3475" s="166"/>
      <c r="B3475" s="93"/>
      <c r="C3475" s="70"/>
      <c r="D3475" s="70"/>
      <c r="E3475" s="70"/>
      <c r="F3475" s="70"/>
      <c r="G3475" s="70"/>
      <c r="H3475" s="93"/>
      <c r="I3475" s="85"/>
      <c r="J3475" s="85"/>
      <c r="K3475" s="131"/>
      <c r="L3475" s="60"/>
      <c r="M3475" s="33"/>
      <c r="N3475" s="37"/>
      <c r="O3475" s="37"/>
      <c r="P3475" s="37"/>
      <c r="Z3475" s="4"/>
      <c r="AA3475"/>
      <c r="AB3475"/>
    </row>
    <row r="3476" spans="1:28" s="3" customFormat="1" x14ac:dyDescent="0.15">
      <c r="A3476" s="166"/>
      <c r="B3476" s="93"/>
      <c r="C3476" s="70"/>
      <c r="D3476" s="70"/>
      <c r="E3476" s="70"/>
      <c r="F3476" s="70"/>
      <c r="G3476" s="70"/>
      <c r="H3476" s="93"/>
      <c r="I3476" s="85"/>
      <c r="J3476" s="85"/>
      <c r="K3476" s="131"/>
      <c r="L3476" s="60"/>
      <c r="M3476" s="33"/>
      <c r="N3476" s="37"/>
      <c r="O3476" s="37"/>
      <c r="P3476" s="37"/>
      <c r="Z3476" s="4"/>
      <c r="AA3476"/>
      <c r="AB3476"/>
    </row>
    <row r="3477" spans="1:28" s="3" customFormat="1" x14ac:dyDescent="0.15">
      <c r="A3477" s="166"/>
      <c r="B3477" s="93"/>
      <c r="C3477" s="70"/>
      <c r="D3477" s="70"/>
      <c r="E3477" s="70"/>
      <c r="F3477" s="70"/>
      <c r="G3477" s="70"/>
      <c r="H3477" s="93"/>
      <c r="I3477" s="85"/>
      <c r="J3477" s="85"/>
      <c r="K3477" s="131"/>
      <c r="L3477" s="63"/>
      <c r="M3477" s="33"/>
      <c r="N3477" s="37"/>
      <c r="O3477" s="37"/>
      <c r="P3477" s="37"/>
      <c r="Z3477" s="4"/>
      <c r="AA3477"/>
      <c r="AB3477"/>
    </row>
    <row r="3478" spans="1:28" s="3" customFormat="1" x14ac:dyDescent="0.15">
      <c r="A3478" s="166"/>
      <c r="B3478" s="93"/>
      <c r="C3478" s="70"/>
      <c r="D3478" s="70"/>
      <c r="E3478" s="70"/>
      <c r="F3478" s="70"/>
      <c r="G3478" s="70"/>
      <c r="H3478" s="93"/>
      <c r="I3478" s="85"/>
      <c r="J3478" s="85"/>
      <c r="K3478" s="131"/>
      <c r="L3478" s="63"/>
      <c r="M3478" s="33"/>
      <c r="N3478" s="37"/>
      <c r="O3478" s="37"/>
      <c r="P3478" s="37"/>
      <c r="Z3478" s="4"/>
      <c r="AA3478"/>
      <c r="AB3478"/>
    </row>
    <row r="3479" spans="1:28" s="3" customFormat="1" x14ac:dyDescent="0.15">
      <c r="A3479" s="166"/>
      <c r="B3479" s="93"/>
      <c r="C3479" s="70"/>
      <c r="D3479" s="70"/>
      <c r="E3479" s="70"/>
      <c r="F3479" s="70"/>
      <c r="G3479" s="70"/>
      <c r="H3479" s="93"/>
      <c r="I3479" s="85"/>
      <c r="J3479" s="85"/>
      <c r="K3479" s="131"/>
      <c r="L3479" s="60"/>
      <c r="M3479" s="33"/>
      <c r="N3479" s="37"/>
      <c r="O3479" s="37"/>
      <c r="P3479" s="37"/>
      <c r="Z3479" s="4"/>
      <c r="AA3479"/>
      <c r="AB3479"/>
    </row>
    <row r="3480" spans="1:28" s="3" customFormat="1" x14ac:dyDescent="0.15">
      <c r="A3480" s="166"/>
      <c r="B3480" s="93"/>
      <c r="C3480" s="70"/>
      <c r="D3480" s="70"/>
      <c r="E3480" s="70"/>
      <c r="F3480" s="70"/>
      <c r="G3480" s="70"/>
      <c r="H3480" s="93"/>
      <c r="I3480" s="85"/>
      <c r="J3480" s="85"/>
      <c r="K3480" s="131"/>
      <c r="L3480" s="60"/>
      <c r="M3480" s="33"/>
      <c r="N3480" s="37"/>
      <c r="O3480" s="37"/>
      <c r="P3480" s="37"/>
      <c r="Z3480" s="4"/>
      <c r="AA3480"/>
      <c r="AB3480"/>
    </row>
    <row r="3481" spans="1:28" s="3" customFormat="1" x14ac:dyDescent="0.15">
      <c r="A3481" s="166"/>
      <c r="B3481" s="93"/>
      <c r="C3481" s="70"/>
      <c r="D3481" s="70"/>
      <c r="E3481" s="70"/>
      <c r="F3481" s="70"/>
      <c r="G3481" s="70"/>
      <c r="H3481" s="93"/>
      <c r="I3481" s="85"/>
      <c r="J3481" s="85"/>
      <c r="K3481" s="131"/>
      <c r="L3481" s="61"/>
      <c r="M3481" s="33"/>
      <c r="N3481" s="37"/>
      <c r="O3481" s="37"/>
      <c r="P3481" s="37"/>
      <c r="Z3481" s="4"/>
      <c r="AA3481"/>
      <c r="AB3481"/>
    </row>
    <row r="3482" spans="1:28" s="3" customFormat="1" x14ac:dyDescent="0.15">
      <c r="A3482" s="166"/>
      <c r="B3482" s="93"/>
      <c r="C3482" s="88"/>
      <c r="D3482" s="70"/>
      <c r="E3482" s="70"/>
      <c r="F3482" s="70"/>
      <c r="G3482" s="70"/>
      <c r="H3482" s="93"/>
      <c r="I3482" s="98"/>
      <c r="J3482" s="98"/>
      <c r="K3482" s="131"/>
      <c r="L3482" s="61"/>
      <c r="M3482" s="35"/>
      <c r="N3482" s="37"/>
      <c r="O3482" s="37"/>
      <c r="P3482" s="37"/>
      <c r="Z3482" s="4"/>
      <c r="AA3482"/>
      <c r="AB3482"/>
    </row>
    <row r="3483" spans="1:28" s="3" customFormat="1" x14ac:dyDescent="0.15">
      <c r="A3483" s="166"/>
      <c r="B3483" s="82"/>
      <c r="C3483" s="180"/>
      <c r="D3483" s="70"/>
      <c r="E3483" s="70"/>
      <c r="F3483" s="70"/>
      <c r="G3483" s="70"/>
      <c r="H3483" s="93"/>
      <c r="I3483" s="85"/>
      <c r="J3483" s="85"/>
      <c r="K3483" s="131"/>
      <c r="L3483" s="61"/>
      <c r="M3483" s="33"/>
      <c r="N3483" s="35"/>
      <c r="O3483" s="37"/>
      <c r="P3483" s="37"/>
      <c r="Z3483" s="4"/>
      <c r="AA3483"/>
      <c r="AB3483"/>
    </row>
    <row r="3484" spans="1:28" s="3" customFormat="1" x14ac:dyDescent="0.15">
      <c r="A3484" s="166"/>
      <c r="B3484" s="93"/>
      <c r="C3484" s="70"/>
      <c r="D3484" s="70"/>
      <c r="E3484" s="70"/>
      <c r="F3484" s="70"/>
      <c r="G3484" s="70"/>
      <c r="H3484" s="93"/>
      <c r="I3484" s="85"/>
      <c r="J3484" s="85"/>
      <c r="K3484" s="131"/>
      <c r="L3484" s="61"/>
      <c r="M3484" s="33"/>
      <c r="N3484" s="37"/>
      <c r="O3484" s="37"/>
      <c r="P3484" s="37"/>
      <c r="Z3484" s="4"/>
      <c r="AA3484"/>
      <c r="AB3484"/>
    </row>
    <row r="3485" spans="1:28" s="3" customFormat="1" x14ac:dyDescent="0.15">
      <c r="A3485" s="166"/>
      <c r="B3485" s="93"/>
      <c r="C3485" s="70"/>
      <c r="D3485" s="70"/>
      <c r="E3485" s="70"/>
      <c r="F3485" s="70"/>
      <c r="G3485" s="70"/>
      <c r="H3485" s="93"/>
      <c r="I3485" s="85"/>
      <c r="J3485" s="85"/>
      <c r="K3485" s="131"/>
      <c r="L3485" s="61"/>
      <c r="M3485" s="33"/>
      <c r="N3485" s="37"/>
      <c r="O3485" s="37"/>
      <c r="P3485" s="37"/>
      <c r="Z3485" s="4"/>
      <c r="AA3485"/>
      <c r="AB3485"/>
    </row>
    <row r="3486" spans="1:28" x14ac:dyDescent="0.15">
      <c r="A3486" s="167"/>
      <c r="B3486" s="87"/>
      <c r="C3486" s="88"/>
      <c r="D3486" s="86"/>
      <c r="E3486" s="86"/>
      <c r="F3486" s="86"/>
      <c r="G3486" s="86"/>
      <c r="H3486" s="87"/>
      <c r="I3486" s="85"/>
      <c r="J3486" s="89"/>
      <c r="K3486" s="132"/>
      <c r="L3486" s="61"/>
      <c r="P3486" s="51"/>
    </row>
    <row r="3487" spans="1:28" x14ac:dyDescent="0.15">
      <c r="A3487" s="228"/>
      <c r="B3487" s="212"/>
      <c r="C3487" s="213"/>
      <c r="D3487" s="211"/>
      <c r="E3487" s="211"/>
      <c r="F3487" s="211"/>
      <c r="G3487" s="211"/>
      <c r="H3487" s="212"/>
      <c r="I3487" s="214"/>
      <c r="J3487" s="215"/>
      <c r="K3487" s="216"/>
      <c r="L3487" s="217"/>
      <c r="M3487" s="218"/>
      <c r="N3487" s="218"/>
      <c r="O3487" s="218"/>
      <c r="P3487" s="219"/>
      <c r="Q3487" s="220"/>
      <c r="R3487" s="220"/>
      <c r="S3487" s="220"/>
      <c r="T3487" s="220"/>
      <c r="U3487" s="220"/>
      <c r="V3487" s="220"/>
      <c r="W3487" s="220"/>
      <c r="X3487" s="220"/>
      <c r="Y3487" s="220"/>
      <c r="Z3487" s="221"/>
      <c r="AA3487" s="222"/>
      <c r="AB3487" s="222"/>
    </row>
    <row r="3488" spans="1:28" ht="16" x14ac:dyDescent="0.2">
      <c r="A3488" s="167"/>
      <c r="B3488" s="87"/>
      <c r="C3488" s="88"/>
      <c r="D3488" s="86"/>
      <c r="E3488" s="86"/>
      <c r="F3488" s="86"/>
      <c r="G3488" s="86"/>
      <c r="H3488" s="87"/>
      <c r="I3488" s="85"/>
      <c r="J3488" s="89"/>
      <c r="K3488" s="132"/>
      <c r="L3488" s="61"/>
      <c r="N3488" s="48"/>
    </row>
    <row r="3489" spans="1:28" x14ac:dyDescent="0.15">
      <c r="A3489" s="167"/>
      <c r="B3489" s="87"/>
      <c r="C3489" s="88"/>
      <c r="D3489" s="86"/>
      <c r="E3489" s="86"/>
      <c r="F3489" s="86"/>
      <c r="G3489" s="86"/>
      <c r="H3489" s="87"/>
      <c r="I3489" s="85"/>
      <c r="J3489" s="89"/>
      <c r="K3489" s="132"/>
      <c r="L3489" s="61"/>
    </row>
    <row r="3490" spans="1:28" x14ac:dyDescent="0.15">
      <c r="A3490" s="167"/>
      <c r="B3490" s="87"/>
      <c r="C3490" s="88"/>
      <c r="D3490" s="86"/>
      <c r="E3490" s="86"/>
      <c r="F3490" s="86"/>
      <c r="G3490" s="86"/>
      <c r="H3490" s="87"/>
      <c r="I3490" s="85"/>
      <c r="J3490" s="89"/>
      <c r="K3490" s="132"/>
      <c r="L3490" s="61"/>
    </row>
    <row r="3491" spans="1:28" x14ac:dyDescent="0.15">
      <c r="A3491" s="167"/>
      <c r="B3491" s="87"/>
      <c r="C3491" s="88"/>
      <c r="D3491" s="86"/>
      <c r="E3491" s="86"/>
      <c r="F3491" s="86"/>
      <c r="G3491" s="86"/>
      <c r="H3491" s="87"/>
      <c r="I3491" s="85"/>
      <c r="J3491" s="89"/>
      <c r="K3491" s="132"/>
      <c r="L3491" s="61"/>
    </row>
    <row r="3492" spans="1:28" x14ac:dyDescent="0.15">
      <c r="A3492" s="167"/>
      <c r="B3492" s="87"/>
      <c r="C3492" s="88"/>
      <c r="D3492" s="86"/>
      <c r="E3492" s="86"/>
      <c r="F3492" s="86"/>
      <c r="G3492" s="86"/>
      <c r="H3492" s="87"/>
      <c r="I3492" s="85"/>
      <c r="J3492" s="89"/>
      <c r="K3492" s="132"/>
      <c r="L3492" s="61"/>
    </row>
    <row r="3493" spans="1:28" x14ac:dyDescent="0.15">
      <c r="A3493" s="167"/>
      <c r="B3493" s="87"/>
      <c r="C3493" s="88"/>
      <c r="D3493" s="86"/>
      <c r="E3493" s="86"/>
      <c r="F3493" s="86"/>
      <c r="G3493" s="86"/>
      <c r="H3493" s="87"/>
      <c r="I3493" s="85"/>
      <c r="J3493" s="89"/>
      <c r="K3493" s="132"/>
      <c r="L3493" s="61"/>
    </row>
    <row r="3494" spans="1:28" x14ac:dyDescent="0.15">
      <c r="A3494" s="167"/>
      <c r="B3494" s="87"/>
      <c r="C3494" s="88"/>
      <c r="D3494" s="86"/>
      <c r="E3494" s="86"/>
      <c r="F3494" s="86"/>
      <c r="G3494" s="86"/>
      <c r="H3494" s="87"/>
      <c r="I3494" s="85"/>
      <c r="J3494" s="89"/>
      <c r="K3494" s="132"/>
      <c r="L3494" s="61"/>
    </row>
    <row r="3495" spans="1:28" x14ac:dyDescent="0.15">
      <c r="A3495" s="167"/>
      <c r="B3495" s="87"/>
      <c r="C3495" s="88"/>
      <c r="D3495" s="86"/>
      <c r="E3495" s="86"/>
      <c r="F3495" s="86"/>
      <c r="G3495" s="86"/>
      <c r="H3495" s="87"/>
      <c r="I3495" s="85"/>
      <c r="J3495" s="89"/>
      <c r="K3495" s="132"/>
      <c r="L3495" s="61"/>
    </row>
    <row r="3496" spans="1:28" x14ac:dyDescent="0.15">
      <c r="A3496" s="167"/>
      <c r="B3496" s="87"/>
      <c r="C3496" s="88"/>
      <c r="D3496" s="86"/>
      <c r="E3496" s="86"/>
      <c r="F3496" s="86"/>
      <c r="G3496" s="86"/>
      <c r="H3496" s="87"/>
      <c r="I3496" s="85"/>
      <c r="J3496" s="89"/>
      <c r="K3496" s="132"/>
      <c r="L3496" s="61"/>
    </row>
    <row r="3497" spans="1:28" x14ac:dyDescent="0.15">
      <c r="A3497" s="167"/>
      <c r="B3497" s="87"/>
      <c r="C3497" s="88"/>
      <c r="D3497" s="86"/>
      <c r="E3497" s="86"/>
      <c r="F3497" s="86"/>
      <c r="G3497" s="86"/>
      <c r="H3497" s="87"/>
      <c r="I3497" s="85"/>
      <c r="J3497" s="89"/>
      <c r="K3497" s="132"/>
      <c r="L3497" s="61"/>
    </row>
    <row r="3498" spans="1:28" x14ac:dyDescent="0.15">
      <c r="A3498" s="167"/>
      <c r="B3498" s="87"/>
      <c r="C3498" s="88"/>
      <c r="D3498" s="86"/>
      <c r="E3498" s="86"/>
      <c r="F3498" s="86"/>
      <c r="G3498" s="86"/>
      <c r="H3498" s="87"/>
      <c r="I3498" s="85"/>
      <c r="J3498" s="89"/>
      <c r="K3498" s="132"/>
      <c r="L3498" s="62"/>
    </row>
    <row r="3499" spans="1:28" ht="16" x14ac:dyDescent="0.2">
      <c r="A3499" s="166"/>
      <c r="B3499" s="82"/>
      <c r="C3499" s="70"/>
      <c r="D3499" s="70"/>
      <c r="E3499" s="70"/>
      <c r="F3499" s="70"/>
      <c r="G3499" s="70"/>
      <c r="H3499" s="93"/>
      <c r="I3499" s="85"/>
      <c r="J3499" s="85"/>
      <c r="K3499" s="131"/>
      <c r="L3499" s="61"/>
      <c r="M3499" s="33"/>
      <c r="N3499" s="48"/>
      <c r="Q3499" s="6"/>
      <c r="R3499" s="6"/>
    </row>
    <row r="3500" spans="1:28" x14ac:dyDescent="0.15">
      <c r="A3500" s="167"/>
      <c r="B3500" s="87"/>
      <c r="C3500" s="88"/>
      <c r="D3500" s="86"/>
      <c r="E3500" s="86"/>
      <c r="F3500" s="86"/>
      <c r="G3500" s="86"/>
      <c r="H3500" s="87"/>
      <c r="I3500" s="85"/>
      <c r="J3500" s="89"/>
      <c r="K3500" s="132"/>
      <c r="L3500" s="62"/>
    </row>
    <row r="3501" spans="1:28" x14ac:dyDescent="0.15">
      <c r="A3501" s="166"/>
      <c r="B3501" s="93"/>
      <c r="C3501" s="70"/>
      <c r="D3501" s="70"/>
      <c r="E3501" s="70"/>
      <c r="F3501" s="70"/>
      <c r="G3501" s="70"/>
      <c r="H3501" s="93"/>
      <c r="I3501" s="85"/>
      <c r="J3501" s="85"/>
      <c r="K3501" s="131"/>
      <c r="L3501" s="60"/>
    </row>
    <row r="3502" spans="1:28" s="37" customFormat="1" x14ac:dyDescent="0.15">
      <c r="A3502" s="166"/>
      <c r="B3502" s="82"/>
      <c r="C3502" s="70"/>
      <c r="D3502" s="70"/>
      <c r="E3502" s="70"/>
      <c r="F3502" s="70"/>
      <c r="G3502" s="70"/>
      <c r="H3502" s="93"/>
      <c r="I3502" s="85"/>
      <c r="J3502" s="85"/>
      <c r="K3502" s="131"/>
      <c r="L3502" s="60"/>
      <c r="M3502" s="49"/>
      <c r="O3502" s="49"/>
      <c r="Q3502" s="3"/>
      <c r="R3502" s="3"/>
      <c r="S3502" s="3"/>
      <c r="T3502" s="3"/>
      <c r="U3502" s="3"/>
      <c r="V3502" s="3"/>
      <c r="W3502" s="3"/>
      <c r="X3502" s="3"/>
      <c r="Y3502" s="3"/>
      <c r="Z3502" s="4"/>
      <c r="AA3502"/>
      <c r="AB3502"/>
    </row>
    <row r="3503" spans="1:28" s="37" customFormat="1" x14ac:dyDescent="0.15">
      <c r="A3503" s="166"/>
      <c r="B3503" s="82"/>
      <c r="C3503" s="70"/>
      <c r="D3503" s="70"/>
      <c r="E3503" s="70"/>
      <c r="F3503" s="70"/>
      <c r="G3503" s="70"/>
      <c r="H3503" s="93"/>
      <c r="I3503" s="85"/>
      <c r="J3503" s="85"/>
      <c r="K3503" s="131"/>
      <c r="L3503" s="60"/>
      <c r="M3503" s="49"/>
      <c r="Q3503" s="3"/>
      <c r="R3503" s="3"/>
      <c r="S3503" s="3"/>
      <c r="T3503" s="3"/>
      <c r="U3503" s="3"/>
      <c r="V3503" s="3"/>
      <c r="W3503" s="3"/>
      <c r="X3503" s="3"/>
      <c r="Y3503" s="3"/>
      <c r="Z3503" s="4"/>
      <c r="AA3503"/>
      <c r="AB3503"/>
    </row>
    <row r="3504" spans="1:28" s="37" customFormat="1" x14ac:dyDescent="0.15">
      <c r="A3504" s="166"/>
      <c r="B3504" s="82"/>
      <c r="C3504" s="70"/>
      <c r="D3504" s="70"/>
      <c r="E3504" s="70"/>
      <c r="F3504" s="70"/>
      <c r="G3504" s="70"/>
      <c r="H3504" s="93"/>
      <c r="I3504" s="85"/>
      <c r="J3504" s="85"/>
      <c r="K3504" s="131"/>
      <c r="L3504" s="60"/>
      <c r="M3504" s="49"/>
      <c r="Q3504" s="3"/>
      <c r="R3504" s="3"/>
      <c r="S3504" s="3"/>
      <c r="T3504" s="3"/>
      <c r="U3504" s="3"/>
      <c r="V3504" s="3"/>
      <c r="W3504" s="3"/>
      <c r="X3504" s="3"/>
      <c r="Y3504" s="3"/>
      <c r="Z3504" s="4"/>
      <c r="AA3504"/>
      <c r="AB3504"/>
    </row>
    <row r="3505" spans="1:28" s="37" customFormat="1" x14ac:dyDescent="0.15">
      <c r="A3505" s="166"/>
      <c r="B3505" s="93"/>
      <c r="C3505" s="70"/>
      <c r="D3505" s="70"/>
      <c r="E3505" s="70"/>
      <c r="F3505" s="70"/>
      <c r="G3505" s="70"/>
      <c r="H3505" s="93"/>
      <c r="I3505" s="85"/>
      <c r="J3505" s="85"/>
      <c r="K3505" s="131"/>
      <c r="L3505" s="60"/>
      <c r="M3505" s="49"/>
      <c r="Q3505" s="3"/>
      <c r="R3505" s="3"/>
      <c r="S3505" s="3"/>
      <c r="T3505" s="3"/>
      <c r="U3505" s="3"/>
      <c r="V3505" s="3"/>
      <c r="W3505" s="3"/>
      <c r="X3505" s="3"/>
      <c r="Y3505" s="3"/>
      <c r="Z3505" s="4"/>
      <c r="AA3505"/>
      <c r="AB3505"/>
    </row>
    <row r="3506" spans="1:28" s="37" customFormat="1" x14ac:dyDescent="0.15">
      <c r="A3506" s="166"/>
      <c r="B3506" s="82"/>
      <c r="C3506" s="70"/>
      <c r="D3506" s="70"/>
      <c r="E3506" s="70"/>
      <c r="F3506" s="70"/>
      <c r="G3506" s="70"/>
      <c r="H3506" s="93"/>
      <c r="I3506" s="85"/>
      <c r="J3506" s="85"/>
      <c r="K3506" s="131"/>
      <c r="L3506" s="60"/>
      <c r="M3506" s="49"/>
      <c r="Q3506" s="3"/>
      <c r="R3506" s="3"/>
      <c r="S3506" s="3"/>
      <c r="T3506" s="3"/>
      <c r="U3506" s="3"/>
      <c r="V3506" s="3"/>
      <c r="W3506" s="3"/>
      <c r="X3506" s="3"/>
      <c r="Y3506" s="3"/>
      <c r="Z3506" s="4"/>
      <c r="AA3506"/>
      <c r="AB3506"/>
    </row>
    <row r="3507" spans="1:28" s="37" customFormat="1" x14ac:dyDescent="0.15">
      <c r="A3507" s="166"/>
      <c r="B3507" s="93"/>
      <c r="C3507" s="70"/>
      <c r="D3507" s="70"/>
      <c r="E3507" s="70"/>
      <c r="F3507" s="70"/>
      <c r="G3507" s="70"/>
      <c r="H3507" s="93"/>
      <c r="I3507" s="85"/>
      <c r="J3507" s="85"/>
      <c r="K3507" s="131"/>
      <c r="L3507" s="60"/>
      <c r="M3507" s="49"/>
      <c r="Q3507" s="3"/>
      <c r="R3507" s="3"/>
      <c r="S3507" s="3"/>
      <c r="T3507" s="3"/>
      <c r="U3507" s="3"/>
      <c r="V3507" s="3"/>
      <c r="W3507" s="3"/>
      <c r="X3507" s="3"/>
      <c r="Y3507" s="3"/>
      <c r="Z3507" s="4"/>
      <c r="AA3507"/>
      <c r="AB3507"/>
    </row>
    <row r="3508" spans="1:28" s="37" customFormat="1" x14ac:dyDescent="0.15">
      <c r="A3508" s="166"/>
      <c r="B3508" s="82"/>
      <c r="C3508" s="70"/>
      <c r="D3508" s="70"/>
      <c r="E3508" s="70"/>
      <c r="F3508" s="70"/>
      <c r="G3508" s="70"/>
      <c r="H3508" s="93"/>
      <c r="I3508" s="85"/>
      <c r="J3508" s="85"/>
      <c r="K3508" s="131"/>
      <c r="L3508" s="60"/>
      <c r="M3508" s="49"/>
      <c r="Q3508" s="3"/>
      <c r="R3508" s="3"/>
      <c r="S3508" s="3"/>
      <c r="T3508" s="3"/>
      <c r="U3508" s="3"/>
      <c r="V3508" s="3"/>
      <c r="W3508" s="3"/>
      <c r="X3508" s="3"/>
      <c r="Y3508" s="3"/>
      <c r="Z3508" s="4"/>
      <c r="AA3508"/>
      <c r="AB3508"/>
    </row>
    <row r="3509" spans="1:28" s="37" customFormat="1" x14ac:dyDescent="0.15">
      <c r="A3509" s="166"/>
      <c r="B3509" s="82"/>
      <c r="C3509" s="70"/>
      <c r="D3509" s="70"/>
      <c r="E3509" s="70"/>
      <c r="F3509" s="70"/>
      <c r="G3509" s="70"/>
      <c r="H3509" s="93"/>
      <c r="I3509" s="85"/>
      <c r="J3509" s="85"/>
      <c r="K3509" s="131"/>
      <c r="L3509" s="60"/>
      <c r="M3509" s="49"/>
      <c r="Q3509" s="3"/>
      <c r="R3509" s="3"/>
      <c r="S3509" s="3"/>
      <c r="T3509" s="3"/>
      <c r="U3509" s="3"/>
      <c r="V3509" s="3"/>
      <c r="W3509" s="3"/>
      <c r="X3509" s="3"/>
      <c r="Y3509" s="3"/>
      <c r="Z3509" s="4"/>
      <c r="AA3509"/>
      <c r="AB3509"/>
    </row>
    <row r="3510" spans="1:28" s="37" customFormat="1" x14ac:dyDescent="0.15">
      <c r="A3510" s="166"/>
      <c r="B3510" s="93"/>
      <c r="C3510" s="70"/>
      <c r="D3510" s="70"/>
      <c r="E3510" s="70"/>
      <c r="F3510" s="70"/>
      <c r="G3510" s="70"/>
      <c r="H3510" s="93"/>
      <c r="I3510" s="85"/>
      <c r="J3510" s="85"/>
      <c r="K3510" s="131"/>
      <c r="L3510" s="60"/>
      <c r="M3510" s="33"/>
      <c r="Q3510" s="3"/>
      <c r="R3510" s="3"/>
      <c r="S3510" s="3"/>
      <c r="T3510" s="3"/>
      <c r="U3510" s="3"/>
      <c r="V3510" s="3"/>
      <c r="W3510" s="3"/>
      <c r="X3510" s="3"/>
      <c r="Y3510" s="3"/>
      <c r="Z3510" s="4"/>
      <c r="AA3510"/>
      <c r="AB3510"/>
    </row>
    <row r="3511" spans="1:28" s="37" customFormat="1" x14ac:dyDescent="0.15">
      <c r="A3511" s="166"/>
      <c r="B3511" s="82"/>
      <c r="C3511" s="70"/>
      <c r="D3511" s="70"/>
      <c r="E3511" s="70"/>
      <c r="F3511" s="70"/>
      <c r="G3511" s="70"/>
      <c r="H3511" s="93"/>
      <c r="I3511" s="85"/>
      <c r="J3511" s="85"/>
      <c r="K3511" s="131"/>
      <c r="L3511" s="60"/>
      <c r="M3511" s="49"/>
      <c r="Q3511" s="3"/>
      <c r="R3511" s="3"/>
      <c r="S3511" s="3"/>
      <c r="T3511" s="3"/>
      <c r="U3511" s="3"/>
      <c r="V3511" s="3"/>
      <c r="W3511" s="3"/>
      <c r="X3511" s="3"/>
      <c r="Y3511" s="3"/>
      <c r="Z3511" s="4"/>
      <c r="AA3511"/>
      <c r="AB3511"/>
    </row>
    <row r="3512" spans="1:28" s="37" customFormat="1" x14ac:dyDescent="0.15">
      <c r="A3512" s="166"/>
      <c r="B3512" s="82"/>
      <c r="C3512" s="70"/>
      <c r="D3512" s="70"/>
      <c r="E3512" s="70"/>
      <c r="F3512" s="70"/>
      <c r="G3512" s="70"/>
      <c r="H3512" s="93"/>
      <c r="I3512" s="85"/>
      <c r="J3512" s="85"/>
      <c r="K3512" s="131"/>
      <c r="L3512" s="60"/>
      <c r="M3512" s="49"/>
      <c r="Q3512" s="3"/>
      <c r="R3512" s="3"/>
      <c r="S3512" s="3"/>
      <c r="T3512" s="3"/>
      <c r="U3512" s="3"/>
      <c r="V3512" s="3"/>
      <c r="W3512" s="3"/>
      <c r="X3512" s="3"/>
      <c r="Y3512" s="3"/>
      <c r="Z3512" s="4"/>
      <c r="AA3512"/>
      <c r="AB3512"/>
    </row>
    <row r="3513" spans="1:28" s="37" customFormat="1" x14ac:dyDescent="0.15">
      <c r="A3513" s="166"/>
      <c r="B3513" s="82"/>
      <c r="C3513" s="70"/>
      <c r="D3513" s="70"/>
      <c r="E3513" s="70"/>
      <c r="F3513" s="70"/>
      <c r="G3513" s="70"/>
      <c r="H3513" s="93"/>
      <c r="I3513" s="85"/>
      <c r="J3513" s="85"/>
      <c r="K3513" s="131"/>
      <c r="L3513" s="60"/>
      <c r="M3513" s="49"/>
      <c r="Q3513" s="3"/>
      <c r="R3513" s="3"/>
      <c r="S3513" s="3"/>
      <c r="T3513" s="3"/>
      <c r="U3513" s="3"/>
      <c r="V3513" s="3"/>
      <c r="W3513" s="3"/>
      <c r="X3513" s="3"/>
      <c r="Y3513" s="3"/>
      <c r="Z3513" s="4"/>
      <c r="AA3513"/>
      <c r="AB3513"/>
    </row>
    <row r="3514" spans="1:28" s="37" customFormat="1" x14ac:dyDescent="0.15">
      <c r="A3514" s="166"/>
      <c r="B3514" s="82"/>
      <c r="C3514" s="70"/>
      <c r="D3514" s="70"/>
      <c r="E3514" s="70"/>
      <c r="F3514" s="70"/>
      <c r="G3514" s="70"/>
      <c r="H3514" s="93"/>
      <c r="I3514" s="85"/>
      <c r="J3514" s="85"/>
      <c r="K3514" s="131"/>
      <c r="L3514" s="60"/>
      <c r="M3514" s="49"/>
      <c r="Q3514" s="3"/>
      <c r="R3514" s="3"/>
      <c r="S3514" s="3"/>
      <c r="T3514" s="3"/>
      <c r="U3514" s="3"/>
      <c r="V3514" s="3"/>
      <c r="W3514" s="3"/>
      <c r="X3514" s="3"/>
      <c r="Y3514" s="3"/>
      <c r="Z3514" s="4"/>
      <c r="AA3514"/>
      <c r="AB3514"/>
    </row>
    <row r="3515" spans="1:28" s="37" customFormat="1" x14ac:dyDescent="0.15">
      <c r="A3515" s="166"/>
      <c r="B3515" s="93"/>
      <c r="C3515" s="70"/>
      <c r="D3515" s="70"/>
      <c r="E3515" s="70"/>
      <c r="F3515" s="70"/>
      <c r="G3515" s="70"/>
      <c r="H3515" s="93"/>
      <c r="I3515" s="85"/>
      <c r="J3515" s="94"/>
      <c r="K3515" s="131"/>
      <c r="L3515" s="60"/>
      <c r="M3515" s="33"/>
      <c r="Q3515" s="3"/>
      <c r="R3515" s="3"/>
      <c r="S3515" s="3"/>
      <c r="T3515" s="3"/>
      <c r="U3515" s="3"/>
      <c r="V3515" s="3"/>
      <c r="W3515" s="3"/>
      <c r="X3515" s="3"/>
      <c r="Y3515" s="3"/>
      <c r="Z3515" s="4"/>
      <c r="AA3515"/>
      <c r="AB3515"/>
    </row>
    <row r="3516" spans="1:28" s="37" customFormat="1" x14ac:dyDescent="0.15">
      <c r="A3516" s="166"/>
      <c r="B3516" s="82"/>
      <c r="C3516" s="70"/>
      <c r="D3516" s="70"/>
      <c r="E3516" s="70"/>
      <c r="F3516" s="70"/>
      <c r="G3516" s="70"/>
      <c r="H3516" s="93"/>
      <c r="I3516" s="85"/>
      <c r="J3516" s="85"/>
      <c r="K3516" s="131"/>
      <c r="L3516" s="60"/>
      <c r="M3516" s="49"/>
      <c r="Q3516" s="3"/>
      <c r="R3516" s="3"/>
      <c r="S3516" s="3"/>
      <c r="T3516" s="3"/>
      <c r="U3516" s="3"/>
      <c r="V3516" s="3"/>
      <c r="W3516" s="3"/>
      <c r="X3516" s="3"/>
      <c r="Y3516" s="3"/>
      <c r="Z3516" s="4"/>
      <c r="AA3516"/>
      <c r="AB3516"/>
    </row>
    <row r="3517" spans="1:28" s="37" customFormat="1" x14ac:dyDescent="0.15">
      <c r="A3517" s="166"/>
      <c r="B3517" s="82"/>
      <c r="C3517" s="70"/>
      <c r="D3517" s="70"/>
      <c r="E3517" s="70"/>
      <c r="F3517" s="70"/>
      <c r="G3517" s="70"/>
      <c r="H3517" s="93"/>
      <c r="I3517" s="85"/>
      <c r="J3517" s="85"/>
      <c r="K3517" s="131"/>
      <c r="L3517" s="60"/>
      <c r="M3517" s="49"/>
      <c r="Q3517" s="3"/>
      <c r="R3517" s="3"/>
      <c r="S3517" s="3"/>
      <c r="T3517" s="3"/>
      <c r="U3517" s="3"/>
      <c r="V3517" s="3"/>
      <c r="W3517" s="3"/>
      <c r="X3517" s="3"/>
      <c r="Y3517" s="3"/>
      <c r="Z3517" s="4"/>
      <c r="AA3517"/>
      <c r="AB3517"/>
    </row>
    <row r="3518" spans="1:28" s="37" customFormat="1" x14ac:dyDescent="0.15">
      <c r="A3518" s="166"/>
      <c r="B3518" s="82"/>
      <c r="C3518" s="70"/>
      <c r="D3518" s="70"/>
      <c r="E3518" s="70"/>
      <c r="F3518" s="70"/>
      <c r="G3518" s="70"/>
      <c r="H3518" s="93"/>
      <c r="I3518" s="85"/>
      <c r="J3518" s="85"/>
      <c r="K3518" s="131"/>
      <c r="L3518" s="60"/>
      <c r="M3518" s="49"/>
      <c r="Q3518" s="3"/>
      <c r="R3518" s="3"/>
      <c r="S3518" s="3"/>
      <c r="T3518" s="3"/>
      <c r="U3518" s="3"/>
      <c r="V3518" s="3"/>
      <c r="W3518" s="3"/>
      <c r="X3518" s="3"/>
      <c r="Y3518" s="3"/>
      <c r="Z3518" s="4"/>
      <c r="AA3518"/>
      <c r="AB3518"/>
    </row>
    <row r="3519" spans="1:28" s="37" customFormat="1" x14ac:dyDescent="0.15">
      <c r="A3519" s="166"/>
      <c r="B3519" s="82"/>
      <c r="C3519" s="70"/>
      <c r="D3519" s="70"/>
      <c r="E3519" s="70"/>
      <c r="F3519" s="70"/>
      <c r="G3519" s="70"/>
      <c r="H3519" s="93"/>
      <c r="I3519" s="85"/>
      <c r="J3519" s="85"/>
      <c r="K3519" s="131"/>
      <c r="L3519" s="60"/>
      <c r="M3519" s="49"/>
      <c r="Q3519" s="3"/>
      <c r="R3519" s="3"/>
      <c r="S3519" s="3"/>
      <c r="T3519" s="3"/>
      <c r="U3519" s="3"/>
      <c r="V3519" s="3"/>
      <c r="W3519" s="3"/>
      <c r="X3519" s="3"/>
      <c r="Y3519" s="3"/>
      <c r="Z3519" s="4"/>
      <c r="AA3519"/>
      <c r="AB3519"/>
    </row>
    <row r="3520" spans="1:28" s="37" customFormat="1" x14ac:dyDescent="0.15">
      <c r="A3520" s="166"/>
      <c r="B3520" s="82"/>
      <c r="C3520" s="70"/>
      <c r="D3520" s="70"/>
      <c r="E3520" s="70"/>
      <c r="F3520" s="70"/>
      <c r="G3520" s="70"/>
      <c r="H3520" s="93"/>
      <c r="I3520" s="85"/>
      <c r="J3520" s="85"/>
      <c r="K3520" s="131"/>
      <c r="L3520" s="60"/>
      <c r="M3520" s="49"/>
      <c r="Q3520" s="3"/>
      <c r="R3520" s="3"/>
      <c r="S3520" s="3"/>
      <c r="T3520" s="3"/>
      <c r="U3520" s="3"/>
      <c r="V3520" s="3"/>
      <c r="W3520" s="3"/>
      <c r="X3520" s="3"/>
      <c r="Y3520" s="3"/>
      <c r="Z3520" s="4"/>
      <c r="AA3520"/>
      <c r="AB3520"/>
    </row>
    <row r="3521" spans="1:28" s="37" customFormat="1" x14ac:dyDescent="0.15">
      <c r="A3521" s="166"/>
      <c r="B3521" s="82"/>
      <c r="C3521" s="70"/>
      <c r="D3521" s="70"/>
      <c r="E3521" s="70"/>
      <c r="F3521" s="70"/>
      <c r="G3521" s="70"/>
      <c r="H3521" s="93"/>
      <c r="I3521" s="85"/>
      <c r="J3521" s="85"/>
      <c r="K3521" s="131"/>
      <c r="L3521" s="60"/>
      <c r="M3521" s="49"/>
      <c r="Q3521" s="3"/>
      <c r="R3521" s="3"/>
      <c r="S3521" s="3"/>
      <c r="T3521" s="3"/>
      <c r="U3521" s="3"/>
      <c r="V3521" s="3"/>
      <c r="W3521" s="3"/>
      <c r="X3521" s="3"/>
      <c r="Y3521" s="3"/>
      <c r="Z3521" s="4"/>
      <c r="AA3521"/>
      <c r="AB3521"/>
    </row>
    <row r="3522" spans="1:28" s="37" customFormat="1" x14ac:dyDescent="0.15">
      <c r="A3522" s="166"/>
      <c r="B3522" s="93"/>
      <c r="C3522" s="70"/>
      <c r="D3522" s="70"/>
      <c r="E3522" s="70"/>
      <c r="F3522" s="70"/>
      <c r="G3522" s="70"/>
      <c r="H3522" s="93"/>
      <c r="I3522" s="85"/>
      <c r="J3522" s="85"/>
      <c r="K3522" s="131"/>
      <c r="L3522" s="60"/>
      <c r="M3522" s="49"/>
      <c r="Q3522" s="3"/>
      <c r="R3522" s="3"/>
      <c r="S3522" s="3"/>
      <c r="T3522" s="3"/>
      <c r="U3522" s="3"/>
      <c r="V3522" s="3"/>
      <c r="W3522" s="3"/>
      <c r="X3522" s="3"/>
      <c r="Y3522" s="3"/>
      <c r="Z3522" s="4"/>
      <c r="AA3522"/>
      <c r="AB3522"/>
    </row>
    <row r="3523" spans="1:28" s="37" customFormat="1" x14ac:dyDescent="0.15">
      <c r="A3523" s="166"/>
      <c r="B3523" s="93"/>
      <c r="C3523" s="70"/>
      <c r="D3523" s="70"/>
      <c r="E3523" s="70"/>
      <c r="F3523" s="70"/>
      <c r="G3523" s="70"/>
      <c r="H3523" s="93"/>
      <c r="I3523" s="85"/>
      <c r="J3523" s="85"/>
      <c r="K3523" s="131"/>
      <c r="L3523" s="60"/>
      <c r="M3523" s="49"/>
      <c r="Q3523" s="3"/>
      <c r="R3523" s="3"/>
      <c r="S3523" s="3"/>
      <c r="T3523" s="3"/>
      <c r="U3523" s="3"/>
      <c r="V3523" s="3"/>
      <c r="W3523" s="3"/>
      <c r="X3523" s="3"/>
      <c r="Y3523" s="3"/>
      <c r="Z3523" s="4"/>
      <c r="AA3523"/>
      <c r="AB3523"/>
    </row>
    <row r="3524" spans="1:28" s="37" customFormat="1" x14ac:dyDescent="0.15">
      <c r="A3524" s="166"/>
      <c r="B3524" s="82"/>
      <c r="C3524" s="70"/>
      <c r="D3524" s="70"/>
      <c r="E3524" s="70"/>
      <c r="F3524" s="70"/>
      <c r="G3524" s="70"/>
      <c r="H3524" s="93"/>
      <c r="I3524" s="85"/>
      <c r="J3524" s="85"/>
      <c r="K3524" s="131"/>
      <c r="L3524" s="60"/>
      <c r="M3524" s="49"/>
      <c r="Q3524" s="3"/>
      <c r="R3524" s="3"/>
      <c r="S3524" s="3"/>
      <c r="T3524" s="3"/>
      <c r="U3524" s="3"/>
      <c r="V3524" s="3"/>
      <c r="W3524" s="3"/>
      <c r="X3524" s="3"/>
      <c r="Y3524" s="3"/>
      <c r="Z3524" s="4"/>
      <c r="AA3524"/>
      <c r="AB3524"/>
    </row>
    <row r="3525" spans="1:28" s="37" customFormat="1" ht="16" x14ac:dyDescent="0.2">
      <c r="A3525" s="166"/>
      <c r="B3525" s="82"/>
      <c r="C3525" s="70"/>
      <c r="D3525" s="70"/>
      <c r="E3525" s="70"/>
      <c r="F3525" s="70"/>
      <c r="G3525" s="70"/>
      <c r="H3525" s="93"/>
      <c r="I3525" s="85"/>
      <c r="J3525" s="85"/>
      <c r="K3525" s="131"/>
      <c r="L3525" s="60"/>
      <c r="M3525" s="49"/>
      <c r="N3525" s="48"/>
      <c r="Q3525" s="3"/>
      <c r="R3525" s="3"/>
      <c r="S3525" s="3"/>
      <c r="T3525" s="3"/>
      <c r="U3525" s="3"/>
      <c r="V3525" s="3"/>
      <c r="W3525" s="3"/>
      <c r="X3525" s="3"/>
      <c r="Y3525" s="3"/>
      <c r="Z3525" s="4"/>
      <c r="AA3525"/>
      <c r="AB3525"/>
    </row>
    <row r="3526" spans="1:28" s="37" customFormat="1" x14ac:dyDescent="0.15">
      <c r="A3526" s="166"/>
      <c r="B3526" s="82"/>
      <c r="C3526" s="70"/>
      <c r="D3526" s="70"/>
      <c r="E3526" s="70"/>
      <c r="F3526" s="70"/>
      <c r="G3526" s="70"/>
      <c r="H3526" s="93"/>
      <c r="I3526" s="85"/>
      <c r="J3526" s="85"/>
      <c r="K3526" s="131"/>
      <c r="L3526" s="60"/>
      <c r="M3526" s="49"/>
      <c r="Q3526" s="3"/>
      <c r="R3526" s="3"/>
      <c r="S3526" s="3"/>
      <c r="T3526" s="3"/>
      <c r="U3526" s="3"/>
      <c r="V3526" s="3"/>
      <c r="W3526" s="3"/>
      <c r="X3526" s="3"/>
      <c r="Y3526" s="3"/>
      <c r="Z3526" s="4"/>
      <c r="AA3526"/>
      <c r="AB3526"/>
    </row>
    <row r="3527" spans="1:28" s="37" customFormat="1" x14ac:dyDescent="0.15">
      <c r="A3527" s="166"/>
      <c r="B3527" s="82"/>
      <c r="C3527" s="70"/>
      <c r="D3527" s="70"/>
      <c r="E3527" s="70"/>
      <c r="F3527" s="70"/>
      <c r="G3527" s="70"/>
      <c r="H3527" s="93"/>
      <c r="I3527" s="85"/>
      <c r="J3527" s="85"/>
      <c r="K3527" s="131"/>
      <c r="L3527" s="60"/>
      <c r="M3527" s="49"/>
      <c r="Q3527" s="3"/>
      <c r="R3527" s="3"/>
      <c r="S3527" s="3"/>
      <c r="T3527" s="3"/>
      <c r="U3527" s="3"/>
      <c r="V3527" s="3"/>
      <c r="W3527" s="3"/>
      <c r="X3527" s="3"/>
      <c r="Y3527" s="3"/>
      <c r="Z3527" s="4"/>
      <c r="AA3527"/>
      <c r="AB3527"/>
    </row>
    <row r="3528" spans="1:28" s="37" customFormat="1" x14ac:dyDescent="0.15">
      <c r="A3528" s="166"/>
      <c r="B3528" s="82"/>
      <c r="C3528" s="70"/>
      <c r="D3528" s="70"/>
      <c r="E3528" s="70"/>
      <c r="F3528" s="70"/>
      <c r="G3528" s="70"/>
      <c r="H3528" s="93"/>
      <c r="I3528" s="85"/>
      <c r="J3528" s="85"/>
      <c r="K3528" s="131"/>
      <c r="L3528" s="60"/>
      <c r="M3528" s="49"/>
      <c r="Q3528" s="3"/>
      <c r="R3528" s="3"/>
      <c r="S3528" s="3"/>
      <c r="T3528" s="3"/>
      <c r="U3528" s="3"/>
      <c r="V3528" s="3"/>
      <c r="W3528" s="3"/>
      <c r="X3528" s="3"/>
      <c r="Y3528" s="3"/>
      <c r="Z3528" s="4"/>
      <c r="AA3528"/>
      <c r="AB3528"/>
    </row>
    <row r="3529" spans="1:28" s="37" customFormat="1" x14ac:dyDescent="0.15">
      <c r="A3529" s="166"/>
      <c r="B3529" s="82"/>
      <c r="C3529" s="70"/>
      <c r="D3529" s="70"/>
      <c r="E3529" s="70"/>
      <c r="F3529" s="70"/>
      <c r="G3529" s="70"/>
      <c r="H3529" s="93"/>
      <c r="I3529" s="85"/>
      <c r="J3529" s="85"/>
      <c r="K3529" s="131"/>
      <c r="L3529" s="60"/>
      <c r="M3529" s="49"/>
      <c r="Q3529" s="3"/>
      <c r="R3529" s="3"/>
      <c r="S3529" s="3"/>
      <c r="T3529" s="3"/>
      <c r="U3529" s="3"/>
      <c r="V3529" s="3"/>
      <c r="W3529" s="3"/>
      <c r="X3529" s="3"/>
      <c r="Y3529" s="3"/>
      <c r="Z3529" s="4"/>
      <c r="AA3529"/>
      <c r="AB3529"/>
    </row>
    <row r="3530" spans="1:28" s="37" customFormat="1" x14ac:dyDescent="0.15">
      <c r="A3530" s="166"/>
      <c r="B3530" s="82"/>
      <c r="C3530" s="70"/>
      <c r="D3530" s="70"/>
      <c r="E3530" s="70"/>
      <c r="F3530" s="70"/>
      <c r="G3530" s="70"/>
      <c r="H3530" s="93"/>
      <c r="I3530" s="85"/>
      <c r="J3530" s="85"/>
      <c r="K3530" s="131"/>
      <c r="L3530" s="60"/>
      <c r="M3530" s="33"/>
      <c r="N3530" s="52"/>
      <c r="Q3530" s="3"/>
      <c r="R3530" s="3"/>
      <c r="S3530" s="3"/>
      <c r="T3530" s="3"/>
      <c r="U3530" s="3"/>
      <c r="V3530" s="3"/>
      <c r="W3530" s="3"/>
      <c r="X3530" s="3"/>
      <c r="Y3530" s="3"/>
      <c r="Z3530" s="4"/>
      <c r="AA3530"/>
      <c r="AB3530"/>
    </row>
    <row r="3531" spans="1:28" s="37" customFormat="1" x14ac:dyDescent="0.15">
      <c r="A3531" s="166"/>
      <c r="B3531" s="82"/>
      <c r="C3531" s="70"/>
      <c r="D3531" s="70"/>
      <c r="E3531" s="70"/>
      <c r="F3531" s="70"/>
      <c r="G3531" s="70"/>
      <c r="H3531" s="93"/>
      <c r="I3531" s="85"/>
      <c r="J3531" s="85"/>
      <c r="K3531" s="131"/>
      <c r="L3531" s="60"/>
      <c r="M3531" s="33"/>
      <c r="N3531" s="35"/>
      <c r="O3531" s="35"/>
      <c r="Q3531" s="3"/>
      <c r="R3531" s="3"/>
      <c r="S3531" s="3"/>
      <c r="T3531" s="3"/>
      <c r="U3531" s="3"/>
      <c r="V3531" s="3"/>
      <c r="W3531" s="3"/>
      <c r="X3531" s="3"/>
      <c r="Y3531" s="3"/>
      <c r="Z3531" s="4"/>
      <c r="AA3531"/>
      <c r="AB3531"/>
    </row>
    <row r="3532" spans="1:28" s="37" customFormat="1" x14ac:dyDescent="0.15">
      <c r="A3532" s="166"/>
      <c r="B3532" s="82"/>
      <c r="C3532" s="70"/>
      <c r="D3532" s="70"/>
      <c r="E3532" s="70"/>
      <c r="F3532" s="70"/>
      <c r="G3532" s="70"/>
      <c r="H3532" s="93"/>
      <c r="I3532" s="85"/>
      <c r="J3532" s="85"/>
      <c r="K3532" s="131"/>
      <c r="L3532" s="60"/>
      <c r="M3532" s="49"/>
      <c r="Q3532" s="3"/>
      <c r="R3532" s="3"/>
      <c r="S3532" s="3"/>
      <c r="T3532" s="3"/>
      <c r="U3532" s="3"/>
      <c r="V3532" s="3"/>
      <c r="W3532" s="3"/>
      <c r="X3532" s="3"/>
      <c r="Y3532" s="3"/>
      <c r="Z3532" s="4"/>
      <c r="AA3532"/>
      <c r="AB3532"/>
    </row>
    <row r="3533" spans="1:28" s="37" customFormat="1" x14ac:dyDescent="0.15">
      <c r="A3533" s="166"/>
      <c r="B3533" s="82"/>
      <c r="C3533" s="70"/>
      <c r="D3533" s="70"/>
      <c r="E3533" s="70"/>
      <c r="F3533" s="70"/>
      <c r="G3533" s="70"/>
      <c r="H3533" s="93"/>
      <c r="I3533" s="85"/>
      <c r="J3533" s="85"/>
      <c r="K3533" s="131"/>
      <c r="L3533" s="60"/>
      <c r="M3533" s="49"/>
      <c r="Q3533" s="3"/>
      <c r="R3533" s="3"/>
      <c r="S3533" s="3"/>
      <c r="T3533" s="3"/>
      <c r="U3533" s="3"/>
      <c r="V3533" s="3"/>
      <c r="W3533" s="3"/>
      <c r="X3533" s="3"/>
      <c r="Y3533" s="3"/>
      <c r="Z3533" s="4"/>
      <c r="AA3533"/>
      <c r="AB3533"/>
    </row>
    <row r="3534" spans="1:28" s="37" customFormat="1" x14ac:dyDescent="0.15">
      <c r="A3534" s="166"/>
      <c r="B3534" s="82"/>
      <c r="C3534" s="70"/>
      <c r="D3534" s="70"/>
      <c r="E3534" s="70"/>
      <c r="F3534" s="70"/>
      <c r="G3534" s="70"/>
      <c r="H3534" s="93"/>
      <c r="I3534" s="85"/>
      <c r="J3534" s="85"/>
      <c r="K3534" s="131"/>
      <c r="L3534" s="66"/>
      <c r="M3534" s="49"/>
      <c r="Q3534" s="3"/>
      <c r="R3534" s="3"/>
      <c r="S3534" s="3"/>
      <c r="T3534" s="3"/>
      <c r="U3534" s="3"/>
      <c r="V3534" s="3"/>
      <c r="W3534" s="3"/>
      <c r="X3534" s="3"/>
      <c r="Y3534" s="3"/>
      <c r="Z3534" s="4"/>
      <c r="AA3534"/>
      <c r="AB3534"/>
    </row>
    <row r="3535" spans="1:28" s="37" customFormat="1" x14ac:dyDescent="0.15">
      <c r="A3535" s="166"/>
      <c r="B3535" s="82"/>
      <c r="C3535" s="70"/>
      <c r="D3535" s="70"/>
      <c r="E3535" s="70"/>
      <c r="F3535" s="70"/>
      <c r="G3535" s="70"/>
      <c r="H3535" s="93"/>
      <c r="I3535" s="85"/>
      <c r="J3535" s="85"/>
      <c r="K3535" s="131"/>
      <c r="L3535" s="60"/>
      <c r="M3535" s="49"/>
      <c r="Q3535" s="3"/>
      <c r="R3535" s="3"/>
      <c r="S3535" s="3"/>
      <c r="T3535" s="3"/>
      <c r="U3535" s="3"/>
      <c r="V3535" s="3"/>
      <c r="W3535" s="3"/>
      <c r="X3535" s="3"/>
      <c r="Y3535" s="3"/>
      <c r="Z3535" s="4"/>
      <c r="AA3535"/>
      <c r="AB3535"/>
    </row>
    <row r="3536" spans="1:28" s="37" customFormat="1" x14ac:dyDescent="0.15">
      <c r="A3536" s="166"/>
      <c r="B3536" s="82"/>
      <c r="C3536" s="70"/>
      <c r="D3536" s="70"/>
      <c r="E3536" s="70"/>
      <c r="F3536" s="70"/>
      <c r="G3536" s="70"/>
      <c r="H3536" s="93"/>
      <c r="I3536" s="85"/>
      <c r="J3536" s="85"/>
      <c r="K3536" s="131"/>
      <c r="L3536" s="60"/>
      <c r="M3536" s="49"/>
      <c r="Q3536" s="3"/>
      <c r="R3536" s="3"/>
      <c r="S3536" s="3"/>
      <c r="T3536" s="3"/>
      <c r="U3536" s="3"/>
      <c r="V3536" s="3"/>
      <c r="W3536" s="3"/>
      <c r="X3536" s="3"/>
      <c r="Y3536" s="3"/>
      <c r="Z3536" s="4"/>
      <c r="AA3536"/>
      <c r="AB3536"/>
    </row>
    <row r="3537" spans="1:28" s="37" customFormat="1" x14ac:dyDescent="0.15">
      <c r="A3537" s="166"/>
      <c r="B3537" s="82"/>
      <c r="C3537" s="70"/>
      <c r="D3537" s="70"/>
      <c r="E3537" s="70"/>
      <c r="F3537" s="70"/>
      <c r="G3537" s="70"/>
      <c r="H3537" s="93"/>
      <c r="I3537" s="85"/>
      <c r="J3537" s="85"/>
      <c r="K3537" s="131"/>
      <c r="L3537" s="60"/>
      <c r="M3537" s="33"/>
      <c r="Q3537" s="3"/>
      <c r="R3537" s="3"/>
      <c r="S3537" s="3"/>
      <c r="T3537" s="3"/>
      <c r="U3537" s="3"/>
      <c r="V3537" s="3"/>
      <c r="W3537" s="3"/>
      <c r="X3537" s="3"/>
      <c r="Y3537" s="3"/>
      <c r="Z3537" s="4"/>
      <c r="AA3537"/>
      <c r="AB3537"/>
    </row>
    <row r="3538" spans="1:28" s="37" customFormat="1" x14ac:dyDescent="0.15">
      <c r="A3538" s="166"/>
      <c r="B3538" s="82"/>
      <c r="C3538" s="70"/>
      <c r="D3538" s="70"/>
      <c r="E3538" s="70"/>
      <c r="F3538" s="70"/>
      <c r="G3538" s="70"/>
      <c r="H3538" s="93"/>
      <c r="I3538" s="85"/>
      <c r="J3538" s="85"/>
      <c r="K3538" s="131"/>
      <c r="L3538" s="60"/>
      <c r="M3538" s="49"/>
      <c r="Q3538" s="3"/>
      <c r="R3538" s="3"/>
      <c r="S3538" s="3"/>
      <c r="T3538" s="3"/>
      <c r="U3538" s="3"/>
      <c r="V3538" s="3"/>
      <c r="W3538" s="3"/>
      <c r="X3538" s="3"/>
      <c r="Y3538" s="3"/>
      <c r="Z3538" s="4"/>
      <c r="AA3538"/>
      <c r="AB3538"/>
    </row>
    <row r="3539" spans="1:28" s="37" customFormat="1" x14ac:dyDescent="0.15">
      <c r="A3539" s="166"/>
      <c r="B3539" s="82"/>
      <c r="C3539" s="70"/>
      <c r="D3539" s="70"/>
      <c r="E3539" s="70"/>
      <c r="F3539" s="70"/>
      <c r="G3539" s="70"/>
      <c r="H3539" s="93"/>
      <c r="I3539" s="85"/>
      <c r="J3539" s="85"/>
      <c r="K3539" s="131"/>
      <c r="L3539" s="60"/>
      <c r="M3539" s="49"/>
      <c r="Q3539" s="3"/>
      <c r="R3539" s="3"/>
      <c r="S3539" s="3"/>
      <c r="T3539" s="3"/>
      <c r="U3539" s="3"/>
      <c r="V3539" s="3"/>
      <c r="W3539" s="3"/>
      <c r="X3539" s="3"/>
      <c r="Y3539" s="3"/>
      <c r="Z3539" s="4"/>
      <c r="AA3539"/>
      <c r="AB3539"/>
    </row>
    <row r="3540" spans="1:28" s="37" customFormat="1" x14ac:dyDescent="0.15">
      <c r="A3540" s="166"/>
      <c r="B3540" s="82"/>
      <c r="C3540" s="70"/>
      <c r="D3540" s="70"/>
      <c r="E3540" s="70"/>
      <c r="F3540" s="70"/>
      <c r="G3540" s="70"/>
      <c r="H3540" s="93"/>
      <c r="I3540" s="85"/>
      <c r="J3540" s="85"/>
      <c r="K3540" s="131"/>
      <c r="L3540" s="60"/>
      <c r="M3540" s="49"/>
      <c r="Q3540" s="3"/>
      <c r="R3540" s="3"/>
      <c r="S3540" s="3"/>
      <c r="T3540" s="3"/>
      <c r="U3540" s="3"/>
      <c r="V3540" s="3"/>
      <c r="W3540" s="3"/>
      <c r="X3540" s="3"/>
      <c r="Y3540" s="3"/>
      <c r="Z3540" s="4"/>
      <c r="AA3540"/>
      <c r="AB3540"/>
    </row>
    <row r="3541" spans="1:28" s="37" customFormat="1" x14ac:dyDescent="0.15">
      <c r="A3541" s="166"/>
      <c r="B3541" s="82"/>
      <c r="C3541" s="73"/>
      <c r="D3541" s="73"/>
      <c r="E3541" s="70"/>
      <c r="F3541" s="73"/>
      <c r="G3541" s="73"/>
      <c r="H3541" s="108"/>
      <c r="I3541" s="85"/>
      <c r="J3541" s="95"/>
      <c r="K3541" s="131"/>
      <c r="L3541" s="60"/>
      <c r="M3541" s="33"/>
      <c r="N3541" s="35"/>
      <c r="O3541" s="35"/>
      <c r="Q3541" s="3"/>
      <c r="R3541" s="3"/>
      <c r="S3541" s="3"/>
      <c r="T3541" s="3"/>
      <c r="U3541" s="3"/>
      <c r="V3541" s="3"/>
      <c r="W3541" s="3"/>
      <c r="X3541" s="3"/>
      <c r="Y3541" s="3"/>
      <c r="Z3541" s="4"/>
      <c r="AA3541"/>
      <c r="AB3541"/>
    </row>
    <row r="3542" spans="1:28" s="37" customFormat="1" x14ac:dyDescent="0.15">
      <c r="A3542" s="166"/>
      <c r="B3542" s="82"/>
      <c r="C3542" s="70"/>
      <c r="D3542" s="70"/>
      <c r="E3542" s="70"/>
      <c r="F3542" s="70"/>
      <c r="G3542" s="70"/>
      <c r="H3542" s="93"/>
      <c r="I3542" s="85"/>
      <c r="J3542" s="85"/>
      <c r="K3542" s="131"/>
      <c r="L3542" s="60"/>
      <c r="M3542" s="33"/>
      <c r="N3542" s="35"/>
      <c r="Q3542" s="3"/>
      <c r="R3542" s="3"/>
      <c r="S3542" s="3"/>
      <c r="T3542" s="3"/>
      <c r="U3542" s="3"/>
      <c r="V3542" s="3"/>
      <c r="W3542" s="3"/>
      <c r="X3542" s="3"/>
      <c r="Y3542" s="3"/>
      <c r="Z3542" s="4"/>
      <c r="AA3542"/>
      <c r="AB3542"/>
    </row>
    <row r="3543" spans="1:28" s="37" customFormat="1" x14ac:dyDescent="0.15">
      <c r="A3543" s="166"/>
      <c r="B3543" s="82"/>
      <c r="C3543" s="70"/>
      <c r="D3543" s="70"/>
      <c r="E3543" s="70"/>
      <c r="F3543" s="70"/>
      <c r="G3543" s="70"/>
      <c r="H3543" s="93"/>
      <c r="I3543" s="85"/>
      <c r="J3543" s="85"/>
      <c r="K3543" s="131"/>
      <c r="L3543" s="60"/>
      <c r="M3543" s="33"/>
      <c r="N3543" s="35"/>
      <c r="Q3543" s="3"/>
      <c r="R3543" s="3"/>
      <c r="S3543" s="3"/>
      <c r="T3543" s="3"/>
      <c r="U3543" s="3"/>
      <c r="V3543" s="3"/>
      <c r="W3543" s="3"/>
      <c r="X3543" s="3"/>
      <c r="Y3543" s="3"/>
      <c r="Z3543" s="4"/>
      <c r="AA3543"/>
      <c r="AB3543"/>
    </row>
    <row r="3544" spans="1:28" s="37" customFormat="1" x14ac:dyDescent="0.15">
      <c r="A3544" s="166"/>
      <c r="B3544" s="82"/>
      <c r="C3544" s="70"/>
      <c r="D3544" s="70"/>
      <c r="E3544" s="70"/>
      <c r="F3544" s="70"/>
      <c r="G3544" s="70"/>
      <c r="H3544" s="93"/>
      <c r="I3544" s="85"/>
      <c r="J3544" s="85"/>
      <c r="K3544" s="131"/>
      <c r="L3544" s="60"/>
      <c r="M3544" s="33"/>
      <c r="N3544" s="35"/>
      <c r="Q3544" s="3"/>
      <c r="R3544" s="3"/>
      <c r="S3544" s="3"/>
      <c r="T3544" s="3"/>
      <c r="U3544" s="3"/>
      <c r="V3544" s="3"/>
      <c r="W3544" s="3"/>
      <c r="X3544" s="3"/>
      <c r="Y3544" s="3"/>
      <c r="Z3544" s="4"/>
      <c r="AA3544"/>
      <c r="AB3544"/>
    </row>
    <row r="3545" spans="1:28" s="37" customFormat="1" x14ac:dyDescent="0.15">
      <c r="A3545" s="166"/>
      <c r="B3545" s="82"/>
      <c r="C3545" s="70"/>
      <c r="D3545" s="70"/>
      <c r="E3545" s="70"/>
      <c r="F3545" s="70"/>
      <c r="G3545" s="70"/>
      <c r="H3545" s="93"/>
      <c r="I3545" s="85"/>
      <c r="J3545" s="85"/>
      <c r="K3545" s="131"/>
      <c r="L3545" s="60"/>
      <c r="M3545" s="49"/>
      <c r="Q3545" s="3"/>
      <c r="R3545" s="3"/>
      <c r="S3545" s="3"/>
      <c r="T3545" s="3"/>
      <c r="U3545" s="3"/>
      <c r="V3545" s="3"/>
      <c r="W3545" s="3"/>
      <c r="X3545" s="3"/>
      <c r="Y3545" s="3"/>
      <c r="Z3545" s="4"/>
      <c r="AA3545"/>
      <c r="AB3545"/>
    </row>
    <row r="3546" spans="1:28" s="37" customFormat="1" x14ac:dyDescent="0.15">
      <c r="A3546" s="166"/>
      <c r="B3546" s="82"/>
      <c r="C3546" s="70"/>
      <c r="D3546" s="70"/>
      <c r="E3546" s="70"/>
      <c r="F3546" s="70"/>
      <c r="G3546" s="70"/>
      <c r="H3546" s="93"/>
      <c r="I3546" s="85"/>
      <c r="J3546" s="85"/>
      <c r="K3546" s="131"/>
      <c r="L3546" s="60"/>
      <c r="M3546" s="49"/>
      <c r="Q3546" s="3"/>
      <c r="R3546" s="3"/>
      <c r="S3546" s="3"/>
      <c r="T3546" s="3"/>
      <c r="U3546" s="3"/>
      <c r="V3546" s="3"/>
      <c r="W3546" s="3"/>
      <c r="X3546" s="3"/>
      <c r="Y3546" s="3"/>
      <c r="Z3546" s="4"/>
      <c r="AA3546"/>
      <c r="AB3546"/>
    </row>
    <row r="3547" spans="1:28" s="37" customFormat="1" x14ac:dyDescent="0.15">
      <c r="A3547" s="166"/>
      <c r="B3547" s="82"/>
      <c r="C3547" s="70"/>
      <c r="D3547" s="70"/>
      <c r="E3547" s="70"/>
      <c r="F3547" s="70"/>
      <c r="G3547" s="70"/>
      <c r="H3547" s="93"/>
      <c r="I3547" s="85"/>
      <c r="J3547" s="85"/>
      <c r="K3547" s="131"/>
      <c r="L3547" s="60"/>
      <c r="M3547" s="49"/>
      <c r="Q3547" s="3"/>
      <c r="R3547" s="3"/>
      <c r="S3547" s="3"/>
      <c r="T3547" s="3"/>
      <c r="U3547" s="3"/>
      <c r="V3547" s="3"/>
      <c r="W3547" s="3"/>
      <c r="X3547" s="3"/>
      <c r="Y3547" s="3"/>
      <c r="Z3547" s="4"/>
      <c r="AA3547"/>
      <c r="AB3547"/>
    </row>
    <row r="3548" spans="1:28" s="37" customFormat="1" x14ac:dyDescent="0.15">
      <c r="A3548" s="166"/>
      <c r="B3548" s="82"/>
      <c r="C3548" s="70"/>
      <c r="D3548" s="70"/>
      <c r="E3548" s="70"/>
      <c r="F3548" s="70"/>
      <c r="G3548" s="70"/>
      <c r="H3548" s="93"/>
      <c r="I3548" s="85"/>
      <c r="J3548" s="85"/>
      <c r="K3548" s="131"/>
      <c r="L3548" s="60"/>
      <c r="M3548" s="33"/>
      <c r="Q3548" s="3"/>
      <c r="R3548" s="3"/>
      <c r="S3548" s="3"/>
      <c r="T3548" s="3"/>
      <c r="U3548" s="3"/>
      <c r="V3548" s="3"/>
      <c r="W3548" s="3"/>
      <c r="X3548" s="3"/>
      <c r="Y3548" s="3"/>
      <c r="Z3548" s="4"/>
      <c r="AA3548"/>
      <c r="AB3548"/>
    </row>
    <row r="3549" spans="1:28" s="37" customFormat="1" x14ac:dyDescent="0.15">
      <c r="A3549" s="166"/>
      <c r="B3549" s="82"/>
      <c r="C3549" s="70"/>
      <c r="D3549" s="70"/>
      <c r="E3549" s="70"/>
      <c r="F3549" s="70"/>
      <c r="G3549" s="70"/>
      <c r="H3549" s="93"/>
      <c r="I3549" s="85"/>
      <c r="J3549" s="85"/>
      <c r="K3549" s="131"/>
      <c r="L3549" s="60"/>
      <c r="M3549" s="49"/>
      <c r="Q3549" s="3"/>
      <c r="R3549" s="3"/>
      <c r="S3549" s="3"/>
      <c r="T3549" s="3"/>
      <c r="U3549" s="3"/>
      <c r="V3549" s="3"/>
      <c r="W3549" s="3"/>
      <c r="X3549" s="3"/>
      <c r="Y3549" s="3"/>
      <c r="Z3549" s="4"/>
      <c r="AA3549"/>
      <c r="AB3549"/>
    </row>
    <row r="3550" spans="1:28" s="37" customFormat="1" x14ac:dyDescent="0.15">
      <c r="A3550" s="166"/>
      <c r="B3550" s="82"/>
      <c r="C3550" s="70"/>
      <c r="D3550" s="70"/>
      <c r="E3550" s="70"/>
      <c r="F3550" s="70"/>
      <c r="G3550" s="70"/>
      <c r="H3550" s="93"/>
      <c r="I3550" s="85"/>
      <c r="J3550" s="85"/>
      <c r="K3550" s="131"/>
      <c r="L3550" s="60"/>
      <c r="M3550" s="49"/>
      <c r="Q3550" s="3"/>
      <c r="R3550" s="3"/>
      <c r="S3550" s="3"/>
      <c r="T3550" s="3"/>
      <c r="U3550" s="3"/>
      <c r="V3550" s="3"/>
      <c r="W3550" s="3"/>
      <c r="X3550" s="3"/>
      <c r="Y3550" s="3"/>
      <c r="Z3550" s="4"/>
      <c r="AA3550"/>
      <c r="AB3550"/>
    </row>
    <row r="3551" spans="1:28" s="37" customFormat="1" x14ac:dyDescent="0.15">
      <c r="A3551" s="170"/>
      <c r="B3551" s="82"/>
      <c r="C3551" s="70"/>
      <c r="D3551" s="70"/>
      <c r="E3551" s="70"/>
      <c r="F3551" s="70"/>
      <c r="G3551" s="70"/>
      <c r="H3551" s="93"/>
      <c r="I3551" s="85"/>
      <c r="J3551" s="85"/>
      <c r="K3551" s="131"/>
      <c r="L3551" s="60"/>
      <c r="M3551" s="49"/>
      <c r="Q3551" s="3"/>
      <c r="R3551" s="3"/>
      <c r="S3551" s="3"/>
      <c r="T3551" s="3"/>
      <c r="U3551" s="3"/>
      <c r="V3551" s="3"/>
      <c r="W3551" s="3"/>
      <c r="X3551" s="3"/>
      <c r="Y3551" s="3"/>
      <c r="Z3551" s="4"/>
      <c r="AA3551"/>
      <c r="AB3551"/>
    </row>
    <row r="3552" spans="1:28" s="37" customFormat="1" x14ac:dyDescent="0.15">
      <c r="A3552" s="166"/>
      <c r="B3552" s="82"/>
      <c r="C3552" s="70"/>
      <c r="D3552" s="70"/>
      <c r="E3552" s="70"/>
      <c r="F3552" s="70"/>
      <c r="G3552" s="70"/>
      <c r="H3552" s="93"/>
      <c r="I3552" s="85"/>
      <c r="J3552" s="85"/>
      <c r="K3552" s="131"/>
      <c r="L3552" s="60"/>
      <c r="M3552" s="49"/>
      <c r="Q3552" s="3"/>
      <c r="R3552" s="3"/>
      <c r="S3552" s="3"/>
      <c r="T3552" s="3"/>
      <c r="U3552" s="3"/>
      <c r="V3552" s="3"/>
      <c r="W3552" s="3"/>
      <c r="X3552" s="3"/>
      <c r="Y3552" s="3"/>
      <c r="Z3552" s="4"/>
      <c r="AA3552"/>
      <c r="AB3552"/>
    </row>
    <row r="3553" spans="1:28" s="37" customFormat="1" x14ac:dyDescent="0.15">
      <c r="A3553" s="166"/>
      <c r="B3553" s="82"/>
      <c r="C3553" s="73"/>
      <c r="D3553" s="73"/>
      <c r="E3553" s="70"/>
      <c r="F3553" s="73"/>
      <c r="G3553" s="73"/>
      <c r="H3553" s="108"/>
      <c r="I3553" s="85"/>
      <c r="J3553" s="95"/>
      <c r="K3553" s="131"/>
      <c r="L3553" s="60"/>
      <c r="M3553" s="33"/>
      <c r="N3553" s="35"/>
      <c r="Q3553" s="3"/>
      <c r="R3553" s="3"/>
      <c r="S3553" s="3"/>
      <c r="T3553" s="3"/>
      <c r="U3553" s="3"/>
      <c r="V3553" s="3"/>
      <c r="W3553" s="3"/>
      <c r="X3553" s="3"/>
      <c r="Y3553" s="3"/>
      <c r="Z3553" s="4"/>
      <c r="AA3553"/>
      <c r="AB3553"/>
    </row>
    <row r="3554" spans="1:28" s="37" customFormat="1" x14ac:dyDescent="0.15">
      <c r="A3554" s="166"/>
      <c r="B3554" s="82"/>
      <c r="C3554" s="70"/>
      <c r="D3554" s="70"/>
      <c r="E3554" s="70"/>
      <c r="F3554" s="70"/>
      <c r="G3554" s="70"/>
      <c r="H3554" s="93"/>
      <c r="I3554" s="85"/>
      <c r="J3554" s="85"/>
      <c r="K3554" s="131"/>
      <c r="L3554" s="60"/>
      <c r="M3554" s="49"/>
      <c r="Q3554" s="3"/>
      <c r="R3554" s="3"/>
      <c r="S3554" s="3"/>
      <c r="T3554" s="3"/>
      <c r="U3554" s="3"/>
      <c r="V3554" s="3"/>
      <c r="W3554" s="3"/>
      <c r="X3554" s="3"/>
      <c r="Y3554" s="3"/>
      <c r="Z3554" s="4"/>
      <c r="AA3554"/>
      <c r="AB3554"/>
    </row>
    <row r="3555" spans="1:28" s="37" customFormat="1" x14ac:dyDescent="0.15">
      <c r="A3555" s="166"/>
      <c r="B3555" s="82"/>
      <c r="C3555" s="70"/>
      <c r="D3555" s="70"/>
      <c r="E3555" s="70"/>
      <c r="F3555" s="70"/>
      <c r="G3555" s="70"/>
      <c r="H3555" s="93"/>
      <c r="I3555" s="85"/>
      <c r="J3555" s="85"/>
      <c r="K3555" s="131"/>
      <c r="L3555" s="60"/>
      <c r="M3555" s="33"/>
      <c r="Q3555" s="3"/>
      <c r="R3555" s="3"/>
      <c r="S3555" s="3"/>
      <c r="T3555" s="3"/>
      <c r="U3555" s="3"/>
      <c r="V3555" s="3"/>
      <c r="W3555" s="3"/>
      <c r="X3555" s="3"/>
      <c r="Y3555" s="3"/>
      <c r="Z3555" s="4"/>
      <c r="AA3555"/>
      <c r="AB3555"/>
    </row>
    <row r="3556" spans="1:28" s="37" customFormat="1" x14ac:dyDescent="0.15">
      <c r="A3556" s="166"/>
      <c r="B3556" s="82"/>
      <c r="C3556" s="70"/>
      <c r="D3556" s="70"/>
      <c r="E3556" s="70"/>
      <c r="F3556" s="70"/>
      <c r="G3556" s="70"/>
      <c r="H3556" s="93"/>
      <c r="I3556" s="85"/>
      <c r="J3556" s="85"/>
      <c r="K3556" s="131"/>
      <c r="L3556" s="60"/>
      <c r="M3556" s="49"/>
      <c r="Q3556" s="3"/>
      <c r="R3556" s="3"/>
      <c r="S3556" s="3"/>
      <c r="T3556" s="3"/>
      <c r="U3556" s="3"/>
      <c r="V3556" s="3"/>
      <c r="W3556" s="3"/>
      <c r="X3556" s="3"/>
      <c r="Y3556" s="3"/>
      <c r="Z3556" s="4"/>
      <c r="AA3556"/>
      <c r="AB3556"/>
    </row>
    <row r="3557" spans="1:28" s="37" customFormat="1" x14ac:dyDescent="0.15">
      <c r="A3557" s="166"/>
      <c r="B3557" s="82"/>
      <c r="C3557" s="70"/>
      <c r="D3557" s="70"/>
      <c r="E3557" s="70"/>
      <c r="F3557" s="70"/>
      <c r="G3557" s="70"/>
      <c r="H3557" s="93"/>
      <c r="I3557" s="85"/>
      <c r="J3557" s="85"/>
      <c r="K3557" s="131"/>
      <c r="L3557" s="60"/>
      <c r="M3557" s="49"/>
      <c r="Q3557" s="3"/>
      <c r="R3557" s="3"/>
      <c r="S3557" s="3"/>
      <c r="T3557" s="3"/>
      <c r="U3557" s="3"/>
      <c r="V3557" s="3"/>
      <c r="W3557" s="3"/>
      <c r="X3557" s="3"/>
      <c r="Y3557" s="3"/>
      <c r="Z3557" s="4"/>
      <c r="AA3557"/>
      <c r="AB3557"/>
    </row>
    <row r="3558" spans="1:28" s="37" customFormat="1" x14ac:dyDescent="0.15">
      <c r="A3558" s="166"/>
      <c r="B3558" s="82"/>
      <c r="C3558" s="70"/>
      <c r="D3558" s="70"/>
      <c r="E3558" s="70"/>
      <c r="F3558" s="70"/>
      <c r="G3558" s="70"/>
      <c r="H3558" s="93"/>
      <c r="I3558" s="85"/>
      <c r="J3558" s="85"/>
      <c r="K3558" s="131"/>
      <c r="L3558" s="60"/>
      <c r="M3558" s="33"/>
      <c r="N3558" s="35"/>
      <c r="Q3558" s="3"/>
      <c r="R3558" s="3"/>
      <c r="S3558" s="3"/>
      <c r="T3558" s="3"/>
      <c r="U3558" s="3"/>
      <c r="V3558" s="3"/>
      <c r="W3558" s="3"/>
      <c r="X3558" s="3"/>
      <c r="Y3558" s="3"/>
      <c r="Z3558" s="4"/>
      <c r="AA3558"/>
      <c r="AB3558"/>
    </row>
    <row r="3559" spans="1:28" s="37" customFormat="1" x14ac:dyDescent="0.15">
      <c r="A3559" s="166"/>
      <c r="B3559" s="82"/>
      <c r="C3559" s="70"/>
      <c r="D3559" s="70"/>
      <c r="E3559" s="70"/>
      <c r="F3559" s="70"/>
      <c r="G3559" s="70"/>
      <c r="H3559" s="93"/>
      <c r="I3559" s="85"/>
      <c r="J3559" s="85"/>
      <c r="K3559" s="131"/>
      <c r="L3559" s="60"/>
      <c r="M3559" s="49"/>
      <c r="Q3559" s="3"/>
      <c r="R3559" s="3"/>
      <c r="S3559" s="3"/>
      <c r="T3559" s="3"/>
      <c r="U3559" s="3"/>
      <c r="V3559" s="3"/>
      <c r="W3559" s="3"/>
      <c r="X3559" s="3"/>
      <c r="Y3559" s="3"/>
      <c r="Z3559" s="4"/>
      <c r="AA3559"/>
      <c r="AB3559"/>
    </row>
    <row r="3560" spans="1:28" s="37" customFormat="1" x14ac:dyDescent="0.15">
      <c r="A3560" s="166"/>
      <c r="B3560" s="82"/>
      <c r="C3560" s="70"/>
      <c r="D3560" s="70"/>
      <c r="E3560" s="70"/>
      <c r="F3560" s="70"/>
      <c r="G3560" s="70"/>
      <c r="H3560" s="93"/>
      <c r="I3560" s="85"/>
      <c r="J3560" s="85"/>
      <c r="K3560" s="131"/>
      <c r="L3560" s="60"/>
      <c r="M3560" s="49"/>
      <c r="Q3560" s="3"/>
      <c r="R3560" s="3"/>
      <c r="S3560" s="3"/>
      <c r="T3560" s="3"/>
      <c r="U3560" s="3"/>
      <c r="V3560" s="3"/>
      <c r="W3560" s="3"/>
      <c r="X3560" s="3"/>
      <c r="Y3560" s="3"/>
      <c r="Z3560" s="4"/>
      <c r="AA3560"/>
      <c r="AB3560"/>
    </row>
    <row r="3561" spans="1:28" s="37" customFormat="1" x14ac:dyDescent="0.15">
      <c r="A3561" s="166"/>
      <c r="B3561" s="82"/>
      <c r="C3561" s="70"/>
      <c r="D3561" s="70"/>
      <c r="E3561" s="70"/>
      <c r="F3561" s="70"/>
      <c r="G3561" s="70"/>
      <c r="H3561" s="93"/>
      <c r="I3561" s="85"/>
      <c r="J3561" s="85"/>
      <c r="K3561" s="131"/>
      <c r="L3561" s="60"/>
      <c r="M3561" s="49"/>
      <c r="Q3561" s="3"/>
      <c r="R3561" s="3"/>
      <c r="S3561" s="3"/>
      <c r="T3561" s="3"/>
      <c r="U3561" s="3"/>
      <c r="V3561" s="3"/>
      <c r="W3561" s="3"/>
      <c r="X3561" s="3"/>
      <c r="Y3561" s="3"/>
      <c r="Z3561" s="4"/>
      <c r="AA3561"/>
      <c r="AB3561"/>
    </row>
    <row r="3562" spans="1:28" s="37" customFormat="1" x14ac:dyDescent="0.15">
      <c r="A3562" s="166"/>
      <c r="B3562" s="82"/>
      <c r="C3562" s="70"/>
      <c r="D3562" s="70"/>
      <c r="E3562" s="70"/>
      <c r="F3562" s="70"/>
      <c r="G3562" s="70"/>
      <c r="H3562" s="93"/>
      <c r="I3562" s="85"/>
      <c r="J3562" s="85"/>
      <c r="K3562" s="131"/>
      <c r="L3562" s="60"/>
      <c r="M3562" s="49"/>
      <c r="Q3562" s="3"/>
      <c r="R3562" s="3"/>
      <c r="S3562" s="3"/>
      <c r="T3562" s="3"/>
      <c r="U3562" s="3"/>
      <c r="V3562" s="3"/>
      <c r="W3562" s="3"/>
      <c r="X3562" s="3"/>
      <c r="Y3562" s="3"/>
      <c r="Z3562" s="4"/>
      <c r="AA3562"/>
      <c r="AB3562"/>
    </row>
    <row r="3563" spans="1:28" s="37" customFormat="1" x14ac:dyDescent="0.15">
      <c r="A3563" s="166"/>
      <c r="B3563" s="93"/>
      <c r="C3563" s="70"/>
      <c r="D3563" s="70"/>
      <c r="E3563" s="70"/>
      <c r="F3563" s="70"/>
      <c r="G3563" s="70"/>
      <c r="H3563" s="93"/>
      <c r="I3563" s="85"/>
      <c r="J3563" s="85"/>
      <c r="K3563" s="131"/>
      <c r="L3563" s="60"/>
      <c r="M3563" s="33"/>
      <c r="N3563" s="35"/>
      <c r="Q3563" s="3"/>
      <c r="R3563" s="3"/>
      <c r="S3563" s="3"/>
      <c r="T3563" s="3"/>
      <c r="U3563" s="3"/>
      <c r="V3563" s="3"/>
      <c r="W3563" s="3"/>
      <c r="X3563" s="3"/>
      <c r="Y3563" s="3"/>
      <c r="Z3563" s="4"/>
      <c r="AA3563"/>
      <c r="AB3563"/>
    </row>
    <row r="3564" spans="1:28" s="37" customFormat="1" x14ac:dyDescent="0.15">
      <c r="A3564" s="166"/>
      <c r="B3564" s="93"/>
      <c r="C3564" s="70"/>
      <c r="D3564" s="70"/>
      <c r="E3564" s="70"/>
      <c r="F3564" s="70"/>
      <c r="G3564" s="70"/>
      <c r="H3564" s="93"/>
      <c r="I3564" s="85"/>
      <c r="J3564" s="85"/>
      <c r="K3564" s="131"/>
      <c r="L3564" s="60"/>
      <c r="M3564" s="33"/>
      <c r="N3564" s="35"/>
      <c r="Q3564" s="3"/>
      <c r="R3564" s="3"/>
      <c r="S3564" s="3"/>
      <c r="T3564" s="3"/>
      <c r="U3564" s="3"/>
      <c r="V3564" s="3"/>
      <c r="W3564" s="3"/>
      <c r="X3564" s="3"/>
      <c r="Y3564" s="3"/>
      <c r="Z3564" s="4"/>
      <c r="AA3564"/>
      <c r="AB3564"/>
    </row>
    <row r="3565" spans="1:28" s="37" customFormat="1" x14ac:dyDescent="0.15">
      <c r="A3565" s="166"/>
      <c r="B3565" s="82"/>
      <c r="C3565" s="70"/>
      <c r="D3565" s="70"/>
      <c r="E3565" s="70"/>
      <c r="F3565" s="70"/>
      <c r="G3565" s="70"/>
      <c r="H3565" s="93"/>
      <c r="I3565" s="85"/>
      <c r="J3565" s="85"/>
      <c r="K3565" s="131"/>
      <c r="L3565" s="60"/>
      <c r="M3565" s="33"/>
      <c r="N3565" s="35"/>
      <c r="Q3565" s="3"/>
      <c r="R3565" s="3"/>
      <c r="S3565" s="3"/>
      <c r="T3565" s="3"/>
      <c r="U3565" s="3"/>
      <c r="V3565" s="3"/>
      <c r="W3565" s="3"/>
      <c r="X3565" s="3"/>
      <c r="Y3565" s="3"/>
      <c r="Z3565" s="4"/>
      <c r="AA3565"/>
      <c r="AB3565"/>
    </row>
    <row r="3566" spans="1:28" s="37" customFormat="1" x14ac:dyDescent="0.15">
      <c r="A3566" s="166"/>
      <c r="B3566" s="82"/>
      <c r="C3566" s="70"/>
      <c r="D3566" s="70"/>
      <c r="E3566" s="70"/>
      <c r="F3566" s="70"/>
      <c r="G3566" s="70"/>
      <c r="H3566" s="93"/>
      <c r="I3566" s="85"/>
      <c r="J3566" s="85"/>
      <c r="K3566" s="131"/>
      <c r="L3566" s="60"/>
      <c r="M3566" s="33"/>
      <c r="N3566" s="35"/>
      <c r="Q3566" s="3"/>
      <c r="R3566" s="3"/>
      <c r="S3566" s="3"/>
      <c r="T3566" s="3"/>
      <c r="U3566" s="3"/>
      <c r="V3566" s="3"/>
      <c r="W3566" s="3"/>
      <c r="X3566" s="3"/>
      <c r="Y3566" s="3"/>
      <c r="Z3566" s="4"/>
      <c r="AA3566"/>
      <c r="AB3566"/>
    </row>
    <row r="3567" spans="1:28" s="37" customFormat="1" x14ac:dyDescent="0.15">
      <c r="A3567" s="166"/>
      <c r="B3567" s="82"/>
      <c r="C3567" s="70"/>
      <c r="D3567" s="70"/>
      <c r="E3567" s="70"/>
      <c r="F3567" s="70"/>
      <c r="G3567" s="70"/>
      <c r="H3567" s="93"/>
      <c r="I3567" s="85"/>
      <c r="J3567" s="85"/>
      <c r="K3567" s="131"/>
      <c r="L3567" s="60"/>
      <c r="M3567" s="49"/>
      <c r="Q3567" s="3"/>
      <c r="R3567" s="3"/>
      <c r="S3567" s="3"/>
      <c r="T3567" s="3"/>
      <c r="U3567" s="3"/>
      <c r="V3567" s="3"/>
      <c r="W3567" s="3"/>
      <c r="X3567" s="3"/>
      <c r="Y3567" s="3"/>
      <c r="Z3567" s="4"/>
      <c r="AA3567"/>
      <c r="AB3567"/>
    </row>
    <row r="3568" spans="1:28" s="37" customFormat="1" x14ac:dyDescent="0.15">
      <c r="A3568" s="166"/>
      <c r="B3568" s="82"/>
      <c r="C3568" s="70"/>
      <c r="D3568" s="70"/>
      <c r="E3568" s="70"/>
      <c r="F3568" s="70"/>
      <c r="G3568" s="70"/>
      <c r="H3568" s="93"/>
      <c r="I3568" s="85"/>
      <c r="J3568" s="85"/>
      <c r="K3568" s="131"/>
      <c r="L3568" s="60"/>
      <c r="M3568" s="49"/>
      <c r="Q3568" s="3"/>
      <c r="R3568" s="3"/>
      <c r="S3568" s="3"/>
      <c r="T3568" s="3"/>
      <c r="U3568" s="3"/>
      <c r="V3568" s="3"/>
      <c r="W3568" s="3"/>
      <c r="X3568" s="3"/>
      <c r="Y3568" s="3"/>
      <c r="Z3568" s="4"/>
      <c r="AA3568"/>
      <c r="AB3568"/>
    </row>
    <row r="3569" spans="1:28" s="37" customFormat="1" x14ac:dyDescent="0.15">
      <c r="A3569" s="166"/>
      <c r="B3569" s="93"/>
      <c r="C3569" s="70"/>
      <c r="D3569" s="70"/>
      <c r="E3569" s="70"/>
      <c r="F3569" s="70"/>
      <c r="G3569" s="70"/>
      <c r="H3569" s="93"/>
      <c r="I3569" s="85"/>
      <c r="J3569" s="85"/>
      <c r="K3569" s="131"/>
      <c r="L3569" s="60"/>
      <c r="M3569" s="33"/>
      <c r="N3569" s="35"/>
      <c r="Q3569" s="3"/>
      <c r="R3569" s="3"/>
      <c r="S3569" s="3"/>
      <c r="T3569" s="3"/>
      <c r="U3569" s="3"/>
      <c r="V3569" s="3"/>
      <c r="W3569" s="3"/>
      <c r="X3569" s="3"/>
      <c r="Y3569" s="3"/>
      <c r="Z3569" s="4"/>
      <c r="AA3569"/>
      <c r="AB3569"/>
    </row>
    <row r="3570" spans="1:28" s="37" customFormat="1" x14ac:dyDescent="0.15">
      <c r="A3570" s="166"/>
      <c r="B3570" s="93"/>
      <c r="C3570" s="73"/>
      <c r="D3570" s="73"/>
      <c r="E3570" s="70"/>
      <c r="F3570" s="73"/>
      <c r="G3570" s="73"/>
      <c r="H3570" s="108"/>
      <c r="I3570" s="85"/>
      <c r="J3570" s="95"/>
      <c r="K3570" s="131"/>
      <c r="L3570" s="60"/>
      <c r="M3570" s="33"/>
      <c r="N3570" s="35"/>
      <c r="Q3570" s="3"/>
      <c r="R3570" s="3"/>
      <c r="S3570" s="3"/>
      <c r="T3570" s="3"/>
      <c r="U3570" s="3"/>
      <c r="V3570" s="3"/>
      <c r="W3570" s="3"/>
      <c r="X3570" s="3"/>
      <c r="Y3570" s="3"/>
      <c r="Z3570" s="4"/>
      <c r="AA3570"/>
      <c r="AB3570"/>
    </row>
    <row r="3571" spans="1:28" s="37" customFormat="1" x14ac:dyDescent="0.15">
      <c r="A3571" s="166"/>
      <c r="B3571" s="82"/>
      <c r="C3571" s="70"/>
      <c r="D3571" s="70"/>
      <c r="E3571" s="70"/>
      <c r="F3571" s="70"/>
      <c r="G3571" s="70"/>
      <c r="H3571" s="93"/>
      <c r="I3571" s="85"/>
      <c r="J3571" s="85"/>
      <c r="K3571" s="131"/>
      <c r="L3571" s="60"/>
      <c r="M3571" s="33"/>
      <c r="N3571" s="35"/>
      <c r="Q3571" s="3"/>
      <c r="R3571" s="3"/>
      <c r="S3571" s="3"/>
      <c r="T3571" s="3"/>
      <c r="U3571" s="3"/>
      <c r="V3571" s="3"/>
      <c r="W3571" s="3"/>
      <c r="X3571" s="3"/>
      <c r="Y3571" s="3"/>
      <c r="Z3571" s="4"/>
      <c r="AA3571"/>
      <c r="AB3571"/>
    </row>
    <row r="3572" spans="1:28" s="37" customFormat="1" x14ac:dyDescent="0.15">
      <c r="A3572" s="166"/>
      <c r="B3572" s="93"/>
      <c r="C3572" s="73"/>
      <c r="D3572" s="73"/>
      <c r="E3572" s="70"/>
      <c r="F3572" s="73"/>
      <c r="G3572" s="73"/>
      <c r="H3572" s="108"/>
      <c r="I3572" s="85"/>
      <c r="J3572" s="95"/>
      <c r="K3572" s="131"/>
      <c r="L3572" s="60"/>
      <c r="M3572" s="33"/>
      <c r="N3572" s="35"/>
      <c r="Q3572" s="3"/>
      <c r="R3572" s="3"/>
      <c r="S3572" s="3"/>
      <c r="T3572" s="3"/>
      <c r="U3572" s="3"/>
      <c r="V3572" s="3"/>
      <c r="W3572" s="3"/>
      <c r="X3572" s="3"/>
      <c r="Y3572" s="3"/>
      <c r="Z3572" s="4"/>
      <c r="AA3572"/>
      <c r="AB3572"/>
    </row>
    <row r="3573" spans="1:28" s="37" customFormat="1" x14ac:dyDescent="0.15">
      <c r="A3573" s="166"/>
      <c r="B3573" s="93"/>
      <c r="C3573" s="70"/>
      <c r="D3573" s="70"/>
      <c r="E3573" s="70"/>
      <c r="F3573" s="70"/>
      <c r="G3573" s="70"/>
      <c r="H3573" s="93"/>
      <c r="I3573" s="85"/>
      <c r="J3573" s="85"/>
      <c r="K3573" s="131"/>
      <c r="L3573" s="60"/>
      <c r="M3573" s="33"/>
      <c r="N3573" s="35"/>
      <c r="O3573" s="35"/>
      <c r="Q3573" s="3"/>
      <c r="R3573" s="3"/>
      <c r="S3573" s="3"/>
      <c r="T3573" s="3"/>
      <c r="U3573" s="3"/>
      <c r="V3573" s="3"/>
      <c r="W3573" s="3"/>
      <c r="X3573" s="3"/>
      <c r="Y3573" s="3"/>
      <c r="Z3573" s="4"/>
      <c r="AA3573"/>
      <c r="AB3573"/>
    </row>
    <row r="3574" spans="1:28" s="37" customFormat="1" x14ac:dyDescent="0.15">
      <c r="A3574" s="166"/>
      <c r="B3574" s="82"/>
      <c r="C3574" s="70"/>
      <c r="D3574" s="70"/>
      <c r="E3574" s="70"/>
      <c r="F3574" s="70"/>
      <c r="G3574" s="70"/>
      <c r="H3574" s="93"/>
      <c r="I3574" s="85"/>
      <c r="J3574" s="85"/>
      <c r="K3574" s="131"/>
      <c r="L3574" s="60"/>
      <c r="M3574" s="49"/>
      <c r="Q3574" s="3"/>
      <c r="R3574" s="3"/>
      <c r="S3574" s="3"/>
      <c r="T3574" s="3"/>
      <c r="U3574" s="3"/>
      <c r="V3574" s="3"/>
      <c r="W3574" s="3"/>
      <c r="X3574" s="3"/>
      <c r="Y3574" s="3"/>
      <c r="Z3574" s="4"/>
      <c r="AA3574"/>
      <c r="AB3574"/>
    </row>
    <row r="3575" spans="1:28" s="37" customFormat="1" x14ac:dyDescent="0.15">
      <c r="A3575" s="166"/>
      <c r="B3575" s="82"/>
      <c r="C3575" s="70"/>
      <c r="D3575" s="70"/>
      <c r="E3575" s="70"/>
      <c r="F3575" s="70"/>
      <c r="G3575" s="70"/>
      <c r="H3575" s="93"/>
      <c r="I3575" s="85"/>
      <c r="J3575" s="85"/>
      <c r="K3575" s="131"/>
      <c r="L3575" s="60"/>
      <c r="M3575" s="49"/>
      <c r="Q3575" s="3"/>
      <c r="R3575" s="3"/>
      <c r="S3575" s="3"/>
      <c r="T3575" s="3"/>
      <c r="U3575" s="3"/>
      <c r="V3575" s="3"/>
      <c r="W3575" s="3"/>
      <c r="X3575" s="3"/>
      <c r="Y3575" s="3"/>
      <c r="Z3575" s="4"/>
      <c r="AA3575"/>
      <c r="AB3575"/>
    </row>
    <row r="3576" spans="1:28" s="37" customFormat="1" x14ac:dyDescent="0.15">
      <c r="A3576" s="166"/>
      <c r="B3576" s="82"/>
      <c r="C3576" s="73"/>
      <c r="D3576" s="73"/>
      <c r="E3576" s="70"/>
      <c r="F3576" s="73"/>
      <c r="G3576" s="73"/>
      <c r="H3576" s="108"/>
      <c r="I3576" s="85"/>
      <c r="J3576" s="95"/>
      <c r="K3576" s="131"/>
      <c r="L3576" s="60"/>
      <c r="M3576" s="33"/>
      <c r="N3576" s="35"/>
      <c r="Q3576" s="3"/>
      <c r="R3576" s="3"/>
      <c r="S3576" s="3"/>
      <c r="T3576" s="3"/>
      <c r="U3576" s="3"/>
      <c r="V3576" s="3"/>
      <c r="W3576" s="3"/>
      <c r="X3576" s="3"/>
      <c r="Y3576" s="3"/>
      <c r="Z3576" s="4"/>
      <c r="AA3576"/>
      <c r="AB3576"/>
    </row>
    <row r="3577" spans="1:28" s="37" customFormat="1" x14ac:dyDescent="0.15">
      <c r="A3577" s="166"/>
      <c r="B3577" s="82"/>
      <c r="C3577" s="70"/>
      <c r="D3577" s="70"/>
      <c r="E3577" s="70"/>
      <c r="F3577" s="70"/>
      <c r="G3577" s="70"/>
      <c r="H3577" s="93"/>
      <c r="I3577" s="85"/>
      <c r="J3577" s="85"/>
      <c r="K3577" s="131"/>
      <c r="L3577" s="60"/>
      <c r="M3577" s="49"/>
      <c r="Q3577" s="3"/>
      <c r="R3577" s="3"/>
      <c r="S3577" s="3"/>
      <c r="T3577" s="3"/>
      <c r="U3577" s="3"/>
      <c r="V3577" s="3"/>
      <c r="W3577" s="3"/>
      <c r="X3577" s="3"/>
      <c r="Y3577" s="3"/>
      <c r="Z3577" s="4"/>
      <c r="AA3577"/>
      <c r="AB3577"/>
    </row>
    <row r="3578" spans="1:28" s="37" customFormat="1" ht="16" x14ac:dyDescent="0.2">
      <c r="A3578" s="166"/>
      <c r="B3578" s="82"/>
      <c r="C3578" s="70"/>
      <c r="D3578" s="70"/>
      <c r="E3578" s="70"/>
      <c r="F3578" s="70"/>
      <c r="G3578" s="70"/>
      <c r="H3578" s="93"/>
      <c r="I3578" s="85"/>
      <c r="J3578" s="85"/>
      <c r="K3578" s="131"/>
      <c r="L3578" s="60"/>
      <c r="M3578" s="49"/>
      <c r="N3578" s="48"/>
      <c r="Q3578" s="3"/>
      <c r="R3578" s="3"/>
      <c r="S3578" s="3"/>
      <c r="T3578" s="3"/>
      <c r="U3578" s="3"/>
      <c r="V3578" s="3"/>
      <c r="W3578" s="3"/>
      <c r="X3578" s="3"/>
      <c r="Y3578" s="3"/>
      <c r="Z3578" s="4"/>
      <c r="AA3578"/>
      <c r="AB3578"/>
    </row>
    <row r="3579" spans="1:28" s="37" customFormat="1" x14ac:dyDescent="0.15">
      <c r="A3579" s="166"/>
      <c r="B3579" s="82"/>
      <c r="C3579" s="70"/>
      <c r="D3579" s="70"/>
      <c r="E3579" s="70"/>
      <c r="F3579" s="70"/>
      <c r="G3579" s="70"/>
      <c r="H3579" s="93"/>
      <c r="I3579" s="85"/>
      <c r="J3579" s="85"/>
      <c r="K3579" s="131"/>
      <c r="L3579" s="60"/>
      <c r="M3579" s="49"/>
      <c r="Q3579" s="3"/>
      <c r="R3579" s="3"/>
      <c r="S3579" s="3"/>
      <c r="T3579" s="3"/>
      <c r="U3579" s="3"/>
      <c r="V3579" s="3"/>
      <c r="W3579" s="3"/>
      <c r="X3579" s="3"/>
      <c r="Y3579" s="3"/>
      <c r="Z3579" s="4"/>
      <c r="AA3579"/>
      <c r="AB3579"/>
    </row>
    <row r="3580" spans="1:28" s="37" customFormat="1" x14ac:dyDescent="0.15">
      <c r="A3580" s="166"/>
      <c r="B3580" s="93"/>
      <c r="C3580" s="70"/>
      <c r="D3580" s="70"/>
      <c r="E3580" s="70"/>
      <c r="F3580" s="70"/>
      <c r="G3580" s="70"/>
      <c r="H3580" s="93"/>
      <c r="I3580" s="85"/>
      <c r="J3580" s="85"/>
      <c r="K3580" s="131"/>
      <c r="L3580" s="60"/>
      <c r="M3580" s="33"/>
      <c r="N3580" s="35"/>
      <c r="Q3580" s="3"/>
      <c r="R3580" s="3"/>
      <c r="S3580" s="3"/>
      <c r="T3580" s="3"/>
      <c r="U3580" s="3"/>
      <c r="V3580" s="3"/>
      <c r="W3580" s="3"/>
      <c r="X3580" s="3"/>
      <c r="Y3580" s="3"/>
      <c r="Z3580" s="4"/>
      <c r="AA3580"/>
      <c r="AB3580"/>
    </row>
    <row r="3581" spans="1:28" s="37" customFormat="1" x14ac:dyDescent="0.15">
      <c r="A3581" s="166"/>
      <c r="B3581" s="82"/>
      <c r="C3581" s="70"/>
      <c r="D3581" s="70"/>
      <c r="E3581" s="70"/>
      <c r="F3581" s="70"/>
      <c r="G3581" s="70"/>
      <c r="H3581" s="93"/>
      <c r="I3581" s="85"/>
      <c r="J3581" s="85"/>
      <c r="K3581" s="131"/>
      <c r="L3581" s="60"/>
      <c r="M3581" s="49"/>
      <c r="Q3581" s="3"/>
      <c r="R3581" s="3"/>
      <c r="S3581" s="3"/>
      <c r="T3581" s="3"/>
      <c r="U3581" s="3"/>
      <c r="V3581" s="3"/>
      <c r="W3581" s="3"/>
      <c r="X3581" s="3"/>
      <c r="Y3581" s="3"/>
      <c r="Z3581" s="4"/>
      <c r="AA3581"/>
      <c r="AB3581"/>
    </row>
    <row r="3582" spans="1:28" s="37" customFormat="1" x14ac:dyDescent="0.15">
      <c r="A3582" s="166"/>
      <c r="B3582" s="82"/>
      <c r="C3582" s="70"/>
      <c r="D3582" s="70"/>
      <c r="E3582" s="70"/>
      <c r="F3582" s="70"/>
      <c r="G3582" s="70"/>
      <c r="H3582" s="93"/>
      <c r="I3582" s="85"/>
      <c r="J3582" s="85"/>
      <c r="K3582" s="131"/>
      <c r="L3582" s="60"/>
      <c r="M3582" s="49"/>
      <c r="Q3582" s="3"/>
      <c r="R3582" s="3"/>
      <c r="S3582" s="3"/>
      <c r="T3582" s="3"/>
      <c r="U3582" s="3"/>
      <c r="V3582" s="3"/>
      <c r="W3582" s="3"/>
      <c r="X3582" s="3"/>
      <c r="Y3582" s="3"/>
      <c r="Z3582" s="4"/>
      <c r="AA3582"/>
      <c r="AB3582"/>
    </row>
    <row r="3583" spans="1:28" s="37" customFormat="1" x14ac:dyDescent="0.15">
      <c r="A3583" s="166"/>
      <c r="B3583" s="93"/>
      <c r="C3583" s="70"/>
      <c r="D3583" s="70"/>
      <c r="E3583" s="70"/>
      <c r="F3583" s="70"/>
      <c r="G3583" s="70"/>
      <c r="H3583" s="93"/>
      <c r="I3583" s="85"/>
      <c r="J3583" s="85"/>
      <c r="K3583" s="131"/>
      <c r="L3583" s="60"/>
      <c r="M3583" s="49"/>
      <c r="Q3583" s="3"/>
      <c r="R3583" s="3"/>
      <c r="S3583" s="3"/>
      <c r="T3583" s="3"/>
      <c r="U3583" s="3"/>
      <c r="V3583" s="3"/>
      <c r="W3583" s="3"/>
      <c r="X3583" s="3"/>
      <c r="Y3583" s="3"/>
      <c r="Z3583" s="4"/>
      <c r="AA3583"/>
      <c r="AB3583"/>
    </row>
    <row r="3584" spans="1:28" s="37" customFormat="1" x14ac:dyDescent="0.15">
      <c r="A3584" s="166"/>
      <c r="B3584" s="82"/>
      <c r="C3584" s="70"/>
      <c r="D3584" s="70"/>
      <c r="E3584" s="70"/>
      <c r="F3584" s="70"/>
      <c r="G3584" s="70"/>
      <c r="H3584" s="93"/>
      <c r="I3584" s="85"/>
      <c r="J3584" s="85"/>
      <c r="K3584" s="131"/>
      <c r="L3584" s="60"/>
      <c r="M3584" s="49"/>
      <c r="Q3584" s="3"/>
      <c r="R3584" s="3"/>
      <c r="S3584" s="3"/>
      <c r="T3584" s="3"/>
      <c r="U3584" s="3"/>
      <c r="V3584" s="3"/>
      <c r="W3584" s="3"/>
      <c r="X3584" s="3"/>
      <c r="Y3584" s="3"/>
      <c r="Z3584" s="4"/>
      <c r="AA3584"/>
      <c r="AB3584"/>
    </row>
    <row r="3585" spans="1:28" s="37" customFormat="1" ht="16" x14ac:dyDescent="0.2">
      <c r="A3585" s="166"/>
      <c r="B3585" s="82"/>
      <c r="C3585" s="70"/>
      <c r="D3585" s="70"/>
      <c r="E3585" s="70"/>
      <c r="F3585" s="70"/>
      <c r="G3585" s="70"/>
      <c r="H3585" s="93"/>
      <c r="I3585" s="85"/>
      <c r="J3585" s="85"/>
      <c r="K3585" s="131"/>
      <c r="L3585" s="60"/>
      <c r="M3585" s="49"/>
      <c r="N3585" s="48"/>
      <c r="Q3585" s="3"/>
      <c r="R3585" s="3"/>
      <c r="S3585" s="3"/>
      <c r="T3585" s="3"/>
      <c r="U3585" s="3"/>
      <c r="V3585" s="3"/>
      <c r="W3585" s="3"/>
      <c r="X3585" s="3"/>
      <c r="Y3585" s="3"/>
      <c r="Z3585" s="4"/>
      <c r="AA3585"/>
      <c r="AB3585"/>
    </row>
    <row r="3586" spans="1:28" s="37" customFormat="1" x14ac:dyDescent="0.15">
      <c r="A3586" s="166"/>
      <c r="B3586" s="93"/>
      <c r="C3586" s="70"/>
      <c r="D3586" s="70"/>
      <c r="E3586" s="70"/>
      <c r="F3586" s="70"/>
      <c r="G3586" s="70"/>
      <c r="H3586" s="93"/>
      <c r="I3586" s="85"/>
      <c r="J3586" s="85"/>
      <c r="K3586" s="131"/>
      <c r="L3586" s="60"/>
      <c r="M3586" s="49"/>
      <c r="Q3586" s="3"/>
      <c r="R3586" s="3"/>
      <c r="S3586" s="3"/>
      <c r="T3586" s="3"/>
      <c r="U3586" s="3"/>
      <c r="V3586" s="3"/>
      <c r="W3586" s="3"/>
      <c r="X3586" s="3"/>
      <c r="Y3586" s="3"/>
      <c r="Z3586" s="4"/>
      <c r="AA3586"/>
      <c r="AB3586"/>
    </row>
    <row r="3587" spans="1:28" s="37" customFormat="1" x14ac:dyDescent="0.15">
      <c r="A3587" s="166"/>
      <c r="B3587" s="82"/>
      <c r="C3587" s="70"/>
      <c r="D3587" s="70"/>
      <c r="E3587" s="70"/>
      <c r="F3587" s="70"/>
      <c r="G3587" s="70"/>
      <c r="H3587" s="93"/>
      <c r="I3587" s="85"/>
      <c r="J3587" s="85"/>
      <c r="K3587" s="131"/>
      <c r="L3587" s="60"/>
      <c r="M3587" s="49"/>
      <c r="Q3587" s="3"/>
      <c r="R3587" s="3"/>
      <c r="S3587" s="3"/>
      <c r="T3587" s="3"/>
      <c r="U3587" s="3"/>
      <c r="V3587" s="3"/>
      <c r="W3587" s="3"/>
      <c r="X3587" s="3"/>
      <c r="Y3587" s="3"/>
      <c r="Z3587" s="4"/>
      <c r="AA3587"/>
      <c r="AB3587"/>
    </row>
    <row r="3588" spans="1:28" s="37" customFormat="1" x14ac:dyDescent="0.15">
      <c r="A3588" s="166"/>
      <c r="B3588" s="82"/>
      <c r="C3588" s="70"/>
      <c r="D3588" s="70"/>
      <c r="E3588" s="70"/>
      <c r="F3588" s="70"/>
      <c r="G3588" s="70"/>
      <c r="H3588" s="93"/>
      <c r="I3588" s="85"/>
      <c r="J3588" s="85"/>
      <c r="K3588" s="131"/>
      <c r="L3588" s="60"/>
      <c r="M3588" s="49"/>
      <c r="Q3588" s="3"/>
      <c r="R3588" s="3"/>
      <c r="S3588" s="3"/>
      <c r="T3588" s="3"/>
      <c r="U3588" s="3"/>
      <c r="V3588" s="3"/>
      <c r="W3588" s="3"/>
      <c r="X3588" s="3"/>
      <c r="Y3588" s="3"/>
      <c r="Z3588" s="4"/>
      <c r="AA3588"/>
      <c r="AB3588"/>
    </row>
    <row r="3589" spans="1:28" s="37" customFormat="1" x14ac:dyDescent="0.15">
      <c r="A3589" s="166"/>
      <c r="B3589" s="82"/>
      <c r="C3589" s="70"/>
      <c r="D3589" s="70"/>
      <c r="E3589" s="70"/>
      <c r="F3589" s="70"/>
      <c r="G3589" s="70"/>
      <c r="H3589" s="93"/>
      <c r="I3589" s="85"/>
      <c r="J3589" s="85"/>
      <c r="K3589" s="131"/>
      <c r="L3589" s="60"/>
      <c r="M3589" s="49"/>
      <c r="Q3589" s="3"/>
      <c r="R3589" s="3"/>
      <c r="S3589" s="3"/>
      <c r="T3589" s="3"/>
      <c r="U3589" s="3"/>
      <c r="V3589" s="3"/>
      <c r="W3589" s="3"/>
      <c r="X3589" s="3"/>
      <c r="Y3589" s="3"/>
      <c r="Z3589" s="4"/>
      <c r="AA3589"/>
      <c r="AB3589"/>
    </row>
    <row r="3590" spans="1:28" s="37" customFormat="1" x14ac:dyDescent="0.15">
      <c r="A3590" s="166"/>
      <c r="B3590" s="82"/>
      <c r="C3590" s="70"/>
      <c r="D3590" s="70"/>
      <c r="E3590" s="70"/>
      <c r="F3590" s="70"/>
      <c r="G3590" s="70"/>
      <c r="H3590" s="93"/>
      <c r="I3590" s="85"/>
      <c r="J3590" s="85"/>
      <c r="K3590" s="131"/>
      <c r="L3590" s="60"/>
      <c r="M3590" s="49"/>
      <c r="Q3590" s="3"/>
      <c r="R3590" s="3"/>
      <c r="S3590" s="3"/>
      <c r="T3590" s="3"/>
      <c r="U3590" s="3"/>
      <c r="V3590" s="3"/>
      <c r="W3590" s="3"/>
      <c r="X3590" s="3"/>
      <c r="Y3590" s="3"/>
      <c r="Z3590" s="4"/>
      <c r="AA3590"/>
      <c r="AB3590"/>
    </row>
    <row r="3591" spans="1:28" s="37" customFormat="1" x14ac:dyDescent="0.15">
      <c r="A3591" s="166"/>
      <c r="B3591" s="93"/>
      <c r="C3591" s="70"/>
      <c r="D3591" s="70"/>
      <c r="E3591" s="70"/>
      <c r="F3591" s="70"/>
      <c r="G3591" s="70"/>
      <c r="H3591" s="93"/>
      <c r="I3591" s="85"/>
      <c r="J3591" s="85"/>
      <c r="K3591" s="131"/>
      <c r="L3591" s="60"/>
      <c r="M3591" s="33"/>
      <c r="N3591" s="35"/>
      <c r="Q3591" s="3"/>
      <c r="R3591" s="3"/>
      <c r="S3591" s="3"/>
      <c r="T3591" s="3"/>
      <c r="U3591" s="3"/>
      <c r="V3591" s="3"/>
      <c r="W3591" s="3"/>
      <c r="X3591" s="3"/>
      <c r="Y3591" s="3"/>
      <c r="Z3591" s="4"/>
      <c r="AA3591"/>
      <c r="AB3591"/>
    </row>
    <row r="3592" spans="1:28" s="37" customFormat="1" x14ac:dyDescent="0.15">
      <c r="A3592" s="166"/>
      <c r="B3592" s="93"/>
      <c r="C3592" s="73"/>
      <c r="D3592" s="73"/>
      <c r="E3592" s="70"/>
      <c r="F3592" s="73"/>
      <c r="G3592" s="73"/>
      <c r="H3592" s="108"/>
      <c r="I3592" s="85"/>
      <c r="J3592" s="95"/>
      <c r="K3592" s="131"/>
      <c r="L3592" s="60"/>
      <c r="M3592" s="33"/>
      <c r="N3592" s="35"/>
      <c r="Q3592" s="3"/>
      <c r="R3592" s="3"/>
      <c r="S3592" s="3"/>
      <c r="T3592" s="3"/>
      <c r="U3592" s="3"/>
      <c r="V3592" s="3"/>
      <c r="W3592" s="3"/>
      <c r="X3592" s="3"/>
      <c r="Y3592" s="3"/>
      <c r="Z3592" s="4"/>
      <c r="AA3592"/>
      <c r="AB3592"/>
    </row>
    <row r="3593" spans="1:28" s="37" customFormat="1" x14ac:dyDescent="0.15">
      <c r="A3593" s="166"/>
      <c r="B3593" s="93"/>
      <c r="C3593" s="70"/>
      <c r="D3593" s="70"/>
      <c r="E3593" s="70"/>
      <c r="F3593" s="70"/>
      <c r="G3593" s="70"/>
      <c r="H3593" s="93"/>
      <c r="I3593" s="85"/>
      <c r="J3593" s="85"/>
      <c r="K3593" s="131"/>
      <c r="L3593" s="60"/>
      <c r="M3593" s="33"/>
      <c r="N3593" s="35"/>
      <c r="Q3593" s="3"/>
      <c r="R3593" s="3"/>
      <c r="S3593" s="3"/>
      <c r="T3593" s="3"/>
      <c r="U3593" s="3"/>
      <c r="V3593" s="3"/>
      <c r="W3593" s="3"/>
      <c r="X3593" s="3"/>
      <c r="Y3593" s="3"/>
      <c r="Z3593" s="4"/>
      <c r="AA3593"/>
      <c r="AB3593"/>
    </row>
    <row r="3594" spans="1:28" s="37" customFormat="1" x14ac:dyDescent="0.15">
      <c r="A3594" s="166"/>
      <c r="B3594" s="93"/>
      <c r="C3594" s="73"/>
      <c r="D3594" s="73"/>
      <c r="E3594" s="70"/>
      <c r="F3594" s="73"/>
      <c r="G3594" s="73"/>
      <c r="H3594" s="108"/>
      <c r="I3594" s="85"/>
      <c r="J3594" s="95"/>
      <c r="K3594" s="131"/>
      <c r="L3594" s="60"/>
      <c r="M3594" s="33"/>
      <c r="N3594" s="35"/>
      <c r="Q3594" s="3"/>
      <c r="R3594" s="3"/>
      <c r="S3594" s="3"/>
      <c r="T3594" s="3"/>
      <c r="U3594" s="3"/>
      <c r="V3594" s="3"/>
      <c r="W3594" s="3"/>
      <c r="X3594" s="3"/>
      <c r="Y3594" s="3"/>
      <c r="Z3594" s="4"/>
      <c r="AA3594"/>
      <c r="AB3594"/>
    </row>
    <row r="3595" spans="1:28" s="37" customFormat="1" x14ac:dyDescent="0.15">
      <c r="A3595" s="166"/>
      <c r="B3595" s="93"/>
      <c r="C3595" s="70"/>
      <c r="D3595" s="70"/>
      <c r="E3595" s="70"/>
      <c r="F3595" s="70"/>
      <c r="G3595" s="70"/>
      <c r="H3595" s="93"/>
      <c r="I3595" s="85"/>
      <c r="J3595" s="85"/>
      <c r="K3595" s="131"/>
      <c r="L3595" s="60"/>
      <c r="M3595" s="33"/>
      <c r="N3595" s="35"/>
      <c r="Q3595" s="3"/>
      <c r="R3595" s="3"/>
      <c r="S3595" s="3"/>
      <c r="T3595" s="3"/>
      <c r="U3595" s="3"/>
      <c r="V3595" s="3"/>
      <c r="W3595" s="3"/>
      <c r="X3595" s="3"/>
      <c r="Y3595" s="3"/>
      <c r="Z3595" s="4"/>
      <c r="AA3595"/>
      <c r="AB3595"/>
    </row>
    <row r="3596" spans="1:28" s="37" customFormat="1" x14ac:dyDescent="0.15">
      <c r="A3596" s="166"/>
      <c r="B3596" s="93"/>
      <c r="C3596" s="70"/>
      <c r="D3596" s="73"/>
      <c r="E3596" s="70"/>
      <c r="F3596" s="73"/>
      <c r="G3596" s="73"/>
      <c r="H3596" s="108"/>
      <c r="I3596" s="85"/>
      <c r="J3596" s="95"/>
      <c r="K3596" s="131"/>
      <c r="L3596" s="60"/>
      <c r="M3596" s="33"/>
      <c r="N3596" s="35"/>
      <c r="Q3596" s="3"/>
      <c r="R3596" s="3"/>
      <c r="S3596" s="3"/>
      <c r="T3596" s="3"/>
      <c r="U3596" s="3"/>
      <c r="V3596" s="3"/>
      <c r="W3596" s="3"/>
      <c r="X3596" s="3"/>
      <c r="Y3596" s="3"/>
      <c r="Z3596" s="4"/>
      <c r="AA3596"/>
      <c r="AB3596"/>
    </row>
    <row r="3597" spans="1:28" s="37" customFormat="1" x14ac:dyDescent="0.15">
      <c r="A3597" s="166"/>
      <c r="B3597" s="93"/>
      <c r="C3597" s="73"/>
      <c r="D3597" s="73"/>
      <c r="E3597" s="70"/>
      <c r="F3597" s="73"/>
      <c r="G3597" s="73"/>
      <c r="H3597" s="108"/>
      <c r="I3597" s="85"/>
      <c r="J3597" s="95"/>
      <c r="K3597" s="131"/>
      <c r="L3597" s="60"/>
      <c r="M3597" s="33"/>
      <c r="N3597" s="35"/>
      <c r="Q3597" s="3"/>
      <c r="R3597" s="3"/>
      <c r="S3597" s="3"/>
      <c r="T3597" s="3"/>
      <c r="U3597" s="3"/>
      <c r="V3597" s="3"/>
      <c r="W3597" s="3"/>
      <c r="X3597" s="3"/>
      <c r="Y3597" s="3"/>
      <c r="Z3597" s="4"/>
      <c r="AA3597"/>
      <c r="AB3597"/>
    </row>
    <row r="3598" spans="1:28" s="37" customFormat="1" x14ac:dyDescent="0.15">
      <c r="A3598" s="166"/>
      <c r="B3598" s="93"/>
      <c r="C3598" s="73"/>
      <c r="D3598" s="73"/>
      <c r="E3598" s="70"/>
      <c r="F3598" s="73"/>
      <c r="G3598" s="73"/>
      <c r="H3598" s="108"/>
      <c r="I3598" s="85"/>
      <c r="J3598" s="95"/>
      <c r="K3598" s="131"/>
      <c r="L3598" s="60"/>
      <c r="M3598" s="33"/>
      <c r="N3598" s="35"/>
      <c r="Q3598" s="3"/>
      <c r="R3598" s="3"/>
      <c r="S3598" s="3"/>
      <c r="T3598" s="3"/>
      <c r="U3598" s="3"/>
      <c r="V3598" s="3"/>
      <c r="W3598" s="3"/>
      <c r="X3598" s="3"/>
      <c r="Y3598" s="3"/>
      <c r="Z3598" s="4"/>
      <c r="AA3598"/>
      <c r="AB3598"/>
    </row>
    <row r="3599" spans="1:28" s="37" customFormat="1" x14ac:dyDescent="0.15">
      <c r="A3599" s="166"/>
      <c r="B3599" s="93"/>
      <c r="C3599" s="70"/>
      <c r="D3599" s="70"/>
      <c r="E3599" s="70"/>
      <c r="F3599" s="70"/>
      <c r="G3599" s="70"/>
      <c r="H3599" s="93"/>
      <c r="I3599" s="85"/>
      <c r="J3599" s="85"/>
      <c r="K3599" s="131"/>
      <c r="L3599" s="60"/>
      <c r="M3599" s="33"/>
      <c r="N3599" s="35"/>
      <c r="Q3599" s="3"/>
      <c r="R3599" s="3"/>
      <c r="S3599" s="3"/>
      <c r="T3599" s="3"/>
      <c r="U3599" s="3"/>
      <c r="V3599" s="3"/>
      <c r="W3599" s="3"/>
      <c r="X3599" s="3"/>
      <c r="Y3599" s="3"/>
      <c r="Z3599" s="4"/>
      <c r="AA3599"/>
      <c r="AB3599"/>
    </row>
    <row r="3600" spans="1:28" s="37" customFormat="1" x14ac:dyDescent="0.15">
      <c r="A3600" s="166"/>
      <c r="B3600" s="93"/>
      <c r="C3600" s="70"/>
      <c r="D3600" s="70"/>
      <c r="E3600" s="70"/>
      <c r="F3600" s="70"/>
      <c r="G3600" s="70"/>
      <c r="H3600" s="93"/>
      <c r="I3600" s="85"/>
      <c r="J3600" s="85"/>
      <c r="K3600" s="131"/>
      <c r="L3600" s="60"/>
      <c r="M3600" s="33"/>
      <c r="N3600" s="35"/>
      <c r="Q3600" s="3"/>
      <c r="R3600" s="3"/>
      <c r="S3600" s="3"/>
      <c r="T3600" s="3"/>
      <c r="U3600" s="3"/>
      <c r="V3600" s="3"/>
      <c r="W3600" s="3"/>
      <c r="X3600" s="3"/>
      <c r="Y3600" s="3"/>
      <c r="Z3600" s="4"/>
      <c r="AA3600"/>
      <c r="AB3600"/>
    </row>
    <row r="3601" spans="1:28" s="37" customFormat="1" x14ac:dyDescent="0.15">
      <c r="A3601" s="166"/>
      <c r="B3601" s="93"/>
      <c r="C3601" s="73"/>
      <c r="D3601" s="73"/>
      <c r="E3601" s="70"/>
      <c r="F3601" s="73"/>
      <c r="G3601" s="73"/>
      <c r="H3601" s="108"/>
      <c r="I3601" s="85"/>
      <c r="J3601" s="95"/>
      <c r="K3601" s="131"/>
      <c r="L3601" s="60"/>
      <c r="M3601" s="33"/>
      <c r="N3601" s="35"/>
      <c r="Q3601" s="3"/>
      <c r="R3601" s="3"/>
      <c r="S3601" s="3"/>
      <c r="T3601" s="3"/>
      <c r="U3601" s="3"/>
      <c r="V3601" s="3"/>
      <c r="W3601" s="3"/>
      <c r="X3601" s="3"/>
      <c r="Y3601" s="3"/>
      <c r="Z3601" s="4"/>
      <c r="AA3601"/>
      <c r="AB3601"/>
    </row>
    <row r="3602" spans="1:28" s="37" customFormat="1" x14ac:dyDescent="0.15">
      <c r="A3602" s="166"/>
      <c r="B3602" s="93"/>
      <c r="C3602" s="70"/>
      <c r="D3602" s="70"/>
      <c r="E3602" s="70"/>
      <c r="F3602" s="70"/>
      <c r="G3602" s="70"/>
      <c r="H3602" s="93"/>
      <c r="I3602" s="85"/>
      <c r="J3602" s="85"/>
      <c r="K3602" s="131"/>
      <c r="L3602" s="60"/>
      <c r="M3602" s="33"/>
      <c r="N3602" s="35"/>
      <c r="Q3602" s="3"/>
      <c r="R3602" s="3"/>
      <c r="S3602" s="3"/>
      <c r="T3602" s="3"/>
      <c r="U3602" s="3"/>
      <c r="V3602" s="3"/>
      <c r="W3602" s="3"/>
      <c r="X3602" s="3"/>
      <c r="Y3602" s="3"/>
      <c r="Z3602" s="4"/>
      <c r="AA3602"/>
      <c r="AB3602"/>
    </row>
    <row r="3603" spans="1:28" s="37" customFormat="1" x14ac:dyDescent="0.15">
      <c r="A3603" s="166"/>
      <c r="B3603" s="93"/>
      <c r="C3603" s="70"/>
      <c r="D3603" s="70"/>
      <c r="E3603" s="70"/>
      <c r="F3603" s="70"/>
      <c r="G3603" s="70"/>
      <c r="H3603" s="93"/>
      <c r="I3603" s="85"/>
      <c r="J3603" s="85"/>
      <c r="K3603" s="131"/>
      <c r="L3603" s="60"/>
      <c r="M3603" s="33"/>
      <c r="N3603" s="35"/>
      <c r="Q3603" s="3"/>
      <c r="R3603" s="3"/>
      <c r="S3603" s="3"/>
      <c r="T3603" s="3"/>
      <c r="U3603" s="3"/>
      <c r="V3603" s="3"/>
      <c r="W3603" s="3"/>
      <c r="X3603" s="3"/>
      <c r="Y3603" s="3"/>
      <c r="Z3603" s="4"/>
      <c r="AA3603"/>
      <c r="AB3603"/>
    </row>
    <row r="3604" spans="1:28" s="37" customFormat="1" x14ac:dyDescent="0.15">
      <c r="A3604" s="166"/>
      <c r="B3604" s="93"/>
      <c r="C3604" s="73"/>
      <c r="D3604" s="73"/>
      <c r="E3604" s="70"/>
      <c r="F3604" s="73"/>
      <c r="G3604" s="73"/>
      <c r="H3604" s="108"/>
      <c r="I3604" s="85"/>
      <c r="J3604" s="95"/>
      <c r="K3604" s="131"/>
      <c r="L3604" s="60"/>
      <c r="M3604" s="33"/>
      <c r="N3604" s="35"/>
      <c r="Q3604" s="3"/>
      <c r="R3604" s="3"/>
      <c r="S3604" s="3"/>
      <c r="T3604" s="3"/>
      <c r="U3604" s="3"/>
      <c r="V3604" s="3"/>
      <c r="W3604" s="3"/>
      <c r="X3604" s="3"/>
      <c r="Y3604" s="3"/>
      <c r="Z3604" s="4"/>
      <c r="AA3604"/>
      <c r="AB3604"/>
    </row>
    <row r="3605" spans="1:28" s="37" customFormat="1" x14ac:dyDescent="0.15">
      <c r="A3605" s="166"/>
      <c r="B3605" s="82"/>
      <c r="C3605" s="73"/>
      <c r="D3605" s="73"/>
      <c r="E3605" s="70"/>
      <c r="F3605" s="73"/>
      <c r="G3605" s="73"/>
      <c r="H3605" s="108"/>
      <c r="I3605" s="85"/>
      <c r="J3605" s="95"/>
      <c r="K3605" s="131"/>
      <c r="L3605" s="60"/>
      <c r="M3605" s="33"/>
      <c r="N3605" s="35"/>
      <c r="Q3605" s="3"/>
      <c r="R3605" s="3"/>
      <c r="S3605" s="3"/>
      <c r="T3605" s="3"/>
      <c r="U3605" s="3"/>
      <c r="V3605" s="3"/>
      <c r="W3605" s="3"/>
      <c r="X3605" s="3"/>
      <c r="Y3605" s="3"/>
      <c r="Z3605" s="4"/>
      <c r="AA3605"/>
      <c r="AB3605"/>
    </row>
    <row r="3606" spans="1:28" s="37" customFormat="1" ht="16" x14ac:dyDescent="0.2">
      <c r="A3606" s="166"/>
      <c r="B3606" s="93"/>
      <c r="C3606" s="70"/>
      <c r="D3606" s="70"/>
      <c r="E3606" s="70"/>
      <c r="F3606" s="70"/>
      <c r="G3606" s="70"/>
      <c r="H3606" s="93"/>
      <c r="I3606" s="85"/>
      <c r="J3606" s="85"/>
      <c r="K3606" s="131"/>
      <c r="L3606" s="60"/>
      <c r="M3606" s="47"/>
      <c r="N3606" s="35"/>
      <c r="Q3606" s="3"/>
      <c r="R3606" s="3"/>
      <c r="S3606" s="3"/>
      <c r="T3606" s="3"/>
      <c r="U3606" s="3"/>
      <c r="V3606" s="3"/>
      <c r="W3606" s="3"/>
      <c r="X3606" s="3"/>
      <c r="Y3606" s="3"/>
      <c r="Z3606" s="4"/>
      <c r="AA3606"/>
      <c r="AB3606"/>
    </row>
    <row r="3607" spans="1:28" s="37" customFormat="1" x14ac:dyDescent="0.15">
      <c r="A3607" s="166"/>
      <c r="B3607" s="93"/>
      <c r="C3607" s="70"/>
      <c r="D3607" s="70"/>
      <c r="E3607" s="70"/>
      <c r="F3607" s="70"/>
      <c r="G3607" s="70"/>
      <c r="H3607" s="93"/>
      <c r="I3607" s="85"/>
      <c r="J3607" s="85"/>
      <c r="K3607" s="131"/>
      <c r="L3607" s="60"/>
      <c r="M3607" s="33"/>
      <c r="N3607" s="35"/>
      <c r="Q3607" s="3"/>
      <c r="R3607" s="3"/>
      <c r="S3607" s="3"/>
      <c r="T3607" s="3"/>
      <c r="U3607" s="3"/>
      <c r="V3607" s="3"/>
      <c r="W3607" s="3"/>
      <c r="X3607" s="3"/>
      <c r="Y3607" s="3"/>
      <c r="Z3607" s="4"/>
      <c r="AA3607"/>
      <c r="AB3607"/>
    </row>
    <row r="3608" spans="1:28" s="37" customFormat="1" x14ac:dyDescent="0.15">
      <c r="A3608" s="166"/>
      <c r="B3608" s="93"/>
      <c r="C3608" s="70"/>
      <c r="D3608" s="70"/>
      <c r="E3608" s="70"/>
      <c r="F3608" s="70"/>
      <c r="G3608" s="70"/>
      <c r="H3608" s="93"/>
      <c r="I3608" s="85"/>
      <c r="J3608" s="85"/>
      <c r="K3608" s="131"/>
      <c r="L3608" s="60"/>
      <c r="M3608" s="33"/>
      <c r="N3608" s="35"/>
      <c r="Q3608" s="3"/>
      <c r="R3608" s="3"/>
      <c r="S3608" s="3"/>
      <c r="T3608" s="3"/>
      <c r="U3608" s="3"/>
      <c r="V3608" s="3"/>
      <c r="W3608" s="3"/>
      <c r="X3608" s="3"/>
      <c r="Y3608" s="3"/>
      <c r="Z3608" s="4"/>
      <c r="AA3608"/>
      <c r="AB3608"/>
    </row>
    <row r="3609" spans="1:28" s="37" customFormat="1" x14ac:dyDescent="0.15">
      <c r="A3609" s="166"/>
      <c r="B3609" s="93"/>
      <c r="C3609" s="70"/>
      <c r="D3609" s="70"/>
      <c r="E3609" s="70"/>
      <c r="F3609" s="70"/>
      <c r="G3609" s="70"/>
      <c r="H3609" s="93"/>
      <c r="I3609" s="85"/>
      <c r="J3609" s="85"/>
      <c r="K3609" s="131"/>
      <c r="L3609" s="60"/>
      <c r="M3609" s="33"/>
      <c r="Q3609" s="3"/>
      <c r="R3609" s="3"/>
      <c r="S3609" s="3"/>
      <c r="T3609" s="3"/>
      <c r="U3609" s="3"/>
      <c r="V3609" s="3"/>
      <c r="W3609" s="3"/>
      <c r="X3609" s="3"/>
      <c r="Y3609" s="3"/>
      <c r="Z3609" s="4"/>
      <c r="AA3609"/>
      <c r="AB3609"/>
    </row>
    <row r="3610" spans="1:28" s="37" customFormat="1" x14ac:dyDescent="0.15">
      <c r="A3610" s="166"/>
      <c r="B3610" s="93"/>
      <c r="C3610" s="73"/>
      <c r="D3610" s="73"/>
      <c r="E3610" s="70"/>
      <c r="F3610" s="73"/>
      <c r="G3610" s="73"/>
      <c r="H3610" s="108"/>
      <c r="I3610" s="85"/>
      <c r="J3610" s="95"/>
      <c r="K3610" s="131"/>
      <c r="L3610" s="60"/>
      <c r="M3610" s="33"/>
      <c r="Q3610" s="3"/>
      <c r="R3610" s="3"/>
      <c r="S3610" s="3"/>
      <c r="T3610" s="3"/>
      <c r="U3610" s="3"/>
      <c r="V3610" s="3"/>
      <c r="W3610" s="3"/>
      <c r="X3610" s="3"/>
      <c r="Y3610" s="3"/>
      <c r="Z3610" s="4"/>
      <c r="AA3610"/>
      <c r="AB3610"/>
    </row>
    <row r="3611" spans="1:28" s="37" customFormat="1" ht="16" x14ac:dyDescent="0.2">
      <c r="A3611" s="166"/>
      <c r="B3611" s="93"/>
      <c r="C3611" s="73"/>
      <c r="D3611" s="73"/>
      <c r="E3611" s="70"/>
      <c r="F3611" s="73"/>
      <c r="G3611" s="73"/>
      <c r="H3611" s="108"/>
      <c r="I3611" s="85"/>
      <c r="J3611" s="95"/>
      <c r="K3611" s="131"/>
      <c r="L3611" s="60"/>
      <c r="M3611" s="47"/>
      <c r="Q3611" s="3"/>
      <c r="R3611" s="3"/>
      <c r="S3611" s="3"/>
      <c r="T3611" s="3"/>
      <c r="U3611" s="3"/>
      <c r="V3611" s="3"/>
      <c r="W3611" s="3"/>
      <c r="X3611" s="3"/>
      <c r="Y3611" s="3"/>
      <c r="Z3611" s="4"/>
      <c r="AA3611"/>
      <c r="AB3611"/>
    </row>
    <row r="3612" spans="1:28" s="37" customFormat="1" x14ac:dyDescent="0.15">
      <c r="A3612" s="166"/>
      <c r="B3612" s="93"/>
      <c r="C3612" s="70"/>
      <c r="D3612" s="70"/>
      <c r="E3612" s="70"/>
      <c r="F3612" s="70"/>
      <c r="G3612" s="70"/>
      <c r="H3612" s="93"/>
      <c r="I3612" s="85"/>
      <c r="J3612" s="85"/>
      <c r="K3612" s="131"/>
      <c r="L3612" s="60"/>
      <c r="M3612" s="33"/>
      <c r="Q3612" s="3"/>
      <c r="R3612" s="3"/>
      <c r="S3612" s="3"/>
      <c r="T3612" s="3"/>
      <c r="U3612" s="3"/>
      <c r="V3612" s="3"/>
      <c r="W3612" s="3"/>
      <c r="X3612" s="3"/>
      <c r="Y3612" s="3"/>
      <c r="Z3612" s="4"/>
      <c r="AA3612"/>
      <c r="AB3612"/>
    </row>
    <row r="3613" spans="1:28" s="37" customFormat="1" x14ac:dyDescent="0.15">
      <c r="A3613" s="166"/>
      <c r="B3613" s="93"/>
      <c r="C3613" s="70"/>
      <c r="D3613" s="70"/>
      <c r="E3613" s="70"/>
      <c r="F3613" s="70"/>
      <c r="G3613" s="70"/>
      <c r="H3613" s="93"/>
      <c r="I3613" s="85"/>
      <c r="J3613" s="85"/>
      <c r="K3613" s="131"/>
      <c r="L3613" s="60"/>
      <c r="M3613" s="33"/>
      <c r="Q3613" s="3"/>
      <c r="R3613" s="3"/>
      <c r="S3613" s="3"/>
      <c r="T3613" s="3"/>
      <c r="U3613" s="3"/>
      <c r="V3613" s="3"/>
      <c r="W3613" s="3"/>
      <c r="X3613" s="3"/>
      <c r="Y3613" s="3"/>
      <c r="Z3613" s="4"/>
      <c r="AA3613"/>
      <c r="AB3613"/>
    </row>
    <row r="3614" spans="1:28" s="37" customFormat="1" ht="16" x14ac:dyDescent="0.2">
      <c r="A3614" s="166"/>
      <c r="B3614" s="93"/>
      <c r="C3614" s="70"/>
      <c r="D3614" s="70"/>
      <c r="E3614" s="70"/>
      <c r="F3614" s="70"/>
      <c r="G3614" s="70"/>
      <c r="H3614" s="93"/>
      <c r="I3614" s="85"/>
      <c r="J3614" s="85"/>
      <c r="K3614" s="131"/>
      <c r="L3614" s="60"/>
      <c r="M3614" s="33"/>
      <c r="N3614" s="48"/>
      <c r="Q3614" s="3"/>
      <c r="R3614" s="3"/>
      <c r="S3614" s="3"/>
      <c r="T3614" s="3"/>
      <c r="U3614" s="3"/>
      <c r="V3614" s="3"/>
      <c r="W3614" s="3"/>
      <c r="X3614" s="3"/>
      <c r="Y3614" s="3"/>
      <c r="Z3614" s="4"/>
      <c r="AA3614"/>
      <c r="AB3614"/>
    </row>
    <row r="3615" spans="1:28" s="37" customFormat="1" x14ac:dyDescent="0.15">
      <c r="A3615" s="166"/>
      <c r="B3615" s="93"/>
      <c r="C3615" s="73"/>
      <c r="D3615" s="73"/>
      <c r="E3615" s="70"/>
      <c r="F3615" s="73"/>
      <c r="G3615" s="73"/>
      <c r="H3615" s="108"/>
      <c r="I3615" s="85"/>
      <c r="J3615" s="95"/>
      <c r="K3615" s="131"/>
      <c r="L3615" s="60"/>
      <c r="M3615" s="33"/>
      <c r="Q3615" s="3"/>
      <c r="R3615" s="3"/>
      <c r="S3615" s="3"/>
      <c r="T3615" s="3"/>
      <c r="U3615" s="3"/>
      <c r="V3615" s="3"/>
      <c r="W3615" s="3"/>
      <c r="X3615" s="3"/>
      <c r="Y3615" s="3"/>
      <c r="Z3615" s="4"/>
      <c r="AA3615"/>
      <c r="AB3615"/>
    </row>
    <row r="3616" spans="1:28" s="37" customFormat="1" x14ac:dyDescent="0.15">
      <c r="A3616" s="166"/>
      <c r="B3616" s="93"/>
      <c r="C3616" s="70"/>
      <c r="D3616" s="70"/>
      <c r="E3616" s="70"/>
      <c r="F3616" s="70"/>
      <c r="G3616" s="70"/>
      <c r="H3616" s="93"/>
      <c r="I3616" s="85"/>
      <c r="J3616" s="85"/>
      <c r="K3616" s="131"/>
      <c r="L3616" s="60"/>
      <c r="M3616" s="33"/>
      <c r="Q3616" s="3"/>
      <c r="R3616" s="3"/>
      <c r="S3616" s="3"/>
      <c r="T3616" s="3"/>
      <c r="U3616" s="3"/>
      <c r="V3616" s="3"/>
      <c r="W3616" s="3"/>
      <c r="X3616" s="3"/>
      <c r="Y3616" s="3"/>
      <c r="Z3616" s="4"/>
      <c r="AA3616"/>
      <c r="AB3616"/>
    </row>
    <row r="3617" spans="1:28" s="37" customFormat="1" x14ac:dyDescent="0.15">
      <c r="A3617" s="170"/>
      <c r="B3617" s="93"/>
      <c r="C3617" s="70"/>
      <c r="D3617" s="70"/>
      <c r="E3617" s="70"/>
      <c r="F3617" s="70"/>
      <c r="G3617" s="70"/>
      <c r="H3617" s="93"/>
      <c r="I3617" s="85"/>
      <c r="J3617" s="85"/>
      <c r="K3617" s="131"/>
      <c r="L3617" s="60"/>
      <c r="M3617" s="33"/>
      <c r="Q3617" s="3"/>
      <c r="R3617" s="3"/>
      <c r="S3617" s="3"/>
      <c r="T3617" s="3"/>
      <c r="U3617" s="3"/>
      <c r="V3617" s="3"/>
      <c r="W3617" s="3"/>
      <c r="X3617" s="3"/>
      <c r="Y3617" s="3"/>
      <c r="Z3617" s="4"/>
      <c r="AA3617"/>
      <c r="AB3617"/>
    </row>
    <row r="3618" spans="1:28" s="37" customFormat="1" x14ac:dyDescent="0.15">
      <c r="A3618" s="166"/>
      <c r="B3618" s="93"/>
      <c r="C3618" s="70"/>
      <c r="D3618" s="70"/>
      <c r="E3618" s="70"/>
      <c r="F3618" s="70"/>
      <c r="G3618" s="70"/>
      <c r="H3618" s="93"/>
      <c r="I3618" s="85"/>
      <c r="J3618" s="85"/>
      <c r="K3618" s="131"/>
      <c r="L3618" s="60"/>
      <c r="M3618" s="33"/>
      <c r="Q3618" s="3"/>
      <c r="R3618" s="3"/>
      <c r="S3618" s="3"/>
      <c r="T3618" s="3"/>
      <c r="U3618" s="3"/>
      <c r="V3618" s="3"/>
      <c r="W3618" s="3"/>
      <c r="X3618" s="3"/>
      <c r="Y3618" s="3"/>
      <c r="Z3618" s="4"/>
      <c r="AA3618"/>
      <c r="AB3618"/>
    </row>
    <row r="3619" spans="1:28" s="37" customFormat="1" x14ac:dyDescent="0.15">
      <c r="A3619" s="166"/>
      <c r="B3619" s="93"/>
      <c r="C3619" s="70"/>
      <c r="D3619" s="70"/>
      <c r="E3619" s="70"/>
      <c r="F3619" s="70"/>
      <c r="G3619" s="70"/>
      <c r="H3619" s="93"/>
      <c r="I3619" s="85"/>
      <c r="J3619" s="85"/>
      <c r="K3619" s="131"/>
      <c r="L3619" s="60"/>
      <c r="M3619" s="33"/>
      <c r="Q3619" s="3"/>
      <c r="R3619" s="3"/>
      <c r="S3619" s="3"/>
      <c r="T3619" s="3"/>
      <c r="U3619" s="3"/>
      <c r="V3619" s="3"/>
      <c r="W3619" s="3"/>
      <c r="X3619" s="3"/>
      <c r="Y3619" s="3"/>
      <c r="Z3619" s="4"/>
      <c r="AA3619"/>
      <c r="AB3619"/>
    </row>
    <row r="3620" spans="1:28" s="37" customFormat="1" x14ac:dyDescent="0.15">
      <c r="A3620" s="166"/>
      <c r="B3620" s="93"/>
      <c r="C3620" s="73"/>
      <c r="D3620" s="73"/>
      <c r="E3620" s="70"/>
      <c r="F3620" s="73"/>
      <c r="G3620" s="73"/>
      <c r="H3620" s="108"/>
      <c r="I3620" s="85"/>
      <c r="J3620" s="95"/>
      <c r="K3620" s="131"/>
      <c r="L3620" s="60"/>
      <c r="M3620" s="33"/>
      <c r="Q3620" s="3"/>
      <c r="R3620" s="3"/>
      <c r="S3620" s="3"/>
      <c r="T3620" s="3"/>
      <c r="U3620" s="3"/>
      <c r="V3620" s="3"/>
      <c r="W3620" s="3"/>
      <c r="X3620" s="3"/>
      <c r="Y3620" s="3"/>
      <c r="Z3620" s="4"/>
      <c r="AA3620"/>
      <c r="AB3620"/>
    </row>
    <row r="3621" spans="1:28" s="37" customFormat="1" ht="16" x14ac:dyDescent="0.2">
      <c r="A3621" s="166"/>
      <c r="B3621" s="93"/>
      <c r="C3621" s="70"/>
      <c r="D3621" s="70"/>
      <c r="E3621" s="70"/>
      <c r="F3621" s="70"/>
      <c r="G3621" s="70"/>
      <c r="H3621" s="93"/>
      <c r="I3621" s="85"/>
      <c r="J3621" s="85"/>
      <c r="K3621" s="131"/>
      <c r="L3621" s="60"/>
      <c r="M3621" s="33"/>
      <c r="N3621" s="48"/>
      <c r="Q3621" s="3"/>
      <c r="R3621" s="3"/>
      <c r="S3621" s="3"/>
      <c r="T3621" s="3"/>
      <c r="U3621" s="3"/>
      <c r="V3621" s="3"/>
      <c r="W3621" s="3"/>
      <c r="X3621" s="3"/>
      <c r="Y3621" s="3"/>
      <c r="Z3621" s="4"/>
      <c r="AA3621"/>
      <c r="AB3621"/>
    </row>
    <row r="3622" spans="1:28" s="37" customFormat="1" ht="16" x14ac:dyDescent="0.2">
      <c r="A3622" s="166"/>
      <c r="B3622" s="93"/>
      <c r="C3622" s="73"/>
      <c r="D3622" s="73"/>
      <c r="E3622" s="70"/>
      <c r="F3622" s="73"/>
      <c r="G3622" s="73"/>
      <c r="H3622" s="108"/>
      <c r="I3622" s="85"/>
      <c r="J3622" s="95"/>
      <c r="K3622" s="131"/>
      <c r="L3622" s="60"/>
      <c r="M3622" s="33"/>
      <c r="N3622" s="48"/>
      <c r="Q3622" s="3"/>
      <c r="R3622" s="3"/>
      <c r="S3622" s="3"/>
      <c r="T3622" s="3"/>
      <c r="U3622" s="3"/>
      <c r="V3622" s="3"/>
      <c r="W3622" s="3"/>
      <c r="X3622" s="3"/>
      <c r="Y3622" s="3"/>
      <c r="Z3622" s="4"/>
      <c r="AA3622"/>
      <c r="AB3622"/>
    </row>
    <row r="3623" spans="1:28" s="37" customFormat="1" ht="16" x14ac:dyDescent="0.2">
      <c r="A3623" s="166"/>
      <c r="B3623" s="93"/>
      <c r="C3623" s="70"/>
      <c r="D3623" s="70"/>
      <c r="E3623" s="70"/>
      <c r="F3623" s="70"/>
      <c r="G3623" s="70"/>
      <c r="H3623" s="93"/>
      <c r="I3623" s="85"/>
      <c r="J3623" s="85"/>
      <c r="K3623" s="131"/>
      <c r="L3623" s="60"/>
      <c r="M3623" s="47"/>
      <c r="N3623" s="48"/>
      <c r="Q3623" s="3"/>
      <c r="R3623" s="3"/>
      <c r="S3623" s="3"/>
      <c r="T3623" s="3"/>
      <c r="U3623" s="3"/>
      <c r="V3623" s="3"/>
      <c r="W3623" s="3"/>
      <c r="X3623" s="3"/>
      <c r="Y3623" s="3"/>
      <c r="Z3623" s="4"/>
      <c r="AA3623"/>
      <c r="AB3623"/>
    </row>
    <row r="3624" spans="1:28" s="37" customFormat="1" ht="16" x14ac:dyDescent="0.2">
      <c r="A3624" s="166"/>
      <c r="B3624" s="93"/>
      <c r="C3624" s="70"/>
      <c r="D3624" s="70"/>
      <c r="E3624" s="70"/>
      <c r="F3624" s="70"/>
      <c r="G3624" s="70"/>
      <c r="H3624" s="93"/>
      <c r="I3624" s="85"/>
      <c r="J3624" s="85"/>
      <c r="K3624" s="131"/>
      <c r="L3624" s="60"/>
      <c r="M3624" s="33"/>
      <c r="N3624" s="48"/>
      <c r="Q3624" s="3"/>
      <c r="R3624" s="3"/>
      <c r="S3624" s="3"/>
      <c r="T3624" s="3"/>
      <c r="U3624" s="3"/>
      <c r="V3624" s="3"/>
      <c r="W3624" s="3"/>
      <c r="X3624" s="3"/>
      <c r="Y3624" s="3"/>
      <c r="Z3624" s="4"/>
      <c r="AA3624"/>
      <c r="AB3624"/>
    </row>
    <row r="3625" spans="1:28" s="37" customFormat="1" ht="16" x14ac:dyDescent="0.2">
      <c r="A3625" s="166"/>
      <c r="B3625" s="93"/>
      <c r="C3625" s="70"/>
      <c r="D3625" s="70"/>
      <c r="E3625" s="70"/>
      <c r="F3625" s="70"/>
      <c r="G3625" s="70"/>
      <c r="H3625" s="93"/>
      <c r="I3625" s="85"/>
      <c r="J3625" s="85"/>
      <c r="K3625" s="131"/>
      <c r="L3625" s="60"/>
      <c r="M3625" s="33"/>
      <c r="N3625" s="48"/>
      <c r="Q3625" s="3"/>
      <c r="R3625" s="3"/>
      <c r="S3625" s="3"/>
      <c r="T3625" s="3"/>
      <c r="U3625" s="3"/>
      <c r="V3625" s="3"/>
      <c r="W3625" s="3"/>
      <c r="X3625" s="3"/>
      <c r="Y3625" s="3"/>
      <c r="Z3625" s="4"/>
      <c r="AA3625"/>
      <c r="AB3625"/>
    </row>
    <row r="3626" spans="1:28" s="37" customFormat="1" x14ac:dyDescent="0.15">
      <c r="A3626" s="166"/>
      <c r="B3626" s="93"/>
      <c r="C3626" s="70"/>
      <c r="D3626" s="70"/>
      <c r="E3626" s="70"/>
      <c r="F3626" s="70"/>
      <c r="G3626" s="70"/>
      <c r="H3626" s="93"/>
      <c r="I3626" s="85"/>
      <c r="J3626" s="85"/>
      <c r="K3626" s="131"/>
      <c r="L3626" s="60"/>
      <c r="M3626" s="33"/>
      <c r="Q3626" s="3"/>
      <c r="R3626" s="3"/>
      <c r="S3626" s="3"/>
      <c r="T3626" s="3"/>
      <c r="U3626" s="3"/>
      <c r="V3626" s="3"/>
      <c r="W3626" s="3"/>
      <c r="X3626" s="3"/>
      <c r="Y3626" s="3"/>
      <c r="Z3626" s="4"/>
      <c r="AA3626"/>
      <c r="AB3626"/>
    </row>
    <row r="3627" spans="1:28" s="37" customFormat="1" x14ac:dyDescent="0.15">
      <c r="A3627" s="166"/>
      <c r="B3627" s="93"/>
      <c r="C3627" s="70"/>
      <c r="D3627" s="70"/>
      <c r="E3627" s="70"/>
      <c r="F3627" s="70"/>
      <c r="G3627" s="70"/>
      <c r="H3627" s="93"/>
      <c r="I3627" s="85"/>
      <c r="J3627" s="85"/>
      <c r="K3627" s="131"/>
      <c r="L3627" s="60"/>
      <c r="M3627" s="33"/>
      <c r="Q3627" s="3"/>
      <c r="R3627" s="3"/>
      <c r="S3627" s="3"/>
      <c r="T3627" s="3"/>
      <c r="U3627" s="3"/>
      <c r="V3627" s="3"/>
      <c r="W3627" s="3"/>
      <c r="X3627" s="3"/>
      <c r="Y3627" s="3"/>
      <c r="Z3627" s="4"/>
      <c r="AA3627"/>
      <c r="AB3627"/>
    </row>
    <row r="3628" spans="1:28" s="37" customFormat="1" x14ac:dyDescent="0.15">
      <c r="A3628" s="166"/>
      <c r="B3628" s="82"/>
      <c r="C3628" s="70"/>
      <c r="D3628" s="70"/>
      <c r="E3628" s="70"/>
      <c r="F3628" s="70"/>
      <c r="G3628" s="70"/>
      <c r="H3628" s="93"/>
      <c r="I3628" s="85"/>
      <c r="J3628" s="85"/>
      <c r="K3628" s="131"/>
      <c r="L3628" s="60"/>
      <c r="M3628" s="49"/>
      <c r="N3628" s="35"/>
      <c r="Q3628" s="3"/>
      <c r="R3628" s="3"/>
      <c r="S3628" s="3"/>
      <c r="T3628" s="3"/>
      <c r="U3628" s="3"/>
      <c r="V3628" s="3"/>
      <c r="W3628" s="3"/>
      <c r="X3628" s="3"/>
      <c r="Y3628" s="3"/>
      <c r="Z3628" s="4"/>
      <c r="AA3628"/>
      <c r="AB3628"/>
    </row>
    <row r="3629" spans="1:28" s="37" customFormat="1" x14ac:dyDescent="0.15">
      <c r="A3629" s="166"/>
      <c r="B3629" s="93"/>
      <c r="C3629" s="70"/>
      <c r="D3629" s="70"/>
      <c r="E3629" s="70"/>
      <c r="F3629" s="70"/>
      <c r="G3629" s="70"/>
      <c r="H3629" s="93"/>
      <c r="I3629" s="85"/>
      <c r="J3629" s="85"/>
      <c r="K3629" s="131"/>
      <c r="L3629" s="60"/>
      <c r="M3629" s="33"/>
      <c r="Q3629" s="3"/>
      <c r="R3629" s="3"/>
      <c r="S3629" s="3"/>
      <c r="T3629" s="3"/>
      <c r="U3629" s="3"/>
      <c r="V3629" s="3"/>
      <c r="W3629" s="3"/>
      <c r="X3629" s="3"/>
      <c r="Y3629" s="3"/>
      <c r="Z3629" s="4"/>
      <c r="AA3629"/>
      <c r="AB3629"/>
    </row>
    <row r="3630" spans="1:28" s="37" customFormat="1" x14ac:dyDescent="0.15">
      <c r="A3630" s="166"/>
      <c r="B3630" s="93"/>
      <c r="C3630" s="70"/>
      <c r="D3630" s="70"/>
      <c r="E3630" s="70"/>
      <c r="F3630" s="70"/>
      <c r="G3630" s="70"/>
      <c r="H3630" s="93"/>
      <c r="I3630" s="85"/>
      <c r="J3630" s="85"/>
      <c r="K3630" s="131"/>
      <c r="L3630" s="60"/>
      <c r="M3630" s="33"/>
      <c r="N3630" s="35"/>
      <c r="Q3630" s="3"/>
      <c r="R3630" s="3"/>
      <c r="S3630" s="3"/>
      <c r="T3630" s="3"/>
      <c r="U3630" s="3"/>
      <c r="V3630" s="3"/>
      <c r="W3630" s="3"/>
      <c r="X3630" s="3"/>
      <c r="Y3630" s="3"/>
      <c r="Z3630" s="4"/>
      <c r="AA3630"/>
      <c r="AB3630"/>
    </row>
    <row r="3631" spans="1:28" s="37" customFormat="1" x14ac:dyDescent="0.15">
      <c r="A3631" s="166"/>
      <c r="B3631" s="82"/>
      <c r="C3631" s="70"/>
      <c r="D3631" s="70"/>
      <c r="E3631" s="70"/>
      <c r="F3631" s="70"/>
      <c r="G3631" s="70"/>
      <c r="H3631" s="93"/>
      <c r="I3631" s="85"/>
      <c r="J3631" s="85"/>
      <c r="K3631" s="131"/>
      <c r="L3631" s="60"/>
      <c r="M3631" s="49"/>
      <c r="Q3631" s="3"/>
      <c r="R3631" s="3"/>
      <c r="S3631" s="3"/>
      <c r="T3631" s="3"/>
      <c r="U3631" s="3"/>
      <c r="V3631" s="3"/>
      <c r="W3631" s="3"/>
      <c r="X3631" s="3"/>
      <c r="Y3631" s="3"/>
      <c r="Z3631" s="4"/>
      <c r="AA3631"/>
      <c r="AB3631"/>
    </row>
    <row r="3632" spans="1:28" s="37" customFormat="1" x14ac:dyDescent="0.15">
      <c r="A3632" s="166"/>
      <c r="B3632" s="93"/>
      <c r="C3632" s="70"/>
      <c r="D3632" s="70"/>
      <c r="E3632" s="70"/>
      <c r="F3632" s="70"/>
      <c r="G3632" s="70"/>
      <c r="H3632" s="93"/>
      <c r="I3632" s="85"/>
      <c r="J3632" s="85"/>
      <c r="K3632" s="131"/>
      <c r="L3632" s="60"/>
      <c r="M3632" s="33"/>
      <c r="Q3632" s="3"/>
      <c r="R3632" s="3"/>
      <c r="S3632" s="3"/>
      <c r="T3632" s="3"/>
      <c r="U3632" s="3"/>
      <c r="V3632" s="3"/>
      <c r="W3632" s="3"/>
      <c r="X3632" s="3"/>
      <c r="Y3632" s="3"/>
      <c r="Z3632" s="4"/>
      <c r="AA3632"/>
      <c r="AB3632"/>
    </row>
    <row r="3633" spans="1:28" s="37" customFormat="1" x14ac:dyDescent="0.15">
      <c r="A3633" s="166"/>
      <c r="B3633" s="93"/>
      <c r="C3633" s="70"/>
      <c r="D3633" s="70"/>
      <c r="E3633" s="70"/>
      <c r="F3633" s="70"/>
      <c r="G3633" s="70"/>
      <c r="H3633" s="93"/>
      <c r="I3633" s="85"/>
      <c r="J3633" s="85"/>
      <c r="K3633" s="131"/>
      <c r="L3633" s="60"/>
      <c r="M3633" s="33"/>
      <c r="Q3633" s="3"/>
      <c r="R3633" s="3"/>
      <c r="S3633" s="3"/>
      <c r="T3633" s="3"/>
      <c r="U3633" s="3"/>
      <c r="V3633" s="3"/>
      <c r="W3633" s="3"/>
      <c r="X3633" s="3"/>
      <c r="Y3633" s="3"/>
      <c r="Z3633" s="4"/>
      <c r="AA3633"/>
      <c r="AB3633"/>
    </row>
    <row r="3634" spans="1:28" s="37" customFormat="1" x14ac:dyDescent="0.15">
      <c r="A3634" s="166"/>
      <c r="B3634" s="93"/>
      <c r="C3634" s="70"/>
      <c r="D3634" s="70"/>
      <c r="E3634" s="70"/>
      <c r="F3634" s="70"/>
      <c r="G3634" s="70"/>
      <c r="H3634" s="93"/>
      <c r="I3634" s="85"/>
      <c r="J3634" s="85"/>
      <c r="K3634" s="131"/>
      <c r="L3634" s="60"/>
      <c r="M3634" s="33"/>
      <c r="Q3634" s="3"/>
      <c r="R3634" s="3"/>
      <c r="S3634" s="3"/>
      <c r="T3634" s="3"/>
      <c r="U3634" s="3"/>
      <c r="V3634" s="3"/>
      <c r="W3634" s="3"/>
      <c r="X3634" s="3"/>
      <c r="Y3634" s="3"/>
      <c r="Z3634" s="4"/>
      <c r="AA3634"/>
      <c r="AB3634"/>
    </row>
    <row r="3635" spans="1:28" s="37" customFormat="1" x14ac:dyDescent="0.15">
      <c r="A3635" s="166"/>
      <c r="B3635" s="82"/>
      <c r="C3635" s="70"/>
      <c r="D3635" s="70"/>
      <c r="E3635" s="70"/>
      <c r="F3635" s="70"/>
      <c r="G3635" s="70"/>
      <c r="H3635" s="93"/>
      <c r="I3635" s="85"/>
      <c r="J3635" s="85"/>
      <c r="K3635" s="131"/>
      <c r="L3635" s="60"/>
      <c r="M3635" s="49"/>
      <c r="Q3635" s="3"/>
      <c r="R3635" s="3"/>
      <c r="S3635" s="3"/>
      <c r="T3635" s="3"/>
      <c r="U3635" s="3"/>
      <c r="V3635" s="3"/>
      <c r="W3635" s="3"/>
      <c r="X3635" s="3"/>
      <c r="Y3635" s="3"/>
      <c r="Z3635" s="4"/>
      <c r="AA3635"/>
      <c r="AB3635"/>
    </row>
    <row r="3636" spans="1:28" s="37" customFormat="1" x14ac:dyDescent="0.15">
      <c r="A3636" s="166"/>
      <c r="B3636" s="82"/>
      <c r="C3636" s="70"/>
      <c r="D3636" s="70"/>
      <c r="E3636" s="70"/>
      <c r="F3636" s="70"/>
      <c r="G3636" s="70"/>
      <c r="H3636" s="93"/>
      <c r="I3636" s="85"/>
      <c r="J3636" s="85"/>
      <c r="K3636" s="131"/>
      <c r="L3636" s="60"/>
      <c r="M3636" s="49"/>
      <c r="Q3636" s="3"/>
      <c r="R3636" s="3"/>
      <c r="S3636" s="3"/>
      <c r="T3636" s="3"/>
      <c r="U3636" s="3"/>
      <c r="V3636" s="3"/>
      <c r="W3636" s="3"/>
      <c r="X3636" s="3"/>
      <c r="Y3636" s="3"/>
      <c r="Z3636" s="4"/>
      <c r="AA3636"/>
      <c r="AB3636"/>
    </row>
    <row r="3637" spans="1:28" s="37" customFormat="1" x14ac:dyDescent="0.15">
      <c r="A3637" s="166"/>
      <c r="B3637" s="82"/>
      <c r="C3637" s="70"/>
      <c r="D3637" s="70"/>
      <c r="E3637" s="70"/>
      <c r="F3637" s="70"/>
      <c r="G3637" s="70"/>
      <c r="H3637" s="93"/>
      <c r="I3637" s="85"/>
      <c r="J3637" s="85"/>
      <c r="K3637" s="131"/>
      <c r="L3637" s="60"/>
      <c r="M3637" s="49"/>
      <c r="Q3637" s="3"/>
      <c r="R3637" s="3"/>
      <c r="S3637" s="3"/>
      <c r="T3637" s="3"/>
      <c r="U3637" s="3"/>
      <c r="V3637" s="3"/>
      <c r="W3637" s="3"/>
      <c r="X3637" s="3"/>
      <c r="Y3637" s="3"/>
      <c r="Z3637" s="4"/>
      <c r="AA3637"/>
      <c r="AB3637"/>
    </row>
    <row r="3638" spans="1:28" s="37" customFormat="1" x14ac:dyDescent="0.15">
      <c r="A3638" s="166"/>
      <c r="B3638" s="82"/>
      <c r="C3638" s="70"/>
      <c r="D3638" s="70"/>
      <c r="E3638" s="70"/>
      <c r="F3638" s="70"/>
      <c r="G3638" s="70"/>
      <c r="H3638" s="93"/>
      <c r="I3638" s="85"/>
      <c r="J3638" s="85"/>
      <c r="K3638" s="134"/>
      <c r="L3638" s="63"/>
      <c r="M3638" s="49"/>
      <c r="Q3638" s="3"/>
      <c r="R3638" s="3"/>
      <c r="S3638" s="3"/>
      <c r="T3638" s="3"/>
      <c r="U3638" s="3"/>
      <c r="V3638" s="3"/>
      <c r="W3638" s="3"/>
      <c r="X3638" s="3"/>
      <c r="Y3638" s="3"/>
      <c r="Z3638" s="4"/>
      <c r="AA3638"/>
      <c r="AB3638"/>
    </row>
    <row r="3639" spans="1:28" s="37" customFormat="1" x14ac:dyDescent="0.15">
      <c r="A3639" s="166"/>
      <c r="B3639" s="82"/>
      <c r="C3639" s="70"/>
      <c r="D3639" s="70"/>
      <c r="E3639" s="70"/>
      <c r="F3639" s="70"/>
      <c r="G3639" s="70"/>
      <c r="H3639" s="93"/>
      <c r="I3639" s="85"/>
      <c r="J3639" s="85"/>
      <c r="K3639" s="131"/>
      <c r="L3639" s="60"/>
      <c r="M3639" s="49"/>
      <c r="Q3639" s="3"/>
      <c r="R3639" s="3"/>
      <c r="S3639" s="3"/>
      <c r="T3639" s="3"/>
      <c r="U3639" s="3"/>
      <c r="V3639" s="3"/>
      <c r="W3639" s="3"/>
      <c r="X3639" s="3"/>
      <c r="Y3639" s="3"/>
      <c r="Z3639" s="4"/>
      <c r="AA3639"/>
      <c r="AB3639"/>
    </row>
    <row r="3640" spans="1:28" s="37" customFormat="1" x14ac:dyDescent="0.15">
      <c r="A3640" s="166"/>
      <c r="B3640" s="82"/>
      <c r="C3640" s="70"/>
      <c r="D3640" s="70"/>
      <c r="E3640" s="70"/>
      <c r="F3640" s="70"/>
      <c r="G3640" s="70"/>
      <c r="H3640" s="93"/>
      <c r="I3640" s="85"/>
      <c r="J3640" s="85"/>
      <c r="K3640" s="131"/>
      <c r="L3640" s="60"/>
      <c r="M3640" s="49"/>
      <c r="Q3640" s="3"/>
      <c r="R3640" s="3"/>
      <c r="S3640" s="3"/>
      <c r="T3640" s="3"/>
      <c r="U3640" s="3"/>
      <c r="V3640" s="3"/>
      <c r="W3640" s="3"/>
      <c r="X3640" s="3"/>
      <c r="Y3640" s="3"/>
      <c r="Z3640" s="4"/>
      <c r="AA3640"/>
      <c r="AB3640"/>
    </row>
    <row r="3641" spans="1:28" s="37" customFormat="1" x14ac:dyDescent="0.15">
      <c r="A3641" s="166"/>
      <c r="B3641" s="82"/>
      <c r="C3641" s="70"/>
      <c r="D3641" s="70"/>
      <c r="E3641" s="70"/>
      <c r="F3641" s="70"/>
      <c r="G3641" s="70"/>
      <c r="H3641" s="93"/>
      <c r="I3641" s="85"/>
      <c r="J3641" s="85"/>
      <c r="K3641" s="131"/>
      <c r="L3641" s="60"/>
      <c r="M3641" s="49"/>
      <c r="Q3641" s="3"/>
      <c r="R3641" s="3"/>
      <c r="S3641" s="3"/>
      <c r="T3641" s="3"/>
      <c r="U3641" s="3"/>
      <c r="V3641" s="3"/>
      <c r="W3641" s="3"/>
      <c r="X3641" s="3"/>
      <c r="Y3641" s="3"/>
      <c r="Z3641" s="4"/>
      <c r="AA3641"/>
      <c r="AB3641"/>
    </row>
    <row r="3642" spans="1:28" s="37" customFormat="1" x14ac:dyDescent="0.15">
      <c r="A3642" s="166"/>
      <c r="B3642" s="93"/>
      <c r="C3642" s="70"/>
      <c r="D3642" s="70"/>
      <c r="E3642" s="70"/>
      <c r="F3642" s="70"/>
      <c r="G3642" s="70"/>
      <c r="H3642" s="93"/>
      <c r="I3642" s="85"/>
      <c r="J3642" s="85"/>
      <c r="K3642" s="131"/>
      <c r="L3642" s="60"/>
      <c r="M3642" s="33"/>
      <c r="Q3642" s="3"/>
      <c r="R3642" s="3"/>
      <c r="S3642" s="3"/>
      <c r="T3642" s="3"/>
      <c r="U3642" s="3"/>
      <c r="V3642" s="3"/>
      <c r="W3642" s="3"/>
      <c r="X3642" s="3"/>
      <c r="Y3642" s="3"/>
      <c r="Z3642" s="4"/>
      <c r="AA3642"/>
      <c r="AB3642"/>
    </row>
    <row r="3643" spans="1:28" s="37" customFormat="1" x14ac:dyDescent="0.15">
      <c r="A3643" s="166"/>
      <c r="B3643" s="82"/>
      <c r="C3643" s="70"/>
      <c r="D3643" s="70"/>
      <c r="E3643" s="70"/>
      <c r="F3643" s="70"/>
      <c r="G3643" s="70"/>
      <c r="H3643" s="93"/>
      <c r="I3643" s="85"/>
      <c r="J3643" s="85"/>
      <c r="K3643" s="131"/>
      <c r="L3643" s="60"/>
      <c r="M3643" s="49"/>
      <c r="Q3643" s="3"/>
      <c r="R3643" s="3"/>
      <c r="S3643" s="3"/>
      <c r="T3643" s="3"/>
      <c r="U3643" s="3"/>
      <c r="V3643" s="3"/>
      <c r="W3643" s="3"/>
      <c r="X3643" s="3"/>
      <c r="Y3643" s="3"/>
      <c r="Z3643" s="4"/>
      <c r="AA3643"/>
      <c r="AB3643"/>
    </row>
    <row r="3644" spans="1:28" s="37" customFormat="1" x14ac:dyDescent="0.15">
      <c r="A3644" s="166"/>
      <c r="B3644" s="93"/>
      <c r="C3644" s="70"/>
      <c r="D3644" s="70"/>
      <c r="E3644" s="70"/>
      <c r="F3644" s="70"/>
      <c r="G3644" s="70"/>
      <c r="H3644" s="93"/>
      <c r="I3644" s="85"/>
      <c r="J3644" s="85"/>
      <c r="K3644" s="131"/>
      <c r="L3644" s="60"/>
      <c r="M3644" s="33"/>
      <c r="Q3644" s="3"/>
      <c r="R3644" s="3"/>
      <c r="S3644" s="3"/>
      <c r="T3644" s="3"/>
      <c r="U3644" s="3"/>
      <c r="V3644" s="3"/>
      <c r="W3644" s="3"/>
      <c r="X3644" s="3"/>
      <c r="Y3644" s="3"/>
      <c r="Z3644" s="4"/>
      <c r="AA3644"/>
      <c r="AB3644"/>
    </row>
    <row r="3645" spans="1:28" s="37" customFormat="1" x14ac:dyDescent="0.15">
      <c r="A3645" s="166"/>
      <c r="B3645" s="82"/>
      <c r="C3645" s="70"/>
      <c r="D3645" s="70"/>
      <c r="E3645" s="70"/>
      <c r="F3645" s="70"/>
      <c r="G3645" s="70"/>
      <c r="H3645" s="93"/>
      <c r="I3645" s="85"/>
      <c r="J3645" s="85"/>
      <c r="K3645" s="131"/>
      <c r="L3645" s="60"/>
      <c r="M3645" s="33"/>
      <c r="Q3645" s="3"/>
      <c r="R3645" s="3"/>
      <c r="S3645" s="3"/>
      <c r="T3645" s="3"/>
      <c r="U3645" s="3"/>
      <c r="V3645" s="3"/>
      <c r="W3645" s="3"/>
      <c r="X3645" s="3"/>
      <c r="Y3645" s="3"/>
      <c r="Z3645" s="4"/>
      <c r="AA3645"/>
      <c r="AB3645"/>
    </row>
    <row r="3646" spans="1:28" s="37" customFormat="1" x14ac:dyDescent="0.15">
      <c r="A3646" s="166"/>
      <c r="B3646" s="93"/>
      <c r="C3646" s="70"/>
      <c r="D3646" s="70"/>
      <c r="E3646" s="70"/>
      <c r="F3646" s="70"/>
      <c r="G3646" s="70"/>
      <c r="H3646" s="93"/>
      <c r="I3646" s="85"/>
      <c r="J3646" s="85"/>
      <c r="K3646" s="131"/>
      <c r="L3646" s="60"/>
      <c r="M3646" s="33"/>
      <c r="Q3646" s="3"/>
      <c r="R3646" s="3"/>
      <c r="S3646" s="3"/>
      <c r="T3646" s="3"/>
      <c r="U3646" s="3"/>
      <c r="V3646" s="3"/>
      <c r="W3646" s="3"/>
      <c r="X3646" s="3"/>
      <c r="Y3646" s="3"/>
      <c r="Z3646" s="4"/>
      <c r="AA3646"/>
      <c r="AB3646"/>
    </row>
    <row r="3647" spans="1:28" s="37" customFormat="1" x14ac:dyDescent="0.15">
      <c r="A3647" s="166"/>
      <c r="B3647" s="93"/>
      <c r="C3647" s="70"/>
      <c r="D3647" s="70"/>
      <c r="E3647" s="70"/>
      <c r="F3647" s="70"/>
      <c r="G3647" s="70"/>
      <c r="H3647" s="93"/>
      <c r="I3647" s="85"/>
      <c r="J3647" s="85"/>
      <c r="K3647" s="131"/>
      <c r="L3647" s="60"/>
      <c r="M3647" s="33"/>
      <c r="Q3647" s="3"/>
      <c r="R3647" s="3"/>
      <c r="S3647" s="3"/>
      <c r="T3647" s="3"/>
      <c r="U3647" s="3"/>
      <c r="V3647" s="3"/>
      <c r="W3647" s="3"/>
      <c r="X3647" s="3"/>
      <c r="Y3647" s="3"/>
      <c r="Z3647" s="4"/>
      <c r="AA3647"/>
      <c r="AB3647"/>
    </row>
    <row r="3648" spans="1:28" s="37" customFormat="1" x14ac:dyDescent="0.15">
      <c r="A3648" s="166"/>
      <c r="B3648" s="93"/>
      <c r="C3648" s="70"/>
      <c r="D3648" s="70"/>
      <c r="E3648" s="70"/>
      <c r="F3648" s="70"/>
      <c r="G3648" s="70"/>
      <c r="H3648" s="93"/>
      <c r="I3648" s="85"/>
      <c r="J3648" s="85"/>
      <c r="K3648" s="131"/>
      <c r="L3648" s="60"/>
      <c r="M3648" s="33"/>
      <c r="Q3648" s="3"/>
      <c r="R3648" s="3"/>
      <c r="S3648" s="3"/>
      <c r="T3648" s="3"/>
      <c r="U3648" s="3"/>
      <c r="V3648" s="3"/>
      <c r="W3648" s="3"/>
      <c r="X3648" s="3"/>
      <c r="Y3648" s="3"/>
      <c r="Z3648" s="4"/>
      <c r="AA3648"/>
      <c r="AB3648"/>
    </row>
    <row r="3649" spans="1:28" s="37" customFormat="1" x14ac:dyDescent="0.15">
      <c r="A3649" s="166"/>
      <c r="B3649" s="82"/>
      <c r="C3649" s="70"/>
      <c r="D3649" s="70"/>
      <c r="E3649" s="70"/>
      <c r="F3649" s="70"/>
      <c r="G3649" s="70"/>
      <c r="H3649" s="93"/>
      <c r="I3649" s="85"/>
      <c r="J3649" s="85"/>
      <c r="K3649" s="131"/>
      <c r="L3649" s="60"/>
      <c r="M3649" s="49"/>
      <c r="Q3649" s="3"/>
      <c r="R3649" s="3"/>
      <c r="S3649" s="3"/>
      <c r="T3649" s="3"/>
      <c r="U3649" s="3"/>
      <c r="V3649" s="3"/>
      <c r="W3649" s="3"/>
      <c r="X3649" s="3"/>
      <c r="Y3649" s="3"/>
      <c r="Z3649" s="4"/>
      <c r="AA3649"/>
      <c r="AB3649"/>
    </row>
    <row r="3650" spans="1:28" s="37" customFormat="1" x14ac:dyDescent="0.15">
      <c r="A3650" s="166"/>
      <c r="B3650" s="82"/>
      <c r="C3650" s="70"/>
      <c r="D3650" s="70"/>
      <c r="E3650" s="70"/>
      <c r="F3650" s="70"/>
      <c r="G3650" s="70"/>
      <c r="H3650" s="93"/>
      <c r="I3650" s="85"/>
      <c r="J3650" s="85"/>
      <c r="K3650" s="131"/>
      <c r="L3650" s="60"/>
      <c r="M3650" s="33"/>
      <c r="Q3650" s="3"/>
      <c r="R3650" s="3"/>
      <c r="S3650" s="3"/>
      <c r="T3650" s="3"/>
      <c r="U3650" s="3"/>
      <c r="V3650" s="3"/>
      <c r="W3650" s="3"/>
      <c r="X3650" s="3"/>
      <c r="Y3650" s="3"/>
      <c r="Z3650" s="4"/>
      <c r="AA3650"/>
      <c r="AB3650"/>
    </row>
    <row r="3651" spans="1:28" s="37" customFormat="1" x14ac:dyDescent="0.15">
      <c r="A3651" s="166"/>
      <c r="B3651" s="82"/>
      <c r="C3651" s="70"/>
      <c r="D3651" s="70"/>
      <c r="E3651" s="70"/>
      <c r="F3651" s="70"/>
      <c r="G3651" s="70"/>
      <c r="H3651" s="93"/>
      <c r="I3651" s="85"/>
      <c r="J3651" s="85"/>
      <c r="K3651" s="131"/>
      <c r="L3651" s="60"/>
      <c r="M3651" s="49"/>
      <c r="Q3651" s="3"/>
      <c r="R3651" s="3"/>
      <c r="S3651" s="3"/>
      <c r="T3651" s="3"/>
      <c r="U3651" s="3"/>
      <c r="V3651" s="3"/>
      <c r="W3651" s="3"/>
      <c r="X3651" s="3"/>
      <c r="Y3651" s="3"/>
      <c r="Z3651" s="4"/>
      <c r="AA3651"/>
      <c r="AB3651"/>
    </row>
    <row r="3652" spans="1:28" s="37" customFormat="1" x14ac:dyDescent="0.15">
      <c r="A3652" s="166"/>
      <c r="B3652" s="93"/>
      <c r="C3652" s="70"/>
      <c r="D3652" s="70"/>
      <c r="E3652" s="70"/>
      <c r="F3652" s="70"/>
      <c r="G3652" s="70"/>
      <c r="H3652" s="93"/>
      <c r="I3652" s="85"/>
      <c r="J3652" s="85"/>
      <c r="K3652" s="131"/>
      <c r="L3652" s="60"/>
      <c r="M3652" s="33"/>
      <c r="Q3652" s="3"/>
      <c r="R3652" s="3"/>
      <c r="S3652" s="3"/>
      <c r="T3652" s="3"/>
      <c r="U3652" s="3"/>
      <c r="V3652" s="3"/>
      <c r="W3652" s="3"/>
      <c r="X3652" s="3"/>
      <c r="Y3652" s="3"/>
      <c r="Z3652" s="4"/>
      <c r="AA3652"/>
      <c r="AB3652"/>
    </row>
    <row r="3653" spans="1:28" s="37" customFormat="1" x14ac:dyDescent="0.15">
      <c r="A3653" s="166"/>
      <c r="B3653" s="82"/>
      <c r="C3653" s="70"/>
      <c r="D3653" s="70"/>
      <c r="E3653" s="70"/>
      <c r="F3653" s="70"/>
      <c r="G3653" s="70"/>
      <c r="H3653" s="93"/>
      <c r="I3653" s="85"/>
      <c r="J3653" s="85"/>
      <c r="K3653" s="131"/>
      <c r="L3653" s="60"/>
      <c r="M3653" s="49"/>
      <c r="Q3653" s="3"/>
      <c r="R3653" s="3"/>
      <c r="S3653" s="3"/>
      <c r="T3653" s="3"/>
      <c r="U3653" s="3"/>
      <c r="V3653" s="3"/>
      <c r="W3653" s="3"/>
      <c r="X3653" s="3"/>
      <c r="Y3653" s="3"/>
      <c r="Z3653" s="4"/>
      <c r="AA3653"/>
      <c r="AB3653"/>
    </row>
    <row r="3654" spans="1:28" s="37" customFormat="1" ht="16" x14ac:dyDescent="0.2">
      <c r="A3654" s="166"/>
      <c r="B3654" s="82"/>
      <c r="C3654" s="70"/>
      <c r="D3654" s="70"/>
      <c r="E3654" s="70"/>
      <c r="F3654" s="70"/>
      <c r="G3654" s="70"/>
      <c r="H3654" s="93"/>
      <c r="I3654" s="85"/>
      <c r="J3654" s="85"/>
      <c r="K3654" s="131"/>
      <c r="L3654" s="67"/>
      <c r="M3654" s="49"/>
      <c r="N3654" s="48"/>
      <c r="Q3654" s="3"/>
      <c r="R3654" s="3"/>
      <c r="S3654" s="3"/>
      <c r="T3654" s="3"/>
      <c r="U3654" s="3"/>
      <c r="V3654" s="3"/>
      <c r="W3654" s="3"/>
      <c r="X3654" s="3"/>
      <c r="Y3654" s="3"/>
      <c r="Z3654" s="4"/>
      <c r="AA3654"/>
      <c r="AB3654"/>
    </row>
    <row r="3655" spans="1:28" s="37" customFormat="1" x14ac:dyDescent="0.15">
      <c r="A3655" s="166"/>
      <c r="B3655" s="82"/>
      <c r="C3655" s="70"/>
      <c r="D3655" s="70"/>
      <c r="E3655" s="70"/>
      <c r="F3655" s="70"/>
      <c r="G3655" s="70"/>
      <c r="H3655" s="93"/>
      <c r="I3655" s="85"/>
      <c r="J3655" s="85"/>
      <c r="K3655" s="131"/>
      <c r="L3655" s="60"/>
      <c r="M3655" s="49"/>
      <c r="Q3655" s="3"/>
      <c r="R3655" s="3"/>
      <c r="S3655" s="3"/>
      <c r="T3655" s="3"/>
      <c r="U3655" s="3"/>
      <c r="V3655" s="3"/>
      <c r="W3655" s="3"/>
      <c r="X3655" s="3"/>
      <c r="Y3655" s="3"/>
      <c r="Z3655" s="4"/>
      <c r="AA3655"/>
      <c r="AB3655"/>
    </row>
    <row r="3656" spans="1:28" s="37" customFormat="1" x14ac:dyDescent="0.15">
      <c r="A3656" s="166"/>
      <c r="B3656" s="93"/>
      <c r="C3656" s="70"/>
      <c r="D3656" s="70"/>
      <c r="E3656" s="70"/>
      <c r="F3656" s="70"/>
      <c r="G3656" s="70"/>
      <c r="H3656" s="93"/>
      <c r="I3656" s="85"/>
      <c r="J3656" s="85"/>
      <c r="K3656" s="131"/>
      <c r="L3656" s="60"/>
      <c r="M3656" s="33"/>
      <c r="Q3656" s="3"/>
      <c r="R3656" s="3"/>
      <c r="S3656" s="3"/>
      <c r="T3656" s="3"/>
      <c r="U3656" s="3"/>
      <c r="V3656" s="3"/>
      <c r="W3656" s="3"/>
      <c r="X3656" s="3"/>
      <c r="Y3656" s="3"/>
      <c r="Z3656" s="4"/>
      <c r="AA3656"/>
      <c r="AB3656"/>
    </row>
    <row r="3657" spans="1:28" s="37" customFormat="1" x14ac:dyDescent="0.15">
      <c r="A3657" s="166"/>
      <c r="B3657" s="93"/>
      <c r="C3657" s="70"/>
      <c r="D3657" s="70"/>
      <c r="E3657" s="70"/>
      <c r="F3657" s="70"/>
      <c r="G3657" s="70"/>
      <c r="H3657" s="93"/>
      <c r="I3657" s="85"/>
      <c r="J3657" s="85"/>
      <c r="K3657" s="131"/>
      <c r="L3657" s="60"/>
      <c r="M3657" s="33"/>
      <c r="Q3657" s="3"/>
      <c r="R3657" s="3"/>
      <c r="S3657" s="3"/>
      <c r="T3657" s="3"/>
      <c r="U3657" s="3"/>
      <c r="V3657" s="3"/>
      <c r="W3657" s="3"/>
      <c r="X3657" s="3"/>
      <c r="Y3657" s="3"/>
      <c r="Z3657" s="4"/>
      <c r="AA3657"/>
      <c r="AB3657"/>
    </row>
    <row r="3658" spans="1:28" s="37" customFormat="1" x14ac:dyDescent="0.15">
      <c r="A3658" s="166"/>
      <c r="B3658" s="82"/>
      <c r="C3658" s="70"/>
      <c r="D3658" s="70"/>
      <c r="E3658" s="70"/>
      <c r="F3658" s="70"/>
      <c r="G3658" s="70"/>
      <c r="H3658" s="93"/>
      <c r="I3658" s="85"/>
      <c r="J3658" s="85"/>
      <c r="K3658" s="131"/>
      <c r="L3658" s="60"/>
      <c r="M3658" s="49"/>
      <c r="Q3658" s="3"/>
      <c r="R3658" s="3"/>
      <c r="S3658" s="3"/>
      <c r="T3658" s="3"/>
      <c r="U3658" s="3"/>
      <c r="V3658" s="3"/>
      <c r="W3658" s="3"/>
      <c r="X3658" s="3"/>
      <c r="Y3658" s="3"/>
      <c r="Z3658" s="4"/>
      <c r="AA3658"/>
      <c r="AB3658"/>
    </row>
    <row r="3659" spans="1:28" s="37" customFormat="1" ht="16" x14ac:dyDescent="0.2">
      <c r="A3659" s="166"/>
      <c r="B3659" s="82"/>
      <c r="C3659" s="70"/>
      <c r="D3659" s="70"/>
      <c r="E3659" s="70"/>
      <c r="F3659" s="70"/>
      <c r="G3659" s="70"/>
      <c r="H3659" s="93"/>
      <c r="I3659" s="85"/>
      <c r="J3659" s="85"/>
      <c r="K3659" s="131"/>
      <c r="L3659" s="60"/>
      <c r="M3659" s="49"/>
      <c r="N3659" s="48"/>
      <c r="Q3659" s="3"/>
      <c r="R3659" s="3"/>
      <c r="S3659" s="3"/>
      <c r="T3659" s="3"/>
      <c r="U3659" s="3"/>
      <c r="V3659" s="3"/>
      <c r="W3659" s="3"/>
      <c r="X3659" s="3"/>
      <c r="Y3659" s="3"/>
      <c r="Z3659" s="4"/>
      <c r="AA3659"/>
      <c r="AB3659"/>
    </row>
    <row r="3660" spans="1:28" s="37" customFormat="1" x14ac:dyDescent="0.15">
      <c r="A3660" s="166"/>
      <c r="B3660" s="82"/>
      <c r="C3660" s="70"/>
      <c r="D3660" s="70"/>
      <c r="E3660" s="70"/>
      <c r="F3660" s="70"/>
      <c r="G3660" s="70"/>
      <c r="H3660" s="93"/>
      <c r="I3660" s="85"/>
      <c r="J3660" s="85"/>
      <c r="K3660" s="131"/>
      <c r="L3660" s="60"/>
      <c r="M3660" s="49"/>
      <c r="Q3660" s="3"/>
      <c r="R3660" s="3"/>
      <c r="S3660" s="3"/>
      <c r="T3660" s="3"/>
      <c r="U3660" s="3"/>
      <c r="V3660" s="3"/>
      <c r="W3660" s="3"/>
      <c r="X3660" s="3"/>
      <c r="Y3660" s="3"/>
      <c r="Z3660" s="4"/>
      <c r="AA3660"/>
      <c r="AB3660"/>
    </row>
    <row r="3661" spans="1:28" s="37" customFormat="1" x14ac:dyDescent="0.15">
      <c r="A3661" s="166"/>
      <c r="B3661" s="93"/>
      <c r="C3661" s="70"/>
      <c r="D3661" s="70"/>
      <c r="E3661" s="70"/>
      <c r="F3661" s="70"/>
      <c r="G3661" s="70"/>
      <c r="H3661" s="93"/>
      <c r="I3661" s="85"/>
      <c r="J3661" s="85"/>
      <c r="K3661" s="131"/>
      <c r="L3661" s="60"/>
      <c r="M3661" s="33"/>
      <c r="Q3661" s="3"/>
      <c r="R3661" s="3"/>
      <c r="S3661" s="3"/>
      <c r="T3661" s="3"/>
      <c r="U3661" s="3"/>
      <c r="V3661" s="3"/>
      <c r="W3661" s="3"/>
      <c r="X3661" s="3"/>
      <c r="Y3661" s="3"/>
      <c r="Z3661" s="4"/>
      <c r="AA3661"/>
      <c r="AB3661"/>
    </row>
    <row r="3662" spans="1:28" s="3" customFormat="1" x14ac:dyDescent="0.15">
      <c r="A3662" s="166"/>
      <c r="B3662" s="93"/>
      <c r="C3662" s="70"/>
      <c r="D3662" s="70"/>
      <c r="E3662" s="70"/>
      <c r="F3662" s="70"/>
      <c r="G3662" s="70"/>
      <c r="H3662" s="93"/>
      <c r="I3662" s="85"/>
      <c r="J3662" s="85"/>
      <c r="K3662" s="131"/>
      <c r="L3662" s="60"/>
      <c r="M3662" s="33"/>
      <c r="N3662" s="37"/>
      <c r="O3662" s="37"/>
      <c r="P3662" s="37"/>
      <c r="Z3662" s="4"/>
      <c r="AA3662"/>
      <c r="AB3662"/>
    </row>
    <row r="3663" spans="1:28" s="3" customFormat="1" ht="14" x14ac:dyDescent="0.15">
      <c r="A3663" s="166"/>
      <c r="B3663" s="93"/>
      <c r="C3663" s="73"/>
      <c r="D3663" s="73"/>
      <c r="E3663" s="70"/>
      <c r="F3663" s="73"/>
      <c r="G3663" s="73"/>
      <c r="H3663" s="108"/>
      <c r="I3663" s="85"/>
      <c r="J3663" s="116"/>
      <c r="K3663" s="131"/>
      <c r="L3663" s="60"/>
      <c r="M3663" s="33"/>
      <c r="N3663" s="37"/>
      <c r="O3663" s="37"/>
      <c r="P3663" s="37"/>
      <c r="Z3663" s="4"/>
      <c r="AA3663"/>
      <c r="AB3663"/>
    </row>
    <row r="3664" spans="1:28" s="3" customFormat="1" x14ac:dyDescent="0.15">
      <c r="A3664" s="166"/>
      <c r="B3664" s="82"/>
      <c r="C3664" s="70"/>
      <c r="D3664" s="70"/>
      <c r="E3664" s="70"/>
      <c r="F3664" s="70"/>
      <c r="G3664" s="70"/>
      <c r="H3664" s="93"/>
      <c r="I3664" s="85"/>
      <c r="J3664" s="85"/>
      <c r="K3664" s="131"/>
      <c r="L3664" s="60"/>
      <c r="M3664" s="49"/>
      <c r="N3664" s="37"/>
      <c r="O3664" s="37"/>
      <c r="P3664" s="37"/>
      <c r="Z3664" s="4"/>
      <c r="AA3664"/>
      <c r="AB3664"/>
    </row>
    <row r="3665" spans="1:28" s="3" customFormat="1" x14ac:dyDescent="0.15">
      <c r="A3665" s="166"/>
      <c r="B3665" s="82"/>
      <c r="C3665" s="70"/>
      <c r="D3665" s="70"/>
      <c r="E3665" s="70"/>
      <c r="F3665" s="70"/>
      <c r="G3665" s="70"/>
      <c r="H3665" s="93"/>
      <c r="I3665" s="85"/>
      <c r="J3665" s="85"/>
      <c r="K3665" s="131"/>
      <c r="L3665" s="67"/>
      <c r="M3665" s="49"/>
      <c r="N3665" s="37"/>
      <c r="O3665" s="37"/>
      <c r="P3665" s="37"/>
      <c r="Z3665" s="4"/>
      <c r="AA3665"/>
      <c r="AB3665"/>
    </row>
    <row r="3666" spans="1:28" s="3" customFormat="1" x14ac:dyDescent="0.15">
      <c r="A3666" s="166"/>
      <c r="B3666" s="82"/>
      <c r="C3666" s="70"/>
      <c r="D3666" s="70"/>
      <c r="E3666" s="70"/>
      <c r="F3666" s="70"/>
      <c r="G3666" s="70"/>
      <c r="H3666" s="93"/>
      <c r="I3666" s="85"/>
      <c r="J3666" s="85"/>
      <c r="K3666" s="131"/>
      <c r="L3666" s="60"/>
      <c r="M3666" s="49"/>
      <c r="N3666" s="37"/>
      <c r="O3666" s="37"/>
      <c r="P3666" s="37"/>
      <c r="Z3666" s="4"/>
      <c r="AA3666"/>
      <c r="AB3666"/>
    </row>
    <row r="3667" spans="1:28" s="3" customFormat="1" x14ac:dyDescent="0.15">
      <c r="A3667" s="166"/>
      <c r="B3667" s="82"/>
      <c r="C3667" s="70"/>
      <c r="D3667" s="70"/>
      <c r="E3667" s="70"/>
      <c r="F3667" s="70"/>
      <c r="G3667" s="70"/>
      <c r="H3667" s="93"/>
      <c r="I3667" s="85"/>
      <c r="J3667" s="85"/>
      <c r="K3667" s="131"/>
      <c r="L3667" s="60"/>
      <c r="M3667" s="49"/>
      <c r="N3667" s="37"/>
      <c r="O3667" s="37"/>
      <c r="P3667" s="37"/>
      <c r="Z3667" s="4"/>
      <c r="AA3667"/>
      <c r="AB3667"/>
    </row>
    <row r="3668" spans="1:28" s="3" customFormat="1" ht="16" x14ac:dyDescent="0.2">
      <c r="A3668" s="166"/>
      <c r="B3668" s="82"/>
      <c r="C3668" s="70"/>
      <c r="D3668" s="70"/>
      <c r="E3668" s="70"/>
      <c r="F3668" s="70"/>
      <c r="G3668" s="70"/>
      <c r="H3668" s="93"/>
      <c r="I3668" s="85"/>
      <c r="J3668" s="85"/>
      <c r="K3668" s="131"/>
      <c r="L3668" s="60"/>
      <c r="M3668" s="33"/>
      <c r="N3668" s="48"/>
      <c r="O3668" s="37"/>
      <c r="P3668" s="37"/>
      <c r="Q3668" s="6"/>
      <c r="R3668" s="6"/>
      <c r="Z3668" s="4"/>
      <c r="AA3668"/>
      <c r="AB3668"/>
    </row>
    <row r="3669" spans="1:28" s="3" customFormat="1" x14ac:dyDescent="0.15">
      <c r="A3669" s="166"/>
      <c r="B3669" s="93"/>
      <c r="C3669" s="70"/>
      <c r="D3669" s="70"/>
      <c r="E3669" s="70"/>
      <c r="F3669" s="70"/>
      <c r="G3669" s="70"/>
      <c r="H3669" s="93"/>
      <c r="I3669" s="85"/>
      <c r="J3669" s="85"/>
      <c r="K3669" s="131"/>
      <c r="L3669" s="60"/>
      <c r="M3669" s="33"/>
      <c r="N3669" s="37"/>
      <c r="O3669" s="37"/>
      <c r="P3669" s="37"/>
      <c r="Q3669" s="6"/>
      <c r="R3669" s="6"/>
      <c r="Z3669" s="4"/>
      <c r="AA3669"/>
      <c r="AB3669"/>
    </row>
    <row r="3670" spans="1:28" s="3" customFormat="1" x14ac:dyDescent="0.15">
      <c r="A3670" s="166"/>
      <c r="B3670" s="93"/>
      <c r="C3670" s="70"/>
      <c r="D3670" s="70"/>
      <c r="E3670" s="70"/>
      <c r="F3670" s="70"/>
      <c r="G3670" s="70"/>
      <c r="H3670" s="93"/>
      <c r="I3670" s="85"/>
      <c r="J3670" s="85"/>
      <c r="K3670" s="131"/>
      <c r="L3670" s="60"/>
      <c r="M3670" s="33"/>
      <c r="N3670" s="37"/>
      <c r="O3670" s="37"/>
      <c r="P3670" s="37"/>
      <c r="Q3670" s="6"/>
      <c r="R3670" s="6"/>
      <c r="Z3670" s="4"/>
      <c r="AA3670"/>
      <c r="AB3670"/>
    </row>
    <row r="3671" spans="1:28" s="3" customFormat="1" x14ac:dyDescent="0.15">
      <c r="A3671" s="170"/>
      <c r="B3671" s="93"/>
      <c r="C3671" s="70"/>
      <c r="D3671" s="70"/>
      <c r="E3671" s="70"/>
      <c r="F3671" s="70"/>
      <c r="G3671" s="70"/>
      <c r="H3671" s="93"/>
      <c r="I3671" s="85"/>
      <c r="J3671" s="85"/>
      <c r="K3671" s="131"/>
      <c r="L3671" s="60"/>
      <c r="M3671" s="33"/>
      <c r="N3671" s="37"/>
      <c r="O3671" s="37"/>
      <c r="P3671" s="37"/>
      <c r="Q3671" s="6"/>
      <c r="R3671" s="6"/>
      <c r="Z3671" s="4"/>
      <c r="AA3671"/>
      <c r="AB3671"/>
    </row>
    <row r="3672" spans="1:28" s="3" customFormat="1" x14ac:dyDescent="0.15">
      <c r="A3672" s="166"/>
      <c r="B3672" s="93"/>
      <c r="C3672" s="70"/>
      <c r="D3672" s="70"/>
      <c r="E3672" s="70"/>
      <c r="F3672" s="70"/>
      <c r="G3672" s="70"/>
      <c r="H3672" s="93"/>
      <c r="I3672" s="85"/>
      <c r="J3672" s="85"/>
      <c r="K3672" s="131"/>
      <c r="L3672" s="60"/>
      <c r="M3672" s="33"/>
      <c r="N3672" s="37"/>
      <c r="O3672" s="37"/>
      <c r="P3672" s="37"/>
      <c r="Q3672" s="6"/>
      <c r="R3672" s="6"/>
      <c r="Z3672" s="4"/>
      <c r="AA3672"/>
      <c r="AB3672"/>
    </row>
    <row r="3673" spans="1:28" s="3" customFormat="1" x14ac:dyDescent="0.15">
      <c r="A3673" s="166"/>
      <c r="B3673" s="82"/>
      <c r="C3673" s="70"/>
      <c r="D3673" s="70"/>
      <c r="E3673" s="70"/>
      <c r="F3673" s="70"/>
      <c r="G3673" s="70"/>
      <c r="H3673" s="93"/>
      <c r="I3673" s="85"/>
      <c r="J3673" s="85"/>
      <c r="K3673" s="131"/>
      <c r="L3673" s="60"/>
      <c r="M3673" s="33"/>
      <c r="N3673" s="37"/>
      <c r="O3673" s="37"/>
      <c r="P3673" s="37"/>
      <c r="Q3673" s="6"/>
      <c r="R3673" s="6"/>
      <c r="Z3673" s="4"/>
      <c r="AA3673"/>
      <c r="AB3673"/>
    </row>
    <row r="3674" spans="1:28" s="3" customFormat="1" x14ac:dyDescent="0.15">
      <c r="A3674" s="166"/>
      <c r="B3674" s="82"/>
      <c r="C3674" s="70"/>
      <c r="D3674" s="70"/>
      <c r="E3674" s="70"/>
      <c r="F3674" s="70"/>
      <c r="G3674" s="70"/>
      <c r="H3674" s="93"/>
      <c r="I3674" s="85"/>
      <c r="J3674" s="85"/>
      <c r="K3674" s="131"/>
      <c r="L3674" s="60"/>
      <c r="M3674" s="49"/>
      <c r="N3674" s="37"/>
      <c r="O3674" s="37"/>
      <c r="P3674" s="37"/>
      <c r="Q3674" s="6"/>
      <c r="R3674" s="6"/>
      <c r="Z3674" s="4"/>
      <c r="AA3674"/>
      <c r="AB3674"/>
    </row>
    <row r="3675" spans="1:28" s="3" customFormat="1" x14ac:dyDescent="0.15">
      <c r="A3675" s="166"/>
      <c r="B3675" s="82"/>
      <c r="C3675" s="70"/>
      <c r="D3675" s="70"/>
      <c r="E3675" s="70"/>
      <c r="F3675" s="70"/>
      <c r="G3675" s="70"/>
      <c r="H3675" s="93"/>
      <c r="I3675" s="85"/>
      <c r="J3675" s="85"/>
      <c r="K3675" s="131"/>
      <c r="L3675" s="60"/>
      <c r="M3675" s="49"/>
      <c r="N3675" s="37"/>
      <c r="O3675" s="37"/>
      <c r="P3675" s="37"/>
      <c r="Q3675" s="6"/>
      <c r="R3675" s="6"/>
      <c r="Z3675" s="4"/>
      <c r="AA3675"/>
      <c r="AB3675"/>
    </row>
    <row r="3676" spans="1:28" s="3" customFormat="1" x14ac:dyDescent="0.15">
      <c r="A3676" s="166"/>
      <c r="B3676" s="82"/>
      <c r="C3676" s="70"/>
      <c r="D3676" s="70"/>
      <c r="E3676" s="70"/>
      <c r="F3676" s="70"/>
      <c r="G3676" s="70"/>
      <c r="H3676" s="93"/>
      <c r="I3676" s="85"/>
      <c r="J3676" s="85"/>
      <c r="K3676" s="131"/>
      <c r="L3676" s="60"/>
      <c r="M3676" s="49"/>
      <c r="N3676" s="37"/>
      <c r="O3676" s="37"/>
      <c r="P3676" s="37"/>
      <c r="Q3676" s="6"/>
      <c r="R3676" s="6"/>
      <c r="Z3676" s="4"/>
      <c r="AA3676"/>
      <c r="AB3676"/>
    </row>
    <row r="3677" spans="1:28" s="3" customFormat="1" x14ac:dyDescent="0.15">
      <c r="A3677" s="166"/>
      <c r="B3677" s="82"/>
      <c r="C3677" s="70"/>
      <c r="D3677" s="70"/>
      <c r="E3677" s="70"/>
      <c r="F3677" s="70"/>
      <c r="G3677" s="70"/>
      <c r="H3677" s="93"/>
      <c r="I3677" s="85"/>
      <c r="J3677" s="85"/>
      <c r="K3677" s="131"/>
      <c r="L3677" s="60"/>
      <c r="M3677" s="49"/>
      <c r="N3677" s="37"/>
      <c r="O3677" s="37"/>
      <c r="P3677" s="37"/>
      <c r="Q3677" s="6"/>
      <c r="R3677" s="6"/>
      <c r="Z3677" s="4"/>
      <c r="AA3677"/>
      <c r="AB3677"/>
    </row>
    <row r="3678" spans="1:28" s="3" customFormat="1" x14ac:dyDescent="0.15">
      <c r="A3678" s="166"/>
      <c r="B3678" s="82"/>
      <c r="C3678" s="70"/>
      <c r="D3678" s="70"/>
      <c r="E3678" s="70"/>
      <c r="F3678" s="70"/>
      <c r="G3678" s="70"/>
      <c r="H3678" s="93"/>
      <c r="I3678" s="85"/>
      <c r="J3678" s="85"/>
      <c r="K3678" s="131"/>
      <c r="L3678" s="60"/>
      <c r="M3678" s="49"/>
      <c r="N3678" s="37"/>
      <c r="O3678" s="37"/>
      <c r="P3678" s="37"/>
      <c r="Q3678" s="6"/>
      <c r="R3678" s="6"/>
      <c r="Z3678" s="4"/>
      <c r="AA3678"/>
      <c r="AB3678"/>
    </row>
    <row r="3679" spans="1:28" s="3" customFormat="1" x14ac:dyDescent="0.15">
      <c r="A3679" s="166"/>
      <c r="B3679" s="82"/>
      <c r="C3679" s="70"/>
      <c r="D3679" s="70"/>
      <c r="E3679" s="70"/>
      <c r="F3679" s="70"/>
      <c r="G3679" s="70"/>
      <c r="H3679" s="93"/>
      <c r="I3679" s="85"/>
      <c r="J3679" s="85"/>
      <c r="K3679" s="131"/>
      <c r="L3679" s="60"/>
      <c r="M3679" s="49"/>
      <c r="N3679" s="37"/>
      <c r="O3679" s="37"/>
      <c r="P3679" s="37"/>
      <c r="Q3679"/>
      <c r="R3679"/>
      <c r="Z3679" s="4"/>
      <c r="AA3679"/>
      <c r="AB3679"/>
    </row>
    <row r="3680" spans="1:28" s="3" customFormat="1" x14ac:dyDescent="0.15">
      <c r="A3680" s="166"/>
      <c r="B3680" s="82"/>
      <c r="C3680" s="70"/>
      <c r="D3680" s="70"/>
      <c r="E3680" s="70"/>
      <c r="F3680" s="70"/>
      <c r="G3680" s="70"/>
      <c r="H3680" s="93"/>
      <c r="I3680" s="85"/>
      <c r="J3680" s="85"/>
      <c r="K3680" s="131"/>
      <c r="L3680" s="60"/>
      <c r="M3680" s="33"/>
      <c r="N3680" s="37"/>
      <c r="O3680" s="37"/>
      <c r="P3680" s="37"/>
      <c r="Q3680"/>
      <c r="R3680"/>
      <c r="Z3680" s="4"/>
      <c r="AA3680"/>
      <c r="AB3680"/>
    </row>
    <row r="3681" spans="1:28" s="3" customFormat="1" x14ac:dyDescent="0.15">
      <c r="A3681" s="166"/>
      <c r="B3681" s="82"/>
      <c r="C3681" s="70"/>
      <c r="D3681" s="70"/>
      <c r="E3681" s="70"/>
      <c r="F3681" s="70"/>
      <c r="G3681" s="70"/>
      <c r="H3681" s="93"/>
      <c r="I3681" s="85"/>
      <c r="J3681" s="85"/>
      <c r="K3681" s="131"/>
      <c r="L3681" s="60"/>
      <c r="M3681" s="33"/>
      <c r="N3681" s="37"/>
      <c r="O3681" s="37"/>
      <c r="P3681" s="37"/>
      <c r="Q3681"/>
      <c r="R3681"/>
      <c r="Z3681" s="4"/>
      <c r="AA3681"/>
      <c r="AB3681"/>
    </row>
    <row r="3682" spans="1:28" s="3" customFormat="1" x14ac:dyDescent="0.15">
      <c r="A3682" s="166"/>
      <c r="B3682" s="93"/>
      <c r="C3682" s="70"/>
      <c r="D3682" s="70"/>
      <c r="E3682" s="70"/>
      <c r="F3682" s="70"/>
      <c r="G3682" s="70"/>
      <c r="H3682" s="93"/>
      <c r="I3682" s="85"/>
      <c r="J3682" s="85"/>
      <c r="K3682" s="131"/>
      <c r="L3682" s="60"/>
      <c r="M3682" s="33"/>
      <c r="N3682" s="37"/>
      <c r="O3682" s="37"/>
      <c r="P3682" s="37"/>
      <c r="Q3682"/>
      <c r="R3682"/>
      <c r="Z3682" s="4"/>
      <c r="AA3682"/>
      <c r="AB3682"/>
    </row>
    <row r="3683" spans="1:28" s="3" customFormat="1" ht="16" x14ac:dyDescent="0.2">
      <c r="A3683" s="166"/>
      <c r="B3683" s="93"/>
      <c r="C3683" s="70"/>
      <c r="D3683" s="70"/>
      <c r="E3683" s="70"/>
      <c r="F3683" s="70"/>
      <c r="G3683" s="70"/>
      <c r="H3683" s="93"/>
      <c r="I3683" s="85"/>
      <c r="J3683" s="85"/>
      <c r="K3683" s="131"/>
      <c r="L3683" s="60"/>
      <c r="M3683" s="33"/>
      <c r="N3683" s="48"/>
      <c r="O3683" s="37"/>
      <c r="P3683" s="37"/>
      <c r="Q3683"/>
      <c r="R3683"/>
      <c r="Z3683" s="4"/>
      <c r="AA3683"/>
      <c r="AB3683"/>
    </row>
    <row r="3684" spans="1:28" s="3" customFormat="1" x14ac:dyDescent="0.15">
      <c r="A3684" s="166"/>
      <c r="B3684" s="82"/>
      <c r="C3684" s="70"/>
      <c r="D3684" s="70"/>
      <c r="E3684" s="70"/>
      <c r="F3684" s="70"/>
      <c r="G3684" s="70"/>
      <c r="H3684" s="93"/>
      <c r="I3684" s="85"/>
      <c r="J3684" s="85"/>
      <c r="K3684" s="131"/>
      <c r="L3684" s="60"/>
      <c r="M3684" s="49"/>
      <c r="N3684" s="37"/>
      <c r="O3684" s="37"/>
      <c r="P3684" s="37"/>
      <c r="Q3684"/>
      <c r="R3684"/>
      <c r="Z3684" s="4"/>
      <c r="AA3684"/>
      <c r="AB3684"/>
    </row>
    <row r="3685" spans="1:28" s="3" customFormat="1" x14ac:dyDescent="0.15">
      <c r="A3685" s="166"/>
      <c r="B3685" s="93"/>
      <c r="C3685" s="70"/>
      <c r="D3685" s="70"/>
      <c r="E3685" s="70"/>
      <c r="F3685" s="70"/>
      <c r="G3685" s="70"/>
      <c r="H3685" s="93"/>
      <c r="I3685" s="85"/>
      <c r="J3685" s="85"/>
      <c r="K3685" s="131"/>
      <c r="L3685" s="60"/>
      <c r="M3685" s="33"/>
      <c r="N3685" s="37"/>
      <c r="O3685" s="37"/>
      <c r="P3685" s="37"/>
      <c r="Q3685"/>
      <c r="R3685"/>
      <c r="Z3685" s="4"/>
      <c r="AA3685"/>
      <c r="AB3685"/>
    </row>
    <row r="3686" spans="1:28" s="3" customFormat="1" x14ac:dyDescent="0.15">
      <c r="A3686" s="166"/>
      <c r="B3686" s="82"/>
      <c r="C3686" s="70"/>
      <c r="D3686" s="70"/>
      <c r="E3686" s="70"/>
      <c r="F3686" s="70"/>
      <c r="G3686" s="70"/>
      <c r="H3686" s="93"/>
      <c r="I3686" s="85"/>
      <c r="J3686" s="85"/>
      <c r="K3686" s="131"/>
      <c r="L3686" s="60"/>
      <c r="M3686" s="49"/>
      <c r="N3686" s="37"/>
      <c r="O3686" s="37"/>
      <c r="P3686" s="37"/>
      <c r="Q3686"/>
      <c r="R3686"/>
      <c r="Z3686" s="4"/>
      <c r="AA3686"/>
      <c r="AB3686"/>
    </row>
    <row r="3687" spans="1:28" s="3" customFormat="1" x14ac:dyDescent="0.15">
      <c r="A3687" s="166"/>
      <c r="B3687" s="82"/>
      <c r="C3687" s="70"/>
      <c r="D3687" s="70"/>
      <c r="E3687" s="70"/>
      <c r="F3687" s="70"/>
      <c r="G3687" s="70"/>
      <c r="H3687" s="93"/>
      <c r="I3687" s="85"/>
      <c r="J3687" s="85"/>
      <c r="K3687" s="131"/>
      <c r="L3687" s="60"/>
      <c r="M3687" s="49"/>
      <c r="N3687" s="37"/>
      <c r="O3687" s="37"/>
      <c r="P3687" s="37"/>
      <c r="Q3687"/>
      <c r="R3687"/>
      <c r="Z3687" s="4"/>
      <c r="AA3687"/>
      <c r="AB3687"/>
    </row>
    <row r="3688" spans="1:28" s="3" customFormat="1" x14ac:dyDescent="0.15">
      <c r="A3688" s="166"/>
      <c r="B3688" s="82"/>
      <c r="C3688" s="70"/>
      <c r="D3688" s="70"/>
      <c r="E3688" s="70"/>
      <c r="F3688" s="70"/>
      <c r="G3688" s="70"/>
      <c r="H3688" s="93"/>
      <c r="I3688" s="85"/>
      <c r="J3688" s="85"/>
      <c r="K3688" s="131"/>
      <c r="L3688" s="60"/>
      <c r="M3688" s="49"/>
      <c r="N3688" s="37"/>
      <c r="O3688" s="37"/>
      <c r="P3688" s="37"/>
      <c r="Q3688"/>
      <c r="R3688"/>
      <c r="Z3688" s="4"/>
      <c r="AA3688"/>
      <c r="AB3688"/>
    </row>
    <row r="3689" spans="1:28" s="3" customFormat="1" x14ac:dyDescent="0.15">
      <c r="A3689" s="166"/>
      <c r="B3689" s="93"/>
      <c r="C3689" s="70"/>
      <c r="D3689" s="70"/>
      <c r="E3689" s="70"/>
      <c r="F3689" s="70"/>
      <c r="G3689" s="70"/>
      <c r="H3689" s="93"/>
      <c r="I3689" s="85"/>
      <c r="J3689" s="85"/>
      <c r="K3689" s="131"/>
      <c r="L3689" s="60"/>
      <c r="M3689" s="33"/>
      <c r="N3689" s="37"/>
      <c r="O3689" s="37"/>
      <c r="P3689" s="37"/>
      <c r="Z3689" s="4"/>
      <c r="AA3689"/>
      <c r="AB3689"/>
    </row>
    <row r="3690" spans="1:28" s="3" customFormat="1" x14ac:dyDescent="0.15">
      <c r="A3690" s="166"/>
      <c r="B3690" s="93"/>
      <c r="C3690" s="70"/>
      <c r="D3690" s="70"/>
      <c r="E3690" s="70"/>
      <c r="F3690" s="70"/>
      <c r="G3690" s="70"/>
      <c r="H3690" s="93"/>
      <c r="I3690" s="85"/>
      <c r="J3690" s="85"/>
      <c r="K3690" s="131"/>
      <c r="L3690" s="60"/>
      <c r="M3690" s="33"/>
      <c r="N3690" s="37"/>
      <c r="O3690" s="37"/>
      <c r="P3690" s="37"/>
      <c r="Z3690" s="4"/>
      <c r="AA3690"/>
      <c r="AB3690"/>
    </row>
    <row r="3691" spans="1:28" s="3" customFormat="1" x14ac:dyDescent="0.15">
      <c r="A3691" s="166"/>
      <c r="B3691" s="93"/>
      <c r="C3691" s="70"/>
      <c r="D3691" s="70"/>
      <c r="E3691" s="70"/>
      <c r="F3691" s="70"/>
      <c r="G3691" s="70"/>
      <c r="H3691" s="93"/>
      <c r="I3691" s="85"/>
      <c r="J3691" s="85"/>
      <c r="K3691" s="131"/>
      <c r="L3691" s="60"/>
      <c r="M3691" s="33"/>
      <c r="N3691" s="37"/>
      <c r="O3691" s="37"/>
      <c r="P3691" s="37"/>
      <c r="Z3691" s="4"/>
      <c r="AA3691"/>
      <c r="AB3691"/>
    </row>
    <row r="3692" spans="1:28" s="3" customFormat="1" x14ac:dyDescent="0.15">
      <c r="A3692" s="166"/>
      <c r="B3692" s="82"/>
      <c r="C3692" s="70"/>
      <c r="D3692" s="70"/>
      <c r="E3692" s="70"/>
      <c r="F3692" s="70"/>
      <c r="G3692" s="70"/>
      <c r="H3692" s="93"/>
      <c r="I3692" s="85"/>
      <c r="J3692" s="85"/>
      <c r="K3692" s="131"/>
      <c r="L3692" s="60"/>
      <c r="M3692" s="49"/>
      <c r="N3692" s="37"/>
      <c r="O3692" s="37"/>
      <c r="P3692" s="37"/>
      <c r="Z3692" s="4"/>
      <c r="AA3692"/>
      <c r="AB3692"/>
    </row>
    <row r="3693" spans="1:28" s="3" customFormat="1" x14ac:dyDescent="0.15">
      <c r="A3693" s="166"/>
      <c r="B3693" s="82"/>
      <c r="C3693" s="70"/>
      <c r="D3693" s="70"/>
      <c r="E3693" s="70"/>
      <c r="F3693" s="70"/>
      <c r="G3693" s="70"/>
      <c r="H3693" s="93"/>
      <c r="I3693" s="85"/>
      <c r="J3693" s="85"/>
      <c r="K3693" s="131"/>
      <c r="L3693" s="60"/>
      <c r="M3693" s="49"/>
      <c r="N3693" s="37"/>
      <c r="O3693" s="37"/>
      <c r="P3693" s="37"/>
      <c r="Z3693" s="4"/>
      <c r="AA3693"/>
      <c r="AB3693"/>
    </row>
    <row r="3694" spans="1:28" ht="16" x14ac:dyDescent="0.2">
      <c r="A3694" s="166"/>
      <c r="B3694" s="82"/>
      <c r="C3694" s="70"/>
      <c r="D3694" s="70"/>
      <c r="E3694" s="70"/>
      <c r="F3694" s="70"/>
      <c r="G3694" s="70"/>
      <c r="H3694" s="93"/>
      <c r="I3694" s="85"/>
      <c r="J3694" s="85"/>
      <c r="K3694" s="131"/>
      <c r="L3694" s="60"/>
      <c r="N3694" s="48"/>
    </row>
    <row r="3695" spans="1:28" x14ac:dyDescent="0.15">
      <c r="A3695" s="166"/>
      <c r="B3695" s="93"/>
      <c r="C3695" s="70"/>
      <c r="D3695" s="70"/>
      <c r="E3695" s="70"/>
      <c r="F3695" s="70"/>
      <c r="G3695" s="70"/>
      <c r="H3695" s="93"/>
      <c r="I3695" s="85"/>
      <c r="J3695" s="85"/>
      <c r="K3695" s="131"/>
      <c r="L3695" s="60"/>
      <c r="M3695" s="33"/>
    </row>
    <row r="3696" spans="1:28" x14ac:dyDescent="0.15">
      <c r="A3696" s="166"/>
      <c r="B3696" s="93"/>
      <c r="C3696" s="73"/>
      <c r="D3696" s="73"/>
      <c r="E3696" s="70"/>
      <c r="F3696" s="73"/>
      <c r="G3696" s="73"/>
      <c r="H3696" s="108"/>
      <c r="I3696" s="85"/>
      <c r="J3696" s="95"/>
      <c r="K3696" s="131"/>
      <c r="L3696" s="60"/>
      <c r="M3696" s="33"/>
      <c r="S3696"/>
      <c r="T3696"/>
      <c r="U3696"/>
      <c r="V3696"/>
      <c r="W3696"/>
      <c r="X3696"/>
      <c r="Y3696"/>
      <c r="Z3696"/>
    </row>
    <row r="3697" spans="1:28" x14ac:dyDescent="0.15">
      <c r="A3697" s="166"/>
      <c r="B3697" s="93"/>
      <c r="C3697" s="73"/>
      <c r="D3697" s="73"/>
      <c r="E3697" s="70"/>
      <c r="F3697" s="73"/>
      <c r="G3697" s="73"/>
      <c r="H3697" s="108"/>
      <c r="I3697" s="85"/>
      <c r="J3697" s="95"/>
      <c r="K3697" s="131"/>
      <c r="L3697" s="60"/>
      <c r="M3697" s="33"/>
    </row>
    <row r="3698" spans="1:28" x14ac:dyDescent="0.15">
      <c r="A3698" s="166"/>
      <c r="B3698" s="82"/>
      <c r="C3698" s="70"/>
      <c r="D3698" s="70"/>
      <c r="E3698" s="70"/>
      <c r="F3698" s="70"/>
      <c r="G3698" s="70"/>
      <c r="H3698" s="93"/>
      <c r="I3698" s="85"/>
      <c r="J3698" s="85"/>
      <c r="K3698" s="131"/>
      <c r="L3698" s="60"/>
    </row>
    <row r="3699" spans="1:28" x14ac:dyDescent="0.15">
      <c r="A3699" s="166"/>
      <c r="B3699" s="82"/>
      <c r="C3699" s="70"/>
      <c r="D3699" s="70"/>
      <c r="E3699" s="70"/>
      <c r="F3699" s="70"/>
      <c r="G3699" s="70"/>
      <c r="H3699" s="93"/>
      <c r="I3699" s="85"/>
      <c r="J3699" s="85"/>
      <c r="K3699" s="131"/>
      <c r="L3699" s="60"/>
    </row>
    <row r="3700" spans="1:28" ht="16" x14ac:dyDescent="0.2">
      <c r="A3700" s="166"/>
      <c r="B3700" s="82"/>
      <c r="C3700" s="70"/>
      <c r="D3700" s="70"/>
      <c r="E3700" s="70"/>
      <c r="F3700" s="70"/>
      <c r="G3700" s="70"/>
      <c r="H3700" s="93"/>
      <c r="I3700" s="85"/>
      <c r="J3700" s="85"/>
      <c r="K3700" s="131"/>
      <c r="L3700" s="60"/>
      <c r="N3700" s="48"/>
      <c r="S3700"/>
      <c r="T3700"/>
      <c r="U3700"/>
      <c r="V3700"/>
      <c r="W3700"/>
      <c r="X3700"/>
      <c r="Y3700"/>
      <c r="Z3700"/>
    </row>
    <row r="3701" spans="1:28" x14ac:dyDescent="0.15">
      <c r="A3701" s="166"/>
      <c r="B3701" s="82"/>
      <c r="C3701" s="70"/>
      <c r="D3701" s="70"/>
      <c r="E3701" s="70"/>
      <c r="F3701" s="70"/>
      <c r="G3701" s="70"/>
      <c r="H3701" s="93"/>
      <c r="I3701" s="85"/>
      <c r="J3701" s="85"/>
      <c r="K3701" s="131"/>
      <c r="L3701" s="60"/>
    </row>
    <row r="3702" spans="1:28" x14ac:dyDescent="0.15">
      <c r="A3702" s="166"/>
      <c r="B3702" s="82"/>
      <c r="C3702" s="70"/>
      <c r="D3702" s="70"/>
      <c r="E3702" s="70"/>
      <c r="F3702" s="70"/>
      <c r="G3702" s="70"/>
      <c r="H3702" s="93"/>
      <c r="I3702" s="85"/>
      <c r="J3702" s="85"/>
      <c r="K3702" s="131"/>
      <c r="L3702" s="67"/>
    </row>
    <row r="3703" spans="1:28" x14ac:dyDescent="0.15">
      <c r="A3703" s="166"/>
      <c r="B3703" s="82"/>
      <c r="C3703" s="70"/>
      <c r="D3703" s="70"/>
      <c r="E3703" s="70"/>
      <c r="F3703" s="70"/>
      <c r="G3703" s="70"/>
      <c r="H3703" s="93"/>
      <c r="I3703" s="85"/>
      <c r="J3703" s="85"/>
      <c r="K3703" s="131"/>
      <c r="L3703" s="60"/>
      <c r="Q3703" s="6"/>
      <c r="R3703" s="6"/>
    </row>
    <row r="3704" spans="1:28" x14ac:dyDescent="0.15">
      <c r="A3704" s="166"/>
      <c r="B3704" s="82"/>
      <c r="C3704" s="70"/>
      <c r="D3704" s="70"/>
      <c r="E3704" s="70"/>
      <c r="F3704" s="70"/>
      <c r="G3704" s="70"/>
      <c r="H3704" s="93"/>
      <c r="I3704" s="85"/>
      <c r="J3704" s="85"/>
      <c r="K3704" s="131"/>
      <c r="L3704" s="60"/>
    </row>
    <row r="3705" spans="1:28" x14ac:dyDescent="0.15">
      <c r="A3705" s="166"/>
      <c r="B3705" s="82"/>
      <c r="C3705" s="70"/>
      <c r="D3705" s="70"/>
      <c r="E3705" s="70"/>
      <c r="F3705" s="70"/>
      <c r="G3705" s="70"/>
      <c r="H3705" s="93"/>
      <c r="I3705" s="85"/>
      <c r="J3705" s="85"/>
      <c r="K3705" s="131"/>
      <c r="L3705" s="60"/>
    </row>
    <row r="3706" spans="1:28" x14ac:dyDescent="0.15">
      <c r="A3706" s="166"/>
      <c r="B3706" s="82"/>
      <c r="C3706" s="70"/>
      <c r="D3706" s="70"/>
      <c r="E3706" s="70"/>
      <c r="F3706" s="70"/>
      <c r="G3706" s="70"/>
      <c r="H3706" s="93"/>
      <c r="I3706" s="85"/>
      <c r="J3706" s="85"/>
      <c r="K3706" s="131"/>
      <c r="L3706" s="60"/>
    </row>
    <row r="3707" spans="1:28" x14ac:dyDescent="0.15">
      <c r="A3707" s="166"/>
      <c r="B3707" s="82"/>
      <c r="C3707" s="73"/>
      <c r="D3707" s="73"/>
      <c r="E3707" s="70"/>
      <c r="F3707" s="73"/>
      <c r="G3707" s="73"/>
      <c r="H3707" s="108"/>
      <c r="I3707" s="85"/>
      <c r="J3707" s="95"/>
      <c r="K3707" s="131"/>
      <c r="L3707" s="60"/>
      <c r="M3707" s="33"/>
    </row>
    <row r="3708" spans="1:28" ht="16" x14ac:dyDescent="0.2">
      <c r="A3708" s="166"/>
      <c r="B3708" s="93"/>
      <c r="C3708" s="70"/>
      <c r="D3708" s="70"/>
      <c r="E3708" s="70"/>
      <c r="F3708" s="70"/>
      <c r="G3708" s="70"/>
      <c r="H3708" s="93"/>
      <c r="I3708" s="85"/>
      <c r="J3708" s="85"/>
      <c r="K3708" s="131"/>
      <c r="L3708" s="60"/>
      <c r="N3708" s="48"/>
    </row>
    <row r="3709" spans="1:28" ht="16" x14ac:dyDescent="0.2">
      <c r="A3709" s="166"/>
      <c r="B3709" s="93"/>
      <c r="C3709" s="70"/>
      <c r="D3709" s="70"/>
      <c r="E3709" s="70"/>
      <c r="F3709" s="70"/>
      <c r="G3709" s="70"/>
      <c r="H3709" s="93"/>
      <c r="I3709" s="85"/>
      <c r="J3709" s="85"/>
      <c r="K3709" s="131"/>
      <c r="L3709" s="60"/>
      <c r="M3709" s="33"/>
      <c r="N3709" s="48"/>
      <c r="P3709" s="35"/>
    </row>
    <row r="3710" spans="1:28" s="37" customFormat="1" x14ac:dyDescent="0.15">
      <c r="A3710" s="166"/>
      <c r="B3710" s="93"/>
      <c r="C3710" s="73"/>
      <c r="D3710" s="73"/>
      <c r="E3710" s="70"/>
      <c r="F3710" s="73"/>
      <c r="G3710" s="73"/>
      <c r="H3710" s="108"/>
      <c r="I3710" s="85"/>
      <c r="J3710" s="95"/>
      <c r="K3710" s="131"/>
      <c r="L3710" s="60"/>
      <c r="M3710" s="33"/>
      <c r="Q3710" s="3"/>
      <c r="R3710" s="3"/>
      <c r="S3710" s="3"/>
      <c r="T3710" s="3"/>
      <c r="U3710" s="3"/>
      <c r="V3710" s="3"/>
      <c r="W3710" s="3"/>
      <c r="X3710" s="3"/>
      <c r="Y3710" s="3"/>
      <c r="Z3710" s="4"/>
      <c r="AA3710"/>
      <c r="AB3710"/>
    </row>
    <row r="3711" spans="1:28" s="37" customFormat="1" x14ac:dyDescent="0.15">
      <c r="A3711" s="166"/>
      <c r="B3711" s="93"/>
      <c r="C3711" s="70"/>
      <c r="D3711" s="70"/>
      <c r="E3711" s="70"/>
      <c r="F3711" s="70"/>
      <c r="G3711" s="70"/>
      <c r="H3711" s="93"/>
      <c r="I3711" s="85"/>
      <c r="J3711" s="85"/>
      <c r="K3711" s="131"/>
      <c r="L3711" s="60"/>
      <c r="M3711" s="33"/>
      <c r="Q3711" s="3"/>
      <c r="R3711" s="3"/>
      <c r="S3711" s="3"/>
      <c r="T3711" s="3"/>
      <c r="U3711" s="3"/>
      <c r="V3711" s="3"/>
      <c r="W3711" s="3"/>
      <c r="X3711" s="3"/>
      <c r="Y3711" s="3"/>
      <c r="Z3711" s="4"/>
      <c r="AA3711"/>
      <c r="AB3711"/>
    </row>
    <row r="3712" spans="1:28" s="37" customFormat="1" x14ac:dyDescent="0.15">
      <c r="A3712" s="166"/>
      <c r="B3712" s="82"/>
      <c r="C3712" s="70"/>
      <c r="D3712" s="70"/>
      <c r="E3712" s="70"/>
      <c r="F3712" s="70"/>
      <c r="G3712" s="70"/>
      <c r="H3712" s="93"/>
      <c r="I3712" s="85"/>
      <c r="J3712" s="85"/>
      <c r="K3712" s="131"/>
      <c r="L3712" s="60"/>
      <c r="M3712" s="33"/>
      <c r="Q3712" s="3"/>
      <c r="R3712" s="3"/>
      <c r="S3712" s="3"/>
      <c r="T3712" s="3"/>
      <c r="U3712" s="3"/>
      <c r="V3712" s="3"/>
      <c r="W3712" s="3"/>
      <c r="X3712" s="3"/>
      <c r="Y3712" s="3"/>
      <c r="Z3712" s="4"/>
      <c r="AA3712"/>
      <c r="AB3712"/>
    </row>
    <row r="3713" spans="1:28" s="37" customFormat="1" x14ac:dyDescent="0.15">
      <c r="A3713" s="166"/>
      <c r="B3713" s="93"/>
      <c r="C3713" s="73"/>
      <c r="D3713" s="73"/>
      <c r="E3713" s="70"/>
      <c r="F3713" s="73"/>
      <c r="G3713" s="73"/>
      <c r="H3713" s="108"/>
      <c r="I3713" s="85"/>
      <c r="J3713" s="95"/>
      <c r="K3713" s="131"/>
      <c r="L3713" s="60"/>
      <c r="M3713" s="33"/>
      <c r="Q3713" s="3"/>
      <c r="R3713" s="3"/>
      <c r="S3713" s="3"/>
      <c r="T3713" s="3"/>
      <c r="U3713" s="3"/>
      <c r="V3713" s="3"/>
      <c r="W3713" s="3"/>
      <c r="X3713" s="3"/>
      <c r="Y3713" s="3"/>
      <c r="Z3713" s="4"/>
      <c r="AA3713"/>
      <c r="AB3713"/>
    </row>
    <row r="3714" spans="1:28" s="37" customFormat="1" x14ac:dyDescent="0.15">
      <c r="A3714" s="166"/>
      <c r="B3714" s="93"/>
      <c r="C3714" s="70"/>
      <c r="D3714" s="70"/>
      <c r="E3714" s="70"/>
      <c r="F3714" s="70"/>
      <c r="G3714" s="70"/>
      <c r="H3714" s="93"/>
      <c r="I3714" s="85"/>
      <c r="J3714" s="85"/>
      <c r="K3714" s="131"/>
      <c r="L3714" s="60"/>
      <c r="M3714" s="33"/>
      <c r="Q3714" s="3"/>
      <c r="R3714" s="3"/>
      <c r="S3714" s="3"/>
      <c r="T3714" s="3"/>
      <c r="U3714" s="3"/>
      <c r="V3714" s="3"/>
      <c r="W3714" s="3"/>
      <c r="X3714" s="3"/>
      <c r="Y3714" s="3"/>
      <c r="Z3714" s="4"/>
      <c r="AA3714"/>
      <c r="AB3714"/>
    </row>
    <row r="3715" spans="1:28" s="37" customFormat="1" x14ac:dyDescent="0.15">
      <c r="A3715" s="166"/>
      <c r="B3715" s="93"/>
      <c r="C3715" s="70"/>
      <c r="D3715" s="70"/>
      <c r="E3715" s="70"/>
      <c r="F3715" s="70"/>
      <c r="G3715" s="70"/>
      <c r="H3715" s="93"/>
      <c r="I3715" s="85"/>
      <c r="J3715" s="85"/>
      <c r="K3715" s="131"/>
      <c r="L3715" s="60"/>
      <c r="M3715" s="33"/>
      <c r="Q3715" s="3"/>
      <c r="R3715" s="3"/>
      <c r="S3715" s="3"/>
      <c r="T3715" s="3"/>
      <c r="U3715" s="3"/>
      <c r="V3715" s="3"/>
      <c r="W3715" s="3"/>
      <c r="X3715" s="3"/>
      <c r="Y3715" s="3"/>
      <c r="Z3715" s="4"/>
      <c r="AA3715"/>
      <c r="AB3715"/>
    </row>
    <row r="3716" spans="1:28" s="37" customFormat="1" x14ac:dyDescent="0.15">
      <c r="A3716" s="166"/>
      <c r="B3716" s="93"/>
      <c r="C3716" s="73"/>
      <c r="D3716" s="73"/>
      <c r="E3716" s="70"/>
      <c r="F3716" s="73"/>
      <c r="G3716" s="73"/>
      <c r="H3716" s="108"/>
      <c r="I3716" s="85"/>
      <c r="J3716" s="95"/>
      <c r="K3716" s="131"/>
      <c r="L3716" s="60"/>
      <c r="M3716" s="33"/>
      <c r="Q3716" s="3"/>
      <c r="R3716" s="3"/>
      <c r="S3716" s="3"/>
      <c r="T3716" s="3"/>
      <c r="U3716" s="3"/>
      <c r="V3716" s="3"/>
      <c r="W3716" s="3"/>
      <c r="X3716" s="3"/>
      <c r="Y3716" s="3"/>
      <c r="Z3716" s="4"/>
      <c r="AA3716"/>
      <c r="AB3716"/>
    </row>
    <row r="3717" spans="1:28" s="37" customFormat="1" x14ac:dyDescent="0.15">
      <c r="A3717" s="166"/>
      <c r="B3717" s="93"/>
      <c r="C3717" s="70"/>
      <c r="D3717" s="70"/>
      <c r="E3717" s="70"/>
      <c r="F3717" s="70"/>
      <c r="G3717" s="70"/>
      <c r="H3717" s="93"/>
      <c r="I3717" s="85"/>
      <c r="J3717" s="85"/>
      <c r="K3717" s="131"/>
      <c r="L3717" s="60"/>
      <c r="M3717" s="33"/>
      <c r="Q3717" s="3"/>
      <c r="R3717" s="3"/>
      <c r="S3717" s="3"/>
      <c r="T3717" s="3"/>
      <c r="U3717" s="3"/>
      <c r="V3717" s="3"/>
      <c r="W3717" s="3"/>
      <c r="X3717" s="3"/>
      <c r="Y3717" s="3"/>
      <c r="Z3717" s="4"/>
      <c r="AA3717"/>
      <c r="AB3717"/>
    </row>
    <row r="3718" spans="1:28" s="37" customFormat="1" x14ac:dyDescent="0.15">
      <c r="A3718" s="166"/>
      <c r="B3718" s="93"/>
      <c r="C3718" s="70"/>
      <c r="D3718" s="70"/>
      <c r="E3718" s="70"/>
      <c r="F3718" s="70"/>
      <c r="G3718" s="70"/>
      <c r="H3718" s="93"/>
      <c r="I3718" s="85"/>
      <c r="J3718" s="85"/>
      <c r="K3718" s="131"/>
      <c r="L3718" s="60"/>
      <c r="M3718" s="33"/>
      <c r="Q3718" s="3"/>
      <c r="R3718" s="3"/>
      <c r="S3718" s="3"/>
      <c r="T3718" s="3"/>
      <c r="U3718" s="3"/>
      <c r="V3718" s="3"/>
      <c r="W3718" s="3"/>
      <c r="X3718" s="3"/>
      <c r="Y3718" s="3"/>
      <c r="Z3718" s="4"/>
      <c r="AA3718"/>
      <c r="AB3718"/>
    </row>
    <row r="3719" spans="1:28" s="37" customFormat="1" x14ac:dyDescent="0.15">
      <c r="A3719" s="166"/>
      <c r="B3719" s="93"/>
      <c r="C3719" s="70"/>
      <c r="D3719" s="70"/>
      <c r="E3719" s="70"/>
      <c r="F3719" s="70"/>
      <c r="G3719" s="70"/>
      <c r="H3719" s="93"/>
      <c r="I3719" s="85"/>
      <c r="J3719" s="85"/>
      <c r="K3719" s="131"/>
      <c r="L3719" s="60"/>
      <c r="M3719" s="33"/>
      <c r="Q3719" s="3"/>
      <c r="R3719" s="3"/>
      <c r="S3719" s="3"/>
      <c r="T3719" s="3"/>
      <c r="U3719" s="3"/>
      <c r="V3719" s="3"/>
      <c r="W3719" s="3"/>
      <c r="X3719" s="3"/>
      <c r="Y3719" s="3"/>
      <c r="Z3719" s="4"/>
      <c r="AA3719"/>
      <c r="AB3719"/>
    </row>
    <row r="3720" spans="1:28" s="37" customFormat="1" x14ac:dyDescent="0.15">
      <c r="A3720" s="166"/>
      <c r="B3720" s="82"/>
      <c r="C3720" s="70"/>
      <c r="D3720" s="70"/>
      <c r="E3720" s="70"/>
      <c r="F3720" s="70"/>
      <c r="G3720" s="70"/>
      <c r="H3720" s="93"/>
      <c r="I3720" s="85"/>
      <c r="J3720" s="85"/>
      <c r="K3720" s="131"/>
      <c r="L3720" s="60"/>
      <c r="M3720" s="49"/>
      <c r="Q3720" s="3"/>
      <c r="R3720" s="3"/>
      <c r="S3720" s="3"/>
      <c r="T3720" s="3"/>
      <c r="U3720" s="3"/>
      <c r="V3720" s="3"/>
      <c r="W3720" s="3"/>
      <c r="X3720" s="3"/>
      <c r="Y3720" s="3"/>
      <c r="Z3720" s="4"/>
      <c r="AA3720"/>
      <c r="AB3720"/>
    </row>
    <row r="3721" spans="1:28" s="37" customFormat="1" x14ac:dyDescent="0.15">
      <c r="A3721" s="166"/>
      <c r="B3721" s="82"/>
      <c r="C3721" s="70"/>
      <c r="D3721" s="70"/>
      <c r="E3721" s="70"/>
      <c r="F3721" s="70"/>
      <c r="G3721" s="70"/>
      <c r="H3721" s="93"/>
      <c r="I3721" s="85"/>
      <c r="J3721" s="85"/>
      <c r="K3721" s="131"/>
      <c r="L3721" s="60"/>
      <c r="M3721" s="49"/>
      <c r="Q3721" s="3"/>
      <c r="R3721" s="3"/>
      <c r="S3721" s="3"/>
      <c r="T3721" s="3"/>
      <c r="U3721" s="3"/>
      <c r="V3721" s="3"/>
      <c r="W3721" s="3"/>
      <c r="X3721" s="3"/>
      <c r="Y3721" s="3"/>
      <c r="Z3721" s="4"/>
      <c r="AA3721"/>
      <c r="AB3721"/>
    </row>
    <row r="3722" spans="1:28" s="37" customFormat="1" x14ac:dyDescent="0.15">
      <c r="A3722" s="166"/>
      <c r="B3722" s="82"/>
      <c r="C3722" s="70"/>
      <c r="D3722" s="70"/>
      <c r="E3722" s="70"/>
      <c r="F3722" s="70"/>
      <c r="G3722" s="70"/>
      <c r="H3722" s="93"/>
      <c r="I3722" s="85"/>
      <c r="J3722" s="85"/>
      <c r="K3722" s="131"/>
      <c r="L3722" s="60"/>
      <c r="M3722" s="49"/>
      <c r="Q3722" s="3"/>
      <c r="R3722" s="3"/>
      <c r="S3722" s="3"/>
      <c r="T3722" s="3"/>
      <c r="U3722" s="3"/>
      <c r="V3722" s="3"/>
      <c r="W3722" s="3"/>
      <c r="X3722" s="3"/>
      <c r="Y3722" s="3"/>
      <c r="Z3722" s="4"/>
      <c r="AA3722"/>
      <c r="AB3722"/>
    </row>
    <row r="3723" spans="1:28" s="37" customFormat="1" x14ac:dyDescent="0.15">
      <c r="A3723" s="166"/>
      <c r="B3723" s="82"/>
      <c r="C3723" s="70"/>
      <c r="D3723" s="70"/>
      <c r="E3723" s="70"/>
      <c r="F3723" s="70"/>
      <c r="G3723" s="70"/>
      <c r="H3723" s="93"/>
      <c r="I3723" s="85"/>
      <c r="J3723" s="85"/>
      <c r="K3723" s="131"/>
      <c r="L3723" s="60"/>
      <c r="M3723" s="49"/>
      <c r="Q3723" s="3"/>
      <c r="R3723" s="3"/>
      <c r="S3723" s="3"/>
      <c r="T3723" s="3"/>
      <c r="U3723" s="3"/>
      <c r="V3723" s="3"/>
      <c r="W3723" s="3"/>
      <c r="X3723" s="3"/>
      <c r="Y3723" s="3"/>
      <c r="Z3723" s="4"/>
      <c r="AA3723"/>
      <c r="AB3723"/>
    </row>
    <row r="3724" spans="1:28" s="37" customFormat="1" x14ac:dyDescent="0.15">
      <c r="A3724" s="166"/>
      <c r="B3724" s="82"/>
      <c r="C3724" s="70"/>
      <c r="D3724" s="70"/>
      <c r="E3724" s="70"/>
      <c r="F3724" s="70"/>
      <c r="G3724" s="70"/>
      <c r="H3724" s="93"/>
      <c r="I3724" s="85"/>
      <c r="J3724" s="85"/>
      <c r="K3724" s="131"/>
      <c r="L3724" s="60"/>
      <c r="M3724" s="49"/>
      <c r="Q3724" s="3"/>
      <c r="R3724" s="3"/>
      <c r="S3724" s="3"/>
      <c r="T3724" s="3"/>
      <c r="U3724" s="3"/>
      <c r="V3724" s="3"/>
      <c r="W3724" s="3"/>
      <c r="X3724" s="3"/>
      <c r="Y3724" s="3"/>
      <c r="Z3724" s="4"/>
      <c r="AA3724"/>
      <c r="AB3724"/>
    </row>
    <row r="3725" spans="1:28" s="37" customFormat="1" x14ac:dyDescent="0.15">
      <c r="A3725" s="166"/>
      <c r="B3725" s="82"/>
      <c r="C3725" s="70"/>
      <c r="D3725" s="70"/>
      <c r="E3725" s="70"/>
      <c r="F3725" s="70"/>
      <c r="G3725" s="70"/>
      <c r="H3725" s="93"/>
      <c r="I3725" s="85"/>
      <c r="J3725" s="85"/>
      <c r="K3725" s="131"/>
      <c r="L3725" s="60"/>
      <c r="M3725" s="49"/>
      <c r="Q3725" s="3"/>
      <c r="R3725" s="3"/>
      <c r="S3725" s="3"/>
      <c r="T3725" s="3"/>
      <c r="U3725" s="3"/>
      <c r="V3725" s="3"/>
      <c r="W3725" s="3"/>
      <c r="X3725" s="3"/>
      <c r="Y3725" s="3"/>
      <c r="Z3725" s="4"/>
      <c r="AA3725"/>
      <c r="AB3725"/>
    </row>
    <row r="3726" spans="1:28" s="37" customFormat="1" x14ac:dyDescent="0.15">
      <c r="A3726" s="166"/>
      <c r="B3726" s="82"/>
      <c r="C3726" s="70"/>
      <c r="D3726" s="70"/>
      <c r="E3726" s="70"/>
      <c r="F3726" s="70"/>
      <c r="G3726" s="70"/>
      <c r="H3726" s="93"/>
      <c r="I3726" s="85"/>
      <c r="J3726" s="85"/>
      <c r="K3726" s="131"/>
      <c r="L3726" s="60"/>
      <c r="M3726" s="49"/>
      <c r="Q3726" s="3"/>
      <c r="R3726" s="3"/>
      <c r="S3726" s="3"/>
      <c r="T3726" s="3"/>
      <c r="U3726" s="3"/>
      <c r="V3726" s="3"/>
      <c r="W3726" s="3"/>
      <c r="X3726" s="3"/>
      <c r="Y3726" s="3"/>
      <c r="Z3726" s="4"/>
      <c r="AA3726"/>
      <c r="AB3726"/>
    </row>
    <row r="3727" spans="1:28" s="37" customFormat="1" x14ac:dyDescent="0.15">
      <c r="A3727" s="170"/>
      <c r="B3727" s="82"/>
      <c r="C3727" s="83"/>
      <c r="D3727" s="83"/>
      <c r="E3727" s="83"/>
      <c r="F3727" s="83"/>
      <c r="G3727" s="83"/>
      <c r="H3727" s="82"/>
      <c r="I3727" s="85"/>
      <c r="J3727" s="84"/>
      <c r="K3727" s="136"/>
      <c r="L3727" s="69"/>
      <c r="M3727" s="49"/>
      <c r="Q3727" s="3"/>
      <c r="R3727" s="3"/>
      <c r="S3727" s="3"/>
      <c r="T3727" s="3"/>
      <c r="U3727" s="3"/>
      <c r="V3727" s="3"/>
      <c r="W3727" s="3"/>
      <c r="X3727" s="3"/>
      <c r="Y3727" s="3"/>
      <c r="Z3727" s="4"/>
      <c r="AA3727"/>
      <c r="AB3727"/>
    </row>
    <row r="3728" spans="1:28" s="37" customFormat="1" x14ac:dyDescent="0.15">
      <c r="A3728" s="166"/>
      <c r="B3728" s="82"/>
      <c r="C3728" s="70"/>
      <c r="D3728" s="70"/>
      <c r="E3728" s="70"/>
      <c r="F3728" s="70"/>
      <c r="G3728" s="70"/>
      <c r="H3728" s="93"/>
      <c r="I3728" s="85"/>
      <c r="J3728" s="85"/>
      <c r="K3728" s="131"/>
      <c r="L3728" s="60"/>
      <c r="M3728" s="49"/>
      <c r="Q3728" s="3"/>
      <c r="R3728" s="3"/>
      <c r="S3728" s="3"/>
      <c r="T3728" s="3"/>
      <c r="U3728" s="3"/>
      <c r="V3728" s="3"/>
      <c r="W3728" s="3"/>
      <c r="X3728" s="3"/>
      <c r="Y3728" s="3"/>
      <c r="Z3728" s="4"/>
      <c r="AA3728"/>
      <c r="AB3728"/>
    </row>
    <row r="3729" spans="1:28" s="37" customFormat="1" x14ac:dyDescent="0.15">
      <c r="A3729" s="166"/>
      <c r="B3729" s="82"/>
      <c r="C3729" s="70"/>
      <c r="D3729" s="70"/>
      <c r="E3729" s="70"/>
      <c r="F3729" s="70"/>
      <c r="G3729" s="70"/>
      <c r="H3729" s="93"/>
      <c r="I3729" s="85"/>
      <c r="J3729" s="85"/>
      <c r="K3729" s="131"/>
      <c r="L3729" s="60"/>
      <c r="M3729" s="49"/>
      <c r="Q3729" s="3"/>
      <c r="R3729" s="3"/>
      <c r="S3729" s="3"/>
      <c r="T3729" s="3"/>
      <c r="U3729" s="3"/>
      <c r="V3729" s="3"/>
      <c r="W3729" s="3"/>
      <c r="X3729" s="3"/>
      <c r="Y3729" s="3"/>
      <c r="Z3729" s="4"/>
      <c r="AA3729"/>
      <c r="AB3729"/>
    </row>
    <row r="3730" spans="1:28" s="37" customFormat="1" x14ac:dyDescent="0.15">
      <c r="A3730" s="166"/>
      <c r="B3730" s="82"/>
      <c r="C3730" s="73"/>
      <c r="D3730" s="73"/>
      <c r="E3730" s="70"/>
      <c r="F3730" s="73"/>
      <c r="G3730" s="73"/>
      <c r="H3730" s="108"/>
      <c r="I3730" s="85"/>
      <c r="J3730" s="95"/>
      <c r="K3730" s="131"/>
      <c r="L3730" s="60"/>
      <c r="M3730" s="49"/>
      <c r="Q3730" s="3"/>
      <c r="R3730" s="3"/>
      <c r="S3730" s="3"/>
      <c r="T3730" s="3"/>
      <c r="U3730" s="3"/>
      <c r="V3730" s="3"/>
      <c r="W3730" s="3"/>
      <c r="X3730" s="3"/>
      <c r="Y3730" s="3"/>
      <c r="Z3730" s="4"/>
      <c r="AA3730"/>
      <c r="AB3730"/>
    </row>
    <row r="3731" spans="1:28" s="37" customFormat="1" ht="16" x14ac:dyDescent="0.2">
      <c r="A3731" s="166"/>
      <c r="B3731" s="93"/>
      <c r="C3731" s="70"/>
      <c r="D3731" s="70"/>
      <c r="E3731" s="70"/>
      <c r="F3731" s="70"/>
      <c r="G3731" s="70"/>
      <c r="H3731" s="93"/>
      <c r="I3731" s="85"/>
      <c r="J3731" s="85"/>
      <c r="K3731" s="131"/>
      <c r="L3731" s="60"/>
      <c r="M3731" s="33"/>
      <c r="N3731" s="48"/>
      <c r="Q3731" s="3"/>
      <c r="R3731" s="3"/>
      <c r="S3731" s="3"/>
      <c r="T3731" s="3"/>
      <c r="U3731" s="3"/>
      <c r="V3731" s="3"/>
      <c r="W3731" s="3"/>
      <c r="X3731" s="3"/>
      <c r="Y3731" s="3"/>
      <c r="Z3731" s="4"/>
      <c r="AA3731"/>
      <c r="AB3731"/>
    </row>
    <row r="3732" spans="1:28" s="37" customFormat="1" x14ac:dyDescent="0.15">
      <c r="A3732" s="166"/>
      <c r="B3732" s="82"/>
      <c r="C3732" s="70"/>
      <c r="D3732" s="70"/>
      <c r="E3732" s="70"/>
      <c r="F3732" s="70"/>
      <c r="G3732" s="70"/>
      <c r="H3732" s="93"/>
      <c r="I3732" s="85"/>
      <c r="J3732" s="85"/>
      <c r="K3732" s="131"/>
      <c r="L3732" s="67"/>
      <c r="M3732" s="49"/>
      <c r="Q3732" s="3"/>
      <c r="R3732" s="3"/>
      <c r="S3732" s="3"/>
      <c r="T3732" s="3"/>
      <c r="U3732" s="3"/>
      <c r="V3732" s="3"/>
      <c r="W3732" s="3"/>
      <c r="X3732" s="3"/>
      <c r="Y3732" s="3"/>
      <c r="Z3732" s="4"/>
      <c r="AA3732"/>
      <c r="AB3732"/>
    </row>
    <row r="3733" spans="1:28" s="37" customFormat="1" x14ac:dyDescent="0.15">
      <c r="A3733" s="166"/>
      <c r="B3733" s="82"/>
      <c r="C3733" s="70"/>
      <c r="D3733" s="70"/>
      <c r="E3733" s="70"/>
      <c r="F3733" s="70"/>
      <c r="G3733" s="70"/>
      <c r="H3733" s="93"/>
      <c r="I3733" s="85"/>
      <c r="J3733" s="85"/>
      <c r="K3733" s="131"/>
      <c r="L3733" s="67"/>
      <c r="M3733" s="49"/>
      <c r="Q3733" s="3"/>
      <c r="R3733" s="3"/>
      <c r="S3733" s="3"/>
      <c r="T3733" s="3"/>
      <c r="U3733" s="3"/>
      <c r="V3733" s="3"/>
      <c r="W3733" s="3"/>
      <c r="X3733" s="3"/>
      <c r="Y3733" s="3"/>
      <c r="Z3733" s="4"/>
      <c r="AA3733"/>
      <c r="AB3733"/>
    </row>
    <row r="3734" spans="1:28" s="37" customFormat="1" x14ac:dyDescent="0.15">
      <c r="A3734" s="166"/>
      <c r="B3734" s="82"/>
      <c r="C3734" s="70"/>
      <c r="D3734" s="70"/>
      <c r="E3734" s="70"/>
      <c r="F3734" s="70"/>
      <c r="G3734" s="70"/>
      <c r="H3734" s="93"/>
      <c r="I3734" s="85"/>
      <c r="J3734" s="85"/>
      <c r="K3734" s="131"/>
      <c r="L3734" s="67"/>
      <c r="M3734" s="49"/>
      <c r="Q3734" s="3"/>
      <c r="R3734" s="3"/>
      <c r="S3734" s="3"/>
      <c r="T3734" s="3"/>
      <c r="U3734" s="3"/>
      <c r="V3734" s="3"/>
      <c r="W3734" s="3"/>
      <c r="X3734" s="3"/>
      <c r="Y3734" s="3"/>
      <c r="Z3734" s="4"/>
      <c r="AA3734"/>
      <c r="AB3734"/>
    </row>
    <row r="3735" spans="1:28" s="37" customFormat="1" x14ac:dyDescent="0.15">
      <c r="A3735" s="166"/>
      <c r="B3735" s="82"/>
      <c r="C3735" s="70"/>
      <c r="D3735" s="70"/>
      <c r="E3735" s="70"/>
      <c r="F3735" s="70"/>
      <c r="G3735" s="70"/>
      <c r="H3735" s="93"/>
      <c r="I3735" s="85"/>
      <c r="J3735" s="85"/>
      <c r="K3735" s="131"/>
      <c r="L3735" s="67"/>
      <c r="M3735" s="49"/>
      <c r="Q3735" s="3"/>
      <c r="R3735" s="3"/>
      <c r="S3735" s="3"/>
      <c r="T3735" s="3"/>
      <c r="U3735" s="3"/>
      <c r="V3735" s="3"/>
      <c r="W3735" s="3"/>
      <c r="X3735" s="3"/>
      <c r="Y3735" s="3"/>
      <c r="Z3735" s="4"/>
      <c r="AA3735"/>
      <c r="AB3735"/>
    </row>
    <row r="3736" spans="1:28" s="37" customFormat="1" x14ac:dyDescent="0.15">
      <c r="A3736" s="166"/>
      <c r="B3736" s="82"/>
      <c r="C3736" s="70"/>
      <c r="D3736" s="70"/>
      <c r="E3736" s="70"/>
      <c r="F3736" s="70"/>
      <c r="G3736" s="70"/>
      <c r="H3736" s="93"/>
      <c r="I3736" s="85"/>
      <c r="J3736" s="85"/>
      <c r="K3736" s="131"/>
      <c r="L3736" s="67"/>
      <c r="M3736" s="49"/>
      <c r="Q3736" s="3"/>
      <c r="R3736" s="3"/>
      <c r="S3736" s="3"/>
      <c r="T3736" s="3"/>
      <c r="U3736" s="3"/>
      <c r="V3736" s="3"/>
      <c r="W3736" s="3"/>
      <c r="X3736" s="3"/>
      <c r="Y3736" s="3"/>
      <c r="Z3736" s="4"/>
      <c r="AA3736"/>
      <c r="AB3736"/>
    </row>
    <row r="3737" spans="1:28" s="37" customFormat="1" x14ac:dyDescent="0.15">
      <c r="A3737" s="166"/>
      <c r="B3737" s="82"/>
      <c r="C3737" s="70"/>
      <c r="D3737" s="70"/>
      <c r="E3737" s="70"/>
      <c r="F3737" s="70"/>
      <c r="G3737" s="70"/>
      <c r="H3737" s="93"/>
      <c r="I3737" s="85"/>
      <c r="J3737" s="85"/>
      <c r="K3737" s="131"/>
      <c r="L3737" s="60"/>
      <c r="M3737" s="49"/>
      <c r="Q3737" s="3"/>
      <c r="R3737" s="3"/>
      <c r="S3737" s="3"/>
      <c r="T3737" s="3"/>
      <c r="U3737" s="3"/>
      <c r="V3737" s="3"/>
      <c r="W3737" s="3"/>
      <c r="X3737" s="3"/>
      <c r="Y3737" s="3"/>
      <c r="Z3737" s="4"/>
      <c r="AA3737"/>
      <c r="AB3737"/>
    </row>
    <row r="3738" spans="1:28" s="37" customFormat="1" x14ac:dyDescent="0.15">
      <c r="A3738" s="166"/>
      <c r="B3738" s="82"/>
      <c r="C3738" s="70"/>
      <c r="D3738" s="70"/>
      <c r="E3738" s="70"/>
      <c r="F3738" s="70"/>
      <c r="G3738" s="70"/>
      <c r="H3738" s="93"/>
      <c r="I3738" s="85"/>
      <c r="J3738" s="85"/>
      <c r="K3738" s="131"/>
      <c r="L3738" s="60"/>
      <c r="M3738" s="49"/>
      <c r="Q3738" s="3"/>
      <c r="R3738" s="3"/>
      <c r="S3738" s="3"/>
      <c r="T3738" s="3"/>
      <c r="U3738" s="3"/>
      <c r="V3738" s="3"/>
      <c r="W3738" s="3"/>
      <c r="X3738" s="3"/>
      <c r="Y3738" s="3"/>
      <c r="Z3738" s="4"/>
      <c r="AA3738"/>
      <c r="AB3738"/>
    </row>
    <row r="3739" spans="1:28" s="37" customFormat="1" x14ac:dyDescent="0.15">
      <c r="A3739" s="166"/>
      <c r="B3739" s="82"/>
      <c r="C3739" s="70"/>
      <c r="D3739" s="70"/>
      <c r="E3739" s="70"/>
      <c r="F3739" s="70"/>
      <c r="G3739" s="70"/>
      <c r="H3739" s="93"/>
      <c r="I3739" s="85"/>
      <c r="J3739" s="85"/>
      <c r="K3739" s="131"/>
      <c r="L3739" s="60"/>
      <c r="M3739" s="49"/>
      <c r="Q3739" s="3"/>
      <c r="R3739" s="3"/>
      <c r="S3739" s="3"/>
      <c r="T3739" s="3"/>
      <c r="U3739" s="3"/>
      <c r="V3739" s="3"/>
      <c r="W3739" s="3"/>
      <c r="X3739" s="3"/>
      <c r="Y3739" s="3"/>
      <c r="Z3739" s="4"/>
      <c r="AA3739"/>
      <c r="AB3739"/>
    </row>
    <row r="3740" spans="1:28" s="37" customFormat="1" x14ac:dyDescent="0.15">
      <c r="A3740" s="166"/>
      <c r="B3740" s="93"/>
      <c r="C3740" s="70"/>
      <c r="D3740" s="70"/>
      <c r="E3740" s="70"/>
      <c r="F3740" s="70"/>
      <c r="G3740" s="70"/>
      <c r="H3740" s="93"/>
      <c r="I3740" s="85"/>
      <c r="J3740" s="85"/>
      <c r="K3740" s="131"/>
      <c r="L3740" s="60"/>
      <c r="M3740" s="49"/>
      <c r="Q3740" s="3"/>
      <c r="R3740" s="3"/>
      <c r="S3740" s="3"/>
      <c r="T3740" s="3"/>
      <c r="U3740" s="3"/>
      <c r="V3740" s="3"/>
      <c r="W3740" s="3"/>
      <c r="X3740" s="3"/>
      <c r="Y3740" s="3"/>
      <c r="Z3740" s="4"/>
      <c r="AA3740"/>
      <c r="AB3740"/>
    </row>
    <row r="3741" spans="1:28" s="37" customFormat="1" x14ac:dyDescent="0.15">
      <c r="A3741" s="166"/>
      <c r="B3741" s="82"/>
      <c r="C3741" s="70"/>
      <c r="D3741" s="70"/>
      <c r="E3741" s="70"/>
      <c r="F3741" s="70"/>
      <c r="G3741" s="70"/>
      <c r="H3741" s="93"/>
      <c r="I3741" s="85"/>
      <c r="J3741" s="85"/>
      <c r="K3741" s="131"/>
      <c r="L3741" s="60"/>
      <c r="M3741" s="49"/>
      <c r="Q3741" s="3"/>
      <c r="R3741" s="3"/>
      <c r="S3741" s="3"/>
      <c r="T3741" s="3"/>
      <c r="U3741" s="3"/>
      <c r="V3741" s="3"/>
      <c r="W3741" s="3"/>
      <c r="X3741" s="3"/>
      <c r="Y3741" s="3"/>
      <c r="Z3741" s="4"/>
      <c r="AA3741"/>
      <c r="AB3741"/>
    </row>
    <row r="3742" spans="1:28" s="37" customFormat="1" x14ac:dyDescent="0.15">
      <c r="A3742" s="166"/>
      <c r="B3742" s="93"/>
      <c r="C3742" s="70"/>
      <c r="D3742" s="70"/>
      <c r="E3742" s="70"/>
      <c r="F3742" s="70"/>
      <c r="G3742" s="70"/>
      <c r="H3742" s="93"/>
      <c r="I3742" s="85"/>
      <c r="J3742" s="85"/>
      <c r="K3742" s="131"/>
      <c r="L3742" s="60"/>
      <c r="M3742" s="33"/>
      <c r="Q3742" s="3"/>
      <c r="R3742" s="3"/>
      <c r="S3742" s="3"/>
      <c r="T3742" s="3"/>
      <c r="U3742" s="3"/>
      <c r="V3742" s="3"/>
      <c r="W3742" s="3"/>
      <c r="X3742" s="3"/>
      <c r="Y3742" s="3"/>
      <c r="Z3742" s="4"/>
      <c r="AA3742"/>
      <c r="AB3742"/>
    </row>
    <row r="3743" spans="1:28" s="37" customFormat="1" x14ac:dyDescent="0.15">
      <c r="A3743" s="166"/>
      <c r="B3743" s="93"/>
      <c r="C3743" s="70"/>
      <c r="D3743" s="70"/>
      <c r="E3743" s="70"/>
      <c r="F3743" s="70"/>
      <c r="G3743" s="70"/>
      <c r="H3743" s="93"/>
      <c r="I3743" s="85"/>
      <c r="J3743" s="85"/>
      <c r="K3743" s="131"/>
      <c r="L3743" s="60"/>
      <c r="M3743" s="33"/>
      <c r="Q3743" s="3"/>
      <c r="R3743" s="3"/>
      <c r="S3743" s="3"/>
      <c r="T3743" s="3"/>
      <c r="U3743" s="3"/>
      <c r="V3743" s="3"/>
      <c r="W3743" s="3"/>
      <c r="X3743" s="3"/>
      <c r="Y3743" s="3"/>
      <c r="Z3743" s="4"/>
      <c r="AA3743"/>
      <c r="AB3743"/>
    </row>
    <row r="3744" spans="1:28" s="37" customFormat="1" x14ac:dyDescent="0.15">
      <c r="A3744" s="166"/>
      <c r="B3744" s="93"/>
      <c r="C3744" s="70"/>
      <c r="D3744" s="70"/>
      <c r="E3744" s="70"/>
      <c r="F3744" s="70"/>
      <c r="G3744" s="70"/>
      <c r="H3744" s="93"/>
      <c r="I3744" s="85"/>
      <c r="J3744" s="85"/>
      <c r="K3744" s="131"/>
      <c r="L3744" s="60"/>
      <c r="M3744" s="33"/>
      <c r="Q3744" s="3"/>
      <c r="R3744" s="3"/>
      <c r="S3744" s="3"/>
      <c r="T3744" s="3"/>
      <c r="U3744" s="3"/>
      <c r="V3744" s="3"/>
      <c r="W3744" s="3"/>
      <c r="X3744" s="3"/>
      <c r="Y3744" s="3"/>
      <c r="Z3744" s="4"/>
      <c r="AA3744"/>
      <c r="AB3744"/>
    </row>
    <row r="3745" spans="1:28" s="37" customFormat="1" x14ac:dyDescent="0.15">
      <c r="A3745" s="166"/>
      <c r="B3745" s="82"/>
      <c r="C3745" s="70"/>
      <c r="D3745" s="70"/>
      <c r="E3745" s="70"/>
      <c r="F3745" s="70"/>
      <c r="G3745" s="70"/>
      <c r="H3745" s="93"/>
      <c r="I3745" s="85"/>
      <c r="J3745" s="85"/>
      <c r="K3745" s="131"/>
      <c r="L3745" s="60"/>
      <c r="M3745" s="49"/>
      <c r="Q3745" s="3"/>
      <c r="R3745" s="3"/>
      <c r="S3745" s="3"/>
      <c r="T3745" s="3"/>
      <c r="U3745" s="3"/>
      <c r="V3745" s="3"/>
      <c r="W3745" s="3"/>
      <c r="X3745" s="3"/>
      <c r="Y3745" s="3"/>
      <c r="Z3745" s="4"/>
      <c r="AA3745"/>
      <c r="AB3745"/>
    </row>
    <row r="3746" spans="1:28" s="37" customFormat="1" x14ac:dyDescent="0.15">
      <c r="A3746" s="166"/>
      <c r="B3746" s="82"/>
      <c r="C3746" s="70"/>
      <c r="D3746" s="70"/>
      <c r="E3746" s="70"/>
      <c r="F3746" s="70"/>
      <c r="G3746" s="70"/>
      <c r="H3746" s="93"/>
      <c r="I3746" s="85"/>
      <c r="J3746" s="85"/>
      <c r="K3746" s="131"/>
      <c r="L3746" s="60"/>
      <c r="M3746" s="49"/>
      <c r="Q3746" s="3"/>
      <c r="R3746" s="3"/>
      <c r="S3746" s="3"/>
      <c r="T3746" s="3"/>
      <c r="U3746" s="3"/>
      <c r="V3746" s="3"/>
      <c r="W3746" s="3"/>
      <c r="X3746" s="3"/>
      <c r="Y3746" s="3"/>
      <c r="Z3746" s="4"/>
      <c r="AA3746"/>
      <c r="AB3746"/>
    </row>
    <row r="3747" spans="1:28" s="37" customFormat="1" x14ac:dyDescent="0.15">
      <c r="A3747" s="166"/>
      <c r="B3747" s="93"/>
      <c r="C3747" s="70"/>
      <c r="D3747" s="70"/>
      <c r="E3747" s="70"/>
      <c r="F3747" s="70"/>
      <c r="G3747" s="70"/>
      <c r="H3747" s="93"/>
      <c r="I3747" s="85"/>
      <c r="J3747" s="85"/>
      <c r="K3747" s="131"/>
      <c r="L3747" s="60"/>
      <c r="M3747" s="49"/>
      <c r="Q3747" s="3"/>
      <c r="R3747" s="3"/>
      <c r="S3747" s="3"/>
      <c r="T3747" s="3"/>
      <c r="U3747" s="3"/>
      <c r="V3747" s="3"/>
      <c r="W3747" s="3"/>
      <c r="X3747" s="3"/>
      <c r="Y3747" s="3"/>
      <c r="Z3747" s="4"/>
      <c r="AA3747"/>
      <c r="AB3747"/>
    </row>
    <row r="3748" spans="1:28" s="37" customFormat="1" x14ac:dyDescent="0.15">
      <c r="A3748" s="166"/>
      <c r="B3748" s="82"/>
      <c r="C3748" s="70"/>
      <c r="D3748" s="70"/>
      <c r="E3748" s="70"/>
      <c r="F3748" s="70"/>
      <c r="G3748" s="70"/>
      <c r="H3748" s="93"/>
      <c r="I3748" s="85"/>
      <c r="J3748" s="85"/>
      <c r="K3748" s="131"/>
      <c r="L3748" s="60"/>
      <c r="M3748" s="49"/>
      <c r="Q3748" s="3"/>
      <c r="R3748" s="3"/>
      <c r="S3748" s="3"/>
      <c r="T3748" s="3"/>
      <c r="U3748" s="3"/>
      <c r="V3748" s="3"/>
      <c r="W3748" s="3"/>
      <c r="X3748" s="3"/>
      <c r="Y3748" s="3"/>
      <c r="Z3748" s="4"/>
      <c r="AA3748"/>
      <c r="AB3748"/>
    </row>
    <row r="3749" spans="1:28" s="37" customFormat="1" x14ac:dyDescent="0.15">
      <c r="A3749" s="166"/>
      <c r="B3749" s="93"/>
      <c r="C3749" s="70"/>
      <c r="D3749" s="70"/>
      <c r="E3749" s="70"/>
      <c r="F3749" s="70"/>
      <c r="G3749" s="70"/>
      <c r="H3749" s="93"/>
      <c r="I3749" s="85"/>
      <c r="J3749" s="85"/>
      <c r="K3749" s="131"/>
      <c r="L3749" s="60"/>
      <c r="M3749" s="33"/>
      <c r="Q3749" s="3"/>
      <c r="R3749" s="3"/>
      <c r="S3749" s="3"/>
      <c r="T3749" s="3"/>
      <c r="U3749" s="3"/>
      <c r="V3749" s="3"/>
      <c r="W3749" s="3"/>
      <c r="X3749" s="3"/>
      <c r="Y3749" s="3"/>
      <c r="Z3749" s="4"/>
      <c r="AA3749"/>
      <c r="AB3749"/>
    </row>
    <row r="3750" spans="1:28" s="37" customFormat="1" x14ac:dyDescent="0.15">
      <c r="A3750" s="166"/>
      <c r="B3750" s="82"/>
      <c r="C3750" s="70"/>
      <c r="D3750" s="70"/>
      <c r="E3750" s="70"/>
      <c r="F3750" s="70"/>
      <c r="G3750" s="70"/>
      <c r="H3750" s="93"/>
      <c r="I3750" s="85"/>
      <c r="J3750" s="85"/>
      <c r="K3750" s="131"/>
      <c r="L3750" s="60"/>
      <c r="M3750" s="49"/>
      <c r="Q3750" s="3"/>
      <c r="R3750" s="3"/>
      <c r="S3750" s="3"/>
      <c r="T3750" s="3"/>
      <c r="U3750" s="3"/>
      <c r="V3750" s="3"/>
      <c r="W3750" s="3"/>
      <c r="X3750" s="3"/>
      <c r="Y3750" s="3"/>
      <c r="Z3750" s="4"/>
      <c r="AA3750"/>
      <c r="AB3750"/>
    </row>
    <row r="3751" spans="1:28" s="37" customFormat="1" x14ac:dyDescent="0.15">
      <c r="A3751" s="166"/>
      <c r="B3751" s="82"/>
      <c r="C3751" s="70"/>
      <c r="D3751" s="70"/>
      <c r="E3751" s="70"/>
      <c r="F3751" s="70"/>
      <c r="G3751" s="70"/>
      <c r="H3751" s="93"/>
      <c r="I3751" s="85"/>
      <c r="J3751" s="85"/>
      <c r="K3751" s="131"/>
      <c r="L3751" s="60"/>
      <c r="M3751" s="49"/>
      <c r="Q3751" s="3"/>
      <c r="R3751" s="3"/>
      <c r="S3751" s="3"/>
      <c r="T3751" s="3"/>
      <c r="U3751" s="3"/>
      <c r="V3751" s="3"/>
      <c r="W3751" s="3"/>
      <c r="X3751" s="3"/>
      <c r="Y3751" s="3"/>
      <c r="Z3751" s="4"/>
      <c r="AA3751"/>
      <c r="AB3751"/>
    </row>
    <row r="3752" spans="1:28" s="37" customFormat="1" x14ac:dyDescent="0.15">
      <c r="A3752" s="166"/>
      <c r="B3752" s="82"/>
      <c r="C3752" s="70"/>
      <c r="D3752" s="70"/>
      <c r="E3752" s="70"/>
      <c r="F3752" s="70"/>
      <c r="G3752" s="70"/>
      <c r="H3752" s="93"/>
      <c r="I3752" s="85"/>
      <c r="J3752" s="85"/>
      <c r="K3752" s="131"/>
      <c r="L3752" s="60"/>
      <c r="M3752" s="49"/>
      <c r="Q3752" s="3"/>
      <c r="R3752" s="3"/>
      <c r="S3752" s="3"/>
      <c r="T3752" s="3"/>
      <c r="U3752" s="3"/>
      <c r="V3752" s="3"/>
      <c r="W3752" s="3"/>
      <c r="X3752" s="3"/>
      <c r="Y3752" s="3"/>
      <c r="Z3752" s="4"/>
      <c r="AA3752"/>
      <c r="AB3752"/>
    </row>
    <row r="3753" spans="1:28" s="37" customFormat="1" x14ac:dyDescent="0.15">
      <c r="A3753" s="166"/>
      <c r="B3753" s="82"/>
      <c r="C3753" s="70"/>
      <c r="D3753" s="70"/>
      <c r="E3753" s="70"/>
      <c r="F3753" s="70"/>
      <c r="G3753" s="70"/>
      <c r="H3753" s="93"/>
      <c r="I3753" s="85"/>
      <c r="J3753" s="85"/>
      <c r="K3753" s="131"/>
      <c r="L3753" s="60"/>
      <c r="M3753" s="49"/>
      <c r="Q3753" s="3"/>
      <c r="R3753" s="3"/>
      <c r="S3753" s="3"/>
      <c r="T3753" s="3"/>
      <c r="U3753" s="3"/>
      <c r="V3753" s="3"/>
      <c r="W3753" s="3"/>
      <c r="X3753" s="3"/>
      <c r="Y3753" s="3"/>
      <c r="Z3753" s="4"/>
      <c r="AA3753"/>
      <c r="AB3753"/>
    </row>
    <row r="3754" spans="1:28" s="37" customFormat="1" ht="16" x14ac:dyDescent="0.2">
      <c r="A3754" s="166"/>
      <c r="B3754" s="93"/>
      <c r="C3754" s="70"/>
      <c r="D3754" s="70"/>
      <c r="E3754" s="70"/>
      <c r="F3754" s="70"/>
      <c r="G3754" s="70"/>
      <c r="H3754" s="93"/>
      <c r="I3754" s="85"/>
      <c r="J3754" s="85"/>
      <c r="K3754" s="131"/>
      <c r="L3754" s="60"/>
      <c r="M3754" s="49"/>
      <c r="N3754" s="48"/>
      <c r="Q3754" s="3"/>
      <c r="R3754" s="3"/>
      <c r="S3754" s="3"/>
      <c r="T3754" s="3"/>
      <c r="U3754" s="3"/>
      <c r="V3754" s="3"/>
      <c r="W3754" s="3"/>
      <c r="X3754" s="3"/>
      <c r="Y3754" s="3"/>
      <c r="Z3754" s="4"/>
      <c r="AA3754"/>
      <c r="AB3754"/>
    </row>
    <row r="3755" spans="1:28" s="37" customFormat="1" x14ac:dyDescent="0.15">
      <c r="A3755" s="166"/>
      <c r="B3755" s="82"/>
      <c r="C3755" s="70"/>
      <c r="D3755" s="70"/>
      <c r="E3755" s="70"/>
      <c r="F3755" s="70"/>
      <c r="G3755" s="70"/>
      <c r="H3755" s="93"/>
      <c r="I3755" s="85"/>
      <c r="J3755" s="85"/>
      <c r="K3755" s="131"/>
      <c r="L3755" s="60"/>
      <c r="M3755" s="49"/>
      <c r="Q3755" s="3"/>
      <c r="R3755" s="3"/>
      <c r="S3755" s="3"/>
      <c r="T3755" s="3"/>
      <c r="U3755" s="3"/>
      <c r="V3755" s="3"/>
      <c r="W3755" s="3"/>
      <c r="X3755" s="3"/>
      <c r="Y3755" s="3"/>
      <c r="Z3755" s="4"/>
      <c r="AA3755"/>
      <c r="AB3755"/>
    </row>
    <row r="3756" spans="1:28" s="37" customFormat="1" ht="16" x14ac:dyDescent="0.2">
      <c r="A3756" s="166"/>
      <c r="B3756" s="82"/>
      <c r="C3756" s="70"/>
      <c r="D3756" s="70"/>
      <c r="E3756" s="70"/>
      <c r="F3756" s="70"/>
      <c r="G3756" s="70"/>
      <c r="H3756" s="93"/>
      <c r="I3756" s="85"/>
      <c r="J3756" s="85"/>
      <c r="K3756" s="131"/>
      <c r="L3756" s="60"/>
      <c r="M3756" s="47"/>
      <c r="Q3756" s="3"/>
      <c r="R3756" s="3"/>
      <c r="S3756" s="3"/>
      <c r="T3756" s="3"/>
      <c r="U3756" s="3"/>
      <c r="V3756" s="3"/>
      <c r="W3756" s="3"/>
      <c r="X3756" s="3"/>
      <c r="Y3756" s="3"/>
      <c r="Z3756" s="4"/>
      <c r="AA3756"/>
      <c r="AB3756"/>
    </row>
    <row r="3757" spans="1:28" s="37" customFormat="1" x14ac:dyDescent="0.15">
      <c r="A3757" s="166"/>
      <c r="B3757" s="93"/>
      <c r="C3757" s="73"/>
      <c r="D3757" s="73"/>
      <c r="E3757" s="70"/>
      <c r="F3757" s="73"/>
      <c r="G3757" s="73"/>
      <c r="H3757" s="108"/>
      <c r="I3757" s="85"/>
      <c r="J3757" s="95"/>
      <c r="K3757" s="131"/>
      <c r="L3757" s="60"/>
      <c r="M3757" s="33"/>
      <c r="Q3757" s="3"/>
      <c r="R3757" s="3"/>
      <c r="S3757" s="3"/>
      <c r="T3757" s="3"/>
      <c r="U3757" s="3"/>
      <c r="V3757" s="3"/>
      <c r="W3757" s="3"/>
      <c r="X3757" s="3"/>
      <c r="Y3757" s="3"/>
      <c r="Z3757" s="4"/>
      <c r="AA3757"/>
      <c r="AB3757"/>
    </row>
    <row r="3758" spans="1:28" s="37" customFormat="1" x14ac:dyDescent="0.15">
      <c r="A3758" s="166"/>
      <c r="B3758" s="93"/>
      <c r="C3758" s="70"/>
      <c r="D3758" s="70"/>
      <c r="E3758" s="70"/>
      <c r="F3758" s="70"/>
      <c r="G3758" s="70"/>
      <c r="H3758" s="93"/>
      <c r="I3758" s="85"/>
      <c r="J3758" s="85"/>
      <c r="K3758" s="131"/>
      <c r="L3758" s="60"/>
      <c r="M3758" s="33"/>
      <c r="Q3758" s="3"/>
      <c r="R3758" s="3"/>
      <c r="S3758" s="3"/>
      <c r="T3758" s="3"/>
      <c r="U3758" s="3"/>
      <c r="V3758" s="3"/>
      <c r="W3758" s="3"/>
      <c r="X3758" s="3"/>
      <c r="Y3758" s="3"/>
      <c r="Z3758" s="4"/>
      <c r="AA3758"/>
      <c r="AB3758"/>
    </row>
    <row r="3759" spans="1:28" s="37" customFormat="1" x14ac:dyDescent="0.15">
      <c r="A3759" s="166"/>
      <c r="B3759" s="82"/>
      <c r="C3759" s="70"/>
      <c r="D3759" s="70"/>
      <c r="E3759" s="70"/>
      <c r="F3759" s="70"/>
      <c r="G3759" s="70"/>
      <c r="H3759" s="93"/>
      <c r="I3759" s="85"/>
      <c r="J3759" s="85"/>
      <c r="K3759" s="131"/>
      <c r="L3759" s="60"/>
      <c r="M3759" s="49"/>
      <c r="Q3759" s="3"/>
      <c r="R3759" s="3"/>
      <c r="S3759" s="3"/>
      <c r="T3759" s="3"/>
      <c r="U3759" s="3"/>
      <c r="V3759" s="3"/>
      <c r="W3759" s="3"/>
      <c r="X3759" s="3"/>
      <c r="Y3759" s="3"/>
      <c r="Z3759" s="4"/>
      <c r="AA3759"/>
      <c r="AB3759"/>
    </row>
    <row r="3760" spans="1:28" s="37" customFormat="1" x14ac:dyDescent="0.15">
      <c r="A3760" s="166"/>
      <c r="B3760" s="82"/>
      <c r="C3760" s="70"/>
      <c r="D3760" s="70"/>
      <c r="E3760" s="70"/>
      <c r="F3760" s="70"/>
      <c r="G3760" s="70"/>
      <c r="H3760" s="93"/>
      <c r="I3760" s="85"/>
      <c r="J3760" s="85"/>
      <c r="K3760" s="131"/>
      <c r="L3760" s="60"/>
      <c r="M3760" s="49"/>
      <c r="Q3760" s="3"/>
      <c r="R3760" s="3"/>
      <c r="S3760" s="3"/>
      <c r="T3760" s="3"/>
      <c r="U3760" s="3"/>
      <c r="V3760" s="3"/>
      <c r="W3760" s="3"/>
      <c r="X3760" s="3"/>
      <c r="Y3760" s="3"/>
      <c r="Z3760" s="4"/>
      <c r="AA3760"/>
      <c r="AB3760"/>
    </row>
    <row r="3761" spans="1:28" s="37" customFormat="1" x14ac:dyDescent="0.15">
      <c r="A3761" s="166"/>
      <c r="B3761" s="82"/>
      <c r="C3761" s="70"/>
      <c r="D3761" s="70"/>
      <c r="E3761" s="70"/>
      <c r="F3761" s="70"/>
      <c r="G3761" s="70"/>
      <c r="H3761" s="93"/>
      <c r="I3761" s="85"/>
      <c r="J3761" s="85"/>
      <c r="K3761" s="131"/>
      <c r="L3761" s="60"/>
      <c r="M3761" s="49"/>
      <c r="Q3761" s="3"/>
      <c r="R3761" s="3"/>
      <c r="S3761" s="3"/>
      <c r="T3761" s="3"/>
      <c r="U3761" s="3"/>
      <c r="V3761" s="3"/>
      <c r="W3761" s="3"/>
      <c r="X3761" s="3"/>
      <c r="Y3761" s="3"/>
      <c r="Z3761" s="4"/>
      <c r="AA3761"/>
      <c r="AB3761"/>
    </row>
    <row r="3762" spans="1:28" s="37" customFormat="1" x14ac:dyDescent="0.15">
      <c r="A3762" s="166"/>
      <c r="B3762" s="93"/>
      <c r="C3762" s="70"/>
      <c r="D3762" s="70"/>
      <c r="E3762" s="70"/>
      <c r="F3762" s="70"/>
      <c r="G3762" s="70"/>
      <c r="H3762" s="93"/>
      <c r="I3762" s="85"/>
      <c r="J3762" s="85"/>
      <c r="K3762" s="131"/>
      <c r="L3762" s="60"/>
      <c r="M3762" s="33"/>
      <c r="Q3762" s="3"/>
      <c r="R3762" s="3"/>
      <c r="S3762" s="3"/>
      <c r="T3762" s="3"/>
      <c r="U3762" s="3"/>
      <c r="V3762" s="3"/>
      <c r="W3762" s="3"/>
      <c r="X3762" s="3"/>
      <c r="Y3762" s="3"/>
      <c r="Z3762" s="4"/>
      <c r="AA3762"/>
      <c r="AB3762"/>
    </row>
    <row r="3763" spans="1:28" s="37" customFormat="1" ht="16" x14ac:dyDescent="0.2">
      <c r="A3763" s="166"/>
      <c r="B3763" s="82"/>
      <c r="C3763" s="70"/>
      <c r="D3763" s="70"/>
      <c r="E3763" s="70"/>
      <c r="F3763" s="70"/>
      <c r="G3763" s="70"/>
      <c r="H3763" s="93"/>
      <c r="I3763" s="85"/>
      <c r="J3763" s="85"/>
      <c r="K3763" s="131"/>
      <c r="L3763" s="60"/>
      <c r="M3763" s="49"/>
      <c r="N3763" s="48"/>
      <c r="Q3763" s="3"/>
      <c r="R3763" s="3"/>
      <c r="S3763" s="3"/>
      <c r="T3763" s="3"/>
      <c r="U3763" s="3"/>
      <c r="V3763" s="3"/>
      <c r="W3763" s="3"/>
      <c r="X3763" s="3"/>
      <c r="Y3763" s="3"/>
      <c r="Z3763" s="4"/>
      <c r="AA3763"/>
      <c r="AB3763"/>
    </row>
    <row r="3764" spans="1:28" s="37" customFormat="1" x14ac:dyDescent="0.15">
      <c r="A3764" s="166"/>
      <c r="B3764" s="82"/>
      <c r="C3764" s="70"/>
      <c r="D3764" s="70"/>
      <c r="E3764" s="70"/>
      <c r="F3764" s="70"/>
      <c r="G3764" s="70"/>
      <c r="H3764" s="93"/>
      <c r="I3764" s="85"/>
      <c r="J3764" s="85"/>
      <c r="K3764" s="131"/>
      <c r="L3764" s="60"/>
      <c r="M3764" s="49"/>
      <c r="Q3764" s="3"/>
      <c r="R3764" s="3"/>
      <c r="S3764" s="3"/>
      <c r="T3764" s="3"/>
      <c r="U3764" s="3"/>
      <c r="V3764" s="3"/>
      <c r="W3764" s="3"/>
      <c r="X3764" s="3"/>
      <c r="Y3764" s="3"/>
      <c r="Z3764" s="4"/>
      <c r="AA3764"/>
      <c r="AB3764"/>
    </row>
    <row r="3765" spans="1:28" s="37" customFormat="1" x14ac:dyDescent="0.15">
      <c r="A3765" s="166"/>
      <c r="B3765" s="93"/>
      <c r="C3765" s="70"/>
      <c r="D3765" s="70"/>
      <c r="E3765" s="70"/>
      <c r="F3765" s="70"/>
      <c r="G3765" s="70"/>
      <c r="H3765" s="93"/>
      <c r="I3765" s="85"/>
      <c r="J3765" s="85"/>
      <c r="K3765" s="131"/>
      <c r="L3765" s="60"/>
      <c r="M3765" s="33"/>
      <c r="Q3765" s="3"/>
      <c r="R3765" s="3"/>
      <c r="S3765" s="3"/>
      <c r="T3765" s="3"/>
      <c r="U3765" s="3"/>
      <c r="V3765" s="3"/>
      <c r="W3765" s="3"/>
      <c r="X3765" s="3"/>
      <c r="Y3765" s="3"/>
      <c r="Z3765" s="4"/>
      <c r="AA3765"/>
      <c r="AB3765"/>
    </row>
    <row r="3766" spans="1:28" s="37" customFormat="1" x14ac:dyDescent="0.15">
      <c r="A3766" s="166"/>
      <c r="B3766" s="93"/>
      <c r="C3766" s="70"/>
      <c r="D3766" s="70"/>
      <c r="E3766" s="70"/>
      <c r="F3766" s="70"/>
      <c r="G3766" s="70"/>
      <c r="H3766" s="93"/>
      <c r="I3766" s="85"/>
      <c r="J3766" s="85"/>
      <c r="K3766" s="131"/>
      <c r="L3766" s="60"/>
      <c r="M3766" s="33"/>
      <c r="Q3766" s="3"/>
      <c r="R3766" s="3"/>
      <c r="S3766" s="3"/>
      <c r="T3766" s="3"/>
      <c r="U3766" s="3"/>
      <c r="V3766" s="3"/>
      <c r="W3766" s="3"/>
      <c r="X3766" s="3"/>
      <c r="Y3766" s="3"/>
      <c r="Z3766" s="4"/>
      <c r="AA3766"/>
      <c r="AB3766"/>
    </row>
    <row r="3767" spans="1:28" s="37" customFormat="1" ht="16" x14ac:dyDescent="0.2">
      <c r="A3767" s="166"/>
      <c r="B3767" s="93"/>
      <c r="C3767" s="70"/>
      <c r="D3767" s="70"/>
      <c r="E3767" s="70"/>
      <c r="F3767" s="70"/>
      <c r="G3767" s="70"/>
      <c r="H3767" s="93"/>
      <c r="I3767" s="85"/>
      <c r="J3767" s="85"/>
      <c r="K3767" s="131"/>
      <c r="L3767" s="60"/>
      <c r="M3767" s="33"/>
      <c r="N3767" s="48"/>
      <c r="Q3767" s="3"/>
      <c r="R3767" s="3"/>
      <c r="S3767" s="3"/>
      <c r="T3767" s="3"/>
      <c r="U3767" s="3"/>
      <c r="V3767" s="3"/>
      <c r="W3767" s="3"/>
      <c r="X3767" s="3"/>
      <c r="Y3767" s="3"/>
      <c r="Z3767" s="4"/>
      <c r="AA3767"/>
      <c r="AB3767"/>
    </row>
    <row r="3768" spans="1:28" s="37" customFormat="1" x14ac:dyDescent="0.15">
      <c r="A3768" s="166"/>
      <c r="B3768" s="93"/>
      <c r="C3768" s="70"/>
      <c r="D3768" s="70"/>
      <c r="E3768" s="70"/>
      <c r="F3768" s="70"/>
      <c r="G3768" s="70"/>
      <c r="H3768" s="93"/>
      <c r="I3768" s="85"/>
      <c r="J3768" s="85"/>
      <c r="K3768" s="131"/>
      <c r="L3768" s="60"/>
      <c r="M3768" s="33"/>
      <c r="Q3768" s="3"/>
      <c r="R3768" s="3"/>
      <c r="S3768" s="3"/>
      <c r="T3768" s="3"/>
      <c r="U3768" s="3"/>
      <c r="V3768" s="3"/>
      <c r="W3768" s="3"/>
      <c r="X3768" s="3"/>
      <c r="Y3768" s="3"/>
      <c r="Z3768" s="4"/>
      <c r="AA3768"/>
      <c r="AB3768"/>
    </row>
    <row r="3769" spans="1:28" s="37" customFormat="1" x14ac:dyDescent="0.15">
      <c r="A3769" s="166"/>
      <c r="B3769" s="93"/>
      <c r="C3769" s="70"/>
      <c r="D3769" s="70"/>
      <c r="E3769" s="70"/>
      <c r="F3769" s="70"/>
      <c r="G3769" s="70"/>
      <c r="H3769" s="93"/>
      <c r="I3769" s="85"/>
      <c r="J3769" s="85"/>
      <c r="K3769" s="131"/>
      <c r="L3769" s="60"/>
      <c r="M3769" s="33"/>
      <c r="Q3769" s="3"/>
      <c r="R3769" s="3"/>
      <c r="S3769" s="3"/>
      <c r="T3769" s="3"/>
      <c r="U3769" s="3"/>
      <c r="V3769" s="3"/>
      <c r="W3769" s="3"/>
      <c r="X3769" s="3"/>
      <c r="Y3769" s="3"/>
      <c r="Z3769" s="4"/>
      <c r="AA3769"/>
      <c r="AB3769"/>
    </row>
    <row r="3770" spans="1:28" s="37" customFormat="1" x14ac:dyDescent="0.15">
      <c r="A3770" s="166"/>
      <c r="B3770" s="93"/>
      <c r="C3770" s="70"/>
      <c r="D3770" s="70"/>
      <c r="E3770" s="70"/>
      <c r="F3770" s="70"/>
      <c r="G3770" s="70"/>
      <c r="H3770" s="93"/>
      <c r="I3770" s="85"/>
      <c r="J3770" s="85"/>
      <c r="K3770" s="131"/>
      <c r="L3770" s="60"/>
      <c r="M3770" s="33"/>
      <c r="Q3770" s="3"/>
      <c r="R3770" s="3"/>
      <c r="S3770" s="3"/>
      <c r="T3770" s="3"/>
      <c r="U3770" s="3"/>
      <c r="V3770" s="3"/>
      <c r="W3770" s="3"/>
      <c r="X3770" s="3"/>
      <c r="Y3770" s="3"/>
      <c r="Z3770" s="4"/>
      <c r="AA3770"/>
      <c r="AB3770"/>
    </row>
    <row r="3771" spans="1:28" s="37" customFormat="1" x14ac:dyDescent="0.15">
      <c r="A3771" s="166"/>
      <c r="B3771" s="82"/>
      <c r="C3771" s="70"/>
      <c r="D3771" s="70"/>
      <c r="E3771" s="70"/>
      <c r="F3771" s="70"/>
      <c r="G3771" s="70"/>
      <c r="H3771" s="93"/>
      <c r="I3771" s="85"/>
      <c r="J3771" s="85"/>
      <c r="K3771" s="131"/>
      <c r="L3771" s="60"/>
      <c r="M3771" s="49"/>
      <c r="Q3771" s="3"/>
      <c r="R3771" s="3"/>
      <c r="S3771" s="3"/>
      <c r="T3771" s="3"/>
      <c r="U3771" s="3"/>
      <c r="V3771" s="3"/>
      <c r="W3771" s="3"/>
      <c r="X3771" s="3"/>
      <c r="Y3771" s="3"/>
      <c r="Z3771" s="4"/>
      <c r="AA3771"/>
      <c r="AB3771"/>
    </row>
    <row r="3772" spans="1:28" s="37" customFormat="1" x14ac:dyDescent="0.15">
      <c r="A3772" s="166"/>
      <c r="B3772" s="82"/>
      <c r="C3772" s="70"/>
      <c r="D3772" s="70"/>
      <c r="E3772" s="70"/>
      <c r="F3772" s="70"/>
      <c r="G3772" s="70"/>
      <c r="H3772" s="93"/>
      <c r="I3772" s="85"/>
      <c r="J3772" s="85"/>
      <c r="K3772" s="131"/>
      <c r="L3772" s="60"/>
      <c r="M3772" s="49"/>
      <c r="Q3772" s="3"/>
      <c r="R3772" s="3"/>
      <c r="S3772" s="3"/>
      <c r="T3772" s="3"/>
      <c r="U3772" s="3"/>
      <c r="V3772" s="3"/>
      <c r="W3772" s="3"/>
      <c r="X3772" s="3"/>
      <c r="Y3772" s="3"/>
      <c r="Z3772" s="4"/>
      <c r="AA3772"/>
      <c r="AB3772"/>
    </row>
    <row r="3773" spans="1:28" s="37" customFormat="1" ht="16" x14ac:dyDescent="0.2">
      <c r="A3773" s="166"/>
      <c r="B3773" s="82"/>
      <c r="C3773" s="70"/>
      <c r="D3773" s="70"/>
      <c r="E3773" s="70"/>
      <c r="F3773" s="70"/>
      <c r="G3773" s="70"/>
      <c r="H3773" s="93"/>
      <c r="I3773" s="85"/>
      <c r="J3773" s="85"/>
      <c r="K3773" s="131"/>
      <c r="L3773" s="60"/>
      <c r="M3773" s="49"/>
      <c r="N3773" s="48"/>
      <c r="Q3773" s="3"/>
      <c r="R3773" s="3"/>
      <c r="S3773" s="3"/>
      <c r="T3773" s="3"/>
      <c r="U3773" s="3"/>
      <c r="V3773" s="3"/>
      <c r="W3773" s="3"/>
      <c r="X3773" s="3"/>
      <c r="Y3773" s="3"/>
      <c r="Z3773" s="4"/>
      <c r="AA3773"/>
      <c r="AB3773"/>
    </row>
    <row r="3774" spans="1:28" ht="16" x14ac:dyDescent="0.2">
      <c r="A3774" s="166"/>
      <c r="B3774" s="82"/>
      <c r="C3774" s="70"/>
      <c r="D3774" s="70"/>
      <c r="E3774" s="70"/>
      <c r="F3774" s="70"/>
      <c r="G3774" s="70"/>
      <c r="H3774" s="93"/>
      <c r="I3774" s="85"/>
      <c r="J3774" s="85"/>
      <c r="K3774" s="131"/>
      <c r="L3774" s="60"/>
      <c r="N3774" s="48"/>
      <c r="S3774" s="14"/>
      <c r="T3774" s="14"/>
      <c r="U3774" s="14"/>
      <c r="V3774" s="14"/>
      <c r="W3774" s="14"/>
      <c r="X3774" s="14"/>
      <c r="Y3774" s="14"/>
      <c r="Z3774" s="17"/>
      <c r="AA3774" s="15"/>
      <c r="AB3774" s="15"/>
    </row>
    <row r="3775" spans="1:28" ht="16" x14ac:dyDescent="0.2">
      <c r="A3775" s="166"/>
      <c r="B3775" s="93"/>
      <c r="C3775" s="70"/>
      <c r="D3775" s="70"/>
      <c r="E3775" s="70"/>
      <c r="F3775" s="70"/>
      <c r="G3775" s="70"/>
      <c r="H3775" s="93"/>
      <c r="I3775" s="85"/>
      <c r="J3775" s="85"/>
      <c r="K3775" s="131"/>
      <c r="L3775" s="60"/>
      <c r="N3775" s="48"/>
    </row>
    <row r="3776" spans="1:28" x14ac:dyDescent="0.15">
      <c r="A3776" s="166"/>
      <c r="B3776" s="93"/>
      <c r="C3776" s="70"/>
      <c r="D3776" s="70"/>
      <c r="E3776" s="70"/>
      <c r="F3776" s="70"/>
      <c r="G3776" s="70"/>
      <c r="H3776" s="93"/>
      <c r="I3776" s="85"/>
      <c r="J3776" s="85"/>
      <c r="K3776" s="131"/>
      <c r="L3776" s="60"/>
      <c r="M3776" s="33"/>
    </row>
    <row r="3777" spans="1:28" x14ac:dyDescent="0.15">
      <c r="A3777" s="166"/>
      <c r="B3777" s="82"/>
      <c r="C3777" s="70"/>
      <c r="D3777" s="70"/>
      <c r="E3777" s="70"/>
      <c r="F3777" s="70"/>
      <c r="G3777" s="70"/>
      <c r="H3777" s="93"/>
      <c r="I3777" s="85"/>
      <c r="J3777" s="85"/>
      <c r="K3777" s="131"/>
      <c r="L3777" s="60"/>
    </row>
    <row r="3778" spans="1:28" x14ac:dyDescent="0.15">
      <c r="A3778" s="166"/>
      <c r="B3778" s="82"/>
      <c r="C3778" s="70"/>
      <c r="D3778" s="70"/>
      <c r="E3778" s="70"/>
      <c r="F3778" s="70"/>
      <c r="G3778" s="70"/>
      <c r="H3778" s="93"/>
      <c r="I3778" s="85"/>
      <c r="J3778" s="85"/>
      <c r="K3778" s="131"/>
      <c r="L3778" s="60"/>
    </row>
    <row r="3779" spans="1:28" x14ac:dyDescent="0.15">
      <c r="A3779" s="166"/>
      <c r="B3779" s="82"/>
      <c r="C3779" s="70"/>
      <c r="D3779" s="70"/>
      <c r="E3779" s="70"/>
      <c r="F3779" s="70"/>
      <c r="G3779" s="70"/>
      <c r="H3779" s="93"/>
      <c r="I3779" s="85"/>
      <c r="J3779" s="85"/>
      <c r="K3779" s="131"/>
      <c r="L3779" s="60"/>
    </row>
    <row r="3780" spans="1:28" x14ac:dyDescent="0.15">
      <c r="A3780" s="166"/>
      <c r="B3780" s="82"/>
      <c r="C3780" s="70"/>
      <c r="D3780" s="70"/>
      <c r="E3780" s="70"/>
      <c r="F3780" s="70"/>
      <c r="G3780" s="70"/>
      <c r="H3780" s="93"/>
      <c r="I3780" s="85"/>
      <c r="J3780" s="85"/>
      <c r="K3780" s="131"/>
      <c r="L3780" s="60"/>
    </row>
    <row r="3781" spans="1:28" x14ac:dyDescent="0.15">
      <c r="A3781" s="166"/>
      <c r="B3781" s="82"/>
      <c r="C3781" s="70"/>
      <c r="D3781" s="70"/>
      <c r="E3781" s="70"/>
      <c r="F3781" s="70"/>
      <c r="G3781" s="70"/>
      <c r="H3781" s="93"/>
      <c r="I3781" s="85"/>
      <c r="J3781" s="85"/>
      <c r="K3781" s="131"/>
      <c r="L3781" s="60"/>
    </row>
    <row r="3782" spans="1:28" x14ac:dyDescent="0.15">
      <c r="A3782" s="166"/>
      <c r="B3782" s="93"/>
      <c r="C3782" s="70"/>
      <c r="D3782" s="70"/>
      <c r="E3782" s="70"/>
      <c r="F3782" s="70"/>
      <c r="G3782" s="70"/>
      <c r="H3782" s="93"/>
      <c r="I3782" s="85"/>
      <c r="J3782" s="85"/>
      <c r="K3782" s="131"/>
      <c r="L3782" s="60"/>
      <c r="M3782" s="33"/>
    </row>
    <row r="3783" spans="1:28" x14ac:dyDescent="0.15">
      <c r="A3783" s="166"/>
      <c r="B3783" s="93"/>
      <c r="C3783" s="70"/>
      <c r="D3783" s="70"/>
      <c r="E3783" s="70"/>
      <c r="F3783" s="70"/>
      <c r="G3783" s="70"/>
      <c r="H3783" s="93"/>
      <c r="I3783" s="85"/>
      <c r="J3783" s="85"/>
      <c r="K3783" s="131"/>
      <c r="L3783" s="60"/>
      <c r="M3783" s="33"/>
    </row>
    <row r="3784" spans="1:28" ht="16" x14ac:dyDescent="0.2">
      <c r="A3784" s="166"/>
      <c r="B3784" s="82"/>
      <c r="C3784" s="70"/>
      <c r="D3784" s="70"/>
      <c r="E3784" s="70"/>
      <c r="F3784" s="70"/>
      <c r="G3784" s="70"/>
      <c r="H3784" s="93"/>
      <c r="I3784" s="85"/>
      <c r="J3784" s="85"/>
      <c r="K3784" s="131"/>
      <c r="L3784" s="60"/>
      <c r="N3784" s="48"/>
    </row>
    <row r="3785" spans="1:28" x14ac:dyDescent="0.15">
      <c r="A3785" s="166"/>
      <c r="B3785" s="82"/>
      <c r="C3785" s="73"/>
      <c r="D3785" s="73"/>
      <c r="E3785" s="73"/>
      <c r="F3785" s="73"/>
      <c r="G3785" s="73"/>
      <c r="H3785" s="93"/>
      <c r="I3785" s="85"/>
      <c r="J3785" s="95"/>
      <c r="K3785" s="131"/>
      <c r="L3785" s="60"/>
    </row>
    <row r="3786" spans="1:28" x14ac:dyDescent="0.15">
      <c r="A3786" s="166"/>
      <c r="B3786" s="93"/>
      <c r="C3786" s="70"/>
      <c r="D3786" s="70"/>
      <c r="E3786" s="70"/>
      <c r="F3786" s="70"/>
      <c r="G3786" s="70"/>
      <c r="H3786" s="93"/>
      <c r="I3786" s="85"/>
      <c r="J3786" s="85"/>
      <c r="K3786" s="131"/>
      <c r="L3786" s="60"/>
      <c r="M3786" s="33"/>
    </row>
    <row r="3787" spans="1:28" ht="16" x14ac:dyDescent="0.2">
      <c r="A3787" s="166"/>
      <c r="B3787" s="82"/>
      <c r="C3787" s="70"/>
      <c r="D3787" s="70"/>
      <c r="E3787" s="70"/>
      <c r="F3787" s="70"/>
      <c r="G3787" s="70"/>
      <c r="H3787" s="93"/>
      <c r="I3787" s="85"/>
      <c r="J3787" s="85"/>
      <c r="K3787" s="131"/>
      <c r="L3787" s="60"/>
      <c r="N3787" s="48"/>
    </row>
    <row r="3788" spans="1:28" x14ac:dyDescent="0.15">
      <c r="A3788" s="166"/>
      <c r="B3788" s="82"/>
      <c r="C3788" s="70"/>
      <c r="D3788" s="70"/>
      <c r="E3788" s="70"/>
      <c r="F3788" s="70"/>
      <c r="G3788" s="70"/>
      <c r="H3788" s="93"/>
      <c r="I3788" s="85"/>
      <c r="J3788" s="85"/>
      <c r="K3788" s="131"/>
      <c r="L3788" s="60"/>
    </row>
    <row r="3789" spans="1:28" x14ac:dyDescent="0.15">
      <c r="A3789" s="166"/>
      <c r="B3789" s="82"/>
      <c r="C3789" s="70"/>
      <c r="D3789" s="70"/>
      <c r="E3789" s="70"/>
      <c r="F3789" s="70"/>
      <c r="G3789" s="70"/>
      <c r="H3789" s="93"/>
      <c r="I3789" s="85"/>
      <c r="J3789" s="85"/>
      <c r="K3789" s="131"/>
      <c r="L3789" s="60"/>
    </row>
    <row r="3790" spans="1:28" s="37" customFormat="1" x14ac:dyDescent="0.15">
      <c r="A3790" s="166"/>
      <c r="B3790" s="82"/>
      <c r="C3790" s="70"/>
      <c r="D3790" s="70"/>
      <c r="E3790" s="70"/>
      <c r="F3790" s="70"/>
      <c r="G3790" s="70"/>
      <c r="H3790" s="93"/>
      <c r="I3790" s="85"/>
      <c r="J3790" s="85"/>
      <c r="K3790" s="131"/>
      <c r="L3790" s="60"/>
      <c r="M3790" s="49"/>
      <c r="Q3790" s="3"/>
      <c r="R3790" s="3"/>
      <c r="S3790" s="3"/>
      <c r="T3790" s="3"/>
      <c r="U3790" s="3"/>
      <c r="V3790" s="3"/>
      <c r="W3790" s="3"/>
      <c r="X3790" s="3"/>
      <c r="Y3790" s="3"/>
      <c r="Z3790" s="4"/>
      <c r="AA3790"/>
      <c r="AB3790"/>
    </row>
    <row r="3791" spans="1:28" s="37" customFormat="1" x14ac:dyDescent="0.15">
      <c r="A3791" s="166"/>
      <c r="B3791" s="82"/>
      <c r="C3791" s="70"/>
      <c r="D3791" s="70"/>
      <c r="E3791" s="70"/>
      <c r="F3791" s="70"/>
      <c r="G3791" s="70"/>
      <c r="H3791" s="93"/>
      <c r="I3791" s="85"/>
      <c r="J3791" s="85"/>
      <c r="K3791" s="131"/>
      <c r="L3791" s="60"/>
      <c r="M3791" s="33"/>
      <c r="Q3791" s="3"/>
      <c r="R3791" s="3"/>
      <c r="S3791" s="3"/>
      <c r="T3791" s="3"/>
      <c r="U3791" s="3"/>
      <c r="V3791" s="3"/>
      <c r="W3791" s="3"/>
      <c r="X3791" s="3"/>
      <c r="Y3791" s="3"/>
      <c r="Z3791" s="4"/>
      <c r="AA3791"/>
      <c r="AB3791"/>
    </row>
    <row r="3792" spans="1:28" s="37" customFormat="1" x14ac:dyDescent="0.15">
      <c r="A3792" s="166"/>
      <c r="B3792" s="82"/>
      <c r="C3792" s="70"/>
      <c r="D3792" s="70"/>
      <c r="E3792" s="70"/>
      <c r="F3792" s="70"/>
      <c r="G3792" s="70"/>
      <c r="H3792" s="93"/>
      <c r="I3792" s="85"/>
      <c r="J3792" s="85"/>
      <c r="K3792" s="131"/>
      <c r="L3792" s="60"/>
      <c r="M3792" s="33"/>
      <c r="Q3792" s="3"/>
      <c r="R3792" s="3"/>
      <c r="S3792" s="3"/>
      <c r="T3792" s="3"/>
      <c r="U3792" s="3"/>
      <c r="V3792" s="3"/>
      <c r="W3792" s="3"/>
      <c r="X3792" s="3"/>
      <c r="Y3792" s="3"/>
      <c r="Z3792" s="4"/>
      <c r="AA3792"/>
      <c r="AB3792"/>
    </row>
    <row r="3793" spans="1:28" s="37" customFormat="1" x14ac:dyDescent="0.15">
      <c r="A3793" s="166"/>
      <c r="B3793" s="93"/>
      <c r="C3793" s="70"/>
      <c r="D3793" s="70"/>
      <c r="E3793" s="70"/>
      <c r="F3793" s="70"/>
      <c r="G3793" s="70"/>
      <c r="H3793" s="93"/>
      <c r="I3793" s="85"/>
      <c r="J3793" s="85"/>
      <c r="K3793" s="131"/>
      <c r="L3793" s="60"/>
      <c r="M3793" s="33"/>
      <c r="Q3793" s="3"/>
      <c r="R3793" s="3"/>
      <c r="S3793" s="3"/>
      <c r="T3793" s="3"/>
      <c r="U3793" s="3"/>
      <c r="V3793" s="3"/>
      <c r="W3793" s="3"/>
      <c r="X3793" s="3"/>
      <c r="Y3793" s="3"/>
      <c r="Z3793" s="4"/>
      <c r="AA3793"/>
      <c r="AB3793"/>
    </row>
    <row r="3794" spans="1:28" s="37" customFormat="1" ht="16" x14ac:dyDescent="0.2">
      <c r="A3794" s="166"/>
      <c r="B3794" s="93"/>
      <c r="C3794" s="70"/>
      <c r="D3794" s="70"/>
      <c r="E3794" s="70"/>
      <c r="F3794" s="70"/>
      <c r="G3794" s="70"/>
      <c r="H3794" s="93"/>
      <c r="I3794" s="85"/>
      <c r="J3794" s="85"/>
      <c r="K3794" s="131"/>
      <c r="L3794" s="60"/>
      <c r="M3794" s="33"/>
      <c r="N3794" s="48"/>
      <c r="Q3794" s="3"/>
      <c r="R3794" s="3"/>
      <c r="S3794" s="3"/>
      <c r="T3794" s="3"/>
      <c r="U3794" s="3"/>
      <c r="V3794" s="3"/>
      <c r="W3794" s="3"/>
      <c r="X3794" s="3"/>
      <c r="Y3794" s="3"/>
      <c r="Z3794" s="4"/>
      <c r="AA3794"/>
      <c r="AB3794"/>
    </row>
    <row r="3795" spans="1:28" s="37" customFormat="1" x14ac:dyDescent="0.15">
      <c r="A3795" s="166"/>
      <c r="B3795" s="93"/>
      <c r="C3795" s="70"/>
      <c r="D3795" s="70"/>
      <c r="E3795" s="70"/>
      <c r="F3795" s="70"/>
      <c r="G3795" s="70"/>
      <c r="H3795" s="93"/>
      <c r="I3795" s="85"/>
      <c r="J3795" s="85"/>
      <c r="K3795" s="131"/>
      <c r="L3795" s="60"/>
      <c r="M3795" s="33"/>
      <c r="Q3795" s="3"/>
      <c r="R3795" s="3"/>
      <c r="S3795" s="3"/>
      <c r="T3795" s="3"/>
      <c r="U3795" s="3"/>
      <c r="V3795" s="3"/>
      <c r="W3795" s="3"/>
      <c r="X3795" s="3"/>
      <c r="Y3795" s="3"/>
      <c r="Z3795" s="4"/>
      <c r="AA3795"/>
      <c r="AB3795"/>
    </row>
    <row r="3796" spans="1:28" s="37" customFormat="1" x14ac:dyDescent="0.15">
      <c r="A3796" s="166"/>
      <c r="B3796" s="93"/>
      <c r="C3796" s="70"/>
      <c r="D3796" s="70"/>
      <c r="E3796" s="70"/>
      <c r="F3796" s="70"/>
      <c r="G3796" s="70"/>
      <c r="H3796" s="93"/>
      <c r="I3796" s="85"/>
      <c r="J3796" s="85"/>
      <c r="K3796" s="131"/>
      <c r="L3796" s="60"/>
      <c r="M3796" s="33"/>
      <c r="Q3796" s="3"/>
      <c r="R3796" s="3"/>
      <c r="S3796" s="3"/>
      <c r="T3796" s="3"/>
      <c r="U3796" s="3"/>
      <c r="V3796" s="3"/>
      <c r="W3796" s="3"/>
      <c r="X3796" s="3"/>
      <c r="Y3796" s="3"/>
      <c r="Z3796" s="4"/>
      <c r="AA3796"/>
      <c r="AB3796"/>
    </row>
    <row r="3797" spans="1:28" s="37" customFormat="1" x14ac:dyDescent="0.15">
      <c r="A3797" s="166"/>
      <c r="B3797" s="93"/>
      <c r="C3797" s="70"/>
      <c r="D3797" s="70"/>
      <c r="E3797" s="70"/>
      <c r="F3797" s="70"/>
      <c r="G3797" s="70"/>
      <c r="H3797" s="93"/>
      <c r="I3797" s="85"/>
      <c r="J3797" s="85"/>
      <c r="K3797" s="131"/>
      <c r="L3797" s="60"/>
      <c r="M3797" s="33"/>
      <c r="Q3797" s="3"/>
      <c r="R3797" s="3"/>
      <c r="S3797" s="3"/>
      <c r="T3797" s="3"/>
      <c r="U3797" s="3"/>
      <c r="V3797" s="3"/>
      <c r="W3797" s="3"/>
      <c r="X3797" s="3"/>
      <c r="Y3797" s="3"/>
      <c r="Z3797" s="4"/>
      <c r="AA3797"/>
      <c r="AB3797"/>
    </row>
    <row r="3798" spans="1:28" s="37" customFormat="1" x14ac:dyDescent="0.15">
      <c r="A3798" s="166"/>
      <c r="B3798" s="93"/>
      <c r="C3798" s="70"/>
      <c r="D3798" s="70"/>
      <c r="E3798" s="70"/>
      <c r="F3798" s="70"/>
      <c r="G3798" s="70"/>
      <c r="H3798" s="93"/>
      <c r="I3798" s="85"/>
      <c r="J3798" s="85"/>
      <c r="K3798" s="131"/>
      <c r="L3798" s="60"/>
      <c r="M3798" s="33"/>
      <c r="Q3798" s="3"/>
      <c r="R3798" s="3"/>
      <c r="S3798" s="3"/>
      <c r="T3798" s="3"/>
      <c r="U3798" s="3"/>
      <c r="V3798" s="3"/>
      <c r="W3798" s="3"/>
      <c r="X3798" s="3"/>
      <c r="Y3798" s="3"/>
      <c r="Z3798" s="4"/>
      <c r="AA3798"/>
      <c r="AB3798"/>
    </row>
    <row r="3799" spans="1:28" s="37" customFormat="1" x14ac:dyDescent="0.15">
      <c r="A3799" s="166"/>
      <c r="B3799" s="82"/>
      <c r="C3799" s="70"/>
      <c r="D3799" s="70"/>
      <c r="E3799" s="70"/>
      <c r="F3799" s="70"/>
      <c r="G3799" s="70"/>
      <c r="H3799" s="93"/>
      <c r="I3799" s="85"/>
      <c r="J3799" s="85"/>
      <c r="K3799" s="131"/>
      <c r="L3799" s="60"/>
      <c r="M3799" s="49"/>
      <c r="Q3799" s="3"/>
      <c r="R3799" s="3"/>
      <c r="S3799" s="3"/>
      <c r="T3799" s="3"/>
      <c r="U3799" s="3"/>
      <c r="V3799" s="3"/>
      <c r="W3799" s="3"/>
      <c r="X3799" s="3"/>
      <c r="Y3799" s="3"/>
      <c r="Z3799" s="4"/>
      <c r="AA3799"/>
      <c r="AB3799"/>
    </row>
    <row r="3800" spans="1:28" s="37" customFormat="1" x14ac:dyDescent="0.15">
      <c r="A3800" s="166"/>
      <c r="B3800" s="82"/>
      <c r="C3800" s="70"/>
      <c r="D3800" s="70"/>
      <c r="E3800" s="70"/>
      <c r="F3800" s="70"/>
      <c r="G3800" s="70"/>
      <c r="H3800" s="93"/>
      <c r="I3800" s="85"/>
      <c r="J3800" s="85"/>
      <c r="K3800" s="131"/>
      <c r="L3800" s="60"/>
      <c r="M3800" s="33"/>
      <c r="Q3800" s="3"/>
      <c r="R3800" s="3"/>
      <c r="S3800" s="3"/>
      <c r="T3800" s="3"/>
      <c r="U3800" s="3"/>
      <c r="V3800" s="3"/>
      <c r="W3800" s="3"/>
      <c r="X3800" s="3"/>
      <c r="Y3800" s="3"/>
      <c r="Z3800" s="4"/>
      <c r="AA3800"/>
      <c r="AB3800"/>
    </row>
    <row r="3801" spans="1:28" s="37" customFormat="1" x14ac:dyDescent="0.15">
      <c r="A3801" s="166"/>
      <c r="B3801" s="82"/>
      <c r="C3801" s="70"/>
      <c r="D3801" s="70"/>
      <c r="E3801" s="70"/>
      <c r="F3801" s="70"/>
      <c r="G3801" s="70"/>
      <c r="H3801" s="93"/>
      <c r="I3801" s="85"/>
      <c r="J3801" s="85"/>
      <c r="K3801" s="131"/>
      <c r="L3801" s="60"/>
      <c r="M3801" s="49"/>
      <c r="Q3801" s="3"/>
      <c r="R3801" s="3"/>
      <c r="S3801" s="3"/>
      <c r="T3801" s="3"/>
      <c r="U3801" s="3"/>
      <c r="V3801" s="3"/>
      <c r="W3801" s="3"/>
      <c r="X3801" s="3"/>
      <c r="Y3801" s="3"/>
      <c r="Z3801" s="4"/>
      <c r="AA3801"/>
      <c r="AB3801"/>
    </row>
    <row r="3802" spans="1:28" s="37" customFormat="1" x14ac:dyDescent="0.15">
      <c r="A3802" s="166"/>
      <c r="B3802" s="93"/>
      <c r="C3802" s="70"/>
      <c r="D3802" s="70"/>
      <c r="E3802" s="70"/>
      <c r="F3802" s="70"/>
      <c r="G3802" s="70"/>
      <c r="H3802" s="93"/>
      <c r="I3802" s="85"/>
      <c r="J3802" s="85"/>
      <c r="K3802" s="131"/>
      <c r="L3802" s="60"/>
      <c r="M3802" s="33"/>
      <c r="Q3802" s="3"/>
      <c r="R3802" s="3"/>
      <c r="S3802" s="3"/>
      <c r="T3802" s="3"/>
      <c r="U3802" s="3"/>
      <c r="V3802" s="3"/>
      <c r="W3802" s="3"/>
      <c r="X3802" s="3"/>
      <c r="Y3802" s="3"/>
      <c r="Z3802" s="4"/>
      <c r="AA3802"/>
      <c r="AB3802"/>
    </row>
    <row r="3803" spans="1:28" s="37" customFormat="1" x14ac:dyDescent="0.15">
      <c r="A3803" s="166"/>
      <c r="B3803" s="93"/>
      <c r="C3803" s="70"/>
      <c r="D3803" s="70"/>
      <c r="E3803" s="70"/>
      <c r="F3803" s="70"/>
      <c r="G3803" s="70"/>
      <c r="H3803" s="93"/>
      <c r="I3803" s="85"/>
      <c r="J3803" s="85"/>
      <c r="K3803" s="131"/>
      <c r="L3803" s="60"/>
      <c r="M3803" s="33"/>
      <c r="Q3803" s="3"/>
      <c r="R3803" s="3"/>
      <c r="S3803" s="3"/>
      <c r="T3803" s="3"/>
      <c r="U3803" s="3"/>
      <c r="V3803" s="3"/>
      <c r="W3803" s="3"/>
      <c r="X3803" s="3"/>
      <c r="Y3803" s="3"/>
      <c r="Z3803" s="4"/>
      <c r="AA3803"/>
      <c r="AB3803"/>
    </row>
    <row r="3804" spans="1:28" s="37" customFormat="1" x14ac:dyDescent="0.15">
      <c r="A3804" s="166"/>
      <c r="B3804" s="82"/>
      <c r="C3804" s="70"/>
      <c r="D3804" s="70"/>
      <c r="E3804" s="70"/>
      <c r="F3804" s="70"/>
      <c r="G3804" s="70"/>
      <c r="H3804" s="93"/>
      <c r="I3804" s="85"/>
      <c r="J3804" s="85"/>
      <c r="K3804" s="131"/>
      <c r="L3804" s="60"/>
      <c r="M3804" s="49"/>
      <c r="Q3804" s="3"/>
      <c r="R3804" s="3"/>
      <c r="S3804" s="3"/>
      <c r="T3804" s="3"/>
      <c r="U3804" s="3"/>
      <c r="V3804" s="3"/>
      <c r="W3804" s="3"/>
      <c r="X3804" s="3"/>
      <c r="Y3804" s="3"/>
      <c r="Z3804" s="4"/>
      <c r="AA3804"/>
      <c r="AB3804"/>
    </row>
    <row r="3805" spans="1:28" s="37" customFormat="1" x14ac:dyDescent="0.15">
      <c r="A3805" s="166"/>
      <c r="B3805" s="82"/>
      <c r="C3805" s="70"/>
      <c r="D3805" s="70"/>
      <c r="E3805" s="70"/>
      <c r="F3805" s="70"/>
      <c r="G3805" s="70"/>
      <c r="H3805" s="93"/>
      <c r="I3805" s="85"/>
      <c r="J3805" s="85"/>
      <c r="K3805" s="131"/>
      <c r="L3805" s="60"/>
      <c r="M3805" s="49"/>
      <c r="Q3805" s="3"/>
      <c r="R3805" s="3"/>
      <c r="S3805" s="3"/>
      <c r="T3805" s="3"/>
      <c r="U3805" s="3"/>
      <c r="V3805" s="3"/>
      <c r="W3805" s="3"/>
      <c r="X3805" s="3"/>
      <c r="Y3805" s="3"/>
      <c r="Z3805" s="4"/>
      <c r="AA3805"/>
      <c r="AB3805"/>
    </row>
    <row r="3806" spans="1:28" s="37" customFormat="1" x14ac:dyDescent="0.15">
      <c r="A3806" s="166"/>
      <c r="B3806" s="82"/>
      <c r="C3806" s="70"/>
      <c r="D3806" s="70"/>
      <c r="E3806" s="70"/>
      <c r="F3806" s="70"/>
      <c r="G3806" s="70"/>
      <c r="H3806" s="93"/>
      <c r="I3806" s="85"/>
      <c r="J3806" s="85"/>
      <c r="K3806" s="131"/>
      <c r="L3806" s="60"/>
      <c r="M3806" s="49"/>
      <c r="Q3806" s="3"/>
      <c r="R3806" s="3"/>
      <c r="S3806" s="3"/>
      <c r="T3806" s="3"/>
      <c r="U3806" s="3"/>
      <c r="V3806" s="3"/>
      <c r="W3806" s="3"/>
      <c r="X3806" s="3"/>
      <c r="Y3806" s="3"/>
      <c r="Z3806" s="4"/>
      <c r="AA3806"/>
      <c r="AB3806"/>
    </row>
    <row r="3807" spans="1:28" s="37" customFormat="1" x14ac:dyDescent="0.15">
      <c r="A3807" s="166"/>
      <c r="B3807" s="82"/>
      <c r="C3807" s="70"/>
      <c r="D3807" s="70"/>
      <c r="E3807" s="70"/>
      <c r="F3807" s="70"/>
      <c r="G3807" s="70"/>
      <c r="H3807" s="93"/>
      <c r="I3807" s="85"/>
      <c r="J3807" s="85"/>
      <c r="K3807" s="131"/>
      <c r="L3807" s="60"/>
      <c r="M3807" s="49"/>
      <c r="Q3807" s="3"/>
      <c r="R3807" s="3"/>
      <c r="S3807" s="3"/>
      <c r="T3807" s="3"/>
      <c r="U3807" s="3"/>
      <c r="V3807" s="3"/>
      <c r="W3807" s="3"/>
      <c r="X3807" s="3"/>
      <c r="Y3807" s="3"/>
      <c r="Z3807" s="4"/>
      <c r="AA3807"/>
      <c r="AB3807"/>
    </row>
    <row r="3808" spans="1:28" s="37" customFormat="1" x14ac:dyDescent="0.15">
      <c r="A3808" s="166"/>
      <c r="B3808" s="82"/>
      <c r="C3808" s="73"/>
      <c r="D3808" s="73"/>
      <c r="E3808" s="70"/>
      <c r="F3808" s="73"/>
      <c r="G3808" s="73"/>
      <c r="H3808" s="93"/>
      <c r="I3808" s="85"/>
      <c r="J3808" s="85"/>
      <c r="K3808" s="131"/>
      <c r="L3808" s="60"/>
      <c r="M3808" s="49"/>
      <c r="Q3808" s="3"/>
      <c r="R3808" s="3"/>
      <c r="S3808" s="3"/>
      <c r="T3808" s="3"/>
      <c r="U3808" s="3"/>
      <c r="V3808" s="3"/>
      <c r="W3808" s="3"/>
      <c r="X3808" s="3"/>
      <c r="Y3808" s="3"/>
      <c r="Z3808" s="4"/>
      <c r="AA3808"/>
      <c r="AB3808"/>
    </row>
    <row r="3809" spans="1:28" s="37" customFormat="1" x14ac:dyDescent="0.15">
      <c r="A3809" s="166"/>
      <c r="B3809" s="82"/>
      <c r="C3809" s="70"/>
      <c r="D3809" s="70"/>
      <c r="E3809" s="73"/>
      <c r="F3809" s="70"/>
      <c r="G3809" s="70"/>
      <c r="H3809" s="93"/>
      <c r="I3809" s="85"/>
      <c r="J3809" s="85"/>
      <c r="K3809" s="131"/>
      <c r="L3809" s="60"/>
      <c r="M3809" s="49"/>
      <c r="Q3809" s="3"/>
      <c r="R3809" s="3"/>
      <c r="S3809" s="3"/>
      <c r="T3809" s="3"/>
      <c r="U3809" s="3"/>
      <c r="V3809" s="3"/>
      <c r="W3809" s="3"/>
      <c r="X3809" s="3"/>
      <c r="Y3809" s="3"/>
      <c r="Z3809" s="4"/>
      <c r="AA3809"/>
      <c r="AB3809"/>
    </row>
    <row r="3810" spans="1:28" s="37" customFormat="1" x14ac:dyDescent="0.15">
      <c r="A3810" s="166"/>
      <c r="B3810" s="82"/>
      <c r="C3810" s="73"/>
      <c r="D3810" s="73"/>
      <c r="E3810" s="70"/>
      <c r="F3810" s="73"/>
      <c r="G3810" s="73"/>
      <c r="H3810" s="93"/>
      <c r="I3810" s="85"/>
      <c r="J3810" s="95"/>
      <c r="K3810" s="131"/>
      <c r="L3810" s="60"/>
      <c r="M3810" s="49"/>
      <c r="Q3810" s="3"/>
      <c r="R3810" s="3"/>
      <c r="S3810" s="3"/>
      <c r="T3810" s="3"/>
      <c r="U3810" s="3"/>
      <c r="V3810" s="3"/>
      <c r="W3810" s="3"/>
      <c r="X3810" s="3"/>
      <c r="Y3810" s="3"/>
      <c r="Z3810" s="4"/>
      <c r="AA3810"/>
      <c r="AB3810"/>
    </row>
    <row r="3811" spans="1:28" s="37" customFormat="1" x14ac:dyDescent="0.15">
      <c r="A3811" s="166"/>
      <c r="B3811" s="82"/>
      <c r="C3811" s="70"/>
      <c r="D3811" s="70"/>
      <c r="E3811" s="70"/>
      <c r="F3811" s="70"/>
      <c r="G3811" s="70"/>
      <c r="H3811" s="93"/>
      <c r="I3811" s="85"/>
      <c r="J3811" s="85"/>
      <c r="K3811" s="131"/>
      <c r="L3811" s="60"/>
      <c r="M3811" s="49"/>
      <c r="Q3811" s="3"/>
      <c r="R3811" s="3"/>
      <c r="S3811" s="3"/>
      <c r="T3811" s="3"/>
      <c r="U3811" s="3"/>
      <c r="V3811" s="3"/>
      <c r="W3811" s="3"/>
      <c r="X3811" s="3"/>
      <c r="Y3811" s="3"/>
      <c r="Z3811" s="4"/>
      <c r="AA3811"/>
      <c r="AB3811"/>
    </row>
    <row r="3812" spans="1:28" s="37" customFormat="1" x14ac:dyDescent="0.15">
      <c r="A3812" s="166"/>
      <c r="B3812" s="82"/>
      <c r="C3812" s="70"/>
      <c r="D3812" s="70"/>
      <c r="E3812" s="70"/>
      <c r="F3812" s="70"/>
      <c r="G3812" s="70"/>
      <c r="H3812" s="93"/>
      <c r="I3812" s="85"/>
      <c r="J3812" s="85"/>
      <c r="K3812" s="131"/>
      <c r="L3812" s="60"/>
      <c r="M3812" s="49"/>
      <c r="Q3812" s="3"/>
      <c r="R3812" s="3"/>
      <c r="S3812" s="3"/>
      <c r="T3812" s="3"/>
      <c r="U3812" s="3"/>
      <c r="V3812" s="3"/>
      <c r="W3812" s="3"/>
      <c r="X3812" s="3"/>
      <c r="Y3812" s="3"/>
      <c r="Z3812" s="4"/>
      <c r="AA3812"/>
      <c r="AB3812"/>
    </row>
    <row r="3813" spans="1:28" s="37" customFormat="1" x14ac:dyDescent="0.15">
      <c r="A3813" s="166"/>
      <c r="B3813" s="93"/>
      <c r="C3813" s="70"/>
      <c r="D3813" s="70"/>
      <c r="E3813" s="70"/>
      <c r="F3813" s="70"/>
      <c r="G3813" s="70"/>
      <c r="H3813" s="93"/>
      <c r="I3813" s="85"/>
      <c r="J3813" s="85"/>
      <c r="K3813" s="131"/>
      <c r="L3813" s="60"/>
      <c r="M3813" s="33"/>
      <c r="Q3813" s="3"/>
      <c r="R3813" s="3"/>
      <c r="S3813" s="3"/>
      <c r="T3813" s="3"/>
      <c r="U3813" s="3"/>
      <c r="V3813" s="3"/>
      <c r="W3813" s="3"/>
      <c r="X3813" s="3"/>
      <c r="Y3813" s="3"/>
      <c r="Z3813" s="4"/>
      <c r="AA3813"/>
      <c r="AB3813"/>
    </row>
    <row r="3814" spans="1:28" s="37" customFormat="1" x14ac:dyDescent="0.15">
      <c r="A3814" s="166"/>
      <c r="B3814" s="93"/>
      <c r="C3814" s="70"/>
      <c r="D3814" s="70"/>
      <c r="E3814" s="70"/>
      <c r="F3814" s="70"/>
      <c r="G3814" s="70"/>
      <c r="H3814" s="93"/>
      <c r="I3814" s="85"/>
      <c r="J3814" s="85"/>
      <c r="K3814" s="131"/>
      <c r="L3814" s="60"/>
      <c r="M3814" s="33"/>
      <c r="Q3814" s="3"/>
      <c r="R3814" s="3"/>
      <c r="S3814" s="3"/>
      <c r="T3814" s="3"/>
      <c r="U3814" s="3"/>
      <c r="V3814" s="3"/>
      <c r="W3814" s="3"/>
      <c r="X3814" s="3"/>
      <c r="Y3814" s="3"/>
      <c r="Z3814" s="4"/>
      <c r="AA3814"/>
      <c r="AB3814"/>
    </row>
    <row r="3815" spans="1:28" s="37" customFormat="1" x14ac:dyDescent="0.15">
      <c r="A3815" s="166"/>
      <c r="B3815" s="93"/>
      <c r="C3815" s="70"/>
      <c r="D3815" s="70"/>
      <c r="E3815" s="70"/>
      <c r="F3815" s="70"/>
      <c r="G3815" s="70"/>
      <c r="H3815" s="93"/>
      <c r="I3815" s="85"/>
      <c r="J3815" s="85"/>
      <c r="K3815" s="131"/>
      <c r="L3815" s="60"/>
      <c r="M3815" s="33"/>
      <c r="Q3815" s="3"/>
      <c r="R3815" s="3"/>
      <c r="S3815" s="3"/>
      <c r="T3815" s="3"/>
      <c r="U3815" s="3"/>
      <c r="V3815" s="3"/>
      <c r="W3815" s="3"/>
      <c r="X3815" s="3"/>
      <c r="Y3815" s="3"/>
      <c r="Z3815" s="4"/>
      <c r="AA3815"/>
      <c r="AB3815"/>
    </row>
    <row r="3816" spans="1:28" s="37" customFormat="1" x14ac:dyDescent="0.15">
      <c r="A3816" s="166"/>
      <c r="B3816" s="82"/>
      <c r="C3816" s="70"/>
      <c r="D3816" s="70"/>
      <c r="E3816" s="70"/>
      <c r="F3816" s="70"/>
      <c r="G3816" s="70"/>
      <c r="H3816" s="93"/>
      <c r="I3816" s="85"/>
      <c r="J3816" s="85"/>
      <c r="K3816" s="131"/>
      <c r="L3816" s="60"/>
      <c r="M3816" s="49"/>
      <c r="Q3816" s="3"/>
      <c r="R3816" s="3"/>
      <c r="S3816" s="3"/>
      <c r="T3816" s="3"/>
      <c r="U3816" s="3"/>
      <c r="V3816" s="3"/>
      <c r="W3816" s="3"/>
      <c r="X3816" s="3"/>
      <c r="Y3816" s="3"/>
      <c r="Z3816" s="4"/>
      <c r="AA3816"/>
      <c r="AB3816"/>
    </row>
    <row r="3817" spans="1:28" s="37" customFormat="1" x14ac:dyDescent="0.15">
      <c r="A3817" s="166"/>
      <c r="B3817" s="82"/>
      <c r="C3817" s="70"/>
      <c r="D3817" s="70"/>
      <c r="E3817" s="70"/>
      <c r="F3817" s="70"/>
      <c r="G3817" s="70"/>
      <c r="H3817" s="93"/>
      <c r="I3817" s="85"/>
      <c r="J3817" s="85"/>
      <c r="K3817" s="131"/>
      <c r="L3817" s="60"/>
      <c r="M3817" s="49"/>
      <c r="Q3817" s="3"/>
      <c r="R3817" s="3"/>
      <c r="S3817" s="3"/>
      <c r="T3817" s="3"/>
      <c r="U3817" s="3"/>
      <c r="V3817" s="3"/>
      <c r="W3817" s="3"/>
      <c r="X3817" s="3"/>
      <c r="Y3817" s="3"/>
      <c r="Z3817" s="4"/>
      <c r="AA3817"/>
      <c r="AB3817"/>
    </row>
    <row r="3818" spans="1:28" s="37" customFormat="1" ht="16" x14ac:dyDescent="0.2">
      <c r="A3818" s="166"/>
      <c r="B3818" s="82"/>
      <c r="C3818" s="70"/>
      <c r="D3818" s="70"/>
      <c r="E3818" s="70"/>
      <c r="F3818" s="70"/>
      <c r="G3818" s="70"/>
      <c r="H3818" s="93"/>
      <c r="I3818" s="85"/>
      <c r="J3818" s="85"/>
      <c r="K3818" s="131"/>
      <c r="L3818" s="60"/>
      <c r="M3818" s="47"/>
      <c r="Q3818" s="3"/>
      <c r="R3818" s="3"/>
      <c r="S3818" s="3"/>
      <c r="T3818" s="3"/>
      <c r="U3818" s="3"/>
      <c r="V3818" s="3"/>
      <c r="W3818" s="3"/>
      <c r="X3818" s="3"/>
      <c r="Y3818" s="3"/>
      <c r="Z3818" s="4"/>
      <c r="AA3818"/>
      <c r="AB3818"/>
    </row>
    <row r="3819" spans="1:28" s="37" customFormat="1" x14ac:dyDescent="0.15">
      <c r="A3819" s="166"/>
      <c r="B3819" s="93"/>
      <c r="C3819" s="70"/>
      <c r="D3819" s="70"/>
      <c r="E3819" s="70"/>
      <c r="F3819" s="70"/>
      <c r="G3819" s="70"/>
      <c r="H3819" s="93"/>
      <c r="I3819" s="85"/>
      <c r="J3819" s="85"/>
      <c r="K3819" s="131"/>
      <c r="L3819" s="60"/>
      <c r="M3819" s="33"/>
      <c r="Q3819" s="3"/>
      <c r="R3819" s="3"/>
      <c r="S3819" s="3"/>
      <c r="T3819" s="3"/>
      <c r="U3819" s="3"/>
      <c r="V3819" s="3"/>
      <c r="W3819" s="3"/>
      <c r="X3819" s="3"/>
      <c r="Y3819" s="3"/>
      <c r="Z3819" s="4"/>
      <c r="AA3819"/>
      <c r="AB3819"/>
    </row>
    <row r="3820" spans="1:28" s="37" customFormat="1" x14ac:dyDescent="0.15">
      <c r="A3820" s="166"/>
      <c r="B3820" s="82"/>
      <c r="C3820" s="70"/>
      <c r="D3820" s="70"/>
      <c r="E3820" s="70"/>
      <c r="F3820" s="70"/>
      <c r="G3820" s="70"/>
      <c r="H3820" s="93"/>
      <c r="I3820" s="85"/>
      <c r="J3820" s="85"/>
      <c r="K3820" s="131"/>
      <c r="L3820" s="60"/>
      <c r="M3820" s="49"/>
      <c r="Q3820" s="3"/>
      <c r="R3820" s="3"/>
      <c r="S3820" s="3"/>
      <c r="T3820" s="3"/>
      <c r="U3820" s="3"/>
      <c r="V3820" s="3"/>
      <c r="W3820" s="3"/>
      <c r="X3820" s="3"/>
      <c r="Y3820" s="3"/>
      <c r="Z3820" s="4"/>
      <c r="AA3820"/>
      <c r="AB3820"/>
    </row>
    <row r="3821" spans="1:28" s="37" customFormat="1" x14ac:dyDescent="0.15">
      <c r="A3821" s="166"/>
      <c r="B3821" s="82"/>
      <c r="C3821" s="70"/>
      <c r="D3821" s="70"/>
      <c r="E3821" s="70"/>
      <c r="F3821" s="70"/>
      <c r="G3821" s="70"/>
      <c r="H3821" s="93"/>
      <c r="I3821" s="85"/>
      <c r="J3821" s="85"/>
      <c r="K3821" s="131"/>
      <c r="L3821" s="60"/>
      <c r="M3821" s="33"/>
      <c r="Q3821" s="3"/>
      <c r="R3821" s="3"/>
      <c r="S3821" s="3"/>
      <c r="T3821" s="3"/>
      <c r="U3821" s="3"/>
      <c r="V3821" s="3"/>
      <c r="W3821" s="3"/>
      <c r="X3821" s="3"/>
      <c r="Y3821" s="3"/>
      <c r="Z3821" s="4"/>
      <c r="AA3821"/>
      <c r="AB3821"/>
    </row>
    <row r="3822" spans="1:28" ht="16" x14ac:dyDescent="0.2">
      <c r="A3822" s="166"/>
      <c r="B3822" s="82"/>
      <c r="C3822" s="70"/>
      <c r="D3822" s="70"/>
      <c r="E3822" s="70"/>
      <c r="F3822" s="70"/>
      <c r="G3822" s="70"/>
      <c r="H3822" s="93"/>
      <c r="I3822" s="85"/>
      <c r="J3822" s="85"/>
      <c r="K3822" s="131"/>
      <c r="L3822" s="60"/>
      <c r="M3822" s="33"/>
      <c r="N3822" s="48"/>
    </row>
    <row r="3823" spans="1:28" x14ac:dyDescent="0.15">
      <c r="A3823" s="166"/>
      <c r="B3823" s="82"/>
      <c r="C3823" s="70"/>
      <c r="D3823" s="70"/>
      <c r="E3823" s="70"/>
      <c r="F3823" s="70"/>
      <c r="G3823" s="70"/>
      <c r="H3823" s="93"/>
      <c r="I3823" s="85"/>
      <c r="J3823" s="85"/>
      <c r="K3823" s="131"/>
      <c r="L3823" s="60"/>
    </row>
    <row r="3824" spans="1:28" ht="16" x14ac:dyDescent="0.2">
      <c r="A3824" s="166"/>
      <c r="B3824" s="82"/>
      <c r="C3824" s="70"/>
      <c r="D3824" s="70"/>
      <c r="E3824" s="70"/>
      <c r="F3824" s="70"/>
      <c r="G3824" s="70"/>
      <c r="H3824" s="93"/>
      <c r="I3824" s="85"/>
      <c r="J3824" s="85"/>
      <c r="K3824" s="131"/>
      <c r="L3824" s="60"/>
      <c r="M3824" s="47"/>
    </row>
    <row r="3825" spans="1:28" x14ac:dyDescent="0.15">
      <c r="A3825" s="166"/>
      <c r="B3825" s="82"/>
      <c r="C3825" s="70"/>
      <c r="D3825" s="70"/>
      <c r="E3825" s="70"/>
      <c r="F3825" s="70"/>
      <c r="G3825" s="70"/>
      <c r="H3825" s="93"/>
      <c r="I3825" s="85"/>
      <c r="J3825" s="85"/>
      <c r="K3825" s="131"/>
      <c r="L3825" s="60"/>
    </row>
    <row r="3826" spans="1:28" x14ac:dyDescent="0.15">
      <c r="A3826" s="166"/>
      <c r="B3826" s="82"/>
      <c r="C3826" s="70"/>
      <c r="D3826" s="70"/>
      <c r="E3826" s="70"/>
      <c r="F3826" s="70"/>
      <c r="G3826" s="70"/>
      <c r="H3826" s="93"/>
      <c r="I3826" s="85"/>
      <c r="J3826" s="85"/>
      <c r="K3826" s="131"/>
      <c r="L3826" s="60"/>
    </row>
    <row r="3827" spans="1:28" ht="16" x14ac:dyDescent="0.2">
      <c r="A3827" s="166"/>
      <c r="B3827" s="82"/>
      <c r="C3827" s="70"/>
      <c r="D3827" s="70"/>
      <c r="E3827" s="73"/>
      <c r="F3827" s="70"/>
      <c r="G3827" s="70"/>
      <c r="H3827" s="93"/>
      <c r="I3827" s="85"/>
      <c r="J3827" s="85"/>
      <c r="K3827" s="131"/>
      <c r="L3827" s="60"/>
      <c r="N3827" s="48"/>
    </row>
    <row r="3828" spans="1:28" ht="16" x14ac:dyDescent="0.2">
      <c r="A3828" s="166"/>
      <c r="B3828" s="82"/>
      <c r="C3828" s="70"/>
      <c r="D3828" s="70"/>
      <c r="E3828" s="70"/>
      <c r="F3828" s="70"/>
      <c r="G3828" s="70"/>
      <c r="H3828" s="93"/>
      <c r="I3828" s="85"/>
      <c r="J3828" s="85"/>
      <c r="K3828" s="131"/>
      <c r="L3828" s="60"/>
      <c r="N3828" s="48"/>
    </row>
    <row r="3829" spans="1:28" x14ac:dyDescent="0.15">
      <c r="A3829" s="166"/>
      <c r="B3829" s="82"/>
      <c r="C3829" s="70"/>
      <c r="D3829" s="70"/>
      <c r="E3829" s="70"/>
      <c r="F3829" s="70"/>
      <c r="G3829" s="70"/>
      <c r="H3829" s="93"/>
      <c r="I3829" s="85"/>
      <c r="J3829" s="85"/>
      <c r="K3829" s="131"/>
      <c r="L3829" s="60"/>
    </row>
    <row r="3830" spans="1:28" x14ac:dyDescent="0.15">
      <c r="A3830" s="166"/>
      <c r="B3830" s="93"/>
      <c r="C3830" s="70"/>
      <c r="D3830" s="70"/>
      <c r="E3830" s="70"/>
      <c r="F3830" s="70"/>
      <c r="G3830" s="70"/>
      <c r="H3830" s="93"/>
      <c r="I3830" s="85"/>
      <c r="J3830" s="85"/>
      <c r="K3830" s="131"/>
      <c r="L3830" s="60"/>
    </row>
    <row r="3831" spans="1:28" x14ac:dyDescent="0.15">
      <c r="A3831" s="166"/>
      <c r="B3831" s="93"/>
      <c r="C3831" s="70"/>
      <c r="D3831" s="70"/>
      <c r="E3831" s="70"/>
      <c r="F3831" s="70"/>
      <c r="G3831" s="70"/>
      <c r="H3831" s="93"/>
      <c r="I3831" s="85"/>
      <c r="J3831" s="85"/>
      <c r="K3831" s="131"/>
      <c r="L3831" s="60"/>
      <c r="M3831" s="33"/>
      <c r="S3831" s="12"/>
      <c r="T3831" s="12"/>
      <c r="U3831" s="12"/>
      <c r="V3831" s="12"/>
      <c r="W3831" s="12"/>
      <c r="X3831" s="12"/>
      <c r="Y3831" s="12"/>
      <c r="Z3831" s="16"/>
      <c r="AA3831" s="13"/>
      <c r="AB3831" s="13"/>
    </row>
    <row r="3832" spans="1:28" x14ac:dyDescent="0.15">
      <c r="A3832" s="166"/>
      <c r="B3832" s="82"/>
      <c r="C3832" s="70"/>
      <c r="D3832" s="70"/>
      <c r="E3832" s="70"/>
      <c r="F3832" s="70"/>
      <c r="G3832" s="70"/>
      <c r="H3832" s="93"/>
      <c r="I3832" s="85"/>
      <c r="J3832" s="85"/>
      <c r="K3832" s="131"/>
      <c r="L3832" s="60"/>
      <c r="M3832" s="33"/>
    </row>
    <row r="3833" spans="1:28" ht="16" x14ac:dyDescent="0.2">
      <c r="A3833" s="166"/>
      <c r="B3833" s="82"/>
      <c r="C3833" s="70"/>
      <c r="D3833" s="70"/>
      <c r="E3833" s="70"/>
      <c r="F3833" s="70"/>
      <c r="G3833" s="70"/>
      <c r="H3833" s="93"/>
      <c r="I3833" s="85"/>
      <c r="J3833" s="85"/>
      <c r="K3833" s="131"/>
      <c r="L3833" s="60"/>
      <c r="M3833" s="33"/>
      <c r="N3833" s="48"/>
    </row>
    <row r="3834" spans="1:28" ht="16" x14ac:dyDescent="0.2">
      <c r="A3834" s="166"/>
      <c r="B3834" s="82"/>
      <c r="C3834" s="73"/>
      <c r="D3834" s="73"/>
      <c r="E3834" s="70"/>
      <c r="F3834" s="73"/>
      <c r="G3834" s="73"/>
      <c r="H3834" s="93"/>
      <c r="I3834" s="85"/>
      <c r="J3834" s="95"/>
      <c r="K3834" s="131"/>
      <c r="L3834" s="60"/>
      <c r="M3834" s="33"/>
      <c r="N3834" s="48"/>
    </row>
    <row r="3835" spans="1:28" ht="16" x14ac:dyDescent="0.2">
      <c r="A3835" s="166"/>
      <c r="B3835" s="93"/>
      <c r="C3835" s="70"/>
      <c r="D3835" s="70"/>
      <c r="E3835" s="70"/>
      <c r="F3835" s="70"/>
      <c r="G3835" s="70"/>
      <c r="H3835" s="93"/>
      <c r="I3835" s="85"/>
      <c r="J3835" s="85"/>
      <c r="K3835" s="131"/>
      <c r="L3835" s="60"/>
      <c r="M3835" s="33"/>
      <c r="N3835" s="48"/>
    </row>
    <row r="3836" spans="1:28" x14ac:dyDescent="0.15">
      <c r="A3836" s="166"/>
      <c r="B3836" s="93"/>
      <c r="C3836" s="73"/>
      <c r="D3836" s="73"/>
      <c r="E3836" s="70"/>
      <c r="F3836" s="70"/>
      <c r="G3836" s="70"/>
      <c r="H3836" s="93"/>
      <c r="I3836" s="85"/>
      <c r="J3836" s="85"/>
      <c r="K3836" s="131"/>
      <c r="L3836" s="60"/>
      <c r="M3836" s="33"/>
    </row>
    <row r="3837" spans="1:28" x14ac:dyDescent="0.15">
      <c r="A3837" s="166"/>
      <c r="B3837" s="82"/>
      <c r="C3837" s="70"/>
      <c r="D3837" s="70"/>
      <c r="E3837" s="70"/>
      <c r="F3837" s="70"/>
      <c r="G3837" s="70"/>
      <c r="H3837" s="93"/>
      <c r="I3837" s="85"/>
      <c r="J3837" s="85"/>
      <c r="K3837" s="131"/>
      <c r="L3837" s="60"/>
      <c r="M3837" s="33"/>
    </row>
    <row r="3838" spans="1:28" s="37" customFormat="1" x14ac:dyDescent="0.15">
      <c r="A3838" s="166"/>
      <c r="B3838" s="82"/>
      <c r="C3838" s="70"/>
      <c r="D3838" s="70"/>
      <c r="E3838" s="70"/>
      <c r="F3838" s="70"/>
      <c r="G3838" s="70"/>
      <c r="H3838" s="93"/>
      <c r="I3838" s="85"/>
      <c r="J3838" s="85"/>
      <c r="K3838" s="131"/>
      <c r="L3838" s="60"/>
      <c r="M3838" s="33"/>
      <c r="Q3838" s="3"/>
      <c r="R3838" s="3"/>
      <c r="S3838" s="3"/>
      <c r="T3838" s="3"/>
      <c r="U3838" s="3"/>
      <c r="V3838" s="3"/>
      <c r="W3838" s="3"/>
      <c r="X3838" s="3"/>
      <c r="Y3838" s="3"/>
      <c r="Z3838" s="4"/>
      <c r="AA3838"/>
      <c r="AB3838"/>
    </row>
    <row r="3839" spans="1:28" s="37" customFormat="1" x14ac:dyDescent="0.15">
      <c r="A3839" s="166"/>
      <c r="B3839" s="82"/>
      <c r="C3839" s="70"/>
      <c r="D3839" s="70"/>
      <c r="E3839" s="70"/>
      <c r="F3839" s="70"/>
      <c r="G3839" s="70"/>
      <c r="H3839" s="93"/>
      <c r="I3839" s="85"/>
      <c r="J3839" s="85"/>
      <c r="K3839" s="131"/>
      <c r="L3839" s="60"/>
      <c r="M3839" s="49"/>
      <c r="Q3839" s="3"/>
      <c r="R3839" s="3"/>
      <c r="S3839" s="3"/>
      <c r="T3839" s="3"/>
      <c r="U3839" s="3"/>
      <c r="V3839" s="3"/>
      <c r="W3839" s="3"/>
      <c r="X3839" s="3"/>
      <c r="Y3839" s="3"/>
      <c r="Z3839" s="4"/>
      <c r="AA3839"/>
      <c r="AB3839"/>
    </row>
    <row r="3840" spans="1:28" s="37" customFormat="1" x14ac:dyDescent="0.15">
      <c r="A3840" s="166"/>
      <c r="B3840" s="93"/>
      <c r="C3840" s="70"/>
      <c r="D3840" s="70"/>
      <c r="E3840" s="70"/>
      <c r="F3840" s="70"/>
      <c r="G3840" s="70"/>
      <c r="H3840" s="93"/>
      <c r="I3840" s="85"/>
      <c r="J3840" s="85"/>
      <c r="K3840" s="131"/>
      <c r="L3840" s="60"/>
      <c r="M3840" s="33"/>
      <c r="Q3840" s="3"/>
      <c r="R3840" s="3"/>
      <c r="S3840" s="3"/>
      <c r="T3840" s="3"/>
      <c r="U3840" s="3"/>
      <c r="V3840" s="3"/>
      <c r="W3840" s="3"/>
      <c r="X3840" s="3"/>
      <c r="Y3840" s="3"/>
      <c r="Z3840" s="4"/>
      <c r="AA3840"/>
      <c r="AB3840"/>
    </row>
    <row r="3841" spans="1:28" s="37" customFormat="1" ht="16" x14ac:dyDescent="0.2">
      <c r="A3841" s="166"/>
      <c r="B3841" s="82"/>
      <c r="C3841" s="70"/>
      <c r="D3841" s="70"/>
      <c r="E3841" s="70"/>
      <c r="F3841" s="70"/>
      <c r="G3841" s="70"/>
      <c r="H3841" s="93"/>
      <c r="I3841" s="85"/>
      <c r="J3841" s="210"/>
      <c r="K3841" s="131"/>
      <c r="L3841" s="60"/>
      <c r="M3841" s="33"/>
      <c r="N3841" s="48"/>
      <c r="Q3841" s="3"/>
      <c r="R3841" s="3"/>
      <c r="S3841" s="3"/>
      <c r="T3841" s="3"/>
      <c r="U3841" s="3"/>
      <c r="V3841" s="3"/>
      <c r="W3841" s="3"/>
      <c r="X3841" s="3"/>
      <c r="Y3841" s="3"/>
      <c r="Z3841" s="4"/>
      <c r="AA3841"/>
      <c r="AB3841"/>
    </row>
    <row r="3842" spans="1:28" s="37" customFormat="1" x14ac:dyDescent="0.15">
      <c r="A3842" s="166"/>
      <c r="B3842" s="82"/>
      <c r="C3842" s="70"/>
      <c r="D3842" s="70"/>
      <c r="E3842" s="70"/>
      <c r="F3842" s="70"/>
      <c r="G3842" s="70"/>
      <c r="H3842" s="93"/>
      <c r="I3842" s="85"/>
      <c r="J3842" s="85"/>
      <c r="K3842" s="131"/>
      <c r="L3842" s="60"/>
      <c r="M3842" s="49"/>
      <c r="Q3842" s="3"/>
      <c r="R3842" s="3"/>
      <c r="S3842" s="3"/>
      <c r="T3842" s="3"/>
      <c r="U3842" s="3"/>
      <c r="V3842" s="3"/>
      <c r="W3842" s="3"/>
      <c r="X3842" s="3"/>
      <c r="Y3842" s="3"/>
      <c r="Z3842" s="4"/>
      <c r="AA3842"/>
      <c r="AB3842"/>
    </row>
    <row r="3843" spans="1:28" s="37" customFormat="1" x14ac:dyDescent="0.15">
      <c r="A3843" s="166"/>
      <c r="B3843" s="82"/>
      <c r="C3843" s="70"/>
      <c r="D3843" s="70"/>
      <c r="E3843" s="70"/>
      <c r="F3843" s="70"/>
      <c r="G3843" s="70"/>
      <c r="H3843" s="93"/>
      <c r="I3843" s="85"/>
      <c r="J3843" s="85"/>
      <c r="K3843" s="131"/>
      <c r="L3843" s="60"/>
      <c r="M3843" s="49"/>
      <c r="Q3843" s="3"/>
      <c r="R3843" s="3"/>
      <c r="S3843" s="3"/>
      <c r="T3843" s="3"/>
      <c r="U3843" s="3"/>
      <c r="V3843" s="3"/>
      <c r="W3843" s="3"/>
      <c r="X3843" s="3"/>
      <c r="Y3843" s="3"/>
      <c r="Z3843" s="4"/>
      <c r="AA3843"/>
      <c r="AB3843"/>
    </row>
    <row r="3844" spans="1:28" s="37" customFormat="1" x14ac:dyDescent="0.15">
      <c r="A3844" s="166"/>
      <c r="B3844" s="82"/>
      <c r="C3844" s="70"/>
      <c r="D3844" s="70"/>
      <c r="E3844" s="70"/>
      <c r="F3844" s="70"/>
      <c r="G3844" s="70"/>
      <c r="H3844" s="93"/>
      <c r="I3844" s="85"/>
      <c r="J3844" s="85"/>
      <c r="K3844" s="131"/>
      <c r="L3844" s="60"/>
      <c r="M3844" s="49"/>
      <c r="Q3844" s="3"/>
      <c r="R3844" s="3"/>
      <c r="S3844" s="3"/>
      <c r="T3844" s="3"/>
      <c r="U3844" s="3"/>
      <c r="V3844" s="3"/>
      <c r="W3844" s="3"/>
      <c r="X3844" s="3"/>
      <c r="Y3844" s="3"/>
      <c r="Z3844" s="4"/>
      <c r="AA3844"/>
      <c r="AB3844"/>
    </row>
    <row r="3845" spans="1:28" s="37" customFormat="1" x14ac:dyDescent="0.15">
      <c r="A3845" s="166"/>
      <c r="B3845" s="82"/>
      <c r="C3845" s="70"/>
      <c r="D3845" s="70"/>
      <c r="E3845" s="73"/>
      <c r="F3845" s="70"/>
      <c r="G3845" s="70"/>
      <c r="H3845" s="93"/>
      <c r="I3845" s="85"/>
      <c r="J3845" s="85"/>
      <c r="K3845" s="131"/>
      <c r="L3845" s="60"/>
      <c r="M3845" s="49"/>
      <c r="Q3845" s="3"/>
      <c r="R3845" s="3"/>
      <c r="S3845" s="3"/>
      <c r="T3845" s="3"/>
      <c r="U3845" s="3"/>
      <c r="V3845" s="3"/>
      <c r="W3845" s="3"/>
      <c r="X3845" s="3"/>
      <c r="Y3845" s="3"/>
      <c r="Z3845" s="4"/>
      <c r="AA3845"/>
      <c r="AB3845"/>
    </row>
    <row r="3846" spans="1:28" s="37" customFormat="1" x14ac:dyDescent="0.15">
      <c r="A3846" s="166"/>
      <c r="B3846" s="82"/>
      <c r="C3846" s="70"/>
      <c r="D3846" s="70"/>
      <c r="E3846" s="70"/>
      <c r="F3846" s="70"/>
      <c r="G3846" s="70"/>
      <c r="H3846" s="93"/>
      <c r="I3846" s="85"/>
      <c r="J3846" s="85"/>
      <c r="K3846" s="131"/>
      <c r="L3846" s="60"/>
      <c r="M3846" s="49"/>
      <c r="Q3846" s="3"/>
      <c r="R3846" s="3"/>
      <c r="S3846" s="3"/>
      <c r="T3846" s="3"/>
      <c r="U3846" s="3"/>
      <c r="V3846" s="3"/>
      <c r="W3846" s="3"/>
      <c r="X3846" s="3"/>
      <c r="Y3846" s="3"/>
      <c r="Z3846" s="4"/>
      <c r="AA3846"/>
      <c r="AB3846"/>
    </row>
    <row r="3847" spans="1:28" s="37" customFormat="1" x14ac:dyDescent="0.15">
      <c r="A3847" s="166"/>
      <c r="B3847" s="82"/>
      <c r="C3847" s="70"/>
      <c r="D3847" s="70"/>
      <c r="E3847" s="70"/>
      <c r="F3847" s="70"/>
      <c r="G3847" s="70"/>
      <c r="H3847" s="93"/>
      <c r="I3847" s="85"/>
      <c r="J3847" s="85"/>
      <c r="K3847" s="131"/>
      <c r="L3847" s="60"/>
      <c r="M3847" s="49"/>
      <c r="Q3847" s="3"/>
      <c r="R3847" s="3"/>
      <c r="S3847" s="3"/>
      <c r="T3847" s="3"/>
      <c r="U3847" s="3"/>
      <c r="V3847" s="3"/>
      <c r="W3847" s="3"/>
      <c r="X3847" s="3"/>
      <c r="Y3847" s="3"/>
      <c r="Z3847" s="4"/>
      <c r="AA3847"/>
      <c r="AB3847"/>
    </row>
    <row r="3848" spans="1:28" s="37" customFormat="1" x14ac:dyDescent="0.15">
      <c r="A3848" s="166"/>
      <c r="B3848" s="82"/>
      <c r="C3848" s="70"/>
      <c r="D3848" s="70"/>
      <c r="E3848" s="70"/>
      <c r="F3848" s="70"/>
      <c r="G3848" s="70"/>
      <c r="H3848" s="93"/>
      <c r="I3848" s="85"/>
      <c r="J3848" s="85"/>
      <c r="K3848" s="131"/>
      <c r="L3848" s="60"/>
      <c r="M3848" s="49"/>
      <c r="Q3848" s="3"/>
      <c r="R3848" s="3"/>
      <c r="S3848" s="3"/>
      <c r="T3848" s="3"/>
      <c r="U3848" s="3"/>
      <c r="V3848" s="3"/>
      <c r="W3848" s="3"/>
      <c r="X3848" s="3"/>
      <c r="Y3848" s="3"/>
      <c r="Z3848" s="4"/>
      <c r="AA3848"/>
      <c r="AB3848"/>
    </row>
    <row r="3849" spans="1:28" s="37" customFormat="1" x14ac:dyDescent="0.15">
      <c r="A3849" s="166"/>
      <c r="B3849" s="82"/>
      <c r="C3849" s="70"/>
      <c r="D3849" s="70"/>
      <c r="E3849" s="70"/>
      <c r="F3849" s="70"/>
      <c r="G3849" s="70"/>
      <c r="H3849" s="93"/>
      <c r="I3849" s="85"/>
      <c r="J3849" s="85"/>
      <c r="K3849" s="131"/>
      <c r="L3849" s="60"/>
      <c r="M3849" s="49"/>
      <c r="Q3849" s="3"/>
      <c r="R3849" s="3"/>
      <c r="S3849" s="3"/>
      <c r="T3849" s="3"/>
      <c r="U3849" s="3"/>
      <c r="V3849" s="3"/>
      <c r="W3849" s="3"/>
      <c r="X3849" s="3"/>
      <c r="Y3849" s="3"/>
      <c r="Z3849" s="4"/>
      <c r="AA3849"/>
      <c r="AB3849"/>
    </row>
    <row r="3850" spans="1:28" s="37" customFormat="1" x14ac:dyDescent="0.15">
      <c r="A3850" s="166"/>
      <c r="B3850" s="82"/>
      <c r="C3850" s="70"/>
      <c r="D3850" s="70"/>
      <c r="E3850" s="70"/>
      <c r="F3850" s="70"/>
      <c r="G3850" s="70"/>
      <c r="H3850" s="93"/>
      <c r="I3850" s="85"/>
      <c r="J3850" s="85"/>
      <c r="K3850" s="131"/>
      <c r="L3850" s="60"/>
      <c r="M3850" s="49"/>
      <c r="Q3850" s="3"/>
      <c r="R3850" s="3"/>
      <c r="S3850" s="3"/>
      <c r="T3850" s="3"/>
      <c r="U3850" s="3"/>
      <c r="V3850" s="3"/>
      <c r="W3850" s="3"/>
      <c r="X3850" s="3"/>
      <c r="Y3850" s="3"/>
      <c r="Z3850" s="4"/>
      <c r="AA3850"/>
      <c r="AB3850"/>
    </row>
    <row r="3851" spans="1:28" s="37" customFormat="1" x14ac:dyDescent="0.15">
      <c r="A3851" s="166"/>
      <c r="B3851" s="82"/>
      <c r="C3851" s="70"/>
      <c r="D3851" s="70"/>
      <c r="E3851" s="70"/>
      <c r="F3851" s="70"/>
      <c r="G3851" s="70"/>
      <c r="H3851" s="93"/>
      <c r="I3851" s="85"/>
      <c r="J3851" s="85"/>
      <c r="K3851" s="131"/>
      <c r="L3851" s="60"/>
      <c r="M3851" s="49"/>
      <c r="Q3851" s="3"/>
      <c r="R3851" s="3"/>
      <c r="S3851" s="3"/>
      <c r="T3851" s="3"/>
      <c r="U3851" s="3"/>
      <c r="V3851" s="3"/>
      <c r="W3851" s="3"/>
      <c r="X3851" s="3"/>
      <c r="Y3851" s="3"/>
      <c r="Z3851" s="4"/>
      <c r="AA3851"/>
      <c r="AB3851"/>
    </row>
    <row r="3852" spans="1:28" s="37" customFormat="1" x14ac:dyDescent="0.15">
      <c r="A3852" s="166"/>
      <c r="B3852" s="93"/>
      <c r="C3852" s="70"/>
      <c r="D3852" s="70"/>
      <c r="E3852" s="70"/>
      <c r="F3852" s="70"/>
      <c r="G3852" s="70"/>
      <c r="H3852" s="93"/>
      <c r="I3852" s="85"/>
      <c r="J3852" s="85"/>
      <c r="K3852" s="131"/>
      <c r="L3852" s="60"/>
      <c r="M3852" s="49"/>
      <c r="Q3852" s="3"/>
      <c r="R3852" s="3"/>
      <c r="S3852" s="3"/>
      <c r="T3852" s="3"/>
      <c r="U3852" s="3"/>
      <c r="V3852" s="3"/>
      <c r="W3852" s="3"/>
      <c r="X3852" s="3"/>
      <c r="Y3852" s="3"/>
      <c r="Z3852" s="4"/>
      <c r="AA3852"/>
      <c r="AB3852"/>
    </row>
    <row r="3853" spans="1:28" s="37" customFormat="1" x14ac:dyDescent="0.15">
      <c r="A3853" s="166"/>
      <c r="B3853" s="82"/>
      <c r="C3853" s="70"/>
      <c r="D3853" s="70"/>
      <c r="E3853" s="70"/>
      <c r="F3853" s="70"/>
      <c r="G3853" s="70"/>
      <c r="H3853" s="93"/>
      <c r="I3853" s="85"/>
      <c r="J3853" s="85"/>
      <c r="K3853" s="131"/>
      <c r="L3853" s="60"/>
      <c r="M3853" s="49"/>
      <c r="Q3853" s="3"/>
      <c r="R3853" s="3"/>
      <c r="S3853" s="3"/>
      <c r="T3853" s="3"/>
      <c r="U3853" s="3"/>
      <c r="V3853" s="3"/>
      <c r="W3853" s="3"/>
      <c r="X3853" s="3"/>
      <c r="Y3853" s="3"/>
      <c r="Z3853" s="4"/>
      <c r="AA3853"/>
      <c r="AB3853"/>
    </row>
    <row r="3854" spans="1:28" s="37" customFormat="1" x14ac:dyDescent="0.15">
      <c r="A3854" s="166"/>
      <c r="B3854" s="82"/>
      <c r="C3854" s="70"/>
      <c r="D3854" s="70"/>
      <c r="E3854" s="70"/>
      <c r="F3854" s="70"/>
      <c r="G3854" s="70"/>
      <c r="H3854" s="93"/>
      <c r="I3854" s="85"/>
      <c r="J3854" s="85"/>
      <c r="K3854" s="131"/>
      <c r="L3854" s="60"/>
      <c r="M3854" s="49"/>
      <c r="Q3854" s="3"/>
      <c r="R3854" s="3"/>
      <c r="S3854" s="3"/>
      <c r="T3854" s="3"/>
      <c r="U3854" s="3"/>
      <c r="V3854" s="3"/>
      <c r="W3854" s="3"/>
      <c r="X3854" s="3"/>
      <c r="Y3854" s="3"/>
      <c r="Z3854" s="4"/>
      <c r="AA3854"/>
      <c r="AB3854"/>
    </row>
    <row r="3855" spans="1:28" s="37" customFormat="1" x14ac:dyDescent="0.15">
      <c r="A3855" s="166"/>
      <c r="B3855" s="82"/>
      <c r="C3855" s="70"/>
      <c r="D3855" s="70"/>
      <c r="E3855" s="70"/>
      <c r="F3855" s="70"/>
      <c r="G3855" s="70"/>
      <c r="H3855" s="93"/>
      <c r="I3855" s="85"/>
      <c r="J3855" s="85"/>
      <c r="K3855" s="131"/>
      <c r="L3855" s="60"/>
      <c r="M3855" s="49"/>
      <c r="Q3855" s="3"/>
      <c r="R3855" s="3"/>
      <c r="S3855" s="3"/>
      <c r="T3855" s="3"/>
      <c r="U3855" s="3"/>
      <c r="V3855" s="3"/>
      <c r="W3855" s="3"/>
      <c r="X3855" s="3"/>
      <c r="Y3855" s="3"/>
      <c r="Z3855" s="4"/>
      <c r="AA3855"/>
      <c r="AB3855"/>
    </row>
    <row r="3856" spans="1:28" s="37" customFormat="1" x14ac:dyDescent="0.15">
      <c r="A3856" s="166"/>
      <c r="B3856" s="82"/>
      <c r="C3856" s="70"/>
      <c r="D3856" s="70"/>
      <c r="E3856" s="70"/>
      <c r="F3856" s="70"/>
      <c r="G3856" s="70"/>
      <c r="H3856" s="93"/>
      <c r="I3856" s="85"/>
      <c r="J3856" s="85"/>
      <c r="K3856" s="131"/>
      <c r="L3856" s="60"/>
      <c r="M3856" s="49"/>
      <c r="Q3856" s="3"/>
      <c r="R3856" s="3"/>
      <c r="S3856" s="3"/>
      <c r="T3856" s="3"/>
      <c r="U3856" s="3"/>
      <c r="V3856" s="3"/>
      <c r="W3856" s="3"/>
      <c r="X3856" s="3"/>
      <c r="Y3856" s="3"/>
      <c r="Z3856" s="4"/>
      <c r="AA3856"/>
      <c r="AB3856"/>
    </row>
    <row r="3857" spans="1:28" s="37" customFormat="1" x14ac:dyDescent="0.15">
      <c r="A3857" s="166"/>
      <c r="B3857" s="82"/>
      <c r="C3857" s="70"/>
      <c r="D3857" s="70"/>
      <c r="E3857" s="70"/>
      <c r="F3857" s="70"/>
      <c r="G3857" s="70"/>
      <c r="H3857" s="93"/>
      <c r="I3857" s="85"/>
      <c r="J3857" s="85"/>
      <c r="K3857" s="131"/>
      <c r="L3857" s="60"/>
      <c r="M3857" s="49"/>
      <c r="Q3857" s="3"/>
      <c r="R3857" s="3"/>
      <c r="S3857" s="3"/>
      <c r="T3857" s="3"/>
      <c r="U3857" s="3"/>
      <c r="V3857" s="3"/>
      <c r="W3857" s="3"/>
      <c r="X3857" s="3"/>
      <c r="Y3857" s="3"/>
      <c r="Z3857" s="4"/>
      <c r="AA3857"/>
      <c r="AB3857"/>
    </row>
    <row r="3858" spans="1:28" s="37" customFormat="1" x14ac:dyDescent="0.15">
      <c r="A3858" s="166"/>
      <c r="B3858" s="82"/>
      <c r="C3858" s="70"/>
      <c r="D3858" s="70"/>
      <c r="E3858" s="70"/>
      <c r="F3858" s="70"/>
      <c r="G3858" s="70"/>
      <c r="H3858" s="93"/>
      <c r="I3858" s="85"/>
      <c r="J3858" s="85"/>
      <c r="K3858" s="131"/>
      <c r="L3858" s="60"/>
      <c r="M3858" s="49"/>
      <c r="Q3858" s="3"/>
      <c r="R3858" s="3"/>
      <c r="S3858" s="3"/>
      <c r="T3858" s="3"/>
      <c r="U3858" s="3"/>
      <c r="V3858" s="3"/>
      <c r="W3858" s="3"/>
      <c r="X3858" s="3"/>
      <c r="Y3858" s="3"/>
      <c r="Z3858" s="4"/>
      <c r="AA3858"/>
      <c r="AB3858"/>
    </row>
    <row r="3859" spans="1:28" s="37" customFormat="1" x14ac:dyDescent="0.15">
      <c r="A3859" s="166"/>
      <c r="B3859" s="82"/>
      <c r="C3859" s="70"/>
      <c r="D3859" s="70"/>
      <c r="E3859" s="70"/>
      <c r="F3859" s="70"/>
      <c r="G3859" s="70"/>
      <c r="H3859" s="93"/>
      <c r="I3859" s="85"/>
      <c r="J3859" s="85"/>
      <c r="K3859" s="131"/>
      <c r="L3859" s="60"/>
      <c r="M3859" s="49"/>
      <c r="Q3859" s="3"/>
      <c r="R3859" s="3"/>
      <c r="S3859" s="3"/>
      <c r="T3859" s="3"/>
      <c r="U3859" s="3"/>
      <c r="V3859" s="3"/>
      <c r="W3859" s="3"/>
      <c r="X3859" s="3"/>
      <c r="Y3859" s="3"/>
      <c r="Z3859" s="4"/>
      <c r="AA3859"/>
      <c r="AB3859"/>
    </row>
    <row r="3860" spans="1:28" s="37" customFormat="1" x14ac:dyDescent="0.15">
      <c r="A3860" s="166"/>
      <c r="B3860" s="82"/>
      <c r="C3860" s="70"/>
      <c r="D3860" s="70"/>
      <c r="E3860" s="70"/>
      <c r="F3860" s="70"/>
      <c r="G3860" s="70"/>
      <c r="H3860" s="93"/>
      <c r="I3860" s="85"/>
      <c r="J3860" s="85"/>
      <c r="K3860" s="131"/>
      <c r="L3860" s="60"/>
      <c r="M3860" s="49"/>
      <c r="Q3860" s="3"/>
      <c r="R3860" s="3"/>
      <c r="S3860" s="3"/>
      <c r="T3860" s="3"/>
      <c r="U3860" s="3"/>
      <c r="V3860" s="3"/>
      <c r="W3860" s="3"/>
      <c r="X3860" s="3"/>
      <c r="Y3860" s="3"/>
      <c r="Z3860" s="4"/>
      <c r="AA3860"/>
      <c r="AB3860"/>
    </row>
    <row r="3861" spans="1:28" s="37" customFormat="1" x14ac:dyDescent="0.15">
      <c r="A3861" s="166"/>
      <c r="B3861" s="82"/>
      <c r="C3861" s="70"/>
      <c r="D3861" s="70"/>
      <c r="E3861" s="70"/>
      <c r="F3861" s="70"/>
      <c r="G3861" s="70"/>
      <c r="H3861" s="93"/>
      <c r="I3861" s="85"/>
      <c r="J3861" s="85"/>
      <c r="K3861" s="131"/>
      <c r="L3861" s="60"/>
      <c r="M3861" s="49"/>
      <c r="Q3861" s="3"/>
      <c r="R3861" s="3"/>
      <c r="S3861" s="3"/>
      <c r="T3861" s="3"/>
      <c r="U3861" s="3"/>
      <c r="V3861" s="3"/>
      <c r="W3861" s="3"/>
      <c r="X3861" s="3"/>
      <c r="Y3861" s="3"/>
      <c r="Z3861" s="4"/>
      <c r="AA3861"/>
      <c r="AB3861"/>
    </row>
    <row r="3862" spans="1:28" s="37" customFormat="1" x14ac:dyDescent="0.15">
      <c r="A3862" s="166"/>
      <c r="B3862" s="93"/>
      <c r="C3862" s="70"/>
      <c r="D3862" s="70"/>
      <c r="E3862" s="70"/>
      <c r="F3862" s="70"/>
      <c r="G3862" s="70"/>
      <c r="H3862" s="93"/>
      <c r="I3862" s="85"/>
      <c r="J3862" s="85"/>
      <c r="K3862" s="131"/>
      <c r="L3862" s="60"/>
      <c r="M3862" s="49"/>
      <c r="Q3862" s="3"/>
      <c r="R3862" s="3"/>
      <c r="S3862" s="3"/>
      <c r="T3862" s="3"/>
      <c r="U3862" s="3"/>
      <c r="V3862" s="3"/>
      <c r="W3862" s="3"/>
      <c r="X3862" s="3"/>
      <c r="Y3862" s="3"/>
      <c r="Z3862" s="4"/>
      <c r="AA3862"/>
      <c r="AB3862"/>
    </row>
    <row r="3863" spans="1:28" s="37" customFormat="1" x14ac:dyDescent="0.15">
      <c r="A3863" s="166"/>
      <c r="B3863" s="82"/>
      <c r="C3863" s="70"/>
      <c r="D3863" s="70"/>
      <c r="E3863" s="70"/>
      <c r="F3863" s="70"/>
      <c r="G3863" s="70"/>
      <c r="H3863" s="93"/>
      <c r="I3863" s="85"/>
      <c r="J3863" s="85"/>
      <c r="K3863" s="131"/>
      <c r="L3863" s="60"/>
      <c r="M3863" s="49"/>
      <c r="Q3863" s="3"/>
      <c r="R3863" s="3"/>
      <c r="S3863" s="3"/>
      <c r="T3863" s="3"/>
      <c r="U3863" s="3"/>
      <c r="V3863" s="3"/>
      <c r="W3863" s="3"/>
      <c r="X3863" s="3"/>
      <c r="Y3863" s="3"/>
      <c r="Z3863" s="4"/>
      <c r="AA3863"/>
      <c r="AB3863"/>
    </row>
    <row r="3864" spans="1:28" s="37" customFormat="1" x14ac:dyDescent="0.15">
      <c r="A3864" s="166"/>
      <c r="B3864" s="93"/>
      <c r="C3864" s="70"/>
      <c r="D3864" s="70"/>
      <c r="E3864" s="70"/>
      <c r="F3864" s="70"/>
      <c r="G3864" s="70"/>
      <c r="H3864" s="93"/>
      <c r="I3864" s="85"/>
      <c r="J3864" s="85"/>
      <c r="K3864" s="131"/>
      <c r="L3864" s="60"/>
      <c r="M3864" s="49"/>
      <c r="Q3864" s="3"/>
      <c r="R3864" s="3"/>
      <c r="S3864" s="3"/>
      <c r="T3864" s="3"/>
      <c r="U3864" s="3"/>
      <c r="V3864" s="3"/>
      <c r="W3864" s="3"/>
      <c r="X3864" s="3"/>
      <c r="Y3864" s="3"/>
      <c r="Z3864" s="4"/>
      <c r="AA3864"/>
      <c r="AB3864"/>
    </row>
    <row r="3865" spans="1:28" s="37" customFormat="1" x14ac:dyDescent="0.15">
      <c r="A3865" s="166"/>
      <c r="B3865" s="82"/>
      <c r="C3865" s="70"/>
      <c r="D3865" s="70"/>
      <c r="E3865" s="70"/>
      <c r="F3865" s="70"/>
      <c r="G3865" s="70"/>
      <c r="H3865" s="93"/>
      <c r="I3865" s="85"/>
      <c r="J3865" s="85"/>
      <c r="K3865" s="131"/>
      <c r="L3865" s="60"/>
      <c r="M3865" s="49"/>
      <c r="Q3865" s="3"/>
      <c r="R3865" s="3"/>
      <c r="S3865" s="3"/>
      <c r="T3865" s="3"/>
      <c r="U3865" s="3"/>
      <c r="V3865" s="3"/>
      <c r="W3865" s="3"/>
      <c r="X3865" s="3"/>
      <c r="Y3865" s="3"/>
      <c r="Z3865" s="4"/>
      <c r="AA3865"/>
      <c r="AB3865"/>
    </row>
    <row r="3866" spans="1:28" s="37" customFormat="1" x14ac:dyDescent="0.15">
      <c r="A3866" s="166"/>
      <c r="B3866" s="93"/>
      <c r="C3866" s="70"/>
      <c r="D3866" s="70"/>
      <c r="E3866" s="70"/>
      <c r="F3866" s="70"/>
      <c r="G3866" s="70"/>
      <c r="H3866" s="93"/>
      <c r="I3866" s="85"/>
      <c r="J3866" s="85"/>
      <c r="K3866" s="131"/>
      <c r="L3866" s="60"/>
      <c r="M3866" s="33"/>
      <c r="Q3866" s="3"/>
      <c r="R3866" s="3"/>
      <c r="S3866" s="3"/>
      <c r="T3866" s="3"/>
      <c r="U3866" s="3"/>
      <c r="V3866" s="3"/>
      <c r="W3866" s="3"/>
      <c r="X3866" s="3"/>
      <c r="Y3866" s="3"/>
      <c r="Z3866" s="4"/>
      <c r="AA3866"/>
      <c r="AB3866"/>
    </row>
    <row r="3867" spans="1:28" s="37" customFormat="1" x14ac:dyDescent="0.15">
      <c r="A3867" s="166"/>
      <c r="B3867" s="93"/>
      <c r="C3867" s="70"/>
      <c r="D3867" s="70"/>
      <c r="E3867" s="70"/>
      <c r="F3867" s="70"/>
      <c r="G3867" s="70"/>
      <c r="H3867" s="93"/>
      <c r="I3867" s="85"/>
      <c r="J3867" s="85"/>
      <c r="K3867" s="131"/>
      <c r="L3867" s="60"/>
      <c r="M3867" s="49"/>
      <c r="Q3867" s="3"/>
      <c r="R3867" s="3"/>
      <c r="S3867" s="3"/>
      <c r="T3867" s="3"/>
      <c r="U3867" s="3"/>
      <c r="V3867" s="3"/>
      <c r="W3867" s="3"/>
      <c r="X3867" s="3"/>
      <c r="Y3867" s="3"/>
      <c r="Z3867" s="4"/>
      <c r="AA3867"/>
      <c r="AB3867"/>
    </row>
    <row r="3868" spans="1:28" s="37" customFormat="1" x14ac:dyDescent="0.15">
      <c r="A3868" s="166"/>
      <c r="B3868" s="93"/>
      <c r="C3868" s="70"/>
      <c r="D3868" s="70"/>
      <c r="E3868" s="70"/>
      <c r="F3868" s="70"/>
      <c r="G3868" s="70"/>
      <c r="H3868" s="93"/>
      <c r="I3868" s="85"/>
      <c r="J3868" s="85"/>
      <c r="K3868" s="131"/>
      <c r="L3868" s="60"/>
      <c r="M3868" s="49"/>
      <c r="Q3868" s="3"/>
      <c r="R3868" s="3"/>
      <c r="S3868" s="3"/>
      <c r="T3868" s="3"/>
      <c r="U3868" s="3"/>
      <c r="V3868" s="3"/>
      <c r="W3868" s="3"/>
      <c r="X3868" s="3"/>
      <c r="Y3868" s="3"/>
      <c r="Z3868" s="4"/>
      <c r="AA3868"/>
      <c r="AB3868"/>
    </row>
    <row r="3869" spans="1:28" s="37" customFormat="1" x14ac:dyDescent="0.15">
      <c r="A3869" s="166"/>
      <c r="B3869" s="93"/>
      <c r="C3869" s="70"/>
      <c r="D3869" s="70"/>
      <c r="E3869" s="70"/>
      <c r="F3869" s="70"/>
      <c r="G3869" s="70"/>
      <c r="H3869" s="93"/>
      <c r="I3869" s="85"/>
      <c r="J3869" s="85"/>
      <c r="K3869" s="131"/>
      <c r="L3869" s="60"/>
      <c r="M3869" s="49"/>
      <c r="Q3869" s="3"/>
      <c r="R3869" s="3"/>
      <c r="S3869" s="3"/>
      <c r="T3869" s="3"/>
      <c r="U3869" s="3"/>
      <c r="V3869" s="3"/>
      <c r="W3869" s="3"/>
      <c r="X3869" s="3"/>
      <c r="Y3869" s="3"/>
      <c r="Z3869" s="4"/>
      <c r="AA3869"/>
      <c r="AB3869"/>
    </row>
    <row r="3870" spans="1:28" s="37" customFormat="1" x14ac:dyDescent="0.15">
      <c r="A3870" s="166"/>
      <c r="B3870" s="82"/>
      <c r="C3870" s="70"/>
      <c r="D3870" s="70"/>
      <c r="E3870" s="70"/>
      <c r="F3870" s="70"/>
      <c r="G3870" s="70"/>
      <c r="H3870" s="93"/>
      <c r="I3870" s="85"/>
      <c r="J3870" s="85"/>
      <c r="K3870" s="131"/>
      <c r="L3870" s="60"/>
      <c r="M3870" s="49"/>
      <c r="Q3870" s="3"/>
      <c r="R3870" s="3"/>
      <c r="S3870" s="3"/>
      <c r="T3870" s="3"/>
      <c r="U3870" s="3"/>
      <c r="V3870" s="3"/>
      <c r="W3870" s="3"/>
      <c r="X3870" s="3"/>
      <c r="Y3870" s="3"/>
      <c r="Z3870" s="4"/>
      <c r="AA3870"/>
      <c r="AB3870"/>
    </row>
    <row r="3871" spans="1:28" s="37" customFormat="1" x14ac:dyDescent="0.15">
      <c r="A3871" s="166"/>
      <c r="B3871" s="93"/>
      <c r="C3871" s="70"/>
      <c r="D3871" s="70"/>
      <c r="E3871" s="70"/>
      <c r="F3871" s="70"/>
      <c r="G3871" s="70"/>
      <c r="H3871" s="93"/>
      <c r="I3871" s="85"/>
      <c r="J3871" s="85"/>
      <c r="K3871" s="131"/>
      <c r="L3871" s="60"/>
      <c r="M3871" s="49"/>
      <c r="Q3871" s="3"/>
      <c r="R3871" s="3"/>
      <c r="S3871" s="3"/>
      <c r="T3871" s="3"/>
      <c r="U3871" s="3"/>
      <c r="V3871" s="3"/>
      <c r="W3871" s="3"/>
      <c r="X3871" s="3"/>
      <c r="Y3871" s="3"/>
      <c r="Z3871" s="4"/>
      <c r="AA3871"/>
      <c r="AB3871"/>
    </row>
    <row r="3872" spans="1:28" s="37" customFormat="1" x14ac:dyDescent="0.15">
      <c r="A3872" s="166"/>
      <c r="B3872" s="82"/>
      <c r="C3872" s="70"/>
      <c r="D3872" s="70"/>
      <c r="E3872" s="70"/>
      <c r="F3872" s="70"/>
      <c r="G3872" s="70"/>
      <c r="H3872" s="93"/>
      <c r="I3872" s="85"/>
      <c r="J3872" s="85"/>
      <c r="K3872" s="131"/>
      <c r="L3872" s="60"/>
      <c r="M3872" s="49"/>
      <c r="Q3872" s="3"/>
      <c r="R3872" s="3"/>
      <c r="S3872" s="3"/>
      <c r="T3872" s="3"/>
      <c r="U3872" s="3"/>
      <c r="V3872" s="3"/>
      <c r="W3872" s="3"/>
      <c r="X3872" s="3"/>
      <c r="Y3872" s="3"/>
      <c r="Z3872" s="4"/>
      <c r="AA3872"/>
      <c r="AB3872"/>
    </row>
    <row r="3873" spans="1:28" s="37" customFormat="1" x14ac:dyDescent="0.15">
      <c r="A3873" s="166"/>
      <c r="B3873" s="93"/>
      <c r="C3873" s="70"/>
      <c r="D3873" s="70"/>
      <c r="E3873" s="70"/>
      <c r="F3873" s="70"/>
      <c r="G3873" s="70"/>
      <c r="H3873" s="93"/>
      <c r="I3873" s="85"/>
      <c r="J3873" s="85"/>
      <c r="K3873" s="131"/>
      <c r="L3873" s="60"/>
      <c r="M3873" s="49"/>
      <c r="Q3873" s="3"/>
      <c r="R3873" s="3"/>
      <c r="S3873" s="3"/>
      <c r="T3873" s="3"/>
      <c r="U3873" s="3"/>
      <c r="V3873" s="3"/>
      <c r="W3873" s="3"/>
      <c r="X3873" s="3"/>
      <c r="Y3873" s="3"/>
      <c r="Z3873" s="4"/>
      <c r="AA3873"/>
      <c r="AB3873"/>
    </row>
    <row r="3874" spans="1:28" s="37" customFormat="1" ht="16" x14ac:dyDescent="0.2">
      <c r="A3874" s="166"/>
      <c r="B3874" s="82"/>
      <c r="C3874" s="73"/>
      <c r="D3874" s="73"/>
      <c r="E3874" s="70"/>
      <c r="F3874" s="73"/>
      <c r="G3874" s="73"/>
      <c r="H3874" s="93"/>
      <c r="I3874" s="85"/>
      <c r="J3874" s="95"/>
      <c r="K3874" s="131"/>
      <c r="L3874" s="60"/>
      <c r="M3874" s="47"/>
      <c r="Q3874" s="3"/>
      <c r="R3874" s="3"/>
      <c r="S3874" s="3"/>
      <c r="T3874" s="3"/>
      <c r="U3874" s="3"/>
      <c r="V3874" s="3"/>
      <c r="W3874" s="3"/>
      <c r="X3874" s="3"/>
      <c r="Y3874" s="3"/>
      <c r="Z3874" s="4"/>
      <c r="AA3874"/>
      <c r="AB3874"/>
    </row>
    <row r="3875" spans="1:28" s="37" customFormat="1" x14ac:dyDescent="0.15">
      <c r="A3875" s="166"/>
      <c r="B3875" s="93"/>
      <c r="C3875" s="70"/>
      <c r="D3875" s="70"/>
      <c r="E3875" s="70"/>
      <c r="F3875" s="70"/>
      <c r="G3875" s="70"/>
      <c r="H3875" s="93"/>
      <c r="I3875" s="85"/>
      <c r="J3875" s="85"/>
      <c r="K3875" s="131"/>
      <c r="L3875" s="60"/>
      <c r="M3875" s="49"/>
      <c r="Q3875" s="3"/>
      <c r="R3875" s="3"/>
      <c r="S3875" s="3"/>
      <c r="T3875" s="3"/>
      <c r="U3875" s="3"/>
      <c r="V3875" s="3"/>
      <c r="W3875" s="3"/>
      <c r="X3875" s="3"/>
      <c r="Y3875" s="3"/>
      <c r="Z3875" s="4"/>
      <c r="AA3875"/>
      <c r="AB3875"/>
    </row>
    <row r="3876" spans="1:28" s="37" customFormat="1" x14ac:dyDescent="0.15">
      <c r="A3876" s="206"/>
      <c r="B3876" s="93"/>
      <c r="C3876" s="70"/>
      <c r="D3876" s="70"/>
      <c r="E3876" s="70"/>
      <c r="F3876" s="70"/>
      <c r="G3876" s="70"/>
      <c r="H3876" s="93"/>
      <c r="I3876" s="85"/>
      <c r="J3876" s="85"/>
      <c r="K3876" s="131"/>
      <c r="L3876" s="60"/>
      <c r="M3876" s="49"/>
      <c r="Q3876" s="3"/>
      <c r="R3876" s="3"/>
      <c r="S3876" s="3"/>
      <c r="T3876" s="3"/>
      <c r="U3876" s="3"/>
      <c r="V3876" s="3"/>
      <c r="W3876" s="3"/>
      <c r="X3876" s="3"/>
      <c r="Y3876" s="3"/>
      <c r="Z3876" s="4"/>
      <c r="AA3876"/>
      <c r="AB3876"/>
    </row>
    <row r="3877" spans="1:28" s="37" customFormat="1" x14ac:dyDescent="0.15">
      <c r="A3877" s="166"/>
      <c r="B3877" s="82"/>
      <c r="C3877" s="70"/>
      <c r="D3877" s="70"/>
      <c r="E3877" s="70"/>
      <c r="F3877" s="70"/>
      <c r="G3877" s="70"/>
      <c r="H3877" s="93"/>
      <c r="I3877" s="85"/>
      <c r="J3877" s="85"/>
      <c r="K3877" s="131"/>
      <c r="L3877" s="60"/>
      <c r="M3877" s="49"/>
      <c r="Q3877" s="3"/>
      <c r="R3877" s="3"/>
      <c r="S3877" s="3"/>
      <c r="T3877" s="3"/>
      <c r="U3877" s="3"/>
      <c r="V3877" s="3"/>
      <c r="W3877" s="3"/>
      <c r="X3877" s="3"/>
      <c r="Y3877" s="3"/>
      <c r="Z3877" s="4"/>
      <c r="AA3877"/>
      <c r="AB3877"/>
    </row>
    <row r="3878" spans="1:28" s="37" customFormat="1" x14ac:dyDescent="0.15">
      <c r="A3878" s="166"/>
      <c r="B3878" s="82"/>
      <c r="C3878" s="70"/>
      <c r="D3878" s="70"/>
      <c r="E3878" s="70"/>
      <c r="F3878" s="70"/>
      <c r="G3878" s="70"/>
      <c r="H3878" s="93"/>
      <c r="I3878" s="85"/>
      <c r="J3878" s="85"/>
      <c r="K3878" s="131"/>
      <c r="L3878" s="60"/>
      <c r="M3878" s="49"/>
      <c r="Q3878" s="3"/>
      <c r="R3878" s="3"/>
      <c r="S3878" s="3"/>
      <c r="T3878" s="3"/>
      <c r="U3878" s="3"/>
      <c r="V3878" s="3"/>
      <c r="W3878" s="3"/>
      <c r="X3878" s="3"/>
      <c r="Y3878" s="3"/>
      <c r="Z3878" s="4"/>
      <c r="AA3878"/>
      <c r="AB3878"/>
    </row>
    <row r="3879" spans="1:28" s="37" customFormat="1" x14ac:dyDescent="0.15">
      <c r="A3879" s="166"/>
      <c r="B3879" s="82"/>
      <c r="C3879" s="70"/>
      <c r="D3879" s="70"/>
      <c r="E3879" s="70"/>
      <c r="F3879" s="70"/>
      <c r="G3879" s="70"/>
      <c r="H3879" s="93"/>
      <c r="I3879" s="85"/>
      <c r="J3879" s="85"/>
      <c r="K3879" s="131"/>
      <c r="L3879" s="60"/>
      <c r="M3879" s="49"/>
      <c r="Q3879" s="3"/>
      <c r="R3879" s="3"/>
      <c r="S3879" s="3"/>
      <c r="T3879" s="3"/>
      <c r="U3879" s="3"/>
      <c r="V3879" s="3"/>
      <c r="W3879" s="3"/>
      <c r="X3879" s="3"/>
      <c r="Y3879" s="3"/>
      <c r="Z3879" s="4"/>
      <c r="AA3879"/>
      <c r="AB3879"/>
    </row>
    <row r="3880" spans="1:28" s="37" customFormat="1" x14ac:dyDescent="0.15">
      <c r="A3880" s="166"/>
      <c r="B3880" s="82"/>
      <c r="C3880" s="70"/>
      <c r="D3880" s="70"/>
      <c r="E3880" s="70"/>
      <c r="F3880" s="70"/>
      <c r="G3880" s="70"/>
      <c r="H3880" s="93"/>
      <c r="I3880" s="85"/>
      <c r="J3880" s="85"/>
      <c r="K3880" s="131"/>
      <c r="L3880" s="60"/>
      <c r="M3880" s="49"/>
      <c r="Q3880" s="3"/>
      <c r="R3880" s="3"/>
      <c r="S3880" s="3"/>
      <c r="T3880" s="3"/>
      <c r="U3880" s="3"/>
      <c r="V3880" s="3"/>
      <c r="W3880" s="3"/>
      <c r="X3880" s="3"/>
      <c r="Y3880" s="3"/>
      <c r="Z3880" s="4"/>
      <c r="AA3880"/>
      <c r="AB3880"/>
    </row>
    <row r="3881" spans="1:28" s="37" customFormat="1" x14ac:dyDescent="0.15">
      <c r="A3881" s="166"/>
      <c r="B3881" s="82"/>
      <c r="C3881" s="70"/>
      <c r="D3881" s="70"/>
      <c r="E3881" s="70"/>
      <c r="F3881" s="70"/>
      <c r="G3881" s="70"/>
      <c r="H3881" s="93"/>
      <c r="I3881" s="85"/>
      <c r="J3881" s="85"/>
      <c r="K3881" s="131"/>
      <c r="L3881" s="60"/>
      <c r="M3881" s="49"/>
      <c r="Q3881" s="3"/>
      <c r="R3881" s="3"/>
      <c r="S3881" s="3"/>
      <c r="T3881" s="3"/>
      <c r="U3881" s="3"/>
      <c r="V3881" s="3"/>
      <c r="W3881" s="3"/>
      <c r="X3881" s="3"/>
      <c r="Y3881" s="3"/>
      <c r="Z3881" s="4"/>
      <c r="AA3881"/>
      <c r="AB3881"/>
    </row>
    <row r="3882" spans="1:28" s="37" customFormat="1" x14ac:dyDescent="0.15">
      <c r="A3882" s="166"/>
      <c r="B3882" s="82"/>
      <c r="C3882" s="70"/>
      <c r="D3882" s="70"/>
      <c r="E3882" s="70"/>
      <c r="F3882" s="70"/>
      <c r="G3882" s="70"/>
      <c r="H3882" s="93"/>
      <c r="I3882" s="85"/>
      <c r="J3882" s="85"/>
      <c r="K3882" s="131"/>
      <c r="L3882" s="60"/>
      <c r="M3882" s="49"/>
      <c r="Q3882" s="3"/>
      <c r="R3882" s="3"/>
      <c r="S3882" s="3"/>
      <c r="T3882" s="3"/>
      <c r="U3882" s="3"/>
      <c r="V3882" s="3"/>
      <c r="W3882" s="3"/>
      <c r="X3882" s="3"/>
      <c r="Y3882" s="3"/>
      <c r="Z3882" s="4"/>
      <c r="AA3882"/>
      <c r="AB3882"/>
    </row>
    <row r="3883" spans="1:28" s="37" customFormat="1" x14ac:dyDescent="0.15">
      <c r="A3883" s="166"/>
      <c r="B3883" s="82"/>
      <c r="C3883" s="70"/>
      <c r="D3883" s="70"/>
      <c r="E3883" s="70"/>
      <c r="F3883" s="70"/>
      <c r="G3883" s="70"/>
      <c r="H3883" s="93"/>
      <c r="I3883" s="85"/>
      <c r="J3883" s="85"/>
      <c r="K3883" s="131"/>
      <c r="L3883" s="60"/>
      <c r="M3883" s="49"/>
      <c r="Q3883" s="3"/>
      <c r="R3883" s="3"/>
      <c r="S3883" s="3"/>
      <c r="T3883" s="3"/>
      <c r="U3883" s="3"/>
      <c r="V3883" s="3"/>
      <c r="W3883" s="3"/>
      <c r="X3883" s="3"/>
      <c r="Y3883" s="3"/>
      <c r="Z3883" s="4"/>
      <c r="AA3883"/>
      <c r="AB3883"/>
    </row>
    <row r="3884" spans="1:28" s="37" customFormat="1" x14ac:dyDescent="0.15">
      <c r="A3884" s="166"/>
      <c r="B3884" s="82"/>
      <c r="C3884" s="70"/>
      <c r="D3884" s="70"/>
      <c r="E3884" s="70"/>
      <c r="F3884" s="70"/>
      <c r="G3884" s="70"/>
      <c r="H3884" s="93"/>
      <c r="I3884" s="85"/>
      <c r="J3884" s="85"/>
      <c r="K3884" s="131"/>
      <c r="L3884" s="60"/>
      <c r="M3884" s="49"/>
      <c r="Q3884" s="3"/>
      <c r="R3884" s="3"/>
      <c r="S3884" s="3"/>
      <c r="T3884" s="3"/>
      <c r="U3884" s="3"/>
      <c r="V3884" s="3"/>
      <c r="W3884" s="3"/>
      <c r="X3884" s="3"/>
      <c r="Y3884" s="3"/>
      <c r="Z3884" s="4"/>
      <c r="AA3884"/>
      <c r="AB3884"/>
    </row>
    <row r="3885" spans="1:28" s="37" customFormat="1" x14ac:dyDescent="0.15">
      <c r="A3885" s="166"/>
      <c r="B3885" s="82"/>
      <c r="C3885" s="73"/>
      <c r="D3885" s="73"/>
      <c r="E3885" s="70"/>
      <c r="F3885" s="73"/>
      <c r="G3885" s="73"/>
      <c r="H3885" s="108"/>
      <c r="I3885" s="85"/>
      <c r="J3885" s="85"/>
      <c r="K3885" s="131"/>
      <c r="L3885" s="60"/>
      <c r="M3885" s="49"/>
      <c r="Q3885" s="3"/>
      <c r="R3885" s="3"/>
      <c r="S3885" s="3"/>
      <c r="T3885" s="3"/>
      <c r="U3885" s="3"/>
      <c r="V3885" s="3"/>
      <c r="W3885" s="3"/>
      <c r="X3885" s="3"/>
      <c r="Y3885" s="3"/>
      <c r="Z3885" s="4"/>
      <c r="AA3885"/>
      <c r="AB3885"/>
    </row>
    <row r="3886" spans="1:28" s="3" customFormat="1" x14ac:dyDescent="0.15">
      <c r="A3886" s="166"/>
      <c r="B3886" s="82"/>
      <c r="C3886" s="70"/>
      <c r="D3886" s="70"/>
      <c r="E3886" s="70"/>
      <c r="F3886" s="70"/>
      <c r="G3886" s="70"/>
      <c r="H3886" s="93"/>
      <c r="I3886" s="85"/>
      <c r="J3886" s="85"/>
      <c r="K3886" s="131"/>
      <c r="L3886" s="60"/>
      <c r="M3886" s="49"/>
      <c r="N3886" s="37"/>
      <c r="O3886" s="37"/>
      <c r="P3886" s="37"/>
      <c r="Z3886" s="4"/>
      <c r="AA3886"/>
      <c r="AB3886"/>
    </row>
    <row r="3887" spans="1:28" s="3" customFormat="1" x14ac:dyDescent="0.15">
      <c r="A3887" s="166"/>
      <c r="B3887" s="82"/>
      <c r="C3887" s="70"/>
      <c r="D3887" s="70"/>
      <c r="E3887" s="70"/>
      <c r="F3887" s="70"/>
      <c r="G3887" s="70"/>
      <c r="H3887" s="93"/>
      <c r="I3887" s="85"/>
      <c r="J3887" s="85"/>
      <c r="K3887" s="131"/>
      <c r="L3887" s="60"/>
      <c r="M3887" s="49"/>
      <c r="N3887" s="37"/>
      <c r="O3887" s="37"/>
      <c r="P3887" s="37"/>
      <c r="Q3887" s="6"/>
      <c r="R3887" s="6"/>
      <c r="Z3887" s="4"/>
      <c r="AA3887"/>
      <c r="AB3887"/>
    </row>
    <row r="3888" spans="1:28" s="3" customFormat="1" ht="16" x14ac:dyDescent="0.2">
      <c r="A3888" s="166"/>
      <c r="B3888" s="82"/>
      <c r="C3888" s="70"/>
      <c r="D3888" s="70"/>
      <c r="E3888" s="70"/>
      <c r="F3888" s="70"/>
      <c r="G3888" s="70"/>
      <c r="H3888" s="93"/>
      <c r="I3888" s="85"/>
      <c r="J3888" s="85"/>
      <c r="K3888" s="131"/>
      <c r="L3888" s="60"/>
      <c r="M3888" s="49"/>
      <c r="N3888" s="48"/>
      <c r="O3888" s="37"/>
      <c r="P3888" s="37"/>
      <c r="Q3888" s="6"/>
      <c r="R3888" s="6"/>
      <c r="Z3888" s="4"/>
      <c r="AA3888"/>
      <c r="AB3888"/>
    </row>
    <row r="3889" spans="1:28" s="3" customFormat="1" x14ac:dyDescent="0.15">
      <c r="A3889" s="166"/>
      <c r="B3889" s="82"/>
      <c r="C3889" s="70"/>
      <c r="D3889" s="70"/>
      <c r="E3889" s="70"/>
      <c r="F3889" s="70"/>
      <c r="G3889" s="70"/>
      <c r="H3889" s="93"/>
      <c r="I3889" s="85"/>
      <c r="J3889" s="85"/>
      <c r="K3889" s="131"/>
      <c r="L3889" s="60"/>
      <c r="M3889" s="49"/>
      <c r="N3889" s="37"/>
      <c r="O3889" s="37"/>
      <c r="P3889" s="37"/>
      <c r="Q3889"/>
      <c r="R3889"/>
      <c r="Z3889" s="4"/>
      <c r="AA3889"/>
      <c r="AB3889"/>
    </row>
    <row r="3890" spans="1:28" s="3" customFormat="1" x14ac:dyDescent="0.15">
      <c r="A3890" s="70"/>
      <c r="B3890" s="82"/>
      <c r="C3890" s="70"/>
      <c r="D3890" s="70"/>
      <c r="E3890" s="70"/>
      <c r="F3890" s="70"/>
      <c r="G3890" s="70"/>
      <c r="H3890" s="93"/>
      <c r="I3890" s="85"/>
      <c r="J3890" s="85"/>
      <c r="K3890" s="131"/>
      <c r="L3890" s="60"/>
      <c r="M3890" s="49"/>
      <c r="N3890" s="37"/>
      <c r="O3890" s="37"/>
      <c r="P3890" s="37"/>
      <c r="Q3890" s="6"/>
      <c r="R3890" s="6"/>
      <c r="Z3890" s="4"/>
      <c r="AA3890"/>
      <c r="AB3890"/>
    </row>
    <row r="3891" spans="1:28" s="3" customFormat="1" x14ac:dyDescent="0.15">
      <c r="A3891" s="166"/>
      <c r="B3891" s="82"/>
      <c r="C3891" s="70"/>
      <c r="D3891" s="70"/>
      <c r="E3891" s="70"/>
      <c r="F3891" s="70"/>
      <c r="G3891" s="70"/>
      <c r="H3891" s="93"/>
      <c r="I3891" s="85"/>
      <c r="J3891" s="85"/>
      <c r="K3891" s="131"/>
      <c r="L3891" s="60"/>
      <c r="M3891" s="49"/>
      <c r="N3891" s="37"/>
      <c r="O3891" s="37"/>
      <c r="P3891" s="37"/>
      <c r="Q3891" s="6"/>
      <c r="R3891" s="6"/>
      <c r="Z3891" s="4"/>
      <c r="AA3891"/>
      <c r="AB3891"/>
    </row>
    <row r="3892" spans="1:28" s="3" customFormat="1" x14ac:dyDescent="0.15">
      <c r="A3892" s="166"/>
      <c r="B3892" s="82"/>
      <c r="C3892" s="70"/>
      <c r="D3892" s="70"/>
      <c r="E3892" s="70"/>
      <c r="F3892" s="70"/>
      <c r="G3892" s="70"/>
      <c r="H3892" s="93"/>
      <c r="I3892" s="85"/>
      <c r="J3892" s="85"/>
      <c r="K3892" s="131"/>
      <c r="L3892" s="60"/>
      <c r="M3892" s="49"/>
      <c r="N3892" s="37"/>
      <c r="O3892" s="37"/>
      <c r="P3892" s="37"/>
      <c r="Z3892" s="4"/>
      <c r="AA3892"/>
      <c r="AB3892"/>
    </row>
    <row r="3893" spans="1:28" s="3" customFormat="1" x14ac:dyDescent="0.15">
      <c r="A3893" s="166"/>
      <c r="B3893" s="82"/>
      <c r="C3893" s="70"/>
      <c r="D3893" s="70"/>
      <c r="E3893" s="70"/>
      <c r="F3893" s="70"/>
      <c r="G3893" s="70"/>
      <c r="H3893" s="93"/>
      <c r="I3893" s="85"/>
      <c r="J3893" s="85"/>
      <c r="K3893" s="131"/>
      <c r="L3893" s="60"/>
      <c r="M3893" s="49"/>
      <c r="N3893" s="37"/>
      <c r="O3893" s="37"/>
      <c r="P3893" s="37"/>
      <c r="Z3893" s="4"/>
      <c r="AA3893"/>
      <c r="AB3893"/>
    </row>
    <row r="3894" spans="1:28" s="3" customFormat="1" x14ac:dyDescent="0.15">
      <c r="A3894" s="166"/>
      <c r="B3894" s="82"/>
      <c r="C3894" s="70"/>
      <c r="D3894" s="70"/>
      <c r="E3894" s="70"/>
      <c r="F3894" s="70"/>
      <c r="G3894" s="70"/>
      <c r="H3894" s="93"/>
      <c r="I3894" s="85"/>
      <c r="J3894" s="85"/>
      <c r="K3894" s="131"/>
      <c r="L3894" s="60"/>
      <c r="M3894" s="49"/>
      <c r="N3894" s="37"/>
      <c r="O3894" s="37"/>
      <c r="P3894" s="37"/>
      <c r="Z3894" s="4"/>
      <c r="AA3894"/>
      <c r="AB3894"/>
    </row>
    <row r="3895" spans="1:28" s="3" customFormat="1" x14ac:dyDescent="0.15">
      <c r="A3895" s="166"/>
      <c r="B3895" s="82"/>
      <c r="C3895" s="70"/>
      <c r="D3895" s="70"/>
      <c r="E3895" s="70"/>
      <c r="F3895" s="70"/>
      <c r="G3895" s="70"/>
      <c r="H3895" s="93"/>
      <c r="I3895" s="85"/>
      <c r="J3895" s="85"/>
      <c r="K3895" s="131"/>
      <c r="L3895" s="60"/>
      <c r="M3895" s="49"/>
      <c r="N3895" s="37"/>
      <c r="O3895" s="37"/>
      <c r="P3895" s="37"/>
      <c r="Z3895" s="4"/>
      <c r="AA3895"/>
      <c r="AB3895"/>
    </row>
    <row r="3896" spans="1:28" s="3" customFormat="1" x14ac:dyDescent="0.15">
      <c r="A3896" s="166"/>
      <c r="B3896" s="82"/>
      <c r="C3896" s="70"/>
      <c r="D3896" s="70"/>
      <c r="E3896" s="70"/>
      <c r="F3896" s="70"/>
      <c r="G3896" s="70"/>
      <c r="H3896" s="93"/>
      <c r="I3896" s="85"/>
      <c r="J3896" s="85"/>
      <c r="K3896" s="131"/>
      <c r="L3896" s="60"/>
      <c r="M3896" s="49"/>
      <c r="N3896" s="37"/>
      <c r="O3896" s="37"/>
      <c r="P3896" s="37"/>
      <c r="Z3896" s="4"/>
      <c r="AA3896"/>
      <c r="AB3896"/>
    </row>
    <row r="3897" spans="1:28" s="3" customFormat="1" x14ac:dyDescent="0.15">
      <c r="A3897" s="166"/>
      <c r="B3897" s="82"/>
      <c r="C3897" s="70"/>
      <c r="D3897" s="70"/>
      <c r="E3897" s="70"/>
      <c r="F3897" s="70"/>
      <c r="G3897" s="70"/>
      <c r="H3897" s="93"/>
      <c r="I3897" s="85"/>
      <c r="J3897" s="85"/>
      <c r="K3897" s="131"/>
      <c r="L3897" s="60"/>
      <c r="M3897" s="49"/>
      <c r="N3897" s="37"/>
      <c r="O3897" s="37"/>
      <c r="P3897" s="37"/>
      <c r="Z3897" s="4"/>
      <c r="AA3897"/>
      <c r="AB3897"/>
    </row>
    <row r="3898" spans="1:28" s="3" customFormat="1" x14ac:dyDescent="0.15">
      <c r="A3898" s="166"/>
      <c r="B3898" s="82"/>
      <c r="C3898" s="70"/>
      <c r="D3898" s="70"/>
      <c r="E3898" s="70"/>
      <c r="F3898" s="70"/>
      <c r="G3898" s="70"/>
      <c r="H3898" s="93"/>
      <c r="I3898" s="85"/>
      <c r="J3898" s="85"/>
      <c r="K3898" s="131"/>
      <c r="L3898" s="60"/>
      <c r="M3898" s="49"/>
      <c r="N3898" s="37"/>
      <c r="O3898" s="37"/>
      <c r="P3898" s="37"/>
      <c r="Z3898" s="4"/>
      <c r="AA3898"/>
      <c r="AB3898"/>
    </row>
    <row r="3899" spans="1:28" s="3" customFormat="1" x14ac:dyDescent="0.15">
      <c r="A3899" s="166"/>
      <c r="B3899" s="82"/>
      <c r="C3899" s="70"/>
      <c r="D3899" s="70"/>
      <c r="E3899" s="70"/>
      <c r="F3899" s="70"/>
      <c r="G3899" s="70"/>
      <c r="H3899" s="93"/>
      <c r="I3899" s="85"/>
      <c r="J3899" s="85"/>
      <c r="K3899" s="131"/>
      <c r="L3899" s="60"/>
      <c r="M3899" s="49"/>
      <c r="N3899" s="37"/>
      <c r="O3899" s="37"/>
      <c r="P3899" s="37"/>
      <c r="Z3899" s="4"/>
      <c r="AA3899"/>
      <c r="AB3899"/>
    </row>
    <row r="3900" spans="1:28" s="3" customFormat="1" x14ac:dyDescent="0.15">
      <c r="A3900" s="166"/>
      <c r="B3900" s="82"/>
      <c r="C3900" s="70"/>
      <c r="D3900" s="70"/>
      <c r="E3900" s="70"/>
      <c r="F3900" s="70"/>
      <c r="G3900" s="70"/>
      <c r="H3900" s="93"/>
      <c r="I3900" s="85"/>
      <c r="J3900" s="85"/>
      <c r="K3900" s="131"/>
      <c r="L3900" s="60"/>
      <c r="M3900" s="49"/>
      <c r="N3900" s="37"/>
      <c r="O3900" s="37"/>
      <c r="P3900" s="37"/>
      <c r="Z3900" s="4"/>
      <c r="AA3900"/>
      <c r="AB3900"/>
    </row>
    <row r="3901" spans="1:28" s="3" customFormat="1" x14ac:dyDescent="0.15">
      <c r="A3901" s="166"/>
      <c r="B3901" s="82"/>
      <c r="C3901" s="70"/>
      <c r="D3901" s="70"/>
      <c r="E3901" s="70"/>
      <c r="F3901" s="70"/>
      <c r="G3901" s="70"/>
      <c r="H3901" s="93"/>
      <c r="I3901" s="85"/>
      <c r="J3901" s="85"/>
      <c r="K3901" s="131"/>
      <c r="L3901" s="60"/>
      <c r="M3901" s="49"/>
      <c r="N3901" s="37"/>
      <c r="O3901" s="37"/>
      <c r="P3901" s="37"/>
      <c r="Z3901" s="4"/>
      <c r="AA3901"/>
      <c r="AB3901"/>
    </row>
    <row r="3902" spans="1:28" ht="16" x14ac:dyDescent="0.2">
      <c r="A3902" s="166"/>
      <c r="B3902" s="93"/>
      <c r="C3902" s="70"/>
      <c r="D3902" s="70"/>
      <c r="E3902" s="70"/>
      <c r="F3902" s="70"/>
      <c r="G3902" s="70"/>
      <c r="H3902" s="93"/>
      <c r="I3902" s="85"/>
      <c r="J3902" s="85"/>
      <c r="K3902" s="131"/>
      <c r="L3902" s="60"/>
      <c r="M3902" s="33"/>
      <c r="N3902" s="48"/>
    </row>
    <row r="3903" spans="1:28" x14ac:dyDescent="0.15">
      <c r="A3903" s="166"/>
      <c r="B3903" s="82"/>
      <c r="C3903" s="70"/>
      <c r="D3903" s="70"/>
      <c r="E3903" s="70"/>
      <c r="F3903" s="70"/>
      <c r="G3903" s="70"/>
      <c r="H3903" s="93"/>
      <c r="I3903" s="85"/>
      <c r="J3903" s="85"/>
      <c r="K3903" s="131"/>
      <c r="L3903" s="60"/>
    </row>
    <row r="3904" spans="1:28" x14ac:dyDescent="0.15">
      <c r="A3904" s="166"/>
      <c r="B3904" s="82"/>
      <c r="C3904" s="70"/>
      <c r="D3904" s="70"/>
      <c r="E3904" s="70"/>
      <c r="F3904" s="70"/>
      <c r="G3904" s="70"/>
      <c r="H3904" s="93"/>
      <c r="I3904" s="85"/>
      <c r="J3904" s="85"/>
      <c r="K3904" s="131"/>
      <c r="L3904" s="60"/>
    </row>
    <row r="3905" spans="1:28" x14ac:dyDescent="0.15">
      <c r="A3905" s="166"/>
      <c r="B3905" s="82"/>
      <c r="C3905" s="70"/>
      <c r="D3905" s="70"/>
      <c r="E3905" s="70"/>
      <c r="F3905" s="70"/>
      <c r="G3905" s="70"/>
      <c r="H3905" s="93"/>
      <c r="I3905" s="85"/>
      <c r="J3905" s="85"/>
      <c r="K3905" s="131"/>
      <c r="L3905" s="60"/>
    </row>
    <row r="3906" spans="1:28" x14ac:dyDescent="0.15">
      <c r="A3906" s="166"/>
      <c r="B3906" s="82"/>
      <c r="C3906" s="70"/>
      <c r="D3906" s="70"/>
      <c r="E3906" s="70"/>
      <c r="F3906" s="70"/>
      <c r="G3906" s="70"/>
      <c r="H3906" s="93"/>
      <c r="I3906" s="85"/>
      <c r="J3906" s="85"/>
      <c r="K3906" s="131"/>
      <c r="L3906" s="60"/>
    </row>
    <row r="3907" spans="1:28" x14ac:dyDescent="0.15">
      <c r="A3907" s="166"/>
      <c r="B3907" s="82"/>
      <c r="C3907" s="70"/>
      <c r="D3907" s="70"/>
      <c r="E3907" s="70"/>
      <c r="F3907" s="70"/>
      <c r="G3907" s="70"/>
      <c r="H3907" s="93"/>
      <c r="I3907" s="85"/>
      <c r="J3907" s="85"/>
      <c r="K3907" s="131"/>
      <c r="L3907" s="60"/>
    </row>
    <row r="3908" spans="1:28" x14ac:dyDescent="0.15">
      <c r="A3908" s="166"/>
      <c r="B3908" s="82"/>
      <c r="C3908" s="70"/>
      <c r="D3908" s="70"/>
      <c r="E3908" s="70"/>
      <c r="F3908" s="70"/>
      <c r="G3908" s="70"/>
      <c r="H3908" s="93"/>
      <c r="I3908" s="85"/>
      <c r="J3908" s="85"/>
      <c r="K3908" s="131"/>
      <c r="L3908" s="60"/>
    </row>
    <row r="3909" spans="1:28" x14ac:dyDescent="0.15">
      <c r="A3909" s="166"/>
      <c r="B3909" s="82"/>
      <c r="C3909" s="70"/>
      <c r="D3909" s="70"/>
      <c r="E3909" s="70"/>
      <c r="F3909" s="70"/>
      <c r="G3909" s="70"/>
      <c r="H3909" s="93"/>
      <c r="I3909" s="85"/>
      <c r="J3909" s="85"/>
      <c r="K3909" s="131"/>
      <c r="L3909" s="60"/>
    </row>
    <row r="3910" spans="1:28" x14ac:dyDescent="0.15">
      <c r="A3910" s="166"/>
      <c r="B3910" s="82"/>
      <c r="C3910" s="70"/>
      <c r="D3910" s="70"/>
      <c r="E3910" s="70"/>
      <c r="F3910" s="70"/>
      <c r="G3910" s="70"/>
      <c r="H3910" s="93"/>
      <c r="I3910" s="85"/>
      <c r="J3910" s="85"/>
      <c r="K3910" s="131"/>
      <c r="L3910" s="60"/>
    </row>
    <row r="3911" spans="1:28" ht="16" x14ac:dyDescent="0.2">
      <c r="A3911" s="166"/>
      <c r="B3911" s="82"/>
      <c r="C3911" s="70"/>
      <c r="D3911" s="70"/>
      <c r="E3911" s="70"/>
      <c r="F3911" s="70"/>
      <c r="G3911" s="70"/>
      <c r="H3911" s="93"/>
      <c r="I3911" s="85"/>
      <c r="J3911" s="85"/>
      <c r="K3911" s="131"/>
      <c r="L3911" s="60"/>
      <c r="N3911" s="48"/>
    </row>
    <row r="3912" spans="1:28" x14ac:dyDescent="0.15">
      <c r="A3912" s="166"/>
      <c r="B3912" s="82"/>
      <c r="C3912" s="70"/>
      <c r="D3912" s="70"/>
      <c r="E3912" s="70"/>
      <c r="F3912" s="70"/>
      <c r="G3912" s="70"/>
      <c r="H3912" s="93"/>
      <c r="I3912" s="85"/>
      <c r="J3912" s="85"/>
      <c r="K3912" s="131"/>
      <c r="L3912" s="60"/>
      <c r="S3912" s="14"/>
      <c r="T3912" s="14"/>
      <c r="U3912" s="14"/>
      <c r="V3912" s="14"/>
      <c r="W3912" s="14"/>
      <c r="X3912" s="14"/>
      <c r="Y3912" s="14"/>
      <c r="Z3912" s="17"/>
      <c r="AA3912" s="15"/>
      <c r="AB3912" s="15"/>
    </row>
    <row r="3913" spans="1:28" x14ac:dyDescent="0.15">
      <c r="A3913" s="70"/>
      <c r="B3913" s="82"/>
      <c r="C3913" s="70"/>
      <c r="D3913" s="70"/>
      <c r="E3913" s="70"/>
      <c r="F3913" s="70"/>
      <c r="G3913" s="70"/>
      <c r="H3913" s="93"/>
      <c r="I3913" s="85"/>
      <c r="J3913" s="85"/>
      <c r="K3913" s="131"/>
      <c r="L3913" s="60"/>
    </row>
    <row r="3914" spans="1:28" x14ac:dyDescent="0.15">
      <c r="A3914" s="166"/>
      <c r="B3914" s="82"/>
      <c r="C3914" s="70"/>
      <c r="D3914" s="70"/>
      <c r="E3914" s="70"/>
      <c r="F3914" s="70"/>
      <c r="G3914" s="70"/>
      <c r="H3914" s="93"/>
      <c r="I3914" s="85"/>
      <c r="J3914" s="85"/>
      <c r="K3914" s="131"/>
      <c r="L3914" s="60"/>
    </row>
    <row r="3915" spans="1:28" x14ac:dyDescent="0.15">
      <c r="A3915" s="166"/>
      <c r="B3915" s="82"/>
      <c r="C3915" s="70"/>
      <c r="D3915" s="70"/>
      <c r="E3915" s="70"/>
      <c r="F3915" s="70"/>
      <c r="G3915" s="70"/>
      <c r="H3915" s="93"/>
      <c r="I3915" s="85"/>
      <c r="J3915" s="85"/>
      <c r="K3915" s="131"/>
      <c r="L3915" s="60"/>
    </row>
    <row r="3916" spans="1:28" x14ac:dyDescent="0.15">
      <c r="A3916" s="166"/>
      <c r="B3916" s="93"/>
      <c r="C3916" s="70"/>
      <c r="D3916" s="70"/>
      <c r="E3916" s="70"/>
      <c r="F3916" s="70"/>
      <c r="G3916" s="70"/>
      <c r="H3916" s="93"/>
      <c r="I3916" s="85"/>
      <c r="J3916" s="85"/>
      <c r="K3916" s="131"/>
      <c r="L3916" s="60"/>
      <c r="M3916" s="33"/>
    </row>
    <row r="3917" spans="1:28" x14ac:dyDescent="0.15">
      <c r="A3917" s="166"/>
      <c r="B3917" s="82"/>
      <c r="C3917" s="70"/>
      <c r="D3917" s="70"/>
      <c r="E3917" s="70"/>
      <c r="F3917" s="70"/>
      <c r="G3917" s="70"/>
      <c r="H3917" s="93"/>
      <c r="I3917" s="85"/>
      <c r="J3917" s="85"/>
      <c r="K3917" s="131"/>
      <c r="L3917" s="60"/>
    </row>
    <row r="3918" spans="1:28" x14ac:dyDescent="0.15">
      <c r="A3918" s="166"/>
      <c r="B3918" s="82"/>
      <c r="C3918" s="70"/>
      <c r="D3918" s="70"/>
      <c r="E3918" s="70"/>
      <c r="F3918" s="70"/>
      <c r="G3918" s="70"/>
      <c r="H3918" s="93"/>
      <c r="I3918" s="85"/>
      <c r="J3918" s="85"/>
      <c r="K3918" s="131"/>
      <c r="L3918" s="60"/>
      <c r="S3918" s="14"/>
      <c r="T3918" s="14"/>
      <c r="U3918" s="14"/>
      <c r="V3918" s="14"/>
      <c r="W3918" s="14"/>
      <c r="X3918" s="14"/>
      <c r="Y3918" s="14"/>
      <c r="Z3918" s="17"/>
      <c r="AA3918" s="15"/>
      <c r="AB3918" s="15"/>
    </row>
    <row r="3919" spans="1:28" x14ac:dyDescent="0.15">
      <c r="A3919" s="166"/>
      <c r="B3919" s="82"/>
      <c r="C3919" s="70"/>
      <c r="D3919" s="70"/>
      <c r="E3919" s="70"/>
      <c r="F3919" s="70"/>
      <c r="G3919" s="70"/>
      <c r="H3919" s="93"/>
      <c r="I3919" s="85"/>
      <c r="J3919" s="85"/>
      <c r="K3919" s="131"/>
      <c r="L3919" s="60"/>
    </row>
    <row r="3920" spans="1:28" x14ac:dyDescent="0.15">
      <c r="A3920" s="166"/>
      <c r="B3920" s="82"/>
      <c r="C3920" s="70"/>
      <c r="D3920" s="70"/>
      <c r="E3920" s="70"/>
      <c r="F3920" s="70"/>
      <c r="G3920" s="70"/>
      <c r="H3920" s="93"/>
      <c r="I3920" s="85"/>
      <c r="J3920" s="85"/>
      <c r="K3920" s="131"/>
      <c r="L3920" s="60"/>
      <c r="S3920" s="14"/>
      <c r="T3920" s="14"/>
      <c r="U3920" s="14"/>
      <c r="V3920" s="14"/>
      <c r="W3920" s="14"/>
      <c r="X3920" s="14"/>
      <c r="Y3920" s="14"/>
      <c r="Z3920" s="17"/>
      <c r="AA3920" s="15"/>
      <c r="AB3920" s="15"/>
    </row>
    <row r="3921" spans="1:28" x14ac:dyDescent="0.15">
      <c r="A3921" s="166"/>
      <c r="B3921" s="82"/>
      <c r="C3921" s="70"/>
      <c r="D3921" s="70"/>
      <c r="E3921" s="70"/>
      <c r="F3921" s="70"/>
      <c r="G3921" s="70"/>
      <c r="H3921" s="93"/>
      <c r="I3921" s="85"/>
      <c r="J3921" s="85"/>
      <c r="K3921" s="131"/>
      <c r="L3921" s="60"/>
    </row>
    <row r="3922" spans="1:28" x14ac:dyDescent="0.15">
      <c r="A3922" s="166"/>
      <c r="B3922" s="82"/>
      <c r="C3922" s="70"/>
      <c r="D3922" s="70"/>
      <c r="E3922" s="70"/>
      <c r="F3922" s="70"/>
      <c r="G3922" s="70"/>
      <c r="H3922" s="93"/>
      <c r="I3922" s="85"/>
      <c r="J3922" s="85"/>
      <c r="K3922" s="131"/>
      <c r="L3922" s="60"/>
    </row>
    <row r="3923" spans="1:28" x14ac:dyDescent="0.15">
      <c r="A3923" s="166"/>
      <c r="B3923" s="82"/>
      <c r="C3923" s="70"/>
      <c r="D3923" s="70"/>
      <c r="E3923" s="70"/>
      <c r="F3923" s="70"/>
      <c r="G3923" s="70"/>
      <c r="H3923" s="93"/>
      <c r="I3923" s="85"/>
      <c r="J3923" s="85"/>
      <c r="K3923" s="131"/>
      <c r="L3923" s="60"/>
    </row>
    <row r="3924" spans="1:28" x14ac:dyDescent="0.15">
      <c r="A3924" s="166"/>
      <c r="B3924" s="82"/>
      <c r="C3924" s="70"/>
      <c r="D3924" s="70"/>
      <c r="E3924" s="70"/>
      <c r="F3924" s="70"/>
      <c r="G3924" s="70"/>
      <c r="H3924" s="93"/>
      <c r="I3924" s="85"/>
      <c r="J3924" s="85"/>
      <c r="K3924" s="131"/>
      <c r="L3924" s="60"/>
    </row>
    <row r="3925" spans="1:28" ht="16" x14ac:dyDescent="0.2">
      <c r="A3925" s="166"/>
      <c r="B3925" s="82"/>
      <c r="C3925" s="70"/>
      <c r="D3925" s="70"/>
      <c r="E3925" s="70"/>
      <c r="F3925" s="70"/>
      <c r="G3925" s="70"/>
      <c r="H3925" s="93"/>
      <c r="I3925" s="85"/>
      <c r="J3925" s="85"/>
      <c r="K3925" s="131"/>
      <c r="L3925" s="60"/>
      <c r="N3925" s="48"/>
    </row>
    <row r="3926" spans="1:28" x14ac:dyDescent="0.15">
      <c r="A3926" s="166"/>
      <c r="B3926" s="82"/>
      <c r="C3926" s="70"/>
      <c r="D3926" s="70"/>
      <c r="E3926" s="70"/>
      <c r="F3926" s="70"/>
      <c r="G3926" s="70"/>
      <c r="H3926" s="93"/>
      <c r="I3926" s="85"/>
      <c r="J3926" s="85"/>
      <c r="K3926" s="131"/>
      <c r="L3926" s="60"/>
    </row>
    <row r="3927" spans="1:28" x14ac:dyDescent="0.15">
      <c r="A3927" s="166"/>
      <c r="B3927" s="82"/>
      <c r="C3927" s="70"/>
      <c r="D3927" s="70"/>
      <c r="E3927" s="73"/>
      <c r="F3927" s="70"/>
      <c r="G3927" s="70"/>
      <c r="H3927" s="93"/>
      <c r="I3927" s="85"/>
      <c r="J3927" s="85"/>
      <c r="K3927" s="131"/>
      <c r="L3927" s="60"/>
    </row>
    <row r="3928" spans="1:28" x14ac:dyDescent="0.15">
      <c r="A3928" s="166"/>
      <c r="B3928" s="82"/>
      <c r="C3928" s="70"/>
      <c r="D3928" s="70"/>
      <c r="E3928" s="70"/>
      <c r="F3928" s="70"/>
      <c r="G3928" s="70"/>
      <c r="H3928" s="93"/>
      <c r="I3928" s="85"/>
      <c r="J3928" s="85"/>
      <c r="K3928" s="131"/>
      <c r="L3928" s="60"/>
    </row>
    <row r="3929" spans="1:28" x14ac:dyDescent="0.15">
      <c r="A3929" s="166"/>
      <c r="B3929" s="82"/>
      <c r="C3929" s="70"/>
      <c r="D3929" s="70"/>
      <c r="E3929" s="70"/>
      <c r="F3929" s="70"/>
      <c r="G3929" s="70"/>
      <c r="H3929" s="93"/>
      <c r="I3929" s="85"/>
      <c r="J3929" s="85"/>
      <c r="K3929" s="131"/>
      <c r="L3929" s="60"/>
    </row>
    <row r="3930" spans="1:28" x14ac:dyDescent="0.15">
      <c r="A3930" s="166"/>
      <c r="B3930" s="82"/>
      <c r="C3930" s="70"/>
      <c r="D3930" s="70"/>
      <c r="E3930" s="70"/>
      <c r="F3930" s="70"/>
      <c r="G3930" s="70"/>
      <c r="H3930" s="93"/>
      <c r="I3930" s="85"/>
      <c r="J3930" s="85"/>
      <c r="K3930" s="131"/>
      <c r="L3930" s="60"/>
    </row>
    <row r="3931" spans="1:28" x14ac:dyDescent="0.15">
      <c r="A3931" s="166"/>
      <c r="B3931" s="82"/>
      <c r="C3931" s="70"/>
      <c r="D3931" s="70"/>
      <c r="E3931" s="70"/>
      <c r="F3931" s="70"/>
      <c r="G3931" s="70"/>
      <c r="H3931" s="93"/>
      <c r="I3931" s="85"/>
      <c r="J3931" s="85"/>
      <c r="K3931" s="131"/>
      <c r="L3931" s="60"/>
    </row>
    <row r="3932" spans="1:28" x14ac:dyDescent="0.15">
      <c r="A3932" s="166"/>
      <c r="B3932" s="82"/>
      <c r="C3932" s="70"/>
      <c r="D3932" s="70"/>
      <c r="E3932" s="70"/>
      <c r="F3932" s="70"/>
      <c r="G3932" s="70"/>
      <c r="H3932" s="93"/>
      <c r="I3932" s="85"/>
      <c r="J3932" s="85"/>
      <c r="K3932" s="131"/>
      <c r="L3932" s="60"/>
    </row>
    <row r="3933" spans="1:28" x14ac:dyDescent="0.15">
      <c r="A3933" s="166"/>
      <c r="B3933" s="82"/>
      <c r="C3933" s="70"/>
      <c r="D3933" s="70"/>
      <c r="E3933" s="70"/>
      <c r="F3933" s="70"/>
      <c r="G3933" s="70"/>
      <c r="H3933" s="93"/>
      <c r="I3933" s="85"/>
      <c r="J3933" s="85"/>
      <c r="K3933" s="131"/>
      <c r="L3933" s="60"/>
    </row>
    <row r="3934" spans="1:28" s="37" customFormat="1" x14ac:dyDescent="0.15">
      <c r="A3934" s="166"/>
      <c r="B3934" s="82"/>
      <c r="C3934" s="70"/>
      <c r="D3934" s="70"/>
      <c r="E3934" s="70"/>
      <c r="F3934" s="70"/>
      <c r="G3934" s="70"/>
      <c r="H3934" s="93"/>
      <c r="I3934" s="85"/>
      <c r="J3934" s="85"/>
      <c r="K3934" s="131"/>
      <c r="L3934" s="63"/>
      <c r="M3934" s="49"/>
      <c r="Q3934" s="3"/>
      <c r="R3934" s="3"/>
      <c r="S3934" s="3"/>
      <c r="T3934" s="3"/>
      <c r="U3934" s="3"/>
      <c r="V3934" s="3"/>
      <c r="W3934" s="3"/>
      <c r="X3934" s="3"/>
      <c r="Y3934" s="3"/>
      <c r="Z3934" s="4"/>
      <c r="AA3934"/>
      <c r="AB3934"/>
    </row>
    <row r="3935" spans="1:28" s="37" customFormat="1" x14ac:dyDescent="0.15">
      <c r="A3935" s="70"/>
      <c r="B3935" s="82"/>
      <c r="C3935" s="70"/>
      <c r="D3935" s="70"/>
      <c r="E3935" s="70"/>
      <c r="F3935" s="70"/>
      <c r="G3935" s="70"/>
      <c r="H3935" s="93"/>
      <c r="I3935" s="85"/>
      <c r="J3935" s="85"/>
      <c r="K3935" s="131"/>
      <c r="L3935" s="63"/>
      <c r="M3935" s="49"/>
      <c r="Q3935" s="3"/>
      <c r="R3935" s="3"/>
      <c r="S3935" s="3"/>
      <c r="T3935" s="3"/>
      <c r="U3935" s="3"/>
      <c r="V3935" s="3"/>
      <c r="W3935" s="3"/>
      <c r="X3935" s="3"/>
      <c r="Y3935" s="3"/>
      <c r="Z3935" s="4"/>
      <c r="AA3935"/>
      <c r="AB3935"/>
    </row>
    <row r="3936" spans="1:28" s="37" customFormat="1" x14ac:dyDescent="0.15">
      <c r="A3936" s="70"/>
      <c r="B3936" s="82"/>
      <c r="C3936" s="70"/>
      <c r="D3936" s="70"/>
      <c r="E3936" s="70"/>
      <c r="F3936" s="70"/>
      <c r="G3936" s="70"/>
      <c r="H3936" s="93"/>
      <c r="I3936" s="85"/>
      <c r="J3936" s="85"/>
      <c r="K3936" s="131"/>
      <c r="L3936" s="60"/>
      <c r="M3936" s="49"/>
      <c r="Q3936" s="3"/>
      <c r="R3936" s="3"/>
      <c r="S3936" s="3"/>
      <c r="T3936" s="3"/>
      <c r="U3936" s="3"/>
      <c r="V3936" s="3"/>
      <c r="W3936" s="3"/>
      <c r="X3936" s="3"/>
      <c r="Y3936" s="3"/>
      <c r="Z3936" s="4"/>
      <c r="AA3936"/>
      <c r="AB3936"/>
    </row>
    <row r="3937" spans="1:28" s="37" customFormat="1" x14ac:dyDescent="0.15">
      <c r="A3937" s="169"/>
      <c r="B3937" s="90"/>
      <c r="C3937" s="91"/>
      <c r="D3937" s="91"/>
      <c r="E3937" s="91"/>
      <c r="F3937" s="91"/>
      <c r="G3937" s="91"/>
      <c r="H3937" s="176"/>
      <c r="I3937" s="85"/>
      <c r="J3937" s="92"/>
      <c r="K3937" s="133"/>
      <c r="L3937" s="64"/>
      <c r="M3937" s="49"/>
      <c r="Q3937" s="3"/>
      <c r="R3937" s="3"/>
      <c r="S3937" s="3"/>
      <c r="T3937" s="3"/>
      <c r="U3937" s="3"/>
      <c r="V3937" s="3"/>
      <c r="W3937" s="3"/>
      <c r="X3937" s="3"/>
      <c r="Y3937" s="3"/>
      <c r="Z3937" s="4"/>
      <c r="AA3937"/>
      <c r="AB3937"/>
    </row>
    <row r="3938" spans="1:28" s="37" customFormat="1" x14ac:dyDescent="0.15">
      <c r="A3938" s="166"/>
      <c r="B3938" s="82"/>
      <c r="C3938" s="70"/>
      <c r="D3938" s="70"/>
      <c r="E3938" s="70"/>
      <c r="F3938" s="70"/>
      <c r="G3938" s="70"/>
      <c r="H3938" s="93"/>
      <c r="I3938" s="85"/>
      <c r="J3938" s="85"/>
      <c r="K3938" s="131"/>
      <c r="L3938" s="60"/>
      <c r="M3938" s="49"/>
      <c r="Q3938" s="3"/>
      <c r="R3938" s="3"/>
      <c r="S3938" s="3"/>
      <c r="T3938" s="3"/>
      <c r="U3938" s="3"/>
      <c r="V3938" s="3"/>
      <c r="W3938" s="3"/>
      <c r="X3938" s="3"/>
      <c r="Y3938" s="3"/>
      <c r="Z3938" s="4"/>
      <c r="AA3938"/>
      <c r="AB3938"/>
    </row>
    <row r="3939" spans="1:28" s="37" customFormat="1" x14ac:dyDescent="0.15">
      <c r="A3939" s="166"/>
      <c r="B3939" s="82"/>
      <c r="C3939" s="73"/>
      <c r="D3939" s="73"/>
      <c r="E3939" s="73"/>
      <c r="F3939" s="73"/>
      <c r="G3939" s="73"/>
      <c r="H3939" s="93"/>
      <c r="I3939" s="85"/>
      <c r="J3939" s="85"/>
      <c r="K3939" s="131"/>
      <c r="L3939" s="63"/>
      <c r="M3939" s="49"/>
      <c r="Q3939" s="3"/>
      <c r="R3939" s="3"/>
      <c r="S3939" s="3"/>
      <c r="T3939" s="3"/>
      <c r="U3939" s="3"/>
      <c r="V3939" s="3"/>
      <c r="W3939" s="3"/>
      <c r="X3939" s="3"/>
      <c r="Y3939" s="3"/>
      <c r="Z3939" s="4"/>
      <c r="AA3939"/>
      <c r="AB3939"/>
    </row>
    <row r="3940" spans="1:28" s="37" customFormat="1" x14ac:dyDescent="0.15">
      <c r="A3940" s="166"/>
      <c r="B3940" s="93"/>
      <c r="C3940" s="70"/>
      <c r="D3940" s="70"/>
      <c r="E3940" s="70"/>
      <c r="F3940" s="70"/>
      <c r="G3940" s="70"/>
      <c r="H3940" s="93"/>
      <c r="I3940" s="85"/>
      <c r="J3940" s="85"/>
      <c r="K3940" s="131"/>
      <c r="L3940" s="60"/>
      <c r="M3940" s="33"/>
      <c r="Q3940" s="3"/>
      <c r="R3940" s="3"/>
      <c r="S3940" s="3"/>
      <c r="T3940" s="3"/>
      <c r="U3940" s="3"/>
      <c r="V3940" s="3"/>
      <c r="W3940" s="3"/>
      <c r="X3940" s="3"/>
      <c r="Y3940" s="3"/>
      <c r="Z3940" s="4"/>
      <c r="AA3940"/>
      <c r="AB3940"/>
    </row>
    <row r="3941" spans="1:28" s="37" customFormat="1" x14ac:dyDescent="0.15">
      <c r="A3941" s="166"/>
      <c r="B3941" s="82"/>
      <c r="C3941" s="70"/>
      <c r="D3941" s="70"/>
      <c r="E3941" s="70"/>
      <c r="F3941" s="70"/>
      <c r="G3941" s="70"/>
      <c r="H3941" s="93"/>
      <c r="I3941" s="85"/>
      <c r="J3941" s="85"/>
      <c r="K3941" s="131"/>
      <c r="L3941" s="60"/>
      <c r="M3941" s="49"/>
      <c r="Q3941" s="3"/>
      <c r="R3941" s="3"/>
      <c r="S3941" s="3"/>
      <c r="T3941" s="3"/>
      <c r="U3941" s="3"/>
      <c r="V3941" s="3"/>
      <c r="W3941" s="3"/>
      <c r="X3941" s="3"/>
      <c r="Y3941" s="3"/>
      <c r="Z3941" s="4"/>
      <c r="AA3941"/>
      <c r="AB3941"/>
    </row>
    <row r="3942" spans="1:28" s="37" customFormat="1" x14ac:dyDescent="0.15">
      <c r="A3942" s="70"/>
      <c r="B3942" s="82"/>
      <c r="C3942" s="70"/>
      <c r="D3942" s="70"/>
      <c r="E3942" s="70"/>
      <c r="F3942" s="70"/>
      <c r="G3942" s="70"/>
      <c r="H3942" s="93"/>
      <c r="I3942" s="85"/>
      <c r="J3942" s="95"/>
      <c r="K3942" s="131"/>
      <c r="L3942" s="60"/>
      <c r="M3942" s="33"/>
      <c r="Q3942" s="3"/>
      <c r="R3942" s="3"/>
      <c r="S3942" s="3"/>
      <c r="T3942" s="3"/>
      <c r="U3942" s="3"/>
      <c r="V3942" s="3"/>
      <c r="W3942" s="3"/>
      <c r="X3942" s="3"/>
      <c r="Y3942" s="3"/>
      <c r="Z3942" s="4"/>
      <c r="AA3942"/>
      <c r="AB3942"/>
    </row>
    <row r="3943" spans="1:28" s="37" customFormat="1" x14ac:dyDescent="0.15">
      <c r="A3943" s="166"/>
      <c r="B3943" s="82"/>
      <c r="C3943" s="73"/>
      <c r="D3943" s="73"/>
      <c r="E3943" s="73"/>
      <c r="F3943" s="73"/>
      <c r="G3943" s="73"/>
      <c r="H3943" s="108"/>
      <c r="I3943" s="85"/>
      <c r="J3943" s="95"/>
      <c r="K3943" s="131"/>
      <c r="L3943" s="60"/>
      <c r="M3943" s="33"/>
      <c r="Q3943" s="3"/>
      <c r="R3943" s="3"/>
      <c r="S3943" s="3"/>
      <c r="T3943" s="3"/>
      <c r="U3943" s="3"/>
      <c r="V3943" s="3"/>
      <c r="W3943" s="3"/>
      <c r="X3943" s="3"/>
      <c r="Y3943" s="3"/>
      <c r="Z3943" s="4"/>
      <c r="AA3943"/>
      <c r="AB3943"/>
    </row>
    <row r="3944" spans="1:28" s="37" customFormat="1" x14ac:dyDescent="0.15">
      <c r="A3944" s="166"/>
      <c r="B3944" s="82"/>
      <c r="C3944" s="73"/>
      <c r="D3944" s="73"/>
      <c r="E3944" s="73"/>
      <c r="F3944" s="73"/>
      <c r="G3944" s="73"/>
      <c r="H3944" s="108"/>
      <c r="I3944" s="85"/>
      <c r="J3944" s="95"/>
      <c r="K3944" s="131"/>
      <c r="L3944" s="60"/>
      <c r="M3944" s="33"/>
      <c r="Q3944" s="3"/>
      <c r="R3944" s="3"/>
      <c r="S3944" s="3"/>
      <c r="T3944" s="3"/>
      <c r="U3944" s="3"/>
      <c r="V3944" s="3"/>
      <c r="W3944" s="3"/>
      <c r="X3944" s="3"/>
      <c r="Y3944" s="3"/>
      <c r="Z3944" s="4"/>
      <c r="AA3944"/>
      <c r="AB3944"/>
    </row>
    <row r="3945" spans="1:28" s="37" customFormat="1" x14ac:dyDescent="0.15">
      <c r="A3945" s="166"/>
      <c r="B3945" s="82"/>
      <c r="C3945" s="70"/>
      <c r="D3945" s="70"/>
      <c r="E3945" s="70"/>
      <c r="F3945" s="70"/>
      <c r="G3945" s="70"/>
      <c r="H3945" s="93"/>
      <c r="I3945" s="85"/>
      <c r="J3945" s="85"/>
      <c r="K3945" s="131"/>
      <c r="L3945" s="60"/>
      <c r="M3945" s="33"/>
      <c r="Q3945" s="3"/>
      <c r="R3945" s="3"/>
      <c r="S3945" s="3"/>
      <c r="T3945" s="3"/>
      <c r="U3945" s="3"/>
      <c r="V3945" s="3"/>
      <c r="W3945" s="3"/>
      <c r="X3945" s="3"/>
      <c r="Y3945" s="3"/>
      <c r="Z3945" s="4"/>
      <c r="AA3945"/>
      <c r="AB3945"/>
    </row>
    <row r="3946" spans="1:28" s="37" customFormat="1" x14ac:dyDescent="0.15">
      <c r="A3946" s="166"/>
      <c r="B3946" s="82"/>
      <c r="C3946" s="70"/>
      <c r="D3946" s="70"/>
      <c r="E3946" s="70"/>
      <c r="F3946" s="70"/>
      <c r="G3946" s="70"/>
      <c r="H3946" s="93"/>
      <c r="I3946" s="85"/>
      <c r="J3946" s="85"/>
      <c r="K3946" s="131"/>
      <c r="L3946" s="60"/>
      <c r="M3946" s="49"/>
      <c r="Q3946" s="3"/>
      <c r="R3946" s="3"/>
      <c r="S3946" s="3"/>
      <c r="T3946" s="3"/>
      <c r="U3946" s="3"/>
      <c r="V3946" s="3"/>
      <c r="W3946" s="3"/>
      <c r="X3946" s="3"/>
      <c r="Y3946" s="3"/>
      <c r="Z3946" s="4"/>
      <c r="AA3946"/>
      <c r="AB3946"/>
    </row>
    <row r="3947" spans="1:28" s="37" customFormat="1" x14ac:dyDescent="0.15">
      <c r="A3947" s="166"/>
      <c r="B3947" s="82"/>
      <c r="C3947" s="70"/>
      <c r="D3947" s="70"/>
      <c r="E3947" s="70"/>
      <c r="F3947" s="70"/>
      <c r="G3947" s="70"/>
      <c r="H3947" s="93"/>
      <c r="I3947" s="85"/>
      <c r="J3947" s="85"/>
      <c r="K3947" s="131"/>
      <c r="L3947" s="60"/>
      <c r="M3947" s="33"/>
      <c r="Q3947" s="3"/>
      <c r="R3947" s="3"/>
      <c r="S3947" s="3"/>
      <c r="T3947" s="3"/>
      <c r="U3947" s="3"/>
      <c r="V3947" s="3"/>
      <c r="W3947" s="3"/>
      <c r="X3947" s="3"/>
      <c r="Y3947" s="3"/>
      <c r="Z3947" s="4"/>
      <c r="AA3947"/>
      <c r="AB3947"/>
    </row>
    <row r="3948" spans="1:28" s="37" customFormat="1" x14ac:dyDescent="0.15">
      <c r="A3948" s="166"/>
      <c r="B3948" s="82"/>
      <c r="C3948" s="70"/>
      <c r="D3948" s="70"/>
      <c r="E3948" s="70"/>
      <c r="F3948" s="70"/>
      <c r="G3948" s="70"/>
      <c r="H3948" s="93"/>
      <c r="I3948" s="85"/>
      <c r="J3948" s="85"/>
      <c r="K3948" s="131"/>
      <c r="L3948" s="60"/>
      <c r="M3948" s="33"/>
      <c r="Q3948" s="3"/>
      <c r="R3948" s="3"/>
      <c r="S3948" s="3"/>
      <c r="T3948" s="3"/>
      <c r="U3948" s="3"/>
      <c r="V3948" s="3"/>
      <c r="W3948" s="3"/>
      <c r="X3948" s="3"/>
      <c r="Y3948" s="3"/>
      <c r="Z3948" s="4"/>
      <c r="AA3948"/>
      <c r="AB3948"/>
    </row>
    <row r="3949" spans="1:28" s="37" customFormat="1" x14ac:dyDescent="0.15">
      <c r="A3949" s="166"/>
      <c r="B3949" s="82"/>
      <c r="C3949" s="70"/>
      <c r="D3949" s="70"/>
      <c r="E3949" s="70"/>
      <c r="F3949" s="70"/>
      <c r="G3949" s="70"/>
      <c r="H3949" s="93"/>
      <c r="I3949" s="85"/>
      <c r="J3949" s="85"/>
      <c r="K3949" s="131"/>
      <c r="L3949" s="60"/>
      <c r="M3949" s="33"/>
      <c r="Q3949" s="3"/>
      <c r="R3949" s="3"/>
      <c r="S3949" s="3"/>
      <c r="T3949" s="3"/>
      <c r="U3949" s="3"/>
      <c r="V3949" s="3"/>
      <c r="W3949" s="3"/>
      <c r="X3949" s="3"/>
      <c r="Y3949" s="3"/>
      <c r="Z3949" s="4"/>
      <c r="AA3949"/>
      <c r="AB3949"/>
    </row>
    <row r="3950" spans="1:28" s="37" customFormat="1" x14ac:dyDescent="0.15">
      <c r="A3950" s="166"/>
      <c r="B3950" s="82"/>
      <c r="C3950" s="70"/>
      <c r="D3950" s="70"/>
      <c r="E3950" s="70"/>
      <c r="F3950" s="70"/>
      <c r="G3950" s="70"/>
      <c r="H3950" s="93"/>
      <c r="I3950" s="85"/>
      <c r="J3950" s="85"/>
      <c r="K3950" s="131"/>
      <c r="L3950" s="60"/>
      <c r="M3950" s="49"/>
      <c r="Q3950" s="3"/>
      <c r="R3950" s="3"/>
      <c r="S3950" s="3"/>
      <c r="T3950" s="3"/>
      <c r="U3950" s="3"/>
      <c r="V3950" s="3"/>
      <c r="W3950" s="3"/>
      <c r="X3950" s="3"/>
      <c r="Y3950" s="3"/>
      <c r="Z3950" s="4"/>
      <c r="AA3950"/>
      <c r="AB3950"/>
    </row>
    <row r="3951" spans="1:28" s="37" customFormat="1" x14ac:dyDescent="0.15">
      <c r="A3951" s="166"/>
      <c r="B3951" s="82"/>
      <c r="C3951" s="70"/>
      <c r="D3951" s="70"/>
      <c r="E3951" s="70"/>
      <c r="F3951" s="70"/>
      <c r="G3951" s="70"/>
      <c r="H3951" s="93"/>
      <c r="I3951" s="85"/>
      <c r="J3951" s="85"/>
      <c r="K3951" s="131"/>
      <c r="L3951" s="60"/>
      <c r="M3951" s="33"/>
      <c r="Q3951" s="3"/>
      <c r="R3951" s="3"/>
      <c r="S3951" s="3"/>
      <c r="T3951" s="3"/>
      <c r="U3951" s="3"/>
      <c r="V3951" s="3"/>
      <c r="W3951" s="3"/>
      <c r="X3951" s="3"/>
      <c r="Y3951" s="3"/>
      <c r="Z3951" s="4"/>
      <c r="AA3951"/>
      <c r="AB3951"/>
    </row>
    <row r="3952" spans="1:28" s="37" customFormat="1" x14ac:dyDescent="0.15">
      <c r="A3952" s="166"/>
      <c r="B3952" s="82"/>
      <c r="C3952" s="73"/>
      <c r="D3952" s="73"/>
      <c r="E3952" s="70"/>
      <c r="F3952" s="73"/>
      <c r="G3952" s="73"/>
      <c r="H3952" s="108"/>
      <c r="I3952" s="85"/>
      <c r="J3952" s="95"/>
      <c r="K3952" s="131"/>
      <c r="L3952" s="60"/>
      <c r="M3952" s="33"/>
      <c r="Q3952" s="3"/>
      <c r="R3952" s="3"/>
      <c r="S3952" s="3"/>
      <c r="T3952" s="3"/>
      <c r="U3952" s="3"/>
      <c r="V3952" s="3"/>
      <c r="W3952" s="3"/>
      <c r="X3952" s="3"/>
      <c r="Y3952" s="3"/>
      <c r="Z3952" s="4"/>
      <c r="AA3952"/>
      <c r="AB3952"/>
    </row>
    <row r="3953" spans="1:28" s="37" customFormat="1" x14ac:dyDescent="0.15">
      <c r="A3953" s="166"/>
      <c r="B3953" s="82"/>
      <c r="C3953" s="73"/>
      <c r="D3953" s="73"/>
      <c r="E3953" s="73"/>
      <c r="F3953" s="73"/>
      <c r="G3953" s="73"/>
      <c r="H3953" s="108"/>
      <c r="I3953" s="85"/>
      <c r="J3953" s="95"/>
      <c r="K3953" s="131"/>
      <c r="L3953" s="60"/>
      <c r="M3953" s="33"/>
      <c r="Q3953" s="3"/>
      <c r="R3953" s="3"/>
      <c r="S3953" s="3"/>
      <c r="T3953" s="3"/>
      <c r="U3953" s="3"/>
      <c r="V3953" s="3"/>
      <c r="W3953" s="3"/>
      <c r="X3953" s="3"/>
      <c r="Y3953" s="3"/>
      <c r="Z3953" s="4"/>
      <c r="AA3953"/>
      <c r="AB3953"/>
    </row>
    <row r="3954" spans="1:28" s="37" customFormat="1" x14ac:dyDescent="0.15">
      <c r="A3954" s="166"/>
      <c r="B3954" s="82"/>
      <c r="C3954" s="70"/>
      <c r="D3954" s="70"/>
      <c r="E3954" s="70"/>
      <c r="F3954" s="70"/>
      <c r="G3954" s="70"/>
      <c r="H3954" s="93"/>
      <c r="I3954" s="85"/>
      <c r="J3954" s="85"/>
      <c r="K3954" s="131"/>
      <c r="L3954" s="60"/>
      <c r="M3954" s="49"/>
      <c r="Q3954" s="3"/>
      <c r="R3954" s="3"/>
      <c r="S3954" s="3"/>
      <c r="T3954" s="3"/>
      <c r="U3954" s="3"/>
      <c r="V3954" s="3"/>
      <c r="W3954" s="3"/>
      <c r="X3954" s="3"/>
      <c r="Y3954" s="3"/>
      <c r="Z3954" s="4"/>
      <c r="AA3954"/>
      <c r="AB3954"/>
    </row>
    <row r="3955" spans="1:28" s="37" customFormat="1" x14ac:dyDescent="0.15">
      <c r="A3955" s="166"/>
      <c r="B3955" s="93"/>
      <c r="C3955" s="70"/>
      <c r="D3955" s="70"/>
      <c r="E3955" s="70"/>
      <c r="F3955" s="70"/>
      <c r="G3955" s="70"/>
      <c r="H3955" s="93"/>
      <c r="I3955" s="85"/>
      <c r="J3955" s="85"/>
      <c r="K3955" s="131"/>
      <c r="L3955" s="60"/>
      <c r="M3955" s="33"/>
      <c r="Q3955" s="3"/>
      <c r="R3955" s="3"/>
      <c r="S3955" s="3"/>
      <c r="T3955" s="3"/>
      <c r="U3955" s="3"/>
      <c r="V3955" s="3"/>
      <c r="W3955" s="3"/>
      <c r="X3955" s="3"/>
      <c r="Y3955" s="3"/>
      <c r="Z3955" s="4"/>
      <c r="AA3955"/>
      <c r="AB3955"/>
    </row>
    <row r="3956" spans="1:28" s="37" customFormat="1" x14ac:dyDescent="0.15">
      <c r="A3956" s="166"/>
      <c r="B3956" s="82"/>
      <c r="C3956" s="73"/>
      <c r="D3956" s="73"/>
      <c r="E3956" s="73"/>
      <c r="F3956" s="73"/>
      <c r="G3956" s="73"/>
      <c r="H3956" s="108"/>
      <c r="I3956" s="85"/>
      <c r="J3956" s="95"/>
      <c r="K3956" s="131"/>
      <c r="L3956" s="60"/>
      <c r="M3956" s="33"/>
      <c r="Q3956" s="3"/>
      <c r="R3956" s="3"/>
      <c r="S3956" s="3"/>
      <c r="T3956" s="3"/>
      <c r="U3956" s="3"/>
      <c r="V3956" s="3"/>
      <c r="W3956" s="3"/>
      <c r="X3956" s="3"/>
      <c r="Y3956" s="3"/>
      <c r="Z3956" s="4"/>
      <c r="AA3956"/>
      <c r="AB3956"/>
    </row>
    <row r="3957" spans="1:28" s="37" customFormat="1" x14ac:dyDescent="0.15">
      <c r="A3957" s="166"/>
      <c r="B3957" s="82"/>
      <c r="C3957" s="73"/>
      <c r="D3957" s="73"/>
      <c r="E3957" s="73"/>
      <c r="F3957" s="73"/>
      <c r="G3957" s="73"/>
      <c r="H3957" s="108"/>
      <c r="I3957" s="85"/>
      <c r="J3957" s="95"/>
      <c r="K3957" s="131"/>
      <c r="L3957" s="60"/>
      <c r="M3957" s="33"/>
      <c r="Q3957" s="3"/>
      <c r="R3957" s="3"/>
      <c r="S3957" s="3"/>
      <c r="T3957" s="3"/>
      <c r="U3957" s="3"/>
      <c r="V3957" s="3"/>
      <c r="W3957" s="3"/>
      <c r="X3957" s="3"/>
      <c r="Y3957" s="3"/>
      <c r="Z3957" s="4"/>
      <c r="AA3957"/>
      <c r="AB3957"/>
    </row>
    <row r="3958" spans="1:28" s="37" customFormat="1" x14ac:dyDescent="0.15">
      <c r="A3958" s="166"/>
      <c r="B3958" s="82"/>
      <c r="C3958" s="70"/>
      <c r="D3958" s="70"/>
      <c r="E3958" s="70"/>
      <c r="F3958" s="70"/>
      <c r="G3958" s="70"/>
      <c r="H3958" s="93"/>
      <c r="I3958" s="85"/>
      <c r="J3958" s="85"/>
      <c r="K3958" s="131"/>
      <c r="L3958" s="60"/>
      <c r="M3958" s="33"/>
      <c r="Q3958" s="3"/>
      <c r="R3958" s="3"/>
      <c r="S3958" s="3"/>
      <c r="T3958" s="3"/>
      <c r="U3958" s="3"/>
      <c r="V3958" s="3"/>
      <c r="W3958" s="3"/>
      <c r="X3958" s="3"/>
      <c r="Y3958" s="3"/>
      <c r="Z3958" s="4"/>
      <c r="AA3958"/>
      <c r="AB3958"/>
    </row>
    <row r="3959" spans="1:28" s="37" customFormat="1" x14ac:dyDescent="0.15">
      <c r="A3959" s="166"/>
      <c r="B3959" s="93"/>
      <c r="C3959" s="70"/>
      <c r="D3959" s="70"/>
      <c r="E3959" s="70"/>
      <c r="F3959" s="70"/>
      <c r="G3959" s="70"/>
      <c r="H3959" s="93"/>
      <c r="I3959" s="85"/>
      <c r="J3959" s="85"/>
      <c r="K3959" s="131"/>
      <c r="L3959" s="60"/>
      <c r="M3959" s="33"/>
      <c r="Q3959" s="3"/>
      <c r="R3959" s="3"/>
      <c r="S3959" s="3"/>
      <c r="T3959" s="3"/>
      <c r="U3959" s="3"/>
      <c r="V3959" s="3"/>
      <c r="W3959" s="3"/>
      <c r="X3959" s="3"/>
      <c r="Y3959" s="3"/>
      <c r="Z3959" s="4"/>
      <c r="AA3959"/>
      <c r="AB3959"/>
    </row>
    <row r="3960" spans="1:28" s="37" customFormat="1" ht="16" x14ac:dyDescent="0.2">
      <c r="A3960" s="166"/>
      <c r="B3960" s="82"/>
      <c r="C3960" s="70"/>
      <c r="D3960" s="70"/>
      <c r="E3960" s="70"/>
      <c r="F3960" s="70"/>
      <c r="G3960" s="70"/>
      <c r="H3960" s="93"/>
      <c r="I3960" s="85"/>
      <c r="J3960" s="85"/>
      <c r="K3960" s="131"/>
      <c r="L3960" s="60"/>
      <c r="M3960" s="49"/>
      <c r="N3960" s="48"/>
      <c r="Q3960" s="3"/>
      <c r="R3960" s="3"/>
      <c r="S3960" s="3"/>
      <c r="T3960" s="3"/>
      <c r="U3960" s="3"/>
      <c r="V3960" s="3"/>
      <c r="W3960" s="3"/>
      <c r="X3960" s="3"/>
      <c r="Y3960" s="3"/>
      <c r="Z3960" s="4"/>
      <c r="AA3960"/>
      <c r="AB3960"/>
    </row>
    <row r="3961" spans="1:28" s="37" customFormat="1" x14ac:dyDescent="0.15">
      <c r="A3961" s="166"/>
      <c r="B3961" s="82"/>
      <c r="C3961" s="70"/>
      <c r="D3961" s="70"/>
      <c r="E3961" s="70"/>
      <c r="F3961" s="70"/>
      <c r="G3961" s="70"/>
      <c r="H3961" s="93"/>
      <c r="I3961" s="85"/>
      <c r="J3961" s="85"/>
      <c r="K3961" s="131"/>
      <c r="L3961" s="60"/>
      <c r="M3961" s="49"/>
      <c r="Q3961" s="3"/>
      <c r="R3961" s="3"/>
      <c r="S3961" s="3"/>
      <c r="T3961" s="3"/>
      <c r="U3961" s="3"/>
      <c r="V3961" s="3"/>
      <c r="W3961" s="3"/>
      <c r="X3961" s="3"/>
      <c r="Y3961" s="3"/>
      <c r="Z3961" s="4"/>
      <c r="AA3961"/>
      <c r="AB3961"/>
    </row>
    <row r="3962" spans="1:28" s="37" customFormat="1" x14ac:dyDescent="0.15">
      <c r="A3962" s="166"/>
      <c r="B3962" s="93"/>
      <c r="C3962" s="70"/>
      <c r="D3962" s="70"/>
      <c r="E3962" s="70"/>
      <c r="F3962" s="70"/>
      <c r="G3962" s="70"/>
      <c r="H3962" s="93"/>
      <c r="I3962" s="85"/>
      <c r="J3962" s="99"/>
      <c r="K3962" s="131"/>
      <c r="L3962" s="60"/>
      <c r="M3962" s="33"/>
      <c r="Q3962" s="3"/>
      <c r="R3962" s="3"/>
      <c r="S3962" s="3"/>
      <c r="T3962" s="3"/>
      <c r="U3962" s="3"/>
      <c r="V3962" s="3"/>
      <c r="W3962" s="3"/>
      <c r="X3962" s="3"/>
      <c r="Y3962" s="3"/>
      <c r="Z3962" s="4"/>
      <c r="AA3962"/>
      <c r="AB3962"/>
    </row>
    <row r="3963" spans="1:28" s="37" customFormat="1" x14ac:dyDescent="0.15">
      <c r="A3963" s="166"/>
      <c r="B3963" s="93"/>
      <c r="C3963" s="70"/>
      <c r="D3963" s="70"/>
      <c r="E3963" s="70"/>
      <c r="F3963" s="70"/>
      <c r="G3963" s="70"/>
      <c r="H3963" s="93"/>
      <c r="I3963" s="85"/>
      <c r="J3963" s="85"/>
      <c r="K3963" s="131"/>
      <c r="L3963" s="60"/>
      <c r="M3963" s="33"/>
      <c r="Q3963" s="3"/>
      <c r="R3963" s="3"/>
      <c r="S3963" s="3"/>
      <c r="T3963" s="3"/>
      <c r="U3963" s="3"/>
      <c r="V3963" s="3"/>
      <c r="W3963" s="3"/>
      <c r="X3963" s="3"/>
      <c r="Y3963" s="3"/>
      <c r="Z3963" s="4"/>
      <c r="AA3963"/>
      <c r="AB3963"/>
    </row>
    <row r="3964" spans="1:28" s="37" customFormat="1" ht="16" x14ac:dyDescent="0.2">
      <c r="A3964" s="166"/>
      <c r="B3964" s="93"/>
      <c r="C3964" s="73"/>
      <c r="D3964" s="73"/>
      <c r="E3964" s="73"/>
      <c r="F3964" s="73"/>
      <c r="G3964" s="73"/>
      <c r="H3964" s="108"/>
      <c r="I3964" s="85"/>
      <c r="J3964" s="95"/>
      <c r="K3964" s="131"/>
      <c r="L3964" s="60"/>
      <c r="M3964" s="47"/>
      <c r="Q3964" s="3"/>
      <c r="R3964" s="3"/>
      <c r="S3964" s="3"/>
      <c r="T3964" s="3"/>
      <c r="U3964" s="3"/>
      <c r="V3964" s="3"/>
      <c r="W3964" s="3"/>
      <c r="X3964" s="3"/>
      <c r="Y3964" s="3"/>
      <c r="Z3964" s="4"/>
      <c r="AA3964"/>
      <c r="AB3964"/>
    </row>
    <row r="3965" spans="1:28" s="37" customFormat="1" x14ac:dyDescent="0.15">
      <c r="A3965" s="166"/>
      <c r="B3965" s="93"/>
      <c r="C3965" s="70"/>
      <c r="D3965" s="70"/>
      <c r="E3965" s="70"/>
      <c r="F3965" s="70"/>
      <c r="G3965" s="70"/>
      <c r="H3965" s="93"/>
      <c r="I3965" s="85"/>
      <c r="J3965" s="85"/>
      <c r="K3965" s="131"/>
      <c r="L3965" s="60"/>
      <c r="M3965" s="49"/>
      <c r="Q3965" s="3"/>
      <c r="R3965" s="3"/>
      <c r="S3965" s="3"/>
      <c r="T3965" s="3"/>
      <c r="U3965" s="3"/>
      <c r="V3965" s="3"/>
      <c r="W3965" s="3"/>
      <c r="X3965" s="3"/>
      <c r="Y3965" s="3"/>
      <c r="Z3965" s="4"/>
      <c r="AA3965"/>
      <c r="AB3965"/>
    </row>
    <row r="3966" spans="1:28" x14ac:dyDescent="0.15">
      <c r="A3966" s="166"/>
      <c r="B3966" s="82"/>
      <c r="C3966" s="70"/>
      <c r="D3966" s="70"/>
      <c r="E3966" s="70"/>
      <c r="F3966" s="70"/>
      <c r="G3966" s="70"/>
      <c r="H3966" s="93"/>
      <c r="I3966" s="85"/>
      <c r="J3966" s="85"/>
      <c r="K3966" s="131"/>
      <c r="L3966" s="60"/>
      <c r="M3966" s="33"/>
    </row>
    <row r="3967" spans="1:28" x14ac:dyDescent="0.15">
      <c r="A3967" s="166"/>
      <c r="B3967" s="82"/>
      <c r="C3967" s="70"/>
      <c r="D3967" s="70"/>
      <c r="E3967" s="70"/>
      <c r="F3967" s="70"/>
      <c r="G3967" s="70"/>
      <c r="H3967" s="93"/>
      <c r="I3967" s="85"/>
      <c r="J3967" s="85"/>
      <c r="K3967" s="131"/>
      <c r="L3967" s="60"/>
      <c r="M3967" s="33"/>
    </row>
    <row r="3968" spans="1:28" x14ac:dyDescent="0.15">
      <c r="A3968" s="166"/>
      <c r="B3968" s="93"/>
      <c r="C3968" s="73"/>
      <c r="D3968" s="73"/>
      <c r="E3968" s="73"/>
      <c r="F3968" s="73"/>
      <c r="G3968" s="73"/>
      <c r="H3968" s="108"/>
      <c r="I3968" s="85"/>
      <c r="J3968" s="95"/>
      <c r="K3968" s="131"/>
      <c r="L3968" s="60"/>
      <c r="M3968" s="33"/>
    </row>
    <row r="3969" spans="1:28" x14ac:dyDescent="0.15">
      <c r="A3969" s="166"/>
      <c r="B3969" s="93"/>
      <c r="C3969" s="70"/>
      <c r="D3969" s="70"/>
      <c r="E3969" s="70"/>
      <c r="F3969" s="70"/>
      <c r="G3969" s="70"/>
      <c r="H3969" s="93"/>
      <c r="I3969" s="85"/>
      <c r="J3969" s="85"/>
      <c r="K3969" s="134"/>
      <c r="L3969" s="63"/>
      <c r="M3969" s="33"/>
    </row>
    <row r="3970" spans="1:28" x14ac:dyDescent="0.15">
      <c r="A3970" s="166"/>
      <c r="B3970" s="93"/>
      <c r="C3970" s="70"/>
      <c r="D3970" s="70"/>
      <c r="E3970" s="70"/>
      <c r="F3970" s="70"/>
      <c r="G3970" s="70"/>
      <c r="H3970" s="93"/>
      <c r="I3970" s="85"/>
      <c r="J3970" s="85"/>
      <c r="K3970" s="131"/>
      <c r="L3970" s="60"/>
      <c r="M3970" s="33"/>
    </row>
    <row r="3971" spans="1:28" x14ac:dyDescent="0.15">
      <c r="A3971" s="166"/>
      <c r="B3971" s="93"/>
      <c r="C3971" s="70"/>
      <c r="D3971" s="70"/>
      <c r="E3971" s="70"/>
      <c r="F3971" s="70"/>
      <c r="G3971" s="70"/>
      <c r="H3971" s="93"/>
      <c r="I3971" s="85"/>
      <c r="J3971" s="85"/>
      <c r="K3971" s="131"/>
      <c r="L3971" s="60"/>
      <c r="M3971" s="33"/>
    </row>
    <row r="3972" spans="1:28" x14ac:dyDescent="0.15">
      <c r="A3972" s="166"/>
      <c r="B3972" s="93"/>
      <c r="C3972" s="70"/>
      <c r="D3972" s="70"/>
      <c r="E3972" s="70"/>
      <c r="F3972" s="70"/>
      <c r="G3972" s="70"/>
      <c r="H3972" s="93"/>
      <c r="I3972" s="85"/>
      <c r="J3972" s="85"/>
      <c r="K3972" s="131"/>
      <c r="L3972" s="60"/>
    </row>
    <row r="3973" spans="1:28" x14ac:dyDescent="0.15">
      <c r="A3973" s="166"/>
      <c r="B3973" s="93"/>
      <c r="C3973" s="70"/>
      <c r="D3973" s="70"/>
      <c r="E3973" s="73"/>
      <c r="F3973" s="70"/>
      <c r="G3973" s="70"/>
      <c r="H3973" s="93"/>
      <c r="I3973" s="85"/>
      <c r="J3973" s="85"/>
      <c r="K3973" s="131"/>
      <c r="L3973" s="60"/>
      <c r="M3973" s="33"/>
    </row>
    <row r="3974" spans="1:28" x14ac:dyDescent="0.15">
      <c r="A3974" s="166"/>
      <c r="B3974" s="93"/>
      <c r="C3974" s="70"/>
      <c r="D3974" s="70"/>
      <c r="E3974" s="73"/>
      <c r="F3974" s="70"/>
      <c r="G3974" s="70"/>
      <c r="H3974" s="93"/>
      <c r="I3974" s="85"/>
      <c r="J3974" s="85"/>
      <c r="K3974" s="131"/>
      <c r="L3974" s="60"/>
      <c r="M3974" s="33"/>
    </row>
    <row r="3975" spans="1:28" ht="16" x14ac:dyDescent="0.2">
      <c r="A3975" s="166"/>
      <c r="B3975" s="93"/>
      <c r="C3975" s="70"/>
      <c r="D3975" s="70"/>
      <c r="E3975" s="70"/>
      <c r="F3975" s="70"/>
      <c r="G3975" s="70"/>
      <c r="H3975" s="93"/>
      <c r="I3975" s="85"/>
      <c r="J3975" s="85"/>
      <c r="K3975" s="131"/>
      <c r="L3975" s="60"/>
      <c r="M3975" s="47"/>
    </row>
    <row r="3976" spans="1:28" x14ac:dyDescent="0.15">
      <c r="A3976" s="70"/>
      <c r="B3976" s="93"/>
      <c r="C3976" s="70"/>
      <c r="D3976" s="70"/>
      <c r="E3976" s="70"/>
      <c r="F3976" s="70"/>
      <c r="G3976" s="70"/>
      <c r="H3976" s="93"/>
      <c r="I3976" s="85"/>
      <c r="J3976" s="85"/>
      <c r="K3976" s="131"/>
      <c r="L3976" s="60"/>
      <c r="M3976" s="33"/>
    </row>
    <row r="3977" spans="1:28" x14ac:dyDescent="0.15">
      <c r="A3977" s="166"/>
      <c r="B3977" s="93"/>
      <c r="C3977" s="70"/>
      <c r="D3977" s="70"/>
      <c r="E3977" s="70"/>
      <c r="F3977" s="70"/>
      <c r="G3977" s="70"/>
      <c r="H3977" s="93"/>
      <c r="I3977" s="85"/>
      <c r="J3977" s="85"/>
      <c r="K3977" s="131"/>
      <c r="L3977" s="60"/>
    </row>
    <row r="3978" spans="1:28" x14ac:dyDescent="0.15">
      <c r="A3978" s="166"/>
      <c r="B3978" s="93"/>
      <c r="C3978" s="70"/>
      <c r="D3978" s="70"/>
      <c r="E3978" s="70"/>
      <c r="F3978" s="70"/>
      <c r="G3978" s="70"/>
      <c r="H3978" s="93"/>
      <c r="I3978" s="85"/>
      <c r="J3978" s="85"/>
      <c r="K3978" s="131"/>
      <c r="L3978" s="60"/>
      <c r="M3978" s="33"/>
    </row>
    <row r="3979" spans="1:28" x14ac:dyDescent="0.15">
      <c r="A3979" s="166"/>
      <c r="B3979" s="93"/>
      <c r="C3979" s="70"/>
      <c r="D3979" s="70"/>
      <c r="E3979" s="70"/>
      <c r="F3979" s="70"/>
      <c r="G3979" s="70"/>
      <c r="H3979" s="93"/>
      <c r="I3979" s="85"/>
      <c r="J3979" s="85"/>
      <c r="K3979" s="131"/>
      <c r="L3979" s="60"/>
      <c r="M3979" s="33"/>
      <c r="Z3979" s="3"/>
      <c r="AA3979" s="3"/>
      <c r="AB3979" s="4"/>
    </row>
    <row r="3980" spans="1:28" x14ac:dyDescent="0.15">
      <c r="A3980" s="166"/>
      <c r="B3980" s="82"/>
      <c r="C3980" s="70"/>
      <c r="D3980" s="70"/>
      <c r="E3980" s="70"/>
      <c r="F3980" s="70"/>
      <c r="G3980" s="70"/>
      <c r="H3980" s="93"/>
      <c r="I3980" s="85"/>
      <c r="J3980" s="85"/>
      <c r="K3980" s="131"/>
      <c r="L3980" s="60"/>
      <c r="Z3980" s="3"/>
      <c r="AA3980" s="3"/>
      <c r="AB3980" s="4"/>
    </row>
    <row r="3981" spans="1:28" x14ac:dyDescent="0.15">
      <c r="A3981" s="166"/>
      <c r="B3981" s="93"/>
      <c r="C3981" s="70"/>
      <c r="D3981" s="70"/>
      <c r="E3981" s="70"/>
      <c r="F3981" s="70"/>
      <c r="G3981" s="70"/>
      <c r="H3981" s="93"/>
      <c r="I3981" s="85"/>
      <c r="J3981" s="85"/>
      <c r="K3981" s="131"/>
      <c r="L3981" s="60"/>
      <c r="M3981" s="33"/>
      <c r="Z3981" s="3"/>
      <c r="AA3981" s="3"/>
      <c r="AB3981" s="4"/>
    </row>
    <row r="3982" spans="1:28" x14ac:dyDescent="0.15">
      <c r="A3982" s="166"/>
      <c r="B3982" s="82"/>
      <c r="C3982" s="70"/>
      <c r="D3982" s="70"/>
      <c r="E3982" s="70"/>
      <c r="F3982" s="70"/>
      <c r="G3982" s="70"/>
      <c r="H3982" s="93"/>
      <c r="I3982" s="85"/>
      <c r="J3982" s="85"/>
      <c r="K3982" s="131"/>
      <c r="L3982" s="60"/>
      <c r="Z3982" s="3"/>
      <c r="AA3982" s="3"/>
      <c r="AB3982" s="4"/>
    </row>
    <row r="3983" spans="1:28" x14ac:dyDescent="0.15">
      <c r="A3983" s="166"/>
      <c r="B3983" s="93"/>
      <c r="C3983" s="70"/>
      <c r="D3983" s="70"/>
      <c r="E3983" s="70"/>
      <c r="F3983" s="70"/>
      <c r="G3983" s="70"/>
      <c r="H3983" s="93"/>
      <c r="I3983" s="85"/>
      <c r="J3983" s="85"/>
      <c r="K3983" s="131"/>
      <c r="L3983" s="60"/>
      <c r="M3983" s="33"/>
      <c r="Z3983" s="3"/>
      <c r="AA3983" s="3"/>
      <c r="AB3983" s="4"/>
    </row>
    <row r="3984" spans="1:28" ht="16" x14ac:dyDescent="0.2">
      <c r="A3984" s="166"/>
      <c r="B3984" s="93"/>
      <c r="C3984" s="70"/>
      <c r="D3984" s="70"/>
      <c r="E3984" s="70"/>
      <c r="F3984" s="70"/>
      <c r="G3984" s="70"/>
      <c r="H3984" s="93"/>
      <c r="I3984" s="85"/>
      <c r="J3984" s="85"/>
      <c r="K3984" s="131"/>
      <c r="L3984" s="60"/>
      <c r="M3984" s="47"/>
      <c r="N3984" s="32"/>
      <c r="Z3984" s="3"/>
      <c r="AA3984" s="3"/>
      <c r="AB3984" s="4"/>
    </row>
    <row r="3985" spans="1:28" x14ac:dyDescent="0.15">
      <c r="A3985" s="166"/>
      <c r="B3985" s="93"/>
      <c r="C3985" s="70"/>
      <c r="D3985" s="70"/>
      <c r="E3985" s="70"/>
      <c r="F3985" s="70"/>
      <c r="G3985" s="70"/>
      <c r="H3985" s="93"/>
      <c r="I3985" s="85"/>
      <c r="J3985" s="85"/>
      <c r="K3985" s="131"/>
      <c r="L3985" s="60"/>
      <c r="M3985" s="33"/>
      <c r="Z3985" s="3"/>
      <c r="AA3985" s="3"/>
      <c r="AB3985" s="4"/>
    </row>
    <row r="3986" spans="1:28" x14ac:dyDescent="0.15">
      <c r="A3986" s="166"/>
      <c r="B3986" s="93"/>
      <c r="C3986" s="70"/>
      <c r="D3986" s="70"/>
      <c r="E3986" s="70"/>
      <c r="F3986" s="70"/>
      <c r="G3986" s="70"/>
      <c r="H3986" s="93"/>
      <c r="I3986" s="85"/>
      <c r="J3986" s="85"/>
      <c r="K3986" s="131"/>
      <c r="L3986" s="60"/>
      <c r="M3986" s="33"/>
      <c r="Z3986" s="3"/>
      <c r="AA3986" s="3"/>
      <c r="AB3986" s="4"/>
    </row>
    <row r="3987" spans="1:28" x14ac:dyDescent="0.15">
      <c r="A3987" s="166"/>
      <c r="B3987" s="93"/>
      <c r="C3987" s="70"/>
      <c r="D3987" s="70"/>
      <c r="E3987" s="70"/>
      <c r="F3987" s="70"/>
      <c r="G3987" s="70"/>
      <c r="H3987" s="93"/>
      <c r="I3987" s="85"/>
      <c r="J3987" s="114"/>
      <c r="K3987" s="131"/>
      <c r="L3987" s="60"/>
      <c r="M3987" s="33"/>
      <c r="Z3987" s="3"/>
      <c r="AA3987" s="3"/>
      <c r="AB3987" s="4"/>
    </row>
    <row r="3988" spans="1:28" x14ac:dyDescent="0.15">
      <c r="A3988" s="166"/>
      <c r="B3988" s="82"/>
      <c r="C3988" s="70"/>
      <c r="D3988" s="70"/>
      <c r="E3988" s="70"/>
      <c r="F3988" s="70"/>
      <c r="G3988" s="70"/>
      <c r="H3988" s="93"/>
      <c r="I3988" s="85"/>
      <c r="J3988" s="85"/>
      <c r="K3988" s="131"/>
      <c r="L3988" s="60"/>
      <c r="Z3988" s="3"/>
      <c r="AA3988" s="3"/>
      <c r="AB3988" s="4"/>
    </row>
    <row r="3989" spans="1:28" x14ac:dyDescent="0.15">
      <c r="A3989" s="166"/>
      <c r="B3989" s="82"/>
      <c r="C3989" s="70"/>
      <c r="D3989" s="70"/>
      <c r="E3989" s="70"/>
      <c r="F3989" s="70"/>
      <c r="G3989" s="70"/>
      <c r="H3989" s="93"/>
      <c r="I3989" s="85"/>
      <c r="J3989" s="85"/>
      <c r="K3989" s="131"/>
      <c r="L3989" s="60"/>
      <c r="M3989" s="33"/>
      <c r="Z3989" s="3"/>
      <c r="AA3989" s="3"/>
      <c r="AB3989" s="4"/>
    </row>
    <row r="3990" spans="1:28" x14ac:dyDescent="0.15">
      <c r="A3990" s="166"/>
      <c r="B3990" s="82"/>
      <c r="C3990" s="70"/>
      <c r="D3990" s="70"/>
      <c r="E3990" s="70"/>
      <c r="F3990" s="70"/>
      <c r="G3990" s="70"/>
      <c r="H3990" s="93"/>
      <c r="I3990" s="85"/>
      <c r="J3990" s="85"/>
      <c r="K3990" s="131"/>
      <c r="L3990" s="60"/>
      <c r="Z3990" s="3"/>
      <c r="AA3990" s="3"/>
      <c r="AB3990" s="4"/>
    </row>
    <row r="3991" spans="1:28" x14ac:dyDescent="0.15">
      <c r="A3991" s="166"/>
      <c r="B3991" s="96"/>
      <c r="C3991" s="70"/>
      <c r="D3991" s="70"/>
      <c r="E3991" s="70"/>
      <c r="F3991" s="70"/>
      <c r="G3991" s="70"/>
      <c r="H3991" s="93"/>
      <c r="I3991" s="85"/>
      <c r="J3991" s="85"/>
      <c r="K3991" s="131"/>
      <c r="L3991" s="60"/>
      <c r="M3991" s="33"/>
      <c r="Z3991" s="3"/>
      <c r="AA3991" s="3"/>
      <c r="AB3991" s="4"/>
    </row>
    <row r="3992" spans="1:28" x14ac:dyDescent="0.15">
      <c r="A3992" s="166"/>
      <c r="B3992" s="82"/>
      <c r="C3992" s="70"/>
      <c r="D3992" s="70"/>
      <c r="E3992" s="70"/>
      <c r="F3992" s="70"/>
      <c r="G3992" s="70"/>
      <c r="H3992" s="93"/>
      <c r="I3992" s="85"/>
      <c r="J3992" s="85"/>
      <c r="K3992" s="131"/>
      <c r="L3992" s="60"/>
      <c r="Z3992" s="3"/>
      <c r="AA3992" s="3"/>
      <c r="AB3992" s="4"/>
    </row>
    <row r="3993" spans="1:28" x14ac:dyDescent="0.15">
      <c r="A3993" s="170"/>
      <c r="B3993" s="82"/>
      <c r="C3993" s="83"/>
      <c r="D3993" s="83"/>
      <c r="E3993" s="83"/>
      <c r="F3993" s="83"/>
      <c r="G3993" s="83"/>
      <c r="H3993" s="82"/>
      <c r="I3993" s="85"/>
      <c r="J3993" s="84"/>
      <c r="K3993" s="136"/>
      <c r="L3993" s="69"/>
      <c r="M3993" s="31"/>
      <c r="Z3993" s="3"/>
      <c r="AA3993" s="3"/>
      <c r="AB3993" s="4"/>
    </row>
    <row r="3994" spans="1:28" ht="16" x14ac:dyDescent="0.2">
      <c r="A3994" s="166"/>
      <c r="B3994" s="82"/>
      <c r="C3994" s="70"/>
      <c r="D3994" s="70"/>
      <c r="E3994" s="73"/>
      <c r="F3994" s="70"/>
      <c r="G3994" s="70"/>
      <c r="H3994" s="93"/>
      <c r="I3994" s="85"/>
      <c r="J3994" s="85"/>
      <c r="K3994" s="131"/>
      <c r="L3994" s="60"/>
      <c r="M3994" s="47"/>
      <c r="Z3994" s="3"/>
      <c r="AA3994" s="3"/>
      <c r="AB3994" s="4"/>
    </row>
    <row r="3995" spans="1:28" x14ac:dyDescent="0.15">
      <c r="A3995" s="166"/>
      <c r="B3995" s="82"/>
      <c r="C3995" s="70"/>
      <c r="D3995" s="70"/>
      <c r="E3995" s="70"/>
      <c r="F3995" s="70"/>
      <c r="G3995" s="70"/>
      <c r="H3995" s="93"/>
      <c r="I3995" s="85"/>
      <c r="J3995" s="85"/>
      <c r="K3995" s="131"/>
      <c r="L3995" s="60"/>
      <c r="N3995" s="49"/>
      <c r="Z3995" s="3"/>
      <c r="AA3995" s="3"/>
      <c r="AB3995" s="4"/>
    </row>
    <row r="3996" spans="1:28" x14ac:dyDescent="0.15">
      <c r="A3996" s="166"/>
      <c r="B3996" s="82"/>
      <c r="C3996" s="70"/>
      <c r="D3996" s="70"/>
      <c r="E3996" s="70"/>
      <c r="F3996" s="70"/>
      <c r="G3996" s="70"/>
      <c r="H3996" s="93"/>
      <c r="I3996" s="85"/>
      <c r="J3996" s="85"/>
      <c r="K3996" s="131"/>
      <c r="L3996" s="60"/>
      <c r="M3996" s="33"/>
      <c r="Z3996" s="3"/>
      <c r="AA3996" s="3"/>
      <c r="AB3996" s="4"/>
    </row>
    <row r="3997" spans="1:28" x14ac:dyDescent="0.15">
      <c r="A3997" s="166"/>
      <c r="B3997" s="82"/>
      <c r="C3997" s="70"/>
      <c r="D3997" s="70"/>
      <c r="E3997" s="70"/>
      <c r="F3997" s="70"/>
      <c r="G3997" s="70"/>
      <c r="H3997" s="93"/>
      <c r="I3997" s="85"/>
      <c r="J3997" s="85"/>
      <c r="K3997" s="131"/>
      <c r="L3997" s="60"/>
      <c r="M3997" s="33"/>
      <c r="Z3997" s="3"/>
      <c r="AA3997" s="3"/>
      <c r="AB3997" s="4"/>
    </row>
    <row r="3998" spans="1:28" x14ac:dyDescent="0.15">
      <c r="A3998" s="166"/>
      <c r="B3998" s="82"/>
      <c r="C3998" s="70"/>
      <c r="D3998" s="70"/>
      <c r="E3998" s="70"/>
      <c r="F3998" s="70"/>
      <c r="G3998" s="70"/>
      <c r="H3998" s="93"/>
      <c r="I3998" s="85"/>
      <c r="J3998" s="85"/>
      <c r="K3998" s="131"/>
      <c r="L3998" s="60"/>
      <c r="M3998" s="33"/>
      <c r="Z3998" s="3"/>
      <c r="AA3998" s="3"/>
      <c r="AB3998" s="4"/>
    </row>
    <row r="3999" spans="1:28" x14ac:dyDescent="0.15">
      <c r="A3999" s="166"/>
      <c r="B3999" s="82"/>
      <c r="C3999" s="70"/>
      <c r="D3999" s="70"/>
      <c r="E3999" s="70"/>
      <c r="F3999" s="70"/>
      <c r="G3999" s="70"/>
      <c r="H3999" s="93"/>
      <c r="I3999" s="85"/>
      <c r="J3999" s="85"/>
      <c r="K3999" s="131"/>
      <c r="L3999" s="60"/>
      <c r="M3999" s="33"/>
      <c r="Z3999" s="3"/>
      <c r="AA3999" s="3"/>
      <c r="AB3999" s="4"/>
    </row>
    <row r="4000" spans="1:28" x14ac:dyDescent="0.15">
      <c r="A4000" s="166"/>
      <c r="B4000" s="82"/>
      <c r="C4000" s="70"/>
      <c r="D4000" s="70"/>
      <c r="E4000" s="70"/>
      <c r="F4000" s="70"/>
      <c r="G4000" s="70"/>
      <c r="H4000" s="93"/>
      <c r="I4000" s="85"/>
      <c r="J4000" s="85"/>
      <c r="K4000" s="131"/>
      <c r="L4000" s="60"/>
      <c r="M4000" s="33"/>
      <c r="Z4000" s="3"/>
      <c r="AA4000" s="3"/>
      <c r="AB4000" s="4"/>
    </row>
    <row r="4001" spans="1:28" x14ac:dyDescent="0.15">
      <c r="A4001" s="166"/>
      <c r="B4001" s="82"/>
      <c r="C4001" s="70"/>
      <c r="D4001" s="70"/>
      <c r="E4001" s="70"/>
      <c r="F4001" s="70"/>
      <c r="G4001" s="70"/>
      <c r="H4001" s="93"/>
      <c r="I4001" s="85"/>
      <c r="J4001" s="85"/>
      <c r="K4001" s="131"/>
      <c r="L4001" s="60"/>
      <c r="M4001" s="33"/>
      <c r="Z4001" s="3"/>
      <c r="AA4001" s="3"/>
      <c r="AB4001" s="4"/>
    </row>
    <row r="4002" spans="1:28" x14ac:dyDescent="0.15">
      <c r="A4002" s="166"/>
      <c r="B4002" s="82"/>
      <c r="C4002" s="73"/>
      <c r="D4002" s="73"/>
      <c r="E4002" s="73"/>
      <c r="F4002" s="73"/>
      <c r="G4002" s="73"/>
      <c r="H4002" s="108"/>
      <c r="I4002" s="85"/>
      <c r="J4002" s="95"/>
      <c r="K4002" s="131"/>
      <c r="L4002" s="60"/>
      <c r="M4002" s="33"/>
      <c r="Z4002" s="3"/>
      <c r="AA4002" s="3"/>
      <c r="AB4002" s="4"/>
    </row>
    <row r="4003" spans="1:28" x14ac:dyDescent="0.15">
      <c r="A4003" s="166"/>
      <c r="B4003" s="82"/>
      <c r="C4003" s="70"/>
      <c r="D4003" s="70"/>
      <c r="E4003" s="70"/>
      <c r="F4003" s="70"/>
      <c r="G4003" s="70"/>
      <c r="H4003" s="93"/>
      <c r="I4003" s="85"/>
      <c r="J4003" s="85"/>
      <c r="K4003" s="131"/>
      <c r="L4003" s="60"/>
      <c r="M4003" s="33"/>
      <c r="O4003" s="35"/>
      <c r="Z4003" s="3"/>
      <c r="AA4003" s="3"/>
      <c r="AB4003" s="4"/>
    </row>
    <row r="4004" spans="1:28" x14ac:dyDescent="0.15">
      <c r="A4004" s="166"/>
      <c r="B4004" s="82"/>
      <c r="C4004" s="70"/>
      <c r="D4004" s="70"/>
      <c r="E4004" s="70"/>
      <c r="F4004" s="70"/>
      <c r="G4004" s="70"/>
      <c r="H4004" s="93"/>
      <c r="I4004" s="85"/>
      <c r="J4004" s="85"/>
      <c r="K4004" s="131"/>
      <c r="L4004" s="60"/>
      <c r="M4004" s="33"/>
      <c r="Z4004" s="3"/>
      <c r="AA4004" s="3"/>
      <c r="AB4004" s="4"/>
    </row>
    <row r="4005" spans="1:28" x14ac:dyDescent="0.15">
      <c r="A4005" s="166"/>
      <c r="B4005" s="82"/>
      <c r="C4005" s="70"/>
      <c r="D4005" s="70"/>
      <c r="E4005" s="70"/>
      <c r="F4005" s="70"/>
      <c r="G4005" s="70"/>
      <c r="H4005" s="93"/>
      <c r="I4005" s="85"/>
      <c r="J4005" s="85"/>
      <c r="K4005" s="131"/>
      <c r="L4005" s="60"/>
      <c r="M4005" s="33"/>
      <c r="Z4005" s="3"/>
      <c r="AA4005" s="3"/>
      <c r="AB4005" s="4"/>
    </row>
    <row r="4006" spans="1:28" x14ac:dyDescent="0.15">
      <c r="A4006" s="166"/>
      <c r="B4006" s="82"/>
      <c r="C4006" s="70"/>
      <c r="D4006" s="70"/>
      <c r="E4006" s="70"/>
      <c r="F4006" s="70"/>
      <c r="G4006" s="70"/>
      <c r="H4006" s="93"/>
      <c r="I4006" s="85"/>
      <c r="J4006" s="85"/>
      <c r="K4006" s="131"/>
      <c r="L4006" s="60"/>
      <c r="Z4006" s="3"/>
      <c r="AA4006" s="3"/>
      <c r="AB4006" s="4"/>
    </row>
    <row r="4007" spans="1:28" x14ac:dyDescent="0.15">
      <c r="A4007" s="166"/>
      <c r="B4007" s="82"/>
      <c r="C4007" s="70"/>
      <c r="D4007" s="70"/>
      <c r="E4007" s="70"/>
      <c r="F4007" s="70"/>
      <c r="G4007" s="70"/>
      <c r="H4007" s="93"/>
      <c r="I4007" s="85"/>
      <c r="J4007" s="85"/>
      <c r="K4007" s="131"/>
      <c r="L4007" s="60"/>
      <c r="M4007" s="33"/>
      <c r="Z4007" s="3"/>
      <c r="AA4007" s="3"/>
      <c r="AB4007" s="4"/>
    </row>
    <row r="4008" spans="1:28" x14ac:dyDescent="0.15">
      <c r="A4008" s="166"/>
      <c r="B4008" s="82"/>
      <c r="C4008" s="70"/>
      <c r="D4008" s="70"/>
      <c r="E4008" s="70"/>
      <c r="F4008" s="70"/>
      <c r="G4008" s="70"/>
      <c r="H4008" s="93"/>
      <c r="I4008" s="85"/>
      <c r="J4008" s="85"/>
      <c r="K4008" s="131"/>
      <c r="L4008" s="60"/>
      <c r="M4008" s="33"/>
      <c r="Z4008" s="3"/>
      <c r="AA4008" s="3"/>
      <c r="AB4008" s="4"/>
    </row>
    <row r="4009" spans="1:28" x14ac:dyDescent="0.15">
      <c r="A4009" s="166"/>
      <c r="B4009" s="82"/>
      <c r="C4009" s="70"/>
      <c r="D4009" s="70"/>
      <c r="E4009" s="70"/>
      <c r="F4009" s="70"/>
      <c r="G4009" s="70"/>
      <c r="H4009" s="93"/>
      <c r="I4009" s="85"/>
      <c r="J4009" s="85"/>
      <c r="K4009" s="131"/>
      <c r="L4009" s="60"/>
      <c r="Z4009" s="3"/>
      <c r="AA4009" s="3"/>
      <c r="AB4009" s="4"/>
    </row>
    <row r="4010" spans="1:28" x14ac:dyDescent="0.15">
      <c r="A4010" s="166"/>
      <c r="B4010" s="82"/>
      <c r="C4010" s="70"/>
      <c r="D4010" s="70"/>
      <c r="E4010" s="70"/>
      <c r="F4010" s="70"/>
      <c r="G4010" s="70"/>
      <c r="H4010" s="93"/>
      <c r="I4010" s="85"/>
      <c r="J4010" s="85"/>
      <c r="K4010" s="131"/>
      <c r="L4010" s="60"/>
      <c r="Z4010" s="3"/>
      <c r="AA4010" s="3"/>
      <c r="AB4010" s="4"/>
    </row>
    <row r="4011" spans="1:28" x14ac:dyDescent="0.15">
      <c r="A4011" s="70"/>
      <c r="B4011" s="82"/>
      <c r="C4011" s="70"/>
      <c r="D4011" s="70"/>
      <c r="E4011" s="70"/>
      <c r="F4011" s="70"/>
      <c r="G4011" s="70"/>
      <c r="H4011" s="93"/>
      <c r="I4011" s="85"/>
      <c r="J4011" s="85"/>
      <c r="K4011" s="131"/>
      <c r="L4011" s="60"/>
      <c r="M4011" s="33"/>
      <c r="Z4011" s="3"/>
      <c r="AA4011" s="3"/>
      <c r="AB4011" s="4"/>
    </row>
    <row r="4012" spans="1:28" x14ac:dyDescent="0.15">
      <c r="A4012" s="166"/>
      <c r="B4012" s="82"/>
      <c r="C4012" s="70"/>
      <c r="D4012" s="70"/>
      <c r="E4012" s="70"/>
      <c r="F4012" s="70"/>
      <c r="G4012" s="70"/>
      <c r="H4012" s="93"/>
      <c r="I4012" s="85"/>
      <c r="J4012" s="85"/>
      <c r="K4012" s="131"/>
      <c r="L4012" s="60"/>
      <c r="M4012" s="33"/>
      <c r="Z4012" s="3"/>
      <c r="AA4012" s="3"/>
      <c r="AB4012" s="4"/>
    </row>
    <row r="4013" spans="1:28" x14ac:dyDescent="0.15">
      <c r="A4013" s="166"/>
      <c r="B4013" s="82"/>
      <c r="C4013" s="70"/>
      <c r="D4013" s="70"/>
      <c r="E4013" s="70"/>
      <c r="F4013" s="70"/>
      <c r="G4013" s="70"/>
      <c r="H4013" s="93"/>
      <c r="I4013" s="85"/>
      <c r="J4013" s="95"/>
      <c r="K4013" s="131"/>
      <c r="L4013" s="60"/>
      <c r="M4013" s="33"/>
      <c r="Z4013" s="3"/>
      <c r="AA4013" s="3"/>
      <c r="AB4013" s="4"/>
    </row>
    <row r="4014" spans="1:28" x14ac:dyDescent="0.15">
      <c r="A4014" s="166"/>
      <c r="B4014" s="82"/>
      <c r="C4014" s="73"/>
      <c r="D4014" s="73"/>
      <c r="E4014" s="70"/>
      <c r="F4014" s="73"/>
      <c r="G4014" s="73"/>
      <c r="H4014" s="108"/>
      <c r="I4014" s="85"/>
      <c r="J4014" s="95"/>
      <c r="K4014" s="131"/>
      <c r="L4014" s="60"/>
      <c r="M4014" s="33"/>
      <c r="Z4014" s="3"/>
      <c r="AA4014" s="3"/>
      <c r="AB4014" s="4"/>
    </row>
    <row r="4015" spans="1:28" x14ac:dyDescent="0.15">
      <c r="A4015" s="166"/>
      <c r="B4015" s="82"/>
      <c r="C4015" s="73"/>
      <c r="D4015" s="73"/>
      <c r="E4015" s="70"/>
      <c r="F4015" s="73"/>
      <c r="G4015" s="73"/>
      <c r="H4015" s="108"/>
      <c r="I4015" s="85"/>
      <c r="J4015" s="95"/>
      <c r="K4015" s="131"/>
      <c r="L4015" s="60"/>
      <c r="M4015" s="33"/>
      <c r="Z4015" s="3"/>
      <c r="AA4015" s="3"/>
      <c r="AB4015" s="4"/>
    </row>
    <row r="4016" spans="1:28" x14ac:dyDescent="0.15">
      <c r="A4016" s="166"/>
      <c r="B4016" s="82"/>
      <c r="C4016" s="70"/>
      <c r="D4016" s="70"/>
      <c r="E4016" s="70"/>
      <c r="F4016" s="70"/>
      <c r="G4016" s="70"/>
      <c r="H4016" s="93"/>
      <c r="I4016" s="85"/>
      <c r="J4016" s="85"/>
      <c r="K4016" s="131"/>
      <c r="L4016" s="60"/>
      <c r="M4016" s="33"/>
      <c r="Z4016" s="3"/>
      <c r="AA4016" s="3"/>
      <c r="AB4016" s="4"/>
    </row>
    <row r="4017" spans="1:28" x14ac:dyDescent="0.15">
      <c r="A4017" s="166"/>
      <c r="B4017" s="82"/>
      <c r="C4017" s="70"/>
      <c r="D4017" s="70"/>
      <c r="E4017" s="70"/>
      <c r="F4017" s="70"/>
      <c r="G4017" s="70"/>
      <c r="H4017" s="93"/>
      <c r="I4017" s="85"/>
      <c r="J4017" s="85"/>
      <c r="K4017" s="131"/>
      <c r="L4017" s="60"/>
      <c r="Z4017" s="3"/>
      <c r="AA4017" s="3"/>
      <c r="AB4017" s="4"/>
    </row>
    <row r="4018" spans="1:28" x14ac:dyDescent="0.15">
      <c r="A4018" s="166"/>
      <c r="B4018" s="82"/>
      <c r="C4018" s="70"/>
      <c r="D4018" s="70"/>
      <c r="E4018" s="70"/>
      <c r="F4018" s="70"/>
      <c r="G4018" s="70"/>
      <c r="H4018" s="93"/>
      <c r="I4018" s="85"/>
      <c r="J4018" s="85"/>
      <c r="K4018" s="131"/>
      <c r="L4018" s="60"/>
      <c r="M4018" s="33"/>
      <c r="Z4018" s="3"/>
      <c r="AA4018" s="3"/>
      <c r="AB4018" s="4"/>
    </row>
    <row r="4019" spans="1:28" x14ac:dyDescent="0.15">
      <c r="A4019" s="166"/>
      <c r="B4019" s="82"/>
      <c r="C4019" s="70"/>
      <c r="D4019" s="70"/>
      <c r="E4019" s="70"/>
      <c r="F4019" s="70"/>
      <c r="G4019" s="70"/>
      <c r="H4019" s="93"/>
      <c r="I4019" s="85"/>
      <c r="J4019" s="85"/>
      <c r="K4019" s="131"/>
      <c r="L4019" s="60"/>
      <c r="Z4019" s="3"/>
      <c r="AA4019" s="3"/>
      <c r="AB4019" s="4"/>
    </row>
    <row r="4020" spans="1:28" x14ac:dyDescent="0.15">
      <c r="A4020" s="166"/>
      <c r="B4020" s="82"/>
      <c r="C4020" s="70"/>
      <c r="D4020" s="70"/>
      <c r="E4020" s="70"/>
      <c r="F4020" s="70"/>
      <c r="G4020" s="70"/>
      <c r="H4020" s="93"/>
      <c r="I4020" s="85"/>
      <c r="J4020" s="85"/>
      <c r="K4020" s="131"/>
      <c r="L4020" s="60"/>
      <c r="Z4020" s="3"/>
      <c r="AA4020" s="3"/>
      <c r="AB4020" s="4"/>
    </row>
    <row r="4021" spans="1:28" ht="16" x14ac:dyDescent="0.2">
      <c r="A4021" s="166"/>
      <c r="B4021" s="93"/>
      <c r="C4021" s="70"/>
      <c r="D4021" s="70"/>
      <c r="E4021" s="73"/>
      <c r="F4021" s="70"/>
      <c r="G4021" s="70"/>
      <c r="H4021" s="93"/>
      <c r="I4021" s="85"/>
      <c r="J4021" s="85"/>
      <c r="K4021" s="131"/>
      <c r="L4021" s="60"/>
      <c r="M4021" s="47"/>
      <c r="Z4021" s="3"/>
      <c r="AA4021" s="3"/>
      <c r="AB4021" s="4"/>
    </row>
    <row r="4022" spans="1:28" x14ac:dyDescent="0.15">
      <c r="A4022" s="166"/>
      <c r="B4022" s="82"/>
      <c r="C4022" s="73"/>
      <c r="D4022" s="73"/>
      <c r="E4022" s="70"/>
      <c r="F4022" s="73"/>
      <c r="G4022" s="73"/>
      <c r="H4022" s="108"/>
      <c r="I4022" s="85"/>
      <c r="J4022" s="95"/>
      <c r="K4022" s="131"/>
      <c r="L4022" s="60"/>
      <c r="M4022" s="33"/>
      <c r="Z4022" s="3"/>
      <c r="AA4022" s="3"/>
      <c r="AB4022" s="4"/>
    </row>
    <row r="4023" spans="1:28" x14ac:dyDescent="0.15">
      <c r="A4023" s="166"/>
      <c r="B4023" s="82"/>
      <c r="C4023" s="70"/>
      <c r="D4023" s="70"/>
      <c r="E4023" s="70"/>
      <c r="F4023" s="70"/>
      <c r="G4023" s="70"/>
      <c r="H4023" s="93"/>
      <c r="I4023" s="85"/>
      <c r="J4023" s="85"/>
      <c r="K4023" s="131"/>
      <c r="L4023" s="60"/>
      <c r="M4023" s="33"/>
      <c r="Z4023" s="3"/>
      <c r="AA4023" s="3"/>
      <c r="AB4023" s="4"/>
    </row>
    <row r="4024" spans="1:28" x14ac:dyDescent="0.15">
      <c r="A4024" s="166"/>
      <c r="B4024" s="82"/>
      <c r="C4024" s="70"/>
      <c r="D4024" s="70"/>
      <c r="E4024" s="70"/>
      <c r="F4024" s="70"/>
      <c r="G4024" s="70"/>
      <c r="H4024" s="93"/>
      <c r="I4024" s="85"/>
      <c r="J4024" s="85"/>
      <c r="K4024" s="131"/>
      <c r="L4024" s="60"/>
      <c r="M4024" s="33"/>
      <c r="Z4024" s="3"/>
      <c r="AA4024" s="3"/>
      <c r="AB4024" s="4"/>
    </row>
    <row r="4025" spans="1:28" x14ac:dyDescent="0.15">
      <c r="A4025" s="166"/>
      <c r="B4025" s="82"/>
      <c r="C4025" s="70"/>
      <c r="D4025" s="70"/>
      <c r="E4025" s="70"/>
      <c r="F4025" s="70"/>
      <c r="G4025" s="70"/>
      <c r="H4025" s="93"/>
      <c r="I4025" s="85"/>
      <c r="J4025" s="85"/>
      <c r="K4025" s="131"/>
      <c r="L4025" s="60"/>
      <c r="M4025" s="33"/>
      <c r="Z4025" s="3"/>
      <c r="AA4025" s="3"/>
      <c r="AB4025" s="4"/>
    </row>
    <row r="4026" spans="1:28" x14ac:dyDescent="0.15">
      <c r="A4026" s="166"/>
      <c r="B4026" s="82"/>
      <c r="C4026" s="70"/>
      <c r="D4026" s="70"/>
      <c r="E4026" s="70"/>
      <c r="F4026" s="70"/>
      <c r="G4026" s="70"/>
      <c r="H4026" s="93"/>
      <c r="I4026" s="85"/>
      <c r="J4026" s="85"/>
      <c r="K4026" s="131"/>
      <c r="L4026" s="60"/>
      <c r="Z4026" s="3"/>
      <c r="AA4026" s="3"/>
      <c r="AB4026" s="4"/>
    </row>
    <row r="4027" spans="1:28" x14ac:dyDescent="0.15">
      <c r="A4027" s="166"/>
      <c r="B4027" s="82"/>
      <c r="C4027" s="73"/>
      <c r="D4027" s="73"/>
      <c r="E4027" s="70"/>
      <c r="F4027" s="73"/>
      <c r="G4027" s="73"/>
      <c r="H4027" s="108"/>
      <c r="I4027" s="85"/>
      <c r="J4027" s="85"/>
      <c r="K4027" s="131"/>
      <c r="L4027" s="60"/>
      <c r="M4027" s="33"/>
      <c r="Z4027" s="3"/>
      <c r="AA4027" s="3"/>
      <c r="AB4027" s="4"/>
    </row>
    <row r="4028" spans="1:28" x14ac:dyDescent="0.15">
      <c r="A4028" s="166"/>
      <c r="B4028" s="82"/>
      <c r="C4028" s="70"/>
      <c r="D4028" s="70"/>
      <c r="E4028" s="70"/>
      <c r="F4028" s="70"/>
      <c r="G4028" s="70"/>
      <c r="H4028" s="93"/>
      <c r="I4028" s="85"/>
      <c r="J4028" s="85"/>
      <c r="K4028" s="131"/>
      <c r="L4028" s="60"/>
      <c r="Z4028" s="3"/>
      <c r="AA4028" s="3"/>
      <c r="AB4028" s="4"/>
    </row>
    <row r="4029" spans="1:28" x14ac:dyDescent="0.15">
      <c r="A4029" s="166"/>
      <c r="B4029" s="82"/>
      <c r="C4029" s="70"/>
      <c r="D4029" s="70"/>
      <c r="E4029" s="70"/>
      <c r="F4029" s="70"/>
      <c r="G4029" s="70"/>
      <c r="H4029" s="93"/>
      <c r="I4029" s="85"/>
      <c r="J4029" s="85"/>
      <c r="K4029" s="131"/>
      <c r="L4029" s="60"/>
      <c r="Z4029" s="3"/>
      <c r="AA4029" s="3"/>
      <c r="AB4029" s="4"/>
    </row>
    <row r="4030" spans="1:28" x14ac:dyDescent="0.15">
      <c r="A4030" s="70"/>
      <c r="B4030" s="82"/>
      <c r="C4030" s="70"/>
      <c r="D4030" s="70"/>
      <c r="E4030" s="70"/>
      <c r="F4030" s="70"/>
      <c r="G4030" s="70"/>
      <c r="H4030" s="93"/>
      <c r="I4030" s="85"/>
      <c r="J4030" s="85"/>
      <c r="K4030" s="131"/>
      <c r="L4030" s="60"/>
      <c r="Z4030" s="3"/>
      <c r="AA4030" s="3"/>
      <c r="AB4030" s="4"/>
    </row>
    <row r="4031" spans="1:28" x14ac:dyDescent="0.15">
      <c r="A4031" s="166"/>
      <c r="B4031" s="82"/>
      <c r="C4031" s="70"/>
      <c r="D4031" s="70"/>
      <c r="E4031" s="70"/>
      <c r="F4031" s="70"/>
      <c r="G4031" s="70"/>
      <c r="H4031" s="93"/>
      <c r="I4031" s="85"/>
      <c r="J4031" s="85"/>
      <c r="K4031" s="131"/>
      <c r="L4031" s="60"/>
      <c r="N4031" s="33"/>
      <c r="Z4031" s="3"/>
      <c r="AA4031" s="3"/>
      <c r="AB4031" s="4"/>
    </row>
    <row r="4032" spans="1:28" x14ac:dyDescent="0.15">
      <c r="A4032" s="166"/>
      <c r="B4032" s="82"/>
      <c r="C4032" s="70"/>
      <c r="D4032" s="70"/>
      <c r="E4032" s="70"/>
      <c r="F4032" s="70"/>
      <c r="G4032" s="70"/>
      <c r="H4032" s="93"/>
      <c r="I4032" s="85"/>
      <c r="J4032" s="85"/>
      <c r="K4032" s="131"/>
      <c r="L4032" s="60"/>
      <c r="Z4032" s="3"/>
      <c r="AA4032" s="3"/>
      <c r="AB4032" s="4"/>
    </row>
    <row r="4033" spans="1:28" x14ac:dyDescent="0.15">
      <c r="A4033" s="166"/>
      <c r="B4033" s="82"/>
      <c r="C4033" s="70"/>
      <c r="D4033" s="70"/>
      <c r="E4033" s="70"/>
      <c r="F4033" s="70"/>
      <c r="G4033" s="70"/>
      <c r="H4033" s="93"/>
      <c r="I4033" s="85"/>
      <c r="J4033" s="85"/>
      <c r="K4033" s="131"/>
      <c r="L4033" s="60"/>
      <c r="M4033" s="33"/>
      <c r="Z4033" s="3"/>
      <c r="AA4033" s="3"/>
      <c r="AB4033" s="4"/>
    </row>
    <row r="4034" spans="1:28" x14ac:dyDescent="0.15">
      <c r="A4034" s="70"/>
      <c r="B4034" s="82"/>
      <c r="C4034" s="70"/>
      <c r="D4034" s="70"/>
      <c r="E4034" s="70"/>
      <c r="F4034" s="70"/>
      <c r="G4034" s="70"/>
      <c r="H4034" s="93"/>
      <c r="I4034" s="85"/>
      <c r="J4034" s="85"/>
      <c r="K4034" s="131"/>
      <c r="L4034" s="60"/>
      <c r="M4034" s="33"/>
      <c r="Z4034" s="3"/>
      <c r="AA4034" s="3"/>
      <c r="AB4034" s="4"/>
    </row>
    <row r="4035" spans="1:28" x14ac:dyDescent="0.15">
      <c r="A4035" s="70"/>
      <c r="B4035" s="82"/>
      <c r="C4035" s="70"/>
      <c r="D4035" s="70"/>
      <c r="E4035" s="70"/>
      <c r="F4035" s="70"/>
      <c r="G4035" s="70"/>
      <c r="H4035" s="93"/>
      <c r="I4035" s="85"/>
      <c r="J4035" s="85"/>
      <c r="K4035" s="131"/>
      <c r="L4035" s="60"/>
      <c r="M4035" s="33"/>
      <c r="Z4035" s="3"/>
      <c r="AA4035" s="3"/>
      <c r="AB4035" s="4"/>
    </row>
    <row r="4036" spans="1:28" x14ac:dyDescent="0.15">
      <c r="A4036" s="70"/>
      <c r="B4036" s="82"/>
      <c r="C4036" s="70"/>
      <c r="D4036" s="70"/>
      <c r="E4036" s="70"/>
      <c r="F4036" s="70"/>
      <c r="G4036" s="70"/>
      <c r="H4036" s="93"/>
      <c r="I4036" s="85"/>
      <c r="J4036" s="85"/>
      <c r="K4036" s="131"/>
      <c r="L4036" s="60"/>
      <c r="M4036" s="33"/>
      <c r="Z4036" s="3"/>
      <c r="AA4036" s="3"/>
      <c r="AB4036" s="4"/>
    </row>
    <row r="4037" spans="1:28" x14ac:dyDescent="0.15">
      <c r="A4037" s="166"/>
      <c r="B4037" s="82"/>
      <c r="C4037" s="73"/>
      <c r="D4037" s="73"/>
      <c r="E4037" s="70"/>
      <c r="F4037" s="73"/>
      <c r="G4037" s="73"/>
      <c r="H4037" s="108"/>
      <c r="I4037" s="85"/>
      <c r="J4037" s="95"/>
      <c r="K4037" s="131"/>
      <c r="L4037" s="60"/>
      <c r="M4037" s="33"/>
      <c r="Z4037" s="3"/>
      <c r="AA4037" s="3"/>
      <c r="AB4037" s="4"/>
    </row>
    <row r="4038" spans="1:28" x14ac:dyDescent="0.15">
      <c r="A4038" s="166"/>
      <c r="B4038" s="82"/>
      <c r="C4038" s="70"/>
      <c r="D4038" s="70"/>
      <c r="E4038" s="70"/>
      <c r="F4038" s="70"/>
      <c r="G4038" s="70"/>
      <c r="H4038" s="93"/>
      <c r="I4038" s="85"/>
      <c r="J4038" s="85"/>
      <c r="K4038" s="131"/>
      <c r="L4038" s="60"/>
      <c r="M4038" s="33"/>
      <c r="Z4038" s="3"/>
      <c r="AA4038" s="3"/>
      <c r="AB4038" s="4"/>
    </row>
    <row r="4039" spans="1:28" x14ac:dyDescent="0.15">
      <c r="A4039" s="166"/>
      <c r="B4039" s="82"/>
      <c r="C4039" s="73"/>
      <c r="D4039" s="73"/>
      <c r="E4039" s="70"/>
      <c r="F4039" s="73"/>
      <c r="G4039" s="73"/>
      <c r="H4039" s="108"/>
      <c r="I4039" s="85"/>
      <c r="J4039" s="95"/>
      <c r="K4039" s="131"/>
      <c r="L4039" s="60"/>
      <c r="M4039" s="33"/>
      <c r="Z4039" s="3"/>
      <c r="AA4039" s="3"/>
      <c r="AB4039" s="4"/>
    </row>
    <row r="4040" spans="1:28" x14ac:dyDescent="0.15">
      <c r="A4040" s="166"/>
      <c r="B4040" s="82"/>
      <c r="C4040" s="70"/>
      <c r="D4040" s="70"/>
      <c r="E4040" s="70"/>
      <c r="F4040" s="70"/>
      <c r="G4040" s="70"/>
      <c r="H4040" s="93"/>
      <c r="I4040" s="85"/>
      <c r="J4040" s="85"/>
      <c r="K4040" s="131"/>
      <c r="L4040" s="60"/>
      <c r="M4040" s="33"/>
      <c r="Z4040" s="3"/>
      <c r="AA4040" s="3"/>
      <c r="AB4040" s="4"/>
    </row>
    <row r="4041" spans="1:28" x14ac:dyDescent="0.15">
      <c r="A4041" s="166"/>
      <c r="B4041" s="82"/>
      <c r="C4041" s="70"/>
      <c r="D4041" s="70"/>
      <c r="E4041" s="70"/>
      <c r="F4041" s="70"/>
      <c r="G4041" s="70"/>
      <c r="H4041" s="93"/>
      <c r="I4041" s="85"/>
      <c r="J4041" s="85"/>
      <c r="K4041" s="131"/>
      <c r="L4041" s="60"/>
      <c r="M4041" s="33"/>
      <c r="Z4041" s="3"/>
      <c r="AA4041" s="3"/>
      <c r="AB4041" s="4"/>
    </row>
    <row r="4042" spans="1:28" x14ac:dyDescent="0.15">
      <c r="A4042" s="166"/>
      <c r="B4042" s="82"/>
      <c r="C4042" s="73"/>
      <c r="D4042" s="73"/>
      <c r="E4042" s="70"/>
      <c r="F4042" s="73"/>
      <c r="G4042" s="73"/>
      <c r="H4042" s="108"/>
      <c r="I4042" s="85"/>
      <c r="J4042" s="95"/>
      <c r="K4042" s="131"/>
      <c r="L4042" s="60"/>
      <c r="M4042" s="33"/>
      <c r="Z4042" s="3"/>
      <c r="AA4042" s="3"/>
      <c r="AB4042" s="4"/>
    </row>
    <row r="4043" spans="1:28" x14ac:dyDescent="0.15">
      <c r="A4043" s="166"/>
      <c r="B4043" s="96"/>
      <c r="C4043" s="73"/>
      <c r="D4043" s="73"/>
      <c r="E4043" s="73"/>
      <c r="F4043" s="73"/>
      <c r="G4043" s="73"/>
      <c r="H4043" s="108"/>
      <c r="I4043" s="85"/>
      <c r="J4043" s="95"/>
      <c r="K4043" s="131"/>
      <c r="L4043" s="60"/>
      <c r="M4043" s="33"/>
      <c r="Z4043" s="3"/>
      <c r="AA4043" s="3"/>
      <c r="AB4043" s="4"/>
    </row>
    <row r="4044" spans="1:28" x14ac:dyDescent="0.15">
      <c r="A4044" s="166"/>
      <c r="B4044" s="82"/>
      <c r="C4044" s="73"/>
      <c r="D4044" s="73"/>
      <c r="E4044" s="73"/>
      <c r="F4044" s="73"/>
      <c r="G4044" s="73"/>
      <c r="H4044" s="108"/>
      <c r="I4044" s="85"/>
      <c r="J4044" s="95"/>
      <c r="K4044" s="131"/>
      <c r="L4044" s="60"/>
      <c r="M4044" s="33"/>
      <c r="Z4044" s="3"/>
      <c r="AA4044" s="3"/>
      <c r="AB4044" s="4"/>
    </row>
    <row r="4045" spans="1:28" ht="16" x14ac:dyDescent="0.2">
      <c r="A4045" s="166"/>
      <c r="B4045" s="82"/>
      <c r="C4045" s="73"/>
      <c r="D4045" s="73"/>
      <c r="E4045" s="73"/>
      <c r="F4045" s="73"/>
      <c r="G4045" s="73"/>
      <c r="H4045" s="108"/>
      <c r="I4045" s="85"/>
      <c r="J4045" s="95"/>
      <c r="K4045" s="131"/>
      <c r="L4045" s="60"/>
      <c r="M4045" s="33"/>
      <c r="N4045" s="48"/>
      <c r="O4045" s="33"/>
      <c r="Z4045" s="3"/>
      <c r="AA4045" s="3"/>
      <c r="AB4045" s="4"/>
    </row>
    <row r="4046" spans="1:28" x14ac:dyDescent="0.15">
      <c r="A4046" s="166"/>
      <c r="B4046" s="82"/>
      <c r="C4046" s="73"/>
      <c r="D4046" s="73"/>
      <c r="E4046" s="73"/>
      <c r="F4046" s="73"/>
      <c r="G4046" s="73"/>
      <c r="H4046" s="108"/>
      <c r="I4046" s="85"/>
      <c r="J4046" s="95"/>
      <c r="K4046" s="131"/>
      <c r="L4046" s="60"/>
      <c r="M4046" s="33"/>
      <c r="Z4046" s="3"/>
      <c r="AA4046" s="3"/>
      <c r="AB4046" s="4"/>
    </row>
    <row r="4047" spans="1:28" x14ac:dyDescent="0.15">
      <c r="A4047" s="166"/>
      <c r="B4047" s="82"/>
      <c r="C4047" s="70"/>
      <c r="D4047" s="70"/>
      <c r="E4047" s="70"/>
      <c r="F4047" s="70"/>
      <c r="G4047" s="70"/>
      <c r="H4047" s="93"/>
      <c r="I4047" s="85"/>
      <c r="J4047" s="85"/>
      <c r="K4047" s="131"/>
      <c r="L4047" s="60"/>
      <c r="Z4047" s="3"/>
      <c r="AA4047" s="3"/>
      <c r="AB4047" s="4"/>
    </row>
    <row r="4048" spans="1:28" x14ac:dyDescent="0.15">
      <c r="A4048" s="166"/>
      <c r="B4048" s="82"/>
      <c r="C4048" s="70"/>
      <c r="D4048" s="70"/>
      <c r="E4048" s="70"/>
      <c r="F4048" s="70"/>
      <c r="G4048" s="70"/>
      <c r="H4048" s="93"/>
      <c r="I4048" s="85"/>
      <c r="J4048" s="85"/>
      <c r="K4048" s="131"/>
      <c r="L4048" s="60"/>
      <c r="Z4048" s="3"/>
      <c r="AA4048" s="3"/>
      <c r="AB4048" s="4"/>
    </row>
    <row r="4049" spans="1:28" x14ac:dyDescent="0.15">
      <c r="A4049" s="166"/>
      <c r="B4049" s="82"/>
      <c r="C4049" s="70"/>
      <c r="D4049" s="70"/>
      <c r="E4049" s="70"/>
      <c r="F4049" s="70"/>
      <c r="G4049" s="70"/>
      <c r="H4049" s="93"/>
      <c r="I4049" s="85"/>
      <c r="J4049" s="85"/>
      <c r="K4049" s="131"/>
      <c r="L4049" s="60"/>
      <c r="M4049" s="33"/>
      <c r="Z4049" s="3"/>
      <c r="AA4049" s="3"/>
      <c r="AB4049" s="4"/>
    </row>
    <row r="4050" spans="1:28" ht="16" x14ac:dyDescent="0.2">
      <c r="A4050" s="166"/>
      <c r="B4050" s="82"/>
      <c r="C4050" s="70"/>
      <c r="D4050" s="70"/>
      <c r="E4050" s="70"/>
      <c r="F4050" s="70"/>
      <c r="G4050" s="70"/>
      <c r="H4050" s="93"/>
      <c r="I4050" s="85"/>
      <c r="J4050" s="85"/>
      <c r="K4050" s="131"/>
      <c r="L4050" s="60"/>
      <c r="N4050" s="48"/>
      <c r="Z4050" s="3"/>
      <c r="AA4050" s="3"/>
      <c r="AB4050" s="4"/>
    </row>
    <row r="4051" spans="1:28" x14ac:dyDescent="0.15">
      <c r="A4051" s="166"/>
      <c r="B4051" s="93"/>
      <c r="C4051" s="73"/>
      <c r="D4051" s="73"/>
      <c r="E4051" s="73"/>
      <c r="F4051" s="73"/>
      <c r="G4051" s="73"/>
      <c r="H4051" s="108"/>
      <c r="I4051" s="85"/>
      <c r="J4051" s="95"/>
      <c r="K4051" s="131"/>
      <c r="L4051" s="60"/>
      <c r="M4051" s="33"/>
      <c r="Z4051" s="3"/>
      <c r="AA4051" s="3"/>
      <c r="AB4051" s="4"/>
    </row>
    <row r="4052" spans="1:28" x14ac:dyDescent="0.15">
      <c r="A4052" s="166"/>
      <c r="B4052" s="93"/>
      <c r="C4052" s="73"/>
      <c r="D4052" s="73"/>
      <c r="E4052" s="73"/>
      <c r="F4052" s="73"/>
      <c r="G4052" s="73"/>
      <c r="H4052" s="108"/>
      <c r="I4052" s="85"/>
      <c r="J4052" s="95"/>
      <c r="K4052" s="131"/>
      <c r="L4052" s="60"/>
      <c r="Z4052" s="3"/>
      <c r="AA4052" s="3"/>
      <c r="AB4052" s="4"/>
    </row>
    <row r="4053" spans="1:28" ht="16" x14ac:dyDescent="0.2">
      <c r="A4053" s="166"/>
      <c r="B4053" s="93"/>
      <c r="C4053" s="73"/>
      <c r="D4053" s="73"/>
      <c r="E4053" s="70"/>
      <c r="F4053" s="73"/>
      <c r="G4053" s="73"/>
      <c r="H4053" s="108"/>
      <c r="I4053" s="85"/>
      <c r="J4053" s="85"/>
      <c r="K4053" s="131"/>
      <c r="L4053" s="60"/>
      <c r="M4053" s="47"/>
      <c r="Z4053" s="3"/>
      <c r="AA4053" s="3"/>
      <c r="AB4053" s="4"/>
    </row>
    <row r="4054" spans="1:28" x14ac:dyDescent="0.15">
      <c r="A4054" s="166"/>
      <c r="B4054" s="82"/>
      <c r="C4054" s="70"/>
      <c r="D4054" s="70"/>
      <c r="E4054" s="70"/>
      <c r="F4054" s="70"/>
      <c r="G4054" s="70"/>
      <c r="H4054" s="93"/>
      <c r="I4054" s="85"/>
      <c r="J4054" s="85"/>
      <c r="K4054" s="131"/>
      <c r="L4054" s="60"/>
      <c r="Z4054" s="3"/>
      <c r="AA4054" s="3"/>
      <c r="AB4054" s="4"/>
    </row>
    <row r="4055" spans="1:28" x14ac:dyDescent="0.15">
      <c r="A4055" s="166"/>
      <c r="B4055" s="82"/>
      <c r="C4055" s="70"/>
      <c r="D4055" s="70"/>
      <c r="E4055" s="70"/>
      <c r="F4055" s="70"/>
      <c r="G4055" s="70"/>
      <c r="H4055" s="93"/>
      <c r="I4055" s="85"/>
      <c r="J4055" s="85"/>
      <c r="K4055" s="131"/>
      <c r="L4055" s="60"/>
      <c r="Z4055" s="3"/>
      <c r="AA4055" s="3"/>
      <c r="AB4055" s="4"/>
    </row>
    <row r="4056" spans="1:28" x14ac:dyDescent="0.15">
      <c r="A4056" s="166"/>
      <c r="B4056" s="82"/>
      <c r="C4056" s="70"/>
      <c r="D4056" s="70"/>
      <c r="E4056" s="70"/>
      <c r="F4056" s="70"/>
      <c r="G4056" s="70"/>
      <c r="H4056" s="93"/>
      <c r="I4056" s="85"/>
      <c r="J4056" s="85"/>
      <c r="K4056" s="131"/>
      <c r="L4056" s="69"/>
      <c r="M4056" s="33"/>
      <c r="Z4056" s="3"/>
      <c r="AA4056" s="3"/>
      <c r="AB4056" s="4"/>
    </row>
    <row r="4057" spans="1:28" x14ac:dyDescent="0.15">
      <c r="A4057" s="166"/>
      <c r="B4057" s="82"/>
      <c r="C4057" s="70"/>
      <c r="D4057" s="70"/>
      <c r="E4057" s="70"/>
      <c r="F4057" s="70"/>
      <c r="G4057" s="70"/>
      <c r="H4057" s="93"/>
      <c r="I4057" s="85"/>
      <c r="J4057" s="85"/>
      <c r="K4057" s="131"/>
      <c r="L4057" s="60"/>
      <c r="M4057" s="33"/>
      <c r="Z4057" s="3"/>
      <c r="AA4057" s="3"/>
      <c r="AB4057" s="4"/>
    </row>
    <row r="4058" spans="1:28" ht="16" x14ac:dyDescent="0.2">
      <c r="A4058" s="166"/>
      <c r="B4058" s="82"/>
      <c r="C4058" s="70"/>
      <c r="D4058" s="70"/>
      <c r="E4058" s="70"/>
      <c r="F4058" s="70"/>
      <c r="G4058" s="70"/>
      <c r="H4058" s="93"/>
      <c r="I4058" s="85"/>
      <c r="J4058" s="85"/>
      <c r="K4058" s="131"/>
      <c r="L4058" s="60"/>
      <c r="N4058" s="48"/>
      <c r="Z4058" s="3"/>
      <c r="AA4058" s="3"/>
      <c r="AB4058" s="4"/>
    </row>
    <row r="4059" spans="1:28" x14ac:dyDescent="0.15">
      <c r="A4059" s="166"/>
      <c r="B4059" s="93"/>
      <c r="C4059" s="70"/>
      <c r="D4059" s="70"/>
      <c r="E4059" s="70"/>
      <c r="F4059" s="70"/>
      <c r="G4059" s="70"/>
      <c r="H4059" s="93"/>
      <c r="I4059" s="85"/>
      <c r="J4059" s="85"/>
      <c r="K4059" s="131"/>
      <c r="L4059" s="60"/>
      <c r="M4059" s="33"/>
      <c r="Z4059" s="3"/>
      <c r="AA4059" s="3"/>
      <c r="AB4059" s="4"/>
    </row>
    <row r="4060" spans="1:28" x14ac:dyDescent="0.15">
      <c r="A4060" s="166"/>
      <c r="B4060" s="93"/>
      <c r="C4060" s="73"/>
      <c r="D4060" s="73"/>
      <c r="E4060" s="73"/>
      <c r="F4060" s="73"/>
      <c r="G4060" s="73"/>
      <c r="H4060" s="108"/>
      <c r="I4060" s="85"/>
      <c r="J4060" s="85"/>
      <c r="K4060" s="131"/>
      <c r="L4060" s="60"/>
      <c r="M4060" s="33"/>
      <c r="Z4060" s="3"/>
      <c r="AA4060" s="3"/>
      <c r="AB4060" s="4"/>
    </row>
    <row r="4061" spans="1:28" ht="16" x14ac:dyDescent="0.2">
      <c r="A4061" s="166"/>
      <c r="B4061" s="93"/>
      <c r="C4061" s="70"/>
      <c r="D4061" s="70"/>
      <c r="E4061" s="70"/>
      <c r="F4061" s="70"/>
      <c r="G4061" s="70"/>
      <c r="H4061" s="93"/>
      <c r="I4061" s="85"/>
      <c r="J4061" s="85"/>
      <c r="K4061" s="131"/>
      <c r="L4061" s="60"/>
      <c r="M4061" s="47"/>
      <c r="Z4061" s="3"/>
      <c r="AA4061" s="3"/>
      <c r="AB4061" s="4"/>
    </row>
    <row r="4062" spans="1:28" x14ac:dyDescent="0.15">
      <c r="A4062" s="166"/>
      <c r="B4062" s="93"/>
      <c r="C4062" s="70"/>
      <c r="D4062" s="70"/>
      <c r="E4062" s="70"/>
      <c r="F4062" s="70"/>
      <c r="G4062" s="70"/>
      <c r="H4062" s="93"/>
      <c r="I4062" s="85"/>
      <c r="J4062" s="85"/>
      <c r="K4062" s="131"/>
      <c r="L4062" s="60"/>
      <c r="M4062" s="33"/>
      <c r="Z4062" s="3"/>
      <c r="AA4062" s="3"/>
      <c r="AB4062" s="4"/>
    </row>
    <row r="4063" spans="1:28" x14ac:dyDescent="0.15">
      <c r="A4063" s="166"/>
      <c r="B4063" s="93"/>
      <c r="C4063" s="73"/>
      <c r="D4063" s="73"/>
      <c r="E4063" s="70"/>
      <c r="F4063" s="73"/>
      <c r="G4063" s="73"/>
      <c r="H4063" s="108"/>
      <c r="I4063" s="85"/>
      <c r="J4063" s="95"/>
      <c r="K4063" s="131"/>
      <c r="L4063" s="60"/>
      <c r="M4063" s="33"/>
      <c r="Z4063" s="3"/>
      <c r="AA4063" s="3"/>
      <c r="AB4063" s="4"/>
    </row>
    <row r="4064" spans="1:28" x14ac:dyDescent="0.15">
      <c r="A4064" s="166"/>
      <c r="B4064" s="82"/>
      <c r="C4064" s="73"/>
      <c r="D4064" s="73"/>
      <c r="E4064" s="70"/>
      <c r="F4064" s="73"/>
      <c r="G4064" s="73"/>
      <c r="H4064" s="108"/>
      <c r="I4064" s="85"/>
      <c r="J4064" s="95"/>
      <c r="K4064" s="131"/>
      <c r="L4064" s="60"/>
      <c r="M4064" s="33"/>
      <c r="Z4064" s="3"/>
      <c r="AA4064" s="3"/>
      <c r="AB4064" s="4"/>
    </row>
    <row r="4065" spans="1:28" x14ac:dyDescent="0.15">
      <c r="A4065" s="166"/>
      <c r="B4065" s="82"/>
      <c r="C4065" s="70"/>
      <c r="D4065" s="70"/>
      <c r="E4065" s="70"/>
      <c r="F4065" s="70"/>
      <c r="G4065" s="70"/>
      <c r="H4065" s="93"/>
      <c r="I4065" s="85"/>
      <c r="J4065" s="85"/>
      <c r="K4065" s="131"/>
      <c r="L4065" s="60"/>
      <c r="M4065" s="33"/>
      <c r="Z4065" s="3"/>
      <c r="AA4065" s="3"/>
      <c r="AB4065" s="4"/>
    </row>
    <row r="4066" spans="1:28" x14ac:dyDescent="0.15">
      <c r="A4066" s="166"/>
      <c r="B4066" s="82"/>
      <c r="C4066" s="70"/>
      <c r="D4066" s="70"/>
      <c r="E4066" s="70"/>
      <c r="F4066" s="70"/>
      <c r="G4066" s="70"/>
      <c r="H4066" s="93"/>
      <c r="I4066" s="85"/>
      <c r="J4066" s="85"/>
      <c r="K4066" s="131"/>
      <c r="L4066" s="60"/>
      <c r="M4066" s="33"/>
      <c r="Z4066" s="3"/>
      <c r="AA4066" s="3"/>
      <c r="AB4066" s="4"/>
    </row>
    <row r="4067" spans="1:28" x14ac:dyDescent="0.15">
      <c r="A4067" s="166"/>
      <c r="B4067" s="82"/>
      <c r="C4067" s="70"/>
      <c r="D4067" s="70"/>
      <c r="E4067" s="70"/>
      <c r="F4067" s="70"/>
      <c r="G4067" s="70"/>
      <c r="H4067" s="93"/>
      <c r="I4067" s="85"/>
      <c r="J4067" s="85"/>
      <c r="K4067" s="131"/>
      <c r="L4067" s="60"/>
      <c r="Z4067" s="3"/>
      <c r="AA4067" s="3"/>
      <c r="AB4067" s="4"/>
    </row>
    <row r="4068" spans="1:28" x14ac:dyDescent="0.15">
      <c r="A4068" s="166"/>
      <c r="B4068" s="82"/>
      <c r="C4068" s="70"/>
      <c r="D4068" s="70"/>
      <c r="E4068" s="70"/>
      <c r="F4068" s="70"/>
      <c r="G4068" s="70"/>
      <c r="H4068" s="93"/>
      <c r="I4068" s="85"/>
      <c r="J4068" s="85"/>
      <c r="K4068" s="131"/>
      <c r="L4068" s="60"/>
      <c r="Z4068" s="3"/>
      <c r="AA4068" s="3"/>
      <c r="AB4068" s="4"/>
    </row>
    <row r="4069" spans="1:28" x14ac:dyDescent="0.15">
      <c r="A4069" s="166"/>
      <c r="B4069" s="82"/>
      <c r="C4069" s="70"/>
      <c r="D4069" s="70"/>
      <c r="E4069" s="70"/>
      <c r="F4069" s="70"/>
      <c r="G4069" s="70"/>
      <c r="H4069" s="93"/>
      <c r="I4069" s="85"/>
      <c r="J4069" s="85"/>
      <c r="K4069" s="131"/>
      <c r="L4069" s="60"/>
      <c r="M4069" s="33"/>
      <c r="Z4069" s="3"/>
      <c r="AA4069" s="3"/>
      <c r="AB4069" s="4"/>
    </row>
    <row r="4070" spans="1:28" x14ac:dyDescent="0.15">
      <c r="A4070" s="166"/>
      <c r="B4070" s="82"/>
      <c r="C4070" s="70"/>
      <c r="D4070" s="70"/>
      <c r="E4070" s="70"/>
      <c r="F4070" s="70"/>
      <c r="G4070" s="70"/>
      <c r="H4070" s="93"/>
      <c r="I4070" s="85"/>
      <c r="J4070" s="85"/>
      <c r="K4070" s="131"/>
      <c r="L4070" s="60"/>
      <c r="Z4070" s="3"/>
      <c r="AA4070" s="3"/>
      <c r="AB4070" s="4"/>
    </row>
    <row r="4071" spans="1:28" x14ac:dyDescent="0.15">
      <c r="A4071" s="166"/>
      <c r="B4071" s="82"/>
      <c r="C4071" s="70"/>
      <c r="D4071" s="70"/>
      <c r="E4071" s="70"/>
      <c r="F4071" s="70"/>
      <c r="G4071" s="70"/>
      <c r="H4071" s="93"/>
      <c r="I4071" s="85"/>
      <c r="J4071" s="85"/>
      <c r="K4071" s="131"/>
      <c r="L4071" s="60"/>
      <c r="Z4071" s="3"/>
      <c r="AA4071" s="3"/>
      <c r="AB4071" s="4"/>
    </row>
    <row r="4072" spans="1:28" x14ac:dyDescent="0.15">
      <c r="A4072" s="166"/>
      <c r="B4072" s="82"/>
      <c r="C4072" s="70"/>
      <c r="D4072" s="70"/>
      <c r="E4072" s="70"/>
      <c r="F4072" s="70"/>
      <c r="G4072" s="70"/>
      <c r="H4072" s="93"/>
      <c r="I4072" s="85"/>
      <c r="J4072" s="85"/>
      <c r="K4072" s="131"/>
      <c r="L4072" s="60"/>
      <c r="Z4072" s="3"/>
      <c r="AA4072" s="3"/>
      <c r="AB4072" s="4"/>
    </row>
    <row r="4073" spans="1:28" ht="16" x14ac:dyDescent="0.2">
      <c r="A4073" s="166"/>
      <c r="B4073" s="93"/>
      <c r="C4073" s="70"/>
      <c r="D4073" s="70"/>
      <c r="E4073" s="73"/>
      <c r="F4073" s="70"/>
      <c r="G4073" s="70"/>
      <c r="H4073" s="93"/>
      <c r="I4073" s="85"/>
      <c r="J4073" s="85"/>
      <c r="K4073" s="131"/>
      <c r="L4073" s="60"/>
      <c r="N4073" s="48"/>
      <c r="Z4073" s="3"/>
      <c r="AA4073" s="3"/>
      <c r="AB4073" s="4"/>
    </row>
    <row r="4074" spans="1:28" x14ac:dyDescent="0.15">
      <c r="A4074" s="166"/>
      <c r="B4074" s="93"/>
      <c r="C4074" s="70"/>
      <c r="D4074" s="70"/>
      <c r="E4074" s="70"/>
      <c r="F4074" s="70"/>
      <c r="G4074" s="70"/>
      <c r="H4074" s="93"/>
      <c r="I4074" s="85"/>
      <c r="J4074" s="85"/>
      <c r="K4074" s="131"/>
      <c r="L4074" s="60"/>
      <c r="M4074" s="33"/>
      <c r="Z4074" s="3"/>
      <c r="AA4074" s="3"/>
      <c r="AB4074" s="4"/>
    </row>
    <row r="4075" spans="1:28" x14ac:dyDescent="0.15">
      <c r="A4075" s="166"/>
      <c r="B4075" s="82"/>
      <c r="C4075" s="70"/>
      <c r="D4075" s="70"/>
      <c r="E4075" s="70"/>
      <c r="F4075" s="70"/>
      <c r="G4075" s="70"/>
      <c r="H4075" s="93"/>
      <c r="I4075" s="85"/>
      <c r="J4075" s="85"/>
      <c r="K4075" s="131"/>
      <c r="L4075" s="60"/>
      <c r="M4075" s="33"/>
      <c r="Z4075" s="3"/>
      <c r="AA4075" s="3"/>
      <c r="AB4075" s="4"/>
    </row>
    <row r="4076" spans="1:28" ht="16" x14ac:dyDescent="0.2">
      <c r="A4076" s="166"/>
      <c r="B4076" s="82"/>
      <c r="C4076" s="70"/>
      <c r="D4076" s="70"/>
      <c r="E4076" s="70"/>
      <c r="F4076" s="70"/>
      <c r="G4076" s="70"/>
      <c r="H4076" s="93"/>
      <c r="I4076" s="85"/>
      <c r="J4076" s="85"/>
      <c r="K4076" s="131"/>
      <c r="L4076" s="60"/>
      <c r="N4076" s="48"/>
      <c r="Z4076" s="3"/>
      <c r="AA4076" s="3"/>
      <c r="AB4076" s="4"/>
    </row>
    <row r="4077" spans="1:28" x14ac:dyDescent="0.15">
      <c r="A4077" s="166"/>
      <c r="B4077" s="82"/>
      <c r="C4077" s="70"/>
      <c r="D4077" s="70"/>
      <c r="E4077" s="70"/>
      <c r="F4077" s="70"/>
      <c r="G4077" s="70"/>
      <c r="H4077" s="93"/>
      <c r="I4077" s="85"/>
      <c r="J4077" s="85"/>
      <c r="K4077" s="131"/>
      <c r="L4077" s="60"/>
      <c r="M4077" s="33"/>
      <c r="Z4077" s="3"/>
      <c r="AA4077" s="3"/>
      <c r="AB4077" s="4"/>
    </row>
    <row r="4078" spans="1:28" x14ac:dyDescent="0.15">
      <c r="A4078" s="70"/>
      <c r="B4078" s="93"/>
      <c r="C4078" s="70"/>
      <c r="D4078" s="70"/>
      <c r="E4078" s="70"/>
      <c r="F4078" s="70"/>
      <c r="G4078" s="70"/>
      <c r="H4078" s="93"/>
      <c r="I4078" s="85"/>
      <c r="J4078" s="85"/>
      <c r="K4078" s="131"/>
      <c r="L4078" s="60"/>
      <c r="M4078" s="33"/>
      <c r="Z4078" s="3"/>
      <c r="AA4078" s="3"/>
      <c r="AB4078" s="4"/>
    </row>
    <row r="4079" spans="1:28" x14ac:dyDescent="0.15">
      <c r="A4079" s="70"/>
      <c r="B4079" s="82"/>
      <c r="C4079" s="70"/>
      <c r="D4079" s="70"/>
      <c r="E4079" s="70"/>
      <c r="F4079" s="70"/>
      <c r="G4079" s="70"/>
      <c r="H4079" s="93"/>
      <c r="I4079" s="85"/>
      <c r="J4079" s="85"/>
      <c r="K4079" s="131"/>
      <c r="L4079" s="60"/>
      <c r="M4079" s="33"/>
      <c r="Z4079" s="3"/>
      <c r="AA4079" s="3"/>
      <c r="AB4079" s="4"/>
    </row>
    <row r="4080" spans="1:28" ht="16" x14ac:dyDescent="0.2">
      <c r="A4080" s="70"/>
      <c r="B4080" s="82"/>
      <c r="C4080" s="70"/>
      <c r="D4080" s="70"/>
      <c r="E4080" s="70"/>
      <c r="F4080" s="70"/>
      <c r="G4080" s="70"/>
      <c r="H4080" s="93"/>
      <c r="I4080" s="85"/>
      <c r="J4080" s="85"/>
      <c r="K4080" s="131"/>
      <c r="L4080" s="60"/>
      <c r="N4080" s="48"/>
      <c r="Z4080" s="3"/>
      <c r="AA4080" s="3"/>
      <c r="AB4080" s="4"/>
    </row>
    <row r="4081" spans="1:28" ht="16" x14ac:dyDescent="0.2">
      <c r="A4081" s="70"/>
      <c r="B4081" s="93"/>
      <c r="C4081" s="70"/>
      <c r="D4081" s="70"/>
      <c r="E4081" s="70"/>
      <c r="F4081" s="70"/>
      <c r="G4081" s="70"/>
      <c r="H4081" s="93"/>
      <c r="I4081" s="85"/>
      <c r="J4081" s="85"/>
      <c r="K4081" s="131"/>
      <c r="L4081" s="60"/>
      <c r="M4081" s="47"/>
      <c r="Z4081" s="3"/>
      <c r="AA4081" s="3"/>
      <c r="AB4081" s="4"/>
    </row>
    <row r="4082" spans="1:28" x14ac:dyDescent="0.15">
      <c r="A4082" s="70"/>
      <c r="B4082" s="93"/>
      <c r="C4082" s="70"/>
      <c r="D4082" s="70"/>
      <c r="E4082" s="70"/>
      <c r="F4082" s="70"/>
      <c r="G4082" s="70"/>
      <c r="H4082" s="93"/>
      <c r="I4082" s="85"/>
      <c r="J4082" s="85"/>
      <c r="K4082" s="131"/>
      <c r="L4082" s="60"/>
      <c r="M4082" s="33"/>
      <c r="Z4082" s="3"/>
      <c r="AA4082" s="3"/>
      <c r="AB4082" s="4"/>
    </row>
    <row r="4083" spans="1:28" x14ac:dyDescent="0.15">
      <c r="A4083" s="70"/>
      <c r="B4083" s="93"/>
      <c r="C4083" s="70"/>
      <c r="D4083" s="70"/>
      <c r="E4083" s="70"/>
      <c r="F4083" s="70"/>
      <c r="G4083" s="70"/>
      <c r="H4083" s="93"/>
      <c r="I4083" s="85"/>
      <c r="J4083" s="85"/>
      <c r="K4083" s="131"/>
      <c r="L4083" s="60"/>
      <c r="M4083" s="33"/>
      <c r="Z4083" s="3"/>
      <c r="AA4083" s="3"/>
      <c r="AB4083" s="4"/>
    </row>
    <row r="4084" spans="1:28" x14ac:dyDescent="0.15">
      <c r="A4084" s="70"/>
      <c r="B4084" s="93"/>
      <c r="C4084" s="70"/>
      <c r="D4084" s="70"/>
      <c r="E4084" s="70"/>
      <c r="F4084" s="70"/>
      <c r="G4084" s="70"/>
      <c r="H4084" s="93"/>
      <c r="I4084" s="85"/>
      <c r="J4084" s="85"/>
      <c r="K4084" s="148"/>
      <c r="L4084" s="60"/>
      <c r="M4084" s="33"/>
      <c r="Z4084" s="3"/>
      <c r="AA4084" s="3"/>
      <c r="AB4084" s="4"/>
    </row>
    <row r="4085" spans="1:28" x14ac:dyDescent="0.15">
      <c r="A4085" s="70"/>
      <c r="B4085" s="93"/>
      <c r="C4085" s="70"/>
      <c r="D4085" s="70"/>
      <c r="E4085" s="70"/>
      <c r="F4085" s="70"/>
      <c r="G4085" s="70"/>
      <c r="H4085" s="93"/>
      <c r="I4085" s="85"/>
      <c r="J4085" s="85"/>
      <c r="K4085" s="131"/>
      <c r="L4085" s="60"/>
      <c r="M4085" s="33"/>
      <c r="Z4085" s="3"/>
      <c r="AA4085" s="3"/>
      <c r="AB4085" s="4"/>
    </row>
    <row r="4086" spans="1:28" x14ac:dyDescent="0.15">
      <c r="A4086" s="83"/>
      <c r="B4086" s="82"/>
      <c r="C4086" s="70"/>
      <c r="D4086" s="70"/>
      <c r="E4086" s="70"/>
      <c r="F4086" s="70"/>
      <c r="G4086" s="70"/>
      <c r="H4086" s="93"/>
      <c r="I4086" s="85"/>
      <c r="J4086" s="85"/>
      <c r="K4086" s="131"/>
      <c r="L4086" s="60"/>
      <c r="M4086" s="33"/>
      <c r="Z4086" s="3"/>
      <c r="AA4086" s="3"/>
      <c r="AB4086" s="4"/>
    </row>
    <row r="4087" spans="1:28" x14ac:dyDescent="0.15">
      <c r="A4087" s="70"/>
      <c r="B4087" s="93"/>
      <c r="C4087" s="70"/>
      <c r="D4087" s="70"/>
      <c r="E4087" s="70"/>
      <c r="F4087" s="70"/>
      <c r="G4087" s="70"/>
      <c r="H4087" s="93"/>
      <c r="I4087" s="85"/>
      <c r="J4087" s="85"/>
      <c r="K4087" s="131"/>
      <c r="L4087" s="60"/>
      <c r="M4087" s="33"/>
      <c r="Z4087" s="3"/>
      <c r="AA4087" s="3"/>
      <c r="AB4087" s="4"/>
    </row>
    <row r="4088" spans="1:28" x14ac:dyDescent="0.15">
      <c r="A4088" s="70"/>
      <c r="B4088" s="93"/>
      <c r="C4088" s="70"/>
      <c r="D4088" s="70"/>
      <c r="E4088" s="70"/>
      <c r="F4088" s="70"/>
      <c r="G4088" s="70"/>
      <c r="H4088" s="93"/>
      <c r="I4088" s="85"/>
      <c r="J4088" s="85"/>
      <c r="K4088" s="131"/>
      <c r="L4088" s="60"/>
      <c r="M4088" s="33"/>
      <c r="Z4088" s="3"/>
      <c r="AA4088" s="3"/>
      <c r="AB4088" s="4"/>
    </row>
    <row r="4089" spans="1:28" ht="16" x14ac:dyDescent="0.2">
      <c r="A4089" s="70"/>
      <c r="B4089" s="82"/>
      <c r="C4089" s="70"/>
      <c r="D4089" s="70"/>
      <c r="E4089" s="70"/>
      <c r="F4089" s="70"/>
      <c r="G4089" s="70"/>
      <c r="H4089" s="93"/>
      <c r="I4089" s="85"/>
      <c r="J4089" s="85"/>
      <c r="K4089" s="148"/>
      <c r="L4089" s="60"/>
      <c r="M4089" s="47"/>
      <c r="Z4089" s="3"/>
      <c r="AA4089" s="3"/>
      <c r="AB4089" s="4"/>
    </row>
    <row r="4090" spans="1:28" ht="16" x14ac:dyDescent="0.2">
      <c r="A4090" s="70"/>
      <c r="B4090" s="93"/>
      <c r="C4090" s="70"/>
      <c r="D4090" s="70"/>
      <c r="E4090" s="73"/>
      <c r="F4090" s="70"/>
      <c r="G4090" s="70"/>
      <c r="H4090" s="93"/>
      <c r="I4090" s="85"/>
      <c r="J4090" s="85"/>
      <c r="K4090" s="131"/>
      <c r="L4090" s="60"/>
      <c r="M4090" s="47"/>
      <c r="Z4090" s="3"/>
      <c r="AA4090" s="3"/>
      <c r="AB4090" s="4"/>
    </row>
    <row r="4091" spans="1:28" x14ac:dyDescent="0.15">
      <c r="A4091" s="70"/>
      <c r="B4091" s="82"/>
      <c r="C4091" s="70"/>
      <c r="D4091" s="70"/>
      <c r="E4091" s="70"/>
      <c r="F4091" s="70"/>
      <c r="G4091" s="70"/>
      <c r="H4091" s="93"/>
      <c r="I4091" s="85"/>
      <c r="J4091" s="85"/>
      <c r="K4091" s="131"/>
      <c r="L4091" s="60"/>
      <c r="N4091" s="35"/>
      <c r="Z4091" s="3"/>
      <c r="AA4091" s="3"/>
      <c r="AB4091" s="4"/>
    </row>
    <row r="4092" spans="1:28" x14ac:dyDescent="0.15">
      <c r="A4092" s="70"/>
      <c r="B4092" s="93"/>
      <c r="C4092" s="73"/>
      <c r="D4092" s="73"/>
      <c r="E4092" s="73"/>
      <c r="F4092" s="73"/>
      <c r="G4092" s="73"/>
      <c r="H4092" s="108"/>
      <c r="I4092" s="85"/>
      <c r="J4092" s="85"/>
      <c r="K4092" s="131"/>
      <c r="L4092" s="60"/>
      <c r="M4092" s="33"/>
      <c r="Z4092" s="3"/>
      <c r="AA4092" s="3"/>
      <c r="AB4092" s="4"/>
    </row>
    <row r="4093" spans="1:28" x14ac:dyDescent="0.15">
      <c r="A4093" s="70"/>
      <c r="B4093" s="82"/>
      <c r="C4093" s="70"/>
      <c r="D4093" s="70"/>
      <c r="E4093" s="70"/>
      <c r="F4093" s="70"/>
      <c r="G4093" s="70"/>
      <c r="H4093" s="93"/>
      <c r="I4093" s="85"/>
      <c r="J4093" s="85"/>
      <c r="K4093" s="131"/>
      <c r="L4093" s="60"/>
      <c r="Z4093" s="3"/>
      <c r="AA4093" s="3"/>
      <c r="AB4093" s="4"/>
    </row>
    <row r="4094" spans="1:28" x14ac:dyDescent="0.15">
      <c r="A4094" s="70"/>
      <c r="B4094" s="93"/>
      <c r="C4094" s="70"/>
      <c r="D4094" s="70"/>
      <c r="E4094" s="70"/>
      <c r="F4094" s="70"/>
      <c r="G4094" s="70"/>
      <c r="H4094" s="93"/>
      <c r="I4094" s="85"/>
      <c r="J4094" s="85"/>
      <c r="K4094" s="131"/>
      <c r="L4094" s="60"/>
      <c r="M4094" s="33"/>
      <c r="Z4094" s="3"/>
      <c r="AA4094" s="3"/>
      <c r="AB4094" s="4"/>
    </row>
    <row r="4095" spans="1:28" x14ac:dyDescent="0.15">
      <c r="A4095" s="70"/>
      <c r="B4095" s="82"/>
      <c r="C4095" s="70"/>
      <c r="D4095" s="70"/>
      <c r="E4095" s="70"/>
      <c r="F4095" s="70"/>
      <c r="G4095" s="70"/>
      <c r="H4095" s="93"/>
      <c r="I4095" s="85"/>
      <c r="J4095" s="85"/>
      <c r="K4095" s="131"/>
      <c r="L4095" s="60"/>
      <c r="M4095" s="33"/>
      <c r="N4095" s="32"/>
      <c r="Z4095" s="3"/>
      <c r="AA4095" s="3"/>
      <c r="AB4095" s="4"/>
    </row>
    <row r="4096" spans="1:28" x14ac:dyDescent="0.15">
      <c r="A4096" s="62"/>
      <c r="B4096" s="115"/>
      <c r="C4096" s="61"/>
      <c r="D4096" s="61"/>
      <c r="E4096" s="61"/>
      <c r="F4096" s="61"/>
      <c r="G4096" s="61"/>
      <c r="H4096" s="115"/>
      <c r="I4096" s="103"/>
      <c r="J4096" s="103"/>
      <c r="K4096" s="141"/>
      <c r="L4096" s="67"/>
      <c r="M4096" s="35"/>
      <c r="N4096" s="35"/>
      <c r="O4096" s="35"/>
      <c r="Z4096" s="3"/>
      <c r="AA4096" s="3"/>
      <c r="AB4096" s="4"/>
    </row>
    <row r="4097" spans="1:28" x14ac:dyDescent="0.15">
      <c r="A4097" s="70"/>
      <c r="B4097" s="93"/>
      <c r="C4097" s="70"/>
      <c r="D4097" s="70"/>
      <c r="E4097" s="70"/>
      <c r="F4097" s="70"/>
      <c r="G4097" s="70"/>
      <c r="H4097" s="93"/>
      <c r="I4097" s="85"/>
      <c r="J4097" s="85"/>
      <c r="K4097" s="131"/>
      <c r="L4097" s="60"/>
      <c r="M4097" s="33"/>
      <c r="Z4097" s="3"/>
      <c r="AA4097" s="3"/>
      <c r="AB4097" s="4"/>
    </row>
    <row r="4098" spans="1:28" x14ac:dyDescent="0.15">
      <c r="A4098" s="70"/>
      <c r="B4098" s="93"/>
      <c r="C4098" s="73"/>
      <c r="D4098" s="73"/>
      <c r="E4098" s="73"/>
      <c r="F4098" s="73"/>
      <c r="G4098" s="73"/>
      <c r="H4098" s="108"/>
      <c r="I4098" s="85"/>
      <c r="J4098" s="85"/>
      <c r="K4098" s="131"/>
      <c r="L4098" s="60"/>
      <c r="M4098" s="33"/>
      <c r="Z4098" s="3"/>
      <c r="AA4098" s="3"/>
      <c r="AB4098" s="4"/>
    </row>
    <row r="4099" spans="1:28" x14ac:dyDescent="0.15">
      <c r="A4099" s="70"/>
      <c r="B4099" s="93"/>
      <c r="C4099" s="70"/>
      <c r="D4099" s="70"/>
      <c r="E4099" s="70"/>
      <c r="F4099" s="70"/>
      <c r="G4099" s="70"/>
      <c r="H4099" s="93"/>
      <c r="I4099" s="85"/>
      <c r="J4099" s="85"/>
      <c r="K4099" s="131"/>
      <c r="L4099" s="60"/>
      <c r="M4099" s="33"/>
      <c r="Z4099" s="3"/>
      <c r="AA4099" s="3"/>
      <c r="AB4099" s="4"/>
    </row>
    <row r="4100" spans="1:28" x14ac:dyDescent="0.15">
      <c r="A4100" s="70"/>
      <c r="B4100" s="82"/>
      <c r="C4100" s="70"/>
      <c r="D4100" s="70"/>
      <c r="E4100" s="70"/>
      <c r="F4100" s="70"/>
      <c r="G4100" s="70"/>
      <c r="H4100" s="93"/>
      <c r="I4100" s="85"/>
      <c r="J4100" s="85"/>
      <c r="K4100" s="131"/>
      <c r="L4100" s="60"/>
      <c r="M4100" s="33"/>
      <c r="Z4100" s="3"/>
      <c r="AA4100" s="3"/>
      <c r="AB4100" s="4"/>
    </row>
    <row r="4101" spans="1:28" x14ac:dyDescent="0.15">
      <c r="A4101" s="70"/>
      <c r="B4101" s="93"/>
      <c r="C4101" s="73"/>
      <c r="D4101" s="73"/>
      <c r="E4101" s="73"/>
      <c r="F4101" s="73"/>
      <c r="G4101" s="73"/>
      <c r="H4101" s="108"/>
      <c r="I4101" s="85"/>
      <c r="J4101" s="95"/>
      <c r="K4101" s="131"/>
      <c r="L4101" s="60"/>
      <c r="M4101" s="33"/>
      <c r="Z4101" s="3"/>
      <c r="AA4101" s="3"/>
      <c r="AB4101" s="4"/>
    </row>
    <row r="4102" spans="1:28" x14ac:dyDescent="0.15">
      <c r="A4102" s="70"/>
      <c r="B4102" s="93"/>
      <c r="C4102" s="70"/>
      <c r="D4102" s="70"/>
      <c r="E4102" s="70"/>
      <c r="F4102" s="70"/>
      <c r="G4102" s="70"/>
      <c r="H4102" s="93"/>
      <c r="I4102" s="85"/>
      <c r="J4102" s="85"/>
      <c r="K4102" s="131"/>
      <c r="L4102" s="60"/>
      <c r="M4102" s="33"/>
      <c r="Z4102" s="3"/>
      <c r="AA4102" s="3"/>
      <c r="AB4102" s="4"/>
    </row>
    <row r="4103" spans="1:28" x14ac:dyDescent="0.15">
      <c r="A4103" s="70"/>
      <c r="B4103" s="93"/>
      <c r="C4103" s="70"/>
      <c r="D4103" s="70"/>
      <c r="E4103" s="70"/>
      <c r="F4103" s="70"/>
      <c r="G4103" s="70"/>
      <c r="H4103" s="93"/>
      <c r="I4103" s="85"/>
      <c r="J4103" s="85"/>
      <c r="K4103" s="131"/>
      <c r="L4103" s="60"/>
      <c r="M4103" s="33"/>
      <c r="Z4103" s="3"/>
      <c r="AA4103" s="3"/>
      <c r="AB4103" s="4"/>
    </row>
    <row r="4104" spans="1:28" ht="16" x14ac:dyDescent="0.2">
      <c r="A4104" s="70"/>
      <c r="B4104" s="93"/>
      <c r="C4104" s="70"/>
      <c r="D4104" s="70"/>
      <c r="E4104" s="70"/>
      <c r="F4104" s="70"/>
      <c r="G4104" s="70"/>
      <c r="H4104" s="93"/>
      <c r="I4104" s="85"/>
      <c r="J4104" s="85"/>
      <c r="K4104" s="131"/>
      <c r="L4104" s="60"/>
      <c r="M4104" s="47"/>
      <c r="Z4104" s="3"/>
      <c r="AA4104" s="3"/>
      <c r="AB4104" s="4"/>
    </row>
    <row r="4105" spans="1:28" x14ac:dyDescent="0.15">
      <c r="A4105" s="70"/>
      <c r="B4105" s="93"/>
      <c r="C4105" s="70"/>
      <c r="D4105" s="70"/>
      <c r="E4105" s="70"/>
      <c r="F4105" s="70"/>
      <c r="G4105" s="70"/>
      <c r="H4105" s="93"/>
      <c r="I4105" s="85"/>
      <c r="J4105" s="85"/>
      <c r="K4105" s="131"/>
      <c r="L4105" s="60"/>
      <c r="M4105" s="33"/>
      <c r="Z4105" s="3"/>
      <c r="AA4105" s="3"/>
      <c r="AB4105" s="4"/>
    </row>
    <row r="4106" spans="1:28" x14ac:dyDescent="0.15">
      <c r="A4106" s="70"/>
      <c r="B4106" s="82"/>
      <c r="C4106" s="73"/>
      <c r="D4106" s="73"/>
      <c r="E4106" s="73"/>
      <c r="F4106" s="73"/>
      <c r="G4106" s="73"/>
      <c r="H4106" s="108"/>
      <c r="I4106" s="85"/>
      <c r="J4106" s="85"/>
      <c r="K4106" s="131"/>
      <c r="L4106" s="60"/>
      <c r="M4106" s="33"/>
      <c r="Q4106" s="6"/>
      <c r="R4106" s="6"/>
      <c r="Z4106" s="3"/>
      <c r="AA4106" s="3"/>
      <c r="AB4106" s="4"/>
    </row>
    <row r="4107" spans="1:28" x14ac:dyDescent="0.15">
      <c r="A4107" s="70"/>
      <c r="B4107" s="93"/>
      <c r="C4107" s="70"/>
      <c r="D4107" s="70"/>
      <c r="E4107" s="70"/>
      <c r="F4107" s="70"/>
      <c r="G4107" s="70"/>
      <c r="H4107" s="93"/>
      <c r="I4107" s="85"/>
      <c r="J4107" s="85"/>
      <c r="K4107" s="131"/>
      <c r="L4107" s="60"/>
      <c r="M4107" s="33"/>
      <c r="Q4107" s="6"/>
      <c r="R4107" s="6"/>
      <c r="Z4107" s="3"/>
      <c r="AA4107" s="3"/>
      <c r="AB4107" s="4"/>
    </row>
    <row r="4108" spans="1:28" x14ac:dyDescent="0.15">
      <c r="A4108" s="70"/>
      <c r="B4108" s="93"/>
      <c r="C4108" s="70"/>
      <c r="D4108" s="70"/>
      <c r="E4108" s="70"/>
      <c r="F4108" s="70"/>
      <c r="G4108" s="70"/>
      <c r="H4108" s="93"/>
      <c r="I4108" s="85"/>
      <c r="J4108" s="85"/>
      <c r="K4108" s="131"/>
      <c r="L4108" s="60"/>
      <c r="M4108" s="33"/>
      <c r="Q4108" s="6"/>
      <c r="R4108" s="6"/>
      <c r="Z4108" s="3"/>
      <c r="AA4108" s="3"/>
      <c r="AB4108" s="4"/>
    </row>
    <row r="4109" spans="1:28" x14ac:dyDescent="0.15">
      <c r="A4109" s="70"/>
      <c r="B4109" s="93"/>
      <c r="C4109" s="73"/>
      <c r="D4109" s="73"/>
      <c r="E4109" s="73"/>
      <c r="F4109" s="73"/>
      <c r="G4109" s="73"/>
      <c r="H4109" s="108"/>
      <c r="I4109" s="85"/>
      <c r="J4109" s="95"/>
      <c r="K4109" s="131"/>
      <c r="L4109" s="60"/>
      <c r="M4109" s="33"/>
      <c r="Q4109" s="6"/>
      <c r="R4109" s="6"/>
      <c r="Z4109" s="3"/>
      <c r="AA4109" s="3"/>
      <c r="AB4109" s="4"/>
    </row>
    <row r="4110" spans="1:28" x14ac:dyDescent="0.15">
      <c r="A4110" s="70"/>
      <c r="B4110" s="93"/>
      <c r="C4110" s="70"/>
      <c r="D4110" s="70"/>
      <c r="E4110" s="73"/>
      <c r="F4110" s="70"/>
      <c r="G4110" s="70"/>
      <c r="H4110" s="93"/>
      <c r="I4110" s="85"/>
      <c r="J4110" s="85"/>
      <c r="K4110" s="131"/>
      <c r="L4110" s="60"/>
      <c r="M4110" s="33"/>
      <c r="Q4110" s="6"/>
      <c r="R4110" s="6"/>
      <c r="Z4110" s="3"/>
      <c r="AA4110" s="3"/>
      <c r="AB4110" s="4"/>
    </row>
    <row r="4111" spans="1:28" x14ac:dyDescent="0.15">
      <c r="A4111" s="70"/>
      <c r="B4111" s="82"/>
      <c r="C4111" s="70"/>
      <c r="D4111" s="70"/>
      <c r="E4111" s="70"/>
      <c r="F4111" s="70"/>
      <c r="G4111" s="70"/>
      <c r="H4111" s="93"/>
      <c r="I4111" s="85"/>
      <c r="J4111" s="85"/>
      <c r="K4111" s="131"/>
      <c r="L4111" s="60"/>
      <c r="Q4111" s="6"/>
      <c r="R4111" s="6"/>
      <c r="Z4111" s="3"/>
      <c r="AA4111" s="3"/>
      <c r="AB4111" s="4"/>
    </row>
    <row r="4112" spans="1:28" x14ac:dyDescent="0.15">
      <c r="A4112" s="70"/>
      <c r="B4112" s="82"/>
      <c r="C4112" s="70"/>
      <c r="D4112" s="70"/>
      <c r="E4112" s="70"/>
      <c r="F4112" s="70"/>
      <c r="G4112" s="70"/>
      <c r="H4112" s="93"/>
      <c r="I4112" s="85"/>
      <c r="J4112" s="85"/>
      <c r="K4112" s="131"/>
      <c r="L4112" s="60"/>
      <c r="Q4112" s="6"/>
      <c r="R4112" s="6"/>
      <c r="Z4112" s="3"/>
      <c r="AA4112" s="3"/>
      <c r="AB4112" s="4"/>
    </row>
    <row r="4113" spans="1:28" x14ac:dyDescent="0.15">
      <c r="A4113" s="70"/>
      <c r="B4113" s="93"/>
      <c r="C4113" s="70"/>
      <c r="D4113" s="70"/>
      <c r="E4113" s="70"/>
      <c r="F4113" s="70"/>
      <c r="G4113" s="70"/>
      <c r="H4113" s="93"/>
      <c r="I4113" s="85"/>
      <c r="J4113" s="85"/>
      <c r="K4113" s="131"/>
      <c r="L4113" s="60"/>
      <c r="M4113" s="33"/>
      <c r="Q4113" s="6"/>
      <c r="R4113" s="6"/>
      <c r="Z4113" s="3"/>
      <c r="AA4113" s="3"/>
      <c r="AB4113" s="4"/>
    </row>
    <row r="4114" spans="1:28" x14ac:dyDescent="0.15">
      <c r="A4114" s="70"/>
      <c r="B4114" s="93"/>
      <c r="C4114" s="70"/>
      <c r="D4114" s="70"/>
      <c r="E4114" s="70"/>
      <c r="F4114" s="70"/>
      <c r="G4114" s="70"/>
      <c r="H4114" s="93"/>
      <c r="I4114" s="85"/>
      <c r="J4114" s="85"/>
      <c r="K4114" s="131"/>
      <c r="L4114" s="60"/>
      <c r="M4114" s="33"/>
      <c r="Q4114" s="6"/>
      <c r="R4114" s="6"/>
      <c r="Z4114" s="3"/>
      <c r="AA4114" s="3"/>
      <c r="AB4114" s="4"/>
    </row>
    <row r="4115" spans="1:28" x14ac:dyDescent="0.15">
      <c r="A4115" s="70"/>
      <c r="B4115" s="93"/>
      <c r="C4115" s="70"/>
      <c r="D4115" s="70"/>
      <c r="E4115" s="70"/>
      <c r="F4115" s="70"/>
      <c r="G4115" s="70"/>
      <c r="H4115" s="93"/>
      <c r="I4115" s="85"/>
      <c r="J4115" s="85"/>
      <c r="K4115" s="131"/>
      <c r="L4115" s="60"/>
      <c r="M4115" s="33"/>
      <c r="Q4115" s="2"/>
      <c r="R4115" s="2"/>
      <c r="Z4115" s="3"/>
      <c r="AA4115" s="3"/>
      <c r="AB4115" s="4"/>
    </row>
    <row r="4116" spans="1:28" ht="16" x14ac:dyDescent="0.2">
      <c r="A4116" s="70"/>
      <c r="B4116" s="93"/>
      <c r="C4116" s="70"/>
      <c r="D4116" s="70"/>
      <c r="E4116" s="70"/>
      <c r="F4116" s="70"/>
      <c r="G4116" s="70"/>
      <c r="H4116" s="93"/>
      <c r="I4116" s="85"/>
      <c r="J4116" s="85"/>
      <c r="K4116" s="131"/>
      <c r="L4116" s="70"/>
      <c r="M4116" s="47"/>
      <c r="Q4116"/>
      <c r="R4116"/>
      <c r="Z4116" s="3"/>
      <c r="AA4116" s="3"/>
      <c r="AB4116" s="4"/>
    </row>
    <row r="4117" spans="1:28" x14ac:dyDescent="0.15">
      <c r="A4117" s="70"/>
      <c r="B4117" s="82"/>
      <c r="C4117" s="70"/>
      <c r="D4117" s="70"/>
      <c r="E4117" s="70"/>
      <c r="F4117" s="70"/>
      <c r="G4117" s="70"/>
      <c r="H4117" s="93"/>
      <c r="I4117" s="85"/>
      <c r="J4117" s="85"/>
      <c r="K4117" s="131"/>
      <c r="L4117" s="60"/>
      <c r="Z4117" s="3"/>
      <c r="AA4117" s="3"/>
      <c r="AB4117" s="4"/>
    </row>
    <row r="4118" spans="1:28" ht="16" x14ac:dyDescent="0.2">
      <c r="A4118" s="70"/>
      <c r="B4118" s="93"/>
      <c r="C4118" s="70"/>
      <c r="D4118" s="70"/>
      <c r="E4118" s="70"/>
      <c r="F4118" s="70"/>
      <c r="G4118" s="70"/>
      <c r="H4118" s="93"/>
      <c r="I4118" s="85"/>
      <c r="J4118" s="85"/>
      <c r="K4118" s="131"/>
      <c r="L4118" s="60"/>
      <c r="M4118" s="47"/>
      <c r="Z4118" s="3"/>
      <c r="AA4118" s="3"/>
      <c r="AB4118" s="4"/>
    </row>
    <row r="4119" spans="1:28" x14ac:dyDescent="0.15">
      <c r="A4119" s="70"/>
      <c r="B4119" s="93"/>
      <c r="C4119" s="70"/>
      <c r="D4119" s="70"/>
      <c r="E4119" s="70"/>
      <c r="F4119" s="70"/>
      <c r="G4119" s="70"/>
      <c r="H4119" s="93"/>
      <c r="I4119" s="85"/>
      <c r="J4119" s="85"/>
      <c r="K4119" s="131"/>
      <c r="L4119" s="60"/>
      <c r="M4119" s="33"/>
      <c r="Z4119" s="3"/>
      <c r="AA4119" s="3"/>
      <c r="AB4119" s="4"/>
    </row>
    <row r="4120" spans="1:28" x14ac:dyDescent="0.15">
      <c r="A4120" s="70"/>
      <c r="B4120" s="93"/>
      <c r="C4120" s="70"/>
      <c r="D4120" s="70"/>
      <c r="E4120" s="73"/>
      <c r="F4120" s="70"/>
      <c r="G4120" s="70"/>
      <c r="H4120" s="93"/>
      <c r="I4120" s="85"/>
      <c r="J4120" s="85"/>
      <c r="K4120" s="131"/>
      <c r="L4120" s="60"/>
      <c r="M4120" s="33"/>
      <c r="Z4120" s="3"/>
      <c r="AA4120" s="3"/>
      <c r="AB4120" s="4"/>
    </row>
    <row r="4121" spans="1:28" x14ac:dyDescent="0.15">
      <c r="A4121" s="70"/>
      <c r="B4121" s="93"/>
      <c r="C4121" s="70"/>
      <c r="D4121" s="70"/>
      <c r="E4121" s="70"/>
      <c r="F4121" s="70"/>
      <c r="G4121" s="70"/>
      <c r="H4121" s="93"/>
      <c r="I4121" s="85"/>
      <c r="J4121" s="85"/>
      <c r="K4121" s="131"/>
      <c r="L4121" s="70"/>
      <c r="M4121" s="33"/>
      <c r="Z4121" s="3"/>
      <c r="AA4121" s="3"/>
      <c r="AB4121" s="4"/>
    </row>
    <row r="4122" spans="1:28" x14ac:dyDescent="0.15">
      <c r="A4122" s="70"/>
      <c r="B4122" s="93"/>
      <c r="C4122" s="70"/>
      <c r="D4122" s="70"/>
      <c r="E4122" s="70"/>
      <c r="F4122" s="70"/>
      <c r="G4122" s="70"/>
      <c r="H4122" s="93"/>
      <c r="I4122" s="85"/>
      <c r="J4122" s="85"/>
      <c r="K4122" s="131"/>
      <c r="L4122" s="60"/>
      <c r="M4122" s="33"/>
      <c r="Z4122" s="3"/>
      <c r="AA4122" s="3"/>
      <c r="AB4122" s="4"/>
    </row>
    <row r="4123" spans="1:28" ht="16" x14ac:dyDescent="0.2">
      <c r="A4123" s="70"/>
      <c r="B4123" s="93"/>
      <c r="C4123" s="73"/>
      <c r="D4123" s="73"/>
      <c r="E4123" s="73"/>
      <c r="F4123" s="73"/>
      <c r="G4123" s="73"/>
      <c r="H4123" s="108"/>
      <c r="I4123" s="85"/>
      <c r="J4123" s="95"/>
      <c r="K4123" s="131"/>
      <c r="L4123" s="60"/>
      <c r="M4123" s="47"/>
      <c r="Z4123" s="3"/>
      <c r="AA4123" s="3"/>
      <c r="AB4123" s="4"/>
    </row>
    <row r="4124" spans="1:28" x14ac:dyDescent="0.15">
      <c r="A4124" s="70"/>
      <c r="B4124" s="93"/>
      <c r="C4124" s="70"/>
      <c r="D4124" s="70"/>
      <c r="E4124" s="70"/>
      <c r="F4124" s="70"/>
      <c r="G4124" s="70"/>
      <c r="H4124" s="93"/>
      <c r="I4124" s="85"/>
      <c r="J4124" s="85"/>
      <c r="K4124" s="131"/>
      <c r="L4124" s="60"/>
      <c r="M4124" s="33"/>
      <c r="Z4124" s="3"/>
      <c r="AA4124" s="3"/>
      <c r="AB4124" s="4"/>
    </row>
    <row r="4125" spans="1:28" ht="16" x14ac:dyDescent="0.2">
      <c r="A4125" s="70"/>
      <c r="B4125" s="82"/>
      <c r="C4125" s="70"/>
      <c r="D4125" s="70"/>
      <c r="E4125" s="70"/>
      <c r="F4125" s="70"/>
      <c r="G4125" s="70"/>
      <c r="H4125" s="93"/>
      <c r="I4125" s="85"/>
      <c r="J4125" s="85"/>
      <c r="K4125" s="131"/>
      <c r="L4125" s="60"/>
      <c r="N4125" s="48"/>
      <c r="Z4125" s="3"/>
      <c r="AA4125" s="3"/>
      <c r="AB4125" s="4"/>
    </row>
    <row r="4126" spans="1:28" x14ac:dyDescent="0.15">
      <c r="A4126" s="70"/>
      <c r="B4126" s="93"/>
      <c r="C4126" s="70"/>
      <c r="D4126" s="70"/>
      <c r="E4126" s="70"/>
      <c r="F4126" s="70"/>
      <c r="G4126" s="70"/>
      <c r="H4126" s="93"/>
      <c r="I4126" s="85"/>
      <c r="J4126" s="85"/>
      <c r="K4126" s="131"/>
      <c r="L4126" s="60"/>
      <c r="M4126" s="33"/>
      <c r="Z4126" s="3"/>
      <c r="AA4126" s="3"/>
      <c r="AB4126" s="4"/>
    </row>
    <row r="4127" spans="1:28" x14ac:dyDescent="0.15">
      <c r="A4127" s="70"/>
      <c r="B4127" s="82"/>
      <c r="C4127" s="70"/>
      <c r="D4127" s="70"/>
      <c r="E4127" s="70"/>
      <c r="F4127" s="70"/>
      <c r="G4127" s="70"/>
      <c r="H4127" s="93"/>
      <c r="I4127" s="85"/>
      <c r="J4127" s="85"/>
      <c r="K4127" s="131"/>
      <c r="L4127" s="60"/>
      <c r="Z4127" s="3"/>
      <c r="AA4127" s="3"/>
      <c r="AB4127" s="4"/>
    </row>
    <row r="4128" spans="1:28" x14ac:dyDescent="0.15">
      <c r="A4128" s="70"/>
      <c r="B4128" s="82"/>
      <c r="C4128" s="70"/>
      <c r="D4128" s="70"/>
      <c r="E4128" s="70"/>
      <c r="F4128" s="70"/>
      <c r="G4128" s="70"/>
      <c r="H4128" s="93"/>
      <c r="I4128" s="85"/>
      <c r="J4128" s="85"/>
      <c r="K4128" s="131"/>
      <c r="L4128" s="60"/>
      <c r="Z4128" s="3"/>
      <c r="AA4128" s="3"/>
      <c r="AB4128" s="4"/>
    </row>
    <row r="4129" spans="1:28" x14ac:dyDescent="0.15">
      <c r="A4129" s="70"/>
      <c r="B4129" s="93"/>
      <c r="C4129" s="70"/>
      <c r="D4129" s="70"/>
      <c r="E4129" s="70"/>
      <c r="F4129" s="70"/>
      <c r="G4129" s="70"/>
      <c r="H4129" s="93"/>
      <c r="I4129" s="85"/>
      <c r="J4129" s="85"/>
      <c r="K4129" s="131"/>
      <c r="L4129" s="60"/>
      <c r="M4129" s="33"/>
      <c r="Z4129" s="3"/>
      <c r="AA4129" s="3"/>
      <c r="AB4129" s="4"/>
    </row>
    <row r="4130" spans="1:28" x14ac:dyDescent="0.15">
      <c r="A4130" s="70"/>
      <c r="B4130" s="82"/>
      <c r="C4130" s="70"/>
      <c r="D4130" s="70"/>
      <c r="E4130" s="70"/>
      <c r="F4130" s="70"/>
      <c r="G4130" s="70"/>
      <c r="H4130" s="93"/>
      <c r="I4130" s="85"/>
      <c r="J4130" s="85"/>
      <c r="K4130" s="131"/>
      <c r="L4130" s="60"/>
      <c r="Z4130" s="3"/>
      <c r="AA4130" s="3"/>
      <c r="AB4130" s="4"/>
    </row>
    <row r="4131" spans="1:28" x14ac:dyDescent="0.15">
      <c r="A4131" s="70"/>
      <c r="B4131" s="82"/>
      <c r="C4131" s="70"/>
      <c r="D4131" s="70"/>
      <c r="E4131" s="70"/>
      <c r="F4131" s="70"/>
      <c r="G4131" s="70"/>
      <c r="H4131" s="93"/>
      <c r="I4131" s="85"/>
      <c r="J4131" s="85"/>
      <c r="K4131" s="131"/>
      <c r="L4131" s="60"/>
      <c r="Z4131" s="3"/>
      <c r="AA4131" s="3"/>
      <c r="AB4131" s="4"/>
    </row>
    <row r="4132" spans="1:28" x14ac:dyDescent="0.15">
      <c r="A4132" s="70"/>
      <c r="B4132" s="93"/>
      <c r="C4132" s="70"/>
      <c r="D4132" s="70"/>
      <c r="E4132" s="70"/>
      <c r="F4132" s="70"/>
      <c r="G4132" s="70"/>
      <c r="H4132" s="93"/>
      <c r="I4132" s="85"/>
      <c r="J4132" s="85"/>
      <c r="K4132" s="131"/>
      <c r="L4132" s="60"/>
      <c r="M4132" s="33"/>
      <c r="Z4132" s="3"/>
      <c r="AA4132" s="3"/>
      <c r="AB4132" s="4"/>
    </row>
    <row r="4133" spans="1:28" x14ac:dyDescent="0.15">
      <c r="A4133" s="70"/>
      <c r="B4133" s="82"/>
      <c r="C4133" s="70"/>
      <c r="D4133" s="70"/>
      <c r="E4133" s="70"/>
      <c r="F4133" s="70"/>
      <c r="G4133" s="70"/>
      <c r="H4133" s="93"/>
      <c r="I4133" s="85"/>
      <c r="J4133" s="85"/>
      <c r="K4133" s="131"/>
      <c r="L4133" s="60"/>
      <c r="M4133" s="33"/>
      <c r="Z4133" s="3"/>
      <c r="AA4133" s="3"/>
      <c r="AB4133" s="4"/>
    </row>
    <row r="4134" spans="1:28" x14ac:dyDescent="0.15">
      <c r="A4134" s="70"/>
      <c r="B4134" s="93"/>
      <c r="C4134" s="73"/>
      <c r="D4134" s="73"/>
      <c r="E4134" s="73"/>
      <c r="F4134" s="73"/>
      <c r="G4134" s="73"/>
      <c r="H4134" s="108"/>
      <c r="I4134" s="85"/>
      <c r="J4134" s="95"/>
      <c r="K4134" s="131"/>
      <c r="L4134" s="60"/>
      <c r="M4134" s="33"/>
      <c r="Z4134" s="3"/>
      <c r="AA4134" s="3"/>
      <c r="AB4134" s="4"/>
    </row>
    <row r="4135" spans="1:28" x14ac:dyDescent="0.15">
      <c r="A4135" s="70"/>
      <c r="B4135" s="93"/>
      <c r="C4135" s="70"/>
      <c r="D4135" s="70"/>
      <c r="E4135" s="70"/>
      <c r="F4135" s="70"/>
      <c r="G4135" s="70"/>
      <c r="H4135" s="93"/>
      <c r="I4135" s="85"/>
      <c r="J4135" s="85"/>
      <c r="K4135" s="131"/>
      <c r="L4135" s="60"/>
      <c r="M4135" s="33"/>
      <c r="Z4135" s="3"/>
      <c r="AA4135" s="3"/>
      <c r="AB4135" s="4"/>
    </row>
    <row r="4136" spans="1:28" x14ac:dyDescent="0.15">
      <c r="A4136" s="70"/>
      <c r="B4136" s="93"/>
      <c r="C4136" s="70"/>
      <c r="D4136" s="70"/>
      <c r="E4136" s="70"/>
      <c r="F4136" s="70"/>
      <c r="G4136" s="70"/>
      <c r="H4136" s="93"/>
      <c r="I4136" s="85"/>
      <c r="J4136" s="85"/>
      <c r="K4136" s="131"/>
      <c r="L4136" s="60"/>
      <c r="M4136" s="33"/>
      <c r="Z4136" s="3"/>
      <c r="AA4136" s="3"/>
      <c r="AB4136" s="4"/>
    </row>
    <row r="4137" spans="1:28" x14ac:dyDescent="0.15">
      <c r="A4137" s="70"/>
      <c r="B4137" s="93"/>
      <c r="C4137" s="70"/>
      <c r="D4137" s="70"/>
      <c r="E4137" s="70"/>
      <c r="F4137" s="70"/>
      <c r="G4137" s="70"/>
      <c r="H4137" s="93"/>
      <c r="I4137" s="85"/>
      <c r="J4137" s="85"/>
      <c r="K4137" s="131"/>
      <c r="L4137" s="60"/>
      <c r="M4137" s="33"/>
      <c r="Z4137" s="3"/>
      <c r="AA4137" s="3"/>
      <c r="AB4137" s="4"/>
    </row>
    <row r="4138" spans="1:28" x14ac:dyDescent="0.15">
      <c r="A4138" s="70"/>
      <c r="B4138" s="93"/>
      <c r="C4138" s="70"/>
      <c r="D4138" s="70"/>
      <c r="E4138" s="70"/>
      <c r="F4138" s="70"/>
      <c r="G4138" s="70"/>
      <c r="H4138" s="93"/>
      <c r="I4138" s="85"/>
      <c r="J4138" s="85"/>
      <c r="K4138" s="134"/>
      <c r="L4138" s="60"/>
      <c r="N4138" s="46"/>
      <c r="Z4138" s="3"/>
      <c r="AA4138" s="3"/>
      <c r="AB4138" s="4"/>
    </row>
    <row r="4139" spans="1:28" x14ac:dyDescent="0.15">
      <c r="A4139" s="70"/>
      <c r="B4139" s="82"/>
      <c r="C4139" s="70"/>
      <c r="D4139" s="70"/>
      <c r="E4139" s="70"/>
      <c r="F4139" s="70"/>
      <c r="G4139" s="70"/>
      <c r="H4139" s="93"/>
      <c r="I4139" s="85"/>
      <c r="J4139" s="85"/>
      <c r="K4139" s="131"/>
      <c r="L4139" s="60"/>
      <c r="Z4139" s="3"/>
      <c r="AA4139" s="3"/>
      <c r="AB4139" s="4"/>
    </row>
    <row r="4140" spans="1:28" x14ac:dyDescent="0.15">
      <c r="A4140" s="70"/>
      <c r="B4140" s="82"/>
      <c r="C4140" s="70"/>
      <c r="D4140" s="70"/>
      <c r="E4140" s="70"/>
      <c r="F4140" s="70"/>
      <c r="G4140" s="70"/>
      <c r="H4140" s="93"/>
      <c r="I4140" s="85"/>
      <c r="J4140" s="85"/>
      <c r="K4140" s="131"/>
      <c r="L4140" s="60"/>
      <c r="Z4140" s="3"/>
      <c r="AA4140" s="3"/>
      <c r="AB4140" s="4"/>
    </row>
    <row r="4141" spans="1:28" ht="16" x14ac:dyDescent="0.2">
      <c r="A4141" s="70"/>
      <c r="B4141" s="82"/>
      <c r="C4141" s="70"/>
      <c r="D4141" s="70"/>
      <c r="E4141" s="70"/>
      <c r="F4141" s="70"/>
      <c r="G4141" s="70"/>
      <c r="H4141" s="93"/>
      <c r="I4141" s="85"/>
      <c r="J4141" s="85"/>
      <c r="K4141" s="131"/>
      <c r="L4141" s="60"/>
      <c r="M4141" s="33"/>
      <c r="N4141" s="48"/>
      <c r="O4141" s="33"/>
      <c r="Z4141" s="3"/>
      <c r="AA4141" s="3"/>
      <c r="AB4141" s="4"/>
    </row>
    <row r="4142" spans="1:28" x14ac:dyDescent="0.15">
      <c r="A4142" s="70"/>
      <c r="B4142" s="93"/>
      <c r="C4142" s="70"/>
      <c r="D4142" s="70"/>
      <c r="E4142" s="70"/>
      <c r="F4142" s="70"/>
      <c r="G4142" s="70"/>
      <c r="H4142" s="93"/>
      <c r="I4142" s="85"/>
      <c r="J4142" s="85"/>
      <c r="K4142" s="131"/>
      <c r="L4142" s="60"/>
      <c r="M4142" s="33"/>
      <c r="Z4142" s="3"/>
      <c r="AA4142" s="3"/>
      <c r="AB4142" s="4"/>
    </row>
    <row r="4143" spans="1:28" x14ac:dyDescent="0.15">
      <c r="A4143" s="70"/>
      <c r="B4143" s="93"/>
      <c r="C4143" s="70"/>
      <c r="D4143" s="70"/>
      <c r="E4143" s="70"/>
      <c r="F4143" s="70"/>
      <c r="G4143" s="70"/>
      <c r="H4143" s="93"/>
      <c r="I4143" s="85"/>
      <c r="J4143" s="85"/>
      <c r="K4143" s="131"/>
      <c r="L4143" s="60"/>
      <c r="M4143" s="33"/>
      <c r="Z4143" s="3"/>
      <c r="AA4143" s="3"/>
      <c r="AB4143" s="4"/>
    </row>
    <row r="4144" spans="1:28" ht="16" x14ac:dyDescent="0.2">
      <c r="A4144" s="70"/>
      <c r="B4144" s="93"/>
      <c r="C4144" s="70"/>
      <c r="D4144" s="70"/>
      <c r="E4144" s="70"/>
      <c r="F4144" s="70"/>
      <c r="G4144" s="70"/>
      <c r="H4144" s="93"/>
      <c r="I4144" s="85"/>
      <c r="J4144" s="85"/>
      <c r="K4144" s="131"/>
      <c r="L4144" s="60"/>
      <c r="M4144" s="33"/>
      <c r="N4144" s="48"/>
      <c r="Z4144" s="3"/>
      <c r="AA4144" s="3"/>
      <c r="AB4144" s="4"/>
    </row>
    <row r="4145" spans="1:28" x14ac:dyDescent="0.15">
      <c r="A4145" s="70"/>
      <c r="B4145" s="93"/>
      <c r="C4145" s="70"/>
      <c r="D4145" s="70"/>
      <c r="E4145" s="70"/>
      <c r="F4145" s="70"/>
      <c r="G4145" s="70"/>
      <c r="H4145" s="93"/>
      <c r="I4145" s="85"/>
      <c r="J4145" s="85"/>
      <c r="K4145" s="131"/>
      <c r="L4145" s="60"/>
      <c r="M4145" s="33"/>
      <c r="Z4145" s="3"/>
      <c r="AA4145" s="3"/>
      <c r="AB4145" s="4"/>
    </row>
    <row r="4146" spans="1:28" x14ac:dyDescent="0.15">
      <c r="A4146" s="70"/>
      <c r="B4146" s="93"/>
      <c r="C4146" s="70"/>
      <c r="D4146" s="70"/>
      <c r="E4146" s="70"/>
      <c r="F4146" s="70"/>
      <c r="G4146" s="70"/>
      <c r="H4146" s="93"/>
      <c r="I4146" s="85"/>
      <c r="J4146" s="85"/>
      <c r="K4146" s="131"/>
      <c r="L4146" s="60"/>
      <c r="M4146" s="33"/>
      <c r="Z4146" s="3"/>
      <c r="AA4146" s="3"/>
      <c r="AB4146" s="4"/>
    </row>
    <row r="4147" spans="1:28" x14ac:dyDescent="0.15">
      <c r="A4147" s="70"/>
      <c r="B4147" s="93"/>
      <c r="C4147" s="70"/>
      <c r="D4147" s="70"/>
      <c r="E4147" s="70"/>
      <c r="F4147" s="70"/>
      <c r="G4147" s="70"/>
      <c r="H4147" s="93"/>
      <c r="I4147" s="85"/>
      <c r="J4147" s="85"/>
      <c r="K4147" s="131"/>
      <c r="L4147" s="60"/>
      <c r="M4147" s="33"/>
      <c r="Z4147" s="3"/>
      <c r="AA4147" s="3"/>
      <c r="AB4147" s="4"/>
    </row>
    <row r="4148" spans="1:28" x14ac:dyDescent="0.15">
      <c r="A4148" s="70"/>
      <c r="B4148" s="93"/>
      <c r="C4148" s="70"/>
      <c r="D4148" s="70"/>
      <c r="E4148" s="70"/>
      <c r="F4148" s="70"/>
      <c r="G4148" s="70"/>
      <c r="H4148" s="93"/>
      <c r="I4148" s="85"/>
      <c r="J4148" s="85"/>
      <c r="K4148" s="131"/>
      <c r="L4148" s="60"/>
      <c r="M4148" s="33"/>
      <c r="Z4148" s="3"/>
      <c r="AA4148" s="3"/>
      <c r="AB4148" s="4"/>
    </row>
    <row r="4149" spans="1:28" x14ac:dyDescent="0.15">
      <c r="A4149" s="70"/>
      <c r="B4149" s="93"/>
      <c r="C4149" s="70"/>
      <c r="D4149" s="70"/>
      <c r="E4149" s="73"/>
      <c r="F4149" s="70"/>
      <c r="G4149" s="70"/>
      <c r="H4149" s="93"/>
      <c r="I4149" s="85"/>
      <c r="J4149" s="85"/>
      <c r="K4149" s="131"/>
      <c r="L4149" s="60"/>
      <c r="M4149" s="33"/>
      <c r="Z4149" s="3"/>
      <c r="AA4149" s="3"/>
      <c r="AB4149" s="4"/>
    </row>
    <row r="4150" spans="1:28" x14ac:dyDescent="0.15">
      <c r="A4150" s="70"/>
      <c r="B4150" s="93"/>
      <c r="C4150" s="70"/>
      <c r="D4150" s="70"/>
      <c r="E4150" s="70"/>
      <c r="F4150" s="70"/>
      <c r="G4150" s="70"/>
      <c r="H4150" s="93"/>
      <c r="I4150" s="85"/>
      <c r="J4150" s="85"/>
      <c r="K4150" s="131"/>
      <c r="L4150" s="60"/>
      <c r="M4150" s="33"/>
      <c r="Z4150" s="3"/>
      <c r="AA4150" s="3"/>
      <c r="AB4150" s="4"/>
    </row>
    <row r="4151" spans="1:28" ht="16" x14ac:dyDescent="0.2">
      <c r="A4151" s="70"/>
      <c r="B4151" s="93"/>
      <c r="C4151" s="70"/>
      <c r="D4151" s="70"/>
      <c r="E4151" s="70"/>
      <c r="F4151" s="70"/>
      <c r="G4151" s="70"/>
      <c r="H4151" s="93"/>
      <c r="I4151" s="85"/>
      <c r="J4151" s="85"/>
      <c r="K4151" s="131"/>
      <c r="L4151" s="60"/>
      <c r="M4151" s="47"/>
      <c r="Z4151" s="3"/>
      <c r="AA4151" s="3"/>
      <c r="AB4151" s="4"/>
    </row>
    <row r="4152" spans="1:28" ht="16" x14ac:dyDescent="0.2">
      <c r="A4152" s="70"/>
      <c r="B4152" s="93"/>
      <c r="C4152" s="70"/>
      <c r="D4152" s="70"/>
      <c r="E4152" s="70"/>
      <c r="F4152" s="70"/>
      <c r="G4152" s="70"/>
      <c r="H4152" s="93"/>
      <c r="I4152" s="85"/>
      <c r="J4152" s="85"/>
      <c r="K4152" s="131"/>
      <c r="L4152" s="60"/>
      <c r="M4152" s="47"/>
      <c r="Z4152" s="3"/>
      <c r="AA4152" s="3"/>
      <c r="AB4152" s="4"/>
    </row>
    <row r="4153" spans="1:28" x14ac:dyDescent="0.15">
      <c r="A4153" s="70"/>
      <c r="B4153" s="93"/>
      <c r="C4153" s="70"/>
      <c r="D4153" s="70"/>
      <c r="E4153" s="73"/>
      <c r="F4153" s="70"/>
      <c r="G4153" s="70"/>
      <c r="H4153" s="93"/>
      <c r="I4153" s="85"/>
      <c r="J4153" s="85"/>
      <c r="K4153" s="131"/>
      <c r="L4153" s="60"/>
      <c r="M4153" s="33"/>
      <c r="Z4153" s="3"/>
      <c r="AA4153" s="3"/>
      <c r="AB4153" s="4"/>
    </row>
    <row r="4154" spans="1:28" x14ac:dyDescent="0.15">
      <c r="A4154" s="70"/>
      <c r="B4154" s="93"/>
      <c r="C4154" s="70"/>
      <c r="D4154" s="70"/>
      <c r="E4154" s="70"/>
      <c r="F4154" s="70"/>
      <c r="G4154" s="70"/>
      <c r="H4154" s="93"/>
      <c r="I4154" s="85"/>
      <c r="J4154" s="85"/>
      <c r="K4154" s="131"/>
      <c r="L4154" s="60"/>
      <c r="M4154" s="33"/>
      <c r="Z4154" s="3"/>
      <c r="AA4154" s="3"/>
      <c r="AB4154" s="4"/>
    </row>
    <row r="4155" spans="1:28" x14ac:dyDescent="0.15">
      <c r="A4155" s="70"/>
      <c r="B4155" s="93"/>
      <c r="C4155" s="70"/>
      <c r="D4155" s="70"/>
      <c r="E4155" s="70"/>
      <c r="F4155" s="70"/>
      <c r="G4155" s="70"/>
      <c r="H4155" s="93"/>
      <c r="I4155" s="85"/>
      <c r="J4155" s="85"/>
      <c r="K4155" s="131"/>
      <c r="L4155" s="60"/>
      <c r="M4155" s="33"/>
      <c r="Z4155" s="3"/>
      <c r="AA4155" s="3"/>
      <c r="AB4155" s="4"/>
    </row>
    <row r="4156" spans="1:28" x14ac:dyDescent="0.15">
      <c r="A4156" s="70"/>
      <c r="B4156" s="93"/>
      <c r="C4156" s="73"/>
      <c r="D4156" s="73"/>
      <c r="E4156" s="73"/>
      <c r="F4156" s="73"/>
      <c r="G4156" s="73"/>
      <c r="H4156" s="108"/>
      <c r="I4156" s="85"/>
      <c r="J4156" s="95"/>
      <c r="K4156" s="131"/>
      <c r="L4156" s="60"/>
      <c r="M4156" s="33"/>
      <c r="Z4156" s="3"/>
      <c r="AA4156" s="3"/>
      <c r="AB4156" s="4"/>
    </row>
    <row r="4157" spans="1:28" x14ac:dyDescent="0.15">
      <c r="A4157" s="70"/>
      <c r="B4157" s="93"/>
      <c r="C4157" s="73"/>
      <c r="D4157" s="73"/>
      <c r="E4157" s="73"/>
      <c r="F4157" s="73"/>
      <c r="G4157" s="73"/>
      <c r="H4157" s="108"/>
      <c r="I4157" s="85"/>
      <c r="J4157" s="95"/>
      <c r="K4157" s="131"/>
      <c r="L4157" s="60"/>
      <c r="M4157" s="33"/>
      <c r="Z4157" s="3"/>
      <c r="AA4157" s="3"/>
      <c r="AB4157" s="4"/>
    </row>
    <row r="4158" spans="1:28" x14ac:dyDescent="0.15">
      <c r="A4158" s="70"/>
      <c r="B4158" s="93"/>
      <c r="C4158" s="70"/>
      <c r="D4158" s="70"/>
      <c r="E4158" s="70"/>
      <c r="F4158" s="70"/>
      <c r="G4158" s="70"/>
      <c r="H4158" s="93"/>
      <c r="I4158" s="85"/>
      <c r="J4158" s="85"/>
      <c r="K4158" s="131"/>
      <c r="L4158" s="60"/>
      <c r="M4158" s="33"/>
      <c r="Z4158" s="3"/>
      <c r="AA4158" s="3"/>
      <c r="AB4158" s="4"/>
    </row>
    <row r="4159" spans="1:28" x14ac:dyDescent="0.15">
      <c r="A4159" s="70"/>
      <c r="B4159" s="93"/>
      <c r="C4159" s="70"/>
      <c r="D4159" s="70"/>
      <c r="E4159" s="70"/>
      <c r="F4159" s="70"/>
      <c r="G4159" s="70"/>
      <c r="H4159" s="93"/>
      <c r="I4159" s="85"/>
      <c r="J4159" s="85"/>
      <c r="K4159" s="131"/>
      <c r="L4159" s="60"/>
      <c r="M4159" s="33"/>
      <c r="Z4159" s="3"/>
      <c r="AA4159" s="3"/>
      <c r="AB4159" s="4"/>
    </row>
    <row r="4160" spans="1:28" x14ac:dyDescent="0.15">
      <c r="A4160" s="70"/>
      <c r="B4160" s="93"/>
      <c r="C4160" s="70"/>
      <c r="D4160" s="70"/>
      <c r="E4160" s="70"/>
      <c r="F4160" s="70"/>
      <c r="G4160" s="70"/>
      <c r="H4160" s="93"/>
      <c r="I4160" s="85"/>
      <c r="J4160" s="85"/>
      <c r="K4160" s="131"/>
      <c r="L4160" s="60"/>
      <c r="M4160" s="33"/>
      <c r="Z4160" s="3"/>
      <c r="AA4160" s="3"/>
      <c r="AB4160" s="4"/>
    </row>
    <row r="4161" spans="1:28" x14ac:dyDescent="0.15">
      <c r="A4161" s="70"/>
      <c r="B4161" s="93"/>
      <c r="C4161" s="73"/>
      <c r="D4161" s="73"/>
      <c r="E4161" s="73"/>
      <c r="F4161" s="73"/>
      <c r="G4161" s="73"/>
      <c r="H4161" s="108"/>
      <c r="I4161" s="85"/>
      <c r="J4161" s="95"/>
      <c r="K4161" s="131"/>
      <c r="L4161" s="60"/>
      <c r="M4161" s="33"/>
      <c r="Z4161" s="3"/>
      <c r="AA4161" s="3"/>
      <c r="AB4161" s="4"/>
    </row>
    <row r="4162" spans="1:28" x14ac:dyDescent="0.15">
      <c r="A4162" s="70"/>
      <c r="B4162" s="93"/>
      <c r="C4162" s="70"/>
      <c r="D4162" s="70"/>
      <c r="E4162" s="70"/>
      <c r="F4162" s="70"/>
      <c r="G4162" s="70"/>
      <c r="H4162" s="93"/>
      <c r="I4162" s="85"/>
      <c r="J4162" s="85"/>
      <c r="K4162" s="131"/>
      <c r="L4162" s="60"/>
      <c r="M4162" s="33"/>
      <c r="Z4162" s="3"/>
      <c r="AA4162" s="3"/>
      <c r="AB4162" s="4"/>
    </row>
    <row r="4163" spans="1:28" ht="16" x14ac:dyDescent="0.2">
      <c r="A4163" s="70"/>
      <c r="B4163" s="93"/>
      <c r="C4163" s="73"/>
      <c r="D4163" s="73"/>
      <c r="E4163" s="73"/>
      <c r="F4163" s="73"/>
      <c r="G4163" s="73"/>
      <c r="H4163" s="108"/>
      <c r="I4163" s="85"/>
      <c r="J4163" s="95"/>
      <c r="K4163" s="131"/>
      <c r="L4163" s="60"/>
      <c r="M4163" s="47"/>
      <c r="Z4163" s="3"/>
      <c r="AA4163" s="3"/>
      <c r="AB4163" s="4"/>
    </row>
    <row r="4164" spans="1:28" x14ac:dyDescent="0.15">
      <c r="A4164" s="70"/>
      <c r="B4164" s="82"/>
      <c r="C4164" s="70"/>
      <c r="D4164" s="70"/>
      <c r="E4164" s="70"/>
      <c r="F4164" s="70"/>
      <c r="G4164" s="70"/>
      <c r="H4164" s="93"/>
      <c r="I4164" s="85"/>
      <c r="J4164" s="85"/>
      <c r="K4164" s="131"/>
      <c r="L4164" s="60"/>
      <c r="Z4164" s="3"/>
      <c r="AA4164" s="3"/>
      <c r="AB4164" s="4"/>
    </row>
    <row r="4165" spans="1:28" x14ac:dyDescent="0.15">
      <c r="A4165" s="70"/>
      <c r="B4165" s="93"/>
      <c r="C4165" s="70"/>
      <c r="D4165" s="70"/>
      <c r="E4165" s="70"/>
      <c r="F4165" s="70"/>
      <c r="G4165" s="70"/>
      <c r="H4165" s="93"/>
      <c r="I4165" s="85"/>
      <c r="J4165" s="85"/>
      <c r="K4165" s="131"/>
      <c r="L4165" s="60"/>
      <c r="M4165" s="33"/>
      <c r="N4165" s="46"/>
      <c r="Z4165" s="3"/>
      <c r="AA4165" s="3"/>
      <c r="AB4165" s="4"/>
    </row>
    <row r="4166" spans="1:28" x14ac:dyDescent="0.15">
      <c r="A4166" s="70"/>
      <c r="B4166" s="93"/>
      <c r="C4166" s="70"/>
      <c r="D4166" s="70"/>
      <c r="E4166" s="70"/>
      <c r="F4166" s="70"/>
      <c r="G4166" s="70"/>
      <c r="H4166" s="93"/>
      <c r="I4166" s="85"/>
      <c r="J4166" s="85"/>
      <c r="K4166" s="131"/>
      <c r="L4166" s="60"/>
      <c r="M4166" s="33"/>
      <c r="N4166" s="46"/>
      <c r="Z4166" s="3"/>
      <c r="AA4166" s="3"/>
      <c r="AB4166" s="4"/>
    </row>
    <row r="4167" spans="1:28" x14ac:dyDescent="0.15">
      <c r="A4167" s="70"/>
      <c r="B4167" s="93"/>
      <c r="C4167" s="70"/>
      <c r="D4167" s="70"/>
      <c r="E4167" s="70"/>
      <c r="F4167" s="70"/>
      <c r="G4167" s="70"/>
      <c r="H4167" s="93"/>
      <c r="I4167" s="85"/>
      <c r="J4167" s="85"/>
      <c r="K4167" s="131"/>
      <c r="L4167" s="60"/>
      <c r="M4167" s="33"/>
      <c r="Z4167" s="3"/>
      <c r="AA4167" s="3"/>
      <c r="AB4167" s="4"/>
    </row>
    <row r="4168" spans="1:28" x14ac:dyDescent="0.15">
      <c r="A4168" s="70"/>
      <c r="B4168" s="93"/>
      <c r="C4168" s="73"/>
      <c r="D4168" s="73"/>
      <c r="E4168" s="73"/>
      <c r="F4168" s="70"/>
      <c r="G4168" s="70"/>
      <c r="H4168" s="93"/>
      <c r="I4168" s="85"/>
      <c r="J4168" s="85"/>
      <c r="K4168" s="131"/>
      <c r="L4168" s="60"/>
      <c r="M4168" s="33"/>
      <c r="Z4168" s="3"/>
      <c r="AA4168" s="3"/>
      <c r="AB4168" s="4"/>
    </row>
    <row r="4169" spans="1:28" ht="16" x14ac:dyDescent="0.2">
      <c r="A4169" s="70"/>
      <c r="B4169" s="82"/>
      <c r="C4169" s="70"/>
      <c r="D4169" s="70"/>
      <c r="E4169" s="70"/>
      <c r="F4169" s="70"/>
      <c r="G4169" s="70"/>
      <c r="H4169" s="93"/>
      <c r="I4169" s="85"/>
      <c r="J4169" s="85"/>
      <c r="K4169" s="131"/>
      <c r="L4169" s="60"/>
      <c r="N4169" s="48"/>
      <c r="Z4169" s="3"/>
      <c r="AA4169" s="3"/>
      <c r="AB4169" s="4"/>
    </row>
    <row r="4170" spans="1:28" x14ac:dyDescent="0.15">
      <c r="A4170" s="70"/>
      <c r="B4170" s="82"/>
      <c r="C4170" s="70"/>
      <c r="D4170" s="70"/>
      <c r="E4170" s="70"/>
      <c r="F4170" s="70"/>
      <c r="G4170" s="70"/>
      <c r="H4170" s="93"/>
      <c r="I4170" s="85"/>
      <c r="J4170" s="85"/>
      <c r="K4170" s="131"/>
      <c r="L4170" s="60"/>
      <c r="M4170" s="33"/>
      <c r="Z4170" s="3"/>
      <c r="AA4170" s="3"/>
      <c r="AB4170" s="4"/>
    </row>
    <row r="4171" spans="1:28" x14ac:dyDescent="0.15">
      <c r="A4171" s="70"/>
      <c r="B4171" s="82"/>
      <c r="C4171" s="70"/>
      <c r="D4171" s="70"/>
      <c r="E4171" s="70"/>
      <c r="F4171" s="70"/>
      <c r="G4171" s="70"/>
      <c r="H4171" s="93"/>
      <c r="I4171" s="85"/>
      <c r="J4171" s="85"/>
      <c r="K4171" s="131"/>
      <c r="L4171" s="60"/>
      <c r="M4171" s="33"/>
      <c r="N4171" s="46"/>
      <c r="Z4171" s="3"/>
      <c r="AA4171" s="3"/>
      <c r="AB4171" s="4"/>
    </row>
    <row r="4172" spans="1:28" x14ac:dyDescent="0.15">
      <c r="A4172" s="70"/>
      <c r="B4172" s="93"/>
      <c r="C4172" s="70"/>
      <c r="D4172" s="70"/>
      <c r="E4172" s="70"/>
      <c r="F4172" s="70"/>
      <c r="G4172" s="70"/>
      <c r="H4172" s="93"/>
      <c r="I4172" s="85"/>
      <c r="J4172" s="85"/>
      <c r="K4172" s="131"/>
      <c r="L4172" s="60"/>
      <c r="M4172" s="33"/>
      <c r="Z4172" s="3"/>
      <c r="AA4172" s="3"/>
      <c r="AB4172" s="4"/>
    </row>
    <row r="4173" spans="1:28" x14ac:dyDescent="0.15">
      <c r="A4173" s="70"/>
      <c r="B4173" s="82"/>
      <c r="C4173" s="70"/>
      <c r="D4173" s="70"/>
      <c r="E4173" s="70"/>
      <c r="F4173" s="70"/>
      <c r="G4173" s="70"/>
      <c r="H4173" s="93"/>
      <c r="I4173" s="85"/>
      <c r="J4173" s="85"/>
      <c r="K4173" s="131"/>
      <c r="L4173" s="60"/>
      <c r="Z4173" s="3"/>
      <c r="AA4173" s="3"/>
      <c r="AB4173" s="4"/>
    </row>
    <row r="4174" spans="1:28" ht="16" x14ac:dyDescent="0.2">
      <c r="A4174" s="70"/>
      <c r="B4174" s="93"/>
      <c r="C4174" s="73"/>
      <c r="D4174" s="73"/>
      <c r="E4174" s="73"/>
      <c r="F4174" s="73"/>
      <c r="G4174" s="73"/>
      <c r="H4174" s="108"/>
      <c r="I4174" s="85"/>
      <c r="J4174" s="95"/>
      <c r="K4174" s="131"/>
      <c r="L4174" s="60"/>
      <c r="M4174" s="47"/>
      <c r="Z4174" s="3"/>
      <c r="AA4174" s="3"/>
      <c r="AB4174" s="4"/>
    </row>
    <row r="4175" spans="1:28" x14ac:dyDescent="0.15">
      <c r="A4175" s="70"/>
      <c r="B4175" s="82"/>
      <c r="C4175" s="70"/>
      <c r="D4175" s="70"/>
      <c r="E4175" s="70"/>
      <c r="F4175" s="70"/>
      <c r="G4175" s="70"/>
      <c r="H4175" s="93"/>
      <c r="I4175" s="85"/>
      <c r="J4175" s="85"/>
      <c r="K4175" s="131"/>
      <c r="L4175" s="60"/>
      <c r="M4175" s="33"/>
      <c r="Z4175" s="3"/>
      <c r="AA4175" s="3"/>
      <c r="AB4175" s="4"/>
    </row>
    <row r="4176" spans="1:28" x14ac:dyDescent="0.15">
      <c r="A4176" s="70"/>
      <c r="B4176" s="82"/>
      <c r="C4176" s="70"/>
      <c r="D4176" s="70"/>
      <c r="E4176" s="70"/>
      <c r="F4176" s="70"/>
      <c r="G4176" s="70"/>
      <c r="H4176" s="93"/>
      <c r="I4176" s="85"/>
      <c r="J4176" s="85"/>
      <c r="K4176" s="131"/>
      <c r="L4176" s="60"/>
      <c r="Z4176" s="3"/>
      <c r="AA4176" s="3"/>
      <c r="AB4176" s="4"/>
    </row>
    <row r="4177" spans="1:28" x14ac:dyDescent="0.15">
      <c r="A4177" s="70"/>
      <c r="B4177" s="93"/>
      <c r="C4177" s="70"/>
      <c r="D4177" s="70"/>
      <c r="E4177" s="70"/>
      <c r="F4177" s="70"/>
      <c r="G4177" s="70"/>
      <c r="H4177" s="93"/>
      <c r="I4177" s="85"/>
      <c r="J4177" s="85"/>
      <c r="K4177" s="131"/>
      <c r="L4177" s="60"/>
      <c r="M4177" s="33"/>
      <c r="Z4177" s="3"/>
      <c r="AA4177" s="3"/>
      <c r="AB4177" s="4"/>
    </row>
    <row r="4178" spans="1:28" x14ac:dyDescent="0.15">
      <c r="A4178" s="70"/>
      <c r="B4178" s="93"/>
      <c r="C4178" s="70"/>
      <c r="D4178" s="70"/>
      <c r="E4178" s="70"/>
      <c r="F4178" s="70"/>
      <c r="G4178" s="70"/>
      <c r="H4178" s="93"/>
      <c r="I4178" s="85"/>
      <c r="J4178" s="85"/>
      <c r="K4178" s="134"/>
      <c r="L4178" s="60"/>
      <c r="N4178" s="46"/>
      <c r="Z4178" s="3"/>
      <c r="AA4178" s="3"/>
      <c r="AB4178" s="4"/>
    </row>
    <row r="4179" spans="1:28" x14ac:dyDescent="0.15">
      <c r="A4179" s="70"/>
      <c r="B4179" s="93"/>
      <c r="C4179" s="73"/>
      <c r="D4179" s="73"/>
      <c r="E4179" s="73"/>
      <c r="F4179" s="73"/>
      <c r="G4179" s="73"/>
      <c r="H4179" s="108"/>
      <c r="I4179" s="85"/>
      <c r="J4179" s="85"/>
      <c r="K4179" s="131"/>
      <c r="L4179" s="60"/>
      <c r="M4179" s="33"/>
      <c r="Z4179" s="3"/>
      <c r="AA4179" s="3"/>
      <c r="AB4179" s="4"/>
    </row>
    <row r="4180" spans="1:28" x14ac:dyDescent="0.15">
      <c r="A4180" s="70"/>
      <c r="B4180" s="93"/>
      <c r="C4180" s="70"/>
      <c r="D4180" s="70"/>
      <c r="E4180" s="70"/>
      <c r="F4180" s="70"/>
      <c r="G4180" s="70"/>
      <c r="H4180" s="93"/>
      <c r="I4180" s="85"/>
      <c r="J4180" s="85"/>
      <c r="K4180" s="131"/>
      <c r="L4180" s="60"/>
      <c r="M4180" s="33"/>
      <c r="Z4180" s="3"/>
      <c r="AA4180" s="3"/>
      <c r="AB4180" s="4"/>
    </row>
    <row r="4181" spans="1:28" x14ac:dyDescent="0.15">
      <c r="A4181" s="70"/>
      <c r="B4181" s="82"/>
      <c r="C4181" s="70"/>
      <c r="D4181" s="70"/>
      <c r="E4181" s="70"/>
      <c r="F4181" s="70"/>
      <c r="G4181" s="70"/>
      <c r="H4181" s="93"/>
      <c r="I4181" s="85"/>
      <c r="J4181" s="85"/>
      <c r="K4181" s="131"/>
      <c r="L4181" s="60"/>
      <c r="Z4181" s="3"/>
      <c r="AA4181" s="3"/>
      <c r="AB4181" s="4"/>
    </row>
    <row r="4182" spans="1:28" ht="16" x14ac:dyDescent="0.2">
      <c r="A4182" s="70"/>
      <c r="B4182" s="93"/>
      <c r="C4182" s="70"/>
      <c r="D4182" s="70"/>
      <c r="E4182" s="70"/>
      <c r="F4182" s="70"/>
      <c r="G4182" s="70"/>
      <c r="H4182" s="93"/>
      <c r="I4182" s="85"/>
      <c r="J4182" s="85"/>
      <c r="K4182" s="131"/>
      <c r="L4182" s="60"/>
      <c r="M4182" s="47"/>
      <c r="Z4182" s="3"/>
      <c r="AA4182" s="3"/>
      <c r="AB4182" s="4"/>
    </row>
    <row r="4183" spans="1:28" x14ac:dyDescent="0.15">
      <c r="A4183" s="70"/>
      <c r="B4183" s="93"/>
      <c r="C4183" s="70"/>
      <c r="D4183" s="70"/>
      <c r="E4183" s="73"/>
      <c r="F4183" s="70"/>
      <c r="G4183" s="70"/>
      <c r="H4183" s="93"/>
      <c r="I4183" s="85"/>
      <c r="J4183" s="85"/>
      <c r="K4183" s="131"/>
      <c r="L4183" s="60"/>
      <c r="M4183" s="33"/>
      <c r="Z4183" s="3"/>
      <c r="AA4183" s="3"/>
      <c r="AB4183" s="4"/>
    </row>
    <row r="4184" spans="1:28" x14ac:dyDescent="0.15">
      <c r="A4184" s="70"/>
      <c r="B4184" s="93"/>
      <c r="C4184" s="70"/>
      <c r="D4184" s="70"/>
      <c r="E4184" s="70"/>
      <c r="F4184" s="70"/>
      <c r="G4184" s="70"/>
      <c r="H4184" s="93"/>
      <c r="I4184" s="85"/>
      <c r="J4184" s="85"/>
      <c r="K4184" s="131"/>
      <c r="L4184" s="60"/>
      <c r="M4184" s="33"/>
      <c r="Z4184" s="3"/>
      <c r="AA4184" s="3"/>
      <c r="AB4184" s="4"/>
    </row>
    <row r="4185" spans="1:28" x14ac:dyDescent="0.15">
      <c r="A4185" s="70"/>
      <c r="B4185" s="93"/>
      <c r="C4185" s="70"/>
      <c r="D4185" s="70"/>
      <c r="E4185" s="70"/>
      <c r="F4185" s="70"/>
      <c r="G4185" s="70"/>
      <c r="H4185" s="93"/>
      <c r="I4185" s="85"/>
      <c r="J4185" s="85"/>
      <c r="K4185" s="131"/>
      <c r="L4185" s="60"/>
      <c r="M4185" s="33"/>
      <c r="Z4185" s="3"/>
      <c r="AA4185" s="3"/>
      <c r="AB4185" s="4"/>
    </row>
    <row r="4186" spans="1:28" ht="16" x14ac:dyDescent="0.2">
      <c r="A4186" s="70"/>
      <c r="B4186" s="93"/>
      <c r="C4186" s="73"/>
      <c r="D4186" s="73"/>
      <c r="E4186" s="73"/>
      <c r="F4186" s="73"/>
      <c r="G4186" s="73"/>
      <c r="H4186" s="108"/>
      <c r="I4186" s="85"/>
      <c r="J4186" s="85"/>
      <c r="K4186" s="131"/>
      <c r="L4186" s="60"/>
      <c r="M4186" s="33"/>
      <c r="N4186" s="48"/>
      <c r="Z4186" s="3"/>
      <c r="AA4186" s="3"/>
      <c r="AB4186" s="4"/>
    </row>
    <row r="4187" spans="1:28" x14ac:dyDescent="0.15">
      <c r="A4187" s="70"/>
      <c r="B4187" s="93"/>
      <c r="C4187" s="70"/>
      <c r="D4187" s="70"/>
      <c r="E4187" s="70"/>
      <c r="F4187" s="70"/>
      <c r="G4187" s="70"/>
      <c r="H4187" s="93"/>
      <c r="I4187" s="85"/>
      <c r="J4187" s="85"/>
      <c r="K4187" s="131"/>
      <c r="L4187" s="60"/>
      <c r="M4187" s="33"/>
      <c r="Z4187" s="3"/>
      <c r="AA4187" s="3"/>
      <c r="AB4187" s="4"/>
    </row>
    <row r="4188" spans="1:28" x14ac:dyDescent="0.15">
      <c r="A4188" s="70"/>
      <c r="B4188" s="82"/>
      <c r="C4188" s="70"/>
      <c r="D4188" s="70"/>
      <c r="E4188" s="70"/>
      <c r="F4188" s="70"/>
      <c r="G4188" s="70"/>
      <c r="H4188" s="93"/>
      <c r="I4188" s="85"/>
      <c r="J4188" s="85"/>
      <c r="K4188" s="131"/>
      <c r="L4188" s="60"/>
      <c r="Z4188" s="3"/>
      <c r="AA4188" s="3"/>
      <c r="AB4188" s="4"/>
    </row>
    <row r="4189" spans="1:28" x14ac:dyDescent="0.15">
      <c r="A4189" s="70"/>
      <c r="B4189" s="93"/>
      <c r="C4189" s="70"/>
      <c r="D4189" s="70"/>
      <c r="E4189" s="70"/>
      <c r="F4189" s="70"/>
      <c r="G4189" s="70"/>
      <c r="H4189" s="93"/>
      <c r="I4189" s="85"/>
      <c r="J4189" s="85"/>
      <c r="K4189" s="131"/>
      <c r="L4189" s="60"/>
      <c r="M4189" s="33"/>
      <c r="Z4189" s="3"/>
      <c r="AA4189" s="3"/>
      <c r="AB4189" s="4"/>
    </row>
    <row r="4190" spans="1:28" x14ac:dyDescent="0.15">
      <c r="A4190" s="70"/>
      <c r="B4190" s="93"/>
      <c r="C4190" s="73"/>
      <c r="D4190" s="73"/>
      <c r="E4190" s="73"/>
      <c r="F4190" s="73"/>
      <c r="G4190" s="73"/>
      <c r="H4190" s="108"/>
      <c r="I4190" s="85"/>
      <c r="J4190" s="95"/>
      <c r="K4190" s="131"/>
      <c r="L4190" s="60"/>
      <c r="M4190" s="33"/>
      <c r="Z4190" s="3"/>
      <c r="AA4190" s="3"/>
      <c r="AB4190" s="4"/>
    </row>
    <row r="4191" spans="1:28" x14ac:dyDescent="0.15">
      <c r="A4191" s="83"/>
      <c r="B4191" s="82"/>
      <c r="C4191" s="83"/>
      <c r="D4191" s="83"/>
      <c r="E4191" s="83"/>
      <c r="F4191" s="83"/>
      <c r="G4191" s="83"/>
      <c r="H4191" s="82"/>
      <c r="I4191" s="85"/>
      <c r="J4191" s="84"/>
      <c r="K4191" s="139"/>
      <c r="L4191" s="72"/>
      <c r="M4191" s="31"/>
      <c r="Z4191" s="3"/>
      <c r="AA4191" s="3"/>
      <c r="AB4191" s="4"/>
    </row>
    <row r="4192" spans="1:28" x14ac:dyDescent="0.15">
      <c r="A4192" s="70"/>
      <c r="B4192" s="93"/>
      <c r="C4192" s="70"/>
      <c r="D4192" s="70"/>
      <c r="E4192" s="70"/>
      <c r="F4192" s="70"/>
      <c r="G4192" s="70"/>
      <c r="H4192" s="93"/>
      <c r="I4192" s="85"/>
      <c r="J4192" s="85"/>
      <c r="K4192" s="131"/>
      <c r="L4192" s="60"/>
      <c r="M4192" s="33"/>
      <c r="Z4192" s="3"/>
      <c r="AA4192" s="3"/>
      <c r="AB4192" s="4"/>
    </row>
    <row r="4193" spans="1:28" x14ac:dyDescent="0.15">
      <c r="A4193" s="70"/>
      <c r="B4193" s="93"/>
      <c r="C4193" s="73"/>
      <c r="D4193" s="73"/>
      <c r="E4193" s="73"/>
      <c r="F4193" s="73"/>
      <c r="G4193" s="73"/>
      <c r="H4193" s="108"/>
      <c r="I4193" s="85"/>
      <c r="J4193" s="85"/>
      <c r="K4193" s="131"/>
      <c r="L4193" s="60"/>
      <c r="M4193" s="33"/>
      <c r="Z4193" s="3"/>
      <c r="AA4193" s="3"/>
      <c r="AB4193" s="4"/>
    </row>
    <row r="4194" spans="1:28" x14ac:dyDescent="0.15">
      <c r="A4194" s="70"/>
      <c r="B4194" s="93"/>
      <c r="C4194" s="70"/>
      <c r="D4194" s="70"/>
      <c r="E4194" s="70"/>
      <c r="F4194" s="70"/>
      <c r="G4194" s="70"/>
      <c r="H4194" s="93"/>
      <c r="I4194" s="85"/>
      <c r="J4194" s="85"/>
      <c r="K4194" s="131"/>
      <c r="L4194" s="60"/>
      <c r="M4194" s="33"/>
      <c r="Z4194" s="3"/>
      <c r="AA4194" s="3"/>
      <c r="AB4194" s="4"/>
    </row>
    <row r="4195" spans="1:28" x14ac:dyDescent="0.15">
      <c r="A4195" s="70"/>
      <c r="B4195" s="93"/>
      <c r="C4195" s="70"/>
      <c r="D4195" s="70"/>
      <c r="E4195" s="70"/>
      <c r="F4195" s="70"/>
      <c r="G4195" s="70"/>
      <c r="H4195" s="93"/>
      <c r="I4195" s="85"/>
      <c r="J4195" s="85"/>
      <c r="K4195" s="131"/>
      <c r="L4195" s="60"/>
      <c r="M4195" s="33"/>
      <c r="Z4195" s="3"/>
      <c r="AA4195" s="3"/>
      <c r="AB4195" s="4"/>
    </row>
    <row r="4196" spans="1:28" ht="16" x14ac:dyDescent="0.2">
      <c r="A4196" s="70"/>
      <c r="B4196" s="93"/>
      <c r="C4196" s="70"/>
      <c r="D4196" s="70"/>
      <c r="E4196" s="70"/>
      <c r="F4196" s="70"/>
      <c r="G4196" s="70"/>
      <c r="H4196" s="93"/>
      <c r="I4196" s="85"/>
      <c r="J4196" s="85"/>
      <c r="K4196" s="131"/>
      <c r="L4196" s="60"/>
      <c r="M4196" s="33"/>
      <c r="N4196" s="48"/>
      <c r="Z4196" s="3"/>
      <c r="AA4196" s="3"/>
      <c r="AB4196" s="4"/>
    </row>
    <row r="4197" spans="1:28" x14ac:dyDescent="0.15">
      <c r="A4197" s="70"/>
      <c r="B4197" s="93"/>
      <c r="C4197" s="73"/>
      <c r="D4197" s="73"/>
      <c r="E4197" s="73"/>
      <c r="F4197" s="73"/>
      <c r="G4197" s="73"/>
      <c r="H4197" s="108"/>
      <c r="I4197" s="85"/>
      <c r="J4197" s="85"/>
      <c r="K4197" s="131"/>
      <c r="L4197" s="60"/>
      <c r="M4197" s="33"/>
      <c r="Z4197" s="3"/>
      <c r="AA4197" s="3"/>
      <c r="AB4197" s="4"/>
    </row>
    <row r="4198" spans="1:28" x14ac:dyDescent="0.15">
      <c r="A4198" s="70"/>
      <c r="B4198" s="93"/>
      <c r="C4198" s="70"/>
      <c r="D4198" s="70"/>
      <c r="E4198" s="70"/>
      <c r="F4198" s="70"/>
      <c r="G4198" s="70"/>
      <c r="H4198" s="93"/>
      <c r="I4198" s="85"/>
      <c r="J4198" s="85"/>
      <c r="K4198" s="131"/>
      <c r="L4198" s="60"/>
      <c r="M4198" s="33"/>
      <c r="Z4198" s="3"/>
      <c r="AA4198" s="3"/>
      <c r="AB4198" s="4"/>
    </row>
    <row r="4199" spans="1:28" x14ac:dyDescent="0.15">
      <c r="A4199" s="70"/>
      <c r="B4199" s="93"/>
      <c r="C4199" s="70"/>
      <c r="D4199" s="70"/>
      <c r="E4199" s="70"/>
      <c r="F4199" s="70"/>
      <c r="G4199" s="70"/>
      <c r="H4199" s="93"/>
      <c r="I4199" s="85"/>
      <c r="J4199" s="85"/>
      <c r="K4199" s="131"/>
      <c r="L4199" s="60"/>
      <c r="M4199" s="33"/>
      <c r="Z4199" s="3"/>
      <c r="AA4199" s="3"/>
      <c r="AB4199" s="4"/>
    </row>
    <row r="4200" spans="1:28" ht="16" x14ac:dyDescent="0.2">
      <c r="A4200" s="70"/>
      <c r="B4200" s="82"/>
      <c r="C4200" s="70"/>
      <c r="D4200" s="70"/>
      <c r="E4200" s="70"/>
      <c r="F4200" s="70"/>
      <c r="G4200" s="70"/>
      <c r="H4200" s="93"/>
      <c r="I4200" s="85"/>
      <c r="J4200" s="85"/>
      <c r="K4200" s="131"/>
      <c r="L4200" s="60"/>
      <c r="M4200" s="47"/>
      <c r="Z4200" s="3"/>
      <c r="AA4200" s="3"/>
      <c r="AB4200" s="4"/>
    </row>
    <row r="4201" spans="1:28" x14ac:dyDescent="0.15">
      <c r="A4201" s="70"/>
      <c r="B4201" s="93"/>
      <c r="C4201" s="70"/>
      <c r="D4201" s="70"/>
      <c r="E4201" s="70"/>
      <c r="F4201" s="70"/>
      <c r="G4201" s="70"/>
      <c r="H4201" s="93"/>
      <c r="I4201" s="85"/>
      <c r="J4201" s="85"/>
      <c r="K4201" s="131"/>
      <c r="L4201" s="60"/>
      <c r="M4201" s="33"/>
      <c r="Z4201" s="3"/>
      <c r="AA4201" s="3"/>
      <c r="AB4201" s="4"/>
    </row>
    <row r="4202" spans="1:28" ht="16" x14ac:dyDescent="0.2">
      <c r="A4202" s="70"/>
      <c r="B4202" s="93"/>
      <c r="C4202" s="70"/>
      <c r="D4202" s="70"/>
      <c r="E4202" s="70"/>
      <c r="F4202" s="70"/>
      <c r="G4202" s="70"/>
      <c r="H4202" s="93"/>
      <c r="I4202" s="85"/>
      <c r="J4202" s="85"/>
      <c r="K4202" s="131"/>
      <c r="L4202" s="60"/>
      <c r="M4202" s="47"/>
      <c r="S4202" s="14"/>
      <c r="T4202" s="14"/>
      <c r="U4202" s="14"/>
      <c r="V4202" s="14"/>
      <c r="W4202" s="14"/>
      <c r="X4202" s="14"/>
      <c r="Y4202" s="14"/>
      <c r="Z4202" s="14"/>
      <c r="AA4202" s="14"/>
      <c r="AB4202" s="17"/>
    </row>
    <row r="4203" spans="1:28" x14ac:dyDescent="0.15">
      <c r="A4203" s="70"/>
      <c r="B4203" s="93"/>
      <c r="C4203" s="70"/>
      <c r="D4203" s="70"/>
      <c r="E4203" s="70"/>
      <c r="F4203" s="70"/>
      <c r="G4203" s="70"/>
      <c r="H4203" s="93"/>
      <c r="I4203" s="85"/>
      <c r="J4203" s="85"/>
      <c r="K4203" s="131"/>
      <c r="L4203" s="60"/>
      <c r="M4203" s="33"/>
      <c r="Z4203" s="3"/>
      <c r="AA4203" s="3"/>
      <c r="AB4203" s="4"/>
    </row>
    <row r="4204" spans="1:28" ht="16" x14ac:dyDescent="0.2">
      <c r="A4204" s="70"/>
      <c r="B4204" s="93"/>
      <c r="C4204" s="70"/>
      <c r="D4204" s="70"/>
      <c r="E4204" s="73"/>
      <c r="F4204" s="70"/>
      <c r="G4204" s="70"/>
      <c r="H4204" s="93"/>
      <c r="I4204" s="85"/>
      <c r="J4204" s="85"/>
      <c r="K4204" s="131"/>
      <c r="L4204" s="60"/>
      <c r="M4204" s="33"/>
      <c r="N4204" s="48"/>
      <c r="Z4204" s="3"/>
      <c r="AA4204" s="3"/>
      <c r="AB4204" s="4"/>
    </row>
    <row r="4205" spans="1:28" ht="16" x14ac:dyDescent="0.2">
      <c r="A4205" s="70"/>
      <c r="B4205" s="93"/>
      <c r="C4205" s="70"/>
      <c r="D4205" s="70"/>
      <c r="E4205" s="70"/>
      <c r="F4205" s="70"/>
      <c r="G4205" s="70"/>
      <c r="H4205" s="93"/>
      <c r="I4205" s="85"/>
      <c r="J4205" s="85"/>
      <c r="K4205" s="131"/>
      <c r="L4205" s="60"/>
      <c r="M4205" s="47"/>
      <c r="Z4205" s="3"/>
      <c r="AA4205" s="3"/>
      <c r="AB4205" s="4"/>
    </row>
    <row r="4206" spans="1:28" x14ac:dyDescent="0.15">
      <c r="A4206" s="70"/>
      <c r="B4206" s="93"/>
      <c r="C4206" s="70"/>
      <c r="D4206" s="70"/>
      <c r="E4206" s="70"/>
      <c r="F4206" s="70"/>
      <c r="G4206" s="70"/>
      <c r="H4206" s="93"/>
      <c r="I4206" s="85"/>
      <c r="J4206" s="85"/>
      <c r="K4206" s="131"/>
      <c r="L4206" s="60"/>
      <c r="M4206" s="33"/>
      <c r="Z4206" s="3"/>
      <c r="AA4206" s="3"/>
      <c r="AB4206" s="4"/>
    </row>
    <row r="4207" spans="1:28" x14ac:dyDescent="0.15">
      <c r="A4207" s="70"/>
      <c r="B4207" s="93"/>
      <c r="C4207" s="70"/>
      <c r="D4207" s="70"/>
      <c r="E4207" s="70"/>
      <c r="F4207" s="70"/>
      <c r="G4207" s="70"/>
      <c r="H4207" s="93"/>
      <c r="I4207" s="85"/>
      <c r="J4207" s="85"/>
      <c r="K4207" s="131"/>
      <c r="L4207" s="60"/>
      <c r="M4207" s="33"/>
      <c r="Z4207" s="3"/>
      <c r="AA4207" s="3"/>
      <c r="AB4207" s="4"/>
    </row>
    <row r="4208" spans="1:28" x14ac:dyDescent="0.15">
      <c r="A4208" s="70"/>
      <c r="B4208" s="93"/>
      <c r="C4208" s="70"/>
      <c r="D4208" s="70"/>
      <c r="E4208" s="70"/>
      <c r="F4208" s="70"/>
      <c r="G4208" s="70"/>
      <c r="H4208" s="93"/>
      <c r="I4208" s="85"/>
      <c r="J4208" s="85"/>
      <c r="K4208" s="131"/>
      <c r="L4208" s="60"/>
      <c r="M4208" s="33"/>
    </row>
    <row r="4209" spans="1:28" x14ac:dyDescent="0.15">
      <c r="A4209" s="70"/>
      <c r="B4209" s="82"/>
      <c r="C4209" s="70"/>
      <c r="D4209" s="70"/>
      <c r="E4209" s="70"/>
      <c r="F4209" s="70"/>
      <c r="G4209" s="70"/>
      <c r="H4209" s="93"/>
      <c r="I4209" s="85"/>
      <c r="J4209" s="85"/>
      <c r="K4209" s="131"/>
      <c r="L4209" s="60"/>
    </row>
    <row r="4210" spans="1:28" x14ac:dyDescent="0.15">
      <c r="A4210" s="70"/>
      <c r="B4210" s="93"/>
      <c r="C4210" s="70"/>
      <c r="D4210" s="70"/>
      <c r="E4210" s="70"/>
      <c r="F4210" s="70"/>
      <c r="G4210" s="70"/>
      <c r="H4210" s="93"/>
      <c r="I4210" s="85"/>
      <c r="J4210" s="85"/>
      <c r="K4210" s="131"/>
      <c r="L4210" s="60"/>
      <c r="M4210" s="33"/>
    </row>
    <row r="4211" spans="1:28" ht="16" x14ac:dyDescent="0.2">
      <c r="A4211" s="70"/>
      <c r="B4211" s="82"/>
      <c r="C4211" s="70"/>
      <c r="D4211" s="70"/>
      <c r="E4211" s="70"/>
      <c r="F4211" s="70"/>
      <c r="G4211" s="70"/>
      <c r="H4211" s="93"/>
      <c r="I4211" s="85"/>
      <c r="J4211" s="85"/>
      <c r="K4211" s="131"/>
      <c r="L4211" s="60"/>
      <c r="M4211" s="33"/>
      <c r="N4211" s="48"/>
    </row>
    <row r="4212" spans="1:28" x14ac:dyDescent="0.15">
      <c r="A4212" s="70"/>
      <c r="B4212" s="93"/>
      <c r="C4212" s="70"/>
      <c r="D4212" s="70"/>
      <c r="E4212" s="70"/>
      <c r="F4212" s="70"/>
      <c r="G4212" s="70"/>
      <c r="H4212" s="93"/>
      <c r="I4212" s="85"/>
      <c r="J4212" s="85"/>
      <c r="K4212" s="131"/>
      <c r="L4212" s="60"/>
      <c r="M4212" s="33"/>
    </row>
    <row r="4213" spans="1:28" x14ac:dyDescent="0.15">
      <c r="A4213" s="70"/>
      <c r="B4213" s="93"/>
      <c r="C4213" s="70"/>
      <c r="D4213" s="70"/>
      <c r="E4213" s="70"/>
      <c r="F4213" s="70"/>
      <c r="G4213" s="70"/>
      <c r="H4213" s="93"/>
      <c r="I4213" s="85"/>
      <c r="J4213" s="85"/>
      <c r="K4213" s="131"/>
      <c r="L4213" s="60"/>
      <c r="M4213" s="33"/>
    </row>
    <row r="4214" spans="1:28" x14ac:dyDescent="0.15">
      <c r="A4214" s="70"/>
      <c r="B4214" s="93"/>
      <c r="C4214" s="70"/>
      <c r="D4214" s="70"/>
      <c r="E4214" s="70"/>
      <c r="F4214" s="70"/>
      <c r="G4214" s="70"/>
      <c r="H4214" s="93"/>
      <c r="I4214" s="85"/>
      <c r="J4214" s="85"/>
      <c r="K4214" s="131"/>
      <c r="L4214" s="60"/>
      <c r="M4214" s="33"/>
    </row>
    <row r="4215" spans="1:28" x14ac:dyDescent="0.15">
      <c r="A4215" s="70"/>
      <c r="B4215" s="82"/>
      <c r="C4215" s="70"/>
      <c r="D4215" s="70"/>
      <c r="E4215" s="70"/>
      <c r="F4215" s="70"/>
      <c r="G4215" s="70"/>
      <c r="H4215" s="93"/>
      <c r="I4215" s="85"/>
      <c r="J4215" s="85"/>
      <c r="K4215" s="131"/>
      <c r="L4215" s="60"/>
    </row>
    <row r="4216" spans="1:28" x14ac:dyDescent="0.15">
      <c r="A4216" s="70"/>
      <c r="B4216" s="93"/>
      <c r="C4216" s="70"/>
      <c r="D4216" s="70"/>
      <c r="E4216" s="70"/>
      <c r="F4216" s="70"/>
      <c r="G4216" s="70"/>
      <c r="H4216" s="93"/>
      <c r="I4216" s="85"/>
      <c r="J4216" s="85"/>
      <c r="K4216" s="131"/>
      <c r="L4216" s="60"/>
      <c r="M4216" s="33"/>
    </row>
    <row r="4217" spans="1:28" x14ac:dyDescent="0.15">
      <c r="A4217" s="70"/>
      <c r="B4217" s="93"/>
      <c r="C4217" s="70"/>
      <c r="D4217" s="70"/>
      <c r="E4217" s="70"/>
      <c r="F4217" s="70"/>
      <c r="G4217" s="70"/>
      <c r="H4217" s="93"/>
      <c r="I4217" s="85"/>
      <c r="J4217" s="85"/>
      <c r="K4217" s="131"/>
      <c r="L4217" s="60"/>
      <c r="M4217" s="33"/>
    </row>
    <row r="4218" spans="1:28" x14ac:dyDescent="0.15">
      <c r="A4218" s="70"/>
      <c r="B4218" s="93"/>
      <c r="C4218" s="70"/>
      <c r="D4218" s="70"/>
      <c r="E4218" s="70"/>
      <c r="F4218" s="70"/>
      <c r="G4218" s="70"/>
      <c r="H4218" s="93"/>
      <c r="I4218" s="85"/>
      <c r="J4218" s="85"/>
      <c r="K4218" s="131"/>
      <c r="L4218" s="60"/>
      <c r="M4218" s="33"/>
    </row>
    <row r="4219" spans="1:28" ht="16" x14ac:dyDescent="0.2">
      <c r="A4219" s="70"/>
      <c r="B4219" s="93"/>
      <c r="C4219" s="73"/>
      <c r="D4219" s="73"/>
      <c r="E4219" s="73"/>
      <c r="F4219" s="73"/>
      <c r="G4219" s="73"/>
      <c r="H4219" s="108"/>
      <c r="I4219" s="85"/>
      <c r="J4219" s="85"/>
      <c r="K4219" s="131"/>
      <c r="L4219" s="60"/>
      <c r="M4219" s="33"/>
      <c r="N4219" s="48"/>
    </row>
    <row r="4220" spans="1:28" x14ac:dyDescent="0.15">
      <c r="A4220" s="70"/>
      <c r="B4220" s="93"/>
      <c r="C4220" s="70"/>
      <c r="D4220" s="70"/>
      <c r="E4220" s="70"/>
      <c r="F4220" s="70"/>
      <c r="G4220" s="70"/>
      <c r="H4220" s="93"/>
      <c r="I4220" s="85"/>
      <c r="J4220" s="85"/>
      <c r="K4220" s="131"/>
      <c r="L4220" s="60"/>
      <c r="M4220" s="33"/>
    </row>
    <row r="4221" spans="1:28" x14ac:dyDescent="0.15">
      <c r="A4221" s="70"/>
      <c r="B4221" s="93"/>
      <c r="C4221" s="70"/>
      <c r="D4221" s="70"/>
      <c r="E4221" s="70"/>
      <c r="F4221" s="70"/>
      <c r="G4221" s="70"/>
      <c r="H4221" s="93"/>
      <c r="I4221" s="85"/>
      <c r="J4221" s="85"/>
      <c r="K4221" s="131"/>
      <c r="L4221" s="60"/>
      <c r="M4221" s="33"/>
    </row>
    <row r="4222" spans="1:28" s="37" customFormat="1" x14ac:dyDescent="0.15">
      <c r="A4222" s="70"/>
      <c r="B4222" s="93"/>
      <c r="C4222" s="70"/>
      <c r="D4222" s="70"/>
      <c r="E4222" s="70"/>
      <c r="F4222" s="70"/>
      <c r="G4222" s="70"/>
      <c r="H4222" s="93"/>
      <c r="I4222" s="85"/>
      <c r="J4222" s="85"/>
      <c r="K4222" s="131"/>
      <c r="L4222" s="60"/>
      <c r="M4222" s="33"/>
      <c r="Q4222" s="3"/>
      <c r="R4222" s="3"/>
      <c r="S4222" s="3"/>
      <c r="T4222" s="3"/>
      <c r="U4222" s="3"/>
      <c r="V4222" s="3"/>
      <c r="W4222" s="3"/>
      <c r="X4222" s="3"/>
      <c r="Y4222" s="3"/>
      <c r="Z4222" s="4"/>
      <c r="AA4222"/>
      <c r="AB4222"/>
    </row>
    <row r="4223" spans="1:28" s="37" customFormat="1" x14ac:dyDescent="0.15">
      <c r="A4223" s="70"/>
      <c r="B4223" s="93"/>
      <c r="C4223" s="70"/>
      <c r="D4223" s="70"/>
      <c r="E4223" s="70"/>
      <c r="F4223" s="70"/>
      <c r="G4223" s="70"/>
      <c r="H4223" s="93"/>
      <c r="I4223" s="85"/>
      <c r="J4223" s="85"/>
      <c r="K4223" s="131"/>
      <c r="L4223" s="60"/>
      <c r="M4223" s="33"/>
      <c r="Q4223" s="3"/>
      <c r="R4223" s="3"/>
      <c r="S4223" s="3"/>
      <c r="T4223" s="3"/>
      <c r="U4223" s="3"/>
      <c r="V4223" s="3"/>
      <c r="W4223" s="3"/>
      <c r="X4223" s="3"/>
      <c r="Y4223" s="3"/>
      <c r="Z4223" s="4"/>
      <c r="AA4223"/>
      <c r="AB4223"/>
    </row>
    <row r="4224" spans="1:28" s="37" customFormat="1" x14ac:dyDescent="0.15">
      <c r="A4224" s="70"/>
      <c r="B4224" s="82"/>
      <c r="C4224" s="70"/>
      <c r="D4224" s="70"/>
      <c r="E4224" s="70"/>
      <c r="F4224" s="70"/>
      <c r="G4224" s="70"/>
      <c r="H4224" s="93"/>
      <c r="I4224" s="85"/>
      <c r="J4224" s="85"/>
      <c r="K4224" s="131"/>
      <c r="L4224" s="60"/>
      <c r="M4224" s="33"/>
      <c r="Q4224" s="3"/>
      <c r="R4224" s="3"/>
      <c r="S4224" s="3"/>
      <c r="T4224" s="3"/>
      <c r="U4224" s="3"/>
      <c r="V4224" s="3"/>
      <c r="W4224" s="3"/>
      <c r="X4224" s="3"/>
      <c r="Y4224" s="3"/>
      <c r="Z4224" s="4"/>
      <c r="AA4224"/>
      <c r="AB4224"/>
    </row>
    <row r="4225" spans="1:28" s="37" customFormat="1" x14ac:dyDescent="0.15">
      <c r="A4225" s="70"/>
      <c r="B4225" s="82"/>
      <c r="C4225" s="70"/>
      <c r="D4225" s="70"/>
      <c r="E4225" s="73"/>
      <c r="F4225" s="70"/>
      <c r="G4225" s="70"/>
      <c r="H4225" s="93"/>
      <c r="I4225" s="85"/>
      <c r="J4225" s="85"/>
      <c r="K4225" s="131"/>
      <c r="L4225" s="60"/>
      <c r="M4225" s="33"/>
      <c r="Q4225" s="3"/>
      <c r="R4225" s="3"/>
      <c r="S4225" s="3"/>
      <c r="T4225" s="3"/>
      <c r="U4225" s="3"/>
      <c r="V4225" s="3"/>
      <c r="W4225" s="3"/>
      <c r="X4225" s="3"/>
      <c r="Y4225" s="3"/>
      <c r="Z4225" s="4"/>
      <c r="AA4225"/>
      <c r="AB4225"/>
    </row>
    <row r="4226" spans="1:28" s="37" customFormat="1" x14ac:dyDescent="0.15">
      <c r="A4226" s="70"/>
      <c r="B4226" s="82"/>
      <c r="C4226" s="70"/>
      <c r="D4226" s="70"/>
      <c r="E4226" s="70"/>
      <c r="F4226" s="70"/>
      <c r="G4226" s="70"/>
      <c r="H4226" s="93"/>
      <c r="I4226" s="85"/>
      <c r="J4226" s="85"/>
      <c r="K4226" s="131"/>
      <c r="L4226" s="60"/>
      <c r="M4226" s="49"/>
      <c r="Q4226" s="3"/>
      <c r="R4226" s="3"/>
      <c r="S4226" s="3"/>
      <c r="T4226" s="3"/>
      <c r="U4226" s="3"/>
      <c r="V4226" s="3"/>
      <c r="W4226" s="3"/>
      <c r="X4226" s="3"/>
      <c r="Y4226" s="3"/>
      <c r="Z4226" s="4"/>
      <c r="AA4226"/>
      <c r="AB4226"/>
    </row>
    <row r="4227" spans="1:28" s="37" customFormat="1" x14ac:dyDescent="0.15">
      <c r="A4227" s="70"/>
      <c r="B4227" s="82"/>
      <c r="C4227" s="70"/>
      <c r="D4227" s="70"/>
      <c r="E4227" s="70"/>
      <c r="F4227" s="70"/>
      <c r="G4227" s="70"/>
      <c r="H4227" s="93"/>
      <c r="I4227" s="85"/>
      <c r="J4227" s="85"/>
      <c r="K4227" s="131"/>
      <c r="L4227" s="60"/>
      <c r="M4227" s="49"/>
      <c r="Q4227" s="3"/>
      <c r="R4227" s="3"/>
      <c r="S4227" s="3"/>
      <c r="T4227" s="3"/>
      <c r="U4227" s="3"/>
      <c r="V4227" s="3"/>
      <c r="W4227" s="3"/>
      <c r="X4227" s="3"/>
      <c r="Y4227" s="3"/>
      <c r="Z4227" s="4"/>
      <c r="AA4227"/>
      <c r="AB4227"/>
    </row>
    <row r="4228" spans="1:28" s="37" customFormat="1" x14ac:dyDescent="0.15">
      <c r="A4228" s="70"/>
      <c r="B4228" s="82"/>
      <c r="C4228" s="70"/>
      <c r="D4228" s="70"/>
      <c r="E4228" s="70"/>
      <c r="F4228" s="70"/>
      <c r="G4228" s="70"/>
      <c r="H4228" s="93"/>
      <c r="I4228" s="85"/>
      <c r="J4228" s="85"/>
      <c r="K4228" s="131"/>
      <c r="L4228" s="60"/>
      <c r="M4228" s="33"/>
      <c r="Q4228" s="3"/>
      <c r="R4228" s="3"/>
      <c r="S4228" s="3"/>
      <c r="T4228" s="3"/>
      <c r="U4228" s="3"/>
      <c r="V4228" s="3"/>
      <c r="W4228" s="3"/>
      <c r="X4228" s="3"/>
      <c r="Y4228" s="3"/>
      <c r="Z4228" s="4"/>
      <c r="AA4228"/>
      <c r="AB4228"/>
    </row>
    <row r="4229" spans="1:28" s="37" customFormat="1" ht="16" x14ac:dyDescent="0.2">
      <c r="A4229" s="70"/>
      <c r="B4229" s="93"/>
      <c r="C4229" s="70"/>
      <c r="D4229" s="70"/>
      <c r="E4229" s="73"/>
      <c r="F4229" s="70"/>
      <c r="G4229" s="70"/>
      <c r="H4229" s="93"/>
      <c r="I4229" s="85"/>
      <c r="J4229" s="85"/>
      <c r="K4229" s="131"/>
      <c r="L4229" s="60"/>
      <c r="M4229" s="33"/>
      <c r="N4229" s="48"/>
      <c r="Q4229" s="3"/>
      <c r="R4229" s="3"/>
      <c r="S4229" s="3"/>
      <c r="T4229" s="3"/>
      <c r="U4229" s="3"/>
      <c r="V4229" s="3"/>
      <c r="W4229" s="3"/>
      <c r="X4229" s="3"/>
      <c r="Y4229" s="3"/>
      <c r="Z4229" s="4"/>
      <c r="AA4229"/>
      <c r="AB4229"/>
    </row>
    <row r="4230" spans="1:28" s="37" customFormat="1" x14ac:dyDescent="0.15">
      <c r="A4230" s="70"/>
      <c r="B4230" s="93"/>
      <c r="C4230" s="70"/>
      <c r="D4230" s="70"/>
      <c r="E4230" s="73"/>
      <c r="F4230" s="70"/>
      <c r="G4230" s="70"/>
      <c r="H4230" s="93"/>
      <c r="I4230" s="85"/>
      <c r="J4230" s="85"/>
      <c r="K4230" s="131"/>
      <c r="L4230" s="60"/>
      <c r="M4230" s="49"/>
      <c r="Q4230" s="3"/>
      <c r="R4230" s="3"/>
      <c r="S4230" s="3"/>
      <c r="T4230" s="3"/>
      <c r="U4230" s="3"/>
      <c r="V4230" s="3"/>
      <c r="W4230" s="3"/>
      <c r="X4230" s="3"/>
      <c r="Y4230" s="3"/>
      <c r="Z4230" s="4"/>
      <c r="AA4230"/>
      <c r="AB4230"/>
    </row>
    <row r="4231" spans="1:28" s="37" customFormat="1" x14ac:dyDescent="0.15">
      <c r="A4231" s="70"/>
      <c r="B4231" s="93"/>
      <c r="C4231" s="70"/>
      <c r="D4231" s="70"/>
      <c r="E4231" s="70"/>
      <c r="F4231" s="70"/>
      <c r="G4231" s="70"/>
      <c r="H4231" s="93"/>
      <c r="I4231" s="85"/>
      <c r="J4231" s="85"/>
      <c r="K4231" s="131"/>
      <c r="L4231" s="60"/>
      <c r="M4231" s="33"/>
      <c r="Q4231" s="3"/>
      <c r="R4231" s="3"/>
      <c r="S4231" s="3"/>
      <c r="T4231" s="3"/>
      <c r="U4231" s="3"/>
      <c r="V4231" s="3"/>
      <c r="W4231" s="3"/>
      <c r="X4231" s="3"/>
      <c r="Y4231" s="3"/>
      <c r="Z4231" s="4"/>
      <c r="AA4231"/>
      <c r="AB4231"/>
    </row>
    <row r="4232" spans="1:28" s="37" customFormat="1" x14ac:dyDescent="0.15">
      <c r="A4232" s="70"/>
      <c r="B4232" s="82"/>
      <c r="C4232" s="70"/>
      <c r="D4232" s="70"/>
      <c r="E4232" s="70"/>
      <c r="F4232" s="70"/>
      <c r="G4232" s="70"/>
      <c r="H4232" s="93"/>
      <c r="I4232" s="85"/>
      <c r="J4232" s="85"/>
      <c r="K4232" s="131"/>
      <c r="L4232" s="60"/>
      <c r="M4232" s="49"/>
      <c r="Q4232" s="3"/>
      <c r="R4232" s="3"/>
      <c r="S4232" s="3"/>
      <c r="T4232" s="3"/>
      <c r="U4232" s="3"/>
      <c r="V4232" s="3"/>
      <c r="W4232" s="3"/>
      <c r="X4232" s="3"/>
      <c r="Y4232" s="3"/>
      <c r="Z4232" s="4"/>
      <c r="AA4232"/>
      <c r="AB4232"/>
    </row>
    <row r="4233" spans="1:28" s="37" customFormat="1" x14ac:dyDescent="0.15">
      <c r="A4233" s="70"/>
      <c r="B4233" s="82"/>
      <c r="C4233" s="70"/>
      <c r="D4233" s="70"/>
      <c r="E4233" s="70"/>
      <c r="F4233" s="70"/>
      <c r="G4233" s="70"/>
      <c r="H4233" s="93"/>
      <c r="I4233" s="85"/>
      <c r="J4233" s="85"/>
      <c r="K4233" s="131"/>
      <c r="L4233" s="60"/>
      <c r="M4233" s="33"/>
      <c r="Q4233" s="3"/>
      <c r="R4233" s="3"/>
      <c r="S4233" s="3"/>
      <c r="T4233" s="3"/>
      <c r="U4233" s="3"/>
      <c r="V4233" s="3"/>
      <c r="W4233" s="3"/>
      <c r="X4233" s="3"/>
      <c r="Y4233" s="3"/>
      <c r="Z4233" s="4"/>
      <c r="AA4233"/>
      <c r="AB4233"/>
    </row>
    <row r="4234" spans="1:28" s="37" customFormat="1" x14ac:dyDescent="0.15">
      <c r="A4234" s="70"/>
      <c r="B4234" s="93"/>
      <c r="C4234" s="70"/>
      <c r="D4234" s="70"/>
      <c r="E4234" s="70"/>
      <c r="F4234" s="70"/>
      <c r="G4234" s="70"/>
      <c r="H4234" s="93"/>
      <c r="I4234" s="85"/>
      <c r="J4234" s="85"/>
      <c r="K4234" s="131"/>
      <c r="L4234" s="60"/>
      <c r="M4234" s="33"/>
      <c r="Q4234" s="3"/>
      <c r="R4234" s="3"/>
      <c r="S4234" s="3"/>
      <c r="T4234" s="3"/>
      <c r="U4234" s="3"/>
      <c r="V4234" s="3"/>
      <c r="W4234" s="3"/>
      <c r="X4234" s="3"/>
      <c r="Y4234" s="3"/>
      <c r="Z4234" s="4"/>
      <c r="AA4234"/>
      <c r="AB4234"/>
    </row>
    <row r="4235" spans="1:28" s="37" customFormat="1" x14ac:dyDescent="0.15">
      <c r="A4235" s="70"/>
      <c r="B4235" s="93"/>
      <c r="C4235" s="70"/>
      <c r="D4235" s="70"/>
      <c r="E4235" s="70"/>
      <c r="F4235" s="70"/>
      <c r="G4235" s="70"/>
      <c r="H4235" s="93"/>
      <c r="I4235" s="85"/>
      <c r="J4235" s="85"/>
      <c r="K4235" s="131"/>
      <c r="L4235" s="60"/>
      <c r="M4235" s="33"/>
      <c r="Q4235" s="3"/>
      <c r="R4235" s="3"/>
      <c r="S4235" s="3"/>
      <c r="T4235" s="3"/>
      <c r="U4235" s="3"/>
      <c r="V4235" s="3"/>
      <c r="W4235" s="3"/>
      <c r="X4235" s="3"/>
      <c r="Y4235" s="3"/>
      <c r="Z4235" s="4"/>
      <c r="AA4235"/>
      <c r="AB4235"/>
    </row>
    <row r="4236" spans="1:28" s="37" customFormat="1" ht="16" x14ac:dyDescent="0.2">
      <c r="A4236" s="70"/>
      <c r="B4236" s="93"/>
      <c r="C4236" s="70"/>
      <c r="D4236" s="70"/>
      <c r="E4236" s="70"/>
      <c r="F4236" s="70"/>
      <c r="G4236" s="70"/>
      <c r="H4236" s="93"/>
      <c r="I4236" s="85"/>
      <c r="J4236" s="85"/>
      <c r="K4236" s="131"/>
      <c r="L4236" s="60"/>
      <c r="M4236" s="33"/>
      <c r="N4236" s="48"/>
      <c r="Q4236" s="3"/>
      <c r="R4236" s="3"/>
      <c r="S4236" s="3"/>
      <c r="T4236" s="3"/>
      <c r="U4236" s="3"/>
      <c r="V4236" s="3"/>
      <c r="W4236" s="3"/>
      <c r="X4236" s="3"/>
      <c r="Y4236" s="3"/>
      <c r="Z4236" s="4"/>
      <c r="AA4236"/>
      <c r="AB4236"/>
    </row>
    <row r="4237" spans="1:28" s="37" customFormat="1" x14ac:dyDescent="0.15">
      <c r="A4237" s="70"/>
      <c r="B4237" s="93"/>
      <c r="C4237" s="70"/>
      <c r="D4237" s="70"/>
      <c r="E4237" s="70"/>
      <c r="F4237" s="70"/>
      <c r="G4237" s="70"/>
      <c r="H4237" s="93"/>
      <c r="I4237" s="85"/>
      <c r="J4237" s="85"/>
      <c r="K4237" s="131"/>
      <c r="L4237" s="67"/>
      <c r="M4237" s="33"/>
      <c r="Q4237" s="3"/>
      <c r="R4237" s="3"/>
      <c r="S4237" s="3"/>
      <c r="T4237" s="3"/>
      <c r="U4237" s="3"/>
      <c r="V4237" s="3"/>
      <c r="W4237" s="3"/>
      <c r="X4237" s="3"/>
      <c r="Y4237" s="3"/>
      <c r="Z4237" s="4"/>
      <c r="AA4237"/>
      <c r="AB4237"/>
    </row>
    <row r="4238" spans="1:28" s="37" customFormat="1" x14ac:dyDescent="0.15">
      <c r="A4238" s="70"/>
      <c r="B4238" s="82"/>
      <c r="C4238" s="70"/>
      <c r="D4238" s="70"/>
      <c r="E4238" s="73"/>
      <c r="F4238" s="70"/>
      <c r="G4238" s="70"/>
      <c r="H4238" s="93"/>
      <c r="I4238" s="85"/>
      <c r="J4238" s="85"/>
      <c r="K4238" s="131"/>
      <c r="L4238" s="60"/>
      <c r="M4238" s="49"/>
      <c r="Q4238" s="3"/>
      <c r="R4238" s="3"/>
      <c r="S4238" s="3"/>
      <c r="T4238" s="3"/>
      <c r="U4238" s="3"/>
      <c r="V4238" s="3"/>
      <c r="W4238" s="3"/>
      <c r="X4238" s="3"/>
      <c r="Y4238" s="3"/>
      <c r="Z4238" s="4"/>
      <c r="AA4238"/>
      <c r="AB4238"/>
    </row>
    <row r="4239" spans="1:28" s="37" customFormat="1" x14ac:dyDescent="0.15">
      <c r="A4239" s="70"/>
      <c r="B4239" s="93"/>
      <c r="C4239" s="73"/>
      <c r="D4239" s="73"/>
      <c r="E4239" s="70"/>
      <c r="F4239" s="73"/>
      <c r="G4239" s="73"/>
      <c r="H4239" s="93"/>
      <c r="I4239" s="85"/>
      <c r="J4239" s="85"/>
      <c r="K4239" s="131"/>
      <c r="L4239" s="60"/>
      <c r="M4239" s="33"/>
      <c r="Q4239" s="3"/>
      <c r="R4239" s="3"/>
      <c r="S4239" s="3"/>
      <c r="T4239" s="3"/>
      <c r="U4239" s="3"/>
      <c r="V4239" s="3"/>
      <c r="W4239" s="3"/>
      <c r="X4239" s="3"/>
      <c r="Y4239" s="3"/>
      <c r="Z4239" s="4"/>
      <c r="AA4239"/>
      <c r="AB4239"/>
    </row>
    <row r="4240" spans="1:28" s="37" customFormat="1" x14ac:dyDescent="0.15">
      <c r="A4240" s="70"/>
      <c r="B4240" s="93"/>
      <c r="C4240" s="70"/>
      <c r="D4240" s="70"/>
      <c r="E4240" s="70"/>
      <c r="F4240" s="70"/>
      <c r="G4240" s="70"/>
      <c r="H4240" s="93"/>
      <c r="I4240" s="85"/>
      <c r="J4240" s="85"/>
      <c r="K4240" s="131"/>
      <c r="L4240" s="60"/>
      <c r="M4240" s="33"/>
      <c r="Q4240" s="3"/>
      <c r="R4240" s="3"/>
      <c r="S4240" s="3"/>
      <c r="T4240" s="3"/>
      <c r="U4240" s="3"/>
      <c r="V4240" s="3"/>
      <c r="W4240" s="3"/>
      <c r="X4240" s="3"/>
      <c r="Y4240" s="3"/>
      <c r="Z4240" s="4"/>
      <c r="AA4240"/>
      <c r="AB4240"/>
    </row>
    <row r="4241" spans="1:28" s="37" customFormat="1" x14ac:dyDescent="0.15">
      <c r="A4241" s="70"/>
      <c r="B4241" s="93"/>
      <c r="C4241" s="70"/>
      <c r="D4241" s="70"/>
      <c r="E4241" s="70"/>
      <c r="F4241" s="70"/>
      <c r="G4241" s="70"/>
      <c r="H4241" s="93"/>
      <c r="I4241" s="85"/>
      <c r="J4241" s="85"/>
      <c r="K4241" s="131"/>
      <c r="L4241" s="60"/>
      <c r="M4241" s="33"/>
      <c r="Q4241" s="3"/>
      <c r="R4241" s="3"/>
      <c r="S4241" s="3"/>
      <c r="T4241" s="3"/>
      <c r="U4241" s="3"/>
      <c r="V4241" s="3"/>
      <c r="W4241" s="3"/>
      <c r="X4241" s="3"/>
      <c r="Y4241" s="3"/>
      <c r="Z4241" s="4"/>
      <c r="AA4241"/>
      <c r="AB4241"/>
    </row>
    <row r="4242" spans="1:28" s="37" customFormat="1" x14ac:dyDescent="0.15">
      <c r="A4242" s="70"/>
      <c r="B4242" s="93"/>
      <c r="C4242" s="70"/>
      <c r="D4242" s="70"/>
      <c r="E4242" s="70"/>
      <c r="F4242" s="70"/>
      <c r="G4242" s="70"/>
      <c r="H4242" s="93"/>
      <c r="I4242" s="85"/>
      <c r="J4242" s="85"/>
      <c r="K4242" s="131"/>
      <c r="L4242" s="60"/>
      <c r="M4242" s="33"/>
      <c r="Q4242" s="3"/>
      <c r="R4242" s="3"/>
      <c r="S4242" s="3"/>
      <c r="T4242" s="3"/>
      <c r="U4242" s="3"/>
      <c r="V4242" s="3"/>
      <c r="W4242" s="3"/>
      <c r="X4242" s="3"/>
      <c r="Y4242" s="3"/>
      <c r="Z4242" s="4"/>
      <c r="AA4242"/>
      <c r="AB4242"/>
    </row>
    <row r="4243" spans="1:28" s="37" customFormat="1" x14ac:dyDescent="0.15">
      <c r="A4243" s="70"/>
      <c r="B4243" s="82"/>
      <c r="C4243" s="70"/>
      <c r="D4243" s="70"/>
      <c r="E4243" s="70"/>
      <c r="F4243" s="70"/>
      <c r="G4243" s="70"/>
      <c r="H4243" s="93"/>
      <c r="I4243" s="85"/>
      <c r="J4243" s="85"/>
      <c r="K4243" s="131"/>
      <c r="L4243" s="60"/>
      <c r="M4243" s="33"/>
      <c r="Q4243" s="3"/>
      <c r="R4243" s="3"/>
      <c r="S4243" s="3"/>
      <c r="T4243" s="3"/>
      <c r="U4243" s="3"/>
      <c r="V4243" s="3"/>
      <c r="W4243" s="3"/>
      <c r="X4243" s="3"/>
      <c r="Y4243" s="3"/>
      <c r="Z4243" s="4"/>
      <c r="AA4243"/>
      <c r="AB4243"/>
    </row>
    <row r="4244" spans="1:28" s="37" customFormat="1" ht="16" x14ac:dyDescent="0.2">
      <c r="A4244" s="70"/>
      <c r="B4244" s="93"/>
      <c r="C4244" s="70"/>
      <c r="D4244" s="70"/>
      <c r="E4244" s="70"/>
      <c r="F4244" s="70"/>
      <c r="G4244" s="70"/>
      <c r="H4244" s="93"/>
      <c r="I4244" s="85"/>
      <c r="J4244" s="85"/>
      <c r="K4244" s="131"/>
      <c r="L4244" s="60"/>
      <c r="M4244" s="47"/>
      <c r="Q4244" s="3"/>
      <c r="R4244" s="3"/>
      <c r="S4244" s="3"/>
      <c r="T4244" s="3"/>
      <c r="U4244" s="3"/>
      <c r="V4244" s="3"/>
      <c r="W4244" s="3"/>
      <c r="X4244" s="3"/>
      <c r="Y4244" s="3"/>
      <c r="Z4244" s="4"/>
      <c r="AA4244"/>
      <c r="AB4244"/>
    </row>
    <row r="4245" spans="1:28" s="37" customFormat="1" x14ac:dyDescent="0.15">
      <c r="A4245" s="70"/>
      <c r="B4245" s="82"/>
      <c r="C4245" s="70"/>
      <c r="D4245" s="70"/>
      <c r="E4245" s="70"/>
      <c r="F4245" s="70"/>
      <c r="G4245" s="70"/>
      <c r="H4245" s="93"/>
      <c r="I4245" s="85"/>
      <c r="J4245" s="85"/>
      <c r="K4245" s="131"/>
      <c r="L4245" s="60"/>
      <c r="M4245" s="33"/>
      <c r="Q4245" s="3"/>
      <c r="R4245" s="3"/>
      <c r="S4245" s="3"/>
      <c r="T4245" s="3"/>
      <c r="U4245" s="3"/>
      <c r="V4245" s="3"/>
      <c r="W4245" s="3"/>
      <c r="X4245" s="3"/>
      <c r="Y4245" s="3"/>
      <c r="Z4245" s="4"/>
      <c r="AA4245"/>
      <c r="AB4245"/>
    </row>
    <row r="4246" spans="1:28" s="37" customFormat="1" x14ac:dyDescent="0.15">
      <c r="A4246" s="70"/>
      <c r="B4246" s="93"/>
      <c r="C4246" s="70"/>
      <c r="D4246" s="70"/>
      <c r="E4246" s="70"/>
      <c r="F4246" s="70"/>
      <c r="G4246" s="70"/>
      <c r="H4246" s="93"/>
      <c r="I4246" s="85"/>
      <c r="J4246" s="85"/>
      <c r="K4246" s="131"/>
      <c r="L4246" s="60"/>
      <c r="M4246" s="33"/>
      <c r="Q4246" s="3"/>
      <c r="R4246" s="3"/>
      <c r="S4246" s="3"/>
      <c r="T4246" s="3"/>
      <c r="U4246" s="3"/>
      <c r="V4246" s="3"/>
      <c r="W4246" s="3"/>
      <c r="X4246" s="3"/>
      <c r="Y4246" s="3"/>
      <c r="Z4246" s="4"/>
      <c r="AA4246"/>
      <c r="AB4246"/>
    </row>
    <row r="4247" spans="1:28" s="37" customFormat="1" x14ac:dyDescent="0.15">
      <c r="A4247" s="70"/>
      <c r="B4247" s="93"/>
      <c r="C4247" s="70"/>
      <c r="D4247" s="70"/>
      <c r="E4247" s="70"/>
      <c r="F4247" s="70"/>
      <c r="G4247" s="70"/>
      <c r="H4247" s="93"/>
      <c r="I4247" s="85"/>
      <c r="J4247" s="85"/>
      <c r="K4247" s="134"/>
      <c r="L4247" s="67"/>
      <c r="M4247" s="33"/>
      <c r="Q4247" s="3"/>
      <c r="R4247" s="3"/>
      <c r="S4247" s="3"/>
      <c r="T4247" s="3"/>
      <c r="U4247" s="3"/>
      <c r="V4247" s="3"/>
      <c r="W4247" s="3"/>
      <c r="X4247" s="3"/>
      <c r="Y4247" s="3"/>
      <c r="Z4247" s="4"/>
      <c r="AA4247"/>
      <c r="AB4247"/>
    </row>
    <row r="4248" spans="1:28" s="37" customFormat="1" ht="16" x14ac:dyDescent="0.2">
      <c r="A4248" s="70"/>
      <c r="B4248" s="93"/>
      <c r="C4248" s="70"/>
      <c r="D4248" s="70"/>
      <c r="E4248" s="70"/>
      <c r="F4248" s="70"/>
      <c r="G4248" s="70"/>
      <c r="H4248" s="93"/>
      <c r="I4248" s="85"/>
      <c r="J4248" s="85"/>
      <c r="K4248" s="131"/>
      <c r="L4248" s="60"/>
      <c r="M4248" s="33"/>
      <c r="N4248" s="48"/>
      <c r="Q4248" s="3"/>
      <c r="R4248" s="3"/>
      <c r="S4248" s="3"/>
      <c r="T4248" s="3"/>
      <c r="U4248" s="3"/>
      <c r="V4248" s="3"/>
      <c r="W4248" s="3"/>
      <c r="X4248" s="3"/>
      <c r="Y4248" s="3"/>
      <c r="Z4248" s="4"/>
      <c r="AA4248"/>
      <c r="AB4248"/>
    </row>
    <row r="4249" spans="1:28" s="37" customFormat="1" x14ac:dyDescent="0.15">
      <c r="A4249" s="70"/>
      <c r="B4249" s="93"/>
      <c r="C4249" s="70"/>
      <c r="D4249" s="70"/>
      <c r="E4249" s="70"/>
      <c r="F4249" s="70"/>
      <c r="G4249" s="70"/>
      <c r="H4249" s="93"/>
      <c r="I4249" s="85"/>
      <c r="J4249" s="85"/>
      <c r="K4249" s="131"/>
      <c r="L4249" s="60"/>
      <c r="M4249" s="33"/>
      <c r="Q4249" s="3"/>
      <c r="R4249" s="3"/>
      <c r="S4249" s="3"/>
      <c r="T4249" s="3"/>
      <c r="U4249" s="3"/>
      <c r="V4249" s="3"/>
      <c r="W4249" s="3"/>
      <c r="X4249" s="3"/>
      <c r="Y4249" s="3"/>
      <c r="Z4249" s="4"/>
      <c r="AA4249"/>
      <c r="AB4249"/>
    </row>
    <row r="4250" spans="1:28" s="37" customFormat="1" x14ac:dyDescent="0.15">
      <c r="A4250" s="70"/>
      <c r="B4250" s="82"/>
      <c r="C4250" s="70"/>
      <c r="D4250" s="70"/>
      <c r="E4250" s="70"/>
      <c r="F4250" s="70"/>
      <c r="G4250" s="70"/>
      <c r="H4250" s="93"/>
      <c r="I4250" s="85"/>
      <c r="J4250" s="85"/>
      <c r="K4250" s="131"/>
      <c r="L4250" s="60"/>
      <c r="M4250" s="49"/>
      <c r="Q4250" s="3"/>
      <c r="R4250" s="3"/>
      <c r="S4250" s="3"/>
      <c r="T4250" s="3"/>
      <c r="U4250" s="3"/>
      <c r="V4250" s="3"/>
      <c r="W4250" s="3"/>
      <c r="X4250" s="3"/>
      <c r="Y4250" s="3"/>
      <c r="Z4250" s="4"/>
      <c r="AA4250"/>
      <c r="AB4250"/>
    </row>
    <row r="4251" spans="1:28" s="37" customFormat="1" x14ac:dyDescent="0.15">
      <c r="A4251" s="70"/>
      <c r="B4251" s="82"/>
      <c r="C4251" s="70"/>
      <c r="D4251" s="70"/>
      <c r="E4251" s="70"/>
      <c r="F4251" s="70"/>
      <c r="G4251" s="70"/>
      <c r="H4251" s="93"/>
      <c r="I4251" s="85"/>
      <c r="J4251" s="85"/>
      <c r="K4251" s="131"/>
      <c r="L4251" s="60"/>
      <c r="M4251" s="33"/>
      <c r="Q4251" s="3"/>
      <c r="R4251" s="3"/>
      <c r="S4251" s="3"/>
      <c r="T4251" s="3"/>
      <c r="U4251" s="3"/>
      <c r="V4251" s="3"/>
      <c r="W4251" s="3"/>
      <c r="X4251" s="3"/>
      <c r="Y4251" s="3"/>
      <c r="Z4251" s="4"/>
      <c r="AA4251"/>
      <c r="AB4251"/>
    </row>
    <row r="4252" spans="1:28" s="37" customFormat="1" x14ac:dyDescent="0.15">
      <c r="A4252" s="70"/>
      <c r="B4252" s="82"/>
      <c r="C4252" s="70"/>
      <c r="D4252" s="70"/>
      <c r="E4252" s="70"/>
      <c r="F4252" s="70"/>
      <c r="G4252" s="70"/>
      <c r="H4252" s="93"/>
      <c r="I4252" s="85"/>
      <c r="J4252" s="85"/>
      <c r="K4252" s="131"/>
      <c r="L4252" s="60"/>
      <c r="M4252" s="33"/>
      <c r="Q4252" s="3"/>
      <c r="R4252" s="3"/>
      <c r="S4252" s="3"/>
      <c r="T4252" s="3"/>
      <c r="U4252" s="3"/>
      <c r="V4252" s="3"/>
      <c r="W4252" s="3"/>
      <c r="X4252" s="3"/>
      <c r="Y4252" s="3"/>
      <c r="Z4252" s="4"/>
      <c r="AA4252"/>
      <c r="AB4252"/>
    </row>
    <row r="4253" spans="1:28" s="37" customFormat="1" x14ac:dyDescent="0.15">
      <c r="A4253" s="70"/>
      <c r="B4253" s="93"/>
      <c r="C4253" s="70"/>
      <c r="D4253" s="70"/>
      <c r="E4253" s="70"/>
      <c r="F4253" s="70"/>
      <c r="G4253" s="70"/>
      <c r="H4253" s="93"/>
      <c r="I4253" s="85"/>
      <c r="J4253" s="85"/>
      <c r="K4253" s="131"/>
      <c r="L4253" s="60"/>
      <c r="M4253" s="33"/>
      <c r="Q4253" s="3"/>
      <c r="R4253" s="3"/>
      <c r="S4253" s="3"/>
      <c r="T4253" s="3"/>
      <c r="U4253" s="3"/>
      <c r="V4253" s="3"/>
      <c r="W4253" s="3"/>
      <c r="X4253" s="3"/>
      <c r="Y4253" s="3"/>
      <c r="Z4253" s="4"/>
      <c r="AA4253"/>
      <c r="AB4253"/>
    </row>
    <row r="4254" spans="1:28" s="37" customFormat="1" x14ac:dyDescent="0.15">
      <c r="A4254" s="70"/>
      <c r="B4254" s="93"/>
      <c r="C4254" s="70"/>
      <c r="D4254" s="70"/>
      <c r="E4254" s="70"/>
      <c r="F4254" s="70"/>
      <c r="G4254" s="70"/>
      <c r="H4254" s="93"/>
      <c r="I4254" s="85"/>
      <c r="J4254" s="85"/>
      <c r="K4254" s="131"/>
      <c r="L4254" s="60"/>
      <c r="M4254" s="33"/>
      <c r="Q4254" s="3"/>
      <c r="R4254" s="3"/>
      <c r="S4254" s="3"/>
      <c r="T4254" s="3"/>
      <c r="U4254" s="3"/>
      <c r="V4254" s="3"/>
      <c r="W4254" s="3"/>
      <c r="X4254" s="3"/>
      <c r="Y4254" s="3"/>
      <c r="Z4254" s="4"/>
      <c r="AA4254"/>
      <c r="AB4254"/>
    </row>
    <row r="4255" spans="1:28" s="37" customFormat="1" x14ac:dyDescent="0.15">
      <c r="A4255" s="70"/>
      <c r="B4255" s="82"/>
      <c r="C4255" s="70"/>
      <c r="D4255" s="70"/>
      <c r="E4255" s="70"/>
      <c r="F4255" s="70"/>
      <c r="G4255" s="70"/>
      <c r="H4255" s="93"/>
      <c r="I4255" s="85"/>
      <c r="J4255" s="85"/>
      <c r="K4255" s="131"/>
      <c r="L4255" s="60"/>
      <c r="M4255" s="33"/>
      <c r="Q4255" s="3"/>
      <c r="R4255" s="3"/>
      <c r="S4255" s="3"/>
      <c r="T4255" s="3"/>
      <c r="U4255" s="3"/>
      <c r="V4255" s="3"/>
      <c r="W4255" s="3"/>
      <c r="X4255" s="3"/>
      <c r="Y4255" s="3"/>
      <c r="Z4255" s="4"/>
      <c r="AA4255"/>
      <c r="AB4255"/>
    </row>
    <row r="4256" spans="1:28" s="37" customFormat="1" x14ac:dyDescent="0.15">
      <c r="A4256" s="70"/>
      <c r="B4256" s="82"/>
      <c r="C4256" s="70"/>
      <c r="D4256" s="70"/>
      <c r="E4256" s="70"/>
      <c r="F4256" s="70"/>
      <c r="G4256" s="70"/>
      <c r="H4256" s="93"/>
      <c r="I4256" s="85"/>
      <c r="J4256" s="85"/>
      <c r="K4256" s="131"/>
      <c r="L4256" s="60"/>
      <c r="M4256" s="49"/>
      <c r="Q4256" s="3"/>
      <c r="R4256" s="3"/>
      <c r="S4256" s="3"/>
      <c r="T4256" s="3"/>
      <c r="U4256" s="3"/>
      <c r="V4256" s="3"/>
      <c r="W4256" s="3"/>
      <c r="X4256" s="3"/>
      <c r="Y4256" s="3"/>
      <c r="Z4256" s="4"/>
      <c r="AA4256"/>
      <c r="AB4256"/>
    </row>
    <row r="4257" spans="1:28" s="37" customFormat="1" x14ac:dyDescent="0.15">
      <c r="A4257" s="70"/>
      <c r="B4257" s="82"/>
      <c r="C4257" s="70"/>
      <c r="D4257" s="70"/>
      <c r="E4257" s="70"/>
      <c r="F4257" s="70"/>
      <c r="G4257" s="70"/>
      <c r="H4257" s="93"/>
      <c r="I4257" s="85"/>
      <c r="J4257" s="85"/>
      <c r="K4257" s="131"/>
      <c r="L4257" s="60"/>
      <c r="M4257" s="49"/>
      <c r="Q4257" s="3"/>
      <c r="R4257" s="3"/>
      <c r="S4257" s="3"/>
      <c r="T4257" s="3"/>
      <c r="U4257" s="3"/>
      <c r="V4257" s="3"/>
      <c r="W4257" s="3"/>
      <c r="X4257" s="3"/>
      <c r="Y4257" s="3"/>
      <c r="Z4257" s="4"/>
      <c r="AA4257"/>
      <c r="AB4257"/>
    </row>
    <row r="4258" spans="1:28" s="37" customFormat="1" ht="16" x14ac:dyDescent="0.2">
      <c r="A4258" s="70"/>
      <c r="B4258" s="93"/>
      <c r="C4258" s="70"/>
      <c r="D4258" s="70"/>
      <c r="E4258" s="70"/>
      <c r="F4258" s="70"/>
      <c r="G4258" s="70"/>
      <c r="H4258" s="93"/>
      <c r="I4258" s="85"/>
      <c r="J4258" s="85"/>
      <c r="K4258" s="131"/>
      <c r="L4258" s="60"/>
      <c r="M4258" s="47"/>
      <c r="Q4258" s="3"/>
      <c r="R4258" s="3"/>
      <c r="S4258" s="3"/>
      <c r="T4258" s="3"/>
      <c r="U4258" s="3"/>
      <c r="V4258" s="3"/>
      <c r="W4258" s="3"/>
      <c r="X4258" s="3"/>
      <c r="Y4258" s="3"/>
      <c r="Z4258" s="4"/>
      <c r="AA4258"/>
      <c r="AB4258"/>
    </row>
    <row r="4259" spans="1:28" s="37" customFormat="1" x14ac:dyDescent="0.15">
      <c r="A4259" s="70"/>
      <c r="B4259" s="93"/>
      <c r="C4259" s="70"/>
      <c r="D4259" s="70"/>
      <c r="E4259" s="70"/>
      <c r="F4259" s="70"/>
      <c r="G4259" s="70"/>
      <c r="H4259" s="93"/>
      <c r="I4259" s="85"/>
      <c r="J4259" s="85"/>
      <c r="K4259" s="131"/>
      <c r="L4259" s="60"/>
      <c r="M4259" s="33"/>
      <c r="Q4259" s="3"/>
      <c r="R4259" s="3"/>
      <c r="S4259" s="3"/>
      <c r="T4259" s="3"/>
      <c r="U4259" s="3"/>
      <c r="V4259" s="3"/>
      <c r="W4259" s="3"/>
      <c r="X4259" s="3"/>
      <c r="Y4259" s="3"/>
      <c r="Z4259" s="4"/>
      <c r="AA4259"/>
      <c r="AB4259"/>
    </row>
    <row r="4260" spans="1:28" s="37" customFormat="1" x14ac:dyDescent="0.15">
      <c r="A4260" s="70"/>
      <c r="B4260" s="93"/>
      <c r="C4260" s="70"/>
      <c r="D4260" s="70"/>
      <c r="E4260" s="70"/>
      <c r="F4260" s="70"/>
      <c r="G4260" s="70"/>
      <c r="H4260" s="93"/>
      <c r="I4260" s="85"/>
      <c r="J4260" s="85"/>
      <c r="K4260" s="131"/>
      <c r="L4260" s="60"/>
      <c r="M4260" s="33"/>
      <c r="Q4260" s="3"/>
      <c r="R4260" s="3"/>
      <c r="S4260" s="3"/>
      <c r="T4260" s="3"/>
      <c r="U4260" s="3"/>
      <c r="V4260" s="3"/>
      <c r="W4260" s="3"/>
      <c r="X4260" s="3"/>
      <c r="Y4260" s="3"/>
      <c r="Z4260" s="4"/>
      <c r="AA4260"/>
      <c r="AB4260"/>
    </row>
    <row r="4261" spans="1:28" s="37" customFormat="1" x14ac:dyDescent="0.15">
      <c r="A4261" s="70"/>
      <c r="B4261" s="93"/>
      <c r="C4261" s="70"/>
      <c r="D4261" s="70"/>
      <c r="E4261" s="70"/>
      <c r="F4261" s="70"/>
      <c r="G4261" s="70"/>
      <c r="H4261" s="93"/>
      <c r="I4261" s="85"/>
      <c r="J4261" s="85"/>
      <c r="K4261" s="131"/>
      <c r="L4261" s="60"/>
      <c r="M4261" s="33"/>
      <c r="Q4261" s="3"/>
      <c r="R4261" s="3"/>
      <c r="S4261" s="3"/>
      <c r="T4261" s="3"/>
      <c r="U4261" s="3"/>
      <c r="V4261" s="3"/>
      <c r="W4261" s="3"/>
      <c r="X4261" s="3"/>
      <c r="Y4261" s="3"/>
      <c r="Z4261" s="4"/>
      <c r="AA4261"/>
      <c r="AB4261"/>
    </row>
    <row r="4262" spans="1:28" s="37" customFormat="1" ht="16" x14ac:dyDescent="0.2">
      <c r="A4262" s="70"/>
      <c r="B4262" s="93"/>
      <c r="C4262" s="70"/>
      <c r="D4262" s="70"/>
      <c r="E4262" s="70"/>
      <c r="F4262" s="70"/>
      <c r="G4262" s="70"/>
      <c r="H4262" s="93"/>
      <c r="I4262" s="85"/>
      <c r="J4262" s="85"/>
      <c r="K4262" s="131"/>
      <c r="L4262" s="60"/>
      <c r="M4262" s="47"/>
      <c r="Q4262" s="3"/>
      <c r="R4262" s="3"/>
      <c r="S4262" s="3"/>
      <c r="T4262" s="3"/>
      <c r="U4262" s="3"/>
      <c r="V4262" s="3"/>
      <c r="W4262" s="3"/>
      <c r="X4262" s="3"/>
      <c r="Y4262" s="3"/>
      <c r="Z4262" s="4"/>
      <c r="AA4262"/>
      <c r="AB4262"/>
    </row>
    <row r="4263" spans="1:28" s="37" customFormat="1" x14ac:dyDescent="0.15">
      <c r="A4263" s="70"/>
      <c r="B4263" s="93"/>
      <c r="C4263" s="70"/>
      <c r="D4263" s="70"/>
      <c r="E4263" s="70"/>
      <c r="F4263" s="70"/>
      <c r="G4263" s="70"/>
      <c r="H4263" s="93"/>
      <c r="I4263" s="85"/>
      <c r="J4263" s="85"/>
      <c r="K4263" s="131"/>
      <c r="L4263" s="60"/>
      <c r="M4263" s="33"/>
      <c r="Q4263" s="3"/>
      <c r="R4263" s="3"/>
      <c r="S4263" s="3"/>
      <c r="T4263" s="3"/>
      <c r="U4263" s="3"/>
      <c r="V4263" s="3"/>
      <c r="W4263" s="3"/>
      <c r="X4263" s="3"/>
      <c r="Y4263" s="3"/>
      <c r="Z4263" s="4"/>
      <c r="AA4263"/>
      <c r="AB4263"/>
    </row>
    <row r="4264" spans="1:28" s="37" customFormat="1" x14ac:dyDescent="0.15">
      <c r="A4264" s="70"/>
      <c r="B4264" s="93"/>
      <c r="C4264" s="70"/>
      <c r="D4264" s="70"/>
      <c r="E4264" s="70"/>
      <c r="F4264" s="70"/>
      <c r="G4264" s="70"/>
      <c r="H4264" s="93"/>
      <c r="I4264" s="85"/>
      <c r="J4264" s="85"/>
      <c r="K4264" s="131"/>
      <c r="L4264" s="60"/>
      <c r="M4264" s="33"/>
      <c r="Q4264" s="3"/>
      <c r="R4264" s="3"/>
      <c r="S4264" s="3"/>
      <c r="T4264" s="3"/>
      <c r="U4264" s="3"/>
      <c r="V4264" s="3"/>
      <c r="W4264" s="3"/>
      <c r="X4264" s="3"/>
      <c r="Y4264" s="3"/>
      <c r="Z4264" s="4"/>
      <c r="AA4264"/>
      <c r="AB4264"/>
    </row>
    <row r="4265" spans="1:28" s="37" customFormat="1" x14ac:dyDescent="0.15">
      <c r="A4265" s="70"/>
      <c r="B4265" s="93"/>
      <c r="C4265" s="70"/>
      <c r="D4265" s="70"/>
      <c r="E4265" s="70"/>
      <c r="F4265" s="70"/>
      <c r="G4265" s="70"/>
      <c r="H4265" s="93"/>
      <c r="I4265" s="85"/>
      <c r="J4265" s="85"/>
      <c r="K4265" s="131"/>
      <c r="L4265" s="60"/>
      <c r="M4265" s="33"/>
      <c r="Q4265" s="3"/>
      <c r="R4265" s="3"/>
      <c r="S4265" s="3"/>
      <c r="T4265" s="3"/>
      <c r="U4265" s="3"/>
      <c r="V4265" s="3"/>
      <c r="W4265" s="3"/>
      <c r="X4265" s="3"/>
      <c r="Y4265" s="3"/>
      <c r="Z4265" s="4"/>
      <c r="AA4265"/>
      <c r="AB4265"/>
    </row>
    <row r="4266" spans="1:28" s="37" customFormat="1" x14ac:dyDescent="0.15">
      <c r="A4266" s="70"/>
      <c r="B4266" s="82"/>
      <c r="C4266" s="70"/>
      <c r="D4266" s="70"/>
      <c r="E4266" s="73"/>
      <c r="F4266" s="70"/>
      <c r="G4266" s="70"/>
      <c r="H4266" s="93"/>
      <c r="I4266" s="85"/>
      <c r="J4266" s="85"/>
      <c r="K4266" s="131"/>
      <c r="L4266" s="60"/>
      <c r="M4266" s="33"/>
      <c r="Q4266" s="3"/>
      <c r="R4266" s="3"/>
      <c r="S4266" s="3"/>
      <c r="T4266" s="3"/>
      <c r="U4266" s="3"/>
      <c r="V4266" s="3"/>
      <c r="W4266" s="3"/>
      <c r="X4266" s="3"/>
      <c r="Y4266" s="3"/>
      <c r="Z4266" s="4"/>
      <c r="AA4266"/>
      <c r="AB4266"/>
    </row>
    <row r="4267" spans="1:28" s="37" customFormat="1" ht="16" x14ac:dyDescent="0.2">
      <c r="A4267" s="70"/>
      <c r="B4267" s="82"/>
      <c r="C4267" s="70"/>
      <c r="D4267" s="70"/>
      <c r="E4267" s="70"/>
      <c r="F4267" s="70"/>
      <c r="G4267" s="70"/>
      <c r="H4267" s="93"/>
      <c r="I4267" s="85"/>
      <c r="J4267" s="85"/>
      <c r="K4267" s="131"/>
      <c r="L4267" s="60"/>
      <c r="M4267" s="33"/>
      <c r="N4267" s="48"/>
      <c r="Q4267" s="3"/>
      <c r="R4267" s="3"/>
      <c r="S4267" s="3"/>
      <c r="T4267" s="3"/>
      <c r="U4267" s="3"/>
      <c r="V4267" s="3"/>
      <c r="W4267" s="3"/>
      <c r="X4267" s="3"/>
      <c r="Y4267" s="3"/>
      <c r="Z4267" s="4"/>
      <c r="AA4267"/>
      <c r="AB4267"/>
    </row>
    <row r="4268" spans="1:28" s="37" customFormat="1" x14ac:dyDescent="0.15">
      <c r="A4268" s="70"/>
      <c r="B4268" s="82"/>
      <c r="C4268" s="70"/>
      <c r="D4268" s="70"/>
      <c r="E4268" s="70"/>
      <c r="F4268" s="70"/>
      <c r="G4268" s="70"/>
      <c r="H4268" s="93"/>
      <c r="I4268" s="85"/>
      <c r="J4268" s="85"/>
      <c r="K4268" s="134"/>
      <c r="L4268" s="60"/>
      <c r="M4268" s="49"/>
      <c r="Q4268" s="3"/>
      <c r="R4268" s="3"/>
      <c r="S4268" s="3"/>
      <c r="T4268" s="3"/>
      <c r="U4268" s="3"/>
      <c r="V4268" s="3"/>
      <c r="W4268" s="3"/>
      <c r="X4268" s="3"/>
      <c r="Y4268" s="3"/>
      <c r="Z4268" s="4"/>
      <c r="AA4268"/>
      <c r="AB4268"/>
    </row>
    <row r="4269" spans="1:28" s="37" customFormat="1" x14ac:dyDescent="0.15">
      <c r="A4269" s="70"/>
      <c r="B4269" s="93"/>
      <c r="C4269" s="70"/>
      <c r="D4269" s="70"/>
      <c r="E4269" s="70"/>
      <c r="F4269" s="70"/>
      <c r="G4269" s="70"/>
      <c r="H4269" s="93"/>
      <c r="I4269" s="85"/>
      <c r="J4269" s="85"/>
      <c r="K4269" s="131"/>
      <c r="L4269" s="70"/>
      <c r="M4269" s="33"/>
      <c r="O4269" s="33"/>
      <c r="Q4269" s="3"/>
      <c r="R4269" s="3"/>
      <c r="S4269" s="3"/>
      <c r="T4269" s="3"/>
      <c r="U4269" s="3"/>
      <c r="V4269" s="3"/>
      <c r="W4269" s="3"/>
      <c r="X4269" s="3"/>
      <c r="Y4269" s="3"/>
      <c r="Z4269" s="4"/>
      <c r="AA4269"/>
      <c r="AB4269"/>
    </row>
    <row r="4270" spans="1:28" s="37" customFormat="1" x14ac:dyDescent="0.15">
      <c r="A4270" s="70"/>
      <c r="B4270" s="82"/>
      <c r="C4270" s="70"/>
      <c r="D4270" s="70"/>
      <c r="E4270" s="70"/>
      <c r="F4270" s="70"/>
      <c r="G4270" s="70"/>
      <c r="H4270" s="93"/>
      <c r="I4270" s="85"/>
      <c r="J4270" s="85"/>
      <c r="K4270" s="131"/>
      <c r="L4270" s="60"/>
      <c r="M4270" s="33"/>
      <c r="Q4270" s="3"/>
      <c r="R4270" s="3"/>
      <c r="S4270" s="3"/>
      <c r="T4270" s="3"/>
      <c r="U4270" s="3"/>
      <c r="V4270" s="3"/>
      <c r="W4270" s="3"/>
      <c r="X4270" s="3"/>
      <c r="Y4270" s="3"/>
      <c r="Z4270" s="4"/>
      <c r="AA4270"/>
      <c r="AB4270"/>
    </row>
    <row r="4271" spans="1:28" s="37" customFormat="1" x14ac:dyDescent="0.15">
      <c r="A4271" s="70"/>
      <c r="B4271" s="82"/>
      <c r="C4271" s="70"/>
      <c r="D4271" s="70"/>
      <c r="E4271" s="70"/>
      <c r="F4271" s="70"/>
      <c r="G4271" s="70"/>
      <c r="H4271" s="93"/>
      <c r="I4271" s="85"/>
      <c r="J4271" s="85"/>
      <c r="K4271" s="131"/>
      <c r="L4271" s="60"/>
      <c r="M4271" s="49"/>
      <c r="Q4271" s="3"/>
      <c r="R4271" s="3"/>
      <c r="S4271" s="3"/>
      <c r="T4271" s="3"/>
      <c r="U4271" s="3"/>
      <c r="V4271" s="3"/>
      <c r="W4271" s="3"/>
      <c r="X4271" s="3"/>
      <c r="Y4271" s="3"/>
      <c r="Z4271" s="4"/>
      <c r="AA4271"/>
      <c r="AB4271"/>
    </row>
    <row r="4272" spans="1:28" s="37" customFormat="1" ht="16" x14ac:dyDescent="0.2">
      <c r="A4272" s="70"/>
      <c r="B4272" s="93"/>
      <c r="C4272" s="70"/>
      <c r="D4272" s="70"/>
      <c r="E4272" s="70"/>
      <c r="F4272" s="70"/>
      <c r="G4272" s="70"/>
      <c r="H4272" s="93"/>
      <c r="I4272" s="85"/>
      <c r="J4272" s="85"/>
      <c r="K4272" s="131"/>
      <c r="L4272" s="60"/>
      <c r="M4272" s="47"/>
      <c r="Q4272" s="3"/>
      <c r="R4272" s="3"/>
      <c r="S4272" s="3"/>
      <c r="T4272" s="3"/>
      <c r="U4272" s="3"/>
      <c r="V4272" s="3"/>
      <c r="W4272" s="3"/>
      <c r="X4272" s="3"/>
      <c r="Y4272" s="3"/>
      <c r="Z4272" s="4"/>
      <c r="AA4272"/>
      <c r="AB4272"/>
    </row>
    <row r="4273" spans="1:28" s="37" customFormat="1" x14ac:dyDescent="0.15">
      <c r="A4273" s="70"/>
      <c r="B4273" s="93"/>
      <c r="C4273" s="70"/>
      <c r="D4273" s="70"/>
      <c r="E4273" s="70"/>
      <c r="F4273" s="70"/>
      <c r="G4273" s="70"/>
      <c r="H4273" s="93"/>
      <c r="I4273" s="85"/>
      <c r="J4273" s="85"/>
      <c r="K4273" s="131"/>
      <c r="L4273" s="60"/>
      <c r="M4273" s="33"/>
      <c r="Q4273" s="3"/>
      <c r="R4273" s="3"/>
      <c r="S4273" s="3"/>
      <c r="T4273" s="3"/>
      <c r="U4273" s="3"/>
      <c r="V4273" s="3"/>
      <c r="W4273" s="3"/>
      <c r="X4273" s="3"/>
      <c r="Y4273" s="3"/>
      <c r="Z4273" s="4"/>
      <c r="AA4273"/>
      <c r="AB4273"/>
    </row>
    <row r="4274" spans="1:28" s="37" customFormat="1" ht="16" x14ac:dyDescent="0.2">
      <c r="A4274" s="70"/>
      <c r="B4274" s="93"/>
      <c r="C4274" s="70"/>
      <c r="D4274" s="70"/>
      <c r="E4274" s="70"/>
      <c r="F4274" s="70"/>
      <c r="G4274" s="70"/>
      <c r="H4274" s="93"/>
      <c r="I4274" s="85"/>
      <c r="J4274" s="85"/>
      <c r="K4274" s="131"/>
      <c r="L4274" s="60"/>
      <c r="M4274" s="47"/>
      <c r="Q4274" s="3"/>
      <c r="R4274" s="3"/>
      <c r="S4274" s="3"/>
      <c r="T4274" s="3"/>
      <c r="U4274" s="3"/>
      <c r="V4274" s="3"/>
      <c r="W4274" s="3"/>
      <c r="X4274" s="3"/>
      <c r="Y4274" s="3"/>
      <c r="Z4274" s="4"/>
      <c r="AA4274"/>
      <c r="AB4274"/>
    </row>
    <row r="4275" spans="1:28" s="37" customFormat="1" x14ac:dyDescent="0.15">
      <c r="A4275" s="70"/>
      <c r="B4275" s="82"/>
      <c r="C4275" s="70"/>
      <c r="D4275" s="70"/>
      <c r="E4275" s="70"/>
      <c r="F4275" s="70"/>
      <c r="G4275" s="70"/>
      <c r="H4275" s="93"/>
      <c r="I4275" s="85"/>
      <c r="J4275" s="85"/>
      <c r="K4275" s="131"/>
      <c r="L4275" s="60"/>
      <c r="M4275" s="49"/>
      <c r="Q4275" s="3"/>
      <c r="R4275" s="3"/>
      <c r="S4275" s="3"/>
      <c r="T4275" s="3"/>
      <c r="U4275" s="3"/>
      <c r="V4275" s="3"/>
      <c r="W4275" s="3"/>
      <c r="X4275" s="3"/>
      <c r="Y4275" s="3"/>
      <c r="Z4275" s="4"/>
      <c r="AA4275"/>
      <c r="AB4275"/>
    </row>
    <row r="4276" spans="1:28" s="37" customFormat="1" x14ac:dyDescent="0.15">
      <c r="A4276" s="70"/>
      <c r="B4276" s="93"/>
      <c r="C4276" s="70"/>
      <c r="D4276" s="70"/>
      <c r="E4276" s="70"/>
      <c r="F4276" s="70"/>
      <c r="G4276" s="70"/>
      <c r="H4276" s="93"/>
      <c r="I4276" s="85"/>
      <c r="J4276" s="85"/>
      <c r="K4276" s="131"/>
      <c r="L4276" s="60"/>
      <c r="M4276" s="49"/>
      <c r="Q4276" s="3"/>
      <c r="R4276" s="3"/>
      <c r="S4276" s="3"/>
      <c r="T4276" s="3"/>
      <c r="U4276" s="3"/>
      <c r="V4276" s="3"/>
      <c r="W4276" s="3"/>
      <c r="X4276" s="3"/>
      <c r="Y4276" s="3"/>
      <c r="Z4276" s="4"/>
      <c r="AA4276"/>
      <c r="AB4276"/>
    </row>
    <row r="4277" spans="1:28" s="37" customFormat="1" x14ac:dyDescent="0.15">
      <c r="A4277" s="70"/>
      <c r="B4277" s="82"/>
      <c r="C4277" s="70"/>
      <c r="D4277" s="70"/>
      <c r="E4277" s="70"/>
      <c r="F4277" s="70"/>
      <c r="G4277" s="70"/>
      <c r="H4277" s="93"/>
      <c r="I4277" s="85"/>
      <c r="J4277" s="85"/>
      <c r="K4277" s="131"/>
      <c r="L4277" s="60"/>
      <c r="M4277" s="33"/>
      <c r="Q4277" s="3"/>
      <c r="R4277" s="3"/>
      <c r="S4277" s="3"/>
      <c r="T4277" s="3"/>
      <c r="U4277" s="3"/>
      <c r="V4277" s="3"/>
      <c r="W4277" s="3"/>
      <c r="X4277" s="3"/>
      <c r="Y4277" s="3"/>
      <c r="Z4277" s="4"/>
      <c r="AA4277"/>
      <c r="AB4277"/>
    </row>
    <row r="4278" spans="1:28" s="37" customFormat="1" x14ac:dyDescent="0.15">
      <c r="A4278" s="70"/>
      <c r="B4278" s="82"/>
      <c r="C4278" s="70"/>
      <c r="D4278" s="70"/>
      <c r="E4278" s="70"/>
      <c r="F4278" s="70"/>
      <c r="G4278" s="70"/>
      <c r="H4278" s="93"/>
      <c r="I4278" s="85"/>
      <c r="J4278" s="85"/>
      <c r="K4278" s="131"/>
      <c r="L4278" s="60"/>
      <c r="M4278" s="33"/>
      <c r="Q4278" s="3"/>
      <c r="R4278" s="3"/>
      <c r="S4278" s="3"/>
      <c r="T4278" s="3"/>
      <c r="U4278" s="3"/>
      <c r="V4278" s="3"/>
      <c r="W4278" s="3"/>
      <c r="X4278" s="3"/>
      <c r="Y4278" s="3"/>
      <c r="Z4278" s="4"/>
      <c r="AA4278"/>
      <c r="AB4278"/>
    </row>
    <row r="4279" spans="1:28" s="37" customFormat="1" x14ac:dyDescent="0.15">
      <c r="A4279" s="70"/>
      <c r="B4279" s="82"/>
      <c r="C4279" s="70"/>
      <c r="D4279" s="70"/>
      <c r="E4279" s="70"/>
      <c r="F4279" s="70"/>
      <c r="G4279" s="70"/>
      <c r="H4279" s="93"/>
      <c r="I4279" s="85"/>
      <c r="J4279" s="85"/>
      <c r="K4279" s="131"/>
      <c r="L4279" s="60"/>
      <c r="M4279" s="33"/>
      <c r="Q4279" s="3"/>
      <c r="R4279" s="3"/>
      <c r="S4279" s="3"/>
      <c r="T4279" s="3"/>
      <c r="U4279" s="3"/>
      <c r="V4279" s="3"/>
      <c r="W4279" s="3"/>
      <c r="X4279" s="3"/>
      <c r="Y4279" s="3"/>
      <c r="Z4279" s="4"/>
      <c r="AA4279"/>
      <c r="AB4279"/>
    </row>
    <row r="4280" spans="1:28" s="37" customFormat="1" x14ac:dyDescent="0.15">
      <c r="A4280" s="70"/>
      <c r="B4280" s="82"/>
      <c r="C4280" s="70"/>
      <c r="D4280" s="70"/>
      <c r="E4280" s="70"/>
      <c r="F4280" s="70"/>
      <c r="G4280" s="70"/>
      <c r="H4280" s="93"/>
      <c r="I4280" s="85"/>
      <c r="J4280" s="85"/>
      <c r="K4280" s="131"/>
      <c r="L4280" s="60"/>
      <c r="M4280" s="33"/>
      <c r="Q4280" s="3"/>
      <c r="R4280" s="3"/>
      <c r="S4280" s="3"/>
      <c r="T4280" s="3"/>
      <c r="U4280" s="3"/>
      <c r="V4280" s="3"/>
      <c r="W4280" s="3"/>
      <c r="X4280" s="3"/>
      <c r="Y4280" s="3"/>
      <c r="Z4280" s="4"/>
      <c r="AA4280"/>
      <c r="AB4280"/>
    </row>
    <row r="4281" spans="1:28" s="37" customFormat="1" x14ac:dyDescent="0.15">
      <c r="A4281" s="70"/>
      <c r="B4281" s="82"/>
      <c r="C4281" s="70"/>
      <c r="D4281" s="70"/>
      <c r="E4281" s="70"/>
      <c r="F4281" s="70"/>
      <c r="G4281" s="70"/>
      <c r="H4281" s="93"/>
      <c r="I4281" s="85"/>
      <c r="J4281" s="85"/>
      <c r="K4281" s="131"/>
      <c r="L4281" s="60"/>
      <c r="M4281" s="33"/>
      <c r="Q4281" s="3"/>
      <c r="R4281" s="3"/>
      <c r="S4281" s="3"/>
      <c r="T4281" s="3"/>
      <c r="U4281" s="3"/>
      <c r="V4281" s="3"/>
      <c r="W4281" s="3"/>
      <c r="X4281" s="3"/>
      <c r="Y4281" s="3"/>
      <c r="Z4281" s="4"/>
      <c r="AA4281"/>
      <c r="AB4281"/>
    </row>
    <row r="4282" spans="1:28" s="37" customFormat="1" x14ac:dyDescent="0.15">
      <c r="A4282" s="70"/>
      <c r="B4282" s="82"/>
      <c r="C4282" s="70"/>
      <c r="D4282" s="70"/>
      <c r="E4282" s="70"/>
      <c r="F4282" s="70"/>
      <c r="G4282" s="70"/>
      <c r="H4282" s="93"/>
      <c r="I4282" s="85"/>
      <c r="J4282" s="85"/>
      <c r="K4282" s="131"/>
      <c r="L4282" s="60"/>
      <c r="M4282" s="49"/>
      <c r="Q4282" s="3"/>
      <c r="R4282" s="3"/>
      <c r="S4282" s="3"/>
      <c r="T4282" s="3"/>
      <c r="U4282" s="3"/>
      <c r="V4282" s="3"/>
      <c r="W4282" s="3"/>
      <c r="X4282" s="3"/>
      <c r="Y4282" s="3"/>
      <c r="Z4282" s="4"/>
      <c r="AA4282"/>
      <c r="AB4282"/>
    </row>
    <row r="4283" spans="1:28" s="37" customFormat="1" x14ac:dyDescent="0.15">
      <c r="A4283" s="70"/>
      <c r="B4283" s="82"/>
      <c r="C4283" s="70"/>
      <c r="D4283" s="70"/>
      <c r="E4283" s="70"/>
      <c r="F4283" s="70"/>
      <c r="G4283" s="70"/>
      <c r="H4283" s="93"/>
      <c r="I4283" s="85"/>
      <c r="J4283" s="85"/>
      <c r="K4283" s="131"/>
      <c r="L4283" s="60"/>
      <c r="M4283" s="49"/>
      <c r="Q4283" s="3"/>
      <c r="R4283" s="3"/>
      <c r="S4283" s="3"/>
      <c r="T4283" s="3"/>
      <c r="U4283" s="3"/>
      <c r="V4283" s="3"/>
      <c r="W4283" s="3"/>
      <c r="X4283" s="3"/>
      <c r="Y4283" s="3"/>
      <c r="Z4283" s="4"/>
      <c r="AA4283"/>
      <c r="AB4283"/>
    </row>
    <row r="4284" spans="1:28" s="37" customFormat="1" x14ac:dyDescent="0.15">
      <c r="A4284" s="70"/>
      <c r="B4284" s="82"/>
      <c r="C4284" s="70"/>
      <c r="D4284" s="70"/>
      <c r="E4284" s="70"/>
      <c r="F4284" s="70"/>
      <c r="G4284" s="70"/>
      <c r="H4284" s="93"/>
      <c r="I4284" s="85"/>
      <c r="J4284" s="85"/>
      <c r="K4284" s="131"/>
      <c r="L4284" s="60"/>
      <c r="M4284" s="33"/>
      <c r="Q4284" s="3"/>
      <c r="R4284" s="3"/>
      <c r="S4284" s="3"/>
      <c r="T4284" s="3"/>
      <c r="U4284" s="3"/>
      <c r="V4284" s="3"/>
      <c r="W4284" s="3"/>
      <c r="X4284" s="3"/>
      <c r="Y4284" s="3"/>
      <c r="Z4284" s="4"/>
      <c r="AA4284"/>
      <c r="AB4284"/>
    </row>
    <row r="4285" spans="1:28" s="37" customFormat="1" x14ac:dyDescent="0.15">
      <c r="A4285" s="70"/>
      <c r="B4285" s="82"/>
      <c r="C4285" s="70"/>
      <c r="D4285" s="70"/>
      <c r="E4285" s="70"/>
      <c r="F4285" s="70"/>
      <c r="G4285" s="70"/>
      <c r="H4285" s="93"/>
      <c r="I4285" s="85"/>
      <c r="J4285" s="85"/>
      <c r="K4285" s="131"/>
      <c r="L4285" s="60"/>
      <c r="M4285" s="49"/>
      <c r="Q4285" s="3"/>
      <c r="R4285" s="3"/>
      <c r="S4285" s="3"/>
      <c r="T4285" s="3"/>
      <c r="U4285" s="3"/>
      <c r="V4285" s="3"/>
      <c r="W4285" s="3"/>
      <c r="X4285" s="3"/>
      <c r="Y4285" s="3"/>
      <c r="Z4285" s="4"/>
      <c r="AA4285"/>
      <c r="AB4285"/>
    </row>
    <row r="4286" spans="1:28" s="37" customFormat="1" x14ac:dyDescent="0.15">
      <c r="A4286" s="70"/>
      <c r="B4286" s="82"/>
      <c r="C4286" s="70"/>
      <c r="D4286" s="70"/>
      <c r="E4286" s="70"/>
      <c r="F4286" s="70"/>
      <c r="G4286" s="70"/>
      <c r="H4286" s="93"/>
      <c r="I4286" s="85"/>
      <c r="J4286" s="85"/>
      <c r="K4286" s="131"/>
      <c r="L4286" s="60"/>
      <c r="M4286" s="33"/>
      <c r="Q4286" s="3"/>
      <c r="R4286" s="3"/>
      <c r="S4286" s="3"/>
      <c r="T4286" s="3"/>
      <c r="U4286" s="3"/>
      <c r="V4286" s="3"/>
      <c r="W4286" s="3"/>
      <c r="X4286" s="3"/>
      <c r="Y4286" s="3"/>
      <c r="Z4286" s="4"/>
      <c r="AA4286"/>
      <c r="AB4286"/>
    </row>
    <row r="4287" spans="1:28" s="37" customFormat="1" x14ac:dyDescent="0.15">
      <c r="A4287" s="70"/>
      <c r="B4287" s="82"/>
      <c r="C4287" s="70"/>
      <c r="D4287" s="70"/>
      <c r="E4287" s="70"/>
      <c r="F4287" s="70"/>
      <c r="G4287" s="70"/>
      <c r="H4287" s="93"/>
      <c r="I4287" s="85"/>
      <c r="J4287" s="85"/>
      <c r="K4287" s="131"/>
      <c r="L4287" s="60"/>
      <c r="M4287" s="33"/>
      <c r="Q4287" s="3"/>
      <c r="R4287" s="3"/>
      <c r="S4287" s="3"/>
      <c r="T4287" s="3"/>
      <c r="U4287" s="3"/>
      <c r="V4287" s="3"/>
      <c r="W4287" s="3"/>
      <c r="X4287" s="3"/>
      <c r="Y4287" s="3"/>
      <c r="Z4287" s="4"/>
      <c r="AA4287"/>
      <c r="AB4287"/>
    </row>
    <row r="4288" spans="1:28" s="37" customFormat="1" x14ac:dyDescent="0.15">
      <c r="A4288" s="70"/>
      <c r="B4288" s="82"/>
      <c r="C4288" s="70"/>
      <c r="D4288" s="70"/>
      <c r="E4288" s="70"/>
      <c r="F4288" s="70"/>
      <c r="G4288" s="70"/>
      <c r="H4288" s="93"/>
      <c r="I4288" s="85"/>
      <c r="J4288" s="85"/>
      <c r="K4288" s="131"/>
      <c r="L4288" s="60"/>
      <c r="M4288" s="33"/>
      <c r="Q4288" s="3"/>
      <c r="R4288" s="3"/>
      <c r="S4288" s="3"/>
      <c r="T4288" s="3"/>
      <c r="U4288" s="3"/>
      <c r="V4288" s="3"/>
      <c r="W4288" s="3"/>
      <c r="X4288" s="3"/>
      <c r="Y4288" s="3"/>
      <c r="Z4288" s="4"/>
      <c r="AA4288"/>
      <c r="AB4288"/>
    </row>
    <row r="4289" spans="1:28" s="37" customFormat="1" x14ac:dyDescent="0.15">
      <c r="A4289" s="70"/>
      <c r="B4289" s="82"/>
      <c r="C4289" s="70"/>
      <c r="D4289" s="70"/>
      <c r="E4289" s="70"/>
      <c r="F4289" s="70"/>
      <c r="G4289" s="70"/>
      <c r="H4289" s="93"/>
      <c r="I4289" s="85"/>
      <c r="J4289" s="85"/>
      <c r="K4289" s="131"/>
      <c r="L4289" s="60"/>
      <c r="M4289" s="33"/>
      <c r="Q4289" s="3"/>
      <c r="R4289" s="3"/>
      <c r="S4289" s="3"/>
      <c r="T4289" s="3"/>
      <c r="U4289" s="3"/>
      <c r="V4289" s="3"/>
      <c r="W4289" s="3"/>
      <c r="X4289" s="3"/>
      <c r="Y4289" s="3"/>
      <c r="Z4289" s="4"/>
      <c r="AA4289"/>
      <c r="AB4289"/>
    </row>
    <row r="4290" spans="1:28" s="37" customFormat="1" x14ac:dyDescent="0.15">
      <c r="A4290" s="70"/>
      <c r="B4290" s="93"/>
      <c r="C4290" s="70"/>
      <c r="D4290" s="70"/>
      <c r="E4290" s="70"/>
      <c r="F4290" s="70"/>
      <c r="G4290" s="70"/>
      <c r="H4290" s="93"/>
      <c r="I4290" s="85"/>
      <c r="J4290" s="85"/>
      <c r="K4290" s="131"/>
      <c r="L4290" s="60"/>
      <c r="M4290" s="33"/>
      <c r="Q4290" s="3"/>
      <c r="R4290" s="3"/>
      <c r="S4290" s="3"/>
      <c r="T4290" s="3"/>
      <c r="U4290" s="3"/>
      <c r="V4290" s="3"/>
      <c r="W4290" s="3"/>
      <c r="X4290" s="3"/>
      <c r="Y4290" s="3"/>
      <c r="Z4290" s="4"/>
      <c r="AA4290"/>
      <c r="AB4290"/>
    </row>
    <row r="4291" spans="1:28" s="37" customFormat="1" x14ac:dyDescent="0.15">
      <c r="A4291" s="70"/>
      <c r="B4291" s="82"/>
      <c r="C4291" s="70"/>
      <c r="D4291" s="70"/>
      <c r="E4291" s="70"/>
      <c r="F4291" s="70"/>
      <c r="G4291" s="70"/>
      <c r="H4291" s="93"/>
      <c r="I4291" s="85"/>
      <c r="J4291" s="85"/>
      <c r="K4291" s="131"/>
      <c r="L4291" s="60"/>
      <c r="M4291" s="33"/>
      <c r="Q4291" s="3"/>
      <c r="R4291" s="3"/>
      <c r="S4291" s="3"/>
      <c r="T4291" s="3"/>
      <c r="U4291" s="3"/>
      <c r="V4291" s="3"/>
      <c r="W4291" s="3"/>
      <c r="X4291" s="3"/>
      <c r="Y4291" s="3"/>
      <c r="Z4291" s="4"/>
      <c r="AA4291"/>
      <c r="AB4291"/>
    </row>
    <row r="4292" spans="1:28" s="37" customFormat="1" x14ac:dyDescent="0.15">
      <c r="A4292" s="70"/>
      <c r="B4292" s="82"/>
      <c r="C4292" s="70"/>
      <c r="D4292" s="70"/>
      <c r="E4292" s="70"/>
      <c r="F4292" s="70"/>
      <c r="G4292" s="70"/>
      <c r="H4292" s="93"/>
      <c r="I4292" s="85"/>
      <c r="J4292" s="85"/>
      <c r="K4292" s="131"/>
      <c r="L4292" s="60"/>
      <c r="M4292" s="33"/>
      <c r="Q4292" s="3"/>
      <c r="R4292" s="3"/>
      <c r="S4292" s="3"/>
      <c r="T4292" s="3"/>
      <c r="U4292" s="3"/>
      <c r="V4292" s="3"/>
      <c r="W4292" s="3"/>
      <c r="X4292" s="3"/>
      <c r="Y4292" s="3"/>
      <c r="Z4292" s="4"/>
      <c r="AA4292"/>
      <c r="AB4292"/>
    </row>
    <row r="4293" spans="1:28" s="37" customFormat="1" x14ac:dyDescent="0.15">
      <c r="A4293" s="70"/>
      <c r="B4293" s="82"/>
      <c r="C4293" s="70"/>
      <c r="D4293" s="70"/>
      <c r="E4293" s="70"/>
      <c r="F4293" s="70"/>
      <c r="G4293" s="70"/>
      <c r="H4293" s="93"/>
      <c r="I4293" s="85"/>
      <c r="J4293" s="85"/>
      <c r="K4293" s="131"/>
      <c r="L4293" s="60"/>
      <c r="M4293" s="33"/>
      <c r="Q4293" s="3"/>
      <c r="R4293" s="3"/>
      <c r="S4293" s="3"/>
      <c r="T4293" s="3"/>
      <c r="U4293" s="3"/>
      <c r="V4293" s="3"/>
      <c r="W4293" s="3"/>
      <c r="X4293" s="3"/>
      <c r="Y4293" s="3"/>
      <c r="Z4293" s="4"/>
      <c r="AA4293"/>
      <c r="AB4293"/>
    </row>
    <row r="4294" spans="1:28" s="37" customFormat="1" x14ac:dyDescent="0.15">
      <c r="A4294" s="70"/>
      <c r="B4294" s="93"/>
      <c r="C4294" s="70"/>
      <c r="D4294" s="70"/>
      <c r="E4294" s="70"/>
      <c r="F4294" s="70"/>
      <c r="G4294" s="70"/>
      <c r="H4294" s="93"/>
      <c r="I4294" s="85"/>
      <c r="J4294" s="85"/>
      <c r="K4294" s="131"/>
      <c r="L4294" s="60"/>
      <c r="M4294" s="33"/>
      <c r="Q4294" s="3"/>
      <c r="R4294" s="3"/>
      <c r="S4294" s="3"/>
      <c r="T4294" s="3"/>
      <c r="U4294" s="3"/>
      <c r="V4294" s="3"/>
      <c r="W4294" s="3"/>
      <c r="X4294" s="3"/>
      <c r="Y4294" s="3"/>
      <c r="Z4294" s="4"/>
      <c r="AA4294"/>
      <c r="AB4294"/>
    </row>
    <row r="4295" spans="1:28" s="37" customFormat="1" x14ac:dyDescent="0.15">
      <c r="A4295" s="70"/>
      <c r="B4295" s="82"/>
      <c r="C4295" s="70"/>
      <c r="D4295" s="70"/>
      <c r="E4295" s="70"/>
      <c r="F4295" s="70"/>
      <c r="G4295" s="70"/>
      <c r="H4295" s="93"/>
      <c r="I4295" s="85"/>
      <c r="J4295" s="85"/>
      <c r="K4295" s="131"/>
      <c r="L4295" s="60"/>
      <c r="M4295" s="33"/>
      <c r="Q4295" s="3"/>
      <c r="R4295" s="3"/>
      <c r="S4295" s="3"/>
      <c r="T4295" s="3"/>
      <c r="U4295" s="3"/>
      <c r="V4295" s="3"/>
      <c r="W4295" s="3"/>
      <c r="X4295" s="3"/>
      <c r="Y4295" s="3"/>
      <c r="Z4295" s="4"/>
      <c r="AA4295"/>
      <c r="AB4295"/>
    </row>
    <row r="4296" spans="1:28" s="37" customFormat="1" x14ac:dyDescent="0.15">
      <c r="A4296" s="70"/>
      <c r="B4296" s="93"/>
      <c r="C4296" s="70"/>
      <c r="D4296" s="70"/>
      <c r="E4296" s="70"/>
      <c r="F4296" s="70"/>
      <c r="G4296" s="70"/>
      <c r="H4296" s="93"/>
      <c r="I4296" s="85"/>
      <c r="J4296" s="85"/>
      <c r="K4296" s="131"/>
      <c r="L4296" s="60"/>
      <c r="M4296" s="33"/>
      <c r="Q4296" s="3"/>
      <c r="R4296" s="3"/>
      <c r="S4296" s="3"/>
      <c r="T4296" s="3"/>
      <c r="U4296" s="3"/>
      <c r="V4296" s="3"/>
      <c r="W4296" s="3"/>
      <c r="X4296" s="3"/>
      <c r="Y4296" s="3"/>
      <c r="Z4296" s="4"/>
      <c r="AA4296"/>
      <c r="AB4296"/>
    </row>
    <row r="4297" spans="1:28" s="37" customFormat="1" ht="16" x14ac:dyDescent="0.2">
      <c r="A4297" s="70"/>
      <c r="B4297" s="93"/>
      <c r="C4297" s="70"/>
      <c r="D4297" s="70"/>
      <c r="E4297" s="70"/>
      <c r="F4297" s="70"/>
      <c r="G4297" s="70"/>
      <c r="H4297" s="93"/>
      <c r="I4297" s="85"/>
      <c r="J4297" s="85"/>
      <c r="K4297" s="131"/>
      <c r="L4297" s="60"/>
      <c r="M4297" s="47"/>
      <c r="Q4297" s="3"/>
      <c r="R4297" s="3"/>
      <c r="S4297" s="3"/>
      <c r="T4297" s="3"/>
      <c r="U4297" s="3"/>
      <c r="V4297" s="3"/>
      <c r="W4297" s="3"/>
      <c r="X4297" s="3"/>
      <c r="Y4297" s="3"/>
      <c r="Z4297" s="4"/>
      <c r="AA4297"/>
      <c r="AB4297"/>
    </row>
    <row r="4298" spans="1:28" s="37" customFormat="1" x14ac:dyDescent="0.15">
      <c r="A4298" s="70"/>
      <c r="B4298" s="93"/>
      <c r="C4298" s="70"/>
      <c r="D4298" s="70"/>
      <c r="E4298" s="70"/>
      <c r="F4298" s="70"/>
      <c r="G4298" s="70"/>
      <c r="H4298" s="93"/>
      <c r="I4298" s="85"/>
      <c r="J4298" s="85"/>
      <c r="K4298" s="131"/>
      <c r="L4298" s="60"/>
      <c r="M4298" s="33"/>
      <c r="Q4298" s="3"/>
      <c r="R4298" s="3"/>
      <c r="S4298" s="3"/>
      <c r="T4298" s="3"/>
      <c r="U4298" s="3"/>
      <c r="V4298" s="3"/>
      <c r="W4298" s="3"/>
      <c r="X4298" s="3"/>
      <c r="Y4298" s="3"/>
      <c r="Z4298" s="4"/>
      <c r="AA4298"/>
      <c r="AB4298"/>
    </row>
    <row r="4299" spans="1:28" s="37" customFormat="1" ht="16" x14ac:dyDescent="0.2">
      <c r="A4299" s="70"/>
      <c r="B4299" s="93"/>
      <c r="C4299" s="70"/>
      <c r="D4299" s="70"/>
      <c r="E4299" s="70"/>
      <c r="F4299" s="70"/>
      <c r="G4299" s="70"/>
      <c r="H4299" s="93"/>
      <c r="I4299" s="85"/>
      <c r="J4299" s="85"/>
      <c r="K4299" s="131"/>
      <c r="L4299" s="60"/>
      <c r="M4299" s="47"/>
      <c r="Q4299" s="3"/>
      <c r="R4299" s="3"/>
      <c r="S4299" s="3"/>
      <c r="T4299" s="3"/>
      <c r="U4299" s="3"/>
      <c r="V4299" s="3"/>
      <c r="W4299" s="3"/>
      <c r="X4299" s="3"/>
      <c r="Y4299" s="3"/>
      <c r="Z4299" s="4"/>
      <c r="AA4299"/>
      <c r="AB4299"/>
    </row>
    <row r="4300" spans="1:28" s="37" customFormat="1" x14ac:dyDescent="0.15">
      <c r="A4300" s="70"/>
      <c r="B4300" s="82"/>
      <c r="C4300" s="70"/>
      <c r="D4300" s="70"/>
      <c r="E4300" s="70"/>
      <c r="F4300" s="70"/>
      <c r="G4300" s="70"/>
      <c r="H4300" s="93"/>
      <c r="I4300" s="85"/>
      <c r="J4300" s="85"/>
      <c r="K4300" s="131"/>
      <c r="L4300" s="60"/>
      <c r="M4300" s="49"/>
      <c r="Q4300" s="3"/>
      <c r="R4300" s="3"/>
      <c r="S4300" s="3"/>
      <c r="T4300" s="3"/>
      <c r="U4300" s="3"/>
      <c r="V4300" s="3"/>
      <c r="W4300" s="3"/>
      <c r="X4300" s="3"/>
      <c r="Y4300" s="3"/>
      <c r="Z4300" s="4"/>
      <c r="AA4300"/>
      <c r="AB4300"/>
    </row>
    <row r="4301" spans="1:28" s="37" customFormat="1" x14ac:dyDescent="0.15">
      <c r="A4301" s="70"/>
      <c r="B4301" s="82"/>
      <c r="C4301" s="70"/>
      <c r="D4301" s="70"/>
      <c r="E4301" s="70"/>
      <c r="F4301" s="70"/>
      <c r="G4301" s="70"/>
      <c r="H4301" s="93"/>
      <c r="I4301" s="85"/>
      <c r="J4301" s="85"/>
      <c r="K4301" s="131"/>
      <c r="L4301" s="60"/>
      <c r="M4301" s="33"/>
      <c r="Q4301" s="3"/>
      <c r="R4301" s="3"/>
      <c r="S4301" s="3"/>
      <c r="T4301" s="3"/>
      <c r="U4301" s="3"/>
      <c r="V4301" s="3"/>
      <c r="W4301" s="3"/>
      <c r="X4301" s="3"/>
      <c r="Y4301" s="3"/>
      <c r="Z4301" s="4"/>
      <c r="AA4301"/>
      <c r="AB4301"/>
    </row>
    <row r="4302" spans="1:28" ht="16" x14ac:dyDescent="0.2">
      <c r="A4302" s="70"/>
      <c r="B4302" s="93"/>
      <c r="C4302" s="70"/>
      <c r="D4302" s="70"/>
      <c r="E4302" s="70"/>
      <c r="F4302" s="70"/>
      <c r="G4302" s="70"/>
      <c r="H4302" s="93"/>
      <c r="I4302" s="85"/>
      <c r="J4302" s="85"/>
      <c r="K4302" s="131"/>
      <c r="L4302" s="60"/>
      <c r="M4302" s="47"/>
    </row>
    <row r="4303" spans="1:28" x14ac:dyDescent="0.15">
      <c r="A4303" s="70"/>
      <c r="B4303" s="93"/>
      <c r="C4303" s="70"/>
      <c r="D4303" s="70"/>
      <c r="E4303" s="70"/>
      <c r="F4303" s="70"/>
      <c r="G4303" s="70"/>
      <c r="H4303" s="93"/>
      <c r="I4303" s="85"/>
      <c r="J4303" s="85"/>
      <c r="K4303" s="131"/>
      <c r="L4303" s="60"/>
      <c r="M4303" s="33"/>
    </row>
    <row r="4304" spans="1:28" x14ac:dyDescent="0.15">
      <c r="A4304" s="70"/>
      <c r="B4304" s="82"/>
      <c r="C4304" s="70"/>
      <c r="D4304" s="70"/>
      <c r="E4304" s="70"/>
      <c r="F4304" s="70"/>
      <c r="G4304" s="70"/>
      <c r="H4304" s="93"/>
      <c r="I4304" s="85"/>
      <c r="J4304" s="85"/>
      <c r="K4304" s="131"/>
      <c r="L4304" s="60"/>
    </row>
    <row r="4305" spans="1:28" x14ac:dyDescent="0.15">
      <c r="A4305" s="70"/>
      <c r="B4305" s="82"/>
      <c r="C4305" s="70"/>
      <c r="D4305" s="70"/>
      <c r="E4305" s="70"/>
      <c r="F4305" s="70"/>
      <c r="G4305" s="70"/>
      <c r="H4305" s="93"/>
      <c r="I4305" s="85"/>
      <c r="J4305" s="85"/>
      <c r="K4305" s="131"/>
      <c r="L4305" s="60"/>
      <c r="M4305" s="33"/>
    </row>
    <row r="4306" spans="1:28" x14ac:dyDescent="0.15">
      <c r="A4306" s="70"/>
      <c r="B4306" s="82"/>
      <c r="C4306" s="70"/>
      <c r="D4306" s="70"/>
      <c r="E4306" s="70"/>
      <c r="F4306" s="70"/>
      <c r="G4306" s="70"/>
      <c r="H4306" s="93"/>
      <c r="I4306" s="85"/>
      <c r="J4306" s="85"/>
      <c r="K4306" s="131"/>
      <c r="L4306" s="60"/>
    </row>
    <row r="4307" spans="1:28" x14ac:dyDescent="0.15">
      <c r="A4307" s="83"/>
      <c r="B4307" s="93"/>
      <c r="C4307" s="70"/>
      <c r="D4307" s="70"/>
      <c r="E4307" s="70"/>
      <c r="F4307" s="70"/>
      <c r="G4307" s="70"/>
      <c r="H4307" s="93"/>
      <c r="I4307" s="85"/>
      <c r="J4307" s="85"/>
      <c r="K4307" s="131"/>
      <c r="L4307" s="60"/>
      <c r="M4307" s="33"/>
      <c r="O4307" s="33"/>
    </row>
    <row r="4308" spans="1:28" x14ac:dyDescent="0.15">
      <c r="A4308" s="70"/>
      <c r="B4308" s="93"/>
      <c r="C4308" s="70"/>
      <c r="D4308" s="70"/>
      <c r="E4308" s="70"/>
      <c r="F4308" s="70"/>
      <c r="G4308" s="70"/>
      <c r="H4308" s="93"/>
      <c r="I4308" s="85"/>
      <c r="J4308" s="85"/>
      <c r="K4308" s="131"/>
      <c r="L4308" s="60"/>
      <c r="M4308" s="33"/>
    </row>
    <row r="4309" spans="1:28" x14ac:dyDescent="0.15">
      <c r="A4309" s="70"/>
      <c r="B4309" s="82"/>
      <c r="C4309" s="70"/>
      <c r="D4309" s="70"/>
      <c r="E4309" s="70"/>
      <c r="F4309" s="70"/>
      <c r="G4309" s="70"/>
      <c r="H4309" s="93"/>
      <c r="I4309" s="85"/>
      <c r="J4309" s="85"/>
      <c r="K4309" s="131"/>
      <c r="L4309" s="60"/>
    </row>
    <row r="4310" spans="1:28" s="2" customFormat="1" x14ac:dyDescent="0.15">
      <c r="A4310" s="70"/>
      <c r="B4310" s="93"/>
      <c r="C4310" s="70"/>
      <c r="D4310" s="70"/>
      <c r="E4310" s="70"/>
      <c r="F4310" s="70"/>
      <c r="G4310" s="70"/>
      <c r="H4310" s="93"/>
      <c r="I4310" s="85"/>
      <c r="J4310" s="85"/>
      <c r="K4310" s="131"/>
      <c r="L4310" s="60"/>
      <c r="M4310" s="33"/>
      <c r="N4310" s="37"/>
      <c r="O4310" s="37"/>
      <c r="P4310" s="37"/>
      <c r="Q4310" s="3"/>
      <c r="R4310" s="3"/>
      <c r="S4310" s="3"/>
      <c r="T4310" s="3"/>
      <c r="U4310" s="3"/>
      <c r="V4310" s="3"/>
      <c r="W4310" s="3"/>
      <c r="X4310" s="3"/>
      <c r="Y4310" s="3"/>
      <c r="Z4310" s="4"/>
      <c r="AA4310"/>
      <c r="AB4310"/>
    </row>
    <row r="4311" spans="1:28" s="2" customFormat="1" x14ac:dyDescent="0.15">
      <c r="A4311" s="70"/>
      <c r="B4311" s="93"/>
      <c r="C4311" s="70"/>
      <c r="D4311" s="70"/>
      <c r="E4311" s="70"/>
      <c r="F4311" s="70"/>
      <c r="G4311" s="70"/>
      <c r="H4311" s="93"/>
      <c r="I4311" s="85"/>
      <c r="J4311" s="85"/>
      <c r="K4311" s="131"/>
      <c r="L4311" s="60"/>
      <c r="M4311" s="33"/>
      <c r="N4311" s="37"/>
      <c r="O4311" s="37"/>
      <c r="P4311" s="37"/>
      <c r="Q4311" s="3"/>
      <c r="R4311" s="3"/>
      <c r="S4311" s="3"/>
      <c r="T4311" s="3"/>
      <c r="U4311" s="3"/>
      <c r="V4311" s="3"/>
      <c r="W4311" s="3"/>
      <c r="X4311" s="3"/>
      <c r="Y4311" s="3"/>
      <c r="Z4311" s="4"/>
      <c r="AA4311"/>
      <c r="AB4311"/>
    </row>
    <row r="4312" spans="1:28" s="2" customFormat="1" x14ac:dyDescent="0.15">
      <c r="A4312" s="70"/>
      <c r="B4312" s="82"/>
      <c r="C4312" s="70"/>
      <c r="D4312" s="70"/>
      <c r="E4312" s="70"/>
      <c r="F4312" s="70"/>
      <c r="G4312" s="70"/>
      <c r="H4312" s="93"/>
      <c r="I4312" s="85"/>
      <c r="J4312" s="85"/>
      <c r="K4312" s="131"/>
      <c r="L4312" s="60"/>
      <c r="M4312" s="33"/>
      <c r="N4312" s="37"/>
      <c r="O4312" s="37"/>
      <c r="P4312" s="37"/>
      <c r="Q4312" s="3"/>
      <c r="R4312" s="3"/>
      <c r="S4312" s="3"/>
      <c r="T4312" s="3"/>
      <c r="U4312" s="3"/>
      <c r="V4312" s="3"/>
      <c r="W4312" s="3"/>
      <c r="X4312" s="3"/>
      <c r="Y4312" s="3"/>
      <c r="Z4312" s="4"/>
      <c r="AA4312"/>
      <c r="AB4312"/>
    </row>
    <row r="4313" spans="1:28" s="2" customFormat="1" x14ac:dyDescent="0.15">
      <c r="A4313" s="70"/>
      <c r="B4313" s="93"/>
      <c r="C4313" s="70"/>
      <c r="D4313" s="70"/>
      <c r="E4313" s="70"/>
      <c r="F4313" s="70"/>
      <c r="G4313" s="70"/>
      <c r="H4313" s="93"/>
      <c r="I4313" s="85"/>
      <c r="J4313" s="85"/>
      <c r="K4313" s="131"/>
      <c r="L4313" s="60"/>
      <c r="M4313" s="33"/>
      <c r="N4313" s="37"/>
      <c r="O4313" s="37"/>
      <c r="P4313" s="37"/>
      <c r="Q4313" s="3"/>
      <c r="R4313" s="3"/>
      <c r="S4313" s="3"/>
      <c r="T4313" s="3"/>
      <c r="U4313" s="3"/>
      <c r="V4313" s="3"/>
      <c r="W4313" s="3"/>
      <c r="X4313" s="3"/>
      <c r="Y4313" s="3"/>
      <c r="Z4313" s="4"/>
      <c r="AA4313"/>
      <c r="AB4313"/>
    </row>
    <row r="4314" spans="1:28" s="2" customFormat="1" x14ac:dyDescent="0.15">
      <c r="A4314" s="70"/>
      <c r="B4314" s="93"/>
      <c r="C4314" s="70"/>
      <c r="D4314" s="70"/>
      <c r="E4314" s="70"/>
      <c r="F4314" s="70"/>
      <c r="G4314" s="70"/>
      <c r="H4314" s="93"/>
      <c r="I4314" s="85"/>
      <c r="J4314" s="85"/>
      <c r="K4314" s="131"/>
      <c r="L4314" s="60"/>
      <c r="M4314" s="33"/>
      <c r="N4314" s="37"/>
      <c r="O4314" s="37"/>
      <c r="P4314" s="37"/>
      <c r="Q4314" s="3"/>
      <c r="R4314" s="3"/>
      <c r="S4314" s="3"/>
      <c r="T4314" s="3"/>
      <c r="U4314" s="3"/>
      <c r="V4314" s="3"/>
      <c r="W4314" s="3"/>
      <c r="X4314" s="3"/>
      <c r="Y4314" s="3"/>
      <c r="Z4314" s="4"/>
      <c r="AA4314"/>
      <c r="AB4314"/>
    </row>
    <row r="4315" spans="1:28" s="2" customFormat="1" x14ac:dyDescent="0.15">
      <c r="A4315" s="70"/>
      <c r="B4315" s="82"/>
      <c r="C4315" s="70"/>
      <c r="D4315" s="70"/>
      <c r="E4315" s="70"/>
      <c r="F4315" s="70"/>
      <c r="G4315" s="70"/>
      <c r="H4315" s="93"/>
      <c r="I4315" s="85"/>
      <c r="J4315" s="85"/>
      <c r="K4315" s="131"/>
      <c r="L4315" s="60"/>
      <c r="M4315" s="33"/>
      <c r="N4315" s="37"/>
      <c r="O4315" s="37"/>
      <c r="P4315" s="37"/>
      <c r="Q4315" s="3"/>
      <c r="R4315" s="3"/>
      <c r="S4315" s="3"/>
      <c r="T4315" s="3"/>
      <c r="U4315" s="3"/>
      <c r="V4315" s="3"/>
      <c r="W4315" s="3"/>
      <c r="X4315" s="3"/>
      <c r="Y4315" s="3"/>
      <c r="Z4315" s="4"/>
      <c r="AA4315"/>
      <c r="AB4315"/>
    </row>
    <row r="4316" spans="1:28" s="2" customFormat="1" x14ac:dyDescent="0.15">
      <c r="A4316" s="70"/>
      <c r="B4316" s="93"/>
      <c r="C4316" s="70"/>
      <c r="D4316" s="70"/>
      <c r="E4316" s="70"/>
      <c r="F4316" s="70"/>
      <c r="G4316" s="70"/>
      <c r="H4316" s="93"/>
      <c r="I4316" s="85"/>
      <c r="J4316" s="85"/>
      <c r="K4316" s="131"/>
      <c r="L4316" s="60"/>
      <c r="M4316" s="33"/>
      <c r="N4316" s="37"/>
      <c r="O4316" s="37"/>
      <c r="P4316" s="37"/>
      <c r="Q4316" s="3"/>
      <c r="R4316" s="3"/>
      <c r="S4316" s="3"/>
      <c r="T4316" s="3"/>
      <c r="U4316" s="3"/>
      <c r="V4316" s="3"/>
      <c r="W4316" s="3"/>
      <c r="X4316" s="3"/>
      <c r="Y4316" s="3"/>
      <c r="Z4316" s="4"/>
      <c r="AA4316"/>
      <c r="AB4316"/>
    </row>
    <row r="4317" spans="1:28" s="2" customFormat="1" x14ac:dyDescent="0.15">
      <c r="A4317" s="70"/>
      <c r="B4317" s="93"/>
      <c r="C4317" s="70"/>
      <c r="D4317" s="70"/>
      <c r="E4317" s="70"/>
      <c r="F4317" s="70"/>
      <c r="G4317" s="70"/>
      <c r="H4317" s="93"/>
      <c r="I4317" s="85"/>
      <c r="J4317" s="85"/>
      <c r="K4317" s="131"/>
      <c r="L4317" s="60"/>
      <c r="M4317" s="33"/>
      <c r="N4317" s="37"/>
      <c r="O4317" s="37"/>
      <c r="P4317" s="37"/>
      <c r="Q4317" s="3"/>
      <c r="R4317" s="3"/>
      <c r="S4317" s="3"/>
      <c r="T4317" s="3"/>
      <c r="U4317" s="3"/>
      <c r="V4317" s="3"/>
      <c r="W4317" s="3"/>
      <c r="X4317" s="3"/>
      <c r="Y4317" s="3"/>
      <c r="Z4317" s="4"/>
      <c r="AA4317"/>
      <c r="AB4317"/>
    </row>
    <row r="4318" spans="1:28" s="2" customFormat="1" x14ac:dyDescent="0.15">
      <c r="A4318" s="70"/>
      <c r="B4318" s="93"/>
      <c r="C4318" s="73"/>
      <c r="D4318" s="73"/>
      <c r="E4318" s="70"/>
      <c r="F4318" s="73"/>
      <c r="G4318" s="73"/>
      <c r="H4318" s="93"/>
      <c r="I4318" s="85"/>
      <c r="J4318" s="95"/>
      <c r="K4318" s="131"/>
      <c r="L4318" s="60"/>
      <c r="M4318" s="33"/>
      <c r="N4318" s="37"/>
      <c r="O4318" s="37"/>
      <c r="P4318" s="37"/>
      <c r="Q4318" s="3"/>
      <c r="R4318" s="3"/>
      <c r="S4318" s="3"/>
      <c r="T4318" s="3"/>
      <c r="U4318" s="3"/>
      <c r="V4318" s="3"/>
      <c r="W4318" s="3"/>
      <c r="X4318" s="3"/>
      <c r="Y4318" s="3"/>
      <c r="Z4318" s="4"/>
      <c r="AA4318"/>
      <c r="AB4318"/>
    </row>
    <row r="4319" spans="1:28" s="2" customFormat="1" ht="16" x14ac:dyDescent="0.2">
      <c r="A4319" s="70"/>
      <c r="B4319" s="93"/>
      <c r="C4319" s="70"/>
      <c r="D4319" s="70"/>
      <c r="E4319" s="70"/>
      <c r="F4319" s="70"/>
      <c r="G4319" s="70"/>
      <c r="H4319" s="93"/>
      <c r="I4319" s="85"/>
      <c r="J4319" s="85"/>
      <c r="K4319" s="134"/>
      <c r="L4319" s="60"/>
      <c r="M4319" s="33"/>
      <c r="N4319" s="48"/>
      <c r="O4319" s="37"/>
      <c r="P4319" s="37"/>
      <c r="Q4319" s="3"/>
      <c r="R4319" s="3"/>
      <c r="S4319" s="3"/>
      <c r="T4319" s="3"/>
      <c r="U4319" s="3"/>
      <c r="V4319" s="3"/>
      <c r="W4319" s="3"/>
      <c r="X4319" s="3"/>
      <c r="Y4319" s="3"/>
      <c r="Z4319" s="4"/>
      <c r="AA4319"/>
      <c r="AB4319"/>
    </row>
    <row r="4320" spans="1:28" s="2" customFormat="1" x14ac:dyDescent="0.15">
      <c r="A4320" s="70"/>
      <c r="B4320" s="93"/>
      <c r="C4320" s="70"/>
      <c r="D4320" s="70"/>
      <c r="E4320" s="70"/>
      <c r="F4320" s="70"/>
      <c r="G4320" s="70"/>
      <c r="H4320" s="93"/>
      <c r="I4320" s="85"/>
      <c r="J4320" s="85"/>
      <c r="K4320" s="134"/>
      <c r="L4320" s="60"/>
      <c r="M4320" s="33"/>
      <c r="N4320" s="37"/>
      <c r="O4320" s="37"/>
      <c r="P4320" s="37"/>
      <c r="Q4320" s="3"/>
      <c r="R4320" s="3"/>
      <c r="S4320" s="3"/>
      <c r="T4320" s="3"/>
      <c r="U4320" s="3"/>
      <c r="V4320" s="3"/>
      <c r="W4320" s="3"/>
      <c r="X4320" s="3"/>
      <c r="Y4320" s="3"/>
      <c r="Z4320" s="4"/>
      <c r="AA4320"/>
      <c r="AB4320"/>
    </row>
    <row r="4321" spans="1:28" s="2" customFormat="1" x14ac:dyDescent="0.15">
      <c r="A4321" s="70"/>
      <c r="B4321" s="93"/>
      <c r="C4321" s="70"/>
      <c r="D4321" s="70"/>
      <c r="E4321" s="70"/>
      <c r="F4321" s="70"/>
      <c r="G4321" s="70"/>
      <c r="H4321" s="93"/>
      <c r="I4321" s="85"/>
      <c r="J4321" s="85"/>
      <c r="K4321" s="131"/>
      <c r="L4321" s="60"/>
      <c r="M4321" s="33"/>
      <c r="N4321" s="37"/>
      <c r="O4321" s="37"/>
      <c r="P4321" s="37"/>
      <c r="Q4321" s="3"/>
      <c r="R4321" s="3"/>
      <c r="S4321" s="3"/>
      <c r="T4321" s="3"/>
      <c r="U4321" s="3"/>
      <c r="V4321" s="3"/>
      <c r="W4321" s="3"/>
      <c r="X4321" s="3"/>
      <c r="Y4321" s="3"/>
      <c r="Z4321" s="4"/>
      <c r="AA4321"/>
      <c r="AB4321"/>
    </row>
    <row r="4322" spans="1:28" s="2" customFormat="1" x14ac:dyDescent="0.15">
      <c r="A4322" s="70"/>
      <c r="B4322" s="93"/>
      <c r="C4322" s="70"/>
      <c r="D4322" s="70"/>
      <c r="E4322" s="70"/>
      <c r="F4322" s="70"/>
      <c r="G4322" s="70"/>
      <c r="H4322" s="93"/>
      <c r="I4322" s="85"/>
      <c r="J4322" s="85"/>
      <c r="K4322" s="131"/>
      <c r="L4322" s="60"/>
      <c r="M4322" s="33"/>
      <c r="N4322" s="37"/>
      <c r="O4322" s="37"/>
      <c r="P4322" s="37"/>
      <c r="Q4322" s="3"/>
      <c r="R4322" s="3"/>
      <c r="S4322" s="3"/>
      <c r="T4322" s="3"/>
      <c r="U4322" s="3"/>
      <c r="V4322" s="3"/>
      <c r="W4322" s="3"/>
      <c r="X4322" s="3"/>
      <c r="Y4322" s="3"/>
      <c r="Z4322" s="4"/>
      <c r="AA4322"/>
      <c r="AB4322"/>
    </row>
    <row r="4323" spans="1:28" s="2" customFormat="1" x14ac:dyDescent="0.15">
      <c r="A4323" s="70"/>
      <c r="B4323" s="82"/>
      <c r="C4323" s="70"/>
      <c r="D4323" s="70"/>
      <c r="E4323" s="70"/>
      <c r="F4323" s="70"/>
      <c r="G4323" s="70"/>
      <c r="H4323" s="93"/>
      <c r="I4323" s="85"/>
      <c r="J4323" s="85"/>
      <c r="K4323" s="131"/>
      <c r="L4323" s="60"/>
      <c r="M4323" s="49"/>
      <c r="N4323" s="37"/>
      <c r="O4323" s="37"/>
      <c r="P4323" s="37"/>
      <c r="Q4323" s="3"/>
      <c r="R4323" s="3"/>
      <c r="S4323" s="3"/>
      <c r="T4323" s="3"/>
      <c r="U4323" s="3"/>
      <c r="V4323" s="3"/>
      <c r="W4323" s="3"/>
      <c r="X4323" s="3"/>
      <c r="Y4323" s="3"/>
      <c r="Z4323" s="4"/>
      <c r="AA4323"/>
      <c r="AB4323"/>
    </row>
    <row r="4324" spans="1:28" s="2" customFormat="1" x14ac:dyDescent="0.15">
      <c r="A4324" s="70"/>
      <c r="B4324" s="93"/>
      <c r="C4324" s="70"/>
      <c r="D4324" s="70"/>
      <c r="E4324" s="70"/>
      <c r="F4324" s="70"/>
      <c r="G4324" s="70"/>
      <c r="H4324" s="93"/>
      <c r="I4324" s="85"/>
      <c r="J4324" s="85"/>
      <c r="K4324" s="131"/>
      <c r="L4324" s="60"/>
      <c r="M4324" s="33"/>
      <c r="N4324" s="37"/>
      <c r="O4324" s="37"/>
      <c r="P4324" s="37"/>
      <c r="Q4324" s="3"/>
      <c r="R4324" s="3"/>
      <c r="S4324" s="3"/>
      <c r="T4324" s="3"/>
      <c r="U4324" s="3"/>
      <c r="V4324" s="3"/>
      <c r="W4324" s="3"/>
      <c r="X4324" s="3"/>
      <c r="Y4324" s="3"/>
      <c r="Z4324" s="4"/>
      <c r="AA4324"/>
      <c r="AB4324"/>
    </row>
    <row r="4325" spans="1:28" s="2" customFormat="1" ht="16" x14ac:dyDescent="0.2">
      <c r="A4325" s="70"/>
      <c r="B4325" s="93"/>
      <c r="C4325" s="70"/>
      <c r="D4325" s="70"/>
      <c r="E4325" s="70"/>
      <c r="F4325" s="70"/>
      <c r="G4325" s="70"/>
      <c r="H4325" s="93"/>
      <c r="I4325" s="85"/>
      <c r="J4325" s="85"/>
      <c r="K4325" s="134"/>
      <c r="L4325" s="60"/>
      <c r="M4325" s="47"/>
      <c r="N4325" s="37"/>
      <c r="O4325" s="37"/>
      <c r="P4325" s="37"/>
      <c r="Q4325" s="3"/>
      <c r="R4325" s="3"/>
      <c r="S4325" s="3"/>
      <c r="T4325" s="3"/>
      <c r="U4325" s="3"/>
      <c r="V4325" s="3"/>
      <c r="W4325" s="3"/>
      <c r="X4325" s="3"/>
      <c r="Y4325" s="3"/>
      <c r="Z4325" s="4"/>
      <c r="AA4325"/>
      <c r="AB4325"/>
    </row>
    <row r="4326" spans="1:28" s="2" customFormat="1" ht="16" x14ac:dyDescent="0.2">
      <c r="A4326" s="70"/>
      <c r="B4326" s="93"/>
      <c r="C4326" s="70"/>
      <c r="D4326" s="70"/>
      <c r="E4326" s="70"/>
      <c r="F4326" s="70"/>
      <c r="G4326" s="70"/>
      <c r="H4326" s="93"/>
      <c r="I4326" s="85"/>
      <c r="J4326" s="85"/>
      <c r="K4326" s="131"/>
      <c r="L4326" s="60"/>
      <c r="M4326" s="47"/>
      <c r="N4326" s="37"/>
      <c r="O4326" s="37"/>
      <c r="P4326" s="37"/>
      <c r="Q4326" s="3"/>
      <c r="R4326" s="3"/>
      <c r="S4326" s="3"/>
      <c r="T4326" s="3"/>
      <c r="U4326" s="3"/>
      <c r="V4326" s="3"/>
      <c r="W4326" s="3"/>
      <c r="X4326" s="3"/>
      <c r="Y4326" s="3"/>
      <c r="Z4326" s="4"/>
      <c r="AA4326"/>
      <c r="AB4326"/>
    </row>
    <row r="4327" spans="1:28" s="2" customFormat="1" x14ac:dyDescent="0.15">
      <c r="A4327" s="70"/>
      <c r="B4327" s="93"/>
      <c r="C4327" s="70"/>
      <c r="D4327" s="70"/>
      <c r="E4327" s="70"/>
      <c r="F4327" s="70"/>
      <c r="G4327" s="70"/>
      <c r="H4327" s="93"/>
      <c r="I4327" s="85"/>
      <c r="J4327" s="85"/>
      <c r="K4327" s="131"/>
      <c r="L4327" s="60"/>
      <c r="M4327" s="33"/>
      <c r="N4327" s="37"/>
      <c r="O4327" s="37"/>
      <c r="P4327" s="37"/>
      <c r="Q4327" s="3"/>
      <c r="R4327" s="3"/>
      <c r="S4327" s="3"/>
      <c r="T4327" s="3"/>
      <c r="U4327" s="3"/>
      <c r="V4327" s="3"/>
      <c r="W4327" s="3"/>
      <c r="X4327" s="3"/>
      <c r="Y4327" s="3"/>
      <c r="Z4327" s="4"/>
      <c r="AA4327"/>
      <c r="AB4327"/>
    </row>
    <row r="4328" spans="1:28" s="2" customFormat="1" x14ac:dyDescent="0.15">
      <c r="A4328" s="70"/>
      <c r="B4328" s="93"/>
      <c r="C4328" s="70"/>
      <c r="D4328" s="70"/>
      <c r="E4328" s="70"/>
      <c r="F4328" s="70"/>
      <c r="G4328" s="70"/>
      <c r="H4328" s="93"/>
      <c r="I4328" s="85"/>
      <c r="J4328" s="85"/>
      <c r="K4328" s="131"/>
      <c r="L4328" s="60"/>
      <c r="M4328" s="33"/>
      <c r="N4328" s="37"/>
      <c r="O4328" s="37"/>
      <c r="P4328" s="37"/>
      <c r="Q4328" s="3"/>
      <c r="R4328" s="3"/>
      <c r="S4328" s="3"/>
      <c r="T4328" s="3"/>
      <c r="U4328" s="3"/>
      <c r="V4328" s="3"/>
      <c r="W4328" s="3"/>
      <c r="X4328" s="3"/>
      <c r="Y4328" s="3"/>
      <c r="Z4328" s="4"/>
      <c r="AA4328"/>
      <c r="AB4328"/>
    </row>
    <row r="4329" spans="1:28" s="2" customFormat="1" x14ac:dyDescent="0.15">
      <c r="A4329" s="70"/>
      <c r="B4329" s="82"/>
      <c r="C4329" s="70"/>
      <c r="D4329" s="70"/>
      <c r="E4329" s="70"/>
      <c r="F4329" s="70"/>
      <c r="G4329" s="70"/>
      <c r="H4329" s="93"/>
      <c r="I4329" s="85"/>
      <c r="J4329" s="85"/>
      <c r="K4329" s="131"/>
      <c r="L4329" s="60"/>
      <c r="M4329" s="49"/>
      <c r="N4329" s="37"/>
      <c r="O4329" s="37"/>
      <c r="P4329" s="37"/>
      <c r="Q4329" s="3"/>
      <c r="R4329" s="3"/>
      <c r="S4329" s="3"/>
      <c r="T4329" s="3"/>
      <c r="U4329" s="3"/>
      <c r="V4329" s="3"/>
      <c r="W4329" s="3"/>
      <c r="X4329" s="3"/>
      <c r="Y4329" s="3"/>
      <c r="Z4329" s="4"/>
      <c r="AA4329"/>
      <c r="AB4329"/>
    </row>
    <row r="4330" spans="1:28" s="2" customFormat="1" ht="16" x14ac:dyDescent="0.2">
      <c r="A4330" s="70"/>
      <c r="B4330" s="93"/>
      <c r="C4330" s="70"/>
      <c r="D4330" s="70"/>
      <c r="E4330" s="70"/>
      <c r="F4330" s="70"/>
      <c r="G4330" s="70"/>
      <c r="H4330" s="93"/>
      <c r="I4330" s="85"/>
      <c r="J4330" s="85"/>
      <c r="K4330" s="131"/>
      <c r="L4330" s="60"/>
      <c r="M4330" s="47"/>
      <c r="N4330" s="37"/>
      <c r="O4330" s="37"/>
      <c r="P4330" s="37"/>
      <c r="Q4330" s="3"/>
      <c r="R4330" s="3"/>
      <c r="S4330" s="3"/>
      <c r="T4330" s="3"/>
      <c r="U4330" s="3"/>
      <c r="V4330" s="3"/>
      <c r="W4330" s="3"/>
      <c r="X4330" s="3"/>
      <c r="Y4330" s="3"/>
      <c r="Z4330" s="4"/>
      <c r="AA4330"/>
      <c r="AB4330"/>
    </row>
    <row r="4331" spans="1:28" s="2" customFormat="1" x14ac:dyDescent="0.15">
      <c r="A4331" s="70"/>
      <c r="B4331" s="82"/>
      <c r="C4331" s="70"/>
      <c r="D4331" s="70"/>
      <c r="E4331" s="70"/>
      <c r="F4331" s="70"/>
      <c r="G4331" s="70"/>
      <c r="H4331" s="93"/>
      <c r="I4331" s="85"/>
      <c r="J4331" s="85"/>
      <c r="K4331" s="131"/>
      <c r="L4331" s="60"/>
      <c r="M4331" s="33"/>
      <c r="N4331" s="32"/>
      <c r="O4331" s="37"/>
      <c r="P4331" s="37"/>
      <c r="Q4331" s="3"/>
      <c r="R4331" s="3"/>
      <c r="S4331" s="3"/>
      <c r="T4331" s="3"/>
      <c r="U4331" s="3"/>
      <c r="V4331" s="3"/>
      <c r="W4331" s="3"/>
      <c r="X4331" s="3"/>
      <c r="Y4331" s="3"/>
      <c r="Z4331" s="4"/>
      <c r="AA4331"/>
      <c r="AB4331"/>
    </row>
    <row r="4332" spans="1:28" s="2" customFormat="1" x14ac:dyDescent="0.15">
      <c r="A4332" s="70"/>
      <c r="B4332" s="82"/>
      <c r="C4332" s="70"/>
      <c r="D4332" s="70"/>
      <c r="E4332" s="70"/>
      <c r="F4332" s="70"/>
      <c r="G4332" s="70"/>
      <c r="H4332" s="93"/>
      <c r="I4332" s="85"/>
      <c r="J4332" s="85"/>
      <c r="K4332" s="131"/>
      <c r="L4332" s="60"/>
      <c r="M4332" s="33"/>
      <c r="N4332" s="37"/>
      <c r="O4332" s="37"/>
      <c r="P4332" s="37"/>
      <c r="Q4332" s="3"/>
      <c r="R4332" s="3"/>
      <c r="S4332" s="3"/>
      <c r="T4332" s="3"/>
      <c r="U4332" s="3"/>
      <c r="V4332" s="3"/>
      <c r="W4332" s="3"/>
      <c r="X4332" s="3"/>
      <c r="Y4332" s="3"/>
      <c r="Z4332" s="4"/>
      <c r="AA4332"/>
      <c r="AB4332"/>
    </row>
    <row r="4333" spans="1:28" s="2" customFormat="1" x14ac:dyDescent="0.15">
      <c r="A4333" s="70"/>
      <c r="B4333" s="82"/>
      <c r="C4333" s="73"/>
      <c r="D4333" s="73"/>
      <c r="E4333" s="70"/>
      <c r="F4333" s="73"/>
      <c r="G4333" s="73"/>
      <c r="H4333" s="93"/>
      <c r="I4333" s="85"/>
      <c r="J4333" s="95"/>
      <c r="K4333" s="131"/>
      <c r="L4333" s="60"/>
      <c r="M4333" s="49"/>
      <c r="N4333" s="37"/>
      <c r="O4333" s="37"/>
      <c r="P4333" s="37"/>
      <c r="Q4333" s="3"/>
      <c r="R4333" s="3"/>
      <c r="S4333" s="3"/>
      <c r="T4333" s="3"/>
      <c r="U4333" s="3"/>
      <c r="V4333" s="3"/>
      <c r="W4333" s="3"/>
      <c r="X4333" s="3"/>
      <c r="Y4333" s="3"/>
      <c r="Z4333" s="4"/>
      <c r="AA4333"/>
      <c r="AB4333"/>
    </row>
    <row r="4334" spans="1:28" s="2" customFormat="1" x14ac:dyDescent="0.15">
      <c r="A4334" s="70"/>
      <c r="B4334" s="82"/>
      <c r="C4334" s="70"/>
      <c r="D4334" s="70"/>
      <c r="E4334" s="70"/>
      <c r="F4334" s="70"/>
      <c r="G4334" s="70"/>
      <c r="H4334" s="93"/>
      <c r="I4334" s="85"/>
      <c r="J4334" s="85"/>
      <c r="K4334" s="131"/>
      <c r="L4334" s="60"/>
      <c r="M4334" s="49"/>
      <c r="N4334" s="37"/>
      <c r="O4334" s="37"/>
      <c r="P4334" s="37"/>
      <c r="Q4334" s="3"/>
      <c r="R4334" s="3"/>
      <c r="S4334" s="3"/>
      <c r="T4334" s="3"/>
      <c r="U4334" s="3"/>
      <c r="V4334" s="3"/>
      <c r="W4334" s="3"/>
      <c r="X4334" s="3"/>
      <c r="Y4334" s="3"/>
      <c r="Z4334" s="4"/>
      <c r="AA4334"/>
      <c r="AB4334"/>
    </row>
    <row r="4335" spans="1:28" s="2" customFormat="1" x14ac:dyDescent="0.15">
      <c r="A4335" s="70"/>
      <c r="B4335" s="82"/>
      <c r="C4335" s="70"/>
      <c r="D4335" s="70"/>
      <c r="E4335" s="70"/>
      <c r="F4335" s="70"/>
      <c r="G4335" s="70"/>
      <c r="H4335" s="93"/>
      <c r="I4335" s="85"/>
      <c r="J4335" s="85"/>
      <c r="K4335" s="131"/>
      <c r="L4335" s="60"/>
      <c r="M4335" s="49"/>
      <c r="N4335" s="37"/>
      <c r="O4335" s="37"/>
      <c r="P4335" s="37"/>
      <c r="Q4335" s="3"/>
      <c r="R4335" s="3"/>
      <c r="S4335" s="3"/>
      <c r="T4335" s="3"/>
      <c r="U4335" s="3"/>
      <c r="V4335" s="3"/>
      <c r="W4335" s="3"/>
      <c r="X4335" s="3"/>
      <c r="Y4335" s="3"/>
      <c r="Z4335" s="4"/>
      <c r="AA4335"/>
      <c r="AB4335"/>
    </row>
    <row r="4336" spans="1:28" s="2" customFormat="1" x14ac:dyDescent="0.15">
      <c r="A4336" s="70"/>
      <c r="B4336" s="82"/>
      <c r="C4336" s="70"/>
      <c r="D4336" s="70"/>
      <c r="E4336" s="70"/>
      <c r="F4336" s="70"/>
      <c r="G4336" s="70"/>
      <c r="H4336" s="93"/>
      <c r="I4336" s="85"/>
      <c r="J4336" s="85"/>
      <c r="K4336" s="131"/>
      <c r="L4336" s="60"/>
      <c r="M4336" s="49"/>
      <c r="N4336" s="37"/>
      <c r="O4336" s="37"/>
      <c r="P4336" s="37"/>
      <c r="Q4336" s="3"/>
      <c r="R4336" s="3"/>
      <c r="S4336" s="3"/>
      <c r="T4336" s="3"/>
      <c r="U4336" s="3"/>
      <c r="V4336" s="3"/>
      <c r="W4336" s="3"/>
      <c r="X4336" s="3"/>
      <c r="Y4336" s="3"/>
      <c r="Z4336" s="4"/>
      <c r="AA4336"/>
      <c r="AB4336"/>
    </row>
    <row r="4337" spans="1:28" s="2" customFormat="1" x14ac:dyDescent="0.15">
      <c r="A4337" s="70"/>
      <c r="B4337" s="82"/>
      <c r="C4337" s="70"/>
      <c r="D4337" s="70"/>
      <c r="E4337" s="70"/>
      <c r="F4337" s="70"/>
      <c r="G4337" s="70"/>
      <c r="H4337" s="93"/>
      <c r="I4337" s="85"/>
      <c r="J4337" s="85"/>
      <c r="K4337" s="131"/>
      <c r="L4337" s="60"/>
      <c r="M4337" s="49"/>
      <c r="N4337" s="37"/>
      <c r="O4337" s="37"/>
      <c r="P4337" s="37"/>
      <c r="Q4337" s="3"/>
      <c r="R4337" s="3"/>
      <c r="S4337" s="3"/>
      <c r="T4337" s="3"/>
      <c r="U4337" s="3"/>
      <c r="V4337" s="3"/>
      <c r="W4337" s="3"/>
      <c r="X4337" s="3"/>
      <c r="Y4337" s="3"/>
      <c r="Z4337" s="4"/>
      <c r="AA4337"/>
      <c r="AB4337"/>
    </row>
    <row r="4338" spans="1:28" s="2" customFormat="1" ht="16" x14ac:dyDescent="0.2">
      <c r="A4338" s="70"/>
      <c r="B4338" s="93"/>
      <c r="C4338" s="70"/>
      <c r="D4338" s="70"/>
      <c r="E4338" s="70"/>
      <c r="F4338" s="70"/>
      <c r="G4338" s="70"/>
      <c r="H4338" s="93"/>
      <c r="I4338" s="85"/>
      <c r="J4338" s="85"/>
      <c r="K4338" s="131"/>
      <c r="L4338" s="60"/>
      <c r="M4338" s="47"/>
      <c r="N4338" s="37"/>
      <c r="O4338" s="37"/>
      <c r="P4338" s="37"/>
      <c r="Q4338" s="3"/>
      <c r="R4338" s="3"/>
      <c r="S4338" s="3"/>
      <c r="T4338" s="3"/>
      <c r="U4338" s="3"/>
      <c r="V4338" s="3"/>
      <c r="W4338" s="3"/>
      <c r="X4338" s="3"/>
      <c r="Y4338" s="3"/>
      <c r="Z4338" s="4"/>
      <c r="AA4338"/>
      <c r="AB4338"/>
    </row>
    <row r="4339" spans="1:28" s="2" customFormat="1" x14ac:dyDescent="0.15">
      <c r="A4339" s="70"/>
      <c r="B4339" s="93"/>
      <c r="C4339" s="70"/>
      <c r="D4339" s="70"/>
      <c r="E4339" s="70"/>
      <c r="F4339" s="70"/>
      <c r="G4339" s="70"/>
      <c r="H4339" s="93"/>
      <c r="I4339" s="85"/>
      <c r="J4339" s="85"/>
      <c r="K4339" s="131"/>
      <c r="L4339" s="60"/>
      <c r="M4339" s="33"/>
      <c r="N4339" s="37"/>
      <c r="O4339" s="37"/>
      <c r="P4339" s="37"/>
      <c r="Q4339" s="3"/>
      <c r="R4339" s="3"/>
      <c r="S4339" s="3"/>
      <c r="T4339" s="3"/>
      <c r="U4339" s="3"/>
      <c r="V4339" s="3"/>
      <c r="W4339" s="3"/>
      <c r="X4339" s="3"/>
      <c r="Y4339" s="3"/>
      <c r="Z4339" s="4"/>
      <c r="AA4339"/>
      <c r="AB4339"/>
    </row>
    <row r="4340" spans="1:28" s="2" customFormat="1" x14ac:dyDescent="0.15">
      <c r="A4340" s="70"/>
      <c r="B4340" s="93"/>
      <c r="C4340" s="70"/>
      <c r="D4340" s="70"/>
      <c r="E4340" s="70"/>
      <c r="F4340" s="70"/>
      <c r="G4340" s="70"/>
      <c r="H4340" s="93"/>
      <c r="I4340" s="85"/>
      <c r="J4340" s="85"/>
      <c r="K4340" s="131"/>
      <c r="L4340" s="60"/>
      <c r="M4340" s="33"/>
      <c r="N4340" s="37"/>
      <c r="O4340" s="37"/>
      <c r="P4340" s="37"/>
      <c r="Q4340" s="3"/>
      <c r="R4340" s="3"/>
      <c r="S4340" s="3"/>
      <c r="T4340" s="3"/>
      <c r="U4340" s="3"/>
      <c r="V4340" s="3"/>
      <c r="W4340" s="3"/>
      <c r="X4340" s="3"/>
      <c r="Y4340" s="3"/>
      <c r="Z4340" s="4"/>
      <c r="AA4340"/>
      <c r="AB4340"/>
    </row>
    <row r="4341" spans="1:28" s="2" customFormat="1" x14ac:dyDescent="0.15">
      <c r="A4341" s="70"/>
      <c r="B4341" s="82"/>
      <c r="C4341" s="70"/>
      <c r="D4341" s="70"/>
      <c r="E4341" s="70"/>
      <c r="F4341" s="70"/>
      <c r="G4341" s="70"/>
      <c r="H4341" s="93"/>
      <c r="I4341" s="85"/>
      <c r="J4341" s="85"/>
      <c r="K4341" s="131"/>
      <c r="L4341" s="60"/>
      <c r="M4341" s="49"/>
      <c r="N4341" s="37"/>
      <c r="O4341" s="37"/>
      <c r="P4341" s="37"/>
      <c r="Q4341" s="3"/>
      <c r="R4341" s="3"/>
      <c r="S4341" s="3"/>
      <c r="T4341" s="3"/>
      <c r="U4341" s="3"/>
      <c r="V4341" s="3"/>
      <c r="W4341" s="3"/>
      <c r="X4341" s="3"/>
      <c r="Y4341" s="3"/>
      <c r="Z4341" s="4"/>
      <c r="AA4341"/>
      <c r="AB4341"/>
    </row>
    <row r="4342" spans="1:28" s="2" customFormat="1" x14ac:dyDescent="0.15">
      <c r="A4342" s="70"/>
      <c r="B4342" s="93"/>
      <c r="C4342" s="70"/>
      <c r="D4342" s="70"/>
      <c r="E4342" s="70"/>
      <c r="F4342" s="70"/>
      <c r="G4342" s="70"/>
      <c r="H4342" s="93"/>
      <c r="I4342" s="85"/>
      <c r="J4342" s="85"/>
      <c r="K4342" s="131"/>
      <c r="L4342" s="60"/>
      <c r="M4342" s="33"/>
      <c r="N4342" s="37"/>
      <c r="O4342" s="37"/>
      <c r="P4342" s="37"/>
      <c r="Q4342" s="3"/>
      <c r="R4342" s="3"/>
      <c r="S4342" s="3"/>
      <c r="T4342" s="3"/>
      <c r="U4342" s="3"/>
      <c r="V4342" s="3"/>
      <c r="W4342" s="3"/>
      <c r="X4342" s="3"/>
      <c r="Y4342" s="3"/>
      <c r="Z4342" s="4"/>
      <c r="AA4342"/>
      <c r="AB4342"/>
    </row>
    <row r="4343" spans="1:28" s="2" customFormat="1" x14ac:dyDescent="0.15">
      <c r="A4343" s="70"/>
      <c r="B4343" s="93"/>
      <c r="C4343" s="70"/>
      <c r="D4343" s="70"/>
      <c r="E4343" s="70"/>
      <c r="F4343" s="70"/>
      <c r="G4343" s="70"/>
      <c r="H4343" s="93"/>
      <c r="I4343" s="85"/>
      <c r="J4343" s="85"/>
      <c r="K4343" s="131"/>
      <c r="L4343" s="60"/>
      <c r="M4343" s="33"/>
      <c r="N4343" s="37"/>
      <c r="O4343" s="37"/>
      <c r="P4343" s="37"/>
      <c r="Q4343" s="3"/>
      <c r="R4343" s="3"/>
      <c r="S4343" s="3"/>
      <c r="T4343" s="3"/>
      <c r="U4343" s="3"/>
      <c r="V4343" s="3"/>
      <c r="W4343" s="3"/>
      <c r="X4343" s="3"/>
      <c r="Y4343" s="3"/>
      <c r="Z4343" s="4"/>
      <c r="AA4343"/>
      <c r="AB4343"/>
    </row>
    <row r="4344" spans="1:28" s="2" customFormat="1" ht="16" x14ac:dyDescent="0.2">
      <c r="A4344" s="70"/>
      <c r="B4344" s="93"/>
      <c r="C4344" s="73"/>
      <c r="D4344" s="73"/>
      <c r="E4344" s="70"/>
      <c r="F4344" s="73"/>
      <c r="G4344" s="73"/>
      <c r="H4344" s="93"/>
      <c r="I4344" s="85"/>
      <c r="J4344" s="95"/>
      <c r="K4344" s="131"/>
      <c r="L4344" s="60"/>
      <c r="M4344" s="47"/>
      <c r="N4344" s="37"/>
      <c r="O4344" s="37"/>
      <c r="P4344" s="37"/>
      <c r="Q4344" s="3"/>
      <c r="R4344" s="3"/>
      <c r="S4344" s="3"/>
      <c r="T4344" s="3"/>
      <c r="U4344" s="3"/>
      <c r="V4344" s="3"/>
      <c r="W4344" s="3"/>
      <c r="X4344" s="3"/>
      <c r="Y4344" s="3"/>
      <c r="Z4344" s="4"/>
      <c r="AA4344"/>
      <c r="AB4344"/>
    </row>
    <row r="4345" spans="1:28" s="2" customFormat="1" x14ac:dyDescent="0.15">
      <c r="A4345" s="70"/>
      <c r="B4345" s="93"/>
      <c r="C4345" s="70"/>
      <c r="D4345" s="70"/>
      <c r="E4345" s="70"/>
      <c r="F4345" s="70"/>
      <c r="G4345" s="70"/>
      <c r="H4345" s="93"/>
      <c r="I4345" s="85"/>
      <c r="J4345" s="85"/>
      <c r="K4345" s="131"/>
      <c r="L4345" s="60"/>
      <c r="M4345" s="33"/>
      <c r="N4345" s="37"/>
      <c r="O4345" s="37"/>
      <c r="P4345" s="37"/>
      <c r="Q4345" s="3"/>
      <c r="R4345" s="3"/>
      <c r="S4345" s="3"/>
      <c r="T4345" s="3"/>
      <c r="U4345" s="3"/>
      <c r="V4345" s="3"/>
      <c r="W4345" s="3"/>
      <c r="X4345" s="3"/>
      <c r="Y4345" s="3"/>
      <c r="Z4345" s="4"/>
      <c r="AA4345"/>
      <c r="AB4345"/>
    </row>
    <row r="4346" spans="1:28" s="2" customFormat="1" x14ac:dyDescent="0.15">
      <c r="A4346" s="70"/>
      <c r="B4346" s="93"/>
      <c r="C4346" s="70"/>
      <c r="D4346" s="70"/>
      <c r="E4346" s="70"/>
      <c r="F4346" s="70"/>
      <c r="G4346" s="70"/>
      <c r="H4346" s="93"/>
      <c r="I4346" s="85"/>
      <c r="J4346" s="85"/>
      <c r="K4346" s="131"/>
      <c r="L4346" s="60"/>
      <c r="M4346" s="33"/>
      <c r="N4346" s="37"/>
      <c r="O4346" s="37"/>
      <c r="P4346" s="37"/>
      <c r="Q4346" s="3"/>
      <c r="R4346" s="3"/>
      <c r="S4346" s="3"/>
      <c r="T4346" s="3"/>
      <c r="U4346" s="3"/>
      <c r="V4346" s="3"/>
      <c r="W4346" s="3"/>
      <c r="X4346" s="3"/>
      <c r="Y4346" s="3"/>
      <c r="Z4346" s="4"/>
      <c r="AA4346"/>
      <c r="AB4346"/>
    </row>
    <row r="4347" spans="1:28" s="2" customFormat="1" x14ac:dyDescent="0.15">
      <c r="A4347" s="70"/>
      <c r="B4347" s="118"/>
      <c r="C4347" s="70"/>
      <c r="D4347" s="70"/>
      <c r="E4347" s="70"/>
      <c r="F4347" s="70"/>
      <c r="G4347" s="70"/>
      <c r="H4347" s="93"/>
      <c r="I4347" s="85"/>
      <c r="J4347" s="85"/>
      <c r="K4347" s="131"/>
      <c r="L4347" s="60"/>
      <c r="M4347" s="49"/>
      <c r="N4347" s="37"/>
      <c r="O4347" s="37"/>
      <c r="P4347" s="37"/>
      <c r="Q4347" s="3"/>
      <c r="R4347" s="3"/>
      <c r="S4347" s="3"/>
      <c r="T4347" s="3"/>
      <c r="U4347" s="3"/>
      <c r="V4347" s="3"/>
      <c r="W4347" s="3"/>
      <c r="X4347" s="3"/>
      <c r="Y4347" s="3"/>
      <c r="Z4347" s="4"/>
      <c r="AA4347"/>
      <c r="AB4347"/>
    </row>
    <row r="4348" spans="1:28" s="2" customFormat="1" x14ac:dyDescent="0.15">
      <c r="A4348" s="70"/>
      <c r="B4348" s="117"/>
      <c r="C4348" s="70"/>
      <c r="D4348" s="70"/>
      <c r="E4348" s="70"/>
      <c r="F4348" s="70"/>
      <c r="G4348" s="70"/>
      <c r="H4348" s="93"/>
      <c r="I4348" s="85"/>
      <c r="J4348" s="85"/>
      <c r="K4348" s="131"/>
      <c r="L4348" s="60"/>
      <c r="M4348" s="33"/>
      <c r="N4348" s="37"/>
      <c r="O4348" s="37"/>
      <c r="P4348" s="37"/>
      <c r="Q4348" s="3"/>
      <c r="R4348" s="3"/>
      <c r="S4348" s="3"/>
      <c r="T4348" s="3"/>
      <c r="U4348" s="3"/>
      <c r="V4348" s="3"/>
      <c r="W4348" s="3"/>
      <c r="X4348" s="3"/>
      <c r="Y4348" s="3"/>
      <c r="Z4348" s="4"/>
      <c r="AA4348"/>
      <c r="AB4348"/>
    </row>
    <row r="4349" spans="1:28" s="2" customFormat="1" x14ac:dyDescent="0.15">
      <c r="A4349" s="70"/>
      <c r="B4349" s="118"/>
      <c r="C4349" s="70"/>
      <c r="D4349" s="70"/>
      <c r="E4349" s="70"/>
      <c r="F4349" s="70"/>
      <c r="G4349" s="70"/>
      <c r="H4349" s="93"/>
      <c r="I4349" s="85"/>
      <c r="J4349" s="85"/>
      <c r="K4349" s="131"/>
      <c r="L4349" s="60"/>
      <c r="M4349" s="49"/>
      <c r="N4349" s="33"/>
      <c r="O4349" s="37"/>
      <c r="P4349" s="37"/>
      <c r="Q4349" s="3"/>
      <c r="R4349" s="3"/>
      <c r="S4349" s="3"/>
      <c r="T4349" s="3"/>
      <c r="U4349" s="3"/>
      <c r="V4349" s="3"/>
      <c r="W4349" s="3"/>
      <c r="X4349" s="3"/>
      <c r="Y4349" s="3"/>
      <c r="Z4349" s="4"/>
      <c r="AA4349"/>
      <c r="AB4349"/>
    </row>
    <row r="4350" spans="1:28" s="2" customFormat="1" x14ac:dyDescent="0.15">
      <c r="A4350" s="70"/>
      <c r="B4350" s="117"/>
      <c r="C4350" s="70"/>
      <c r="D4350" s="70"/>
      <c r="E4350" s="70"/>
      <c r="F4350" s="70"/>
      <c r="G4350" s="70"/>
      <c r="H4350" s="93"/>
      <c r="I4350" s="85"/>
      <c r="J4350" s="85"/>
      <c r="K4350" s="131"/>
      <c r="L4350" s="60"/>
      <c r="M4350" s="33"/>
      <c r="N4350" s="37"/>
      <c r="O4350" s="37"/>
      <c r="P4350" s="37"/>
      <c r="Q4350" s="3"/>
      <c r="R4350" s="3"/>
      <c r="S4350" s="3"/>
      <c r="T4350" s="3"/>
      <c r="U4350" s="3"/>
      <c r="V4350" s="3"/>
      <c r="W4350" s="3"/>
      <c r="X4350" s="3"/>
      <c r="Y4350" s="3"/>
      <c r="Z4350" s="4"/>
      <c r="AA4350"/>
      <c r="AB4350"/>
    </row>
    <row r="4351" spans="1:28" s="2" customFormat="1" x14ac:dyDescent="0.15">
      <c r="A4351" s="70"/>
      <c r="B4351" s="117"/>
      <c r="C4351" s="70"/>
      <c r="D4351" s="70"/>
      <c r="E4351" s="70"/>
      <c r="F4351" s="70"/>
      <c r="G4351" s="70"/>
      <c r="H4351" s="93"/>
      <c r="I4351" s="85"/>
      <c r="J4351" s="85"/>
      <c r="K4351" s="131"/>
      <c r="L4351" s="60"/>
      <c r="M4351" s="33"/>
      <c r="N4351" s="32"/>
      <c r="O4351" s="37"/>
      <c r="P4351" s="37"/>
      <c r="Q4351" s="3"/>
      <c r="R4351" s="3"/>
      <c r="S4351" s="3"/>
      <c r="T4351" s="3"/>
      <c r="U4351" s="3"/>
      <c r="V4351" s="3"/>
      <c r="W4351" s="3"/>
      <c r="X4351" s="3"/>
      <c r="Y4351" s="3"/>
      <c r="Z4351" s="4"/>
      <c r="AA4351"/>
      <c r="AB4351"/>
    </row>
    <row r="4352" spans="1:28" x14ac:dyDescent="0.15">
      <c r="A4352" s="70"/>
      <c r="B4352" s="118"/>
      <c r="C4352" s="70"/>
      <c r="D4352" s="70"/>
      <c r="E4352" s="70"/>
      <c r="F4352" s="70"/>
      <c r="G4352" s="70"/>
      <c r="H4352" s="93"/>
      <c r="I4352" s="85"/>
      <c r="J4352" s="85"/>
      <c r="K4352" s="131"/>
      <c r="L4352" s="60"/>
    </row>
    <row r="4353" spans="1:28" x14ac:dyDescent="0.15">
      <c r="A4353" s="70"/>
      <c r="B4353" s="117"/>
      <c r="C4353" s="70"/>
      <c r="D4353" s="70"/>
      <c r="E4353" s="70"/>
      <c r="F4353" s="70"/>
      <c r="G4353" s="70"/>
      <c r="H4353" s="93"/>
      <c r="I4353" s="85"/>
      <c r="J4353" s="85"/>
      <c r="K4353" s="131"/>
      <c r="L4353" s="60"/>
    </row>
    <row r="4354" spans="1:28" x14ac:dyDescent="0.15">
      <c r="A4354" s="62"/>
      <c r="B4354" s="119"/>
      <c r="C4354" s="62"/>
      <c r="D4354" s="62"/>
      <c r="E4354" s="62"/>
      <c r="F4354" s="62"/>
      <c r="G4354" s="62"/>
      <c r="H4354" s="97"/>
      <c r="I4354" s="103"/>
      <c r="J4354" s="98"/>
      <c r="K4354" s="135"/>
      <c r="L4354" s="67"/>
      <c r="M4354" s="35"/>
      <c r="N4354" s="35"/>
      <c r="O4354" s="35"/>
      <c r="P4354" s="35"/>
    </row>
    <row r="4355" spans="1:28" x14ac:dyDescent="0.15">
      <c r="A4355" s="70"/>
      <c r="B4355" s="118"/>
      <c r="C4355" s="73"/>
      <c r="D4355" s="73"/>
      <c r="E4355" s="70"/>
      <c r="F4355" s="73"/>
      <c r="G4355" s="73"/>
      <c r="H4355" s="93"/>
      <c r="I4355" s="85"/>
      <c r="J4355" s="95"/>
      <c r="K4355" s="131"/>
      <c r="L4355" s="60"/>
    </row>
    <row r="4356" spans="1:28" x14ac:dyDescent="0.15">
      <c r="A4356" s="70"/>
      <c r="B4356" s="118"/>
      <c r="C4356" s="70"/>
      <c r="D4356" s="70"/>
      <c r="E4356" s="70"/>
      <c r="F4356" s="70"/>
      <c r="G4356" s="70"/>
      <c r="H4356" s="93"/>
      <c r="I4356" s="85"/>
      <c r="J4356" s="85"/>
      <c r="K4356" s="131"/>
      <c r="L4356" s="60"/>
    </row>
    <row r="4357" spans="1:28" x14ac:dyDescent="0.15">
      <c r="A4357" s="70"/>
      <c r="B4357" s="117"/>
      <c r="C4357" s="73"/>
      <c r="D4357" s="73"/>
      <c r="E4357" s="70"/>
      <c r="F4357" s="73"/>
      <c r="G4357" s="73"/>
      <c r="H4357" s="93"/>
      <c r="I4357" s="85"/>
      <c r="J4357" s="95"/>
      <c r="K4357" s="131"/>
      <c r="L4357" s="60"/>
      <c r="M4357" s="33"/>
    </row>
    <row r="4358" spans="1:28" x14ac:dyDescent="0.15">
      <c r="A4358" s="70"/>
      <c r="B4358" s="118"/>
      <c r="C4358" s="70"/>
      <c r="D4358" s="70"/>
      <c r="E4358" s="70"/>
      <c r="F4358" s="70"/>
      <c r="G4358" s="70"/>
      <c r="H4358" s="93"/>
      <c r="I4358" s="85"/>
      <c r="J4358" s="85"/>
      <c r="K4358" s="131"/>
      <c r="L4358" s="60"/>
    </row>
    <row r="4359" spans="1:28" x14ac:dyDescent="0.15">
      <c r="A4359" s="70"/>
      <c r="B4359" s="118"/>
      <c r="C4359" s="70"/>
      <c r="D4359" s="70"/>
      <c r="E4359" s="70"/>
      <c r="F4359" s="70"/>
      <c r="G4359" s="70"/>
      <c r="H4359" s="93"/>
      <c r="I4359" s="85"/>
      <c r="J4359" s="85"/>
      <c r="K4359" s="131"/>
      <c r="L4359" s="60"/>
    </row>
    <row r="4360" spans="1:28" x14ac:dyDescent="0.15">
      <c r="A4360" s="70"/>
      <c r="B4360" s="117"/>
      <c r="C4360" s="70"/>
      <c r="D4360" s="70"/>
      <c r="E4360" s="70"/>
      <c r="F4360" s="70"/>
      <c r="G4360" s="70"/>
      <c r="H4360" s="93"/>
      <c r="I4360" s="85"/>
      <c r="J4360" s="85"/>
      <c r="K4360" s="131"/>
      <c r="L4360" s="60"/>
      <c r="M4360" s="33"/>
    </row>
    <row r="4361" spans="1:28" x14ac:dyDescent="0.15">
      <c r="A4361" s="70"/>
      <c r="B4361" s="117"/>
      <c r="C4361" s="70"/>
      <c r="D4361" s="70"/>
      <c r="E4361" s="73"/>
      <c r="F4361" s="70"/>
      <c r="G4361" s="70"/>
      <c r="H4361" s="93"/>
      <c r="I4361" s="85"/>
      <c r="J4361" s="85"/>
      <c r="K4361" s="131"/>
      <c r="L4361" s="60"/>
      <c r="M4361" s="33"/>
    </row>
    <row r="4362" spans="1:28" x14ac:dyDescent="0.15">
      <c r="A4362" s="70"/>
      <c r="B4362" s="117"/>
      <c r="C4362" s="70"/>
      <c r="D4362" s="70"/>
      <c r="E4362" s="70"/>
      <c r="F4362" s="70"/>
      <c r="G4362" s="70"/>
      <c r="H4362" s="93"/>
      <c r="I4362" s="85"/>
      <c r="J4362" s="85"/>
      <c r="K4362" s="131"/>
      <c r="L4362" s="60"/>
      <c r="M4362" s="33"/>
    </row>
    <row r="4363" spans="1:28" ht="16" x14ac:dyDescent="0.2">
      <c r="A4363" s="70"/>
      <c r="B4363" s="117"/>
      <c r="C4363" s="70"/>
      <c r="D4363" s="70"/>
      <c r="E4363" s="70"/>
      <c r="F4363" s="70"/>
      <c r="G4363" s="70"/>
      <c r="H4363" s="93"/>
      <c r="I4363" s="85"/>
      <c r="J4363" s="85"/>
      <c r="K4363" s="131"/>
      <c r="L4363" s="60"/>
      <c r="M4363" s="47"/>
      <c r="O4363" s="33"/>
    </row>
    <row r="4364" spans="1:28" x14ac:dyDescent="0.15">
      <c r="A4364" s="70"/>
      <c r="B4364" s="117"/>
      <c r="C4364" s="70"/>
      <c r="D4364" s="70"/>
      <c r="E4364" s="70"/>
      <c r="F4364" s="70"/>
      <c r="G4364" s="70"/>
      <c r="H4364" s="93"/>
      <c r="I4364" s="85"/>
      <c r="J4364" s="85"/>
      <c r="K4364" s="131"/>
      <c r="L4364" s="60"/>
      <c r="M4364" s="33"/>
      <c r="N4364" s="35"/>
    </row>
    <row r="4365" spans="1:28" x14ac:dyDescent="0.15">
      <c r="A4365" s="70"/>
      <c r="B4365" s="117"/>
      <c r="C4365" s="70"/>
      <c r="D4365" s="70"/>
      <c r="E4365" s="70"/>
      <c r="F4365" s="70"/>
      <c r="G4365" s="70"/>
      <c r="H4365" s="93"/>
      <c r="I4365" s="85"/>
      <c r="J4365" s="85"/>
      <c r="K4365" s="131"/>
      <c r="L4365" s="60"/>
    </row>
    <row r="4366" spans="1:28" s="37" customFormat="1" x14ac:dyDescent="0.15">
      <c r="A4366" s="70"/>
      <c r="B4366" s="117"/>
      <c r="C4366" s="70"/>
      <c r="D4366" s="70"/>
      <c r="E4366" s="70"/>
      <c r="F4366" s="70"/>
      <c r="G4366" s="70"/>
      <c r="H4366" s="93"/>
      <c r="I4366" s="85"/>
      <c r="J4366" s="85"/>
      <c r="K4366" s="131"/>
      <c r="L4366" s="60"/>
      <c r="M4366" s="33"/>
      <c r="Q4366" s="3"/>
      <c r="R4366" s="3"/>
      <c r="S4366" s="3"/>
      <c r="T4366" s="3"/>
      <c r="U4366" s="3"/>
      <c r="V4366" s="3"/>
      <c r="W4366" s="3"/>
      <c r="X4366" s="3"/>
      <c r="Y4366" s="3"/>
      <c r="Z4366" s="4"/>
      <c r="AA4366"/>
      <c r="AB4366"/>
    </row>
    <row r="4367" spans="1:28" s="37" customFormat="1" x14ac:dyDescent="0.15">
      <c r="A4367" s="70"/>
      <c r="B4367" s="117"/>
      <c r="C4367" s="70"/>
      <c r="D4367" s="70"/>
      <c r="E4367" s="70"/>
      <c r="F4367" s="70"/>
      <c r="G4367" s="70"/>
      <c r="H4367" s="93"/>
      <c r="I4367" s="85"/>
      <c r="J4367" s="85"/>
      <c r="K4367" s="131"/>
      <c r="L4367" s="60"/>
      <c r="M4367" s="49"/>
      <c r="Q4367" s="3"/>
      <c r="R4367" s="3"/>
      <c r="S4367" s="3"/>
      <c r="T4367" s="3"/>
      <c r="U4367" s="3"/>
      <c r="V4367" s="3"/>
      <c r="W4367" s="3"/>
      <c r="X4367" s="3"/>
      <c r="Y4367" s="3"/>
      <c r="Z4367" s="4"/>
      <c r="AA4367"/>
      <c r="AB4367"/>
    </row>
    <row r="4368" spans="1:28" s="37" customFormat="1" x14ac:dyDescent="0.15">
      <c r="A4368" s="70"/>
      <c r="B4368" s="117"/>
      <c r="C4368" s="70"/>
      <c r="D4368" s="70"/>
      <c r="E4368" s="70"/>
      <c r="F4368" s="70"/>
      <c r="G4368" s="70"/>
      <c r="H4368" s="93"/>
      <c r="I4368" s="85"/>
      <c r="J4368" s="85"/>
      <c r="K4368" s="131"/>
      <c r="L4368" s="60"/>
      <c r="M4368" s="33"/>
      <c r="Q4368" s="3"/>
      <c r="R4368" s="3"/>
      <c r="S4368" s="3"/>
      <c r="T4368" s="3"/>
      <c r="U4368" s="3"/>
      <c r="V4368" s="3"/>
      <c r="W4368" s="3"/>
      <c r="X4368" s="3"/>
      <c r="Y4368" s="3"/>
      <c r="Z4368" s="4"/>
      <c r="AA4368"/>
      <c r="AB4368"/>
    </row>
    <row r="4369" spans="1:28" s="37" customFormat="1" x14ac:dyDescent="0.15">
      <c r="A4369" s="70"/>
      <c r="B4369" s="117"/>
      <c r="C4369" s="70"/>
      <c r="D4369" s="70"/>
      <c r="E4369" s="70"/>
      <c r="F4369" s="70"/>
      <c r="G4369" s="70"/>
      <c r="H4369" s="93"/>
      <c r="I4369" s="85"/>
      <c r="J4369" s="85"/>
      <c r="K4369" s="131"/>
      <c r="L4369" s="60"/>
      <c r="M4369" s="33"/>
      <c r="Q4369" s="3"/>
      <c r="R4369" s="3"/>
      <c r="S4369" s="3"/>
      <c r="T4369" s="3"/>
      <c r="U4369" s="3"/>
      <c r="V4369" s="3"/>
      <c r="W4369" s="3"/>
      <c r="X4369" s="3"/>
      <c r="Y4369" s="3"/>
      <c r="Z4369" s="4"/>
      <c r="AA4369"/>
      <c r="AB4369"/>
    </row>
    <row r="4370" spans="1:28" s="37" customFormat="1" x14ac:dyDescent="0.15">
      <c r="A4370" s="70"/>
      <c r="B4370" s="117"/>
      <c r="C4370" s="70"/>
      <c r="D4370" s="70"/>
      <c r="E4370" s="70"/>
      <c r="F4370" s="70"/>
      <c r="G4370" s="70"/>
      <c r="H4370" s="93"/>
      <c r="I4370" s="85"/>
      <c r="J4370" s="85"/>
      <c r="K4370" s="131"/>
      <c r="L4370" s="60"/>
      <c r="M4370" s="33"/>
      <c r="Q4370" s="3"/>
      <c r="R4370" s="3"/>
      <c r="S4370" s="3"/>
      <c r="T4370" s="3"/>
      <c r="U4370" s="3"/>
      <c r="V4370" s="3"/>
      <c r="W4370" s="3"/>
      <c r="X4370" s="3"/>
      <c r="Y4370" s="3"/>
      <c r="Z4370" s="4"/>
      <c r="AA4370"/>
      <c r="AB4370"/>
    </row>
    <row r="4371" spans="1:28" s="37" customFormat="1" x14ac:dyDescent="0.15">
      <c r="A4371" s="70"/>
      <c r="B4371" s="118"/>
      <c r="C4371" s="70"/>
      <c r="D4371" s="70"/>
      <c r="E4371" s="70"/>
      <c r="F4371" s="70"/>
      <c r="G4371" s="70"/>
      <c r="H4371" s="93"/>
      <c r="I4371" s="85"/>
      <c r="J4371" s="85"/>
      <c r="K4371" s="131"/>
      <c r="L4371" s="60"/>
      <c r="M4371" s="33"/>
      <c r="Q4371" s="3"/>
      <c r="R4371" s="3"/>
      <c r="S4371" s="3"/>
      <c r="T4371" s="3"/>
      <c r="U4371" s="3"/>
      <c r="V4371" s="3"/>
      <c r="W4371" s="3"/>
      <c r="X4371" s="3"/>
      <c r="Y4371" s="3"/>
      <c r="Z4371" s="4"/>
      <c r="AA4371"/>
      <c r="AB4371"/>
    </row>
    <row r="4372" spans="1:28" s="37" customFormat="1" x14ac:dyDescent="0.15">
      <c r="A4372" s="70"/>
      <c r="B4372" s="117"/>
      <c r="C4372" s="73"/>
      <c r="D4372" s="73"/>
      <c r="E4372" s="73"/>
      <c r="F4372" s="73"/>
      <c r="G4372" s="73"/>
      <c r="H4372" s="108"/>
      <c r="I4372" s="85"/>
      <c r="J4372" s="95"/>
      <c r="K4372" s="134"/>
      <c r="L4372" s="63"/>
      <c r="M4372" s="33"/>
      <c r="Q4372" s="3"/>
      <c r="R4372" s="3"/>
      <c r="S4372" s="3"/>
      <c r="T4372" s="3"/>
      <c r="U4372" s="3"/>
      <c r="V4372" s="3"/>
      <c r="W4372" s="3"/>
      <c r="X4372" s="3"/>
      <c r="Y4372" s="3"/>
      <c r="Z4372" s="4"/>
      <c r="AA4372"/>
      <c r="AB4372"/>
    </row>
    <row r="4373" spans="1:28" s="37" customFormat="1" x14ac:dyDescent="0.15">
      <c r="A4373" s="70"/>
      <c r="B4373" s="117"/>
      <c r="C4373" s="70"/>
      <c r="D4373" s="70"/>
      <c r="E4373" s="70"/>
      <c r="F4373" s="70"/>
      <c r="G4373" s="70"/>
      <c r="H4373" s="93"/>
      <c r="I4373" s="85"/>
      <c r="J4373" s="85"/>
      <c r="K4373" s="131"/>
      <c r="L4373" s="60"/>
      <c r="M4373" s="33"/>
      <c r="Q4373" s="3"/>
      <c r="R4373" s="3"/>
      <c r="S4373" s="3"/>
      <c r="T4373" s="3"/>
      <c r="U4373" s="3"/>
      <c r="V4373" s="3"/>
      <c r="W4373" s="3"/>
      <c r="X4373" s="3"/>
      <c r="Y4373" s="3"/>
      <c r="Z4373" s="4"/>
      <c r="AA4373"/>
      <c r="AB4373"/>
    </row>
    <row r="4374" spans="1:28" s="37" customFormat="1" x14ac:dyDescent="0.15">
      <c r="A4374" s="70"/>
      <c r="B4374" s="117"/>
      <c r="C4374" s="70"/>
      <c r="D4374" s="70"/>
      <c r="E4374" s="70"/>
      <c r="F4374" s="70"/>
      <c r="G4374" s="70"/>
      <c r="H4374" s="93"/>
      <c r="I4374" s="85"/>
      <c r="J4374" s="85"/>
      <c r="K4374" s="131"/>
      <c r="L4374" s="60"/>
      <c r="M4374" s="33"/>
      <c r="Q4374" s="3"/>
      <c r="R4374" s="3"/>
      <c r="S4374" s="3"/>
      <c r="T4374" s="3"/>
      <c r="U4374" s="3"/>
      <c r="V4374" s="3"/>
      <c r="W4374" s="3"/>
      <c r="X4374" s="3"/>
      <c r="Y4374" s="3"/>
      <c r="Z4374" s="4"/>
      <c r="AA4374"/>
      <c r="AB4374"/>
    </row>
    <row r="4375" spans="1:28" s="37" customFormat="1" x14ac:dyDescent="0.15">
      <c r="A4375" s="70"/>
      <c r="B4375" s="117"/>
      <c r="C4375" s="70"/>
      <c r="D4375" s="70"/>
      <c r="E4375" s="70"/>
      <c r="F4375" s="70"/>
      <c r="G4375" s="70"/>
      <c r="H4375" s="93"/>
      <c r="I4375" s="85"/>
      <c r="J4375" s="85"/>
      <c r="K4375" s="131"/>
      <c r="L4375" s="60"/>
      <c r="M4375" s="33"/>
      <c r="Q4375" s="3"/>
      <c r="R4375" s="3"/>
      <c r="S4375" s="3"/>
      <c r="T4375" s="3"/>
      <c r="U4375" s="3"/>
      <c r="V4375" s="3"/>
      <c r="W4375" s="3"/>
      <c r="X4375" s="3"/>
      <c r="Y4375" s="3"/>
      <c r="Z4375" s="4"/>
      <c r="AA4375"/>
      <c r="AB4375"/>
    </row>
    <row r="4376" spans="1:28" s="37" customFormat="1" x14ac:dyDescent="0.15">
      <c r="A4376" s="70"/>
      <c r="B4376" s="117"/>
      <c r="C4376" s="73"/>
      <c r="D4376" s="73"/>
      <c r="E4376" s="73"/>
      <c r="F4376" s="73"/>
      <c r="G4376" s="73"/>
      <c r="H4376" s="108"/>
      <c r="I4376" s="85"/>
      <c r="J4376" s="95"/>
      <c r="K4376" s="131"/>
      <c r="L4376" s="60"/>
      <c r="M4376" s="33"/>
      <c r="Q4376" s="3"/>
      <c r="R4376" s="3"/>
      <c r="S4376" s="3"/>
      <c r="T4376" s="3"/>
      <c r="U4376" s="3"/>
      <c r="V4376" s="3"/>
      <c r="W4376" s="3"/>
      <c r="X4376" s="3"/>
      <c r="Y4376" s="3"/>
      <c r="Z4376" s="4"/>
      <c r="AA4376"/>
      <c r="AB4376"/>
    </row>
    <row r="4377" spans="1:28" s="37" customFormat="1" x14ac:dyDescent="0.15">
      <c r="A4377" s="70"/>
      <c r="B4377" s="117"/>
      <c r="C4377" s="70"/>
      <c r="D4377" s="70"/>
      <c r="E4377" s="73"/>
      <c r="F4377" s="70"/>
      <c r="G4377" s="70"/>
      <c r="H4377" s="93"/>
      <c r="I4377" s="85"/>
      <c r="J4377" s="85"/>
      <c r="K4377" s="131"/>
      <c r="L4377" s="60"/>
      <c r="M4377" s="33"/>
      <c r="Q4377" s="3"/>
      <c r="R4377" s="3"/>
      <c r="S4377" s="3"/>
      <c r="T4377" s="3"/>
      <c r="U4377" s="3"/>
      <c r="V4377" s="3"/>
      <c r="W4377" s="3"/>
      <c r="X4377" s="3"/>
      <c r="Y4377" s="3"/>
      <c r="Z4377" s="4"/>
      <c r="AA4377"/>
      <c r="AB4377"/>
    </row>
    <row r="4378" spans="1:28" s="37" customFormat="1" x14ac:dyDescent="0.15">
      <c r="A4378" s="70"/>
      <c r="B4378" s="117"/>
      <c r="C4378" s="70"/>
      <c r="D4378" s="70"/>
      <c r="E4378" s="70"/>
      <c r="F4378" s="70"/>
      <c r="G4378" s="70"/>
      <c r="H4378" s="93"/>
      <c r="I4378" s="85"/>
      <c r="J4378" s="85"/>
      <c r="K4378" s="131"/>
      <c r="L4378" s="60"/>
      <c r="M4378" s="33"/>
      <c r="Q4378" s="3"/>
      <c r="R4378" s="3"/>
      <c r="S4378" s="3"/>
      <c r="T4378" s="3"/>
      <c r="U4378" s="3"/>
      <c r="V4378" s="3"/>
      <c r="W4378" s="3"/>
      <c r="X4378" s="3"/>
      <c r="Y4378" s="3"/>
      <c r="Z4378" s="4"/>
      <c r="AA4378"/>
      <c r="AB4378"/>
    </row>
    <row r="4379" spans="1:28" s="37" customFormat="1" x14ac:dyDescent="0.15">
      <c r="A4379" s="70"/>
      <c r="B4379" s="117"/>
      <c r="C4379" s="70"/>
      <c r="D4379" s="70"/>
      <c r="E4379" s="70"/>
      <c r="F4379" s="70"/>
      <c r="G4379" s="70"/>
      <c r="H4379" s="93"/>
      <c r="I4379" s="85"/>
      <c r="J4379" s="85"/>
      <c r="K4379" s="131"/>
      <c r="L4379" s="60"/>
      <c r="M4379" s="33"/>
      <c r="Q4379" s="3"/>
      <c r="R4379" s="3"/>
      <c r="S4379" s="3"/>
      <c r="T4379" s="3"/>
      <c r="U4379" s="3"/>
      <c r="V4379" s="3"/>
      <c r="W4379" s="3"/>
      <c r="X4379" s="3"/>
      <c r="Y4379" s="3"/>
      <c r="Z4379" s="4"/>
      <c r="AA4379"/>
      <c r="AB4379"/>
    </row>
    <row r="4380" spans="1:28" s="37" customFormat="1" x14ac:dyDescent="0.15">
      <c r="A4380" s="70"/>
      <c r="B4380" s="117"/>
      <c r="C4380" s="70"/>
      <c r="D4380" s="70"/>
      <c r="E4380" s="70"/>
      <c r="F4380" s="70"/>
      <c r="G4380" s="70"/>
      <c r="H4380" s="93"/>
      <c r="I4380" s="85"/>
      <c r="J4380" s="85"/>
      <c r="K4380" s="131"/>
      <c r="L4380" s="60"/>
      <c r="M4380" s="49"/>
      <c r="Q4380" s="3"/>
      <c r="R4380" s="3"/>
      <c r="S4380" s="3"/>
      <c r="T4380" s="3"/>
      <c r="U4380" s="3"/>
      <c r="V4380" s="3"/>
      <c r="W4380" s="3"/>
      <c r="X4380" s="3"/>
      <c r="Y4380" s="3"/>
      <c r="Z4380" s="4"/>
      <c r="AA4380"/>
      <c r="AB4380"/>
    </row>
    <row r="4381" spans="1:28" s="37" customFormat="1" x14ac:dyDescent="0.15">
      <c r="A4381" s="70"/>
      <c r="B4381" s="117"/>
      <c r="C4381" s="70"/>
      <c r="D4381" s="70"/>
      <c r="E4381" s="70"/>
      <c r="F4381" s="70"/>
      <c r="G4381" s="70"/>
      <c r="H4381" s="93"/>
      <c r="I4381" s="85"/>
      <c r="J4381" s="85"/>
      <c r="K4381" s="131"/>
      <c r="L4381" s="60"/>
      <c r="Q4381" s="3"/>
      <c r="R4381" s="3"/>
      <c r="S4381" s="3"/>
      <c r="T4381" s="3"/>
      <c r="U4381" s="3"/>
      <c r="V4381" s="3"/>
      <c r="W4381" s="3"/>
      <c r="X4381" s="3"/>
      <c r="Y4381" s="3"/>
      <c r="Z4381" s="4"/>
      <c r="AA4381"/>
      <c r="AB4381"/>
    </row>
    <row r="4382" spans="1:28" s="37" customFormat="1" x14ac:dyDescent="0.15">
      <c r="A4382" s="70"/>
      <c r="B4382" s="118"/>
      <c r="C4382" s="70"/>
      <c r="D4382" s="70"/>
      <c r="E4382" s="70"/>
      <c r="F4382" s="70"/>
      <c r="G4382" s="70"/>
      <c r="H4382" s="93"/>
      <c r="I4382" s="85"/>
      <c r="J4382" s="85"/>
      <c r="K4382" s="131"/>
      <c r="L4382" s="60"/>
      <c r="M4382" s="33"/>
      <c r="Q4382" s="3"/>
      <c r="R4382" s="3"/>
      <c r="S4382" s="3"/>
      <c r="T4382" s="3"/>
      <c r="U4382" s="3"/>
      <c r="V4382" s="3"/>
      <c r="W4382" s="3"/>
      <c r="X4382" s="3"/>
      <c r="Y4382" s="3"/>
      <c r="Z4382" s="4"/>
      <c r="AA4382"/>
      <c r="AB4382"/>
    </row>
    <row r="4383" spans="1:28" s="37" customFormat="1" x14ac:dyDescent="0.15">
      <c r="A4383" s="70"/>
      <c r="B4383" s="117"/>
      <c r="C4383" s="70"/>
      <c r="D4383" s="70"/>
      <c r="E4383" s="70"/>
      <c r="F4383" s="70"/>
      <c r="G4383" s="70"/>
      <c r="H4383" s="93"/>
      <c r="I4383" s="85"/>
      <c r="J4383" s="85"/>
      <c r="K4383" s="131"/>
      <c r="L4383" s="60"/>
      <c r="M4383" s="33"/>
      <c r="Q4383" s="3"/>
      <c r="R4383" s="3"/>
      <c r="S4383" s="3"/>
      <c r="T4383" s="3"/>
      <c r="U4383" s="3"/>
      <c r="V4383" s="3"/>
      <c r="W4383" s="3"/>
      <c r="X4383" s="3"/>
      <c r="Y4383" s="3"/>
      <c r="Z4383" s="4"/>
      <c r="AA4383"/>
      <c r="AB4383"/>
    </row>
    <row r="4384" spans="1:28" s="37" customFormat="1" ht="16" x14ac:dyDescent="0.2">
      <c r="A4384" s="70"/>
      <c r="B4384" s="117"/>
      <c r="C4384" s="70"/>
      <c r="D4384" s="70"/>
      <c r="E4384" s="70"/>
      <c r="F4384" s="70"/>
      <c r="G4384" s="70"/>
      <c r="H4384" s="93"/>
      <c r="I4384" s="85"/>
      <c r="J4384" s="85"/>
      <c r="K4384" s="131"/>
      <c r="L4384" s="60"/>
      <c r="M4384" s="47"/>
      <c r="Q4384" s="3"/>
      <c r="R4384" s="3"/>
      <c r="S4384" s="3"/>
      <c r="T4384" s="3"/>
      <c r="U4384" s="3"/>
      <c r="V4384" s="3"/>
      <c r="W4384" s="3"/>
      <c r="X4384" s="3"/>
      <c r="Y4384" s="3"/>
      <c r="Z4384" s="4"/>
      <c r="AA4384"/>
      <c r="AB4384"/>
    </row>
    <row r="4385" spans="1:28" s="37" customFormat="1" x14ac:dyDescent="0.15">
      <c r="A4385" s="70"/>
      <c r="B4385" s="118"/>
      <c r="C4385" s="70"/>
      <c r="D4385" s="70"/>
      <c r="E4385" s="70"/>
      <c r="F4385" s="70"/>
      <c r="G4385" s="70"/>
      <c r="H4385" s="93"/>
      <c r="I4385" s="85"/>
      <c r="J4385" s="85"/>
      <c r="K4385" s="131"/>
      <c r="L4385" s="60"/>
      <c r="M4385" s="33"/>
      <c r="Q4385" s="3"/>
      <c r="R4385" s="3"/>
      <c r="S4385" s="3"/>
      <c r="T4385" s="3"/>
      <c r="U4385" s="3"/>
      <c r="V4385" s="3"/>
      <c r="W4385" s="3"/>
      <c r="X4385" s="3"/>
      <c r="Y4385" s="3"/>
      <c r="Z4385" s="4"/>
      <c r="AA4385"/>
      <c r="AB4385"/>
    </row>
    <row r="4386" spans="1:28" s="37" customFormat="1" x14ac:dyDescent="0.15">
      <c r="A4386" s="70"/>
      <c r="B4386" s="118"/>
      <c r="C4386" s="70"/>
      <c r="D4386" s="70"/>
      <c r="E4386" s="70"/>
      <c r="F4386" s="70"/>
      <c r="G4386" s="70"/>
      <c r="H4386" s="93"/>
      <c r="I4386" s="85"/>
      <c r="J4386" s="85"/>
      <c r="K4386" s="131"/>
      <c r="L4386" s="60"/>
      <c r="M4386" s="33"/>
      <c r="Q4386" s="3"/>
      <c r="R4386" s="3"/>
      <c r="S4386" s="3"/>
      <c r="T4386" s="3"/>
      <c r="U4386" s="3"/>
      <c r="V4386" s="3"/>
      <c r="W4386" s="3"/>
      <c r="X4386" s="3"/>
      <c r="Y4386" s="3"/>
      <c r="Z4386" s="4"/>
      <c r="AA4386"/>
      <c r="AB4386"/>
    </row>
    <row r="4387" spans="1:28" s="37" customFormat="1" x14ac:dyDescent="0.15">
      <c r="A4387" s="70"/>
      <c r="B4387" s="117"/>
      <c r="C4387" s="70"/>
      <c r="D4387" s="70"/>
      <c r="E4387" s="73"/>
      <c r="F4387" s="70"/>
      <c r="G4387" s="70"/>
      <c r="H4387" s="93"/>
      <c r="I4387" s="85"/>
      <c r="J4387" s="85"/>
      <c r="K4387" s="131"/>
      <c r="L4387" s="60"/>
      <c r="M4387" s="33"/>
      <c r="Q4387" s="3"/>
      <c r="R4387" s="3"/>
      <c r="S4387" s="3"/>
      <c r="T4387" s="3"/>
      <c r="U4387" s="3"/>
      <c r="V4387" s="3"/>
      <c r="W4387" s="3"/>
      <c r="X4387" s="3"/>
      <c r="Y4387" s="3"/>
      <c r="Z4387" s="4"/>
      <c r="AA4387"/>
      <c r="AB4387"/>
    </row>
    <row r="4388" spans="1:28" s="37" customFormat="1" x14ac:dyDescent="0.15">
      <c r="A4388" s="70"/>
      <c r="B4388" s="117"/>
      <c r="C4388" s="73"/>
      <c r="D4388" s="73"/>
      <c r="E4388" s="73"/>
      <c r="F4388" s="73"/>
      <c r="G4388" s="73"/>
      <c r="H4388" s="108"/>
      <c r="I4388" s="85"/>
      <c r="J4388" s="95"/>
      <c r="K4388" s="131"/>
      <c r="L4388" s="60"/>
      <c r="M4388" s="33"/>
      <c r="Q4388" s="3"/>
      <c r="R4388" s="3"/>
      <c r="S4388" s="3"/>
      <c r="T4388" s="3"/>
      <c r="U4388" s="3"/>
      <c r="V4388" s="3"/>
      <c r="W4388" s="3"/>
      <c r="X4388" s="3"/>
      <c r="Y4388" s="3"/>
      <c r="Z4388" s="4"/>
      <c r="AA4388"/>
      <c r="AB4388"/>
    </row>
    <row r="4389" spans="1:28" s="37" customFormat="1" x14ac:dyDescent="0.15">
      <c r="A4389" s="70"/>
      <c r="B4389" s="117"/>
      <c r="C4389" s="70"/>
      <c r="D4389" s="70"/>
      <c r="E4389" s="73"/>
      <c r="F4389" s="70"/>
      <c r="G4389" s="70"/>
      <c r="H4389" s="93"/>
      <c r="I4389" s="85"/>
      <c r="J4389" s="85"/>
      <c r="K4389" s="131"/>
      <c r="L4389" s="60"/>
      <c r="M4389" s="33"/>
      <c r="Q4389" s="3"/>
      <c r="R4389" s="3"/>
      <c r="S4389" s="3"/>
      <c r="T4389" s="3"/>
      <c r="U4389" s="3"/>
      <c r="V4389" s="3"/>
      <c r="W4389" s="3"/>
      <c r="X4389" s="3"/>
      <c r="Y4389" s="3"/>
      <c r="Z4389" s="4"/>
      <c r="AA4389"/>
      <c r="AB4389"/>
    </row>
    <row r="4390" spans="1:28" s="37" customFormat="1" x14ac:dyDescent="0.15">
      <c r="A4390" s="70"/>
      <c r="B4390" s="117"/>
      <c r="C4390" s="70"/>
      <c r="D4390" s="70"/>
      <c r="E4390" s="70"/>
      <c r="F4390" s="70"/>
      <c r="G4390" s="70"/>
      <c r="H4390" s="93"/>
      <c r="I4390" s="85"/>
      <c r="J4390" s="85"/>
      <c r="K4390" s="131"/>
      <c r="L4390" s="60"/>
      <c r="M4390" s="33"/>
      <c r="Q4390" s="3"/>
      <c r="R4390" s="3"/>
      <c r="S4390" s="3"/>
      <c r="T4390" s="3"/>
      <c r="U4390" s="3"/>
      <c r="V4390" s="3"/>
      <c r="W4390" s="3"/>
      <c r="X4390" s="3"/>
      <c r="Y4390" s="3"/>
      <c r="Z4390" s="4"/>
      <c r="AA4390"/>
      <c r="AB4390"/>
    </row>
    <row r="4391" spans="1:28" s="37" customFormat="1" x14ac:dyDescent="0.15">
      <c r="A4391" s="70"/>
      <c r="B4391" s="117"/>
      <c r="C4391" s="70"/>
      <c r="D4391" s="70"/>
      <c r="E4391" s="70"/>
      <c r="F4391" s="70"/>
      <c r="G4391" s="70"/>
      <c r="H4391" s="93"/>
      <c r="I4391" s="85"/>
      <c r="J4391" s="85"/>
      <c r="K4391" s="131"/>
      <c r="L4391" s="60"/>
      <c r="M4391" s="33"/>
      <c r="Q4391" s="3"/>
      <c r="R4391" s="3"/>
      <c r="S4391" s="3"/>
      <c r="T4391" s="3"/>
      <c r="U4391" s="3"/>
      <c r="V4391" s="3"/>
      <c r="W4391" s="3"/>
      <c r="X4391" s="3"/>
      <c r="Y4391" s="3"/>
      <c r="Z4391" s="4"/>
      <c r="AA4391"/>
      <c r="AB4391"/>
    </row>
    <row r="4392" spans="1:28" s="37" customFormat="1" x14ac:dyDescent="0.15">
      <c r="A4392" s="70"/>
      <c r="B4392" s="118"/>
      <c r="C4392" s="70"/>
      <c r="D4392" s="70"/>
      <c r="E4392" s="70"/>
      <c r="F4392" s="70"/>
      <c r="G4392" s="70"/>
      <c r="H4392" s="93"/>
      <c r="I4392" s="85"/>
      <c r="J4392" s="85"/>
      <c r="K4392" s="131"/>
      <c r="L4392" s="60"/>
      <c r="M4392" s="33"/>
      <c r="Q4392" s="3"/>
      <c r="R4392" s="3"/>
      <c r="S4392" s="3"/>
      <c r="T4392" s="3"/>
      <c r="U4392" s="3"/>
      <c r="V4392" s="3"/>
      <c r="W4392" s="3"/>
      <c r="X4392" s="3"/>
      <c r="Y4392" s="3"/>
      <c r="Z4392" s="4"/>
      <c r="AA4392"/>
      <c r="AB4392"/>
    </row>
    <row r="4393" spans="1:28" s="37" customFormat="1" x14ac:dyDescent="0.15">
      <c r="A4393" s="70"/>
      <c r="B4393" s="117"/>
      <c r="C4393" s="70"/>
      <c r="D4393" s="70"/>
      <c r="E4393" s="70"/>
      <c r="F4393" s="70"/>
      <c r="G4393" s="70"/>
      <c r="H4393" s="93"/>
      <c r="I4393" s="85"/>
      <c r="J4393" s="85"/>
      <c r="K4393" s="131"/>
      <c r="L4393" s="60"/>
      <c r="M4393" s="33"/>
      <c r="Q4393" s="3"/>
      <c r="R4393" s="3"/>
      <c r="S4393" s="3"/>
      <c r="T4393" s="3"/>
      <c r="U4393" s="3"/>
      <c r="V4393" s="3"/>
      <c r="W4393" s="3"/>
      <c r="X4393" s="3"/>
      <c r="Y4393" s="3"/>
      <c r="Z4393" s="4"/>
      <c r="AA4393"/>
      <c r="AB4393"/>
    </row>
    <row r="4394" spans="1:28" s="37" customFormat="1" x14ac:dyDescent="0.15">
      <c r="A4394" s="70"/>
      <c r="B4394" s="117"/>
      <c r="C4394" s="70"/>
      <c r="D4394" s="70"/>
      <c r="E4394" s="70"/>
      <c r="F4394" s="70"/>
      <c r="G4394" s="70"/>
      <c r="H4394" s="93"/>
      <c r="I4394" s="85"/>
      <c r="J4394" s="85"/>
      <c r="K4394" s="131"/>
      <c r="L4394" s="60"/>
      <c r="M4394" s="33"/>
      <c r="Q4394" s="3"/>
      <c r="R4394" s="3"/>
      <c r="S4394" s="3"/>
      <c r="T4394" s="3"/>
      <c r="U4394" s="3"/>
      <c r="V4394" s="3"/>
      <c r="W4394" s="3"/>
      <c r="X4394" s="3"/>
      <c r="Y4394" s="3"/>
      <c r="Z4394" s="4"/>
      <c r="AA4394"/>
      <c r="AB4394"/>
    </row>
    <row r="4395" spans="1:28" s="37" customFormat="1" ht="16" x14ac:dyDescent="0.2">
      <c r="A4395" s="70"/>
      <c r="B4395" s="117"/>
      <c r="C4395" s="73"/>
      <c r="D4395" s="73"/>
      <c r="E4395" s="73"/>
      <c r="F4395" s="73"/>
      <c r="G4395" s="73"/>
      <c r="H4395" s="108"/>
      <c r="I4395" s="85"/>
      <c r="J4395" s="95"/>
      <c r="K4395" s="131"/>
      <c r="L4395" s="74"/>
      <c r="M4395" s="47"/>
      <c r="Q4395" s="3"/>
      <c r="R4395" s="3"/>
      <c r="S4395" s="3"/>
      <c r="T4395" s="3"/>
      <c r="U4395" s="3"/>
      <c r="V4395" s="3"/>
      <c r="W4395" s="3"/>
      <c r="X4395" s="3"/>
      <c r="Y4395" s="3"/>
      <c r="Z4395" s="4"/>
      <c r="AA4395"/>
      <c r="AB4395"/>
    </row>
    <row r="4396" spans="1:28" s="37" customFormat="1" x14ac:dyDescent="0.15">
      <c r="A4396" s="70"/>
      <c r="B4396" s="117"/>
      <c r="C4396" s="70"/>
      <c r="D4396" s="70"/>
      <c r="E4396" s="70"/>
      <c r="F4396" s="70"/>
      <c r="G4396" s="70"/>
      <c r="H4396" s="93"/>
      <c r="I4396" s="85"/>
      <c r="J4396" s="85"/>
      <c r="K4396" s="131"/>
      <c r="L4396" s="60"/>
      <c r="M4396" s="49"/>
      <c r="Q4396" s="3"/>
      <c r="R4396" s="3"/>
      <c r="S4396" s="3"/>
      <c r="T4396" s="3"/>
      <c r="U4396" s="3"/>
      <c r="V4396" s="3"/>
      <c r="W4396" s="3"/>
      <c r="X4396" s="3"/>
      <c r="Y4396" s="3"/>
      <c r="Z4396" s="4"/>
      <c r="AA4396"/>
      <c r="AB4396"/>
    </row>
    <row r="4397" spans="1:28" s="37" customFormat="1" x14ac:dyDescent="0.15">
      <c r="A4397" s="70"/>
      <c r="B4397" s="117"/>
      <c r="C4397" s="70"/>
      <c r="D4397" s="70"/>
      <c r="E4397" s="70"/>
      <c r="F4397" s="70"/>
      <c r="G4397" s="70"/>
      <c r="H4397" s="93"/>
      <c r="I4397" s="85"/>
      <c r="J4397" s="85"/>
      <c r="K4397" s="131"/>
      <c r="L4397" s="60"/>
      <c r="M4397" s="49"/>
      <c r="Q4397" s="3"/>
      <c r="R4397" s="3"/>
      <c r="S4397" s="3"/>
      <c r="T4397" s="3"/>
      <c r="U4397" s="3"/>
      <c r="V4397" s="3"/>
      <c r="W4397" s="3"/>
      <c r="X4397" s="3"/>
      <c r="Y4397" s="3"/>
      <c r="Z4397" s="4"/>
      <c r="AA4397"/>
      <c r="AB4397"/>
    </row>
    <row r="4398" spans="1:28" s="37" customFormat="1" x14ac:dyDescent="0.15">
      <c r="A4398" s="70"/>
      <c r="B4398" s="117"/>
      <c r="C4398" s="70"/>
      <c r="D4398" s="70"/>
      <c r="E4398" s="70"/>
      <c r="F4398" s="70"/>
      <c r="G4398" s="70"/>
      <c r="H4398" s="93"/>
      <c r="I4398" s="85"/>
      <c r="J4398" s="85"/>
      <c r="K4398" s="131"/>
      <c r="L4398" s="60"/>
      <c r="M4398" s="49"/>
      <c r="Q4398" s="3"/>
      <c r="R4398" s="3"/>
      <c r="S4398" s="3"/>
      <c r="T4398" s="3"/>
      <c r="U4398" s="3"/>
      <c r="V4398" s="3"/>
      <c r="W4398" s="3"/>
      <c r="X4398" s="3"/>
      <c r="Y4398" s="3"/>
      <c r="Z4398" s="4"/>
      <c r="AA4398"/>
      <c r="AB4398"/>
    </row>
    <row r="4399" spans="1:28" s="37" customFormat="1" x14ac:dyDescent="0.15">
      <c r="A4399" s="70"/>
      <c r="B4399" s="117"/>
      <c r="C4399" s="70"/>
      <c r="D4399" s="70"/>
      <c r="E4399" s="70"/>
      <c r="F4399" s="70"/>
      <c r="G4399" s="70"/>
      <c r="H4399" s="93"/>
      <c r="I4399" s="85"/>
      <c r="J4399" s="85"/>
      <c r="K4399" s="131"/>
      <c r="L4399" s="60"/>
      <c r="M4399" s="33"/>
      <c r="Q4399" s="3"/>
      <c r="R4399" s="3"/>
      <c r="S4399" s="3"/>
      <c r="T4399" s="3"/>
      <c r="U4399" s="3"/>
      <c r="V4399" s="3"/>
      <c r="W4399" s="3"/>
      <c r="X4399" s="3"/>
      <c r="Y4399" s="3"/>
      <c r="Z4399" s="4"/>
      <c r="AA4399"/>
      <c r="AB4399"/>
    </row>
    <row r="4400" spans="1:28" s="37" customFormat="1" x14ac:dyDescent="0.15">
      <c r="A4400" s="70"/>
      <c r="B4400" s="117"/>
      <c r="C4400" s="70"/>
      <c r="D4400" s="70"/>
      <c r="E4400" s="70"/>
      <c r="F4400" s="70"/>
      <c r="G4400" s="70"/>
      <c r="H4400" s="93"/>
      <c r="I4400" s="85"/>
      <c r="J4400" s="85"/>
      <c r="K4400" s="131"/>
      <c r="L4400" s="60"/>
      <c r="M4400" s="33"/>
      <c r="Q4400" s="3"/>
      <c r="R4400" s="3"/>
      <c r="S4400" s="3"/>
      <c r="T4400" s="3"/>
      <c r="U4400" s="3"/>
      <c r="V4400" s="3"/>
      <c r="W4400" s="3"/>
      <c r="X4400" s="3"/>
      <c r="Y4400" s="3"/>
      <c r="Z4400" s="4"/>
      <c r="AA4400"/>
      <c r="AB4400"/>
    </row>
    <row r="4401" spans="1:28" s="37" customFormat="1" x14ac:dyDescent="0.15">
      <c r="A4401" s="70"/>
      <c r="B4401" s="118"/>
      <c r="C4401" s="70"/>
      <c r="D4401" s="70"/>
      <c r="E4401" s="70"/>
      <c r="F4401" s="70"/>
      <c r="G4401" s="70"/>
      <c r="H4401" s="93"/>
      <c r="I4401" s="85"/>
      <c r="J4401" s="85"/>
      <c r="K4401" s="131"/>
      <c r="L4401" s="60"/>
      <c r="M4401" s="33"/>
      <c r="Q4401" s="3"/>
      <c r="R4401" s="3"/>
      <c r="S4401" s="3"/>
      <c r="T4401" s="3"/>
      <c r="U4401" s="3"/>
      <c r="V4401" s="3"/>
      <c r="W4401" s="3"/>
      <c r="X4401" s="3"/>
      <c r="Y4401" s="3"/>
      <c r="Z4401" s="4"/>
      <c r="AA4401"/>
      <c r="AB4401"/>
    </row>
    <row r="4402" spans="1:28" s="37" customFormat="1" x14ac:dyDescent="0.15">
      <c r="A4402" s="70"/>
      <c r="B4402" s="118"/>
      <c r="C4402" s="70"/>
      <c r="D4402" s="70"/>
      <c r="E4402" s="70"/>
      <c r="F4402" s="70"/>
      <c r="G4402" s="70"/>
      <c r="H4402" s="93"/>
      <c r="I4402" s="85"/>
      <c r="J4402" s="85"/>
      <c r="K4402" s="131"/>
      <c r="L4402" s="60"/>
      <c r="M4402" s="33"/>
      <c r="Q4402" s="3"/>
      <c r="R4402" s="3"/>
      <c r="S4402" s="3"/>
      <c r="T4402" s="3"/>
      <c r="U4402" s="3"/>
      <c r="V4402" s="3"/>
      <c r="W4402" s="3"/>
      <c r="X4402" s="3"/>
      <c r="Y4402" s="3"/>
      <c r="Z4402" s="4"/>
      <c r="AA4402"/>
      <c r="AB4402"/>
    </row>
    <row r="4403" spans="1:28" s="37" customFormat="1" ht="16" x14ac:dyDescent="0.2">
      <c r="A4403" s="70"/>
      <c r="B4403" s="117"/>
      <c r="C4403" s="70"/>
      <c r="D4403" s="70"/>
      <c r="E4403" s="70"/>
      <c r="F4403" s="70"/>
      <c r="G4403" s="70"/>
      <c r="H4403" s="93"/>
      <c r="I4403" s="85"/>
      <c r="J4403" s="85"/>
      <c r="K4403" s="131"/>
      <c r="L4403" s="60"/>
      <c r="M4403" s="47"/>
      <c r="Q4403" s="3"/>
      <c r="R4403" s="3"/>
      <c r="S4403" s="3"/>
      <c r="T4403" s="3"/>
      <c r="U4403" s="3"/>
      <c r="V4403" s="3"/>
      <c r="W4403" s="3"/>
      <c r="X4403" s="3"/>
      <c r="Y4403" s="3"/>
      <c r="Z4403" s="4"/>
      <c r="AA4403"/>
      <c r="AB4403"/>
    </row>
    <row r="4404" spans="1:28" s="37" customFormat="1" x14ac:dyDescent="0.15">
      <c r="A4404" s="70"/>
      <c r="B4404" s="117"/>
      <c r="C4404" s="70"/>
      <c r="D4404" s="70"/>
      <c r="E4404" s="70"/>
      <c r="F4404" s="70"/>
      <c r="G4404" s="70"/>
      <c r="H4404" s="93"/>
      <c r="I4404" s="85"/>
      <c r="J4404" s="85"/>
      <c r="K4404" s="131"/>
      <c r="L4404" s="60"/>
      <c r="M4404" s="33"/>
      <c r="Q4404" s="3"/>
      <c r="R4404" s="3"/>
      <c r="S4404" s="3"/>
      <c r="T4404" s="3"/>
      <c r="U4404" s="3"/>
      <c r="V4404" s="3"/>
      <c r="W4404" s="3"/>
      <c r="X4404" s="3"/>
      <c r="Y4404" s="3"/>
      <c r="Z4404" s="4"/>
      <c r="AA4404"/>
      <c r="AB4404"/>
    </row>
    <row r="4405" spans="1:28" s="37" customFormat="1" x14ac:dyDescent="0.15">
      <c r="A4405" s="70"/>
      <c r="B4405" s="118"/>
      <c r="C4405" s="70"/>
      <c r="D4405" s="70"/>
      <c r="E4405" s="70"/>
      <c r="F4405" s="70"/>
      <c r="G4405" s="70"/>
      <c r="H4405" s="93"/>
      <c r="I4405" s="85"/>
      <c r="J4405" s="85"/>
      <c r="K4405" s="131"/>
      <c r="L4405" s="60"/>
      <c r="M4405" s="33"/>
      <c r="Q4405" s="3"/>
      <c r="R4405" s="3"/>
      <c r="S4405" s="3"/>
      <c r="T4405" s="3"/>
      <c r="U4405" s="3"/>
      <c r="V4405" s="3"/>
      <c r="W4405" s="3"/>
      <c r="X4405" s="3"/>
      <c r="Y4405" s="3"/>
      <c r="Z4405" s="4"/>
      <c r="AA4405"/>
      <c r="AB4405"/>
    </row>
    <row r="4406" spans="1:28" s="37" customFormat="1" x14ac:dyDescent="0.15">
      <c r="A4406" s="70"/>
      <c r="B4406" s="118"/>
      <c r="C4406" s="70"/>
      <c r="D4406" s="70"/>
      <c r="E4406" s="70"/>
      <c r="F4406" s="70"/>
      <c r="G4406" s="70"/>
      <c r="H4406" s="93"/>
      <c r="I4406" s="85"/>
      <c r="J4406" s="85"/>
      <c r="K4406" s="131"/>
      <c r="L4406" s="60"/>
      <c r="M4406" s="33"/>
      <c r="Q4406" s="3"/>
      <c r="R4406" s="3"/>
      <c r="S4406" s="3"/>
      <c r="T4406" s="3"/>
      <c r="U4406" s="3"/>
      <c r="V4406" s="3"/>
      <c r="W4406" s="3"/>
      <c r="X4406" s="3"/>
      <c r="Y4406" s="3"/>
      <c r="Z4406" s="4"/>
      <c r="AA4406"/>
      <c r="AB4406"/>
    </row>
    <row r="4407" spans="1:28" s="37" customFormat="1" x14ac:dyDescent="0.15">
      <c r="A4407" s="70"/>
      <c r="B4407" s="118"/>
      <c r="C4407" s="70"/>
      <c r="D4407" s="70"/>
      <c r="E4407" s="70"/>
      <c r="F4407" s="70"/>
      <c r="G4407" s="70"/>
      <c r="H4407" s="93"/>
      <c r="I4407" s="85"/>
      <c r="J4407" s="85"/>
      <c r="K4407" s="131"/>
      <c r="L4407" s="60"/>
      <c r="M4407" s="33"/>
      <c r="N4407" s="46"/>
      <c r="Q4407" s="3"/>
      <c r="R4407" s="3"/>
      <c r="S4407" s="3"/>
      <c r="T4407" s="3"/>
      <c r="U4407" s="3"/>
      <c r="V4407" s="3"/>
      <c r="W4407" s="3"/>
      <c r="X4407" s="3"/>
      <c r="Y4407" s="3"/>
      <c r="Z4407" s="4"/>
      <c r="AA4407"/>
      <c r="AB4407"/>
    </row>
    <row r="4408" spans="1:28" s="37" customFormat="1" x14ac:dyDescent="0.15">
      <c r="A4408" s="70"/>
      <c r="B4408" s="118"/>
      <c r="C4408" s="70"/>
      <c r="D4408" s="70"/>
      <c r="E4408" s="70"/>
      <c r="F4408" s="70"/>
      <c r="G4408" s="70"/>
      <c r="H4408" s="93"/>
      <c r="I4408" s="85"/>
      <c r="J4408" s="85"/>
      <c r="K4408" s="131"/>
      <c r="L4408" s="60"/>
      <c r="M4408" s="33"/>
      <c r="Q4408" s="3"/>
      <c r="R4408" s="3"/>
      <c r="S4408" s="3"/>
      <c r="T4408" s="3"/>
      <c r="U4408" s="3"/>
      <c r="V4408" s="3"/>
      <c r="W4408" s="3"/>
      <c r="X4408" s="3"/>
      <c r="Y4408" s="3"/>
      <c r="Z4408" s="4"/>
      <c r="AA4408"/>
      <c r="AB4408"/>
    </row>
    <row r="4409" spans="1:28" s="37" customFormat="1" x14ac:dyDescent="0.15">
      <c r="A4409" s="70"/>
      <c r="B4409" s="117"/>
      <c r="C4409" s="70"/>
      <c r="D4409" s="70"/>
      <c r="E4409" s="70"/>
      <c r="F4409" s="70"/>
      <c r="G4409" s="70"/>
      <c r="H4409" s="93"/>
      <c r="I4409" s="85"/>
      <c r="J4409" s="85"/>
      <c r="K4409" s="131"/>
      <c r="L4409" s="60"/>
      <c r="M4409" s="33"/>
      <c r="Q4409" s="3"/>
      <c r="R4409" s="3"/>
      <c r="S4409" s="3"/>
      <c r="T4409" s="3"/>
      <c r="U4409" s="3"/>
      <c r="V4409" s="3"/>
      <c r="W4409" s="3"/>
      <c r="X4409" s="3"/>
      <c r="Y4409" s="3"/>
      <c r="Z4409" s="4"/>
      <c r="AA4409"/>
      <c r="AB4409"/>
    </row>
    <row r="4410" spans="1:28" s="37" customFormat="1" x14ac:dyDescent="0.15">
      <c r="A4410" s="70"/>
      <c r="B4410" s="117"/>
      <c r="C4410" s="70"/>
      <c r="D4410" s="70"/>
      <c r="E4410" s="70"/>
      <c r="F4410" s="70"/>
      <c r="G4410" s="70"/>
      <c r="H4410" s="93"/>
      <c r="I4410" s="85"/>
      <c r="J4410" s="85"/>
      <c r="K4410" s="131"/>
      <c r="L4410" s="60"/>
      <c r="Q4410" s="3"/>
      <c r="R4410" s="3"/>
      <c r="S4410" s="3"/>
      <c r="T4410" s="3"/>
      <c r="U4410" s="3"/>
      <c r="V4410" s="3"/>
      <c r="W4410" s="3"/>
      <c r="X4410" s="3"/>
      <c r="Y4410" s="3"/>
      <c r="Z4410" s="4"/>
      <c r="AA4410"/>
      <c r="AB4410"/>
    </row>
    <row r="4411" spans="1:28" s="37" customFormat="1" ht="16" x14ac:dyDescent="0.2">
      <c r="A4411" s="70"/>
      <c r="B4411" s="117"/>
      <c r="C4411" s="70"/>
      <c r="D4411" s="70"/>
      <c r="E4411" s="70"/>
      <c r="F4411" s="70"/>
      <c r="G4411" s="70"/>
      <c r="H4411" s="93"/>
      <c r="I4411" s="85"/>
      <c r="J4411" s="85"/>
      <c r="K4411" s="131"/>
      <c r="L4411" s="60"/>
      <c r="M4411" s="47"/>
      <c r="Q4411" s="3"/>
      <c r="R4411" s="3"/>
      <c r="S4411" s="3"/>
      <c r="T4411" s="3"/>
      <c r="U4411" s="3"/>
      <c r="V4411" s="3"/>
      <c r="W4411" s="3"/>
      <c r="X4411" s="3"/>
      <c r="Y4411" s="3"/>
      <c r="Z4411" s="4"/>
      <c r="AA4411"/>
      <c r="AB4411"/>
    </row>
    <row r="4412" spans="1:28" s="37" customFormat="1" x14ac:dyDescent="0.15">
      <c r="A4412" s="70"/>
      <c r="B4412" s="117"/>
      <c r="C4412" s="70"/>
      <c r="D4412" s="70"/>
      <c r="E4412" s="73"/>
      <c r="F4412" s="70"/>
      <c r="G4412" s="70"/>
      <c r="H4412" s="93"/>
      <c r="I4412" s="85"/>
      <c r="J4412" s="85"/>
      <c r="K4412" s="131"/>
      <c r="L4412" s="60"/>
      <c r="M4412" s="33"/>
      <c r="Q4412" s="3"/>
      <c r="R4412" s="3"/>
      <c r="S4412" s="3"/>
      <c r="T4412" s="3"/>
      <c r="U4412" s="3"/>
      <c r="V4412" s="3"/>
      <c r="W4412" s="3"/>
      <c r="X4412" s="3"/>
      <c r="Y4412" s="3"/>
      <c r="Z4412" s="4"/>
      <c r="AA4412"/>
      <c r="AB4412"/>
    </row>
    <row r="4413" spans="1:28" s="37" customFormat="1" ht="16" x14ac:dyDescent="0.2">
      <c r="A4413" s="70"/>
      <c r="B4413" s="118"/>
      <c r="C4413" s="70"/>
      <c r="D4413" s="70"/>
      <c r="E4413" s="70"/>
      <c r="F4413" s="70"/>
      <c r="G4413" s="70"/>
      <c r="H4413" s="93"/>
      <c r="I4413" s="85"/>
      <c r="J4413" s="85"/>
      <c r="K4413" s="131"/>
      <c r="L4413" s="60"/>
      <c r="M4413" s="33"/>
      <c r="N4413" s="48"/>
      <c r="Q4413" s="3"/>
      <c r="R4413" s="3"/>
      <c r="S4413" s="3"/>
      <c r="T4413" s="3"/>
      <c r="U4413" s="3"/>
      <c r="V4413" s="3"/>
      <c r="W4413" s="3"/>
      <c r="X4413" s="3"/>
      <c r="Y4413" s="3"/>
      <c r="Z4413" s="4"/>
      <c r="AA4413"/>
      <c r="AB4413"/>
    </row>
    <row r="4414" spans="1:28" x14ac:dyDescent="0.15">
      <c r="A4414" s="70"/>
      <c r="B4414" s="118"/>
      <c r="C4414" s="70"/>
      <c r="D4414" s="70"/>
      <c r="E4414" s="70"/>
      <c r="F4414" s="70"/>
      <c r="G4414" s="70"/>
      <c r="H4414" s="93"/>
      <c r="I4414" s="85"/>
      <c r="J4414" s="85"/>
      <c r="K4414" s="131"/>
      <c r="L4414" s="60"/>
      <c r="M4414" s="33"/>
    </row>
    <row r="4415" spans="1:28" s="2" customFormat="1" x14ac:dyDescent="0.15">
      <c r="A4415" s="70"/>
      <c r="B4415" s="117"/>
      <c r="C4415" s="70"/>
      <c r="D4415" s="70"/>
      <c r="E4415" s="70"/>
      <c r="F4415" s="70"/>
      <c r="G4415" s="70"/>
      <c r="H4415" s="93"/>
      <c r="I4415" s="85"/>
      <c r="J4415" s="85"/>
      <c r="K4415" s="131"/>
      <c r="L4415" s="60"/>
      <c r="M4415" s="33"/>
      <c r="N4415" s="37"/>
      <c r="O4415" s="37"/>
      <c r="P4415" s="37"/>
      <c r="Q4415" s="3"/>
      <c r="R4415" s="3"/>
      <c r="S4415" s="3"/>
      <c r="T4415" s="3"/>
      <c r="U4415" s="3"/>
      <c r="V4415" s="3"/>
      <c r="W4415" s="3"/>
      <c r="X4415" s="3"/>
      <c r="Y4415" s="3"/>
      <c r="Z4415" s="4"/>
      <c r="AA4415"/>
      <c r="AB4415"/>
    </row>
    <row r="4416" spans="1:28" s="2" customFormat="1" x14ac:dyDescent="0.15">
      <c r="A4416" s="70"/>
      <c r="B4416" s="117"/>
      <c r="C4416" s="70"/>
      <c r="D4416" s="70"/>
      <c r="E4416" s="70"/>
      <c r="F4416" s="70"/>
      <c r="G4416" s="70"/>
      <c r="H4416" s="93"/>
      <c r="I4416" s="85"/>
      <c r="J4416" s="85"/>
      <c r="K4416" s="131"/>
      <c r="L4416" s="60"/>
      <c r="M4416" s="33"/>
      <c r="N4416" s="37"/>
      <c r="O4416" s="37"/>
      <c r="P4416" s="37"/>
      <c r="Q4416" s="3"/>
      <c r="R4416" s="3"/>
      <c r="S4416" s="3"/>
      <c r="T4416" s="3"/>
      <c r="U4416" s="3"/>
      <c r="V4416" s="3"/>
      <c r="W4416" s="3"/>
      <c r="X4416" s="3"/>
      <c r="Y4416" s="3"/>
      <c r="Z4416" s="4"/>
      <c r="AA4416"/>
      <c r="AB4416"/>
    </row>
    <row r="4417" spans="1:28" s="2" customFormat="1" ht="16" x14ac:dyDescent="0.2">
      <c r="A4417" s="70"/>
      <c r="B4417" s="117"/>
      <c r="C4417" s="70"/>
      <c r="D4417" s="70"/>
      <c r="E4417" s="70"/>
      <c r="F4417" s="70"/>
      <c r="G4417" s="70"/>
      <c r="H4417" s="93"/>
      <c r="I4417" s="85"/>
      <c r="J4417" s="85"/>
      <c r="K4417" s="131"/>
      <c r="L4417" s="60"/>
      <c r="M4417" s="47"/>
      <c r="N4417" s="37"/>
      <c r="O4417" s="37"/>
      <c r="P4417" s="37"/>
      <c r="Q4417" s="3"/>
      <c r="R4417" s="3"/>
      <c r="S4417" s="3"/>
      <c r="T4417" s="3"/>
      <c r="U4417" s="3"/>
      <c r="V4417" s="3"/>
      <c r="W4417" s="3"/>
      <c r="X4417" s="3"/>
      <c r="Y4417" s="3"/>
      <c r="Z4417" s="4"/>
      <c r="AA4417"/>
      <c r="AB4417"/>
    </row>
    <row r="4418" spans="1:28" s="2" customFormat="1" x14ac:dyDescent="0.15">
      <c r="A4418" s="70"/>
      <c r="B4418" s="117"/>
      <c r="C4418" s="70"/>
      <c r="D4418" s="70"/>
      <c r="E4418" s="70"/>
      <c r="F4418" s="70"/>
      <c r="G4418" s="70"/>
      <c r="H4418" s="93"/>
      <c r="I4418" s="85"/>
      <c r="J4418" s="85"/>
      <c r="K4418" s="131"/>
      <c r="L4418" s="60"/>
      <c r="M4418" s="33"/>
      <c r="N4418" s="37"/>
      <c r="O4418" s="37"/>
      <c r="P4418" s="37"/>
      <c r="Q4418" s="3"/>
      <c r="R4418" s="3"/>
      <c r="S4418" s="3"/>
      <c r="T4418" s="3"/>
      <c r="U4418" s="3"/>
      <c r="V4418" s="3"/>
      <c r="W4418" s="3"/>
      <c r="X4418" s="3"/>
      <c r="Y4418" s="3"/>
      <c r="Z4418" s="4"/>
      <c r="AA4418"/>
      <c r="AB4418"/>
    </row>
    <row r="4419" spans="1:28" s="2" customFormat="1" ht="16" x14ac:dyDescent="0.2">
      <c r="A4419" s="70"/>
      <c r="B4419" s="117"/>
      <c r="C4419" s="70"/>
      <c r="D4419" s="70"/>
      <c r="E4419" s="70"/>
      <c r="F4419" s="70"/>
      <c r="G4419" s="70"/>
      <c r="H4419" s="93"/>
      <c r="I4419" s="85"/>
      <c r="J4419" s="85"/>
      <c r="K4419" s="131"/>
      <c r="L4419" s="60"/>
      <c r="M4419" s="47"/>
      <c r="N4419" s="37"/>
      <c r="O4419" s="37"/>
      <c r="P4419" s="37"/>
      <c r="Q4419" s="3"/>
      <c r="R4419" s="3"/>
      <c r="S4419" s="3"/>
      <c r="T4419" s="3"/>
      <c r="U4419" s="3"/>
      <c r="V4419" s="3"/>
      <c r="W4419" s="3"/>
      <c r="X4419" s="3"/>
      <c r="Y4419" s="3"/>
      <c r="Z4419" s="4"/>
      <c r="AA4419"/>
      <c r="AB4419"/>
    </row>
    <row r="4420" spans="1:28" s="2" customFormat="1" ht="16" x14ac:dyDescent="0.2">
      <c r="A4420" s="70"/>
      <c r="B4420" s="117"/>
      <c r="C4420" s="70"/>
      <c r="D4420" s="70"/>
      <c r="E4420" s="70"/>
      <c r="F4420" s="70"/>
      <c r="G4420" s="70"/>
      <c r="H4420" s="93"/>
      <c r="I4420" s="85"/>
      <c r="J4420" s="85"/>
      <c r="K4420" s="131"/>
      <c r="L4420" s="60"/>
      <c r="M4420" s="47"/>
      <c r="N4420" s="37"/>
      <c r="O4420" s="37"/>
      <c r="P4420" s="37"/>
      <c r="Q4420" s="3"/>
      <c r="R4420" s="3"/>
      <c r="S4420" s="3"/>
      <c r="T4420" s="3"/>
      <c r="U4420" s="3"/>
      <c r="V4420" s="3"/>
      <c r="W4420" s="3"/>
      <c r="X4420" s="3"/>
      <c r="Y4420" s="3"/>
      <c r="Z4420" s="4"/>
      <c r="AA4420"/>
      <c r="AB4420"/>
    </row>
    <row r="4421" spans="1:28" s="2" customFormat="1" x14ac:dyDescent="0.15">
      <c r="A4421" s="70"/>
      <c r="B4421" s="117"/>
      <c r="C4421" s="70"/>
      <c r="D4421" s="70"/>
      <c r="E4421" s="70"/>
      <c r="F4421" s="70"/>
      <c r="G4421" s="70"/>
      <c r="H4421" s="93"/>
      <c r="I4421" s="85"/>
      <c r="J4421" s="85"/>
      <c r="K4421" s="131"/>
      <c r="L4421" s="60"/>
      <c r="M4421" s="33"/>
      <c r="N4421" s="37"/>
      <c r="O4421" s="37"/>
      <c r="P4421" s="37"/>
      <c r="Q4421" s="3"/>
      <c r="R4421" s="3"/>
      <c r="S4421" s="3"/>
      <c r="T4421" s="3"/>
      <c r="U4421" s="3"/>
      <c r="V4421" s="3"/>
      <c r="W4421" s="3"/>
      <c r="X4421" s="3"/>
      <c r="Y4421" s="3"/>
      <c r="Z4421" s="4"/>
      <c r="AA4421"/>
      <c r="AB4421"/>
    </row>
    <row r="4422" spans="1:28" s="2" customFormat="1" ht="16" x14ac:dyDescent="0.2">
      <c r="A4422" s="70"/>
      <c r="B4422" s="117"/>
      <c r="C4422" s="73"/>
      <c r="D4422" s="73"/>
      <c r="E4422" s="70"/>
      <c r="F4422" s="73"/>
      <c r="G4422" s="73"/>
      <c r="H4422" s="108"/>
      <c r="I4422" s="85"/>
      <c r="J4422" s="85"/>
      <c r="K4422" s="131"/>
      <c r="L4422" s="60"/>
      <c r="M4422" s="47"/>
      <c r="N4422" s="37"/>
      <c r="O4422" s="37"/>
      <c r="P4422" s="37"/>
      <c r="Q4422" s="3"/>
      <c r="R4422" s="3"/>
      <c r="S4422" s="3"/>
      <c r="T4422" s="3"/>
      <c r="U4422" s="3"/>
      <c r="V4422" s="3"/>
      <c r="W4422" s="3"/>
      <c r="X4422" s="3"/>
      <c r="Y4422" s="3"/>
      <c r="Z4422" s="4"/>
      <c r="AA4422"/>
      <c r="AB4422"/>
    </row>
    <row r="4423" spans="1:28" s="2" customFormat="1" x14ac:dyDescent="0.15">
      <c r="A4423" s="62"/>
      <c r="B4423" s="119"/>
      <c r="C4423" s="70"/>
      <c r="D4423" s="70"/>
      <c r="E4423" s="70"/>
      <c r="F4423" s="70"/>
      <c r="G4423" s="70"/>
      <c r="H4423" s="93"/>
      <c r="I4423" s="85"/>
      <c r="J4423" s="85"/>
      <c r="K4423" s="131"/>
      <c r="L4423" s="60"/>
      <c r="M4423" s="33"/>
      <c r="N4423" s="37"/>
      <c r="O4423" s="37"/>
      <c r="P4423" s="37"/>
      <c r="Q4423" s="3"/>
      <c r="R4423" s="3"/>
      <c r="S4423" s="3"/>
      <c r="T4423" s="3"/>
      <c r="U4423" s="3"/>
      <c r="V4423" s="3"/>
      <c r="W4423" s="3"/>
      <c r="X4423" s="3"/>
      <c r="Y4423" s="3"/>
      <c r="Z4423" s="4"/>
      <c r="AA4423"/>
      <c r="AB4423"/>
    </row>
    <row r="4424" spans="1:28" s="2" customFormat="1" x14ac:dyDescent="0.15">
      <c r="A4424" s="70"/>
      <c r="B4424" s="118"/>
      <c r="C4424" s="70"/>
      <c r="D4424" s="70"/>
      <c r="E4424" s="70"/>
      <c r="F4424" s="70"/>
      <c r="G4424" s="70"/>
      <c r="H4424" s="93"/>
      <c r="I4424" s="85"/>
      <c r="J4424" s="85"/>
      <c r="K4424" s="131"/>
      <c r="L4424" s="60"/>
      <c r="M4424" s="33"/>
      <c r="N4424" s="37"/>
      <c r="O4424" s="37"/>
      <c r="P4424" s="37"/>
      <c r="Q4424" s="3"/>
      <c r="R4424" s="3"/>
      <c r="S4424" s="3"/>
      <c r="T4424" s="3"/>
      <c r="U4424" s="3"/>
      <c r="V4424" s="3"/>
      <c r="W4424" s="3"/>
      <c r="X4424" s="3"/>
      <c r="Y4424" s="3"/>
      <c r="Z4424" s="4"/>
      <c r="AA4424"/>
      <c r="AB4424"/>
    </row>
    <row r="4425" spans="1:28" s="2" customFormat="1" x14ac:dyDescent="0.15">
      <c r="A4425" s="70"/>
      <c r="B4425" s="118"/>
      <c r="C4425" s="70"/>
      <c r="D4425" s="70"/>
      <c r="E4425" s="70"/>
      <c r="F4425" s="70"/>
      <c r="G4425" s="70"/>
      <c r="H4425" s="93"/>
      <c r="I4425" s="85"/>
      <c r="J4425" s="85"/>
      <c r="K4425" s="131"/>
      <c r="L4425" s="60"/>
      <c r="M4425" s="33"/>
      <c r="N4425" s="37"/>
      <c r="O4425" s="37"/>
      <c r="P4425" s="37"/>
      <c r="Q4425" s="3"/>
      <c r="R4425" s="3"/>
      <c r="S4425" s="3"/>
      <c r="T4425" s="3"/>
      <c r="U4425" s="3"/>
      <c r="V4425" s="3"/>
      <c r="W4425" s="3"/>
      <c r="X4425" s="3"/>
      <c r="Y4425" s="3"/>
      <c r="Z4425" s="4"/>
      <c r="AA4425"/>
      <c r="AB4425"/>
    </row>
    <row r="4426" spans="1:28" s="2" customFormat="1" x14ac:dyDescent="0.15">
      <c r="A4426" s="62"/>
      <c r="B4426" s="119"/>
      <c r="C4426" s="70"/>
      <c r="D4426" s="70"/>
      <c r="E4426" s="70"/>
      <c r="F4426" s="70"/>
      <c r="G4426" s="70"/>
      <c r="H4426" s="93"/>
      <c r="I4426" s="85"/>
      <c r="J4426" s="85"/>
      <c r="K4426" s="131"/>
      <c r="L4426" s="60"/>
      <c r="M4426" s="33"/>
      <c r="N4426" s="37"/>
      <c r="O4426" s="37"/>
      <c r="P4426" s="37"/>
      <c r="Q4426" s="3"/>
      <c r="R4426" s="3"/>
      <c r="S4426" s="3"/>
      <c r="T4426" s="3"/>
      <c r="U4426" s="3"/>
      <c r="V4426" s="3"/>
      <c r="W4426" s="3"/>
      <c r="X4426" s="3"/>
      <c r="Y4426" s="3"/>
      <c r="Z4426" s="4"/>
      <c r="AA4426"/>
      <c r="AB4426"/>
    </row>
    <row r="4427" spans="1:28" s="2" customFormat="1" x14ac:dyDescent="0.15">
      <c r="A4427" s="62"/>
      <c r="B4427" s="119"/>
      <c r="C4427" s="70"/>
      <c r="D4427" s="70"/>
      <c r="E4427" s="70"/>
      <c r="F4427" s="70"/>
      <c r="G4427" s="70"/>
      <c r="H4427" s="93"/>
      <c r="I4427" s="85"/>
      <c r="J4427" s="85"/>
      <c r="K4427" s="131"/>
      <c r="L4427" s="60"/>
      <c r="M4427" s="33"/>
      <c r="N4427" s="37"/>
      <c r="O4427" s="37"/>
      <c r="P4427" s="37"/>
      <c r="Q4427" s="3"/>
      <c r="R4427" s="3"/>
      <c r="S4427" s="3"/>
      <c r="T4427" s="3"/>
      <c r="U4427" s="3"/>
      <c r="V4427" s="3"/>
      <c r="W4427" s="3"/>
      <c r="X4427" s="3"/>
      <c r="Y4427" s="3"/>
      <c r="Z4427" s="4"/>
      <c r="AA4427"/>
      <c r="AB4427"/>
    </row>
    <row r="4428" spans="1:28" s="2" customFormat="1" x14ac:dyDescent="0.15">
      <c r="A4428" s="70"/>
      <c r="B4428" s="118"/>
      <c r="C4428" s="70"/>
      <c r="D4428" s="70"/>
      <c r="E4428" s="70"/>
      <c r="F4428" s="70"/>
      <c r="G4428" s="70"/>
      <c r="H4428" s="93"/>
      <c r="I4428" s="85"/>
      <c r="J4428" s="85"/>
      <c r="K4428" s="131"/>
      <c r="L4428" s="60"/>
      <c r="M4428" s="33"/>
      <c r="N4428" s="37"/>
      <c r="O4428" s="37"/>
      <c r="P4428" s="37"/>
      <c r="Q4428" s="3"/>
      <c r="R4428" s="3"/>
      <c r="S4428" s="3"/>
      <c r="T4428" s="3"/>
      <c r="U4428" s="3"/>
      <c r="V4428" s="3"/>
      <c r="W4428" s="3"/>
      <c r="X4428" s="3"/>
      <c r="Y4428" s="3"/>
      <c r="Z4428" s="4"/>
      <c r="AA4428"/>
      <c r="AB4428"/>
    </row>
    <row r="4429" spans="1:28" s="2" customFormat="1" x14ac:dyDescent="0.15">
      <c r="A4429" s="70"/>
      <c r="B4429" s="118"/>
      <c r="C4429" s="70"/>
      <c r="D4429" s="70"/>
      <c r="E4429" s="70"/>
      <c r="F4429" s="70"/>
      <c r="G4429" s="70"/>
      <c r="H4429" s="93"/>
      <c r="I4429" s="85"/>
      <c r="J4429" s="85"/>
      <c r="K4429" s="131"/>
      <c r="L4429" s="60"/>
      <c r="M4429" s="37"/>
      <c r="N4429" s="37"/>
      <c r="O4429" s="37"/>
      <c r="P4429" s="37"/>
      <c r="Q4429" s="3"/>
      <c r="R4429" s="3"/>
      <c r="S4429" s="3"/>
      <c r="T4429" s="3"/>
      <c r="U4429" s="3"/>
      <c r="V4429" s="3"/>
      <c r="W4429" s="3"/>
      <c r="X4429" s="3"/>
      <c r="Y4429" s="3"/>
      <c r="Z4429" s="4"/>
      <c r="AA4429"/>
      <c r="AB4429"/>
    </row>
    <row r="4430" spans="1:28" s="2" customFormat="1" x14ac:dyDescent="0.15">
      <c r="A4430" s="70"/>
      <c r="B4430" s="118"/>
      <c r="C4430" s="70"/>
      <c r="D4430" s="70"/>
      <c r="E4430" s="70"/>
      <c r="F4430" s="70"/>
      <c r="G4430" s="70"/>
      <c r="H4430" s="93"/>
      <c r="I4430" s="85"/>
      <c r="J4430" s="85"/>
      <c r="K4430" s="131"/>
      <c r="L4430" s="60"/>
      <c r="M4430" s="37"/>
      <c r="N4430" s="37"/>
      <c r="O4430" s="37"/>
      <c r="P4430" s="37"/>
      <c r="Q4430" s="3"/>
      <c r="R4430" s="3"/>
      <c r="S4430" s="3"/>
      <c r="T4430" s="3"/>
      <c r="U4430" s="3"/>
      <c r="V4430" s="3"/>
      <c r="W4430" s="3"/>
      <c r="X4430" s="3"/>
      <c r="Y4430" s="3"/>
      <c r="Z4430" s="4"/>
      <c r="AA4430"/>
      <c r="AB4430"/>
    </row>
    <row r="4431" spans="1:28" s="2" customFormat="1" x14ac:dyDescent="0.15">
      <c r="A4431" s="70"/>
      <c r="B4431" s="118"/>
      <c r="C4431" s="70"/>
      <c r="D4431" s="70"/>
      <c r="E4431" s="70"/>
      <c r="F4431" s="70"/>
      <c r="G4431" s="70"/>
      <c r="H4431" s="93"/>
      <c r="I4431" s="85"/>
      <c r="J4431" s="85"/>
      <c r="K4431" s="142"/>
      <c r="L4431" s="60"/>
      <c r="M4431" s="37"/>
      <c r="N4431" s="37"/>
      <c r="O4431" s="37"/>
      <c r="P4431" s="37"/>
      <c r="Q4431" s="3"/>
      <c r="R4431" s="3"/>
      <c r="S4431" s="3"/>
      <c r="T4431" s="3"/>
      <c r="U4431" s="3"/>
      <c r="V4431" s="3"/>
      <c r="W4431" s="3"/>
      <c r="X4431" s="3"/>
      <c r="Y4431" s="3"/>
      <c r="Z4431" s="4"/>
      <c r="AA4431"/>
      <c r="AB4431"/>
    </row>
    <row r="4432" spans="1:28" s="2" customFormat="1" x14ac:dyDescent="0.15">
      <c r="A4432" s="70"/>
      <c r="B4432" s="118"/>
      <c r="C4432" s="70"/>
      <c r="D4432" s="70"/>
      <c r="E4432" s="70"/>
      <c r="F4432" s="70"/>
      <c r="G4432" s="70"/>
      <c r="H4432" s="93"/>
      <c r="I4432" s="85"/>
      <c r="J4432" s="85"/>
      <c r="K4432" s="142"/>
      <c r="L4432" s="60"/>
      <c r="M4432" s="37"/>
      <c r="N4432" s="37"/>
      <c r="O4432" s="37"/>
      <c r="P4432" s="37"/>
      <c r="Q4432" s="3"/>
      <c r="R4432" s="3"/>
      <c r="S4432" s="3"/>
      <c r="T4432" s="3"/>
      <c r="U4432" s="3"/>
      <c r="V4432" s="3"/>
      <c r="W4432" s="3"/>
      <c r="X4432" s="3"/>
      <c r="Y4432" s="3"/>
      <c r="Z4432" s="4"/>
      <c r="AA4432"/>
      <c r="AB4432"/>
    </row>
    <row r="4433" spans="1:28" s="2" customFormat="1" x14ac:dyDescent="0.15">
      <c r="A4433" s="70"/>
      <c r="B4433" s="117"/>
      <c r="C4433" s="70"/>
      <c r="D4433" s="70"/>
      <c r="E4433" s="70"/>
      <c r="F4433" s="70"/>
      <c r="G4433" s="70"/>
      <c r="H4433" s="93"/>
      <c r="I4433" s="85"/>
      <c r="J4433" s="85"/>
      <c r="K4433" s="131"/>
      <c r="L4433" s="60"/>
      <c r="M4433" s="33"/>
      <c r="N4433" s="37"/>
      <c r="O4433" s="37"/>
      <c r="P4433" s="37"/>
      <c r="Q4433" s="3"/>
      <c r="R4433" s="3"/>
      <c r="S4433" s="3"/>
      <c r="T4433" s="3"/>
      <c r="U4433" s="3"/>
      <c r="V4433" s="3"/>
      <c r="W4433" s="3"/>
      <c r="X4433" s="3"/>
      <c r="Y4433" s="3"/>
      <c r="Z4433" s="4"/>
      <c r="AA4433"/>
      <c r="AB4433"/>
    </row>
    <row r="4434" spans="1:28" s="2" customFormat="1" x14ac:dyDescent="0.15">
      <c r="A4434" s="70"/>
      <c r="B4434" s="117"/>
      <c r="C4434" s="70"/>
      <c r="D4434" s="70"/>
      <c r="E4434" s="70"/>
      <c r="F4434" s="70"/>
      <c r="G4434" s="70"/>
      <c r="H4434" s="93"/>
      <c r="I4434" s="85"/>
      <c r="J4434" s="85"/>
      <c r="K4434" s="131"/>
      <c r="L4434" s="60"/>
      <c r="M4434" s="33"/>
      <c r="N4434" s="37"/>
      <c r="O4434" s="37"/>
      <c r="P4434" s="37"/>
      <c r="Q4434" s="3"/>
      <c r="R4434" s="3"/>
      <c r="S4434" s="3"/>
      <c r="T4434" s="3"/>
      <c r="U4434" s="3"/>
      <c r="V4434" s="3"/>
      <c r="W4434" s="3"/>
      <c r="X4434" s="3"/>
      <c r="Y4434" s="3"/>
      <c r="Z4434" s="4"/>
      <c r="AA4434"/>
      <c r="AB4434"/>
    </row>
    <row r="4435" spans="1:28" s="2" customFormat="1" ht="16" x14ac:dyDescent="0.2">
      <c r="A4435" s="70"/>
      <c r="B4435" s="117"/>
      <c r="C4435" s="70"/>
      <c r="D4435" s="70"/>
      <c r="E4435" s="70"/>
      <c r="F4435" s="70"/>
      <c r="G4435" s="70"/>
      <c r="H4435" s="93"/>
      <c r="I4435" s="85"/>
      <c r="J4435" s="85"/>
      <c r="K4435" s="131"/>
      <c r="L4435" s="67"/>
      <c r="M4435" s="47"/>
      <c r="N4435" s="37"/>
      <c r="O4435" s="37"/>
      <c r="P4435" s="37"/>
      <c r="Q4435" s="3"/>
      <c r="R4435" s="3"/>
      <c r="S4435" s="3"/>
      <c r="T4435" s="3"/>
      <c r="U4435" s="3"/>
      <c r="V4435" s="3"/>
      <c r="W4435" s="3"/>
      <c r="X4435" s="3"/>
      <c r="Y4435" s="3"/>
      <c r="Z4435" s="4"/>
      <c r="AA4435"/>
      <c r="AB4435"/>
    </row>
    <row r="4436" spans="1:28" s="2" customFormat="1" x14ac:dyDescent="0.15">
      <c r="A4436" s="70"/>
      <c r="B4436" s="117"/>
      <c r="C4436" s="70"/>
      <c r="D4436" s="70"/>
      <c r="E4436" s="73"/>
      <c r="F4436" s="70"/>
      <c r="G4436" s="70"/>
      <c r="H4436" s="93"/>
      <c r="I4436" s="85"/>
      <c r="J4436" s="85"/>
      <c r="K4436" s="131"/>
      <c r="L4436" s="67"/>
      <c r="M4436" s="33"/>
      <c r="N4436" s="37"/>
      <c r="O4436" s="37"/>
      <c r="P4436" s="37"/>
      <c r="Q4436" s="3"/>
      <c r="R4436" s="3"/>
      <c r="S4436" s="3"/>
      <c r="T4436" s="3"/>
      <c r="U4436" s="3"/>
      <c r="V4436" s="3"/>
      <c r="W4436" s="3"/>
      <c r="X4436" s="3"/>
      <c r="Y4436" s="3"/>
      <c r="Z4436" s="4"/>
      <c r="AA4436"/>
      <c r="AB4436"/>
    </row>
    <row r="4437" spans="1:28" s="2" customFormat="1" x14ac:dyDescent="0.15">
      <c r="A4437" s="70"/>
      <c r="B4437" s="117"/>
      <c r="C4437" s="70"/>
      <c r="D4437" s="70"/>
      <c r="E4437" s="70"/>
      <c r="F4437" s="70"/>
      <c r="G4437" s="70"/>
      <c r="H4437" s="93"/>
      <c r="I4437" s="85"/>
      <c r="J4437" s="85"/>
      <c r="K4437" s="131"/>
      <c r="L4437" s="67"/>
      <c r="M4437" s="33"/>
      <c r="N4437" s="37"/>
      <c r="O4437" s="37"/>
      <c r="P4437" s="37"/>
      <c r="Q4437" s="3"/>
      <c r="R4437" s="3"/>
      <c r="S4437" s="3"/>
      <c r="T4437" s="3"/>
      <c r="U4437" s="3"/>
      <c r="V4437" s="3"/>
      <c r="W4437" s="3"/>
      <c r="X4437" s="3"/>
      <c r="Y4437" s="3"/>
      <c r="Z4437" s="4"/>
      <c r="AA4437"/>
      <c r="AB4437"/>
    </row>
    <row r="4438" spans="1:28" ht="16" x14ac:dyDescent="0.2">
      <c r="A4438" s="70"/>
      <c r="B4438" s="117"/>
      <c r="C4438" s="70"/>
      <c r="D4438" s="70"/>
      <c r="E4438" s="70"/>
      <c r="F4438" s="70"/>
      <c r="G4438" s="70"/>
      <c r="H4438" s="93"/>
      <c r="I4438" s="85"/>
      <c r="J4438" s="85"/>
      <c r="K4438" s="131"/>
      <c r="L4438" s="60"/>
      <c r="M4438" s="47"/>
    </row>
    <row r="4439" spans="1:28" x14ac:dyDescent="0.15">
      <c r="A4439" s="70"/>
      <c r="B4439" s="117"/>
      <c r="C4439" s="70"/>
      <c r="D4439" s="70"/>
      <c r="E4439" s="70"/>
      <c r="F4439" s="70"/>
      <c r="G4439" s="70"/>
      <c r="H4439" s="93"/>
      <c r="I4439" s="85"/>
      <c r="J4439" s="85"/>
      <c r="K4439" s="131"/>
      <c r="L4439" s="67"/>
      <c r="M4439" s="33"/>
    </row>
    <row r="4440" spans="1:28" x14ac:dyDescent="0.15">
      <c r="A4440" s="70"/>
      <c r="B4440" s="117"/>
      <c r="C4440" s="70"/>
      <c r="D4440" s="70"/>
      <c r="E4440" s="70"/>
      <c r="F4440" s="70"/>
      <c r="G4440" s="70"/>
      <c r="H4440" s="93"/>
      <c r="I4440" s="85"/>
      <c r="J4440" s="85"/>
      <c r="K4440" s="131"/>
      <c r="L4440" s="67"/>
      <c r="M4440" s="33"/>
    </row>
    <row r="4441" spans="1:28" ht="16" x14ac:dyDescent="0.2">
      <c r="A4441" s="70"/>
      <c r="B4441" s="117"/>
      <c r="C4441" s="70"/>
      <c r="D4441" s="70"/>
      <c r="E4441" s="70"/>
      <c r="F4441" s="70"/>
      <c r="G4441" s="70"/>
      <c r="H4441" s="93"/>
      <c r="I4441" s="85"/>
      <c r="J4441" s="85"/>
      <c r="K4441" s="131"/>
      <c r="L4441" s="67"/>
      <c r="M4441" s="47"/>
    </row>
    <row r="4442" spans="1:28" x14ac:dyDescent="0.15">
      <c r="A4442" s="70"/>
      <c r="B4442" s="118"/>
      <c r="C4442" s="73"/>
      <c r="D4442" s="73"/>
      <c r="E4442" s="73"/>
      <c r="F4442" s="73"/>
      <c r="G4442" s="73"/>
      <c r="H4442" s="108"/>
      <c r="I4442" s="85"/>
      <c r="J4442" s="95"/>
      <c r="K4442" s="131"/>
      <c r="L4442" s="60"/>
      <c r="M4442" s="33"/>
    </row>
    <row r="4443" spans="1:28" x14ac:dyDescent="0.15">
      <c r="A4443" s="70"/>
      <c r="B4443" s="118"/>
      <c r="C4443" s="70"/>
      <c r="D4443" s="70"/>
      <c r="E4443" s="70"/>
      <c r="F4443" s="70"/>
      <c r="G4443" s="70"/>
      <c r="H4443" s="93"/>
      <c r="I4443" s="85"/>
      <c r="J4443" s="85"/>
      <c r="K4443" s="131"/>
      <c r="L4443" s="60"/>
      <c r="M4443" s="33"/>
    </row>
    <row r="4444" spans="1:28" x14ac:dyDescent="0.15">
      <c r="A4444" s="70"/>
      <c r="B4444" s="118"/>
      <c r="C4444" s="73"/>
      <c r="D4444" s="73"/>
      <c r="E4444" s="73"/>
      <c r="F4444" s="73"/>
      <c r="G4444" s="73"/>
      <c r="H4444" s="108"/>
      <c r="I4444" s="85"/>
      <c r="J4444" s="95"/>
      <c r="K4444" s="131"/>
      <c r="L4444" s="60"/>
      <c r="M4444" s="33"/>
    </row>
    <row r="4445" spans="1:28" x14ac:dyDescent="0.15">
      <c r="A4445" s="70"/>
      <c r="B4445" s="118"/>
      <c r="C4445" s="73"/>
      <c r="D4445" s="73"/>
      <c r="E4445" s="73"/>
      <c r="F4445" s="73"/>
      <c r="G4445" s="73"/>
      <c r="H4445" s="108"/>
      <c r="I4445" s="85"/>
      <c r="J4445" s="95"/>
      <c r="K4445" s="131"/>
      <c r="L4445" s="60"/>
      <c r="M4445" s="33"/>
    </row>
    <row r="4446" spans="1:28" s="37" customFormat="1" x14ac:dyDescent="0.15">
      <c r="A4446" s="70"/>
      <c r="B4446" s="117"/>
      <c r="C4446" s="70"/>
      <c r="D4446" s="70"/>
      <c r="E4446" s="70"/>
      <c r="F4446" s="70"/>
      <c r="G4446" s="70"/>
      <c r="H4446" s="93"/>
      <c r="I4446" s="85"/>
      <c r="J4446" s="85"/>
      <c r="K4446" s="131"/>
      <c r="L4446" s="60"/>
      <c r="M4446" s="33"/>
      <c r="Q4446" s="3"/>
      <c r="R4446" s="3"/>
      <c r="S4446" s="3"/>
      <c r="T4446" s="3"/>
      <c r="U4446" s="3"/>
      <c r="V4446" s="3"/>
      <c r="W4446" s="3"/>
      <c r="X4446" s="3"/>
      <c r="Y4446" s="3"/>
      <c r="Z4446" s="4"/>
      <c r="AA4446"/>
      <c r="AB4446"/>
    </row>
    <row r="4447" spans="1:28" s="37" customFormat="1" x14ac:dyDescent="0.15">
      <c r="A4447" s="70"/>
      <c r="B4447" s="117"/>
      <c r="C4447" s="70"/>
      <c r="D4447" s="70"/>
      <c r="E4447" s="70"/>
      <c r="F4447" s="70"/>
      <c r="G4447" s="70"/>
      <c r="H4447" s="93"/>
      <c r="I4447" s="85"/>
      <c r="J4447" s="85"/>
      <c r="K4447" s="131"/>
      <c r="L4447" s="60"/>
      <c r="M4447" s="33"/>
      <c r="Q4447" s="3"/>
      <c r="R4447" s="3"/>
      <c r="S4447" s="3"/>
      <c r="T4447" s="3"/>
      <c r="U4447" s="3"/>
      <c r="V4447" s="3"/>
      <c r="W4447" s="3"/>
      <c r="X4447" s="3"/>
      <c r="Y4447" s="3"/>
      <c r="Z4447" s="4"/>
      <c r="AA4447"/>
      <c r="AB4447"/>
    </row>
    <row r="4448" spans="1:28" s="37" customFormat="1" x14ac:dyDescent="0.15">
      <c r="A4448" s="70"/>
      <c r="B4448" s="118"/>
      <c r="C4448" s="70"/>
      <c r="D4448" s="70"/>
      <c r="E4448" s="70"/>
      <c r="F4448" s="70"/>
      <c r="G4448" s="70"/>
      <c r="H4448" s="93"/>
      <c r="I4448" s="85"/>
      <c r="J4448" s="85"/>
      <c r="K4448" s="131"/>
      <c r="L4448" s="60"/>
      <c r="M4448" s="33"/>
      <c r="Q4448" s="3"/>
      <c r="R4448" s="3"/>
      <c r="S4448" s="3"/>
      <c r="T4448" s="3"/>
      <c r="U4448" s="3"/>
      <c r="V4448" s="3"/>
      <c r="W4448" s="3"/>
      <c r="X4448" s="3"/>
      <c r="Y4448" s="3"/>
      <c r="Z4448" s="4"/>
      <c r="AA4448"/>
      <c r="AB4448"/>
    </row>
    <row r="4449" spans="1:28" s="37" customFormat="1" x14ac:dyDescent="0.15">
      <c r="A4449" s="70"/>
      <c r="B4449" s="117"/>
      <c r="C4449" s="70"/>
      <c r="D4449" s="70"/>
      <c r="E4449" s="70"/>
      <c r="F4449" s="70"/>
      <c r="G4449" s="70"/>
      <c r="H4449" s="93"/>
      <c r="I4449" s="85"/>
      <c r="J4449" s="85"/>
      <c r="K4449" s="131"/>
      <c r="L4449" s="60"/>
      <c r="M4449" s="33"/>
      <c r="Q4449" s="3"/>
      <c r="R4449" s="3"/>
      <c r="S4449" s="3"/>
      <c r="T4449" s="3"/>
      <c r="U4449" s="3"/>
      <c r="V4449" s="3"/>
      <c r="W4449" s="3"/>
      <c r="X4449" s="3"/>
      <c r="Y4449" s="3"/>
      <c r="Z4449" s="4"/>
      <c r="AA4449"/>
      <c r="AB4449"/>
    </row>
    <row r="4450" spans="1:28" s="37" customFormat="1" x14ac:dyDescent="0.15">
      <c r="A4450" s="70"/>
      <c r="B4450" s="117"/>
      <c r="C4450" s="73"/>
      <c r="D4450" s="73"/>
      <c r="E4450" s="73"/>
      <c r="F4450" s="73"/>
      <c r="G4450" s="73"/>
      <c r="H4450" s="108"/>
      <c r="I4450" s="85"/>
      <c r="J4450" s="85"/>
      <c r="K4450" s="131"/>
      <c r="L4450" s="60"/>
      <c r="M4450" s="33"/>
      <c r="Q4450" s="3"/>
      <c r="R4450" s="3"/>
      <c r="S4450" s="3"/>
      <c r="T4450" s="3"/>
      <c r="U4450" s="3"/>
      <c r="V4450" s="3"/>
      <c r="W4450" s="3"/>
      <c r="X4450" s="3"/>
      <c r="Y4450" s="3"/>
      <c r="Z4450" s="4"/>
      <c r="AA4450"/>
      <c r="AB4450"/>
    </row>
    <row r="4451" spans="1:28" s="37" customFormat="1" x14ac:dyDescent="0.15">
      <c r="A4451" s="70"/>
      <c r="B4451" s="117"/>
      <c r="C4451" s="73"/>
      <c r="D4451" s="73"/>
      <c r="E4451" s="73"/>
      <c r="F4451" s="73"/>
      <c r="G4451" s="73"/>
      <c r="H4451" s="108"/>
      <c r="I4451" s="85"/>
      <c r="J4451" s="85"/>
      <c r="K4451" s="131"/>
      <c r="L4451" s="60"/>
      <c r="M4451" s="33"/>
      <c r="Q4451" s="3"/>
      <c r="R4451" s="3"/>
      <c r="S4451" s="3"/>
      <c r="T4451" s="3"/>
      <c r="U4451" s="3"/>
      <c r="V4451" s="3"/>
      <c r="W4451" s="3"/>
      <c r="X4451" s="3"/>
      <c r="Y4451" s="3"/>
      <c r="Z4451" s="4"/>
      <c r="AA4451"/>
      <c r="AB4451"/>
    </row>
    <row r="4452" spans="1:28" s="37" customFormat="1" x14ac:dyDescent="0.15">
      <c r="A4452" s="70"/>
      <c r="B4452" s="117"/>
      <c r="C4452" s="70"/>
      <c r="D4452" s="70"/>
      <c r="E4452" s="70"/>
      <c r="F4452" s="70"/>
      <c r="G4452" s="70"/>
      <c r="H4452" s="93"/>
      <c r="I4452" s="85"/>
      <c r="J4452" s="85"/>
      <c r="K4452" s="131"/>
      <c r="L4452" s="60"/>
      <c r="Q4452" s="3"/>
      <c r="R4452" s="3"/>
      <c r="S4452" s="3"/>
      <c r="T4452" s="3"/>
      <c r="U4452" s="3"/>
      <c r="V4452" s="3"/>
      <c r="W4452" s="3"/>
      <c r="X4452" s="3"/>
      <c r="Y4452" s="3"/>
      <c r="Z4452" s="4"/>
      <c r="AA4452"/>
      <c r="AB4452"/>
    </row>
    <row r="4453" spans="1:28" s="37" customFormat="1" x14ac:dyDescent="0.15">
      <c r="A4453" s="70"/>
      <c r="B4453" s="117"/>
      <c r="C4453" s="70"/>
      <c r="D4453" s="70"/>
      <c r="E4453" s="70"/>
      <c r="F4453" s="70"/>
      <c r="G4453" s="70"/>
      <c r="H4453" s="93"/>
      <c r="I4453" s="85"/>
      <c r="J4453" s="85"/>
      <c r="K4453" s="131"/>
      <c r="L4453" s="60"/>
      <c r="Q4453" s="3"/>
      <c r="R4453" s="3"/>
      <c r="S4453" s="3"/>
      <c r="T4453" s="3"/>
      <c r="U4453" s="3"/>
      <c r="V4453" s="3"/>
      <c r="W4453" s="3"/>
      <c r="X4453" s="3"/>
      <c r="Y4453" s="3"/>
      <c r="Z4453" s="4"/>
      <c r="AA4453"/>
      <c r="AB4453"/>
    </row>
    <row r="4454" spans="1:28" s="37" customFormat="1" x14ac:dyDescent="0.15">
      <c r="A4454" s="70"/>
      <c r="B4454" s="117"/>
      <c r="C4454" s="70"/>
      <c r="D4454" s="70"/>
      <c r="E4454" s="70"/>
      <c r="F4454" s="70"/>
      <c r="G4454" s="70"/>
      <c r="H4454" s="93"/>
      <c r="I4454" s="85"/>
      <c r="J4454" s="85"/>
      <c r="K4454" s="131"/>
      <c r="L4454" s="60"/>
      <c r="M4454" s="33"/>
      <c r="Q4454" s="3"/>
      <c r="R4454" s="3"/>
      <c r="S4454" s="3"/>
      <c r="T4454" s="3"/>
      <c r="U4454" s="3"/>
      <c r="V4454" s="3"/>
      <c r="W4454" s="3"/>
      <c r="X4454" s="3"/>
      <c r="Y4454" s="3"/>
      <c r="Z4454" s="4"/>
      <c r="AA4454"/>
      <c r="AB4454"/>
    </row>
    <row r="4455" spans="1:28" s="37" customFormat="1" x14ac:dyDescent="0.15">
      <c r="A4455" s="70"/>
      <c r="B4455" s="117"/>
      <c r="C4455" s="70"/>
      <c r="D4455" s="70"/>
      <c r="E4455" s="70"/>
      <c r="F4455" s="70"/>
      <c r="G4455" s="70"/>
      <c r="H4455" s="93"/>
      <c r="I4455" s="85"/>
      <c r="J4455" s="85"/>
      <c r="K4455" s="131"/>
      <c r="L4455" s="60"/>
      <c r="M4455" s="32"/>
      <c r="Q4455" s="3"/>
      <c r="R4455" s="3"/>
      <c r="S4455" s="3"/>
      <c r="T4455" s="3"/>
      <c r="U4455" s="3"/>
      <c r="V4455" s="3"/>
      <c r="W4455" s="3"/>
      <c r="X4455" s="3"/>
      <c r="Y4455" s="3"/>
      <c r="Z4455" s="4"/>
      <c r="AA4455"/>
      <c r="AB4455"/>
    </row>
    <row r="4456" spans="1:28" s="37" customFormat="1" x14ac:dyDescent="0.15">
      <c r="A4456" s="70"/>
      <c r="B4456" s="117"/>
      <c r="C4456" s="70"/>
      <c r="D4456" s="70"/>
      <c r="E4456" s="70"/>
      <c r="F4456" s="70"/>
      <c r="G4456" s="70"/>
      <c r="H4456" s="93"/>
      <c r="I4456" s="85"/>
      <c r="J4456" s="85"/>
      <c r="K4456" s="131"/>
      <c r="L4456" s="60"/>
      <c r="M4456" s="33"/>
      <c r="Q4456" s="3"/>
      <c r="R4456" s="3"/>
      <c r="S4456" s="3"/>
      <c r="T4456" s="3"/>
      <c r="U4456" s="3"/>
      <c r="V4456" s="3"/>
      <c r="W4456" s="3"/>
      <c r="X4456" s="3"/>
      <c r="Y4456" s="3"/>
      <c r="Z4456" s="4"/>
      <c r="AA4456"/>
      <c r="AB4456"/>
    </row>
    <row r="4457" spans="1:28" s="37" customFormat="1" x14ac:dyDescent="0.15">
      <c r="A4457" s="70"/>
      <c r="B4457" s="117"/>
      <c r="C4457" s="70"/>
      <c r="D4457" s="70"/>
      <c r="E4457" s="70"/>
      <c r="F4457" s="70"/>
      <c r="G4457" s="70"/>
      <c r="H4457" s="93"/>
      <c r="I4457" s="85"/>
      <c r="J4457" s="85"/>
      <c r="K4457" s="131"/>
      <c r="L4457" s="60"/>
      <c r="M4457" s="53"/>
      <c r="Q4457" s="3"/>
      <c r="R4457" s="3"/>
      <c r="S4457" s="3"/>
      <c r="T4457" s="3"/>
      <c r="U4457" s="3"/>
      <c r="V4457" s="3"/>
      <c r="W4457" s="3"/>
      <c r="X4457" s="3"/>
      <c r="Y4457" s="3"/>
      <c r="Z4457" s="4"/>
      <c r="AA4457"/>
      <c r="AB4457"/>
    </row>
    <row r="4458" spans="1:28" s="37" customFormat="1" x14ac:dyDescent="0.15">
      <c r="A4458" s="70"/>
      <c r="B4458" s="117"/>
      <c r="C4458" s="70"/>
      <c r="D4458" s="70"/>
      <c r="E4458" s="70"/>
      <c r="F4458" s="70"/>
      <c r="G4458" s="70"/>
      <c r="H4458" s="93"/>
      <c r="I4458" s="85"/>
      <c r="J4458" s="85"/>
      <c r="K4458" s="131"/>
      <c r="L4458" s="60"/>
      <c r="M4458" s="33"/>
      <c r="Q4458" s="3"/>
      <c r="R4458" s="3"/>
      <c r="S4458" s="3"/>
      <c r="T4458" s="3"/>
      <c r="U4458" s="3"/>
      <c r="V4458" s="3"/>
      <c r="W4458" s="3"/>
      <c r="X4458" s="3"/>
      <c r="Y4458" s="3"/>
      <c r="Z4458" s="4"/>
      <c r="AA4458"/>
      <c r="AB4458"/>
    </row>
    <row r="4459" spans="1:28" s="37" customFormat="1" x14ac:dyDescent="0.15">
      <c r="A4459" s="70"/>
      <c r="B4459" s="117"/>
      <c r="C4459" s="70"/>
      <c r="D4459" s="70"/>
      <c r="E4459" s="70"/>
      <c r="F4459" s="70"/>
      <c r="G4459" s="70"/>
      <c r="H4459" s="93"/>
      <c r="I4459" s="85"/>
      <c r="J4459" s="85"/>
      <c r="K4459" s="131"/>
      <c r="L4459" s="60"/>
      <c r="M4459" s="33"/>
      <c r="Q4459" s="3"/>
      <c r="R4459" s="3"/>
      <c r="S4459" s="3"/>
      <c r="T4459" s="3"/>
      <c r="U4459" s="3"/>
      <c r="V4459" s="3"/>
      <c r="W4459" s="3"/>
      <c r="X4459" s="3"/>
      <c r="Y4459" s="3"/>
      <c r="Z4459" s="4"/>
      <c r="AA4459"/>
      <c r="AB4459"/>
    </row>
    <row r="4460" spans="1:28" s="37" customFormat="1" x14ac:dyDescent="0.15">
      <c r="A4460" s="70"/>
      <c r="B4460" s="117"/>
      <c r="C4460" s="70"/>
      <c r="D4460" s="70"/>
      <c r="E4460" s="70"/>
      <c r="F4460" s="70"/>
      <c r="G4460" s="70"/>
      <c r="H4460" s="93"/>
      <c r="I4460" s="85"/>
      <c r="J4460" s="85"/>
      <c r="K4460" s="131"/>
      <c r="L4460" s="60"/>
      <c r="N4460" s="32"/>
      <c r="Q4460" s="3"/>
      <c r="R4460" s="3"/>
      <c r="S4460" s="3"/>
      <c r="T4460" s="3"/>
      <c r="U4460" s="3"/>
      <c r="V4460" s="3"/>
      <c r="W4460" s="3"/>
      <c r="X4460" s="3"/>
      <c r="Y4460" s="3"/>
      <c r="Z4460" s="4"/>
      <c r="AA4460"/>
      <c r="AB4460"/>
    </row>
    <row r="4461" spans="1:28" s="37" customFormat="1" x14ac:dyDescent="0.15">
      <c r="A4461" s="70"/>
      <c r="B4461" s="117"/>
      <c r="C4461" s="70"/>
      <c r="D4461" s="70"/>
      <c r="E4461" s="70"/>
      <c r="F4461" s="70"/>
      <c r="G4461" s="70"/>
      <c r="H4461" s="93"/>
      <c r="I4461" s="85"/>
      <c r="J4461" s="85"/>
      <c r="K4461" s="131"/>
      <c r="L4461" s="60"/>
      <c r="Q4461" s="3"/>
      <c r="R4461" s="3"/>
      <c r="S4461" s="3"/>
      <c r="T4461" s="3"/>
      <c r="U4461" s="3"/>
      <c r="V4461" s="3"/>
      <c r="W4461" s="3"/>
      <c r="X4461" s="3"/>
      <c r="Y4461" s="3"/>
      <c r="Z4461" s="4"/>
      <c r="AA4461"/>
      <c r="AB4461"/>
    </row>
    <row r="4462" spans="1:28" s="37" customFormat="1" x14ac:dyDescent="0.15">
      <c r="A4462" s="62"/>
      <c r="B4462" s="117"/>
      <c r="C4462" s="62"/>
      <c r="D4462" s="62"/>
      <c r="E4462" s="62"/>
      <c r="F4462" s="62"/>
      <c r="G4462" s="62"/>
      <c r="H4462" s="97"/>
      <c r="I4462" s="85"/>
      <c r="J4462" s="98"/>
      <c r="K4462" s="141"/>
      <c r="L4462" s="67"/>
      <c r="M4462" s="35"/>
      <c r="Q4462" s="3"/>
      <c r="R4462" s="3"/>
      <c r="S4462" s="3"/>
      <c r="T4462" s="3"/>
      <c r="U4462" s="3"/>
      <c r="V4462" s="3"/>
      <c r="W4462" s="3"/>
      <c r="X4462" s="3"/>
      <c r="Y4462" s="3"/>
      <c r="Z4462" s="4"/>
      <c r="AA4462"/>
      <c r="AB4462"/>
    </row>
    <row r="4463" spans="1:28" s="37" customFormat="1" x14ac:dyDescent="0.15">
      <c r="A4463" s="70"/>
      <c r="B4463" s="117"/>
      <c r="C4463" s="70"/>
      <c r="D4463" s="70"/>
      <c r="E4463" s="73"/>
      <c r="F4463" s="70"/>
      <c r="G4463" s="70"/>
      <c r="H4463" s="93"/>
      <c r="I4463" s="85"/>
      <c r="J4463" s="85"/>
      <c r="K4463" s="131"/>
      <c r="L4463" s="60"/>
      <c r="M4463" s="33"/>
      <c r="Q4463" s="3"/>
      <c r="R4463" s="3"/>
      <c r="S4463" s="3"/>
      <c r="T4463" s="3"/>
      <c r="U4463" s="3"/>
      <c r="V4463" s="3"/>
      <c r="W4463" s="3"/>
      <c r="X4463" s="3"/>
      <c r="Y4463" s="3"/>
      <c r="Z4463" s="4"/>
      <c r="AA4463"/>
      <c r="AB4463"/>
    </row>
    <row r="4464" spans="1:28" s="37" customFormat="1" x14ac:dyDescent="0.15">
      <c r="A4464" s="70"/>
      <c r="B4464" s="117"/>
      <c r="C4464" s="70"/>
      <c r="D4464" s="70"/>
      <c r="E4464" s="70"/>
      <c r="F4464" s="70"/>
      <c r="G4464" s="70"/>
      <c r="H4464" s="93"/>
      <c r="I4464" s="85"/>
      <c r="J4464" s="85"/>
      <c r="K4464" s="131"/>
      <c r="L4464" s="60"/>
      <c r="M4464" s="33"/>
      <c r="Q4464" s="3"/>
      <c r="R4464" s="3"/>
      <c r="S4464" s="3"/>
      <c r="T4464" s="3"/>
      <c r="U4464" s="3"/>
      <c r="V4464" s="3"/>
      <c r="W4464" s="3"/>
      <c r="X4464" s="3"/>
      <c r="Y4464" s="3"/>
      <c r="Z4464" s="4"/>
      <c r="AA4464"/>
      <c r="AB4464"/>
    </row>
    <row r="4465" spans="1:28" s="37" customFormat="1" x14ac:dyDescent="0.15">
      <c r="A4465" s="70"/>
      <c r="B4465" s="117"/>
      <c r="C4465" s="70"/>
      <c r="D4465" s="70"/>
      <c r="E4465" s="70"/>
      <c r="F4465" s="70"/>
      <c r="G4465" s="70"/>
      <c r="H4465" s="93"/>
      <c r="I4465" s="85"/>
      <c r="J4465" s="85"/>
      <c r="K4465" s="131"/>
      <c r="L4465" s="67"/>
      <c r="M4465" s="33"/>
      <c r="Q4465" s="3"/>
      <c r="R4465" s="3"/>
      <c r="S4465" s="3"/>
      <c r="T4465" s="3"/>
      <c r="U4465" s="3"/>
      <c r="V4465" s="3"/>
      <c r="W4465" s="3"/>
      <c r="X4465" s="3"/>
      <c r="Y4465" s="3"/>
      <c r="Z4465" s="4"/>
      <c r="AA4465"/>
      <c r="AB4465"/>
    </row>
    <row r="4466" spans="1:28" s="37" customFormat="1" x14ac:dyDescent="0.15">
      <c r="A4466" s="70"/>
      <c r="B4466" s="117"/>
      <c r="C4466" s="70"/>
      <c r="D4466" s="70"/>
      <c r="E4466" s="70"/>
      <c r="F4466" s="70"/>
      <c r="G4466" s="70"/>
      <c r="H4466" s="93"/>
      <c r="I4466" s="85"/>
      <c r="J4466" s="85"/>
      <c r="K4466" s="131"/>
      <c r="L4466" s="60"/>
      <c r="Q4466" s="3"/>
      <c r="R4466" s="3"/>
      <c r="S4466" s="3"/>
      <c r="T4466" s="3"/>
      <c r="U4466" s="3"/>
      <c r="V4466" s="3"/>
      <c r="W4466" s="3"/>
      <c r="X4466" s="3"/>
      <c r="Y4466" s="3"/>
      <c r="Z4466" s="4"/>
      <c r="AA4466"/>
      <c r="AB4466"/>
    </row>
    <row r="4467" spans="1:28" s="37" customFormat="1" x14ac:dyDescent="0.15">
      <c r="A4467" s="70"/>
      <c r="B4467" s="117"/>
      <c r="C4467" s="70"/>
      <c r="D4467" s="70"/>
      <c r="E4467" s="70"/>
      <c r="F4467" s="70"/>
      <c r="G4467" s="70"/>
      <c r="H4467" s="93"/>
      <c r="I4467" s="85"/>
      <c r="J4467" s="85"/>
      <c r="K4467" s="131"/>
      <c r="L4467" s="60"/>
      <c r="M4467" s="33"/>
      <c r="Q4467" s="3"/>
      <c r="R4467" s="3"/>
      <c r="S4467" s="3"/>
      <c r="T4467" s="3"/>
      <c r="U4467" s="3"/>
      <c r="V4467" s="3"/>
      <c r="W4467" s="3"/>
      <c r="X4467" s="3"/>
      <c r="Y4467" s="3"/>
      <c r="Z4467" s="4"/>
      <c r="AA4467"/>
      <c r="AB4467"/>
    </row>
    <row r="4468" spans="1:28" s="37" customFormat="1" ht="16" x14ac:dyDescent="0.2">
      <c r="A4468" s="70"/>
      <c r="B4468" s="117"/>
      <c r="C4468" s="70"/>
      <c r="D4468" s="70"/>
      <c r="E4468" s="70"/>
      <c r="F4468" s="70"/>
      <c r="G4468" s="70"/>
      <c r="H4468" s="93"/>
      <c r="I4468" s="85"/>
      <c r="J4468" s="85"/>
      <c r="K4468" s="131"/>
      <c r="L4468" s="60"/>
      <c r="M4468" s="47"/>
      <c r="Q4468" s="3"/>
      <c r="R4468" s="3"/>
      <c r="S4468" s="3"/>
      <c r="T4468" s="3"/>
      <c r="U4468" s="3"/>
      <c r="V4468" s="3"/>
      <c r="W4468" s="3"/>
      <c r="X4468" s="3"/>
      <c r="Y4468" s="3"/>
      <c r="Z4468" s="4"/>
      <c r="AA4468"/>
      <c r="AB4468"/>
    </row>
    <row r="4469" spans="1:28" s="37" customFormat="1" x14ac:dyDescent="0.15">
      <c r="A4469" s="70"/>
      <c r="B4469" s="117"/>
      <c r="C4469" s="73"/>
      <c r="D4469" s="73"/>
      <c r="E4469" s="73"/>
      <c r="F4469" s="73"/>
      <c r="G4469" s="73"/>
      <c r="H4469" s="108"/>
      <c r="I4469" s="85"/>
      <c r="J4469" s="85"/>
      <c r="K4469" s="131"/>
      <c r="L4469" s="60"/>
      <c r="M4469" s="33"/>
      <c r="Q4469" s="3"/>
      <c r="R4469" s="3"/>
      <c r="S4469" s="3"/>
      <c r="T4469" s="3"/>
      <c r="U4469" s="3"/>
      <c r="V4469" s="3"/>
      <c r="W4469" s="3"/>
      <c r="X4469" s="3"/>
      <c r="Y4469" s="3"/>
      <c r="Z4469" s="4"/>
      <c r="AA4469"/>
      <c r="AB4469"/>
    </row>
    <row r="4470" spans="1:28" s="37" customFormat="1" x14ac:dyDescent="0.15">
      <c r="A4470" s="70"/>
      <c r="B4470" s="117"/>
      <c r="C4470" s="70"/>
      <c r="D4470" s="70"/>
      <c r="E4470" s="70"/>
      <c r="F4470" s="70"/>
      <c r="G4470" s="70"/>
      <c r="H4470" s="93"/>
      <c r="I4470" s="85"/>
      <c r="J4470" s="85"/>
      <c r="K4470" s="131"/>
      <c r="L4470" s="60"/>
      <c r="M4470" s="33"/>
      <c r="Q4470" s="3"/>
      <c r="R4470" s="3"/>
      <c r="S4470" s="3"/>
      <c r="T4470" s="3"/>
      <c r="U4470" s="3"/>
      <c r="V4470" s="3"/>
      <c r="W4470" s="3"/>
      <c r="X4470" s="3"/>
      <c r="Y4470" s="3"/>
      <c r="Z4470" s="4"/>
      <c r="AA4470"/>
      <c r="AB4470"/>
    </row>
    <row r="4471" spans="1:28" s="37" customFormat="1" ht="16" x14ac:dyDescent="0.2">
      <c r="A4471" s="70"/>
      <c r="B4471" s="117"/>
      <c r="C4471" s="70"/>
      <c r="D4471" s="70"/>
      <c r="E4471" s="70"/>
      <c r="F4471" s="70"/>
      <c r="G4471" s="70"/>
      <c r="H4471" s="93"/>
      <c r="I4471" s="85"/>
      <c r="J4471" s="85"/>
      <c r="K4471" s="131"/>
      <c r="L4471" s="60"/>
      <c r="M4471" s="47"/>
      <c r="Q4471" s="3"/>
      <c r="R4471" s="3"/>
      <c r="S4471" s="3"/>
      <c r="T4471" s="3"/>
      <c r="U4471" s="3"/>
      <c r="V4471" s="3"/>
      <c r="W4471" s="3"/>
      <c r="X4471" s="3"/>
      <c r="Y4471" s="3"/>
      <c r="Z4471" s="4"/>
      <c r="AA4471"/>
      <c r="AB4471"/>
    </row>
    <row r="4472" spans="1:28" s="37" customFormat="1" ht="16" x14ac:dyDescent="0.2">
      <c r="A4472" s="70"/>
      <c r="B4472" s="117"/>
      <c r="C4472" s="73"/>
      <c r="D4472" s="73"/>
      <c r="E4472" s="73"/>
      <c r="F4472" s="73"/>
      <c r="G4472" s="73"/>
      <c r="H4472" s="108"/>
      <c r="I4472" s="85"/>
      <c r="J4472" s="95"/>
      <c r="K4472" s="131"/>
      <c r="L4472" s="60"/>
      <c r="M4472" s="47"/>
      <c r="N4472" s="48"/>
      <c r="Q4472" s="3"/>
      <c r="R4472" s="3"/>
      <c r="S4472" s="3"/>
      <c r="T4472" s="3"/>
      <c r="U4472" s="3"/>
      <c r="V4472" s="3"/>
      <c r="W4472" s="3"/>
      <c r="X4472" s="3"/>
      <c r="Y4472" s="3"/>
      <c r="Z4472" s="4"/>
      <c r="AA4472"/>
      <c r="AB4472"/>
    </row>
    <row r="4473" spans="1:28" s="37" customFormat="1" ht="16" x14ac:dyDescent="0.2">
      <c r="A4473" s="70"/>
      <c r="B4473" s="117"/>
      <c r="C4473" s="70"/>
      <c r="D4473" s="70"/>
      <c r="E4473" s="70"/>
      <c r="F4473" s="70"/>
      <c r="G4473" s="70"/>
      <c r="H4473" s="93"/>
      <c r="I4473" s="85"/>
      <c r="J4473" s="85"/>
      <c r="K4473" s="131"/>
      <c r="L4473" s="60"/>
      <c r="M4473" s="47"/>
      <c r="Q4473" s="3"/>
      <c r="R4473" s="3"/>
      <c r="S4473" s="3"/>
      <c r="T4473" s="3"/>
      <c r="U4473" s="3"/>
      <c r="V4473" s="3"/>
      <c r="W4473" s="3"/>
      <c r="X4473" s="3"/>
      <c r="Y4473" s="3"/>
      <c r="Z4473" s="4"/>
      <c r="AA4473"/>
      <c r="AB4473"/>
    </row>
    <row r="4474" spans="1:28" s="37" customFormat="1" ht="16" x14ac:dyDescent="0.2">
      <c r="A4474" s="70"/>
      <c r="B4474" s="117"/>
      <c r="C4474" s="70"/>
      <c r="D4474" s="70"/>
      <c r="E4474" s="73"/>
      <c r="F4474" s="70"/>
      <c r="G4474" s="70"/>
      <c r="H4474" s="93"/>
      <c r="I4474" s="85"/>
      <c r="J4474" s="85"/>
      <c r="K4474" s="131"/>
      <c r="L4474" s="60"/>
      <c r="M4474" s="47"/>
      <c r="Q4474" s="3"/>
      <c r="R4474" s="3"/>
      <c r="S4474" s="3"/>
      <c r="T4474" s="3"/>
      <c r="U4474" s="3"/>
      <c r="V4474" s="3"/>
      <c r="W4474" s="3"/>
      <c r="X4474" s="3"/>
      <c r="Y4474" s="3"/>
      <c r="Z4474" s="4"/>
      <c r="AA4474"/>
      <c r="AB4474"/>
    </row>
    <row r="4475" spans="1:28" s="37" customFormat="1" ht="16" x14ac:dyDescent="0.2">
      <c r="A4475" s="70"/>
      <c r="B4475" s="117"/>
      <c r="C4475" s="70"/>
      <c r="D4475" s="70"/>
      <c r="E4475" s="73"/>
      <c r="F4475" s="70"/>
      <c r="G4475" s="70"/>
      <c r="H4475" s="93"/>
      <c r="I4475" s="85"/>
      <c r="J4475" s="85"/>
      <c r="K4475" s="131"/>
      <c r="L4475" s="60"/>
      <c r="M4475" s="47"/>
      <c r="Q4475" s="3"/>
      <c r="R4475" s="3"/>
      <c r="S4475" s="3"/>
      <c r="T4475" s="3"/>
      <c r="U4475" s="3"/>
      <c r="V4475" s="3"/>
      <c r="W4475" s="3"/>
      <c r="X4475" s="3"/>
      <c r="Y4475" s="3"/>
      <c r="Z4475" s="4"/>
      <c r="AA4475"/>
      <c r="AB4475"/>
    </row>
    <row r="4476" spans="1:28" s="37" customFormat="1" x14ac:dyDescent="0.15">
      <c r="A4476" s="70"/>
      <c r="B4476" s="117"/>
      <c r="C4476" s="70"/>
      <c r="D4476" s="70"/>
      <c r="E4476" s="70"/>
      <c r="F4476" s="70"/>
      <c r="G4476" s="70"/>
      <c r="H4476" s="93"/>
      <c r="I4476" s="85"/>
      <c r="J4476" s="85"/>
      <c r="K4476" s="131"/>
      <c r="L4476" s="60"/>
      <c r="M4476" s="33"/>
      <c r="Q4476" s="3"/>
      <c r="R4476" s="3"/>
      <c r="S4476" s="3"/>
      <c r="T4476" s="3"/>
      <c r="U4476" s="3"/>
      <c r="V4476" s="3"/>
      <c r="W4476" s="3"/>
      <c r="X4476" s="3"/>
      <c r="Y4476" s="3"/>
      <c r="Z4476" s="4"/>
      <c r="AA4476"/>
      <c r="AB4476"/>
    </row>
    <row r="4477" spans="1:28" s="37" customFormat="1" x14ac:dyDescent="0.15">
      <c r="A4477" s="70"/>
      <c r="B4477" s="117"/>
      <c r="C4477" s="70"/>
      <c r="D4477" s="70"/>
      <c r="E4477" s="70"/>
      <c r="F4477" s="70"/>
      <c r="G4477" s="70"/>
      <c r="H4477" s="93"/>
      <c r="I4477" s="85"/>
      <c r="J4477" s="85"/>
      <c r="K4477" s="131"/>
      <c r="L4477" s="60"/>
      <c r="Q4477" s="3"/>
      <c r="R4477" s="3"/>
      <c r="S4477" s="3"/>
      <c r="T4477" s="3"/>
      <c r="U4477" s="3"/>
      <c r="V4477" s="3"/>
      <c r="W4477" s="3"/>
      <c r="X4477" s="3"/>
      <c r="Y4477" s="3"/>
      <c r="Z4477" s="4"/>
      <c r="AA4477"/>
      <c r="AB4477"/>
    </row>
    <row r="4478" spans="1:28" s="37" customFormat="1" x14ac:dyDescent="0.15">
      <c r="A4478" s="70"/>
      <c r="B4478" s="117"/>
      <c r="C4478" s="70"/>
      <c r="D4478" s="70"/>
      <c r="E4478" s="70"/>
      <c r="F4478" s="70"/>
      <c r="G4478" s="70"/>
      <c r="H4478" s="93"/>
      <c r="I4478" s="85"/>
      <c r="J4478" s="85"/>
      <c r="K4478" s="131"/>
      <c r="L4478" s="60"/>
      <c r="Q4478" s="3"/>
      <c r="R4478" s="3"/>
      <c r="S4478" s="3"/>
      <c r="T4478" s="3"/>
      <c r="U4478" s="3"/>
      <c r="V4478" s="3"/>
      <c r="W4478" s="3"/>
      <c r="X4478" s="3"/>
      <c r="Y4478" s="3"/>
      <c r="Z4478" s="4"/>
      <c r="AA4478"/>
      <c r="AB4478"/>
    </row>
    <row r="4479" spans="1:28" s="37" customFormat="1" x14ac:dyDescent="0.15">
      <c r="A4479" s="70"/>
      <c r="B4479" s="117"/>
      <c r="C4479" s="70"/>
      <c r="D4479" s="70"/>
      <c r="E4479" s="70"/>
      <c r="F4479" s="70"/>
      <c r="G4479" s="70"/>
      <c r="H4479" s="93"/>
      <c r="I4479" s="85"/>
      <c r="J4479" s="85"/>
      <c r="K4479" s="131"/>
      <c r="L4479" s="60"/>
      <c r="Q4479" s="3"/>
      <c r="R4479" s="3"/>
      <c r="S4479" s="3"/>
      <c r="T4479" s="3"/>
      <c r="U4479" s="3"/>
      <c r="V4479" s="3"/>
      <c r="W4479" s="3"/>
      <c r="X4479" s="3"/>
      <c r="Y4479" s="3"/>
      <c r="Z4479" s="4"/>
      <c r="AA4479"/>
      <c r="AB4479"/>
    </row>
    <row r="4480" spans="1:28" s="37" customFormat="1" x14ac:dyDescent="0.15">
      <c r="A4480" s="70"/>
      <c r="B4480" s="117"/>
      <c r="C4480" s="70"/>
      <c r="D4480" s="70"/>
      <c r="E4480" s="70"/>
      <c r="F4480" s="70"/>
      <c r="G4480" s="70"/>
      <c r="H4480" s="93"/>
      <c r="I4480" s="85"/>
      <c r="J4480" s="85"/>
      <c r="K4480" s="142"/>
      <c r="L4480" s="60"/>
      <c r="Q4480" s="3"/>
      <c r="R4480" s="3"/>
      <c r="S4480" s="3"/>
      <c r="T4480" s="3"/>
      <c r="U4480" s="3"/>
      <c r="V4480" s="3"/>
      <c r="W4480" s="3"/>
      <c r="X4480" s="3"/>
      <c r="Y4480" s="3"/>
      <c r="Z4480" s="4"/>
      <c r="AA4480"/>
      <c r="AB4480"/>
    </row>
    <row r="4481" spans="1:28" s="37" customFormat="1" x14ac:dyDescent="0.15">
      <c r="A4481" s="70"/>
      <c r="B4481" s="117"/>
      <c r="C4481" s="70"/>
      <c r="D4481" s="70"/>
      <c r="E4481" s="70"/>
      <c r="F4481" s="70"/>
      <c r="G4481" s="70"/>
      <c r="H4481" s="93"/>
      <c r="I4481" s="85"/>
      <c r="J4481" s="85"/>
      <c r="K4481" s="131"/>
      <c r="L4481" s="60"/>
      <c r="Q4481" s="3"/>
      <c r="R4481" s="3"/>
      <c r="S4481" s="3"/>
      <c r="T4481" s="3"/>
      <c r="U4481" s="3"/>
      <c r="V4481" s="3"/>
      <c r="W4481" s="3"/>
      <c r="X4481" s="3"/>
      <c r="Y4481" s="3"/>
      <c r="Z4481" s="4"/>
      <c r="AA4481"/>
      <c r="AB4481"/>
    </row>
    <row r="4482" spans="1:28" s="37" customFormat="1" x14ac:dyDescent="0.15">
      <c r="A4482" s="70"/>
      <c r="B4482" s="117"/>
      <c r="C4482" s="70"/>
      <c r="D4482" s="70"/>
      <c r="E4482" s="70"/>
      <c r="F4482" s="70"/>
      <c r="G4482" s="70"/>
      <c r="H4482" s="93"/>
      <c r="I4482" s="85"/>
      <c r="J4482" s="85"/>
      <c r="K4482" s="131"/>
      <c r="L4482" s="60"/>
      <c r="Q4482" s="3"/>
      <c r="R4482" s="3"/>
      <c r="S4482" s="3"/>
      <c r="T4482" s="3"/>
      <c r="U4482" s="3"/>
      <c r="V4482" s="3"/>
      <c r="W4482" s="3"/>
      <c r="X4482" s="3"/>
      <c r="Y4482" s="3"/>
      <c r="Z4482" s="4"/>
      <c r="AA4482"/>
      <c r="AB4482"/>
    </row>
    <row r="4483" spans="1:28" s="37" customFormat="1" x14ac:dyDescent="0.15">
      <c r="A4483" s="70"/>
      <c r="B4483" s="117"/>
      <c r="C4483" s="70"/>
      <c r="D4483" s="70"/>
      <c r="E4483" s="70"/>
      <c r="F4483" s="70"/>
      <c r="G4483" s="70"/>
      <c r="H4483" s="93"/>
      <c r="I4483" s="85"/>
      <c r="J4483" s="85"/>
      <c r="K4483" s="142"/>
      <c r="L4483" s="60"/>
      <c r="Q4483" s="3"/>
      <c r="R4483" s="3"/>
      <c r="S4483" s="3"/>
      <c r="T4483" s="3"/>
      <c r="U4483" s="3"/>
      <c r="V4483" s="3"/>
      <c r="W4483" s="3"/>
      <c r="X4483" s="3"/>
      <c r="Y4483" s="3"/>
      <c r="Z4483" s="4"/>
      <c r="AA4483"/>
      <c r="AB4483"/>
    </row>
    <row r="4484" spans="1:28" s="37" customFormat="1" x14ac:dyDescent="0.15">
      <c r="A4484" s="70"/>
      <c r="B4484" s="117"/>
      <c r="C4484" s="70"/>
      <c r="D4484" s="70"/>
      <c r="E4484" s="70"/>
      <c r="F4484" s="70"/>
      <c r="G4484" s="70"/>
      <c r="H4484" s="93"/>
      <c r="I4484" s="85"/>
      <c r="J4484" s="85"/>
      <c r="K4484" s="142"/>
      <c r="L4484" s="60"/>
      <c r="Q4484" s="3"/>
      <c r="R4484" s="3"/>
      <c r="S4484" s="3"/>
      <c r="T4484" s="3"/>
      <c r="U4484" s="3"/>
      <c r="V4484" s="3"/>
      <c r="W4484" s="3"/>
      <c r="X4484" s="3"/>
      <c r="Y4484" s="3"/>
      <c r="Z4484" s="4"/>
      <c r="AA4484"/>
      <c r="AB4484"/>
    </row>
    <row r="4485" spans="1:28" s="37" customFormat="1" x14ac:dyDescent="0.15">
      <c r="A4485" s="83"/>
      <c r="B4485" s="117"/>
      <c r="C4485" s="70"/>
      <c r="D4485" s="70"/>
      <c r="E4485" s="70"/>
      <c r="F4485" s="70"/>
      <c r="G4485" s="70"/>
      <c r="H4485" s="93"/>
      <c r="I4485" s="85"/>
      <c r="J4485" s="85"/>
      <c r="K4485" s="131"/>
      <c r="L4485" s="70"/>
      <c r="M4485" s="33"/>
      <c r="Q4485" s="3"/>
      <c r="R4485" s="3"/>
      <c r="S4485" s="3"/>
      <c r="T4485" s="3"/>
      <c r="U4485" s="3"/>
      <c r="V4485" s="3"/>
      <c r="W4485" s="3"/>
      <c r="X4485" s="3"/>
      <c r="Y4485" s="3"/>
      <c r="Z4485" s="4"/>
      <c r="AA4485"/>
      <c r="AB4485"/>
    </row>
    <row r="4486" spans="1:28" s="37" customFormat="1" x14ac:dyDescent="0.15">
      <c r="A4486" s="70"/>
      <c r="B4486" s="117"/>
      <c r="C4486" s="70"/>
      <c r="D4486" s="70"/>
      <c r="E4486" s="70"/>
      <c r="F4486" s="70"/>
      <c r="G4486" s="70"/>
      <c r="H4486" s="93"/>
      <c r="I4486" s="85"/>
      <c r="J4486" s="85"/>
      <c r="K4486" s="131"/>
      <c r="L4486" s="60"/>
      <c r="M4486" s="33"/>
      <c r="Q4486" s="3"/>
      <c r="R4486" s="3"/>
      <c r="S4486" s="3"/>
      <c r="T4486" s="3"/>
      <c r="U4486" s="3"/>
      <c r="V4486" s="3"/>
      <c r="W4486" s="3"/>
      <c r="X4486" s="3"/>
      <c r="Y4486" s="3"/>
      <c r="Z4486" s="4"/>
      <c r="AA4486"/>
      <c r="AB4486"/>
    </row>
    <row r="4487" spans="1:28" s="37" customFormat="1" x14ac:dyDescent="0.15">
      <c r="A4487" s="70"/>
      <c r="B4487" s="118"/>
      <c r="C4487" s="70"/>
      <c r="D4487" s="70"/>
      <c r="E4487" s="70"/>
      <c r="F4487" s="70"/>
      <c r="G4487" s="70"/>
      <c r="H4487" s="93"/>
      <c r="I4487" s="85"/>
      <c r="J4487" s="85"/>
      <c r="K4487" s="131"/>
      <c r="L4487" s="60"/>
      <c r="M4487" s="33"/>
      <c r="Q4487" s="3"/>
      <c r="R4487" s="3"/>
      <c r="S4487" s="3"/>
      <c r="T4487" s="3"/>
      <c r="U4487" s="3"/>
      <c r="V4487" s="3"/>
      <c r="W4487" s="3"/>
      <c r="X4487" s="3"/>
      <c r="Y4487" s="3"/>
      <c r="Z4487" s="4"/>
      <c r="AA4487"/>
      <c r="AB4487"/>
    </row>
    <row r="4488" spans="1:28" s="37" customFormat="1" x14ac:dyDescent="0.15">
      <c r="A4488" s="70"/>
      <c r="B4488" s="117"/>
      <c r="C4488" s="70"/>
      <c r="D4488" s="70"/>
      <c r="E4488" s="70"/>
      <c r="F4488" s="70"/>
      <c r="G4488" s="70"/>
      <c r="H4488" s="93"/>
      <c r="I4488" s="85"/>
      <c r="J4488" s="85"/>
      <c r="K4488" s="142"/>
      <c r="L4488" s="60"/>
      <c r="Q4488" s="3"/>
      <c r="R4488" s="3"/>
      <c r="S4488" s="3"/>
      <c r="T4488" s="3"/>
      <c r="U4488" s="3"/>
      <c r="V4488" s="3"/>
      <c r="W4488" s="3"/>
      <c r="X4488" s="3"/>
      <c r="Y4488" s="3"/>
      <c r="Z4488" s="4"/>
      <c r="AA4488"/>
      <c r="AB4488"/>
    </row>
    <row r="4489" spans="1:28" s="37" customFormat="1" x14ac:dyDescent="0.15">
      <c r="A4489" s="70"/>
      <c r="B4489" s="118"/>
      <c r="C4489" s="70"/>
      <c r="D4489" s="70"/>
      <c r="E4489" s="70"/>
      <c r="F4489" s="70"/>
      <c r="G4489" s="70"/>
      <c r="H4489" s="93"/>
      <c r="I4489" s="85"/>
      <c r="J4489" s="85"/>
      <c r="K4489" s="131"/>
      <c r="L4489" s="67"/>
      <c r="M4489" s="33"/>
      <c r="Q4489" s="3"/>
      <c r="R4489" s="3"/>
      <c r="S4489" s="3"/>
      <c r="T4489" s="3"/>
      <c r="U4489" s="3"/>
      <c r="V4489" s="3"/>
      <c r="W4489" s="3"/>
      <c r="X4489" s="3"/>
      <c r="Y4489" s="3"/>
      <c r="Z4489" s="4"/>
      <c r="AA4489"/>
      <c r="AB4489"/>
    </row>
    <row r="4490" spans="1:28" s="37" customFormat="1" x14ac:dyDescent="0.15">
      <c r="A4490" s="70"/>
      <c r="B4490" s="118"/>
      <c r="C4490" s="70"/>
      <c r="D4490" s="70"/>
      <c r="E4490" s="73"/>
      <c r="F4490" s="70"/>
      <c r="G4490" s="70"/>
      <c r="H4490" s="93"/>
      <c r="I4490" s="85"/>
      <c r="J4490" s="85"/>
      <c r="K4490" s="131"/>
      <c r="L4490" s="60"/>
      <c r="M4490" s="33"/>
      <c r="Q4490" s="3"/>
      <c r="R4490" s="3"/>
      <c r="S4490" s="3"/>
      <c r="T4490" s="3"/>
      <c r="U4490" s="3"/>
      <c r="V4490" s="3"/>
      <c r="W4490" s="3"/>
      <c r="X4490" s="3"/>
      <c r="Y4490" s="3"/>
      <c r="Z4490" s="4"/>
      <c r="AA4490"/>
      <c r="AB4490"/>
    </row>
    <row r="4491" spans="1:28" s="37" customFormat="1" x14ac:dyDescent="0.15">
      <c r="A4491" s="70"/>
      <c r="B4491" s="118"/>
      <c r="C4491" s="73"/>
      <c r="D4491" s="73"/>
      <c r="E4491" s="73"/>
      <c r="F4491" s="73"/>
      <c r="G4491" s="73"/>
      <c r="H4491" s="108"/>
      <c r="I4491" s="85"/>
      <c r="J4491" s="85"/>
      <c r="K4491" s="131"/>
      <c r="L4491" s="60"/>
      <c r="M4491" s="33"/>
      <c r="Q4491" s="3"/>
      <c r="R4491" s="3"/>
      <c r="S4491" s="3"/>
      <c r="T4491" s="3"/>
      <c r="U4491" s="3"/>
      <c r="V4491" s="3"/>
      <c r="W4491" s="3"/>
      <c r="X4491" s="3"/>
      <c r="Y4491" s="3"/>
      <c r="Z4491" s="4"/>
      <c r="AA4491"/>
      <c r="AB4491"/>
    </row>
    <row r="4492" spans="1:28" s="37" customFormat="1" x14ac:dyDescent="0.15">
      <c r="A4492" s="70"/>
      <c r="B4492" s="117"/>
      <c r="C4492" s="70"/>
      <c r="D4492" s="70"/>
      <c r="E4492" s="70"/>
      <c r="F4492" s="70"/>
      <c r="G4492" s="70"/>
      <c r="H4492" s="93"/>
      <c r="I4492" s="85"/>
      <c r="J4492" s="85"/>
      <c r="K4492" s="131"/>
      <c r="L4492" s="60"/>
      <c r="M4492" s="33"/>
      <c r="Q4492" s="3"/>
      <c r="R4492" s="3"/>
      <c r="S4492" s="3"/>
      <c r="T4492" s="3"/>
      <c r="U4492" s="3"/>
      <c r="V4492" s="3"/>
      <c r="W4492" s="3"/>
      <c r="X4492" s="3"/>
      <c r="Y4492" s="3"/>
      <c r="Z4492" s="4"/>
      <c r="AA4492"/>
      <c r="AB4492"/>
    </row>
    <row r="4493" spans="1:28" s="37" customFormat="1" x14ac:dyDescent="0.15">
      <c r="A4493" s="70"/>
      <c r="B4493" s="117"/>
      <c r="C4493" s="70"/>
      <c r="D4493" s="70"/>
      <c r="E4493" s="70"/>
      <c r="F4493" s="70"/>
      <c r="G4493" s="70"/>
      <c r="H4493" s="93"/>
      <c r="I4493" s="103"/>
      <c r="J4493" s="85"/>
      <c r="K4493" s="131"/>
      <c r="L4493" s="60"/>
      <c r="N4493" s="32"/>
      <c r="Q4493" s="3"/>
      <c r="R4493" s="3"/>
      <c r="S4493" s="3"/>
      <c r="T4493" s="3"/>
      <c r="U4493" s="3"/>
      <c r="V4493" s="3"/>
      <c r="W4493" s="3"/>
      <c r="X4493" s="3"/>
      <c r="Y4493" s="3"/>
      <c r="Z4493" s="4"/>
      <c r="AA4493"/>
      <c r="AB4493"/>
    </row>
    <row r="4494" spans="1:28" s="3" customFormat="1" x14ac:dyDescent="0.15">
      <c r="A4494" s="70"/>
      <c r="B4494" s="117"/>
      <c r="C4494" s="70"/>
      <c r="D4494" s="70"/>
      <c r="E4494" s="70"/>
      <c r="F4494" s="70"/>
      <c r="G4494" s="70"/>
      <c r="H4494" s="93"/>
      <c r="I4494" s="103"/>
      <c r="J4494" s="85"/>
      <c r="K4494" s="131"/>
      <c r="L4494" s="60"/>
      <c r="M4494" s="49"/>
      <c r="N4494" s="32"/>
      <c r="O4494" s="37"/>
      <c r="P4494" s="37"/>
      <c r="Z4494" s="4"/>
      <c r="AA4494"/>
      <c r="AB4494"/>
    </row>
    <row r="4495" spans="1:28" s="3" customFormat="1" x14ac:dyDescent="0.15">
      <c r="A4495" s="70"/>
      <c r="B4495" s="117"/>
      <c r="C4495" s="70"/>
      <c r="D4495" s="70"/>
      <c r="E4495" s="73"/>
      <c r="F4495" s="70"/>
      <c r="G4495" s="70"/>
      <c r="H4495" s="93"/>
      <c r="I4495" s="85"/>
      <c r="J4495" s="85"/>
      <c r="K4495" s="131"/>
      <c r="L4495" s="60"/>
      <c r="M4495" s="33"/>
      <c r="N4495" s="37"/>
      <c r="O4495" s="37"/>
      <c r="P4495" s="37"/>
      <c r="Z4495" s="4"/>
      <c r="AA4495"/>
      <c r="AB4495"/>
    </row>
    <row r="4496" spans="1:28" s="3" customFormat="1" x14ac:dyDescent="0.15">
      <c r="A4496" s="70"/>
      <c r="B4496" s="117"/>
      <c r="C4496" s="70"/>
      <c r="D4496" s="70"/>
      <c r="E4496" s="73"/>
      <c r="F4496" s="70"/>
      <c r="G4496" s="70"/>
      <c r="H4496" s="93"/>
      <c r="I4496" s="103"/>
      <c r="J4496" s="85"/>
      <c r="K4496" s="131"/>
      <c r="L4496" s="60"/>
      <c r="M4496" s="49"/>
      <c r="N4496" s="32"/>
      <c r="O4496" s="37"/>
      <c r="P4496" s="37"/>
      <c r="Z4496" s="4"/>
      <c r="AA4496"/>
      <c r="AB4496"/>
    </row>
    <row r="4497" spans="1:28" s="3" customFormat="1" x14ac:dyDescent="0.15">
      <c r="A4497" s="70"/>
      <c r="B4497" s="117"/>
      <c r="C4497" s="70"/>
      <c r="D4497" s="70"/>
      <c r="E4497" s="70"/>
      <c r="F4497" s="70"/>
      <c r="G4497" s="70"/>
      <c r="H4497" s="93"/>
      <c r="I4497" s="85"/>
      <c r="J4497" s="85"/>
      <c r="K4497" s="131"/>
      <c r="L4497" s="60"/>
      <c r="M4497" s="37"/>
      <c r="N4497" s="37"/>
      <c r="O4497" s="37"/>
      <c r="P4497" s="37"/>
      <c r="Z4497" s="4"/>
      <c r="AA4497"/>
      <c r="AB4497"/>
    </row>
    <row r="4498" spans="1:28" s="3" customFormat="1" x14ac:dyDescent="0.15">
      <c r="A4498" s="70"/>
      <c r="B4498" s="117"/>
      <c r="C4498" s="70"/>
      <c r="D4498" s="70"/>
      <c r="E4498" s="70"/>
      <c r="F4498" s="70"/>
      <c r="G4498" s="70"/>
      <c r="H4498" s="93"/>
      <c r="I4498" s="85"/>
      <c r="J4498" s="85"/>
      <c r="K4498" s="131"/>
      <c r="L4498" s="60"/>
      <c r="M4498" s="37"/>
      <c r="N4498" s="37"/>
      <c r="O4498" s="37"/>
      <c r="P4498" s="37"/>
      <c r="Z4498" s="4"/>
      <c r="AA4498"/>
      <c r="AB4498"/>
    </row>
    <row r="4499" spans="1:28" s="3" customFormat="1" x14ac:dyDescent="0.15">
      <c r="A4499" s="70"/>
      <c r="B4499" s="117"/>
      <c r="C4499" s="70"/>
      <c r="D4499" s="70"/>
      <c r="E4499" s="70"/>
      <c r="F4499" s="70"/>
      <c r="G4499" s="70"/>
      <c r="H4499" s="93"/>
      <c r="I4499" s="85"/>
      <c r="J4499" s="85"/>
      <c r="K4499" s="131"/>
      <c r="L4499" s="60"/>
      <c r="M4499" s="37"/>
      <c r="N4499" s="37"/>
      <c r="O4499" s="37"/>
      <c r="P4499" s="37"/>
      <c r="Z4499" s="4"/>
      <c r="AA4499"/>
      <c r="AB4499"/>
    </row>
    <row r="4500" spans="1:28" s="3" customFormat="1" x14ac:dyDescent="0.15">
      <c r="A4500" s="70"/>
      <c r="B4500" s="117"/>
      <c r="C4500" s="70"/>
      <c r="D4500" s="70"/>
      <c r="E4500" s="70"/>
      <c r="F4500" s="70"/>
      <c r="G4500" s="70"/>
      <c r="H4500" s="93"/>
      <c r="I4500" s="85"/>
      <c r="J4500" s="85"/>
      <c r="K4500" s="131"/>
      <c r="L4500" s="60"/>
      <c r="M4500" s="49"/>
      <c r="N4500" s="37"/>
      <c r="O4500" s="37"/>
      <c r="P4500" s="37"/>
      <c r="Z4500" s="4"/>
      <c r="AA4500"/>
      <c r="AB4500"/>
    </row>
    <row r="4501" spans="1:28" s="3" customFormat="1" x14ac:dyDescent="0.15">
      <c r="A4501" s="70"/>
      <c r="B4501" s="117"/>
      <c r="C4501" s="70"/>
      <c r="D4501" s="70"/>
      <c r="E4501" s="70"/>
      <c r="F4501" s="70"/>
      <c r="G4501" s="70"/>
      <c r="H4501" s="93"/>
      <c r="I4501" s="85"/>
      <c r="J4501" s="85"/>
      <c r="K4501" s="135"/>
      <c r="L4501" s="60"/>
      <c r="M4501" s="37"/>
      <c r="N4501" s="37"/>
      <c r="O4501" s="37"/>
      <c r="P4501" s="37"/>
      <c r="Z4501" s="4"/>
      <c r="AA4501"/>
      <c r="AB4501"/>
    </row>
    <row r="4502" spans="1:28" s="3" customFormat="1" x14ac:dyDescent="0.15">
      <c r="A4502" s="70"/>
      <c r="B4502" s="117"/>
      <c r="C4502" s="70"/>
      <c r="D4502" s="70"/>
      <c r="E4502" s="70"/>
      <c r="F4502" s="70"/>
      <c r="G4502" s="70"/>
      <c r="H4502" s="93"/>
      <c r="I4502" s="85"/>
      <c r="J4502" s="85"/>
      <c r="K4502" s="131"/>
      <c r="L4502" s="60"/>
      <c r="M4502" s="33"/>
      <c r="N4502" s="37"/>
      <c r="O4502" s="37"/>
      <c r="P4502" s="37"/>
      <c r="Q4502" s="6"/>
      <c r="R4502" s="6"/>
      <c r="Z4502" s="4"/>
      <c r="AA4502"/>
      <c r="AB4502"/>
    </row>
    <row r="4503" spans="1:28" s="3" customFormat="1" x14ac:dyDescent="0.15">
      <c r="A4503" s="70"/>
      <c r="B4503" s="118"/>
      <c r="C4503" s="70"/>
      <c r="D4503" s="70"/>
      <c r="E4503" s="70"/>
      <c r="F4503" s="70"/>
      <c r="G4503" s="70"/>
      <c r="H4503" s="93"/>
      <c r="I4503" s="85"/>
      <c r="J4503" s="85"/>
      <c r="K4503" s="131"/>
      <c r="L4503" s="60"/>
      <c r="M4503" s="33"/>
      <c r="N4503" s="37"/>
      <c r="O4503" s="37"/>
      <c r="P4503" s="37"/>
      <c r="Q4503" s="6"/>
      <c r="R4503" s="6"/>
      <c r="Z4503" s="4"/>
      <c r="AA4503"/>
      <c r="AB4503"/>
    </row>
    <row r="4504" spans="1:28" s="3" customFormat="1" x14ac:dyDescent="0.15">
      <c r="A4504" s="70"/>
      <c r="B4504" s="117"/>
      <c r="C4504" s="70"/>
      <c r="D4504" s="70"/>
      <c r="E4504" s="70"/>
      <c r="F4504" s="70"/>
      <c r="G4504" s="70"/>
      <c r="H4504" s="93"/>
      <c r="I4504" s="85"/>
      <c r="J4504" s="85"/>
      <c r="K4504" s="131"/>
      <c r="L4504" s="60"/>
      <c r="M4504" s="33"/>
      <c r="N4504" s="37"/>
      <c r="O4504" s="37"/>
      <c r="P4504" s="37"/>
      <c r="Q4504" s="6"/>
      <c r="R4504" s="6"/>
      <c r="Z4504" s="4"/>
      <c r="AA4504"/>
      <c r="AB4504"/>
    </row>
    <row r="4505" spans="1:28" s="3" customFormat="1" ht="16" x14ac:dyDescent="0.2">
      <c r="A4505" s="70"/>
      <c r="B4505" s="117"/>
      <c r="C4505" s="70"/>
      <c r="D4505" s="70"/>
      <c r="E4505" s="70"/>
      <c r="F4505" s="70"/>
      <c r="G4505" s="70"/>
      <c r="H4505" s="93"/>
      <c r="I4505" s="85"/>
      <c r="J4505" s="85"/>
      <c r="K4505" s="131"/>
      <c r="L4505" s="60"/>
      <c r="M4505" s="33"/>
      <c r="N4505" s="48"/>
      <c r="O4505" s="37"/>
      <c r="P4505" s="37"/>
      <c r="Q4505" s="6"/>
      <c r="R4505" s="6"/>
      <c r="Z4505" s="4"/>
      <c r="AA4505"/>
      <c r="AB4505"/>
    </row>
    <row r="4506" spans="1:28" s="3" customFormat="1" x14ac:dyDescent="0.15">
      <c r="A4506" s="70"/>
      <c r="B4506" s="117"/>
      <c r="C4506" s="70"/>
      <c r="D4506" s="70"/>
      <c r="E4506" s="70"/>
      <c r="F4506" s="70"/>
      <c r="G4506" s="70"/>
      <c r="H4506" s="93"/>
      <c r="I4506" s="85"/>
      <c r="J4506" s="85"/>
      <c r="K4506" s="131"/>
      <c r="L4506" s="60"/>
      <c r="M4506" s="33"/>
      <c r="N4506" s="37"/>
      <c r="O4506" s="37"/>
      <c r="P4506" s="37"/>
      <c r="Q4506"/>
      <c r="R4506"/>
      <c r="Z4506" s="4"/>
      <c r="AA4506"/>
      <c r="AB4506"/>
    </row>
    <row r="4507" spans="1:28" s="3" customFormat="1" x14ac:dyDescent="0.15">
      <c r="A4507" s="70"/>
      <c r="B4507" s="117"/>
      <c r="C4507" s="70"/>
      <c r="D4507" s="70"/>
      <c r="E4507" s="70"/>
      <c r="F4507" s="70"/>
      <c r="G4507" s="70"/>
      <c r="H4507" s="93"/>
      <c r="I4507" s="85"/>
      <c r="J4507" s="85"/>
      <c r="K4507" s="131"/>
      <c r="L4507" s="70"/>
      <c r="M4507" s="33"/>
      <c r="N4507" s="37"/>
      <c r="O4507" s="37"/>
      <c r="P4507" s="37"/>
      <c r="Q4507"/>
      <c r="R4507"/>
      <c r="Z4507" s="4"/>
      <c r="AA4507"/>
      <c r="AB4507"/>
    </row>
    <row r="4508" spans="1:28" s="3" customFormat="1" x14ac:dyDescent="0.15">
      <c r="A4508" s="70"/>
      <c r="B4508" s="117"/>
      <c r="C4508" s="70"/>
      <c r="D4508" s="70"/>
      <c r="E4508" s="70"/>
      <c r="F4508" s="70"/>
      <c r="G4508" s="70"/>
      <c r="H4508" s="93"/>
      <c r="I4508" s="85"/>
      <c r="J4508" s="85"/>
      <c r="K4508" s="131"/>
      <c r="L4508" s="60"/>
      <c r="M4508" s="33"/>
      <c r="N4508" s="37"/>
      <c r="O4508" s="37"/>
      <c r="P4508" s="37"/>
      <c r="Q4508"/>
      <c r="R4508"/>
      <c r="Z4508" s="4"/>
      <c r="AA4508"/>
      <c r="AB4508"/>
    </row>
    <row r="4509" spans="1:28" s="3" customFormat="1" x14ac:dyDescent="0.15">
      <c r="A4509" s="70"/>
      <c r="B4509" s="117"/>
      <c r="C4509" s="73"/>
      <c r="D4509" s="73"/>
      <c r="E4509" s="73"/>
      <c r="F4509" s="73"/>
      <c r="G4509" s="73"/>
      <c r="H4509" s="108"/>
      <c r="I4509" s="103"/>
      <c r="J4509" s="95"/>
      <c r="K4509" s="131"/>
      <c r="L4509" s="60"/>
      <c r="M4509" s="37"/>
      <c r="N4509" s="37"/>
      <c r="O4509" s="37"/>
      <c r="P4509" s="37"/>
      <c r="Q4509"/>
      <c r="R4509"/>
      <c r="Z4509" s="4"/>
      <c r="AA4509"/>
      <c r="AB4509"/>
    </row>
    <row r="4510" spans="1:28" s="3" customFormat="1" x14ac:dyDescent="0.15">
      <c r="A4510" s="70"/>
      <c r="B4510" s="117"/>
      <c r="C4510" s="70"/>
      <c r="D4510" s="70"/>
      <c r="E4510" s="70"/>
      <c r="F4510" s="70"/>
      <c r="G4510" s="70"/>
      <c r="H4510" s="93"/>
      <c r="I4510" s="85"/>
      <c r="J4510" s="85"/>
      <c r="K4510" s="131"/>
      <c r="L4510" s="60"/>
      <c r="M4510" s="37"/>
      <c r="N4510" s="37"/>
      <c r="O4510" s="37"/>
      <c r="P4510" s="37"/>
      <c r="Q4510"/>
      <c r="R4510"/>
      <c r="Z4510" s="4"/>
      <c r="AA4510"/>
      <c r="AB4510"/>
    </row>
    <row r="4511" spans="1:28" s="3" customFormat="1" x14ac:dyDescent="0.15">
      <c r="A4511" s="70"/>
      <c r="B4511" s="117"/>
      <c r="C4511" s="70"/>
      <c r="D4511" s="70"/>
      <c r="E4511" s="70"/>
      <c r="F4511" s="70"/>
      <c r="G4511" s="70"/>
      <c r="H4511" s="93"/>
      <c r="I4511" s="85"/>
      <c r="J4511" s="85"/>
      <c r="K4511" s="131"/>
      <c r="L4511" s="60"/>
      <c r="M4511" s="37"/>
      <c r="N4511" s="32"/>
      <c r="O4511" s="37"/>
      <c r="P4511" s="37"/>
      <c r="Q4511"/>
      <c r="R4511"/>
      <c r="Z4511" s="4"/>
      <c r="AA4511"/>
      <c r="AB4511"/>
    </row>
    <row r="4512" spans="1:28" s="3" customFormat="1" x14ac:dyDescent="0.15">
      <c r="A4512" s="70"/>
      <c r="B4512" s="117"/>
      <c r="C4512" s="70"/>
      <c r="D4512" s="70"/>
      <c r="E4512" s="70"/>
      <c r="F4512" s="70"/>
      <c r="G4512" s="70"/>
      <c r="H4512" s="93"/>
      <c r="I4512" s="85"/>
      <c r="J4512" s="85"/>
      <c r="K4512" s="131"/>
      <c r="L4512" s="60"/>
      <c r="M4512" s="33"/>
      <c r="N4512" s="37"/>
      <c r="O4512" s="37"/>
      <c r="P4512" s="37"/>
      <c r="Q4512"/>
      <c r="R4512"/>
      <c r="Z4512" s="4"/>
      <c r="AA4512"/>
      <c r="AB4512"/>
    </row>
    <row r="4513" spans="1:28" s="3" customFormat="1" x14ac:dyDescent="0.15">
      <c r="A4513" s="70"/>
      <c r="B4513" s="117"/>
      <c r="C4513" s="70"/>
      <c r="D4513" s="70"/>
      <c r="E4513" s="70"/>
      <c r="F4513" s="70"/>
      <c r="G4513" s="70"/>
      <c r="H4513" s="93"/>
      <c r="I4513" s="85"/>
      <c r="J4513" s="85"/>
      <c r="K4513" s="131"/>
      <c r="L4513" s="60"/>
      <c r="M4513" s="37"/>
      <c r="N4513" s="37"/>
      <c r="O4513" s="37"/>
      <c r="P4513" s="37"/>
      <c r="Q4513"/>
      <c r="R4513"/>
      <c r="Z4513" s="4"/>
      <c r="AA4513"/>
      <c r="AB4513"/>
    </row>
    <row r="4514" spans="1:28" s="3" customFormat="1" x14ac:dyDescent="0.15">
      <c r="A4514" s="70"/>
      <c r="B4514" s="117"/>
      <c r="C4514" s="70"/>
      <c r="D4514" s="70"/>
      <c r="E4514" s="70"/>
      <c r="F4514" s="70"/>
      <c r="G4514" s="70"/>
      <c r="H4514" s="93"/>
      <c r="I4514" s="85"/>
      <c r="J4514" s="85"/>
      <c r="K4514" s="131"/>
      <c r="L4514" s="70"/>
      <c r="M4514" s="37"/>
      <c r="N4514" s="37"/>
      <c r="O4514" s="37"/>
      <c r="P4514" s="37"/>
      <c r="Z4514" s="4"/>
      <c r="AA4514"/>
      <c r="AB4514"/>
    </row>
    <row r="4515" spans="1:28" s="3" customFormat="1" x14ac:dyDescent="0.15">
      <c r="A4515" s="70"/>
      <c r="B4515" s="117"/>
      <c r="C4515" s="70"/>
      <c r="D4515" s="70"/>
      <c r="E4515" s="70"/>
      <c r="F4515" s="70"/>
      <c r="G4515" s="70"/>
      <c r="H4515" s="93"/>
      <c r="I4515" s="85"/>
      <c r="J4515" s="85"/>
      <c r="K4515" s="142"/>
      <c r="L4515" s="70"/>
      <c r="M4515" s="37"/>
      <c r="N4515" s="37"/>
      <c r="O4515" s="37"/>
      <c r="P4515" s="37"/>
      <c r="Z4515" s="4"/>
      <c r="AA4515"/>
      <c r="AB4515"/>
    </row>
    <row r="4516" spans="1:28" s="3" customFormat="1" x14ac:dyDescent="0.15">
      <c r="A4516" s="70"/>
      <c r="B4516" s="117"/>
      <c r="C4516" s="73"/>
      <c r="D4516" s="73"/>
      <c r="E4516" s="73"/>
      <c r="F4516" s="73"/>
      <c r="G4516" s="73"/>
      <c r="H4516" s="108"/>
      <c r="I4516" s="103"/>
      <c r="J4516" s="95"/>
      <c r="K4516" s="131"/>
      <c r="L4516" s="60"/>
      <c r="M4516" s="37"/>
      <c r="N4516" s="37"/>
      <c r="O4516" s="37"/>
      <c r="P4516" s="37"/>
      <c r="Z4516" s="4"/>
      <c r="AA4516"/>
      <c r="AB4516"/>
    </row>
    <row r="4517" spans="1:28" s="3" customFormat="1" x14ac:dyDescent="0.15">
      <c r="A4517" s="70"/>
      <c r="B4517" s="117"/>
      <c r="C4517" s="70"/>
      <c r="D4517" s="70"/>
      <c r="E4517" s="70"/>
      <c r="F4517" s="70"/>
      <c r="G4517" s="70"/>
      <c r="H4517" s="93"/>
      <c r="I4517" s="85"/>
      <c r="J4517" s="85"/>
      <c r="K4517" s="131"/>
      <c r="L4517" s="60"/>
      <c r="M4517" s="37"/>
      <c r="N4517" s="37"/>
      <c r="O4517" s="37"/>
      <c r="P4517" s="37"/>
      <c r="Z4517" s="4"/>
      <c r="AA4517"/>
      <c r="AB4517"/>
    </row>
    <row r="4518" spans="1:28" s="3" customFormat="1" x14ac:dyDescent="0.15">
      <c r="A4518" s="70"/>
      <c r="B4518" s="117"/>
      <c r="C4518" s="70"/>
      <c r="D4518" s="70"/>
      <c r="E4518" s="70"/>
      <c r="F4518" s="70"/>
      <c r="G4518" s="70"/>
      <c r="H4518" s="93"/>
      <c r="I4518" s="85"/>
      <c r="J4518" s="85"/>
      <c r="K4518" s="131"/>
      <c r="L4518" s="60"/>
      <c r="M4518" s="37"/>
      <c r="N4518" s="37"/>
      <c r="O4518" s="37"/>
      <c r="P4518" s="37"/>
      <c r="Z4518" s="4"/>
      <c r="AA4518"/>
      <c r="AB4518"/>
    </row>
    <row r="4519" spans="1:28" s="3" customFormat="1" x14ac:dyDescent="0.15">
      <c r="A4519" s="70"/>
      <c r="B4519" s="117"/>
      <c r="C4519" s="70"/>
      <c r="D4519" s="70"/>
      <c r="E4519" s="70"/>
      <c r="F4519" s="70"/>
      <c r="G4519" s="70"/>
      <c r="H4519" s="93"/>
      <c r="I4519" s="85"/>
      <c r="J4519" s="85"/>
      <c r="K4519" s="131"/>
      <c r="L4519" s="60"/>
      <c r="M4519" s="37"/>
      <c r="N4519" s="37"/>
      <c r="O4519" s="37"/>
      <c r="P4519" s="37"/>
      <c r="Z4519" s="4"/>
      <c r="AA4519"/>
      <c r="AB4519"/>
    </row>
    <row r="4520" spans="1:28" s="3" customFormat="1" x14ac:dyDescent="0.15">
      <c r="A4520" s="70"/>
      <c r="B4520" s="117"/>
      <c r="C4520" s="70"/>
      <c r="D4520" s="70"/>
      <c r="E4520" s="70"/>
      <c r="F4520" s="70"/>
      <c r="G4520" s="70"/>
      <c r="H4520" s="93"/>
      <c r="I4520" s="85"/>
      <c r="J4520" s="85"/>
      <c r="K4520" s="131"/>
      <c r="L4520" s="60"/>
      <c r="M4520" s="37"/>
      <c r="N4520" s="37"/>
      <c r="O4520" s="37"/>
      <c r="P4520" s="37"/>
      <c r="Z4520" s="4"/>
      <c r="AA4520"/>
      <c r="AB4520"/>
    </row>
    <row r="4521" spans="1:28" s="3" customFormat="1" x14ac:dyDescent="0.15">
      <c r="A4521" s="70"/>
      <c r="B4521" s="117"/>
      <c r="C4521" s="70"/>
      <c r="D4521" s="70"/>
      <c r="E4521" s="70"/>
      <c r="F4521" s="70"/>
      <c r="G4521" s="70"/>
      <c r="H4521" s="93"/>
      <c r="I4521" s="85"/>
      <c r="J4521" s="85"/>
      <c r="K4521" s="131"/>
      <c r="L4521" s="60"/>
      <c r="M4521" s="37"/>
      <c r="N4521" s="37"/>
      <c r="O4521" s="37"/>
      <c r="P4521" s="37"/>
      <c r="Z4521" s="4"/>
      <c r="AA4521"/>
      <c r="AB4521"/>
    </row>
    <row r="4522" spans="1:28" s="3" customFormat="1" x14ac:dyDescent="0.15">
      <c r="A4522" s="70"/>
      <c r="B4522" s="117"/>
      <c r="C4522" s="70"/>
      <c r="D4522" s="70"/>
      <c r="E4522" s="70"/>
      <c r="F4522" s="70"/>
      <c r="G4522" s="70"/>
      <c r="H4522" s="93"/>
      <c r="I4522" s="85"/>
      <c r="J4522" s="85"/>
      <c r="K4522" s="131"/>
      <c r="L4522" s="60"/>
      <c r="M4522" s="33"/>
      <c r="N4522" s="37"/>
      <c r="O4522" s="37"/>
      <c r="P4522" s="37"/>
      <c r="Z4522" s="4"/>
      <c r="AA4522"/>
      <c r="AB4522"/>
    </row>
    <row r="4523" spans="1:28" s="3" customFormat="1" x14ac:dyDescent="0.15">
      <c r="A4523" s="70"/>
      <c r="B4523" s="117"/>
      <c r="C4523" s="70"/>
      <c r="D4523" s="70"/>
      <c r="E4523" s="70"/>
      <c r="F4523" s="70"/>
      <c r="G4523" s="70"/>
      <c r="H4523" s="93"/>
      <c r="I4523" s="85"/>
      <c r="J4523" s="85"/>
      <c r="K4523" s="131"/>
      <c r="L4523" s="60"/>
      <c r="M4523" s="33"/>
      <c r="N4523" s="37"/>
      <c r="O4523" s="37"/>
      <c r="P4523" s="37"/>
      <c r="Z4523" s="4"/>
      <c r="AA4523"/>
      <c r="AB4523"/>
    </row>
    <row r="4524" spans="1:28" s="3" customFormat="1" x14ac:dyDescent="0.15">
      <c r="A4524" s="70"/>
      <c r="B4524" s="117"/>
      <c r="C4524" s="70"/>
      <c r="D4524" s="70"/>
      <c r="E4524" s="70"/>
      <c r="F4524" s="70"/>
      <c r="G4524" s="70"/>
      <c r="H4524" s="93"/>
      <c r="I4524" s="85"/>
      <c r="J4524" s="85"/>
      <c r="K4524" s="131"/>
      <c r="L4524" s="60"/>
      <c r="M4524" s="33"/>
      <c r="N4524" s="37"/>
      <c r="O4524" s="37"/>
      <c r="P4524" s="37"/>
      <c r="Z4524" s="4"/>
      <c r="AA4524"/>
      <c r="AB4524"/>
    </row>
    <row r="4525" spans="1:28" s="3" customFormat="1" x14ac:dyDescent="0.15">
      <c r="A4525" s="70"/>
      <c r="B4525" s="117"/>
      <c r="C4525" s="70"/>
      <c r="D4525" s="70"/>
      <c r="E4525" s="73"/>
      <c r="F4525" s="70"/>
      <c r="G4525" s="70"/>
      <c r="H4525" s="93"/>
      <c r="I4525" s="85"/>
      <c r="J4525" s="85"/>
      <c r="K4525" s="131"/>
      <c r="L4525" s="60"/>
      <c r="M4525" s="33"/>
      <c r="N4525" s="37"/>
      <c r="O4525" s="37"/>
      <c r="P4525" s="37"/>
      <c r="Z4525" s="4"/>
      <c r="AA4525"/>
      <c r="AB4525"/>
    </row>
    <row r="4526" spans="1:28" s="3" customFormat="1" x14ac:dyDescent="0.15">
      <c r="A4526" s="70"/>
      <c r="B4526" s="118"/>
      <c r="C4526" s="70"/>
      <c r="D4526" s="70"/>
      <c r="E4526" s="70"/>
      <c r="F4526" s="70"/>
      <c r="G4526" s="70"/>
      <c r="H4526" s="93"/>
      <c r="I4526" s="85"/>
      <c r="J4526" s="85"/>
      <c r="K4526" s="131"/>
      <c r="L4526" s="60"/>
      <c r="M4526" s="33"/>
      <c r="N4526" s="37"/>
      <c r="O4526" s="37"/>
      <c r="P4526" s="37"/>
      <c r="Z4526" s="4"/>
      <c r="AA4526"/>
      <c r="AB4526"/>
    </row>
    <row r="4527" spans="1:28" s="3" customFormat="1" x14ac:dyDescent="0.15">
      <c r="A4527" s="70"/>
      <c r="B4527" s="117"/>
      <c r="C4527" s="70"/>
      <c r="D4527" s="70"/>
      <c r="E4527" s="70"/>
      <c r="F4527" s="70"/>
      <c r="G4527" s="70"/>
      <c r="H4527" s="93"/>
      <c r="I4527" s="85"/>
      <c r="J4527" s="85"/>
      <c r="K4527" s="131"/>
      <c r="L4527" s="60"/>
      <c r="M4527" s="33"/>
      <c r="N4527" s="37"/>
      <c r="O4527" s="37"/>
      <c r="P4527" s="37"/>
      <c r="Z4527" s="4"/>
      <c r="AA4527"/>
      <c r="AB4527"/>
    </row>
    <row r="4528" spans="1:28" s="3" customFormat="1" x14ac:dyDescent="0.15">
      <c r="A4528" s="70"/>
      <c r="B4528" s="117"/>
      <c r="C4528" s="73"/>
      <c r="D4528" s="73"/>
      <c r="E4528" s="73"/>
      <c r="F4528" s="73"/>
      <c r="G4528" s="73"/>
      <c r="H4528" s="108"/>
      <c r="I4528" s="85"/>
      <c r="J4528" s="85"/>
      <c r="K4528" s="134"/>
      <c r="L4528" s="60"/>
      <c r="M4528" s="33"/>
      <c r="N4528" s="37"/>
      <c r="O4528" s="37"/>
      <c r="P4528" s="37"/>
      <c r="Z4528" s="4"/>
      <c r="AA4528"/>
      <c r="AB4528"/>
    </row>
    <row r="4529" spans="1:28" s="3" customFormat="1" x14ac:dyDescent="0.15">
      <c r="A4529" s="70"/>
      <c r="B4529" s="117"/>
      <c r="C4529" s="70"/>
      <c r="D4529" s="70"/>
      <c r="E4529" s="70"/>
      <c r="F4529" s="70"/>
      <c r="G4529" s="70"/>
      <c r="H4529" s="93"/>
      <c r="I4529" s="85"/>
      <c r="J4529" s="85"/>
      <c r="K4529" s="131"/>
      <c r="L4529" s="60"/>
      <c r="M4529" s="33"/>
      <c r="N4529" s="37"/>
      <c r="O4529" s="37"/>
      <c r="P4529" s="37"/>
      <c r="Z4529" s="4"/>
      <c r="AA4529"/>
      <c r="AB4529"/>
    </row>
    <row r="4530" spans="1:28" s="3" customFormat="1" x14ac:dyDescent="0.15">
      <c r="A4530" s="70"/>
      <c r="B4530" s="117"/>
      <c r="C4530" s="70"/>
      <c r="D4530" s="70"/>
      <c r="E4530" s="70"/>
      <c r="F4530" s="70"/>
      <c r="G4530" s="70"/>
      <c r="H4530" s="93"/>
      <c r="I4530" s="85"/>
      <c r="J4530" s="85"/>
      <c r="K4530" s="131"/>
      <c r="L4530" s="60"/>
      <c r="M4530" s="33"/>
      <c r="N4530" s="37"/>
      <c r="O4530" s="37"/>
      <c r="P4530" s="37"/>
      <c r="Z4530" s="4"/>
      <c r="AA4530"/>
      <c r="AB4530"/>
    </row>
    <row r="4531" spans="1:28" s="3" customFormat="1" x14ac:dyDescent="0.15">
      <c r="A4531" s="70"/>
      <c r="B4531" s="117"/>
      <c r="C4531" s="70"/>
      <c r="D4531" s="70"/>
      <c r="E4531" s="70"/>
      <c r="F4531" s="70"/>
      <c r="G4531" s="70"/>
      <c r="H4531" s="93"/>
      <c r="I4531" s="85"/>
      <c r="J4531" s="85"/>
      <c r="K4531" s="131"/>
      <c r="L4531" s="60"/>
      <c r="M4531" s="33"/>
      <c r="N4531" s="37"/>
      <c r="O4531" s="37"/>
      <c r="P4531" s="37"/>
      <c r="Z4531" s="4"/>
      <c r="AA4531"/>
      <c r="AB4531"/>
    </row>
    <row r="4532" spans="1:28" s="3" customFormat="1" x14ac:dyDescent="0.15">
      <c r="A4532" s="70"/>
      <c r="B4532" s="117"/>
      <c r="C4532" s="70"/>
      <c r="D4532" s="70"/>
      <c r="E4532" s="70"/>
      <c r="F4532" s="70"/>
      <c r="G4532" s="70"/>
      <c r="H4532" s="93"/>
      <c r="I4532" s="85"/>
      <c r="J4532" s="85"/>
      <c r="K4532" s="131"/>
      <c r="L4532" s="60"/>
      <c r="M4532" s="33"/>
      <c r="N4532" s="37"/>
      <c r="O4532" s="37"/>
      <c r="P4532" s="37"/>
      <c r="Z4532" s="4"/>
      <c r="AA4532"/>
      <c r="AB4532"/>
    </row>
    <row r="4533" spans="1:28" s="3" customFormat="1" x14ac:dyDescent="0.15">
      <c r="A4533" s="70"/>
      <c r="B4533" s="117"/>
      <c r="C4533" s="70"/>
      <c r="D4533" s="70"/>
      <c r="E4533" s="73"/>
      <c r="F4533" s="70"/>
      <c r="G4533" s="70"/>
      <c r="H4533" s="93"/>
      <c r="I4533" s="85"/>
      <c r="J4533" s="85"/>
      <c r="K4533" s="131"/>
      <c r="L4533" s="60"/>
      <c r="M4533" s="33"/>
      <c r="N4533" s="37"/>
      <c r="O4533" s="37"/>
      <c r="P4533" s="37"/>
      <c r="Z4533" s="4"/>
      <c r="AA4533"/>
      <c r="AB4533"/>
    </row>
    <row r="4534" spans="1:28" s="3" customFormat="1" x14ac:dyDescent="0.15">
      <c r="A4534" s="70"/>
      <c r="B4534" s="117"/>
      <c r="C4534" s="70"/>
      <c r="D4534" s="70"/>
      <c r="E4534" s="70"/>
      <c r="F4534" s="70"/>
      <c r="G4534" s="70"/>
      <c r="H4534" s="93"/>
      <c r="I4534" s="85"/>
      <c r="J4534" s="85"/>
      <c r="K4534" s="131"/>
      <c r="L4534" s="70"/>
      <c r="M4534" s="33"/>
      <c r="N4534" s="37"/>
      <c r="O4534" s="37"/>
      <c r="P4534" s="37"/>
      <c r="Z4534" s="4"/>
      <c r="AA4534"/>
      <c r="AB4534"/>
    </row>
    <row r="4535" spans="1:28" s="3" customFormat="1" x14ac:dyDescent="0.15">
      <c r="A4535" s="70"/>
      <c r="B4535" s="117"/>
      <c r="C4535" s="70"/>
      <c r="D4535" s="70"/>
      <c r="E4535" s="73"/>
      <c r="F4535" s="70"/>
      <c r="G4535" s="70"/>
      <c r="H4535" s="93"/>
      <c r="I4535" s="85"/>
      <c r="J4535" s="85"/>
      <c r="K4535" s="131"/>
      <c r="L4535" s="60"/>
      <c r="M4535" s="33"/>
      <c r="N4535" s="37"/>
      <c r="O4535" s="37"/>
      <c r="P4535" s="37"/>
      <c r="Z4535" s="4"/>
      <c r="AA4535"/>
      <c r="AB4535"/>
    </row>
    <row r="4536" spans="1:28" s="3" customFormat="1" x14ac:dyDescent="0.15">
      <c r="A4536" s="70"/>
      <c r="B4536" s="117"/>
      <c r="C4536" s="70"/>
      <c r="D4536" s="70"/>
      <c r="E4536" s="73"/>
      <c r="F4536" s="70"/>
      <c r="G4536" s="70"/>
      <c r="H4536" s="93"/>
      <c r="I4536" s="85"/>
      <c r="J4536" s="85"/>
      <c r="K4536" s="131"/>
      <c r="L4536" s="60"/>
      <c r="M4536" s="33"/>
      <c r="N4536" s="37"/>
      <c r="O4536" s="37"/>
      <c r="P4536" s="37"/>
      <c r="Q4536" s="6"/>
      <c r="R4536" s="6"/>
      <c r="Z4536" s="4"/>
      <c r="AA4536"/>
      <c r="AB4536"/>
    </row>
    <row r="4537" spans="1:28" s="3" customFormat="1" x14ac:dyDescent="0.15">
      <c r="A4537" s="70"/>
      <c r="B4537" s="117"/>
      <c r="C4537" s="70"/>
      <c r="D4537" s="70"/>
      <c r="E4537" s="70"/>
      <c r="F4537" s="70"/>
      <c r="G4537" s="70"/>
      <c r="H4537" s="93"/>
      <c r="I4537" s="85"/>
      <c r="J4537" s="85"/>
      <c r="K4537" s="131"/>
      <c r="L4537" s="60"/>
      <c r="M4537" s="33"/>
      <c r="N4537" s="37"/>
      <c r="O4537" s="37"/>
      <c r="P4537" s="37"/>
      <c r="Q4537" s="6"/>
      <c r="R4537" s="6"/>
      <c r="Z4537" s="4"/>
      <c r="AA4537"/>
      <c r="AB4537"/>
    </row>
    <row r="4538" spans="1:28" s="3" customFormat="1" x14ac:dyDescent="0.15">
      <c r="A4538" s="83"/>
      <c r="B4538" s="117"/>
      <c r="C4538" s="70"/>
      <c r="D4538" s="70"/>
      <c r="E4538" s="70"/>
      <c r="F4538" s="70"/>
      <c r="G4538" s="70"/>
      <c r="H4538" s="93"/>
      <c r="I4538" s="85"/>
      <c r="J4538" s="85"/>
      <c r="K4538" s="131"/>
      <c r="L4538" s="60"/>
      <c r="M4538" s="33"/>
      <c r="N4538" s="37"/>
      <c r="O4538" s="37"/>
      <c r="P4538" s="37"/>
      <c r="Q4538" s="6"/>
      <c r="R4538" s="6"/>
      <c r="Z4538" s="4"/>
      <c r="AA4538"/>
      <c r="AB4538"/>
    </row>
    <row r="4539" spans="1:28" s="3" customFormat="1" x14ac:dyDescent="0.15">
      <c r="A4539" s="70"/>
      <c r="B4539" s="117"/>
      <c r="C4539" s="70"/>
      <c r="D4539" s="70"/>
      <c r="E4539" s="70"/>
      <c r="F4539" s="70"/>
      <c r="G4539" s="70"/>
      <c r="H4539" s="93"/>
      <c r="I4539" s="85"/>
      <c r="J4539" s="85"/>
      <c r="K4539" s="131"/>
      <c r="L4539" s="60"/>
      <c r="M4539" s="33"/>
      <c r="N4539" s="37"/>
      <c r="O4539" s="37"/>
      <c r="P4539" s="37"/>
      <c r="Q4539" s="6"/>
      <c r="R4539" s="6"/>
      <c r="Z4539" s="4"/>
      <c r="AA4539"/>
      <c r="AB4539"/>
    </row>
    <row r="4540" spans="1:28" s="3" customFormat="1" x14ac:dyDescent="0.15">
      <c r="A4540" s="70"/>
      <c r="B4540" s="117"/>
      <c r="C4540" s="70"/>
      <c r="D4540" s="70"/>
      <c r="E4540" s="70"/>
      <c r="F4540" s="70"/>
      <c r="G4540" s="70"/>
      <c r="H4540" s="93"/>
      <c r="I4540" s="85"/>
      <c r="J4540" s="85"/>
      <c r="K4540" s="131"/>
      <c r="L4540" s="60"/>
      <c r="M4540" s="37"/>
      <c r="N4540" s="37"/>
      <c r="O4540" s="37"/>
      <c r="P4540" s="37"/>
      <c r="Q4540" s="6"/>
      <c r="R4540" s="6"/>
      <c r="Z4540" s="4"/>
      <c r="AA4540"/>
      <c r="AB4540"/>
    </row>
    <row r="4541" spans="1:28" s="3" customFormat="1" x14ac:dyDescent="0.15">
      <c r="A4541" s="70"/>
      <c r="B4541" s="117"/>
      <c r="C4541" s="70"/>
      <c r="D4541" s="70"/>
      <c r="E4541" s="70"/>
      <c r="F4541" s="70"/>
      <c r="G4541" s="70"/>
      <c r="H4541" s="93"/>
      <c r="I4541" s="85"/>
      <c r="J4541" s="85"/>
      <c r="K4541" s="131"/>
      <c r="L4541" s="60"/>
      <c r="M4541" s="33"/>
      <c r="N4541" s="37"/>
      <c r="O4541" s="37"/>
      <c r="P4541" s="37"/>
      <c r="Q4541" s="6"/>
      <c r="R4541" s="6"/>
      <c r="Z4541" s="4"/>
      <c r="AA4541"/>
      <c r="AB4541"/>
    </row>
    <row r="4542" spans="1:28" s="3" customFormat="1" x14ac:dyDescent="0.15">
      <c r="A4542" s="70"/>
      <c r="B4542" s="117"/>
      <c r="C4542" s="70"/>
      <c r="D4542" s="70"/>
      <c r="E4542" s="70"/>
      <c r="F4542" s="70"/>
      <c r="G4542" s="70"/>
      <c r="H4542" s="93"/>
      <c r="I4542" s="103"/>
      <c r="J4542" s="85"/>
      <c r="K4542" s="131"/>
      <c r="L4542" s="60"/>
      <c r="M4542" s="37"/>
      <c r="N4542" s="37"/>
      <c r="O4542" s="37"/>
      <c r="P4542" s="37"/>
      <c r="Q4542" s="6"/>
      <c r="R4542" s="6"/>
      <c r="Z4542" s="4"/>
      <c r="AA4542"/>
      <c r="AB4542"/>
    </row>
    <row r="4543" spans="1:28" s="3" customFormat="1" x14ac:dyDescent="0.15">
      <c r="A4543" s="70"/>
      <c r="B4543" s="118"/>
      <c r="C4543" s="70"/>
      <c r="D4543" s="70"/>
      <c r="E4543" s="70"/>
      <c r="F4543" s="70"/>
      <c r="G4543" s="70"/>
      <c r="H4543" s="93"/>
      <c r="I4543" s="85"/>
      <c r="J4543" s="85"/>
      <c r="K4543" s="131"/>
      <c r="L4543" s="60"/>
      <c r="M4543" s="33"/>
      <c r="N4543" s="37"/>
      <c r="O4543" s="37"/>
      <c r="P4543" s="37"/>
      <c r="Q4543" s="6"/>
      <c r="R4543" s="6"/>
      <c r="Z4543" s="4"/>
      <c r="AA4543"/>
      <c r="AB4543"/>
    </row>
    <row r="4544" spans="1:28" s="3" customFormat="1" x14ac:dyDescent="0.15">
      <c r="A4544" s="62"/>
      <c r="B4544" s="117"/>
      <c r="C4544" s="70"/>
      <c r="D4544" s="70"/>
      <c r="E4544" s="70"/>
      <c r="F4544" s="70"/>
      <c r="G4544" s="70"/>
      <c r="H4544" s="93"/>
      <c r="I4544" s="85"/>
      <c r="J4544" s="85"/>
      <c r="K4544" s="131"/>
      <c r="L4544" s="60"/>
      <c r="M4544" s="37"/>
      <c r="N4544" s="37"/>
      <c r="O4544" s="37"/>
      <c r="P4544" s="37"/>
      <c r="Q4544" s="6"/>
      <c r="R4544" s="6"/>
      <c r="Z4544" s="4"/>
      <c r="AA4544"/>
      <c r="AB4544"/>
    </row>
    <row r="4545" spans="1:28" s="3" customFormat="1" ht="16" x14ac:dyDescent="0.2">
      <c r="A4545" s="70"/>
      <c r="B4545" s="118"/>
      <c r="C4545" s="73"/>
      <c r="D4545" s="73"/>
      <c r="E4545" s="73"/>
      <c r="F4545" s="73"/>
      <c r="G4545" s="73"/>
      <c r="H4545" s="108"/>
      <c r="I4545" s="85"/>
      <c r="J4545" s="85"/>
      <c r="K4545" s="134"/>
      <c r="L4545" s="67"/>
      <c r="M4545" s="47"/>
      <c r="N4545" s="37"/>
      <c r="O4545" s="37"/>
      <c r="P4545" s="37"/>
      <c r="Q4545" s="6"/>
      <c r="R4545" s="6"/>
      <c r="Z4545" s="4"/>
      <c r="AA4545"/>
      <c r="AB4545"/>
    </row>
    <row r="4546" spans="1:28" s="3" customFormat="1" ht="16" x14ac:dyDescent="0.2">
      <c r="A4546" s="62"/>
      <c r="B4546" s="117"/>
      <c r="C4546" s="70"/>
      <c r="D4546" s="70"/>
      <c r="E4546" s="70"/>
      <c r="F4546" s="70"/>
      <c r="G4546" s="70"/>
      <c r="H4546" s="93"/>
      <c r="I4546" s="85"/>
      <c r="J4546" s="85"/>
      <c r="K4546" s="131"/>
      <c r="L4546" s="60"/>
      <c r="M4546" s="48"/>
      <c r="N4546" s="37"/>
      <c r="O4546" s="37"/>
      <c r="P4546" s="37"/>
      <c r="Q4546" s="6"/>
      <c r="R4546" s="6"/>
      <c r="Z4546" s="4"/>
      <c r="AA4546"/>
      <c r="AB4546"/>
    </row>
    <row r="4547" spans="1:28" s="3" customFormat="1" x14ac:dyDescent="0.15">
      <c r="A4547" s="62"/>
      <c r="B4547" s="117"/>
      <c r="C4547" s="61"/>
      <c r="D4547" s="61"/>
      <c r="E4547" s="61"/>
      <c r="F4547" s="61"/>
      <c r="G4547" s="61"/>
      <c r="H4547" s="115"/>
      <c r="I4547" s="85"/>
      <c r="J4547" s="103"/>
      <c r="K4547" s="131"/>
      <c r="L4547" s="67"/>
      <c r="M4547" s="35"/>
      <c r="N4547" s="37"/>
      <c r="O4547" s="37"/>
      <c r="P4547" s="37"/>
      <c r="Q4547" s="6"/>
      <c r="R4547" s="6"/>
      <c r="Z4547" s="4"/>
      <c r="AA4547"/>
      <c r="AB4547"/>
    </row>
    <row r="4548" spans="1:28" s="3" customFormat="1" x14ac:dyDescent="0.15">
      <c r="A4548" s="70"/>
      <c r="B4548" s="117"/>
      <c r="C4548" s="70"/>
      <c r="D4548" s="70"/>
      <c r="E4548" s="70"/>
      <c r="F4548" s="70"/>
      <c r="G4548" s="70"/>
      <c r="H4548" s="93"/>
      <c r="I4548" s="85"/>
      <c r="J4548" s="85"/>
      <c r="K4548" s="131"/>
      <c r="L4548" s="60"/>
      <c r="M4548" s="33"/>
      <c r="N4548" s="33"/>
      <c r="O4548" s="37"/>
      <c r="P4548" s="37"/>
      <c r="Z4548" s="4"/>
      <c r="AA4548"/>
      <c r="AB4548"/>
    </row>
    <row r="4549" spans="1:28" s="3" customFormat="1" ht="16" x14ac:dyDescent="0.2">
      <c r="A4549" s="62"/>
      <c r="B4549" s="117"/>
      <c r="C4549" s="70"/>
      <c r="D4549" s="70"/>
      <c r="E4549" s="70"/>
      <c r="F4549" s="70"/>
      <c r="G4549" s="70"/>
      <c r="H4549" s="93"/>
      <c r="I4549" s="85"/>
      <c r="J4549" s="85"/>
      <c r="K4549" s="131"/>
      <c r="L4549" s="60"/>
      <c r="M4549" s="48"/>
      <c r="N4549" s="48"/>
      <c r="O4549" s="37"/>
      <c r="P4549" s="37"/>
      <c r="Z4549" s="4"/>
      <c r="AA4549"/>
      <c r="AB4549"/>
    </row>
    <row r="4550" spans="1:28" s="3" customFormat="1" x14ac:dyDescent="0.15">
      <c r="A4550" s="70"/>
      <c r="B4550" s="117"/>
      <c r="C4550" s="70"/>
      <c r="D4550" s="70"/>
      <c r="E4550" s="70"/>
      <c r="F4550" s="70"/>
      <c r="G4550" s="70"/>
      <c r="H4550" s="93"/>
      <c r="I4550" s="85"/>
      <c r="J4550" s="85"/>
      <c r="K4550" s="131"/>
      <c r="L4550" s="60"/>
      <c r="M4550" s="37"/>
      <c r="N4550" s="37"/>
      <c r="O4550" s="37"/>
      <c r="P4550" s="37"/>
      <c r="Z4550" s="4"/>
      <c r="AA4550"/>
      <c r="AB4550"/>
    </row>
    <row r="4551" spans="1:28" s="3" customFormat="1" x14ac:dyDescent="0.15">
      <c r="A4551" s="62"/>
      <c r="B4551" s="119"/>
      <c r="C4551" s="70"/>
      <c r="D4551" s="70"/>
      <c r="E4551" s="70"/>
      <c r="F4551" s="70"/>
      <c r="G4551" s="70"/>
      <c r="H4551" s="93"/>
      <c r="I4551" s="85"/>
      <c r="J4551" s="85"/>
      <c r="K4551" s="131"/>
      <c r="L4551" s="60"/>
      <c r="M4551" s="33"/>
      <c r="N4551" s="37"/>
      <c r="O4551" s="37"/>
      <c r="P4551" s="37"/>
      <c r="Z4551" s="4"/>
      <c r="AA4551"/>
      <c r="AB4551"/>
    </row>
    <row r="4552" spans="1:28" s="3" customFormat="1" x14ac:dyDescent="0.15">
      <c r="A4552" s="70"/>
      <c r="B4552" s="118"/>
      <c r="C4552" s="70"/>
      <c r="D4552" s="70"/>
      <c r="E4552" s="70"/>
      <c r="F4552" s="70"/>
      <c r="G4552" s="70"/>
      <c r="H4552" s="93"/>
      <c r="I4552" s="85"/>
      <c r="J4552" s="85"/>
      <c r="K4552" s="131"/>
      <c r="L4552" s="60"/>
      <c r="M4552" s="33"/>
      <c r="N4552" s="37"/>
      <c r="O4552" s="37"/>
      <c r="P4552" s="37"/>
      <c r="Z4552" s="4"/>
      <c r="AA4552"/>
      <c r="AB4552"/>
    </row>
    <row r="4553" spans="1:28" s="3" customFormat="1" x14ac:dyDescent="0.15">
      <c r="A4553" s="70"/>
      <c r="B4553" s="117"/>
      <c r="C4553" s="70"/>
      <c r="D4553" s="70"/>
      <c r="E4553" s="70"/>
      <c r="F4553" s="70"/>
      <c r="G4553" s="70"/>
      <c r="H4553" s="93"/>
      <c r="I4553" s="85"/>
      <c r="J4553" s="103"/>
      <c r="K4553" s="131"/>
      <c r="L4553" s="60"/>
      <c r="M4553" s="37"/>
      <c r="N4553" s="37"/>
      <c r="O4553" s="37"/>
      <c r="P4553" s="37"/>
      <c r="Z4553" s="4"/>
      <c r="AA4553"/>
      <c r="AB4553"/>
    </row>
    <row r="4554" spans="1:28" s="3" customFormat="1" x14ac:dyDescent="0.15">
      <c r="A4554" s="70"/>
      <c r="B4554" s="117"/>
      <c r="C4554" s="70"/>
      <c r="D4554" s="70"/>
      <c r="E4554" s="70"/>
      <c r="F4554" s="70"/>
      <c r="G4554" s="70"/>
      <c r="H4554" s="93"/>
      <c r="I4554" s="85"/>
      <c r="J4554" s="85"/>
      <c r="K4554" s="131"/>
      <c r="L4554" s="60"/>
      <c r="M4554" s="37"/>
      <c r="N4554" s="37"/>
      <c r="O4554" s="37"/>
      <c r="P4554" s="37"/>
      <c r="Z4554" s="4"/>
      <c r="AA4554"/>
      <c r="AB4554"/>
    </row>
    <row r="4555" spans="1:28" s="3" customFormat="1" x14ac:dyDescent="0.15">
      <c r="A4555" s="70"/>
      <c r="B4555" s="117"/>
      <c r="C4555" s="70"/>
      <c r="D4555" s="70"/>
      <c r="E4555" s="70"/>
      <c r="F4555" s="70"/>
      <c r="G4555" s="70"/>
      <c r="H4555" s="93"/>
      <c r="I4555" s="85"/>
      <c r="J4555" s="85"/>
      <c r="K4555" s="131"/>
      <c r="L4555" s="60"/>
      <c r="M4555" s="33"/>
      <c r="N4555" s="37"/>
      <c r="O4555" s="37"/>
      <c r="P4555" s="37"/>
      <c r="Z4555" s="4"/>
      <c r="AA4555"/>
      <c r="AB4555"/>
    </row>
    <row r="4556" spans="1:28" s="3" customFormat="1" x14ac:dyDescent="0.15">
      <c r="A4556" s="70"/>
      <c r="B4556" s="117"/>
      <c r="C4556" s="70"/>
      <c r="D4556" s="70"/>
      <c r="E4556" s="70"/>
      <c r="F4556" s="70"/>
      <c r="G4556" s="70"/>
      <c r="H4556" s="93"/>
      <c r="I4556" s="85"/>
      <c r="J4556" s="85"/>
      <c r="K4556" s="131"/>
      <c r="L4556" s="60"/>
      <c r="M4556" s="37"/>
      <c r="N4556" s="37"/>
      <c r="O4556" s="37"/>
      <c r="P4556" s="37"/>
      <c r="Z4556" s="4"/>
      <c r="AA4556"/>
      <c r="AB4556"/>
    </row>
    <row r="4557" spans="1:28" s="3" customFormat="1" ht="16" x14ac:dyDescent="0.2">
      <c r="A4557" s="70"/>
      <c r="B4557" s="118"/>
      <c r="C4557" s="70"/>
      <c r="D4557" s="70"/>
      <c r="E4557" s="73"/>
      <c r="F4557" s="70"/>
      <c r="G4557" s="70"/>
      <c r="H4557" s="93"/>
      <c r="I4557" s="85"/>
      <c r="J4557" s="85"/>
      <c r="K4557" s="131"/>
      <c r="L4557" s="67"/>
      <c r="M4557" s="47"/>
      <c r="N4557" s="37"/>
      <c r="O4557" s="37"/>
      <c r="P4557" s="37"/>
      <c r="Z4557" s="4"/>
      <c r="AA4557"/>
      <c r="AB4557"/>
    </row>
    <row r="4558" spans="1:28" s="37" customFormat="1" x14ac:dyDescent="0.15">
      <c r="A4558" s="70"/>
      <c r="B4558" s="118"/>
      <c r="C4558" s="70"/>
      <c r="D4558" s="70"/>
      <c r="E4558" s="70"/>
      <c r="F4558" s="70"/>
      <c r="G4558" s="70"/>
      <c r="H4558" s="93"/>
      <c r="I4558" s="85"/>
      <c r="J4558" s="85"/>
      <c r="K4558" s="131"/>
      <c r="L4558" s="60"/>
      <c r="M4558" s="33"/>
      <c r="Q4558" s="3"/>
      <c r="R4558" s="3"/>
      <c r="S4558" s="3"/>
      <c r="T4558" s="3"/>
      <c r="U4558" s="3"/>
      <c r="V4558" s="3"/>
      <c r="W4558" s="3"/>
      <c r="X4558" s="3"/>
      <c r="Y4558" s="3"/>
      <c r="Z4558" s="4"/>
      <c r="AA4558"/>
      <c r="AB4558"/>
    </row>
    <row r="4559" spans="1:28" s="37" customFormat="1" x14ac:dyDescent="0.15">
      <c r="A4559" s="70"/>
      <c r="B4559" s="117"/>
      <c r="C4559" s="70"/>
      <c r="D4559" s="70"/>
      <c r="E4559" s="70"/>
      <c r="F4559" s="70"/>
      <c r="G4559" s="70"/>
      <c r="H4559" s="93"/>
      <c r="I4559" s="85"/>
      <c r="J4559" s="85"/>
      <c r="K4559" s="131"/>
      <c r="L4559" s="60"/>
      <c r="Q4559" s="3"/>
      <c r="R4559" s="3"/>
      <c r="S4559" s="3"/>
      <c r="T4559" s="3"/>
      <c r="U4559" s="3"/>
      <c r="V4559" s="3"/>
      <c r="W4559" s="3"/>
      <c r="X4559" s="3"/>
      <c r="Y4559" s="3"/>
      <c r="Z4559" s="4"/>
      <c r="AA4559"/>
      <c r="AB4559"/>
    </row>
    <row r="4560" spans="1:28" s="37" customFormat="1" x14ac:dyDescent="0.15">
      <c r="A4560" s="70"/>
      <c r="B4560" s="117"/>
      <c r="C4560" s="70"/>
      <c r="D4560" s="70"/>
      <c r="E4560" s="70"/>
      <c r="F4560" s="70"/>
      <c r="G4560" s="70"/>
      <c r="H4560" s="93"/>
      <c r="I4560" s="85"/>
      <c r="J4560" s="85"/>
      <c r="K4560" s="131"/>
      <c r="L4560" s="60"/>
      <c r="Q4560" s="3"/>
      <c r="R4560" s="3"/>
      <c r="S4560" s="3"/>
      <c r="T4560" s="3"/>
      <c r="U4560" s="3"/>
      <c r="V4560" s="3"/>
      <c r="W4560" s="3"/>
      <c r="X4560" s="3"/>
      <c r="Y4560" s="3"/>
      <c r="Z4560" s="4"/>
      <c r="AA4560"/>
      <c r="AB4560"/>
    </row>
    <row r="4561" spans="1:28" s="37" customFormat="1" x14ac:dyDescent="0.15">
      <c r="A4561" s="62"/>
      <c r="B4561" s="119"/>
      <c r="C4561" s="70"/>
      <c r="D4561" s="70"/>
      <c r="E4561" s="70"/>
      <c r="F4561" s="70"/>
      <c r="G4561" s="70"/>
      <c r="H4561" s="93"/>
      <c r="I4561" s="85"/>
      <c r="J4561" s="85"/>
      <c r="K4561" s="131"/>
      <c r="L4561" s="60"/>
      <c r="M4561" s="33"/>
      <c r="Q4561" s="3"/>
      <c r="R4561" s="3"/>
      <c r="S4561" s="3"/>
      <c r="T4561" s="3"/>
      <c r="U4561" s="3"/>
      <c r="V4561" s="3"/>
      <c r="W4561" s="3"/>
      <c r="X4561" s="3"/>
      <c r="Y4561" s="3"/>
      <c r="Z4561" s="4"/>
      <c r="AA4561"/>
      <c r="AB4561"/>
    </row>
    <row r="4562" spans="1:28" s="37" customFormat="1" x14ac:dyDescent="0.15">
      <c r="A4562" s="62"/>
      <c r="B4562" s="119"/>
      <c r="C4562" s="70"/>
      <c r="D4562" s="70"/>
      <c r="E4562" s="70"/>
      <c r="F4562" s="70"/>
      <c r="G4562" s="70"/>
      <c r="H4562" s="93"/>
      <c r="I4562" s="85"/>
      <c r="J4562" s="85"/>
      <c r="K4562" s="131"/>
      <c r="L4562" s="70"/>
      <c r="M4562" s="33"/>
      <c r="Q4562" s="3"/>
      <c r="R4562" s="3"/>
      <c r="S4562" s="3"/>
      <c r="T4562" s="3"/>
      <c r="U4562" s="3"/>
      <c r="V4562" s="3"/>
      <c r="W4562" s="3"/>
      <c r="X4562" s="3"/>
      <c r="Y4562" s="3"/>
      <c r="Z4562" s="4"/>
      <c r="AA4562"/>
      <c r="AB4562"/>
    </row>
    <row r="4563" spans="1:28" s="37" customFormat="1" x14ac:dyDescent="0.15">
      <c r="A4563" s="70"/>
      <c r="B4563" s="117"/>
      <c r="C4563" s="73"/>
      <c r="D4563" s="73"/>
      <c r="E4563" s="70"/>
      <c r="F4563" s="73"/>
      <c r="G4563" s="73"/>
      <c r="H4563" s="108"/>
      <c r="I4563" s="85"/>
      <c r="J4563" s="85"/>
      <c r="K4563" s="131"/>
      <c r="L4563" s="60"/>
      <c r="M4563" s="33"/>
      <c r="Q4563" s="3"/>
      <c r="R4563" s="3"/>
      <c r="S4563" s="3"/>
      <c r="T4563" s="3"/>
      <c r="U4563" s="3"/>
      <c r="V4563" s="3"/>
      <c r="W4563" s="3"/>
      <c r="X4563" s="3"/>
      <c r="Y4563" s="3"/>
      <c r="Z4563" s="4"/>
      <c r="AA4563"/>
      <c r="AB4563"/>
    </row>
    <row r="4564" spans="1:28" s="37" customFormat="1" x14ac:dyDescent="0.15">
      <c r="A4564" s="70"/>
      <c r="B4564" s="117"/>
      <c r="C4564" s="70"/>
      <c r="D4564" s="70"/>
      <c r="E4564" s="70"/>
      <c r="F4564" s="70"/>
      <c r="G4564" s="70"/>
      <c r="H4564" s="93"/>
      <c r="I4564" s="85"/>
      <c r="J4564" s="85"/>
      <c r="K4564" s="131"/>
      <c r="L4564" s="60"/>
      <c r="Q4564" s="3"/>
      <c r="R4564" s="3"/>
      <c r="S4564" s="3"/>
      <c r="T4564" s="3"/>
      <c r="U4564" s="3"/>
      <c r="V4564" s="3"/>
      <c r="W4564" s="3"/>
      <c r="X4564" s="3"/>
      <c r="Y4564" s="3"/>
      <c r="Z4564" s="4"/>
      <c r="AA4564"/>
      <c r="AB4564"/>
    </row>
    <row r="4565" spans="1:28" s="37" customFormat="1" ht="16" x14ac:dyDescent="0.2">
      <c r="A4565" s="62"/>
      <c r="B4565" s="117"/>
      <c r="C4565" s="70"/>
      <c r="D4565" s="70"/>
      <c r="E4565" s="70"/>
      <c r="F4565" s="70"/>
      <c r="G4565" s="70"/>
      <c r="H4565" s="93"/>
      <c r="I4565" s="85"/>
      <c r="J4565" s="85"/>
      <c r="K4565" s="131"/>
      <c r="L4565" s="60"/>
      <c r="M4565" s="48"/>
      <c r="Q4565" s="3"/>
      <c r="R4565" s="3"/>
      <c r="S4565" s="3"/>
      <c r="T4565" s="3"/>
      <c r="U4565" s="3"/>
      <c r="V4565" s="3"/>
      <c r="W4565" s="3"/>
      <c r="X4565" s="3"/>
      <c r="Y4565" s="3"/>
      <c r="Z4565" s="4"/>
      <c r="AA4565"/>
      <c r="AB4565"/>
    </row>
    <row r="4566" spans="1:28" s="37" customFormat="1" ht="16" x14ac:dyDescent="0.2">
      <c r="A4566" s="70"/>
      <c r="B4566" s="117"/>
      <c r="C4566" s="73"/>
      <c r="D4566" s="73"/>
      <c r="E4566" s="73"/>
      <c r="F4566" s="73"/>
      <c r="G4566" s="73"/>
      <c r="H4566" s="108"/>
      <c r="I4566" s="103"/>
      <c r="J4566" s="95"/>
      <c r="K4566" s="149"/>
      <c r="L4566" s="60"/>
      <c r="M4566" s="48"/>
      <c r="N4566" s="48"/>
      <c r="Q4566" s="3"/>
      <c r="R4566" s="3"/>
      <c r="S4566" s="3"/>
      <c r="T4566" s="3"/>
      <c r="U4566" s="3"/>
      <c r="V4566" s="3"/>
      <c r="W4566" s="3"/>
      <c r="X4566" s="3"/>
      <c r="Y4566" s="3"/>
      <c r="Z4566" s="4"/>
      <c r="AA4566"/>
      <c r="AB4566"/>
    </row>
    <row r="4567" spans="1:28" s="37" customFormat="1" ht="16" x14ac:dyDescent="0.2">
      <c r="A4567" s="70"/>
      <c r="B4567" s="117"/>
      <c r="C4567" s="70"/>
      <c r="D4567" s="70"/>
      <c r="E4567" s="70"/>
      <c r="F4567" s="70"/>
      <c r="G4567" s="70"/>
      <c r="H4567" s="93"/>
      <c r="I4567" s="85"/>
      <c r="J4567" s="85"/>
      <c r="K4567" s="131"/>
      <c r="L4567" s="60"/>
      <c r="M4567" s="48"/>
      <c r="Q4567" s="3"/>
      <c r="R4567" s="3"/>
      <c r="S4567" s="3"/>
      <c r="T4567" s="3"/>
      <c r="U4567" s="3"/>
      <c r="V4567" s="3"/>
      <c r="W4567" s="3"/>
      <c r="X4567" s="3"/>
      <c r="Y4567" s="3"/>
      <c r="Z4567" s="4"/>
      <c r="AA4567"/>
      <c r="AB4567"/>
    </row>
    <row r="4568" spans="1:28" s="37" customFormat="1" ht="16" x14ac:dyDescent="0.2">
      <c r="A4568" s="70"/>
      <c r="B4568" s="117"/>
      <c r="C4568" s="73"/>
      <c r="D4568" s="73"/>
      <c r="E4568" s="70"/>
      <c r="F4568" s="73"/>
      <c r="G4568" s="73"/>
      <c r="H4568" s="108"/>
      <c r="I4568" s="85"/>
      <c r="J4568" s="95"/>
      <c r="K4568" s="131"/>
      <c r="L4568" s="60"/>
      <c r="M4568" s="47"/>
      <c r="Q4568" s="3"/>
      <c r="R4568" s="3"/>
      <c r="S4568" s="3"/>
      <c r="T4568" s="3"/>
      <c r="U4568" s="3"/>
      <c r="V4568" s="3"/>
      <c r="W4568" s="3"/>
      <c r="X4568" s="3"/>
      <c r="Y4568" s="3"/>
      <c r="Z4568" s="4"/>
      <c r="AA4568"/>
      <c r="AB4568"/>
    </row>
    <row r="4569" spans="1:28" s="37" customFormat="1" x14ac:dyDescent="0.15">
      <c r="A4569" s="70"/>
      <c r="B4569" s="117"/>
      <c r="C4569" s="70"/>
      <c r="D4569" s="70"/>
      <c r="E4569" s="70"/>
      <c r="F4569" s="70"/>
      <c r="G4569" s="70"/>
      <c r="H4569" s="93"/>
      <c r="I4569" s="85"/>
      <c r="J4569" s="85"/>
      <c r="K4569" s="131"/>
      <c r="L4569" s="60"/>
      <c r="M4569" s="33"/>
      <c r="N4569" s="46"/>
      <c r="Q4569" s="3"/>
      <c r="R4569" s="3"/>
      <c r="S4569" s="3"/>
      <c r="T4569" s="3"/>
      <c r="U4569" s="3"/>
      <c r="V4569" s="3"/>
      <c r="W4569" s="3"/>
      <c r="X4569" s="3"/>
      <c r="Y4569" s="3"/>
      <c r="Z4569" s="4"/>
      <c r="AA4569"/>
      <c r="AB4569"/>
    </row>
    <row r="4570" spans="1:28" s="37" customFormat="1" x14ac:dyDescent="0.15">
      <c r="A4570" s="70"/>
      <c r="B4570" s="117"/>
      <c r="C4570" s="70"/>
      <c r="D4570" s="70"/>
      <c r="E4570" s="70"/>
      <c r="F4570" s="70"/>
      <c r="G4570" s="70"/>
      <c r="H4570" s="93"/>
      <c r="I4570" s="85"/>
      <c r="J4570" s="85"/>
      <c r="K4570" s="131"/>
      <c r="L4570" s="60"/>
      <c r="M4570" s="33"/>
      <c r="Q4570" s="3"/>
      <c r="R4570" s="3"/>
      <c r="S4570" s="3"/>
      <c r="T4570" s="3"/>
      <c r="U4570" s="3"/>
      <c r="V4570" s="3"/>
      <c r="W4570" s="3"/>
      <c r="X4570" s="3"/>
      <c r="Y4570" s="3"/>
      <c r="Z4570" s="4"/>
      <c r="AA4570"/>
      <c r="AB4570"/>
    </row>
    <row r="4571" spans="1:28" s="37" customFormat="1" ht="16" x14ac:dyDescent="0.2">
      <c r="A4571" s="70"/>
      <c r="B4571" s="117"/>
      <c r="C4571" s="70"/>
      <c r="D4571" s="70"/>
      <c r="E4571" s="70"/>
      <c r="F4571" s="70"/>
      <c r="G4571" s="70"/>
      <c r="H4571" s="93"/>
      <c r="I4571" s="85"/>
      <c r="J4571" s="85"/>
      <c r="K4571" s="131"/>
      <c r="L4571" s="60"/>
      <c r="M4571" s="47"/>
      <c r="Q4571" s="3"/>
      <c r="R4571" s="3"/>
      <c r="S4571" s="3"/>
      <c r="T4571" s="3"/>
      <c r="U4571" s="3"/>
      <c r="V4571" s="3"/>
      <c r="W4571" s="3"/>
      <c r="X4571" s="3"/>
      <c r="Y4571" s="3"/>
      <c r="Z4571" s="4"/>
      <c r="AA4571"/>
      <c r="AB4571"/>
    </row>
    <row r="4572" spans="1:28" s="37" customFormat="1" x14ac:dyDescent="0.15">
      <c r="A4572" s="70"/>
      <c r="B4572" s="117"/>
      <c r="C4572" s="73"/>
      <c r="D4572" s="73"/>
      <c r="E4572" s="73"/>
      <c r="F4572" s="73"/>
      <c r="G4572" s="73"/>
      <c r="H4572" s="108"/>
      <c r="I4572" s="85"/>
      <c r="J4572" s="95"/>
      <c r="K4572" s="131"/>
      <c r="L4572" s="60"/>
      <c r="M4572" s="33"/>
      <c r="Q4572" s="3"/>
      <c r="R4572" s="3"/>
      <c r="S4572" s="3"/>
      <c r="T4572" s="3"/>
      <c r="U4572" s="3"/>
      <c r="V4572" s="3"/>
      <c r="W4572" s="3"/>
      <c r="X4572" s="3"/>
      <c r="Y4572" s="3"/>
      <c r="Z4572" s="4"/>
      <c r="AA4572"/>
      <c r="AB4572"/>
    </row>
    <row r="4573" spans="1:28" s="37" customFormat="1" x14ac:dyDescent="0.15">
      <c r="A4573" s="70"/>
      <c r="B4573" s="117"/>
      <c r="C4573" s="70"/>
      <c r="D4573" s="70"/>
      <c r="E4573" s="70"/>
      <c r="F4573" s="70"/>
      <c r="G4573" s="70"/>
      <c r="H4573" s="93"/>
      <c r="I4573" s="85"/>
      <c r="J4573" s="85"/>
      <c r="K4573" s="131"/>
      <c r="L4573" s="70"/>
      <c r="Q4573" s="3"/>
      <c r="R4573" s="3"/>
      <c r="S4573" s="3"/>
      <c r="T4573" s="3"/>
      <c r="U4573" s="3"/>
      <c r="V4573" s="3"/>
      <c r="W4573" s="3"/>
      <c r="X4573" s="3"/>
      <c r="Y4573" s="3"/>
      <c r="Z4573" s="4"/>
      <c r="AA4573"/>
      <c r="AB4573"/>
    </row>
    <row r="4574" spans="1:28" s="3" customFormat="1" x14ac:dyDescent="0.15">
      <c r="A4574" s="70"/>
      <c r="B4574" s="117"/>
      <c r="C4574" s="73"/>
      <c r="D4574" s="73"/>
      <c r="E4574" s="73"/>
      <c r="F4574" s="73"/>
      <c r="G4574" s="73"/>
      <c r="H4574" s="108"/>
      <c r="I4574" s="85"/>
      <c r="J4574" s="85"/>
      <c r="K4574" s="131"/>
      <c r="L4574" s="60"/>
      <c r="M4574" s="33"/>
      <c r="N4574" s="37"/>
      <c r="O4574" s="37"/>
      <c r="P4574" s="37"/>
      <c r="Z4574" s="4"/>
      <c r="AA4574"/>
      <c r="AB4574"/>
    </row>
    <row r="4575" spans="1:28" s="3" customFormat="1" x14ac:dyDescent="0.15">
      <c r="A4575" s="70"/>
      <c r="B4575" s="117"/>
      <c r="C4575" s="73"/>
      <c r="D4575" s="73"/>
      <c r="E4575" s="73"/>
      <c r="F4575" s="73"/>
      <c r="G4575" s="73"/>
      <c r="H4575" s="108"/>
      <c r="I4575" s="85"/>
      <c r="J4575" s="85"/>
      <c r="K4575" s="131"/>
      <c r="L4575" s="60"/>
      <c r="M4575" s="33"/>
      <c r="N4575" s="37"/>
      <c r="O4575" s="37"/>
      <c r="P4575" s="37"/>
      <c r="Z4575" s="4"/>
      <c r="AA4575"/>
      <c r="AB4575"/>
    </row>
    <row r="4576" spans="1:28" s="3" customFormat="1" x14ac:dyDescent="0.15">
      <c r="A4576" s="70"/>
      <c r="B4576" s="117"/>
      <c r="C4576" s="70"/>
      <c r="D4576" s="70"/>
      <c r="E4576" s="70"/>
      <c r="F4576" s="70"/>
      <c r="G4576" s="70"/>
      <c r="H4576" s="93"/>
      <c r="I4576" s="85"/>
      <c r="J4576" s="85"/>
      <c r="K4576" s="131"/>
      <c r="L4576" s="60"/>
      <c r="M4576" s="33"/>
      <c r="N4576" s="37"/>
      <c r="O4576" s="37"/>
      <c r="P4576" s="37"/>
      <c r="Z4576" s="4"/>
      <c r="AA4576"/>
      <c r="AB4576"/>
    </row>
    <row r="4577" spans="1:28" s="3" customFormat="1" x14ac:dyDescent="0.15">
      <c r="A4577" s="70"/>
      <c r="B4577" s="117"/>
      <c r="C4577" s="70"/>
      <c r="D4577" s="70"/>
      <c r="E4577" s="70"/>
      <c r="F4577" s="70"/>
      <c r="G4577" s="70"/>
      <c r="H4577" s="93"/>
      <c r="I4577" s="85"/>
      <c r="J4577" s="85"/>
      <c r="K4577" s="131"/>
      <c r="L4577" s="60"/>
      <c r="M4577" s="33"/>
      <c r="N4577" s="37"/>
      <c r="O4577" s="37"/>
      <c r="P4577" s="37"/>
      <c r="Z4577" s="4"/>
      <c r="AA4577"/>
      <c r="AB4577"/>
    </row>
    <row r="4578" spans="1:28" s="3" customFormat="1" x14ac:dyDescent="0.15">
      <c r="A4578" s="70"/>
      <c r="B4578" s="117"/>
      <c r="C4578" s="73"/>
      <c r="D4578" s="73"/>
      <c r="E4578" s="73"/>
      <c r="F4578" s="73"/>
      <c r="G4578" s="73"/>
      <c r="H4578" s="108"/>
      <c r="I4578" s="85"/>
      <c r="J4578" s="85"/>
      <c r="K4578" s="131"/>
      <c r="L4578" s="60"/>
      <c r="M4578" s="33"/>
      <c r="N4578" s="37"/>
      <c r="O4578" s="37"/>
      <c r="P4578" s="37"/>
      <c r="Z4578" s="4"/>
      <c r="AA4578"/>
      <c r="AB4578"/>
    </row>
    <row r="4579" spans="1:28" s="3" customFormat="1" x14ac:dyDescent="0.15">
      <c r="A4579" s="70"/>
      <c r="B4579" s="117"/>
      <c r="C4579" s="70"/>
      <c r="D4579" s="70"/>
      <c r="E4579" s="70"/>
      <c r="F4579" s="70"/>
      <c r="G4579" s="70"/>
      <c r="H4579" s="93"/>
      <c r="I4579" s="85"/>
      <c r="J4579" s="85"/>
      <c r="K4579" s="131"/>
      <c r="L4579" s="60"/>
      <c r="M4579" s="33"/>
      <c r="N4579" s="37"/>
      <c r="O4579" s="37"/>
      <c r="P4579" s="37"/>
      <c r="Z4579" s="4"/>
      <c r="AA4579"/>
      <c r="AB4579"/>
    </row>
    <row r="4580" spans="1:28" s="3" customFormat="1" x14ac:dyDescent="0.15">
      <c r="A4580" s="70"/>
      <c r="B4580" s="117"/>
      <c r="C4580" s="73"/>
      <c r="D4580" s="73"/>
      <c r="E4580" s="73"/>
      <c r="F4580" s="73"/>
      <c r="G4580" s="73"/>
      <c r="H4580" s="108"/>
      <c r="I4580" s="85"/>
      <c r="J4580" s="85"/>
      <c r="K4580" s="131"/>
      <c r="L4580" s="67"/>
      <c r="M4580" s="33"/>
      <c r="N4580" s="37"/>
      <c r="O4580" s="37"/>
      <c r="P4580" s="37"/>
      <c r="Z4580" s="4"/>
      <c r="AA4580"/>
      <c r="AB4580"/>
    </row>
    <row r="4581" spans="1:28" s="3" customFormat="1" x14ac:dyDescent="0.15">
      <c r="A4581" s="70"/>
      <c r="B4581" s="117"/>
      <c r="C4581" s="70"/>
      <c r="D4581" s="70"/>
      <c r="E4581" s="70"/>
      <c r="F4581" s="70"/>
      <c r="G4581" s="70"/>
      <c r="H4581" s="93"/>
      <c r="I4581" s="85"/>
      <c r="J4581" s="85"/>
      <c r="K4581" s="131"/>
      <c r="L4581" s="60"/>
      <c r="M4581" s="33"/>
      <c r="N4581" s="37"/>
      <c r="O4581" s="37"/>
      <c r="P4581" s="37"/>
      <c r="Z4581" s="4"/>
      <c r="AA4581"/>
      <c r="AB4581"/>
    </row>
    <row r="4582" spans="1:28" s="3" customFormat="1" x14ac:dyDescent="0.15">
      <c r="A4582" s="70"/>
      <c r="B4582" s="117"/>
      <c r="C4582" s="70"/>
      <c r="D4582" s="70"/>
      <c r="E4582" s="70"/>
      <c r="F4582" s="70"/>
      <c r="G4582" s="70"/>
      <c r="H4582" s="93"/>
      <c r="I4582" s="85"/>
      <c r="J4582" s="85"/>
      <c r="K4582" s="131"/>
      <c r="L4582" s="60"/>
      <c r="M4582" s="37"/>
      <c r="N4582" s="37"/>
      <c r="O4582" s="37"/>
      <c r="P4582" s="37"/>
      <c r="Q4582"/>
      <c r="R4582"/>
      <c r="Z4582" s="4"/>
      <c r="AA4582"/>
      <c r="AB4582"/>
    </row>
    <row r="4583" spans="1:28" s="3" customFormat="1" x14ac:dyDescent="0.15">
      <c r="A4583" s="70"/>
      <c r="B4583" s="117"/>
      <c r="C4583" s="70"/>
      <c r="D4583" s="70"/>
      <c r="E4583" s="70"/>
      <c r="F4583" s="70"/>
      <c r="G4583" s="70"/>
      <c r="H4583" s="93"/>
      <c r="I4583" s="85"/>
      <c r="J4583" s="85"/>
      <c r="K4583" s="131"/>
      <c r="L4583" s="60"/>
      <c r="M4583" s="33"/>
      <c r="N4583" s="37"/>
      <c r="O4583" s="37"/>
      <c r="P4583" s="37"/>
      <c r="Z4583" s="4"/>
      <c r="AA4583"/>
      <c r="AB4583"/>
    </row>
    <row r="4584" spans="1:28" s="3" customFormat="1" x14ac:dyDescent="0.15">
      <c r="A4584" s="70"/>
      <c r="B4584" s="118"/>
      <c r="C4584" s="70"/>
      <c r="D4584" s="70"/>
      <c r="E4584" s="70"/>
      <c r="F4584" s="70"/>
      <c r="G4584" s="70"/>
      <c r="H4584" s="93"/>
      <c r="I4584" s="85"/>
      <c r="J4584" s="85"/>
      <c r="K4584" s="131"/>
      <c r="L4584" s="60"/>
      <c r="M4584" s="49"/>
      <c r="N4584" s="37"/>
      <c r="O4584" s="37"/>
      <c r="P4584" s="37"/>
      <c r="Z4584" s="4"/>
      <c r="AA4584"/>
      <c r="AB4584"/>
    </row>
    <row r="4585" spans="1:28" s="3" customFormat="1" x14ac:dyDescent="0.15">
      <c r="A4585" s="70"/>
      <c r="B4585" s="118"/>
      <c r="C4585" s="70"/>
      <c r="D4585" s="70"/>
      <c r="E4585" s="70"/>
      <c r="F4585" s="70"/>
      <c r="G4585" s="70"/>
      <c r="H4585" s="93"/>
      <c r="I4585" s="85"/>
      <c r="J4585" s="85"/>
      <c r="K4585" s="131"/>
      <c r="L4585" s="60"/>
      <c r="M4585" s="49"/>
      <c r="N4585" s="37"/>
      <c r="O4585" s="37"/>
      <c r="P4585" s="37"/>
      <c r="Z4585" s="4"/>
      <c r="AA4585"/>
      <c r="AB4585"/>
    </row>
    <row r="4586" spans="1:28" s="3" customFormat="1" x14ac:dyDescent="0.15">
      <c r="A4586" s="70"/>
      <c r="B4586" s="117"/>
      <c r="C4586" s="70"/>
      <c r="D4586" s="70"/>
      <c r="E4586" s="73"/>
      <c r="F4586" s="70"/>
      <c r="G4586" s="70"/>
      <c r="H4586" s="93"/>
      <c r="I4586" s="85"/>
      <c r="J4586" s="85"/>
      <c r="K4586" s="131"/>
      <c r="L4586" s="60"/>
      <c r="M4586" s="33"/>
      <c r="N4586" s="37"/>
      <c r="O4586" s="37"/>
      <c r="P4586" s="37"/>
      <c r="Z4586" s="4"/>
      <c r="AA4586"/>
      <c r="AB4586"/>
    </row>
    <row r="4587" spans="1:28" s="3" customFormat="1" x14ac:dyDescent="0.15">
      <c r="A4587" s="70"/>
      <c r="B4587" s="117"/>
      <c r="C4587" s="70"/>
      <c r="D4587" s="70"/>
      <c r="E4587" s="70"/>
      <c r="F4587" s="70"/>
      <c r="G4587" s="70"/>
      <c r="H4587" s="93"/>
      <c r="I4587" s="85"/>
      <c r="J4587" s="85"/>
      <c r="K4587" s="131"/>
      <c r="L4587" s="70"/>
      <c r="M4587" s="37"/>
      <c r="N4587" s="37"/>
      <c r="O4587" s="37"/>
      <c r="P4587" s="37"/>
      <c r="Z4587" s="4"/>
      <c r="AA4587"/>
      <c r="AB4587"/>
    </row>
    <row r="4588" spans="1:28" s="3" customFormat="1" x14ac:dyDescent="0.15">
      <c r="A4588" s="70"/>
      <c r="B4588" s="117"/>
      <c r="C4588" s="70"/>
      <c r="D4588" s="70"/>
      <c r="E4588" s="70"/>
      <c r="F4588" s="70"/>
      <c r="G4588" s="70"/>
      <c r="H4588" s="93"/>
      <c r="I4588" s="85"/>
      <c r="J4588" s="85"/>
      <c r="K4588" s="131"/>
      <c r="L4588" s="70"/>
      <c r="M4588" s="37"/>
      <c r="N4588" s="37"/>
      <c r="O4588" s="37"/>
      <c r="P4588" s="37"/>
      <c r="Z4588" s="4"/>
      <c r="AA4588"/>
      <c r="AB4588"/>
    </row>
    <row r="4589" spans="1:28" s="3" customFormat="1" x14ac:dyDescent="0.15">
      <c r="A4589" s="70"/>
      <c r="B4589" s="117"/>
      <c r="C4589" s="70"/>
      <c r="D4589" s="70"/>
      <c r="E4589" s="70"/>
      <c r="F4589" s="70"/>
      <c r="G4589" s="70"/>
      <c r="H4589" s="93"/>
      <c r="I4589" s="85"/>
      <c r="J4589" s="85"/>
      <c r="K4589" s="131"/>
      <c r="L4589" s="70"/>
      <c r="M4589" s="37"/>
      <c r="N4589" s="37"/>
      <c r="O4589" s="37"/>
      <c r="P4589" s="37"/>
      <c r="Z4589" s="4"/>
      <c r="AA4589"/>
      <c r="AB4589"/>
    </row>
    <row r="4590" spans="1:28" s="37" customFormat="1" x14ac:dyDescent="0.15">
      <c r="A4590" s="70"/>
      <c r="B4590" s="117"/>
      <c r="C4590" s="70"/>
      <c r="D4590" s="70"/>
      <c r="E4590" s="70"/>
      <c r="F4590" s="70"/>
      <c r="G4590" s="70"/>
      <c r="H4590" s="93"/>
      <c r="I4590" s="85"/>
      <c r="J4590" s="85"/>
      <c r="K4590" s="131"/>
      <c r="L4590" s="60"/>
      <c r="M4590" s="33"/>
      <c r="Q4590" s="3"/>
      <c r="R4590" s="3"/>
      <c r="S4590" s="3"/>
      <c r="T4590" s="3"/>
      <c r="U4590" s="3"/>
      <c r="V4590" s="3"/>
      <c r="W4590" s="3"/>
      <c r="X4590" s="3"/>
      <c r="Y4590" s="3"/>
      <c r="Z4590" s="4"/>
      <c r="AA4590"/>
      <c r="AB4590"/>
    </row>
    <row r="4591" spans="1:28" s="37" customFormat="1" x14ac:dyDescent="0.15">
      <c r="A4591" s="70"/>
      <c r="B4591" s="117"/>
      <c r="C4591" s="70"/>
      <c r="D4591" s="70"/>
      <c r="E4591" s="70"/>
      <c r="F4591" s="70"/>
      <c r="G4591" s="70"/>
      <c r="H4591" s="93"/>
      <c r="I4591" s="85"/>
      <c r="J4591" s="85"/>
      <c r="K4591" s="131"/>
      <c r="L4591" s="60"/>
      <c r="M4591" s="33"/>
      <c r="Q4591" s="3"/>
      <c r="R4591" s="3"/>
      <c r="S4591" s="3"/>
      <c r="T4591" s="3"/>
      <c r="U4591" s="3"/>
      <c r="V4591" s="3"/>
      <c r="W4591" s="3"/>
      <c r="X4591" s="3"/>
      <c r="Y4591" s="3"/>
      <c r="Z4591" s="4"/>
      <c r="AA4591"/>
      <c r="AB4591"/>
    </row>
    <row r="4592" spans="1:28" s="37" customFormat="1" x14ac:dyDescent="0.15">
      <c r="A4592" s="70"/>
      <c r="B4592" s="117"/>
      <c r="C4592" s="70"/>
      <c r="D4592" s="70"/>
      <c r="E4592" s="70"/>
      <c r="F4592" s="70"/>
      <c r="G4592" s="70"/>
      <c r="H4592" s="93"/>
      <c r="I4592" s="85"/>
      <c r="J4592" s="85"/>
      <c r="K4592" s="131"/>
      <c r="L4592" s="60"/>
      <c r="M4592" s="33"/>
      <c r="Q4592" s="3"/>
      <c r="R4592" s="3"/>
      <c r="S4592" s="3"/>
      <c r="T4592" s="3"/>
      <c r="U4592" s="3"/>
      <c r="V4592" s="3"/>
      <c r="W4592" s="3"/>
      <c r="X4592" s="3"/>
      <c r="Y4592" s="3"/>
      <c r="Z4592" s="4"/>
      <c r="AA4592"/>
      <c r="AB4592"/>
    </row>
    <row r="4593" spans="1:28" s="37" customFormat="1" x14ac:dyDescent="0.15">
      <c r="A4593" s="70"/>
      <c r="B4593" s="118"/>
      <c r="C4593" s="70"/>
      <c r="D4593" s="70"/>
      <c r="E4593" s="70"/>
      <c r="F4593" s="70"/>
      <c r="G4593" s="70"/>
      <c r="H4593" s="93"/>
      <c r="I4593" s="85"/>
      <c r="J4593" s="85"/>
      <c r="K4593" s="131"/>
      <c r="L4593" s="60"/>
      <c r="M4593" s="33"/>
      <c r="Q4593" s="3"/>
      <c r="R4593" s="3"/>
      <c r="S4593" s="3"/>
      <c r="T4593" s="3"/>
      <c r="U4593" s="3"/>
      <c r="V4593" s="3"/>
      <c r="W4593" s="3"/>
      <c r="X4593" s="3"/>
      <c r="Y4593" s="3"/>
      <c r="Z4593" s="4"/>
      <c r="AA4593"/>
      <c r="AB4593"/>
    </row>
    <row r="4594" spans="1:28" s="37" customFormat="1" x14ac:dyDescent="0.15">
      <c r="A4594" s="70"/>
      <c r="B4594" s="117"/>
      <c r="C4594" s="70"/>
      <c r="D4594" s="70"/>
      <c r="E4594" s="70"/>
      <c r="F4594" s="70"/>
      <c r="G4594" s="70"/>
      <c r="H4594" s="93"/>
      <c r="I4594" s="85"/>
      <c r="J4594" s="85"/>
      <c r="K4594" s="131"/>
      <c r="L4594" s="60"/>
      <c r="M4594" s="33"/>
      <c r="Q4594" s="3"/>
      <c r="R4594" s="3"/>
      <c r="S4594" s="3"/>
      <c r="T4594" s="3"/>
      <c r="U4594" s="3"/>
      <c r="V4594" s="3"/>
      <c r="W4594" s="3"/>
      <c r="X4594" s="3"/>
      <c r="Y4594" s="3"/>
      <c r="Z4594" s="4"/>
      <c r="AA4594"/>
      <c r="AB4594"/>
    </row>
    <row r="4595" spans="1:28" s="37" customFormat="1" x14ac:dyDescent="0.15">
      <c r="A4595" s="70"/>
      <c r="B4595" s="117"/>
      <c r="C4595" s="70"/>
      <c r="D4595" s="70"/>
      <c r="E4595" s="70"/>
      <c r="F4595" s="70"/>
      <c r="G4595" s="70"/>
      <c r="H4595" s="93"/>
      <c r="I4595" s="85"/>
      <c r="J4595" s="85"/>
      <c r="K4595" s="131"/>
      <c r="L4595" s="60"/>
      <c r="M4595" s="33"/>
      <c r="Q4595" s="3"/>
      <c r="R4595" s="3"/>
      <c r="S4595" s="3"/>
      <c r="T4595" s="3"/>
      <c r="U4595" s="3"/>
      <c r="V4595" s="3"/>
      <c r="W4595" s="3"/>
      <c r="X4595" s="3"/>
      <c r="Y4595" s="3"/>
      <c r="Z4595" s="4"/>
      <c r="AA4595"/>
      <c r="AB4595"/>
    </row>
    <row r="4596" spans="1:28" s="37" customFormat="1" ht="16" x14ac:dyDescent="0.2">
      <c r="A4596" s="70"/>
      <c r="B4596" s="117"/>
      <c r="C4596" s="70"/>
      <c r="D4596" s="70"/>
      <c r="E4596" s="70"/>
      <c r="F4596" s="70"/>
      <c r="G4596" s="70"/>
      <c r="H4596" s="93"/>
      <c r="I4596" s="85"/>
      <c r="J4596" s="85"/>
      <c r="K4596" s="131"/>
      <c r="L4596" s="60"/>
      <c r="M4596" s="33"/>
      <c r="N4596" s="48"/>
      <c r="Q4596" s="3"/>
      <c r="R4596" s="3"/>
      <c r="S4596" s="3"/>
      <c r="T4596" s="3"/>
      <c r="U4596" s="3"/>
      <c r="V4596" s="3"/>
      <c r="W4596" s="3"/>
      <c r="X4596" s="3"/>
      <c r="Y4596" s="3"/>
      <c r="Z4596" s="4"/>
      <c r="AA4596"/>
      <c r="AB4596"/>
    </row>
    <row r="4597" spans="1:28" s="37" customFormat="1" x14ac:dyDescent="0.15">
      <c r="A4597" s="70"/>
      <c r="B4597" s="117"/>
      <c r="C4597" s="70"/>
      <c r="D4597" s="70"/>
      <c r="E4597" s="70"/>
      <c r="F4597" s="70"/>
      <c r="G4597" s="70"/>
      <c r="H4597" s="93"/>
      <c r="I4597" s="85"/>
      <c r="J4597" s="85"/>
      <c r="K4597" s="131"/>
      <c r="L4597" s="60"/>
      <c r="M4597" s="33"/>
      <c r="Q4597" s="3"/>
      <c r="R4597" s="3"/>
      <c r="S4597" s="3"/>
      <c r="T4597" s="3"/>
      <c r="U4597" s="3"/>
      <c r="V4597" s="3"/>
      <c r="W4597" s="3"/>
      <c r="X4597" s="3"/>
      <c r="Y4597" s="3"/>
      <c r="Z4597" s="4"/>
      <c r="AA4597"/>
      <c r="AB4597"/>
    </row>
    <row r="4598" spans="1:28" s="37" customFormat="1" x14ac:dyDescent="0.15">
      <c r="A4598" s="70"/>
      <c r="B4598" s="117"/>
      <c r="C4598" s="70"/>
      <c r="D4598" s="70"/>
      <c r="E4598" s="73"/>
      <c r="F4598" s="70"/>
      <c r="G4598" s="70"/>
      <c r="H4598" s="93"/>
      <c r="I4598" s="85"/>
      <c r="J4598" s="85"/>
      <c r="K4598" s="131"/>
      <c r="L4598" s="60"/>
      <c r="M4598" s="33"/>
      <c r="Q4598" s="3"/>
      <c r="R4598" s="3"/>
      <c r="S4598" s="3"/>
      <c r="T4598" s="3"/>
      <c r="U4598" s="3"/>
      <c r="V4598" s="3"/>
      <c r="W4598" s="3"/>
      <c r="X4598" s="3"/>
      <c r="Y4598" s="3"/>
      <c r="Z4598" s="4"/>
      <c r="AA4598"/>
      <c r="AB4598"/>
    </row>
    <row r="4599" spans="1:28" s="37" customFormat="1" x14ac:dyDescent="0.15">
      <c r="A4599" s="70"/>
      <c r="B4599" s="117"/>
      <c r="C4599" s="70"/>
      <c r="D4599" s="70"/>
      <c r="E4599" s="73"/>
      <c r="F4599" s="70"/>
      <c r="G4599" s="70"/>
      <c r="H4599" s="93"/>
      <c r="I4599" s="85"/>
      <c r="J4599" s="85"/>
      <c r="K4599" s="131"/>
      <c r="L4599" s="60"/>
      <c r="M4599" s="33"/>
      <c r="Q4599" s="3"/>
      <c r="R4599" s="3"/>
      <c r="S4599" s="3"/>
      <c r="T4599" s="3"/>
      <c r="U4599" s="3"/>
      <c r="V4599" s="3"/>
      <c r="W4599" s="3"/>
      <c r="X4599" s="3"/>
      <c r="Y4599" s="3"/>
      <c r="Z4599" s="4"/>
      <c r="AA4599"/>
      <c r="AB4599"/>
    </row>
    <row r="4600" spans="1:28" s="37" customFormat="1" x14ac:dyDescent="0.15">
      <c r="A4600" s="70"/>
      <c r="B4600" s="117"/>
      <c r="C4600" s="70"/>
      <c r="D4600" s="70"/>
      <c r="E4600" s="70"/>
      <c r="F4600" s="70"/>
      <c r="G4600" s="70"/>
      <c r="H4600" s="93"/>
      <c r="I4600" s="85"/>
      <c r="J4600" s="85"/>
      <c r="K4600" s="131"/>
      <c r="L4600" s="60"/>
      <c r="M4600" s="33"/>
      <c r="Q4600" s="3"/>
      <c r="R4600" s="3"/>
      <c r="S4600" s="3"/>
      <c r="T4600" s="3"/>
      <c r="U4600" s="3"/>
      <c r="V4600" s="3"/>
      <c r="W4600" s="3"/>
      <c r="X4600" s="3"/>
      <c r="Y4600" s="3"/>
      <c r="Z4600" s="4"/>
      <c r="AA4600"/>
      <c r="AB4600"/>
    </row>
    <row r="4601" spans="1:28" s="37" customFormat="1" x14ac:dyDescent="0.15">
      <c r="A4601" s="70"/>
      <c r="B4601" s="117"/>
      <c r="C4601" s="70"/>
      <c r="D4601" s="70"/>
      <c r="E4601" s="70"/>
      <c r="F4601" s="70"/>
      <c r="G4601" s="70"/>
      <c r="H4601" s="93"/>
      <c r="I4601" s="85"/>
      <c r="J4601" s="85"/>
      <c r="K4601" s="131"/>
      <c r="L4601" s="60"/>
      <c r="M4601" s="33"/>
      <c r="Q4601" s="3"/>
      <c r="R4601" s="3"/>
      <c r="S4601" s="3"/>
      <c r="T4601" s="3"/>
      <c r="U4601" s="3"/>
      <c r="V4601" s="3"/>
      <c r="W4601" s="3"/>
      <c r="X4601" s="3"/>
      <c r="Y4601" s="3"/>
      <c r="Z4601" s="4"/>
      <c r="AA4601"/>
      <c r="AB4601"/>
    </row>
    <row r="4602" spans="1:28" s="37" customFormat="1" x14ac:dyDescent="0.15">
      <c r="A4602" s="70"/>
      <c r="B4602" s="117"/>
      <c r="C4602" s="73"/>
      <c r="D4602" s="73"/>
      <c r="E4602" s="73"/>
      <c r="F4602" s="73"/>
      <c r="G4602" s="73"/>
      <c r="H4602" s="108"/>
      <c r="I4602" s="85"/>
      <c r="J4602" s="95"/>
      <c r="K4602" s="134"/>
      <c r="L4602" s="63"/>
      <c r="M4602" s="33"/>
      <c r="Q4602" s="3"/>
      <c r="R4602" s="3"/>
      <c r="S4602" s="3"/>
      <c r="T4602" s="3"/>
      <c r="U4602" s="3"/>
      <c r="V4602" s="3"/>
      <c r="W4602" s="3"/>
      <c r="X4602" s="3"/>
      <c r="Y4602" s="3"/>
      <c r="Z4602" s="4"/>
      <c r="AA4602"/>
      <c r="AB4602"/>
    </row>
    <row r="4603" spans="1:28" s="37" customFormat="1" ht="16" x14ac:dyDescent="0.2">
      <c r="A4603" s="70"/>
      <c r="B4603" s="117"/>
      <c r="C4603" s="73"/>
      <c r="D4603" s="73"/>
      <c r="E4603" s="70"/>
      <c r="F4603" s="73"/>
      <c r="G4603" s="73"/>
      <c r="H4603" s="108"/>
      <c r="I4603" s="85"/>
      <c r="J4603" s="95"/>
      <c r="K4603" s="131"/>
      <c r="L4603" s="60"/>
      <c r="M4603" s="48"/>
      <c r="Q4603" s="3"/>
      <c r="R4603" s="3"/>
      <c r="S4603" s="3"/>
      <c r="T4603" s="3"/>
      <c r="U4603" s="3"/>
      <c r="V4603" s="3"/>
      <c r="W4603" s="3"/>
      <c r="X4603" s="3"/>
      <c r="Y4603" s="3"/>
      <c r="Z4603" s="4"/>
      <c r="AA4603"/>
      <c r="AB4603"/>
    </row>
    <row r="4604" spans="1:28" s="37" customFormat="1" ht="16" x14ac:dyDescent="0.2">
      <c r="A4604" s="70"/>
      <c r="B4604" s="117"/>
      <c r="C4604" s="70"/>
      <c r="D4604" s="70"/>
      <c r="E4604" s="70"/>
      <c r="F4604" s="70"/>
      <c r="G4604" s="70"/>
      <c r="H4604" s="93"/>
      <c r="I4604" s="85"/>
      <c r="J4604" s="85"/>
      <c r="K4604" s="138"/>
      <c r="L4604" s="60"/>
      <c r="M4604" s="48"/>
      <c r="N4604" s="32"/>
      <c r="Q4604" s="3"/>
      <c r="R4604" s="3"/>
      <c r="S4604" s="3"/>
      <c r="T4604" s="3"/>
      <c r="U4604" s="3"/>
      <c r="V4604" s="3"/>
      <c r="W4604" s="3"/>
      <c r="X4604" s="3"/>
      <c r="Y4604" s="3"/>
      <c r="Z4604" s="4"/>
      <c r="AA4604"/>
      <c r="AB4604"/>
    </row>
    <row r="4605" spans="1:28" s="37" customFormat="1" ht="16" x14ac:dyDescent="0.2">
      <c r="A4605" s="70"/>
      <c r="B4605" s="117"/>
      <c r="C4605" s="70"/>
      <c r="D4605" s="70"/>
      <c r="E4605" s="70"/>
      <c r="F4605" s="70"/>
      <c r="G4605" s="70"/>
      <c r="H4605" s="93"/>
      <c r="I4605" s="85"/>
      <c r="J4605" s="85"/>
      <c r="K4605" s="131"/>
      <c r="L4605" s="60"/>
      <c r="M4605" s="48"/>
      <c r="Q4605" s="3"/>
      <c r="R4605" s="3"/>
      <c r="S4605" s="3"/>
      <c r="T4605" s="3"/>
      <c r="U4605" s="3"/>
      <c r="V4605" s="3"/>
      <c r="W4605" s="3"/>
      <c r="X4605" s="3"/>
      <c r="Y4605" s="3"/>
      <c r="Z4605" s="4"/>
      <c r="AA4605"/>
      <c r="AB4605"/>
    </row>
    <row r="4606" spans="1:28" s="37" customFormat="1" x14ac:dyDescent="0.15">
      <c r="A4606" s="70"/>
      <c r="B4606" s="117"/>
      <c r="C4606" s="70"/>
      <c r="D4606" s="70"/>
      <c r="E4606" s="70"/>
      <c r="F4606" s="70"/>
      <c r="G4606" s="70"/>
      <c r="H4606" s="93"/>
      <c r="I4606" s="85"/>
      <c r="J4606" s="85"/>
      <c r="K4606" s="131"/>
      <c r="L4606" s="60"/>
      <c r="M4606" s="33"/>
      <c r="Q4606" s="3"/>
      <c r="R4606" s="3"/>
      <c r="S4606" s="3"/>
      <c r="T4606" s="3"/>
      <c r="U4606" s="3"/>
      <c r="V4606" s="3"/>
      <c r="W4606" s="3"/>
      <c r="X4606" s="3"/>
      <c r="Y4606" s="3"/>
      <c r="Z4606" s="4"/>
      <c r="AA4606"/>
      <c r="AB4606"/>
    </row>
    <row r="4607" spans="1:28" s="37" customFormat="1" x14ac:dyDescent="0.15">
      <c r="A4607" s="70"/>
      <c r="B4607" s="117"/>
      <c r="C4607" s="70"/>
      <c r="D4607" s="70"/>
      <c r="E4607" s="70"/>
      <c r="F4607" s="70"/>
      <c r="G4607" s="70"/>
      <c r="H4607" s="93"/>
      <c r="I4607" s="85"/>
      <c r="J4607" s="85"/>
      <c r="K4607" s="131"/>
      <c r="L4607" s="60"/>
      <c r="M4607" s="33"/>
      <c r="Q4607" s="3"/>
      <c r="R4607" s="3"/>
      <c r="S4607" s="3"/>
      <c r="T4607" s="3"/>
      <c r="U4607" s="3"/>
      <c r="V4607" s="3"/>
      <c r="W4607" s="3"/>
      <c r="X4607" s="3"/>
      <c r="Y4607" s="3"/>
      <c r="Z4607" s="4"/>
      <c r="AA4607"/>
      <c r="AB4607"/>
    </row>
    <row r="4608" spans="1:28" s="37" customFormat="1" x14ac:dyDescent="0.15">
      <c r="A4608" s="70"/>
      <c r="B4608" s="117"/>
      <c r="C4608" s="70"/>
      <c r="D4608" s="70"/>
      <c r="E4608" s="70"/>
      <c r="F4608" s="70"/>
      <c r="G4608" s="70"/>
      <c r="H4608" s="93"/>
      <c r="I4608" s="85"/>
      <c r="J4608" s="85"/>
      <c r="K4608" s="131"/>
      <c r="L4608" s="60"/>
      <c r="M4608" s="33"/>
      <c r="Q4608" s="3"/>
      <c r="R4608" s="3"/>
      <c r="S4608" s="3"/>
      <c r="T4608" s="3"/>
      <c r="U4608" s="3"/>
      <c r="V4608" s="3"/>
      <c r="W4608" s="3"/>
      <c r="X4608" s="3"/>
      <c r="Y4608" s="3"/>
      <c r="Z4608" s="4"/>
      <c r="AA4608"/>
      <c r="AB4608"/>
    </row>
    <row r="4609" spans="1:28" s="37" customFormat="1" x14ac:dyDescent="0.15">
      <c r="A4609" s="70"/>
      <c r="B4609" s="117"/>
      <c r="C4609" s="70"/>
      <c r="D4609" s="70"/>
      <c r="E4609" s="70"/>
      <c r="F4609" s="70"/>
      <c r="G4609" s="70"/>
      <c r="H4609" s="93"/>
      <c r="I4609" s="85"/>
      <c r="J4609" s="85"/>
      <c r="K4609" s="131"/>
      <c r="L4609" s="60"/>
      <c r="M4609" s="33"/>
      <c r="Q4609" s="3"/>
      <c r="R4609" s="3"/>
      <c r="S4609" s="3"/>
      <c r="T4609" s="3"/>
      <c r="U4609" s="3"/>
      <c r="V4609" s="3"/>
      <c r="W4609" s="3"/>
      <c r="X4609" s="3"/>
      <c r="Y4609" s="3"/>
      <c r="Z4609" s="4"/>
      <c r="AA4609"/>
      <c r="AB4609"/>
    </row>
    <row r="4610" spans="1:28" s="37" customFormat="1" x14ac:dyDescent="0.15">
      <c r="A4610" s="70"/>
      <c r="B4610" s="117"/>
      <c r="C4610" s="70"/>
      <c r="D4610" s="70"/>
      <c r="E4610" s="70"/>
      <c r="F4610" s="70"/>
      <c r="G4610" s="70"/>
      <c r="H4610" s="93"/>
      <c r="I4610" s="85"/>
      <c r="J4610" s="85"/>
      <c r="K4610" s="131"/>
      <c r="L4610" s="60"/>
      <c r="M4610" s="33"/>
      <c r="Q4610" s="3"/>
      <c r="R4610" s="3"/>
      <c r="S4610" s="3"/>
      <c r="T4610" s="3"/>
      <c r="U4610" s="3"/>
      <c r="V4610" s="3"/>
      <c r="W4610" s="3"/>
      <c r="X4610" s="3"/>
      <c r="Y4610" s="3"/>
      <c r="Z4610" s="4"/>
      <c r="AA4610"/>
      <c r="AB4610"/>
    </row>
    <row r="4611" spans="1:28" s="37" customFormat="1" x14ac:dyDescent="0.15">
      <c r="A4611" s="70"/>
      <c r="B4611" s="117"/>
      <c r="C4611" s="70"/>
      <c r="D4611" s="70"/>
      <c r="E4611" s="70"/>
      <c r="F4611" s="70"/>
      <c r="G4611" s="70"/>
      <c r="H4611" s="93"/>
      <c r="I4611" s="85"/>
      <c r="J4611" s="85"/>
      <c r="K4611" s="131"/>
      <c r="L4611" s="60"/>
      <c r="M4611" s="33"/>
      <c r="Q4611" s="3"/>
      <c r="R4611" s="3"/>
      <c r="S4611" s="3"/>
      <c r="T4611" s="3"/>
      <c r="U4611" s="3"/>
      <c r="V4611" s="3"/>
      <c r="W4611" s="3"/>
      <c r="X4611" s="3"/>
      <c r="Y4611" s="3"/>
      <c r="Z4611" s="4"/>
      <c r="AA4611"/>
      <c r="AB4611"/>
    </row>
    <row r="4612" spans="1:28" s="37" customFormat="1" x14ac:dyDescent="0.15">
      <c r="A4612" s="70"/>
      <c r="B4612" s="117"/>
      <c r="C4612" s="73"/>
      <c r="D4612" s="73"/>
      <c r="E4612" s="73"/>
      <c r="F4612" s="73"/>
      <c r="G4612" s="73"/>
      <c r="H4612" s="108"/>
      <c r="I4612" s="85"/>
      <c r="J4612" s="95"/>
      <c r="K4612" s="134"/>
      <c r="L4612" s="63"/>
      <c r="M4612" s="33"/>
      <c r="Q4612" s="3"/>
      <c r="R4612" s="3"/>
      <c r="S4612" s="3"/>
      <c r="T4612" s="3"/>
      <c r="U4612" s="3"/>
      <c r="V4612" s="3"/>
      <c r="W4612" s="3"/>
      <c r="X4612" s="3"/>
      <c r="Y4612" s="3"/>
      <c r="Z4612" s="4"/>
      <c r="AA4612"/>
      <c r="AB4612"/>
    </row>
    <row r="4613" spans="1:28" s="37" customFormat="1" ht="16" x14ac:dyDescent="0.2">
      <c r="A4613" s="70"/>
      <c r="B4613" s="117"/>
      <c r="C4613" s="70"/>
      <c r="D4613" s="70"/>
      <c r="E4613" s="70"/>
      <c r="F4613" s="70"/>
      <c r="G4613" s="70"/>
      <c r="H4613" s="93"/>
      <c r="I4613" s="85"/>
      <c r="J4613" s="85"/>
      <c r="K4613" s="131"/>
      <c r="L4613" s="60"/>
      <c r="M4613" s="47"/>
      <c r="Q4613" s="3"/>
      <c r="R4613" s="3"/>
      <c r="S4613" s="3"/>
      <c r="T4613" s="3"/>
      <c r="U4613" s="3"/>
      <c r="V4613" s="3"/>
      <c r="W4613" s="3"/>
      <c r="X4613" s="3"/>
      <c r="Y4613" s="3"/>
      <c r="Z4613" s="4"/>
      <c r="AA4613"/>
      <c r="AB4613"/>
    </row>
    <row r="4614" spans="1:28" s="37" customFormat="1" x14ac:dyDescent="0.15">
      <c r="A4614" s="70"/>
      <c r="B4614" s="117"/>
      <c r="C4614" s="70"/>
      <c r="D4614" s="70"/>
      <c r="E4614" s="70"/>
      <c r="F4614" s="70"/>
      <c r="G4614" s="70"/>
      <c r="H4614" s="93"/>
      <c r="I4614" s="85"/>
      <c r="J4614" s="85"/>
      <c r="K4614" s="131"/>
      <c r="L4614" s="60"/>
      <c r="M4614" s="33"/>
      <c r="Q4614" s="3"/>
      <c r="R4614" s="3"/>
      <c r="S4614" s="3"/>
      <c r="T4614" s="3"/>
      <c r="U4614" s="3"/>
      <c r="V4614" s="3"/>
      <c r="W4614" s="3"/>
      <c r="X4614" s="3"/>
      <c r="Y4614" s="3"/>
      <c r="Z4614" s="4"/>
      <c r="AA4614"/>
      <c r="AB4614"/>
    </row>
    <row r="4615" spans="1:28" s="37" customFormat="1" x14ac:dyDescent="0.15">
      <c r="A4615" s="70"/>
      <c r="B4615" s="117"/>
      <c r="C4615" s="70"/>
      <c r="D4615" s="70"/>
      <c r="E4615" s="70"/>
      <c r="F4615" s="70"/>
      <c r="G4615" s="70"/>
      <c r="H4615" s="93"/>
      <c r="I4615" s="85"/>
      <c r="J4615" s="85"/>
      <c r="K4615" s="131"/>
      <c r="L4615" s="60"/>
      <c r="M4615" s="33"/>
      <c r="Q4615" s="3"/>
      <c r="R4615" s="3"/>
      <c r="S4615" s="3"/>
      <c r="T4615" s="3"/>
      <c r="U4615" s="3"/>
      <c r="V4615" s="3"/>
      <c r="W4615" s="3"/>
      <c r="X4615" s="3"/>
      <c r="Y4615" s="3"/>
      <c r="Z4615" s="4"/>
      <c r="AA4615"/>
      <c r="AB4615"/>
    </row>
    <row r="4616" spans="1:28" s="37" customFormat="1" ht="16" x14ac:dyDescent="0.2">
      <c r="A4616" s="70"/>
      <c r="B4616" s="117"/>
      <c r="C4616" s="70"/>
      <c r="D4616" s="70"/>
      <c r="E4616" s="70"/>
      <c r="F4616" s="70"/>
      <c r="G4616" s="70"/>
      <c r="H4616" s="93"/>
      <c r="I4616" s="85"/>
      <c r="J4616" s="85"/>
      <c r="K4616" s="131"/>
      <c r="L4616" s="60"/>
      <c r="M4616" s="47"/>
      <c r="Q4616" s="3"/>
      <c r="R4616" s="3"/>
      <c r="S4616" s="3"/>
      <c r="T4616" s="3"/>
      <c r="U4616" s="3"/>
      <c r="V4616" s="3"/>
      <c r="W4616" s="3"/>
      <c r="X4616" s="3"/>
      <c r="Y4616" s="3"/>
      <c r="Z4616" s="4"/>
      <c r="AA4616"/>
      <c r="AB4616"/>
    </row>
    <row r="4617" spans="1:28" s="37" customFormat="1" x14ac:dyDescent="0.15">
      <c r="A4617" s="70"/>
      <c r="B4617" s="117"/>
      <c r="C4617" s="70"/>
      <c r="D4617" s="70"/>
      <c r="E4617" s="73"/>
      <c r="F4617" s="70"/>
      <c r="G4617" s="70"/>
      <c r="H4617" s="93"/>
      <c r="I4617" s="85"/>
      <c r="J4617" s="85"/>
      <c r="K4617" s="134"/>
      <c r="L4617" s="63"/>
      <c r="M4617" s="33"/>
      <c r="Q4617" s="3"/>
      <c r="R4617" s="3"/>
      <c r="S4617" s="3"/>
      <c r="T4617" s="3"/>
      <c r="U4617" s="3"/>
      <c r="V4617" s="3"/>
      <c r="W4617" s="3"/>
      <c r="X4617" s="3"/>
      <c r="Y4617" s="3"/>
      <c r="Z4617" s="4"/>
      <c r="AA4617"/>
      <c r="AB4617"/>
    </row>
    <row r="4618" spans="1:28" s="37" customFormat="1" x14ac:dyDescent="0.15">
      <c r="A4618" s="70"/>
      <c r="B4618" s="118"/>
      <c r="C4618" s="70"/>
      <c r="D4618" s="70"/>
      <c r="E4618" s="70"/>
      <c r="F4618" s="70"/>
      <c r="G4618" s="70"/>
      <c r="H4618" s="93"/>
      <c r="I4618" s="85"/>
      <c r="J4618" s="85"/>
      <c r="K4618" s="131"/>
      <c r="L4618" s="60"/>
      <c r="M4618" s="49"/>
      <c r="Q4618" s="3"/>
      <c r="R4618" s="3"/>
      <c r="S4618" s="3"/>
      <c r="T4618" s="3"/>
      <c r="U4618" s="3"/>
      <c r="V4618" s="3"/>
      <c r="W4618" s="3"/>
      <c r="X4618" s="3"/>
      <c r="Y4618" s="3"/>
      <c r="Z4618" s="4"/>
      <c r="AA4618"/>
      <c r="AB4618"/>
    </row>
    <row r="4619" spans="1:28" s="37" customFormat="1" x14ac:dyDescent="0.15">
      <c r="A4619" s="70"/>
      <c r="B4619" s="117"/>
      <c r="C4619" s="73"/>
      <c r="D4619" s="73"/>
      <c r="E4619" s="70"/>
      <c r="F4619" s="73"/>
      <c r="G4619" s="73"/>
      <c r="H4619" s="93"/>
      <c r="I4619" s="85"/>
      <c r="J4619" s="95"/>
      <c r="K4619" s="131"/>
      <c r="L4619" s="60"/>
      <c r="M4619" s="53"/>
      <c r="Q4619" s="3"/>
      <c r="R4619" s="3"/>
      <c r="S4619" s="3"/>
      <c r="T4619" s="3"/>
      <c r="U4619" s="3"/>
      <c r="V4619" s="3"/>
      <c r="W4619" s="3"/>
      <c r="X4619" s="3"/>
      <c r="Y4619" s="3"/>
      <c r="Z4619" s="4"/>
      <c r="AA4619"/>
      <c r="AB4619"/>
    </row>
    <row r="4620" spans="1:28" s="37" customFormat="1" x14ac:dyDescent="0.15">
      <c r="A4620" s="70"/>
      <c r="B4620" s="118"/>
      <c r="C4620" s="70"/>
      <c r="D4620" s="70"/>
      <c r="E4620" s="70"/>
      <c r="F4620" s="70"/>
      <c r="G4620" s="70"/>
      <c r="H4620" s="93"/>
      <c r="I4620" s="85"/>
      <c r="J4620" s="85"/>
      <c r="K4620" s="131"/>
      <c r="L4620" s="60"/>
      <c r="M4620" s="49"/>
      <c r="Q4620" s="3"/>
      <c r="R4620" s="3"/>
      <c r="S4620" s="3"/>
      <c r="T4620" s="3"/>
      <c r="U4620" s="3"/>
      <c r="V4620" s="3"/>
      <c r="W4620" s="3"/>
      <c r="X4620" s="3"/>
      <c r="Y4620" s="3"/>
      <c r="Z4620" s="4"/>
      <c r="AA4620"/>
      <c r="AB4620"/>
    </row>
    <row r="4621" spans="1:28" s="37" customFormat="1" ht="16" x14ac:dyDescent="0.2">
      <c r="A4621" s="70"/>
      <c r="B4621" s="117"/>
      <c r="C4621" s="70"/>
      <c r="D4621" s="70"/>
      <c r="E4621" s="70"/>
      <c r="F4621" s="70"/>
      <c r="G4621" s="70"/>
      <c r="H4621" s="93"/>
      <c r="I4621" s="85"/>
      <c r="J4621" s="85"/>
      <c r="K4621" s="131"/>
      <c r="L4621" s="60"/>
      <c r="M4621" s="47"/>
      <c r="Q4621" s="3"/>
      <c r="R4621" s="3"/>
      <c r="S4621" s="3"/>
      <c r="T4621" s="3"/>
      <c r="U4621" s="3"/>
      <c r="V4621" s="3"/>
      <c r="W4621" s="3"/>
      <c r="X4621" s="3"/>
      <c r="Y4621" s="3"/>
      <c r="Z4621" s="4"/>
      <c r="AA4621"/>
      <c r="AB4621"/>
    </row>
    <row r="4622" spans="1:28" s="37" customFormat="1" ht="16" x14ac:dyDescent="0.2">
      <c r="A4622" s="70"/>
      <c r="B4622" s="117"/>
      <c r="C4622" s="70"/>
      <c r="D4622" s="70"/>
      <c r="E4622" s="70"/>
      <c r="F4622" s="70"/>
      <c r="G4622" s="70"/>
      <c r="H4622" s="93"/>
      <c r="I4622" s="85"/>
      <c r="J4622" s="85"/>
      <c r="K4622" s="131"/>
      <c r="L4622" s="60"/>
      <c r="M4622" s="47"/>
      <c r="Q4622" s="3"/>
      <c r="R4622" s="3"/>
      <c r="S4622" s="3"/>
      <c r="T4622" s="3"/>
      <c r="U4622" s="3"/>
      <c r="V4622" s="3"/>
      <c r="W4622" s="3"/>
      <c r="X4622" s="3"/>
      <c r="Y4622" s="3"/>
      <c r="Z4622" s="4"/>
      <c r="AA4622"/>
      <c r="AB4622"/>
    </row>
    <row r="4623" spans="1:28" s="37" customFormat="1" x14ac:dyDescent="0.15">
      <c r="A4623" s="70"/>
      <c r="B4623" s="118"/>
      <c r="C4623" s="70"/>
      <c r="D4623" s="70"/>
      <c r="E4623" s="70"/>
      <c r="F4623" s="70"/>
      <c r="G4623" s="70"/>
      <c r="H4623" s="93"/>
      <c r="I4623" s="85"/>
      <c r="J4623" s="85"/>
      <c r="K4623" s="131"/>
      <c r="L4623" s="60"/>
      <c r="M4623" s="33"/>
      <c r="Q4623" s="3"/>
      <c r="R4623" s="3"/>
      <c r="S4623" s="3"/>
      <c r="T4623" s="3"/>
      <c r="U4623" s="3"/>
      <c r="V4623" s="3"/>
      <c r="W4623" s="3"/>
      <c r="X4623" s="3"/>
      <c r="Y4623" s="3"/>
      <c r="Z4623" s="4"/>
      <c r="AA4623"/>
      <c r="AB4623"/>
    </row>
    <row r="4624" spans="1:28" s="37" customFormat="1" ht="16" x14ac:dyDescent="0.2">
      <c r="A4624" s="70"/>
      <c r="B4624" s="117"/>
      <c r="C4624" s="70"/>
      <c r="D4624" s="70"/>
      <c r="E4624" s="70"/>
      <c r="F4624" s="70"/>
      <c r="G4624" s="70"/>
      <c r="H4624" s="93"/>
      <c r="I4624" s="103"/>
      <c r="J4624" s="85"/>
      <c r="K4624" s="138"/>
      <c r="L4624" s="60"/>
      <c r="M4624" s="48"/>
      <c r="N4624" s="32"/>
      <c r="Q4624" s="3"/>
      <c r="R4624" s="3"/>
      <c r="S4624" s="3"/>
      <c r="T4624" s="3"/>
      <c r="U4624" s="3"/>
      <c r="V4624" s="3"/>
      <c r="W4624" s="3"/>
      <c r="X4624" s="3"/>
      <c r="Y4624" s="3"/>
      <c r="Z4624" s="4"/>
      <c r="AA4624"/>
      <c r="AB4624"/>
    </row>
    <row r="4625" spans="1:28" s="37" customFormat="1" ht="16" x14ac:dyDescent="0.2">
      <c r="A4625" s="70"/>
      <c r="B4625" s="117"/>
      <c r="C4625" s="70"/>
      <c r="D4625" s="70"/>
      <c r="E4625" s="70"/>
      <c r="F4625" s="70"/>
      <c r="G4625" s="70"/>
      <c r="H4625" s="93"/>
      <c r="I4625" s="85"/>
      <c r="J4625" s="85"/>
      <c r="K4625" s="131"/>
      <c r="L4625" s="60"/>
      <c r="M4625" s="48"/>
      <c r="Q4625" s="3"/>
      <c r="R4625" s="3"/>
      <c r="S4625" s="3"/>
      <c r="T4625" s="3"/>
      <c r="U4625" s="3"/>
      <c r="V4625" s="3"/>
      <c r="W4625" s="3"/>
      <c r="X4625" s="3"/>
      <c r="Y4625" s="3"/>
      <c r="Z4625" s="4"/>
      <c r="AA4625"/>
      <c r="AB4625"/>
    </row>
    <row r="4626" spans="1:28" s="37" customFormat="1" ht="16" x14ac:dyDescent="0.2">
      <c r="A4626" s="70"/>
      <c r="B4626" s="117"/>
      <c r="C4626" s="73"/>
      <c r="D4626" s="73"/>
      <c r="E4626" s="70"/>
      <c r="F4626" s="73"/>
      <c r="G4626" s="73"/>
      <c r="H4626" s="93"/>
      <c r="I4626" s="85"/>
      <c r="J4626" s="95"/>
      <c r="K4626" s="131"/>
      <c r="L4626" s="60"/>
      <c r="M4626" s="48"/>
      <c r="Q4626" s="3"/>
      <c r="R4626" s="3"/>
      <c r="S4626" s="3"/>
      <c r="T4626" s="3"/>
      <c r="U4626" s="3"/>
      <c r="V4626" s="3"/>
      <c r="W4626" s="3"/>
      <c r="X4626" s="3"/>
      <c r="Y4626" s="3"/>
      <c r="Z4626" s="4"/>
      <c r="AA4626"/>
      <c r="AB4626"/>
    </row>
    <row r="4627" spans="1:28" s="37" customFormat="1" x14ac:dyDescent="0.15">
      <c r="A4627" s="70"/>
      <c r="B4627" s="117"/>
      <c r="C4627" s="70"/>
      <c r="D4627" s="70"/>
      <c r="E4627" s="70"/>
      <c r="F4627" s="70"/>
      <c r="G4627" s="70"/>
      <c r="H4627" s="93"/>
      <c r="I4627" s="85"/>
      <c r="J4627" s="85"/>
      <c r="K4627" s="131"/>
      <c r="L4627" s="60"/>
      <c r="Q4627" s="3"/>
      <c r="R4627" s="3"/>
      <c r="S4627" s="3"/>
      <c r="T4627" s="3"/>
      <c r="U4627" s="3"/>
      <c r="V4627" s="3"/>
      <c r="W4627" s="3"/>
      <c r="X4627" s="3"/>
      <c r="Y4627" s="3"/>
      <c r="Z4627" s="4"/>
      <c r="AA4627"/>
      <c r="AB4627"/>
    </row>
    <row r="4628" spans="1:28" s="37" customFormat="1" x14ac:dyDescent="0.15">
      <c r="A4628" s="70"/>
      <c r="B4628" s="117"/>
      <c r="C4628" s="70"/>
      <c r="D4628" s="70"/>
      <c r="E4628" s="70"/>
      <c r="F4628" s="70"/>
      <c r="G4628" s="70"/>
      <c r="H4628" s="93"/>
      <c r="I4628" s="85"/>
      <c r="J4628" s="85"/>
      <c r="K4628" s="131"/>
      <c r="L4628" s="60"/>
      <c r="Q4628" s="3"/>
      <c r="R4628" s="3"/>
      <c r="S4628" s="3"/>
      <c r="T4628" s="3"/>
      <c r="U4628" s="3"/>
      <c r="V4628" s="3"/>
      <c r="W4628" s="3"/>
      <c r="X4628" s="3"/>
      <c r="Y4628" s="3"/>
      <c r="Z4628" s="4"/>
      <c r="AA4628"/>
      <c r="AB4628"/>
    </row>
    <row r="4629" spans="1:28" s="37" customFormat="1" x14ac:dyDescent="0.15">
      <c r="A4629" s="70"/>
      <c r="B4629" s="117"/>
      <c r="C4629" s="70"/>
      <c r="D4629" s="70"/>
      <c r="E4629" s="70"/>
      <c r="F4629" s="70"/>
      <c r="G4629" s="70"/>
      <c r="H4629" s="93"/>
      <c r="I4629" s="85"/>
      <c r="J4629" s="85"/>
      <c r="K4629" s="131"/>
      <c r="L4629" s="60"/>
      <c r="Q4629" s="3"/>
      <c r="R4629" s="3"/>
      <c r="S4629" s="3"/>
      <c r="T4629" s="3"/>
      <c r="U4629" s="3"/>
      <c r="V4629" s="3"/>
      <c r="W4629" s="3"/>
      <c r="X4629" s="3"/>
      <c r="Y4629" s="3"/>
      <c r="Z4629" s="4"/>
      <c r="AA4629"/>
      <c r="AB4629"/>
    </row>
    <row r="4630" spans="1:28" s="37" customFormat="1" x14ac:dyDescent="0.15">
      <c r="A4630" s="70"/>
      <c r="B4630" s="117"/>
      <c r="C4630" s="70"/>
      <c r="D4630" s="70"/>
      <c r="E4630" s="70"/>
      <c r="F4630" s="70"/>
      <c r="G4630" s="70"/>
      <c r="H4630" s="93"/>
      <c r="I4630" s="85"/>
      <c r="J4630" s="85"/>
      <c r="K4630" s="131"/>
      <c r="L4630" s="60"/>
      <c r="Q4630" s="3"/>
      <c r="R4630" s="3"/>
      <c r="S4630" s="3"/>
      <c r="T4630" s="3"/>
      <c r="U4630" s="3"/>
      <c r="V4630" s="3"/>
      <c r="W4630" s="3"/>
      <c r="X4630" s="3"/>
      <c r="Y4630" s="3"/>
      <c r="Z4630" s="4"/>
      <c r="AA4630"/>
      <c r="AB4630"/>
    </row>
    <row r="4631" spans="1:28" s="37" customFormat="1" x14ac:dyDescent="0.15">
      <c r="A4631" s="70"/>
      <c r="B4631" s="117"/>
      <c r="C4631" s="70"/>
      <c r="D4631" s="70"/>
      <c r="E4631" s="70"/>
      <c r="F4631" s="70"/>
      <c r="G4631" s="70"/>
      <c r="H4631" s="93"/>
      <c r="I4631" s="85"/>
      <c r="J4631" s="85"/>
      <c r="K4631" s="131"/>
      <c r="L4631" s="60"/>
      <c r="M4631" s="49"/>
      <c r="Q4631" s="3"/>
      <c r="R4631" s="3"/>
      <c r="S4631" s="3"/>
      <c r="T4631" s="3"/>
      <c r="U4631" s="3"/>
      <c r="V4631" s="3"/>
      <c r="W4631" s="3"/>
      <c r="X4631" s="3"/>
      <c r="Y4631" s="3"/>
      <c r="Z4631" s="4"/>
      <c r="AA4631"/>
      <c r="AB4631"/>
    </row>
    <row r="4632" spans="1:28" s="37" customFormat="1" x14ac:dyDescent="0.15">
      <c r="A4632" s="70"/>
      <c r="B4632" s="117"/>
      <c r="C4632" s="70"/>
      <c r="D4632" s="70"/>
      <c r="E4632" s="70"/>
      <c r="F4632" s="70"/>
      <c r="G4632" s="70"/>
      <c r="H4632" s="93"/>
      <c r="I4632" s="85"/>
      <c r="J4632" s="85"/>
      <c r="K4632" s="131"/>
      <c r="L4632" s="60"/>
      <c r="Q4632" s="3"/>
      <c r="R4632" s="3"/>
      <c r="S4632" s="3"/>
      <c r="T4632" s="3"/>
      <c r="U4632" s="3"/>
      <c r="V4632" s="3"/>
      <c r="W4632" s="3"/>
      <c r="X4632" s="3"/>
      <c r="Y4632" s="3"/>
      <c r="Z4632" s="4"/>
      <c r="AA4632"/>
      <c r="AB4632"/>
    </row>
    <row r="4633" spans="1:28" s="37" customFormat="1" x14ac:dyDescent="0.15">
      <c r="A4633" s="70"/>
      <c r="B4633" s="117"/>
      <c r="C4633" s="70"/>
      <c r="D4633" s="70"/>
      <c r="E4633" s="70"/>
      <c r="F4633" s="70"/>
      <c r="G4633" s="70"/>
      <c r="H4633" s="93"/>
      <c r="I4633" s="85"/>
      <c r="J4633" s="85"/>
      <c r="K4633" s="131"/>
      <c r="L4633" s="60"/>
      <c r="Q4633" s="3"/>
      <c r="R4633" s="3"/>
      <c r="S4633" s="3"/>
      <c r="T4633" s="3"/>
      <c r="U4633" s="3"/>
      <c r="V4633" s="3"/>
      <c r="W4633" s="3"/>
      <c r="X4633" s="3"/>
      <c r="Y4633" s="3"/>
      <c r="Z4633" s="4"/>
      <c r="AA4633"/>
      <c r="AB4633"/>
    </row>
    <row r="4634" spans="1:28" s="37" customFormat="1" x14ac:dyDescent="0.15">
      <c r="A4634" s="70"/>
      <c r="B4634" s="117"/>
      <c r="C4634" s="70"/>
      <c r="D4634" s="70"/>
      <c r="E4634" s="70"/>
      <c r="F4634" s="70"/>
      <c r="G4634" s="70"/>
      <c r="H4634" s="93"/>
      <c r="I4634" s="85"/>
      <c r="J4634" s="85"/>
      <c r="K4634" s="138"/>
      <c r="L4634" s="60"/>
      <c r="N4634" s="32"/>
      <c r="Q4634" s="3"/>
      <c r="R4634" s="3"/>
      <c r="S4634" s="3"/>
      <c r="T4634" s="3"/>
      <c r="U4634" s="3"/>
      <c r="V4634" s="3"/>
      <c r="W4634" s="3"/>
      <c r="X4634" s="3"/>
      <c r="Y4634" s="3"/>
      <c r="Z4634" s="4"/>
      <c r="AA4634"/>
      <c r="AB4634"/>
    </row>
    <row r="4635" spans="1:28" s="37" customFormat="1" x14ac:dyDescent="0.15">
      <c r="A4635" s="70"/>
      <c r="B4635" s="117"/>
      <c r="C4635" s="70"/>
      <c r="D4635" s="70"/>
      <c r="E4635" s="70"/>
      <c r="F4635" s="70"/>
      <c r="G4635" s="70"/>
      <c r="H4635" s="93"/>
      <c r="I4635" s="85"/>
      <c r="J4635" s="85"/>
      <c r="K4635" s="131"/>
      <c r="L4635" s="60"/>
      <c r="Q4635" s="3"/>
      <c r="R4635" s="3"/>
      <c r="S4635" s="3"/>
      <c r="T4635" s="3"/>
      <c r="U4635" s="3"/>
      <c r="V4635" s="3"/>
      <c r="W4635" s="3"/>
      <c r="X4635" s="3"/>
      <c r="Y4635" s="3"/>
      <c r="Z4635" s="4"/>
      <c r="AA4635"/>
      <c r="AB4635"/>
    </row>
    <row r="4636" spans="1:28" s="37" customFormat="1" x14ac:dyDescent="0.15">
      <c r="A4636" s="70"/>
      <c r="B4636" s="117"/>
      <c r="C4636" s="70"/>
      <c r="D4636" s="70"/>
      <c r="E4636" s="70"/>
      <c r="F4636" s="70"/>
      <c r="G4636" s="70"/>
      <c r="H4636" s="93"/>
      <c r="I4636" s="85"/>
      <c r="J4636" s="85"/>
      <c r="K4636" s="131"/>
      <c r="L4636" s="60"/>
      <c r="M4636" s="33"/>
      <c r="Q4636" s="3"/>
      <c r="R4636" s="3"/>
      <c r="S4636" s="3"/>
      <c r="T4636" s="3"/>
      <c r="U4636" s="3"/>
      <c r="V4636" s="3"/>
      <c r="W4636" s="3"/>
      <c r="X4636" s="3"/>
      <c r="Y4636" s="3"/>
      <c r="Z4636" s="4"/>
      <c r="AA4636"/>
      <c r="AB4636"/>
    </row>
    <row r="4637" spans="1:28" s="37" customFormat="1" x14ac:dyDescent="0.15">
      <c r="A4637" s="70"/>
      <c r="B4637" s="117"/>
      <c r="C4637" s="73"/>
      <c r="D4637" s="73"/>
      <c r="E4637" s="70"/>
      <c r="F4637" s="73"/>
      <c r="G4637" s="73"/>
      <c r="H4637" s="93"/>
      <c r="I4637" s="85"/>
      <c r="J4637" s="95"/>
      <c r="K4637" s="131"/>
      <c r="L4637" s="60"/>
      <c r="M4637" s="33"/>
      <c r="Q4637" s="3"/>
      <c r="R4637" s="3"/>
      <c r="S4637" s="3"/>
      <c r="T4637" s="3"/>
      <c r="U4637" s="3"/>
      <c r="V4637" s="3"/>
      <c r="W4637" s="3"/>
      <c r="X4637" s="3"/>
      <c r="Y4637" s="3"/>
      <c r="Z4637" s="4"/>
      <c r="AA4637"/>
      <c r="AB4637"/>
    </row>
    <row r="4638" spans="1:28" s="37" customFormat="1" x14ac:dyDescent="0.15">
      <c r="A4638" s="70"/>
      <c r="B4638" s="117"/>
      <c r="C4638" s="70"/>
      <c r="D4638" s="70"/>
      <c r="E4638" s="70"/>
      <c r="F4638" s="70"/>
      <c r="G4638" s="70"/>
      <c r="H4638" s="93"/>
      <c r="I4638" s="85"/>
      <c r="J4638" s="85"/>
      <c r="K4638" s="131"/>
      <c r="L4638" s="60"/>
      <c r="M4638" s="33"/>
      <c r="Q4638" s="3"/>
      <c r="R4638" s="3"/>
      <c r="S4638" s="3"/>
      <c r="T4638" s="3"/>
      <c r="U4638" s="3"/>
      <c r="V4638" s="3"/>
      <c r="W4638" s="3"/>
      <c r="X4638" s="3"/>
      <c r="Y4638" s="3"/>
      <c r="Z4638" s="4"/>
      <c r="AA4638"/>
      <c r="AB4638"/>
    </row>
    <row r="4639" spans="1:28" s="37" customFormat="1" x14ac:dyDescent="0.15">
      <c r="A4639" s="70"/>
      <c r="B4639" s="117"/>
      <c r="C4639" s="70"/>
      <c r="D4639" s="70"/>
      <c r="E4639" s="70"/>
      <c r="F4639" s="70"/>
      <c r="G4639" s="70"/>
      <c r="H4639" s="93"/>
      <c r="I4639" s="103"/>
      <c r="J4639" s="85"/>
      <c r="K4639" s="131"/>
      <c r="L4639" s="63"/>
      <c r="Q4639" s="3"/>
      <c r="R4639" s="3"/>
      <c r="S4639" s="3"/>
      <c r="T4639" s="3"/>
      <c r="U4639" s="3"/>
      <c r="V4639" s="3"/>
      <c r="W4639" s="3"/>
      <c r="X4639" s="3"/>
      <c r="Y4639" s="3"/>
      <c r="Z4639" s="4"/>
      <c r="AA4639"/>
      <c r="AB4639"/>
    </row>
    <row r="4640" spans="1:28" s="37" customFormat="1" x14ac:dyDescent="0.15">
      <c r="A4640" s="70"/>
      <c r="B4640" s="117"/>
      <c r="C4640" s="70"/>
      <c r="D4640" s="70"/>
      <c r="E4640" s="70"/>
      <c r="F4640" s="70"/>
      <c r="G4640" s="70"/>
      <c r="H4640" s="93"/>
      <c r="I4640" s="85"/>
      <c r="J4640" s="85"/>
      <c r="K4640" s="131"/>
      <c r="L4640" s="60"/>
      <c r="M4640" s="33"/>
      <c r="Q4640" s="3"/>
      <c r="R4640" s="3"/>
      <c r="S4640" s="3"/>
      <c r="T4640" s="3"/>
      <c r="U4640" s="3"/>
      <c r="V4640" s="3"/>
      <c r="W4640" s="3"/>
      <c r="X4640" s="3"/>
      <c r="Y4640" s="3"/>
      <c r="Z4640" s="4"/>
      <c r="AA4640"/>
      <c r="AB4640"/>
    </row>
    <row r="4641" spans="1:28" s="37" customFormat="1" x14ac:dyDescent="0.15">
      <c r="A4641" s="70"/>
      <c r="B4641" s="117"/>
      <c r="C4641" s="70"/>
      <c r="D4641" s="70"/>
      <c r="E4641" s="70"/>
      <c r="F4641" s="70"/>
      <c r="G4641" s="70"/>
      <c r="H4641" s="93"/>
      <c r="I4641" s="85"/>
      <c r="J4641" s="85"/>
      <c r="K4641" s="131"/>
      <c r="L4641" s="60"/>
      <c r="M4641" s="33"/>
      <c r="Q4641" s="3"/>
      <c r="R4641" s="3"/>
      <c r="S4641" s="3"/>
      <c r="T4641" s="3"/>
      <c r="U4641" s="3"/>
      <c r="V4641" s="3"/>
      <c r="W4641" s="3"/>
      <c r="X4641" s="3"/>
      <c r="Y4641" s="3"/>
      <c r="Z4641" s="4"/>
      <c r="AA4641"/>
      <c r="AB4641"/>
    </row>
    <row r="4642" spans="1:28" s="37" customFormat="1" x14ac:dyDescent="0.15">
      <c r="A4642" s="70"/>
      <c r="B4642" s="117"/>
      <c r="C4642" s="70"/>
      <c r="D4642" s="70"/>
      <c r="E4642" s="70"/>
      <c r="F4642" s="70"/>
      <c r="G4642" s="70"/>
      <c r="H4642" s="93"/>
      <c r="I4642" s="85"/>
      <c r="J4642" s="85"/>
      <c r="K4642" s="131"/>
      <c r="L4642" s="60"/>
      <c r="M4642" s="33"/>
      <c r="Q4642" s="3"/>
      <c r="R4642" s="3"/>
      <c r="S4642" s="3"/>
      <c r="T4642" s="3"/>
      <c r="U4642" s="3"/>
      <c r="V4642" s="3"/>
      <c r="W4642" s="3"/>
      <c r="X4642" s="3"/>
      <c r="Y4642" s="3"/>
      <c r="Z4642" s="4"/>
      <c r="AA4642"/>
      <c r="AB4642"/>
    </row>
    <row r="4643" spans="1:28" s="37" customFormat="1" x14ac:dyDescent="0.15">
      <c r="A4643" s="70"/>
      <c r="B4643" s="117"/>
      <c r="C4643" s="70"/>
      <c r="D4643" s="70"/>
      <c r="E4643" s="70"/>
      <c r="F4643" s="70"/>
      <c r="G4643" s="70"/>
      <c r="H4643" s="93"/>
      <c r="I4643" s="85"/>
      <c r="J4643" s="85"/>
      <c r="K4643" s="131"/>
      <c r="L4643" s="60"/>
      <c r="M4643" s="33"/>
      <c r="Q4643" s="3"/>
      <c r="R4643" s="3"/>
      <c r="S4643" s="3"/>
      <c r="T4643" s="3"/>
      <c r="U4643" s="3"/>
      <c r="V4643" s="3"/>
      <c r="W4643" s="3"/>
      <c r="X4643" s="3"/>
      <c r="Y4643" s="3"/>
      <c r="Z4643" s="4"/>
      <c r="AA4643"/>
      <c r="AB4643"/>
    </row>
    <row r="4644" spans="1:28" s="37" customFormat="1" x14ac:dyDescent="0.15">
      <c r="A4644" s="70"/>
      <c r="B4644" s="117"/>
      <c r="C4644" s="70"/>
      <c r="D4644" s="70"/>
      <c r="E4644" s="70"/>
      <c r="F4644" s="70"/>
      <c r="G4644" s="70"/>
      <c r="H4644" s="93"/>
      <c r="I4644" s="85"/>
      <c r="J4644" s="85"/>
      <c r="K4644" s="131"/>
      <c r="L4644" s="60"/>
      <c r="M4644" s="33"/>
      <c r="Q4644" s="3"/>
      <c r="R4644" s="3"/>
      <c r="S4644" s="3"/>
      <c r="T4644" s="3"/>
      <c r="U4644" s="3"/>
      <c r="V4644" s="3"/>
      <c r="W4644" s="3"/>
      <c r="X4644" s="3"/>
      <c r="Y4644" s="3"/>
      <c r="Z4644" s="4"/>
      <c r="AA4644"/>
      <c r="AB4644"/>
    </row>
    <row r="4645" spans="1:28" s="37" customFormat="1" x14ac:dyDescent="0.15">
      <c r="A4645" s="70"/>
      <c r="B4645" s="117"/>
      <c r="C4645" s="70"/>
      <c r="D4645" s="70"/>
      <c r="E4645" s="73"/>
      <c r="F4645" s="70"/>
      <c r="G4645" s="70"/>
      <c r="H4645" s="93"/>
      <c r="I4645" s="85"/>
      <c r="J4645" s="85"/>
      <c r="K4645" s="131"/>
      <c r="L4645" s="60"/>
      <c r="M4645" s="33"/>
      <c r="Q4645" s="3"/>
      <c r="R4645" s="3"/>
      <c r="S4645" s="3"/>
      <c r="T4645" s="3"/>
      <c r="U4645" s="3"/>
      <c r="V4645" s="3"/>
      <c r="W4645" s="3"/>
      <c r="X4645" s="3"/>
      <c r="Y4645" s="3"/>
      <c r="Z4645" s="4"/>
      <c r="AA4645"/>
      <c r="AB4645"/>
    </row>
    <row r="4646" spans="1:28" s="37" customFormat="1" x14ac:dyDescent="0.15">
      <c r="A4646" s="70"/>
      <c r="B4646" s="117"/>
      <c r="C4646" s="70"/>
      <c r="D4646" s="70"/>
      <c r="E4646" s="70"/>
      <c r="F4646" s="70"/>
      <c r="G4646" s="70"/>
      <c r="H4646" s="93"/>
      <c r="I4646" s="85"/>
      <c r="J4646" s="85"/>
      <c r="K4646" s="131"/>
      <c r="L4646" s="60"/>
      <c r="M4646" s="33"/>
      <c r="Q4646" s="3"/>
      <c r="R4646" s="3"/>
      <c r="S4646" s="3"/>
      <c r="T4646" s="3"/>
      <c r="U4646" s="3"/>
      <c r="V4646" s="3"/>
      <c r="W4646" s="3"/>
      <c r="X4646" s="3"/>
      <c r="Y4646" s="3"/>
      <c r="Z4646" s="4"/>
      <c r="AA4646"/>
      <c r="AB4646"/>
    </row>
    <row r="4647" spans="1:28" s="37" customFormat="1" x14ac:dyDescent="0.15">
      <c r="A4647" s="83"/>
      <c r="B4647" s="118"/>
      <c r="C4647" s="83"/>
      <c r="D4647" s="83"/>
      <c r="E4647" s="83"/>
      <c r="F4647" s="83"/>
      <c r="G4647" s="83"/>
      <c r="H4647" s="82"/>
      <c r="I4647" s="85"/>
      <c r="J4647" s="85"/>
      <c r="K4647" s="139"/>
      <c r="L4647" s="72"/>
      <c r="M4647" s="31"/>
      <c r="Q4647" s="3"/>
      <c r="R4647" s="3"/>
      <c r="S4647" s="3"/>
      <c r="T4647" s="3"/>
      <c r="U4647" s="3"/>
      <c r="V4647" s="3"/>
      <c r="W4647" s="3"/>
      <c r="X4647" s="3"/>
      <c r="Y4647" s="3"/>
      <c r="Z4647" s="4"/>
      <c r="AA4647"/>
      <c r="AB4647"/>
    </row>
    <row r="4648" spans="1:28" s="37" customFormat="1" x14ac:dyDescent="0.15">
      <c r="A4648" s="83"/>
      <c r="B4648" s="118"/>
      <c r="C4648" s="83"/>
      <c r="D4648" s="83"/>
      <c r="E4648" s="83"/>
      <c r="F4648" s="83"/>
      <c r="G4648" s="83"/>
      <c r="H4648" s="82"/>
      <c r="I4648" s="85"/>
      <c r="J4648" s="85"/>
      <c r="K4648" s="139"/>
      <c r="L4648" s="72"/>
      <c r="M4648" s="31"/>
      <c r="Q4648" s="3"/>
      <c r="R4648" s="3"/>
      <c r="S4648" s="3"/>
      <c r="T4648" s="3"/>
      <c r="U4648" s="3"/>
      <c r="V4648" s="3"/>
      <c r="W4648" s="3"/>
      <c r="X4648" s="3"/>
      <c r="Y4648" s="3"/>
      <c r="Z4648" s="4"/>
      <c r="AA4648"/>
      <c r="AB4648"/>
    </row>
    <row r="4649" spans="1:28" s="37" customFormat="1" x14ac:dyDescent="0.15">
      <c r="A4649" s="70"/>
      <c r="B4649" s="117"/>
      <c r="C4649" s="70"/>
      <c r="D4649" s="70"/>
      <c r="E4649" s="70"/>
      <c r="F4649" s="70"/>
      <c r="G4649" s="70"/>
      <c r="H4649" s="93"/>
      <c r="I4649" s="85"/>
      <c r="J4649" s="85"/>
      <c r="K4649" s="131"/>
      <c r="L4649" s="60"/>
      <c r="M4649" s="33"/>
      <c r="Q4649" s="3"/>
      <c r="R4649" s="3"/>
      <c r="S4649" s="3"/>
      <c r="T4649" s="3"/>
      <c r="U4649" s="3"/>
      <c r="V4649" s="3"/>
      <c r="W4649" s="3"/>
      <c r="X4649" s="3"/>
      <c r="Y4649" s="3"/>
      <c r="Z4649" s="4"/>
      <c r="AA4649"/>
      <c r="AB4649"/>
    </row>
    <row r="4650" spans="1:28" s="37" customFormat="1" x14ac:dyDescent="0.15">
      <c r="A4650" s="70"/>
      <c r="B4650" s="117"/>
      <c r="C4650" s="70"/>
      <c r="D4650" s="70"/>
      <c r="E4650" s="70"/>
      <c r="F4650" s="70"/>
      <c r="G4650" s="70"/>
      <c r="H4650" s="93"/>
      <c r="I4650" s="85"/>
      <c r="J4650" s="85"/>
      <c r="K4650" s="131"/>
      <c r="L4650" s="60"/>
      <c r="M4650" s="33"/>
      <c r="Q4650" s="3"/>
      <c r="R4650" s="3"/>
      <c r="S4650" s="3"/>
      <c r="T4650" s="3"/>
      <c r="U4650" s="3"/>
      <c r="V4650" s="3"/>
      <c r="W4650" s="3"/>
      <c r="X4650" s="3"/>
      <c r="Y4650" s="3"/>
      <c r="Z4650" s="4"/>
      <c r="AA4650"/>
      <c r="AB4650"/>
    </row>
    <row r="4651" spans="1:28" s="37" customFormat="1" x14ac:dyDescent="0.15">
      <c r="A4651" s="70"/>
      <c r="B4651" s="117"/>
      <c r="C4651" s="70"/>
      <c r="D4651" s="70"/>
      <c r="E4651" s="70"/>
      <c r="F4651" s="70"/>
      <c r="G4651" s="70"/>
      <c r="H4651" s="93"/>
      <c r="I4651" s="85"/>
      <c r="J4651" s="85"/>
      <c r="K4651" s="131"/>
      <c r="L4651" s="60"/>
      <c r="M4651" s="33"/>
      <c r="Q4651" s="3"/>
      <c r="R4651" s="3"/>
      <c r="S4651" s="3"/>
      <c r="T4651" s="3"/>
      <c r="U4651" s="3"/>
      <c r="V4651" s="3"/>
      <c r="W4651" s="3"/>
      <c r="X4651" s="3"/>
      <c r="Y4651" s="3"/>
      <c r="Z4651" s="4"/>
      <c r="AA4651"/>
      <c r="AB4651"/>
    </row>
    <row r="4652" spans="1:28" s="37" customFormat="1" x14ac:dyDescent="0.15">
      <c r="A4652" s="70"/>
      <c r="B4652" s="117"/>
      <c r="C4652" s="70"/>
      <c r="D4652" s="70"/>
      <c r="E4652" s="70"/>
      <c r="F4652" s="70"/>
      <c r="G4652" s="70"/>
      <c r="H4652" s="93"/>
      <c r="I4652" s="85"/>
      <c r="J4652" s="85"/>
      <c r="K4652" s="131"/>
      <c r="L4652" s="60"/>
      <c r="M4652" s="33"/>
      <c r="Q4652" s="3"/>
      <c r="R4652" s="3"/>
      <c r="S4652" s="3"/>
      <c r="T4652" s="3"/>
      <c r="U4652" s="3"/>
      <c r="V4652" s="3"/>
      <c r="W4652" s="3"/>
      <c r="X4652" s="3"/>
      <c r="Y4652" s="3"/>
      <c r="Z4652" s="4"/>
      <c r="AA4652"/>
      <c r="AB4652"/>
    </row>
    <row r="4653" spans="1:28" s="37" customFormat="1" x14ac:dyDescent="0.15">
      <c r="A4653" s="70"/>
      <c r="B4653" s="117"/>
      <c r="C4653" s="70"/>
      <c r="D4653" s="70"/>
      <c r="E4653" s="70"/>
      <c r="F4653" s="70"/>
      <c r="G4653" s="70"/>
      <c r="H4653" s="93"/>
      <c r="I4653" s="85"/>
      <c r="J4653" s="85"/>
      <c r="K4653" s="131"/>
      <c r="L4653" s="60"/>
      <c r="M4653" s="33"/>
      <c r="Q4653" s="3"/>
      <c r="R4653" s="3"/>
      <c r="S4653" s="3"/>
      <c r="T4653" s="3"/>
      <c r="U4653" s="3"/>
      <c r="V4653" s="3"/>
      <c r="W4653" s="3"/>
      <c r="X4653" s="3"/>
      <c r="Y4653" s="3"/>
      <c r="Z4653" s="4"/>
      <c r="AA4653"/>
      <c r="AB4653"/>
    </row>
    <row r="4654" spans="1:28" s="37" customFormat="1" x14ac:dyDescent="0.15">
      <c r="A4654" s="70"/>
      <c r="B4654" s="117"/>
      <c r="C4654" s="70"/>
      <c r="D4654" s="70"/>
      <c r="E4654" s="70"/>
      <c r="F4654" s="70"/>
      <c r="G4654" s="70"/>
      <c r="H4654" s="93"/>
      <c r="I4654" s="85"/>
      <c r="J4654" s="85"/>
      <c r="K4654" s="131"/>
      <c r="L4654" s="60"/>
      <c r="M4654" s="33"/>
      <c r="Q4654" s="3"/>
      <c r="R4654" s="3"/>
      <c r="S4654" s="3"/>
      <c r="T4654" s="3"/>
      <c r="U4654" s="3"/>
      <c r="V4654" s="3"/>
      <c r="W4654" s="3"/>
      <c r="X4654" s="3"/>
      <c r="Y4654" s="3"/>
      <c r="Z4654" s="4"/>
      <c r="AA4654"/>
      <c r="AB4654"/>
    </row>
    <row r="4655" spans="1:28" s="37" customFormat="1" x14ac:dyDescent="0.15">
      <c r="A4655" s="70"/>
      <c r="B4655" s="118"/>
      <c r="C4655" s="70"/>
      <c r="D4655" s="70"/>
      <c r="E4655" s="70"/>
      <c r="F4655" s="70"/>
      <c r="G4655" s="70"/>
      <c r="H4655" s="93"/>
      <c r="I4655" s="85"/>
      <c r="J4655" s="85"/>
      <c r="K4655" s="131"/>
      <c r="L4655" s="60"/>
      <c r="M4655" s="33"/>
      <c r="Q4655" s="3"/>
      <c r="R4655" s="3"/>
      <c r="S4655" s="3"/>
      <c r="T4655" s="3"/>
      <c r="U4655" s="3"/>
      <c r="V4655" s="3"/>
      <c r="W4655" s="3"/>
      <c r="X4655" s="3"/>
      <c r="Y4655" s="3"/>
      <c r="Z4655" s="4"/>
      <c r="AA4655"/>
      <c r="AB4655"/>
    </row>
    <row r="4656" spans="1:28" s="37" customFormat="1" x14ac:dyDescent="0.15">
      <c r="A4656" s="70"/>
      <c r="B4656" s="117"/>
      <c r="C4656" s="70"/>
      <c r="D4656" s="70"/>
      <c r="E4656" s="70"/>
      <c r="F4656" s="70"/>
      <c r="G4656" s="70"/>
      <c r="H4656" s="93"/>
      <c r="I4656" s="85"/>
      <c r="J4656" s="85"/>
      <c r="K4656" s="131"/>
      <c r="L4656" s="60"/>
      <c r="M4656" s="33"/>
      <c r="Q4656" s="3"/>
      <c r="R4656" s="3"/>
      <c r="S4656" s="3"/>
      <c r="T4656" s="3"/>
      <c r="U4656" s="3"/>
      <c r="V4656" s="3"/>
      <c r="W4656" s="3"/>
      <c r="X4656" s="3"/>
      <c r="Y4656" s="3"/>
      <c r="Z4656" s="4"/>
      <c r="AA4656"/>
      <c r="AB4656"/>
    </row>
    <row r="4657" spans="1:28" s="37" customFormat="1" ht="16" x14ac:dyDescent="0.2">
      <c r="A4657" s="70"/>
      <c r="B4657" s="117"/>
      <c r="C4657" s="70"/>
      <c r="D4657" s="70"/>
      <c r="E4657" s="70"/>
      <c r="F4657" s="70"/>
      <c r="G4657" s="70"/>
      <c r="H4657" s="93"/>
      <c r="I4657" s="85"/>
      <c r="J4657" s="85"/>
      <c r="K4657" s="131"/>
      <c r="L4657" s="60"/>
      <c r="M4657" s="47"/>
      <c r="Q4657" s="3"/>
      <c r="R4657" s="3"/>
      <c r="S4657" s="3"/>
      <c r="T4657" s="3"/>
      <c r="U4657" s="3"/>
      <c r="V4657" s="3"/>
      <c r="W4657" s="3"/>
      <c r="X4657" s="3"/>
      <c r="Y4657" s="3"/>
      <c r="Z4657" s="4"/>
      <c r="AA4657"/>
      <c r="AB4657"/>
    </row>
    <row r="4658" spans="1:28" s="37" customFormat="1" x14ac:dyDescent="0.15">
      <c r="A4658" s="70"/>
      <c r="B4658" s="117"/>
      <c r="C4658" s="70"/>
      <c r="D4658" s="70"/>
      <c r="E4658" s="70"/>
      <c r="F4658" s="70"/>
      <c r="G4658" s="70"/>
      <c r="H4658" s="93"/>
      <c r="I4658" s="85"/>
      <c r="J4658" s="85"/>
      <c r="K4658" s="131"/>
      <c r="L4658" s="60"/>
      <c r="Q4658" s="3"/>
      <c r="R4658" s="3"/>
      <c r="S4658" s="3"/>
      <c r="T4658" s="3"/>
      <c r="U4658" s="3"/>
      <c r="V4658" s="3"/>
      <c r="W4658" s="3"/>
      <c r="X4658" s="3"/>
      <c r="Y4658" s="3"/>
      <c r="Z4658" s="4"/>
      <c r="AA4658"/>
      <c r="AB4658"/>
    </row>
    <row r="4659" spans="1:28" s="37" customFormat="1" x14ac:dyDescent="0.15">
      <c r="A4659" s="70"/>
      <c r="B4659" s="117"/>
      <c r="C4659" s="70"/>
      <c r="D4659" s="70"/>
      <c r="E4659" s="70"/>
      <c r="F4659" s="70"/>
      <c r="G4659" s="70"/>
      <c r="H4659" s="93"/>
      <c r="I4659" s="85"/>
      <c r="J4659" s="85"/>
      <c r="K4659" s="131"/>
      <c r="L4659" s="60"/>
      <c r="M4659" s="33"/>
      <c r="Q4659" s="3"/>
      <c r="R4659" s="3"/>
      <c r="S4659" s="3"/>
      <c r="T4659" s="3"/>
      <c r="U4659" s="3"/>
      <c r="V4659" s="3"/>
      <c r="W4659" s="3"/>
      <c r="X4659" s="3"/>
      <c r="Y4659" s="3"/>
      <c r="Z4659" s="4"/>
      <c r="AA4659"/>
      <c r="AB4659"/>
    </row>
    <row r="4660" spans="1:28" s="37" customFormat="1" x14ac:dyDescent="0.15">
      <c r="A4660" s="70"/>
      <c r="B4660" s="117"/>
      <c r="C4660" s="70"/>
      <c r="D4660" s="70"/>
      <c r="E4660" s="70"/>
      <c r="F4660" s="70"/>
      <c r="G4660" s="70"/>
      <c r="H4660" s="93"/>
      <c r="I4660" s="85"/>
      <c r="J4660" s="85"/>
      <c r="K4660" s="131"/>
      <c r="L4660" s="60"/>
      <c r="M4660" s="33"/>
      <c r="Q4660" s="3"/>
      <c r="R4660" s="3"/>
      <c r="S4660" s="3"/>
      <c r="T4660" s="3"/>
      <c r="U4660" s="3"/>
      <c r="V4660" s="3"/>
      <c r="W4660" s="3"/>
      <c r="X4660" s="3"/>
      <c r="Y4660" s="3"/>
      <c r="Z4660" s="4"/>
      <c r="AA4660"/>
      <c r="AB4660"/>
    </row>
    <row r="4661" spans="1:28" s="37" customFormat="1" ht="16" x14ac:dyDescent="0.2">
      <c r="A4661" s="70"/>
      <c r="B4661" s="117"/>
      <c r="C4661" s="70"/>
      <c r="D4661" s="70"/>
      <c r="E4661" s="70"/>
      <c r="F4661" s="70"/>
      <c r="G4661" s="70"/>
      <c r="H4661" s="93"/>
      <c r="I4661" s="85"/>
      <c r="J4661" s="85"/>
      <c r="K4661" s="131"/>
      <c r="L4661" s="60"/>
      <c r="M4661" s="47"/>
      <c r="Q4661" s="3"/>
      <c r="R4661" s="3"/>
      <c r="S4661" s="3"/>
      <c r="T4661" s="3"/>
      <c r="U4661" s="3"/>
      <c r="V4661" s="3"/>
      <c r="W4661" s="3"/>
      <c r="X4661" s="3"/>
      <c r="Y4661" s="3"/>
      <c r="Z4661" s="4"/>
      <c r="AA4661"/>
      <c r="AB4661"/>
    </row>
    <row r="4662" spans="1:28" s="37" customFormat="1" x14ac:dyDescent="0.15">
      <c r="A4662" s="70"/>
      <c r="B4662" s="117"/>
      <c r="C4662" s="70"/>
      <c r="D4662" s="70"/>
      <c r="E4662" s="70"/>
      <c r="F4662" s="70"/>
      <c r="G4662" s="70"/>
      <c r="H4662" s="93"/>
      <c r="I4662" s="85"/>
      <c r="J4662" s="85"/>
      <c r="K4662" s="131"/>
      <c r="L4662" s="60"/>
      <c r="M4662" s="33"/>
      <c r="Q4662" s="3"/>
      <c r="R4662" s="3"/>
      <c r="S4662" s="3"/>
      <c r="T4662" s="3"/>
      <c r="U4662" s="3"/>
      <c r="V4662" s="3"/>
      <c r="W4662" s="3"/>
      <c r="X4662" s="3"/>
      <c r="Y4662" s="3"/>
      <c r="Z4662" s="4"/>
      <c r="AA4662"/>
      <c r="AB4662"/>
    </row>
    <row r="4663" spans="1:28" s="37" customFormat="1" x14ac:dyDescent="0.15">
      <c r="A4663" s="70"/>
      <c r="B4663" s="117"/>
      <c r="C4663" s="70"/>
      <c r="D4663" s="70"/>
      <c r="E4663" s="70"/>
      <c r="F4663" s="70"/>
      <c r="G4663" s="70"/>
      <c r="H4663" s="93"/>
      <c r="I4663" s="85"/>
      <c r="J4663" s="85"/>
      <c r="K4663" s="131"/>
      <c r="L4663" s="60"/>
      <c r="M4663" s="33"/>
      <c r="Q4663" s="3"/>
      <c r="R4663" s="3"/>
      <c r="S4663" s="3"/>
      <c r="T4663" s="3"/>
      <c r="U4663" s="3"/>
      <c r="V4663" s="3"/>
      <c r="W4663" s="3"/>
      <c r="X4663" s="3"/>
      <c r="Y4663" s="3"/>
      <c r="Z4663" s="4"/>
      <c r="AA4663"/>
      <c r="AB4663"/>
    </row>
    <row r="4664" spans="1:28" s="37" customFormat="1" x14ac:dyDescent="0.15">
      <c r="A4664" s="70"/>
      <c r="B4664" s="117"/>
      <c r="C4664" s="70"/>
      <c r="D4664" s="70"/>
      <c r="E4664" s="70"/>
      <c r="F4664" s="70"/>
      <c r="G4664" s="70"/>
      <c r="H4664" s="93"/>
      <c r="I4664" s="85"/>
      <c r="J4664" s="85"/>
      <c r="K4664" s="131"/>
      <c r="L4664" s="60"/>
      <c r="M4664" s="33"/>
      <c r="Q4664" s="3"/>
      <c r="R4664" s="3"/>
      <c r="S4664" s="3"/>
      <c r="T4664" s="3"/>
      <c r="U4664" s="3"/>
      <c r="V4664" s="3"/>
      <c r="W4664" s="3"/>
      <c r="X4664" s="3"/>
      <c r="Y4664" s="3"/>
      <c r="Z4664" s="4"/>
      <c r="AA4664"/>
      <c r="AB4664"/>
    </row>
    <row r="4665" spans="1:28" s="37" customFormat="1" x14ac:dyDescent="0.15">
      <c r="A4665" s="70"/>
      <c r="B4665" s="117"/>
      <c r="C4665" s="70"/>
      <c r="D4665" s="70"/>
      <c r="E4665" s="70"/>
      <c r="F4665" s="70"/>
      <c r="G4665" s="70"/>
      <c r="H4665" s="93"/>
      <c r="I4665" s="85"/>
      <c r="J4665" s="85"/>
      <c r="K4665" s="131"/>
      <c r="L4665" s="60"/>
      <c r="M4665" s="33"/>
      <c r="Q4665" s="3"/>
      <c r="R4665" s="3"/>
      <c r="S4665" s="3"/>
      <c r="T4665" s="3"/>
      <c r="U4665" s="3"/>
      <c r="V4665" s="3"/>
      <c r="W4665" s="3"/>
      <c r="X4665" s="3"/>
      <c r="Y4665" s="3"/>
      <c r="Z4665" s="4"/>
      <c r="AA4665"/>
      <c r="AB4665"/>
    </row>
    <row r="4666" spans="1:28" s="37" customFormat="1" x14ac:dyDescent="0.15">
      <c r="A4666" s="70"/>
      <c r="B4666" s="117"/>
      <c r="C4666" s="70"/>
      <c r="D4666" s="70"/>
      <c r="E4666" s="70"/>
      <c r="F4666" s="70"/>
      <c r="G4666" s="70"/>
      <c r="H4666" s="93"/>
      <c r="I4666" s="85"/>
      <c r="J4666" s="85"/>
      <c r="K4666" s="131"/>
      <c r="L4666" s="60"/>
      <c r="Q4666" s="3"/>
      <c r="R4666" s="3"/>
      <c r="S4666" s="3"/>
      <c r="T4666" s="3"/>
      <c r="U4666" s="3"/>
      <c r="V4666" s="3"/>
      <c r="W4666" s="3"/>
      <c r="X4666" s="3"/>
      <c r="Y4666" s="3"/>
      <c r="Z4666" s="4"/>
      <c r="AA4666"/>
      <c r="AB4666"/>
    </row>
    <row r="4667" spans="1:28" s="37" customFormat="1" x14ac:dyDescent="0.15">
      <c r="A4667" s="70"/>
      <c r="B4667" s="117"/>
      <c r="C4667" s="62"/>
      <c r="D4667" s="62"/>
      <c r="E4667" s="62"/>
      <c r="F4667" s="62"/>
      <c r="G4667" s="62"/>
      <c r="H4667" s="97"/>
      <c r="I4667" s="85"/>
      <c r="J4667" s="98"/>
      <c r="K4667" s="138"/>
      <c r="L4667" s="67"/>
      <c r="M4667" s="35"/>
      <c r="N4667" s="32"/>
      <c r="O4667" s="33"/>
      <c r="Q4667" s="3"/>
      <c r="R4667" s="3"/>
      <c r="S4667" s="3"/>
      <c r="T4667" s="3"/>
      <c r="U4667" s="3"/>
      <c r="V4667" s="3"/>
      <c r="W4667" s="3"/>
      <c r="X4667" s="3"/>
      <c r="Y4667" s="3"/>
      <c r="Z4667" s="4"/>
      <c r="AA4667"/>
      <c r="AB4667"/>
    </row>
    <row r="4668" spans="1:28" s="37" customFormat="1" ht="16" x14ac:dyDescent="0.2">
      <c r="A4668" s="70"/>
      <c r="B4668" s="117"/>
      <c r="C4668" s="70"/>
      <c r="D4668" s="70"/>
      <c r="E4668" s="70"/>
      <c r="F4668" s="70"/>
      <c r="G4668" s="70"/>
      <c r="H4668" s="93"/>
      <c r="I4668" s="85"/>
      <c r="J4668" s="85"/>
      <c r="K4668" s="131"/>
      <c r="L4668" s="60"/>
      <c r="M4668" s="47"/>
      <c r="Q4668" s="3"/>
      <c r="R4668" s="3"/>
      <c r="S4668" s="3"/>
      <c r="T4668" s="3"/>
      <c r="U4668" s="3"/>
      <c r="V4668" s="3"/>
      <c r="W4668" s="3"/>
      <c r="X4668" s="3"/>
      <c r="Y4668" s="3"/>
      <c r="Z4668" s="4"/>
      <c r="AA4668"/>
      <c r="AB4668"/>
    </row>
    <row r="4669" spans="1:28" s="37" customFormat="1" x14ac:dyDescent="0.15">
      <c r="A4669" s="70"/>
      <c r="B4669" s="117"/>
      <c r="C4669" s="70"/>
      <c r="D4669" s="70"/>
      <c r="E4669" s="70"/>
      <c r="F4669" s="70"/>
      <c r="G4669" s="70"/>
      <c r="H4669" s="93"/>
      <c r="I4669" s="85"/>
      <c r="J4669" s="85"/>
      <c r="K4669" s="131"/>
      <c r="L4669" s="60"/>
      <c r="M4669" s="33"/>
      <c r="Q4669" s="3"/>
      <c r="R4669" s="3"/>
      <c r="S4669" s="3"/>
      <c r="T4669" s="3"/>
      <c r="U4669" s="3"/>
      <c r="V4669" s="3"/>
      <c r="W4669" s="3"/>
      <c r="X4669" s="3"/>
      <c r="Y4669" s="3"/>
      <c r="Z4669" s="4"/>
      <c r="AA4669"/>
      <c r="AB4669"/>
    </row>
    <row r="4670" spans="1:28" s="37" customFormat="1" ht="16" x14ac:dyDescent="0.2">
      <c r="A4670" s="70"/>
      <c r="B4670" s="117"/>
      <c r="C4670" s="70"/>
      <c r="D4670" s="70"/>
      <c r="E4670" s="70"/>
      <c r="F4670" s="70"/>
      <c r="G4670" s="70"/>
      <c r="H4670" s="93"/>
      <c r="I4670" s="85"/>
      <c r="J4670" s="85"/>
      <c r="K4670" s="131"/>
      <c r="L4670" s="66"/>
      <c r="M4670" s="47"/>
      <c r="Q4670" s="3"/>
      <c r="R4670" s="3"/>
      <c r="S4670" s="3"/>
      <c r="T4670" s="3"/>
      <c r="U4670" s="3"/>
      <c r="V4670" s="3"/>
      <c r="W4670" s="3"/>
      <c r="X4670" s="3"/>
      <c r="Y4670" s="3"/>
      <c r="Z4670" s="4"/>
      <c r="AA4670"/>
      <c r="AB4670"/>
    </row>
    <row r="4671" spans="1:28" s="37" customFormat="1" x14ac:dyDescent="0.15">
      <c r="A4671" s="70"/>
      <c r="B4671" s="117"/>
      <c r="C4671" s="73"/>
      <c r="D4671" s="73"/>
      <c r="E4671" s="73"/>
      <c r="F4671" s="73"/>
      <c r="G4671" s="73"/>
      <c r="H4671" s="93"/>
      <c r="I4671" s="85"/>
      <c r="J4671" s="95"/>
      <c r="K4671" s="131"/>
      <c r="L4671" s="60"/>
      <c r="Q4671" s="3"/>
      <c r="R4671" s="3"/>
      <c r="S4671" s="3"/>
      <c r="T4671" s="3"/>
      <c r="U4671" s="3"/>
      <c r="V4671" s="3"/>
      <c r="W4671" s="3"/>
      <c r="X4671" s="3"/>
      <c r="Y4671" s="3"/>
      <c r="Z4671" s="4"/>
      <c r="AA4671"/>
      <c r="AB4671"/>
    </row>
    <row r="4672" spans="1:28" s="37" customFormat="1" x14ac:dyDescent="0.15">
      <c r="A4672" s="62"/>
      <c r="B4672" s="117"/>
      <c r="C4672" s="62"/>
      <c r="D4672" s="62"/>
      <c r="E4672" s="62"/>
      <c r="F4672" s="62"/>
      <c r="G4672" s="62"/>
      <c r="H4672" s="97"/>
      <c r="I4672" s="85"/>
      <c r="J4672" s="98"/>
      <c r="K4672" s="131"/>
      <c r="L4672" s="67"/>
      <c r="M4672" s="35"/>
      <c r="Q4672" s="3"/>
      <c r="R4672" s="3"/>
      <c r="S4672" s="3"/>
      <c r="T4672" s="3"/>
      <c r="U4672" s="3"/>
      <c r="V4672" s="3"/>
      <c r="W4672" s="3"/>
      <c r="X4672" s="3"/>
      <c r="Y4672" s="3"/>
      <c r="Z4672" s="4"/>
      <c r="AA4672"/>
      <c r="AB4672"/>
    </row>
    <row r="4673" spans="1:28" s="37" customFormat="1" x14ac:dyDescent="0.15">
      <c r="A4673" s="70"/>
      <c r="B4673" s="117"/>
      <c r="C4673" s="70"/>
      <c r="D4673" s="70"/>
      <c r="E4673" s="70"/>
      <c r="F4673" s="70"/>
      <c r="G4673" s="70"/>
      <c r="H4673" s="93"/>
      <c r="I4673" s="85"/>
      <c r="J4673" s="85"/>
      <c r="K4673" s="131"/>
      <c r="L4673" s="60"/>
      <c r="M4673" s="33"/>
      <c r="Q4673" s="3"/>
      <c r="R4673" s="3"/>
      <c r="S4673" s="3"/>
      <c r="T4673" s="3"/>
      <c r="U4673" s="3"/>
      <c r="V4673" s="3"/>
      <c r="W4673" s="3"/>
      <c r="X4673" s="3"/>
      <c r="Y4673" s="3"/>
      <c r="Z4673" s="4"/>
      <c r="AA4673"/>
      <c r="AB4673"/>
    </row>
    <row r="4674" spans="1:28" s="37" customFormat="1" x14ac:dyDescent="0.15">
      <c r="A4674" s="70"/>
      <c r="B4674" s="117"/>
      <c r="C4674" s="70"/>
      <c r="D4674" s="70"/>
      <c r="E4674" s="70"/>
      <c r="F4674" s="70"/>
      <c r="G4674" s="70"/>
      <c r="H4674" s="93"/>
      <c r="I4674" s="85"/>
      <c r="J4674" s="85"/>
      <c r="K4674" s="131"/>
      <c r="L4674" s="60"/>
      <c r="M4674" s="33"/>
      <c r="Q4674" s="3"/>
      <c r="R4674" s="3"/>
      <c r="S4674" s="3"/>
      <c r="T4674" s="3"/>
      <c r="U4674" s="3"/>
      <c r="V4674" s="3"/>
      <c r="W4674" s="3"/>
      <c r="X4674" s="3"/>
      <c r="Y4674" s="3"/>
      <c r="Z4674" s="4"/>
      <c r="AA4674"/>
      <c r="AB4674"/>
    </row>
    <row r="4675" spans="1:28" s="37" customFormat="1" ht="16" x14ac:dyDescent="0.2">
      <c r="A4675" s="70"/>
      <c r="B4675" s="117"/>
      <c r="C4675" s="70"/>
      <c r="D4675" s="70"/>
      <c r="E4675" s="70"/>
      <c r="F4675" s="70"/>
      <c r="G4675" s="70"/>
      <c r="H4675" s="93"/>
      <c r="I4675" s="85"/>
      <c r="J4675" s="85"/>
      <c r="K4675" s="131"/>
      <c r="L4675" s="60"/>
      <c r="M4675" s="47"/>
      <c r="Q4675" s="3"/>
      <c r="R4675" s="3"/>
      <c r="S4675" s="3"/>
      <c r="T4675" s="3"/>
      <c r="U4675" s="3"/>
      <c r="V4675" s="3"/>
      <c r="W4675" s="3"/>
      <c r="X4675" s="3"/>
      <c r="Y4675" s="3"/>
      <c r="Z4675" s="4"/>
      <c r="AA4675"/>
      <c r="AB4675"/>
    </row>
    <row r="4676" spans="1:28" s="37" customFormat="1" x14ac:dyDescent="0.15">
      <c r="A4676" s="70"/>
      <c r="B4676" s="117"/>
      <c r="C4676" s="70"/>
      <c r="D4676" s="70"/>
      <c r="E4676" s="70"/>
      <c r="F4676" s="70"/>
      <c r="G4676" s="70"/>
      <c r="H4676" s="93"/>
      <c r="I4676" s="85"/>
      <c r="J4676" s="85"/>
      <c r="K4676" s="131"/>
      <c r="L4676" s="60"/>
      <c r="M4676" s="33"/>
      <c r="Q4676" s="3"/>
      <c r="R4676" s="3"/>
      <c r="S4676" s="3"/>
      <c r="T4676" s="3"/>
      <c r="U4676" s="3"/>
      <c r="V4676" s="3"/>
      <c r="W4676" s="3"/>
      <c r="X4676" s="3"/>
      <c r="Y4676" s="3"/>
      <c r="Z4676" s="4"/>
      <c r="AA4676"/>
      <c r="AB4676"/>
    </row>
    <row r="4677" spans="1:28" s="37" customFormat="1" x14ac:dyDescent="0.15">
      <c r="A4677" s="70"/>
      <c r="B4677" s="117"/>
      <c r="C4677" s="70"/>
      <c r="D4677" s="70"/>
      <c r="E4677" s="70"/>
      <c r="F4677" s="70"/>
      <c r="G4677" s="70"/>
      <c r="H4677" s="93"/>
      <c r="I4677" s="85"/>
      <c r="J4677" s="85"/>
      <c r="K4677" s="131"/>
      <c r="L4677" s="60"/>
      <c r="M4677" s="49"/>
      <c r="N4677" s="33"/>
      <c r="Q4677" s="3"/>
      <c r="R4677" s="3"/>
      <c r="S4677" s="3"/>
      <c r="T4677" s="3"/>
      <c r="U4677" s="3"/>
      <c r="V4677" s="3"/>
      <c r="W4677" s="3"/>
      <c r="X4677" s="3"/>
      <c r="Y4677" s="3"/>
      <c r="Z4677" s="4"/>
      <c r="AA4677"/>
      <c r="AB4677"/>
    </row>
    <row r="4678" spans="1:28" s="37" customFormat="1" x14ac:dyDescent="0.15">
      <c r="A4678" s="70"/>
      <c r="B4678" s="117"/>
      <c r="C4678" s="70"/>
      <c r="D4678" s="70"/>
      <c r="E4678" s="70"/>
      <c r="F4678" s="70"/>
      <c r="G4678" s="70"/>
      <c r="H4678" s="93"/>
      <c r="I4678" s="85"/>
      <c r="J4678" s="85"/>
      <c r="K4678" s="138"/>
      <c r="L4678" s="60"/>
      <c r="M4678" s="49"/>
      <c r="N4678" s="32"/>
      <c r="Q4678" s="3"/>
      <c r="R4678" s="3"/>
      <c r="S4678" s="3"/>
      <c r="T4678" s="3"/>
      <c r="U4678" s="3"/>
      <c r="V4678" s="3"/>
      <c r="W4678" s="3"/>
      <c r="X4678" s="3"/>
      <c r="Y4678" s="3"/>
      <c r="Z4678" s="4"/>
      <c r="AA4678"/>
      <c r="AB4678"/>
    </row>
    <row r="4679" spans="1:28" s="37" customFormat="1" x14ac:dyDescent="0.15">
      <c r="A4679" s="70"/>
      <c r="B4679" s="117"/>
      <c r="C4679" s="70"/>
      <c r="D4679" s="70"/>
      <c r="E4679" s="70"/>
      <c r="F4679" s="70"/>
      <c r="G4679" s="70"/>
      <c r="H4679" s="93"/>
      <c r="I4679" s="85"/>
      <c r="J4679" s="85"/>
      <c r="K4679" s="131"/>
      <c r="L4679" s="60"/>
      <c r="M4679" s="33"/>
      <c r="Q4679" s="3"/>
      <c r="R4679" s="3"/>
      <c r="S4679" s="3"/>
      <c r="T4679" s="3"/>
      <c r="U4679" s="3"/>
      <c r="V4679" s="3"/>
      <c r="W4679" s="3"/>
      <c r="X4679" s="3"/>
      <c r="Y4679" s="3"/>
      <c r="Z4679" s="4"/>
      <c r="AA4679"/>
      <c r="AB4679"/>
    </row>
    <row r="4680" spans="1:28" s="37" customFormat="1" x14ac:dyDescent="0.15">
      <c r="A4680" s="70"/>
      <c r="B4680" s="117"/>
      <c r="C4680" s="70"/>
      <c r="D4680" s="70"/>
      <c r="E4680" s="70"/>
      <c r="F4680" s="70"/>
      <c r="G4680" s="70"/>
      <c r="H4680" s="93"/>
      <c r="I4680" s="85"/>
      <c r="J4680" s="85"/>
      <c r="K4680" s="131"/>
      <c r="L4680" s="60"/>
      <c r="M4680" s="33"/>
      <c r="Q4680" s="3"/>
      <c r="R4680" s="3"/>
      <c r="S4680" s="3"/>
      <c r="T4680" s="3"/>
      <c r="U4680" s="3"/>
      <c r="V4680" s="3"/>
      <c r="W4680" s="3"/>
      <c r="X4680" s="3"/>
      <c r="Y4680" s="3"/>
      <c r="Z4680" s="4"/>
      <c r="AA4680"/>
      <c r="AB4680"/>
    </row>
    <row r="4681" spans="1:28" s="37" customFormat="1" ht="16" x14ac:dyDescent="0.2">
      <c r="A4681" s="70"/>
      <c r="B4681" s="117"/>
      <c r="C4681" s="70"/>
      <c r="D4681" s="70"/>
      <c r="E4681" s="70"/>
      <c r="F4681" s="70"/>
      <c r="G4681" s="70"/>
      <c r="H4681" s="93"/>
      <c r="I4681" s="85"/>
      <c r="J4681" s="85"/>
      <c r="K4681" s="131"/>
      <c r="L4681" s="60"/>
      <c r="M4681" s="47"/>
      <c r="Q4681" s="3"/>
      <c r="R4681" s="3"/>
      <c r="S4681" s="3"/>
      <c r="T4681" s="3"/>
      <c r="U4681" s="3"/>
      <c r="V4681" s="3"/>
      <c r="W4681" s="3"/>
      <c r="X4681" s="3"/>
      <c r="Y4681" s="3"/>
      <c r="Z4681" s="4"/>
      <c r="AA4681"/>
      <c r="AB4681"/>
    </row>
    <row r="4682" spans="1:28" s="37" customFormat="1" x14ac:dyDescent="0.15">
      <c r="A4682" s="70"/>
      <c r="B4682" s="117"/>
      <c r="C4682" s="70"/>
      <c r="D4682" s="70"/>
      <c r="E4682" s="70"/>
      <c r="F4682" s="70"/>
      <c r="G4682" s="70"/>
      <c r="H4682" s="93"/>
      <c r="I4682" s="85"/>
      <c r="J4682" s="85"/>
      <c r="K4682" s="131"/>
      <c r="L4682" s="60"/>
      <c r="M4682" s="33"/>
      <c r="Q4682" s="3"/>
      <c r="R4682" s="3"/>
      <c r="S4682" s="3"/>
      <c r="T4682" s="3"/>
      <c r="U4682" s="3"/>
      <c r="V4682" s="3"/>
      <c r="W4682" s="3"/>
      <c r="X4682" s="3"/>
      <c r="Y4682" s="3"/>
      <c r="Z4682" s="4"/>
      <c r="AA4682"/>
      <c r="AB4682"/>
    </row>
    <row r="4683" spans="1:28" s="37" customFormat="1" x14ac:dyDescent="0.15">
      <c r="A4683" s="70"/>
      <c r="B4683" s="117"/>
      <c r="C4683" s="70"/>
      <c r="D4683" s="70"/>
      <c r="E4683" s="70"/>
      <c r="F4683" s="70"/>
      <c r="G4683" s="70"/>
      <c r="H4683" s="93"/>
      <c r="I4683" s="85"/>
      <c r="J4683" s="85"/>
      <c r="K4683" s="131"/>
      <c r="L4683" s="60"/>
      <c r="M4683" s="33"/>
      <c r="Q4683" s="3"/>
      <c r="R4683" s="3"/>
      <c r="S4683" s="3"/>
      <c r="T4683" s="3"/>
      <c r="U4683" s="3"/>
      <c r="V4683" s="3"/>
      <c r="W4683" s="3"/>
      <c r="X4683" s="3"/>
      <c r="Y4683" s="3"/>
      <c r="Z4683" s="4"/>
      <c r="AA4683"/>
      <c r="AB4683"/>
    </row>
    <row r="4684" spans="1:28" s="37" customFormat="1" x14ac:dyDescent="0.15">
      <c r="A4684" s="70"/>
      <c r="B4684" s="117"/>
      <c r="C4684" s="70"/>
      <c r="D4684" s="70"/>
      <c r="E4684" s="73"/>
      <c r="F4684" s="70"/>
      <c r="G4684" s="70"/>
      <c r="H4684" s="93"/>
      <c r="I4684" s="85"/>
      <c r="J4684" s="85"/>
      <c r="K4684" s="131"/>
      <c r="L4684" s="60"/>
      <c r="M4684" s="49"/>
      <c r="N4684" s="33"/>
      <c r="Q4684" s="3"/>
      <c r="R4684" s="3"/>
      <c r="S4684" s="3"/>
      <c r="T4684" s="3"/>
      <c r="U4684" s="3"/>
      <c r="V4684" s="3"/>
      <c r="W4684" s="3"/>
      <c r="X4684" s="3"/>
      <c r="Y4684" s="3"/>
      <c r="Z4684" s="4"/>
      <c r="AA4684"/>
      <c r="AB4684"/>
    </row>
    <row r="4685" spans="1:28" s="37" customFormat="1" x14ac:dyDescent="0.15">
      <c r="A4685" s="70"/>
      <c r="B4685" s="117"/>
      <c r="C4685" s="70"/>
      <c r="D4685" s="70"/>
      <c r="E4685" s="70"/>
      <c r="F4685" s="70"/>
      <c r="G4685" s="70"/>
      <c r="H4685" s="93"/>
      <c r="I4685" s="85"/>
      <c r="J4685" s="85"/>
      <c r="K4685" s="131"/>
      <c r="L4685" s="60"/>
      <c r="M4685" s="33"/>
      <c r="Q4685" s="3"/>
      <c r="R4685" s="3"/>
      <c r="S4685" s="3"/>
      <c r="T4685" s="3"/>
      <c r="U4685" s="3"/>
      <c r="V4685" s="3"/>
      <c r="W4685" s="3"/>
      <c r="X4685" s="3"/>
      <c r="Y4685" s="3"/>
      <c r="Z4685" s="4"/>
      <c r="AA4685"/>
      <c r="AB4685"/>
    </row>
    <row r="4686" spans="1:28" s="37" customFormat="1" x14ac:dyDescent="0.15">
      <c r="A4686" s="70"/>
      <c r="B4686" s="117"/>
      <c r="C4686" s="70"/>
      <c r="D4686" s="70"/>
      <c r="E4686" s="70"/>
      <c r="F4686" s="70"/>
      <c r="G4686" s="70"/>
      <c r="H4686" s="93"/>
      <c r="I4686" s="85"/>
      <c r="J4686" s="85"/>
      <c r="K4686" s="131"/>
      <c r="L4686" s="60"/>
      <c r="M4686" s="33"/>
      <c r="N4686" s="33"/>
      <c r="Q4686" s="3"/>
      <c r="R4686" s="3"/>
      <c r="S4686" s="3"/>
      <c r="T4686" s="3"/>
      <c r="U4686" s="3"/>
      <c r="V4686" s="3"/>
      <c r="W4686" s="3"/>
      <c r="X4686" s="3"/>
      <c r="Y4686" s="3"/>
      <c r="Z4686" s="4"/>
      <c r="AA4686"/>
      <c r="AB4686"/>
    </row>
    <row r="4687" spans="1:28" s="37" customFormat="1" x14ac:dyDescent="0.15">
      <c r="A4687" s="70"/>
      <c r="B4687" s="117"/>
      <c r="C4687" s="70"/>
      <c r="D4687" s="70"/>
      <c r="E4687" s="70"/>
      <c r="F4687" s="70"/>
      <c r="G4687" s="70"/>
      <c r="H4687" s="93"/>
      <c r="I4687" s="85"/>
      <c r="J4687" s="85"/>
      <c r="K4687" s="131"/>
      <c r="L4687" s="67"/>
      <c r="M4687" s="33"/>
      <c r="Q4687" s="3"/>
      <c r="R4687" s="3"/>
      <c r="S4687" s="3"/>
      <c r="T4687" s="3"/>
      <c r="U4687" s="3"/>
      <c r="V4687" s="3"/>
      <c r="W4687" s="3"/>
      <c r="X4687" s="3"/>
      <c r="Y4687" s="3"/>
      <c r="Z4687" s="4"/>
      <c r="AA4687"/>
      <c r="AB4687"/>
    </row>
    <row r="4688" spans="1:28" s="37" customFormat="1" x14ac:dyDescent="0.15">
      <c r="A4688" s="70"/>
      <c r="B4688" s="117"/>
      <c r="C4688" s="70"/>
      <c r="D4688" s="70"/>
      <c r="E4688" s="70"/>
      <c r="F4688" s="70"/>
      <c r="G4688" s="70"/>
      <c r="H4688" s="93"/>
      <c r="I4688" s="85"/>
      <c r="J4688" s="85"/>
      <c r="K4688" s="131"/>
      <c r="L4688" s="60"/>
      <c r="M4688" s="49"/>
      <c r="Q4688" s="3"/>
      <c r="R4688" s="3"/>
      <c r="S4688" s="3"/>
      <c r="T4688" s="3"/>
      <c r="U4688" s="3"/>
      <c r="V4688" s="3"/>
      <c r="W4688" s="3"/>
      <c r="X4688" s="3"/>
      <c r="Y4688" s="3"/>
      <c r="Z4688" s="4"/>
      <c r="AA4688"/>
      <c r="AB4688"/>
    </row>
    <row r="4689" spans="1:28" s="37" customFormat="1" ht="16" x14ac:dyDescent="0.2">
      <c r="A4689" s="70"/>
      <c r="B4689" s="117"/>
      <c r="C4689" s="70"/>
      <c r="D4689" s="70"/>
      <c r="E4689" s="70"/>
      <c r="F4689" s="70"/>
      <c r="G4689" s="70"/>
      <c r="H4689" s="93"/>
      <c r="I4689" s="85"/>
      <c r="J4689" s="85"/>
      <c r="K4689" s="131"/>
      <c r="L4689" s="60"/>
      <c r="M4689" s="47"/>
      <c r="Q4689" s="3"/>
      <c r="R4689" s="3"/>
      <c r="S4689" s="3"/>
      <c r="T4689" s="3"/>
      <c r="U4689" s="3"/>
      <c r="V4689" s="3"/>
      <c r="W4689" s="3"/>
      <c r="X4689" s="3"/>
      <c r="Y4689" s="3"/>
      <c r="Z4689" s="4"/>
      <c r="AA4689"/>
      <c r="AB4689"/>
    </row>
    <row r="4690" spans="1:28" s="37" customFormat="1" x14ac:dyDescent="0.15">
      <c r="A4690" s="70"/>
      <c r="B4690" s="117"/>
      <c r="C4690" s="70"/>
      <c r="D4690" s="70"/>
      <c r="E4690" s="70"/>
      <c r="F4690" s="70"/>
      <c r="G4690" s="70"/>
      <c r="H4690" s="93"/>
      <c r="I4690" s="85"/>
      <c r="J4690" s="85"/>
      <c r="K4690" s="131"/>
      <c r="L4690" s="60"/>
      <c r="M4690" s="33"/>
      <c r="Q4690" s="3"/>
      <c r="R4690" s="3"/>
      <c r="S4690" s="3"/>
      <c r="T4690" s="3"/>
      <c r="U4690" s="3"/>
      <c r="V4690" s="3"/>
      <c r="W4690" s="3"/>
      <c r="X4690" s="3"/>
      <c r="Y4690" s="3"/>
      <c r="Z4690" s="4"/>
      <c r="AA4690"/>
      <c r="AB4690"/>
    </row>
    <row r="4691" spans="1:28" s="37" customFormat="1" x14ac:dyDescent="0.15">
      <c r="A4691" s="70"/>
      <c r="B4691" s="117"/>
      <c r="C4691" s="70"/>
      <c r="D4691" s="70"/>
      <c r="E4691" s="70"/>
      <c r="F4691" s="70"/>
      <c r="G4691" s="70"/>
      <c r="H4691" s="93"/>
      <c r="I4691" s="85"/>
      <c r="J4691" s="85"/>
      <c r="K4691" s="131"/>
      <c r="L4691" s="60"/>
      <c r="M4691" s="33"/>
      <c r="Q4691" s="3"/>
      <c r="R4691" s="3"/>
      <c r="S4691" s="3"/>
      <c r="T4691" s="3"/>
      <c r="U4691" s="3"/>
      <c r="V4691" s="3"/>
      <c r="W4691" s="3"/>
      <c r="X4691" s="3"/>
      <c r="Y4691" s="3"/>
      <c r="Z4691" s="4"/>
      <c r="AA4691"/>
      <c r="AB4691"/>
    </row>
    <row r="4692" spans="1:28" s="37" customFormat="1" x14ac:dyDescent="0.15">
      <c r="A4692" s="70"/>
      <c r="B4692" s="117"/>
      <c r="C4692" s="70"/>
      <c r="D4692" s="70"/>
      <c r="E4692" s="70"/>
      <c r="F4692" s="70"/>
      <c r="G4692" s="70"/>
      <c r="H4692" s="93"/>
      <c r="I4692" s="85"/>
      <c r="J4692" s="85"/>
      <c r="K4692" s="131"/>
      <c r="L4692" s="60"/>
      <c r="M4692" s="33"/>
      <c r="Q4692" s="3"/>
      <c r="R4692" s="3"/>
      <c r="S4692" s="3"/>
      <c r="T4692" s="3"/>
      <c r="U4692" s="3"/>
      <c r="V4692" s="3"/>
      <c r="W4692" s="3"/>
      <c r="X4692" s="3"/>
      <c r="Y4692" s="3"/>
      <c r="Z4692" s="4"/>
      <c r="AA4692"/>
      <c r="AB4692"/>
    </row>
    <row r="4693" spans="1:28" s="37" customFormat="1" ht="16" x14ac:dyDescent="0.2">
      <c r="A4693" s="70"/>
      <c r="B4693" s="117"/>
      <c r="C4693" s="70"/>
      <c r="D4693" s="70"/>
      <c r="E4693" s="70"/>
      <c r="F4693" s="70"/>
      <c r="G4693" s="70"/>
      <c r="H4693" s="93"/>
      <c r="I4693" s="85"/>
      <c r="J4693" s="85"/>
      <c r="K4693" s="131"/>
      <c r="L4693" s="60"/>
      <c r="M4693" s="47"/>
      <c r="Q4693" s="3"/>
      <c r="R4693" s="3"/>
      <c r="S4693" s="3"/>
      <c r="T4693" s="3"/>
      <c r="U4693" s="3"/>
      <c r="V4693" s="3"/>
      <c r="W4693" s="3"/>
      <c r="X4693" s="3"/>
      <c r="Y4693" s="3"/>
      <c r="Z4693" s="4"/>
      <c r="AA4693"/>
      <c r="AB4693"/>
    </row>
    <row r="4694" spans="1:28" s="37" customFormat="1" ht="16" x14ac:dyDescent="0.2">
      <c r="A4694" s="70"/>
      <c r="B4694" s="117"/>
      <c r="C4694" s="70"/>
      <c r="D4694" s="70"/>
      <c r="E4694" s="70"/>
      <c r="F4694" s="70"/>
      <c r="G4694" s="70"/>
      <c r="H4694" s="93"/>
      <c r="I4694" s="85"/>
      <c r="J4694" s="85"/>
      <c r="K4694" s="131"/>
      <c r="L4694" s="60"/>
      <c r="M4694" s="47"/>
      <c r="Q4694" s="3"/>
      <c r="R4694" s="3"/>
      <c r="S4694" s="3"/>
      <c r="T4694" s="3"/>
      <c r="U4694" s="3"/>
      <c r="V4694" s="3"/>
      <c r="W4694" s="3"/>
      <c r="X4694" s="3"/>
      <c r="Y4694" s="3"/>
      <c r="Z4694" s="4"/>
      <c r="AA4694"/>
      <c r="AB4694"/>
    </row>
    <row r="4695" spans="1:28" s="37" customFormat="1" x14ac:dyDescent="0.15">
      <c r="A4695" s="70"/>
      <c r="B4695" s="117"/>
      <c r="C4695" s="70"/>
      <c r="D4695" s="70"/>
      <c r="E4695" s="70"/>
      <c r="F4695" s="70"/>
      <c r="G4695" s="70"/>
      <c r="H4695" s="93"/>
      <c r="I4695" s="85"/>
      <c r="J4695" s="85"/>
      <c r="K4695" s="131"/>
      <c r="L4695" s="60"/>
      <c r="M4695" s="33"/>
      <c r="Q4695" s="3"/>
      <c r="R4695" s="3"/>
      <c r="S4695" s="3"/>
      <c r="T4695" s="3"/>
      <c r="U4695" s="3"/>
      <c r="V4695" s="3"/>
      <c r="W4695" s="3"/>
      <c r="X4695" s="3"/>
      <c r="Y4695" s="3"/>
      <c r="Z4695" s="4"/>
      <c r="AA4695"/>
      <c r="AB4695"/>
    </row>
    <row r="4696" spans="1:28" s="37" customFormat="1" x14ac:dyDescent="0.15">
      <c r="A4696" s="70"/>
      <c r="B4696" s="117"/>
      <c r="C4696" s="70"/>
      <c r="D4696" s="70"/>
      <c r="E4696" s="70"/>
      <c r="F4696" s="70"/>
      <c r="G4696" s="70"/>
      <c r="H4696" s="93"/>
      <c r="I4696" s="85"/>
      <c r="J4696" s="85"/>
      <c r="K4696" s="131"/>
      <c r="L4696" s="60"/>
      <c r="M4696" s="33"/>
      <c r="Q4696" s="3"/>
      <c r="R4696" s="3"/>
      <c r="S4696" s="3"/>
      <c r="T4696" s="3"/>
      <c r="U4696" s="3"/>
      <c r="V4696" s="3"/>
      <c r="W4696" s="3"/>
      <c r="X4696" s="3"/>
      <c r="Y4696" s="3"/>
      <c r="Z4696" s="4"/>
      <c r="AA4696"/>
      <c r="AB4696"/>
    </row>
    <row r="4697" spans="1:28" s="37" customFormat="1" x14ac:dyDescent="0.15">
      <c r="A4697" s="70"/>
      <c r="B4697" s="117"/>
      <c r="C4697" s="70"/>
      <c r="D4697" s="70"/>
      <c r="E4697" s="70"/>
      <c r="F4697" s="70"/>
      <c r="G4697" s="70"/>
      <c r="H4697" s="93"/>
      <c r="I4697" s="85"/>
      <c r="J4697" s="85"/>
      <c r="K4697" s="131"/>
      <c r="L4697" s="60"/>
      <c r="M4697" s="33"/>
      <c r="Q4697" s="3"/>
      <c r="R4697" s="3"/>
      <c r="S4697" s="3"/>
      <c r="T4697" s="3"/>
      <c r="U4697" s="3"/>
      <c r="V4697" s="3"/>
      <c r="W4697" s="3"/>
      <c r="X4697" s="3"/>
      <c r="Y4697" s="3"/>
      <c r="Z4697" s="4"/>
      <c r="AA4697"/>
      <c r="AB4697"/>
    </row>
    <row r="4698" spans="1:28" s="37" customFormat="1" x14ac:dyDescent="0.15">
      <c r="A4698" s="70"/>
      <c r="B4698" s="118"/>
      <c r="C4698" s="70"/>
      <c r="D4698" s="70"/>
      <c r="E4698" s="70"/>
      <c r="F4698" s="70"/>
      <c r="G4698" s="70"/>
      <c r="H4698" s="93"/>
      <c r="I4698" s="85"/>
      <c r="J4698" s="85"/>
      <c r="K4698" s="131"/>
      <c r="L4698" s="60"/>
      <c r="M4698" s="33"/>
      <c r="Q4698" s="3"/>
      <c r="R4698" s="3"/>
      <c r="S4698" s="3"/>
      <c r="T4698" s="3"/>
      <c r="U4698" s="3"/>
      <c r="V4698" s="3"/>
      <c r="W4698" s="3"/>
      <c r="X4698" s="3"/>
      <c r="Y4698" s="3"/>
      <c r="Z4698" s="4"/>
      <c r="AA4698"/>
      <c r="AB4698"/>
    </row>
    <row r="4699" spans="1:28" s="37" customFormat="1" x14ac:dyDescent="0.15">
      <c r="A4699" s="70"/>
      <c r="B4699" s="118"/>
      <c r="C4699" s="70"/>
      <c r="D4699" s="70"/>
      <c r="E4699" s="70"/>
      <c r="F4699" s="70"/>
      <c r="G4699" s="70"/>
      <c r="H4699" s="93"/>
      <c r="I4699" s="85"/>
      <c r="J4699" s="85"/>
      <c r="K4699" s="131"/>
      <c r="L4699" s="60"/>
      <c r="M4699" s="33"/>
      <c r="Q4699" s="3"/>
      <c r="R4699" s="3"/>
      <c r="S4699" s="3"/>
      <c r="T4699" s="3"/>
      <c r="U4699" s="3"/>
      <c r="V4699" s="3"/>
      <c r="W4699" s="3"/>
      <c r="X4699" s="3"/>
      <c r="Y4699" s="3"/>
      <c r="Z4699" s="4"/>
      <c r="AA4699"/>
      <c r="AB4699"/>
    </row>
    <row r="4700" spans="1:28" s="37" customFormat="1" x14ac:dyDescent="0.15">
      <c r="A4700" s="70"/>
      <c r="B4700" s="117"/>
      <c r="C4700" s="70"/>
      <c r="D4700" s="70"/>
      <c r="E4700" s="70"/>
      <c r="F4700" s="70"/>
      <c r="G4700" s="70"/>
      <c r="H4700" s="93"/>
      <c r="I4700" s="85"/>
      <c r="J4700" s="85"/>
      <c r="K4700" s="131"/>
      <c r="L4700" s="60"/>
      <c r="Q4700" s="3"/>
      <c r="R4700" s="3"/>
      <c r="S4700" s="3"/>
      <c r="T4700" s="3"/>
      <c r="U4700" s="3"/>
      <c r="V4700" s="3"/>
      <c r="W4700" s="3"/>
      <c r="X4700" s="3"/>
      <c r="Y4700" s="3"/>
      <c r="Z4700" s="4"/>
      <c r="AA4700"/>
      <c r="AB4700"/>
    </row>
    <row r="4701" spans="1:28" s="37" customFormat="1" x14ac:dyDescent="0.15">
      <c r="A4701" s="70"/>
      <c r="B4701" s="117"/>
      <c r="C4701" s="70"/>
      <c r="D4701" s="70"/>
      <c r="E4701" s="70"/>
      <c r="F4701" s="70"/>
      <c r="G4701" s="70"/>
      <c r="H4701" s="93"/>
      <c r="I4701" s="85"/>
      <c r="J4701" s="85"/>
      <c r="K4701" s="131"/>
      <c r="L4701" s="60"/>
      <c r="Q4701" s="3"/>
      <c r="R4701" s="3"/>
      <c r="S4701" s="3"/>
      <c r="T4701" s="3"/>
      <c r="U4701" s="3"/>
      <c r="V4701" s="3"/>
      <c r="W4701" s="3"/>
      <c r="X4701" s="3"/>
      <c r="Y4701" s="3"/>
      <c r="Z4701" s="4"/>
      <c r="AA4701"/>
      <c r="AB4701"/>
    </row>
    <row r="4702" spans="1:28" s="37" customFormat="1" x14ac:dyDescent="0.15">
      <c r="A4702" s="70"/>
      <c r="B4702" s="117"/>
      <c r="C4702" s="70"/>
      <c r="D4702" s="70"/>
      <c r="E4702" s="70"/>
      <c r="F4702" s="70"/>
      <c r="G4702" s="70"/>
      <c r="H4702" s="93"/>
      <c r="I4702" s="85"/>
      <c r="J4702" s="85"/>
      <c r="K4702" s="131"/>
      <c r="L4702" s="60"/>
      <c r="Q4702" s="3"/>
      <c r="R4702" s="3"/>
      <c r="S4702" s="3"/>
      <c r="T4702" s="3"/>
      <c r="U4702" s="3"/>
      <c r="V4702" s="3"/>
      <c r="W4702" s="3"/>
      <c r="X4702" s="3"/>
      <c r="Y4702" s="3"/>
      <c r="Z4702" s="4"/>
      <c r="AA4702"/>
      <c r="AB4702"/>
    </row>
    <row r="4703" spans="1:28" s="37" customFormat="1" x14ac:dyDescent="0.15">
      <c r="A4703" s="70"/>
      <c r="B4703" s="117"/>
      <c r="C4703" s="70"/>
      <c r="D4703" s="70"/>
      <c r="E4703" s="70"/>
      <c r="F4703" s="70"/>
      <c r="G4703" s="70"/>
      <c r="H4703" s="93"/>
      <c r="I4703" s="85"/>
      <c r="J4703" s="85"/>
      <c r="K4703" s="131"/>
      <c r="L4703" s="60"/>
      <c r="Q4703" s="3"/>
      <c r="R4703" s="3"/>
      <c r="S4703" s="3"/>
      <c r="T4703" s="3"/>
      <c r="U4703" s="3"/>
      <c r="V4703" s="3"/>
      <c r="W4703" s="3"/>
      <c r="X4703" s="3"/>
      <c r="Y4703" s="3"/>
      <c r="Z4703" s="4"/>
      <c r="AA4703"/>
      <c r="AB4703"/>
    </row>
    <row r="4704" spans="1:28" s="37" customFormat="1" x14ac:dyDescent="0.15">
      <c r="A4704" s="70"/>
      <c r="B4704" s="117"/>
      <c r="C4704" s="70"/>
      <c r="D4704" s="70"/>
      <c r="E4704" s="70"/>
      <c r="F4704" s="70"/>
      <c r="G4704" s="70"/>
      <c r="H4704" s="93"/>
      <c r="I4704" s="85"/>
      <c r="J4704" s="85"/>
      <c r="K4704" s="131"/>
      <c r="L4704" s="60"/>
      <c r="Q4704" s="3"/>
      <c r="R4704" s="3"/>
      <c r="S4704" s="3"/>
      <c r="T4704" s="3"/>
      <c r="U4704" s="3"/>
      <c r="V4704" s="3"/>
      <c r="W4704" s="3"/>
      <c r="X4704" s="3"/>
      <c r="Y4704" s="3"/>
      <c r="Z4704" s="4"/>
      <c r="AA4704"/>
      <c r="AB4704"/>
    </row>
    <row r="4705" spans="1:28" s="37" customFormat="1" x14ac:dyDescent="0.15">
      <c r="A4705" s="83"/>
      <c r="B4705" s="118"/>
      <c r="C4705" s="81"/>
      <c r="D4705" s="81"/>
      <c r="E4705" s="83"/>
      <c r="F4705" s="81"/>
      <c r="G4705" s="81"/>
      <c r="H4705" s="82"/>
      <c r="I4705" s="85"/>
      <c r="J4705" s="111"/>
      <c r="K4705" s="139"/>
      <c r="L4705" s="72"/>
      <c r="M4705" s="31"/>
      <c r="Q4705" s="3"/>
      <c r="R4705" s="3"/>
      <c r="S4705" s="3"/>
      <c r="T4705" s="3"/>
      <c r="U4705" s="3"/>
      <c r="V4705" s="3"/>
      <c r="W4705" s="3"/>
      <c r="X4705" s="3"/>
      <c r="Y4705" s="3"/>
      <c r="Z4705" s="4"/>
      <c r="AA4705"/>
      <c r="AB4705"/>
    </row>
    <row r="4706" spans="1:28" s="37" customFormat="1" x14ac:dyDescent="0.15">
      <c r="A4706" s="70"/>
      <c r="B4706" s="117"/>
      <c r="C4706" s="70"/>
      <c r="D4706" s="70"/>
      <c r="E4706" s="70"/>
      <c r="F4706" s="70"/>
      <c r="G4706" s="70"/>
      <c r="H4706" s="93"/>
      <c r="I4706" s="85"/>
      <c r="J4706" s="85"/>
      <c r="K4706" s="131"/>
      <c r="L4706" s="60"/>
      <c r="M4706" s="33"/>
      <c r="Q4706" s="3"/>
      <c r="R4706" s="3"/>
      <c r="S4706" s="3"/>
      <c r="T4706" s="3"/>
      <c r="U4706" s="3"/>
      <c r="V4706" s="3"/>
      <c r="W4706" s="3"/>
      <c r="X4706" s="3"/>
      <c r="Y4706" s="3"/>
      <c r="Z4706" s="4"/>
      <c r="AA4706"/>
      <c r="AB4706"/>
    </row>
    <row r="4707" spans="1:28" s="37" customFormat="1" ht="16" x14ac:dyDescent="0.2">
      <c r="A4707" s="70"/>
      <c r="B4707" s="117"/>
      <c r="C4707" s="70"/>
      <c r="D4707" s="70"/>
      <c r="E4707" s="70"/>
      <c r="F4707" s="70"/>
      <c r="G4707" s="70"/>
      <c r="H4707" s="93"/>
      <c r="I4707" s="85"/>
      <c r="J4707" s="85"/>
      <c r="K4707" s="131"/>
      <c r="L4707" s="60"/>
      <c r="M4707" s="47"/>
      <c r="Q4707" s="3"/>
      <c r="R4707" s="3"/>
      <c r="S4707" s="3"/>
      <c r="T4707" s="3"/>
      <c r="U4707" s="3"/>
      <c r="V4707" s="3"/>
      <c r="W4707" s="3"/>
      <c r="X4707" s="3"/>
      <c r="Y4707" s="3"/>
      <c r="Z4707" s="4"/>
      <c r="AA4707"/>
      <c r="AB4707"/>
    </row>
    <row r="4708" spans="1:28" s="37" customFormat="1" x14ac:dyDescent="0.15">
      <c r="A4708" s="70"/>
      <c r="B4708" s="117"/>
      <c r="C4708" s="70"/>
      <c r="D4708" s="70"/>
      <c r="E4708" s="70"/>
      <c r="F4708" s="70"/>
      <c r="G4708" s="70"/>
      <c r="H4708" s="93"/>
      <c r="I4708" s="85"/>
      <c r="J4708" s="85"/>
      <c r="K4708" s="131"/>
      <c r="L4708" s="60"/>
      <c r="M4708" s="33"/>
      <c r="Q4708" s="3"/>
      <c r="R4708" s="3"/>
      <c r="S4708" s="3"/>
      <c r="T4708" s="3"/>
      <c r="U4708" s="3"/>
      <c r="V4708" s="3"/>
      <c r="W4708" s="3"/>
      <c r="X4708" s="3"/>
      <c r="Y4708" s="3"/>
      <c r="Z4708" s="4"/>
      <c r="AA4708"/>
      <c r="AB4708"/>
    </row>
    <row r="4709" spans="1:28" s="37" customFormat="1" x14ac:dyDescent="0.15">
      <c r="A4709" s="70"/>
      <c r="B4709" s="117"/>
      <c r="C4709" s="70"/>
      <c r="D4709" s="70"/>
      <c r="E4709" s="70"/>
      <c r="F4709" s="70"/>
      <c r="G4709" s="70"/>
      <c r="H4709" s="93"/>
      <c r="I4709" s="85"/>
      <c r="J4709" s="85"/>
      <c r="K4709" s="131"/>
      <c r="L4709" s="60"/>
      <c r="M4709" s="33"/>
      <c r="Q4709" s="3"/>
      <c r="R4709" s="3"/>
      <c r="S4709" s="3"/>
      <c r="T4709" s="3"/>
      <c r="U4709" s="3"/>
      <c r="V4709" s="3"/>
      <c r="W4709" s="3"/>
      <c r="X4709" s="3"/>
      <c r="Y4709" s="3"/>
      <c r="Z4709" s="4"/>
      <c r="AA4709"/>
      <c r="AB4709"/>
    </row>
    <row r="4710" spans="1:28" s="37" customFormat="1" x14ac:dyDescent="0.15">
      <c r="A4710" s="70"/>
      <c r="B4710" s="118"/>
      <c r="C4710" s="70"/>
      <c r="D4710" s="70"/>
      <c r="E4710" s="70"/>
      <c r="F4710" s="70"/>
      <c r="G4710" s="70"/>
      <c r="H4710" s="93"/>
      <c r="I4710" s="85"/>
      <c r="J4710" s="85"/>
      <c r="K4710" s="131"/>
      <c r="L4710" s="60"/>
      <c r="M4710" s="33"/>
      <c r="Q4710" s="3"/>
      <c r="R4710" s="3"/>
      <c r="S4710" s="3"/>
      <c r="T4710" s="3"/>
      <c r="U4710" s="3"/>
      <c r="V4710" s="3"/>
      <c r="W4710" s="3"/>
      <c r="X4710" s="3"/>
      <c r="Y4710" s="3"/>
      <c r="Z4710" s="4"/>
      <c r="AA4710"/>
      <c r="AB4710"/>
    </row>
    <row r="4711" spans="1:28" s="37" customFormat="1" x14ac:dyDescent="0.15">
      <c r="A4711" s="70"/>
      <c r="B4711" s="117"/>
      <c r="C4711" s="70"/>
      <c r="D4711" s="70"/>
      <c r="E4711" s="70"/>
      <c r="F4711" s="70"/>
      <c r="G4711" s="70"/>
      <c r="H4711" s="93"/>
      <c r="I4711" s="85"/>
      <c r="J4711" s="85"/>
      <c r="K4711" s="131"/>
      <c r="L4711" s="60"/>
      <c r="M4711" s="33"/>
      <c r="Q4711" s="3"/>
      <c r="R4711" s="3"/>
      <c r="S4711" s="3"/>
      <c r="T4711" s="3"/>
      <c r="U4711" s="3"/>
      <c r="V4711" s="3"/>
      <c r="W4711" s="3"/>
      <c r="X4711" s="3"/>
      <c r="Y4711" s="3"/>
      <c r="Z4711" s="4"/>
      <c r="AA4711"/>
      <c r="AB4711"/>
    </row>
    <row r="4712" spans="1:28" s="37" customFormat="1" x14ac:dyDescent="0.15">
      <c r="A4712" s="70"/>
      <c r="B4712" s="118"/>
      <c r="C4712" s="70"/>
      <c r="D4712" s="73"/>
      <c r="E4712" s="73"/>
      <c r="F4712" s="73"/>
      <c r="G4712" s="73"/>
      <c r="H4712" s="93"/>
      <c r="I4712" s="85"/>
      <c r="J4712" s="95"/>
      <c r="K4712" s="131"/>
      <c r="L4712" s="60"/>
      <c r="M4712" s="33"/>
      <c r="Q4712" s="3"/>
      <c r="R4712" s="3"/>
      <c r="S4712" s="3"/>
      <c r="T4712" s="3"/>
      <c r="U4712" s="3"/>
      <c r="V4712" s="3"/>
      <c r="W4712" s="3"/>
      <c r="X4712" s="3"/>
      <c r="Y4712" s="3"/>
      <c r="Z4712" s="4"/>
      <c r="AA4712"/>
      <c r="AB4712"/>
    </row>
    <row r="4713" spans="1:28" s="37" customFormat="1" x14ac:dyDescent="0.15">
      <c r="A4713" s="70"/>
      <c r="B4713" s="118"/>
      <c r="C4713" s="70"/>
      <c r="D4713" s="70"/>
      <c r="E4713" s="70"/>
      <c r="F4713" s="70"/>
      <c r="G4713" s="70"/>
      <c r="H4713" s="93"/>
      <c r="I4713" s="85"/>
      <c r="J4713" s="85"/>
      <c r="K4713" s="131"/>
      <c r="L4713" s="60"/>
      <c r="M4713" s="33"/>
      <c r="Q4713" s="3"/>
      <c r="R4713" s="3"/>
      <c r="S4713" s="3"/>
      <c r="T4713" s="3"/>
      <c r="U4713" s="3"/>
      <c r="V4713" s="3"/>
      <c r="W4713" s="3"/>
      <c r="X4713" s="3"/>
      <c r="Y4713" s="3"/>
      <c r="Z4713" s="4"/>
      <c r="AA4713"/>
      <c r="AB4713"/>
    </row>
    <row r="4714" spans="1:28" s="37" customFormat="1" x14ac:dyDescent="0.15">
      <c r="A4714" s="70"/>
      <c r="B4714" s="117"/>
      <c r="C4714" s="70"/>
      <c r="D4714" s="70"/>
      <c r="E4714" s="70"/>
      <c r="F4714" s="70"/>
      <c r="G4714" s="70"/>
      <c r="H4714" s="93"/>
      <c r="I4714" s="85"/>
      <c r="J4714" s="85"/>
      <c r="K4714" s="131"/>
      <c r="L4714" s="60"/>
      <c r="M4714" s="33"/>
      <c r="Q4714" s="3"/>
      <c r="R4714" s="3"/>
      <c r="S4714" s="3"/>
      <c r="T4714" s="3"/>
      <c r="U4714" s="3"/>
      <c r="V4714" s="3"/>
      <c r="W4714" s="3"/>
      <c r="X4714" s="3"/>
      <c r="Y4714" s="3"/>
      <c r="Z4714" s="4"/>
      <c r="AA4714"/>
      <c r="AB4714"/>
    </row>
    <row r="4715" spans="1:28" s="37" customFormat="1" ht="16" x14ac:dyDescent="0.2">
      <c r="A4715" s="70"/>
      <c r="B4715" s="117"/>
      <c r="C4715" s="70"/>
      <c r="D4715" s="70"/>
      <c r="E4715" s="70"/>
      <c r="F4715" s="70"/>
      <c r="G4715" s="70"/>
      <c r="H4715" s="93"/>
      <c r="I4715" s="85"/>
      <c r="J4715" s="85"/>
      <c r="K4715" s="131"/>
      <c r="L4715" s="60"/>
      <c r="M4715" s="47"/>
      <c r="Q4715" s="3"/>
      <c r="R4715" s="3"/>
      <c r="S4715" s="3"/>
      <c r="T4715" s="3"/>
      <c r="U4715" s="3"/>
      <c r="V4715" s="3"/>
      <c r="W4715" s="3"/>
      <c r="X4715" s="3"/>
      <c r="Y4715" s="3"/>
      <c r="Z4715" s="4"/>
      <c r="AA4715"/>
      <c r="AB4715"/>
    </row>
    <row r="4716" spans="1:28" s="37" customFormat="1" x14ac:dyDescent="0.15">
      <c r="A4716" s="70"/>
      <c r="B4716" s="117"/>
      <c r="C4716" s="70"/>
      <c r="D4716" s="70"/>
      <c r="E4716" s="70"/>
      <c r="F4716" s="70"/>
      <c r="G4716" s="70"/>
      <c r="H4716" s="93"/>
      <c r="I4716" s="85"/>
      <c r="J4716" s="85"/>
      <c r="K4716" s="131"/>
      <c r="L4716" s="60"/>
      <c r="M4716" s="33"/>
      <c r="Q4716" s="3"/>
      <c r="R4716" s="3"/>
      <c r="S4716" s="3"/>
      <c r="T4716" s="3"/>
      <c r="U4716" s="3"/>
      <c r="V4716" s="3"/>
      <c r="W4716" s="3"/>
      <c r="X4716" s="3"/>
      <c r="Y4716" s="3"/>
      <c r="Z4716" s="4"/>
      <c r="AA4716"/>
      <c r="AB4716"/>
    </row>
    <row r="4717" spans="1:28" s="37" customFormat="1" x14ac:dyDescent="0.15">
      <c r="A4717" s="70"/>
      <c r="B4717" s="117"/>
      <c r="C4717" s="70"/>
      <c r="D4717" s="70"/>
      <c r="E4717" s="70"/>
      <c r="F4717" s="70"/>
      <c r="G4717" s="70"/>
      <c r="H4717" s="93"/>
      <c r="I4717" s="85"/>
      <c r="J4717" s="85"/>
      <c r="K4717" s="131"/>
      <c r="L4717" s="60"/>
      <c r="M4717" s="33"/>
      <c r="Q4717" s="3"/>
      <c r="R4717" s="3"/>
      <c r="S4717" s="3"/>
      <c r="T4717" s="3"/>
      <c r="U4717" s="3"/>
      <c r="V4717" s="3"/>
      <c r="W4717" s="3"/>
      <c r="X4717" s="3"/>
      <c r="Y4717" s="3"/>
      <c r="Z4717" s="4"/>
      <c r="AA4717"/>
      <c r="AB4717"/>
    </row>
    <row r="4718" spans="1:28" s="37" customFormat="1" x14ac:dyDescent="0.15">
      <c r="A4718" s="70"/>
      <c r="B4718" s="118"/>
      <c r="C4718" s="70"/>
      <c r="D4718" s="70"/>
      <c r="E4718" s="70"/>
      <c r="F4718" s="70"/>
      <c r="G4718" s="70"/>
      <c r="H4718" s="93"/>
      <c r="I4718" s="85"/>
      <c r="J4718" s="85"/>
      <c r="K4718" s="131"/>
      <c r="L4718" s="60"/>
      <c r="M4718" s="33"/>
      <c r="O4718" s="33"/>
      <c r="Q4718" s="3"/>
      <c r="R4718" s="3"/>
      <c r="S4718" s="3"/>
      <c r="T4718" s="3"/>
      <c r="U4718" s="3"/>
      <c r="V4718" s="3"/>
      <c r="W4718" s="3"/>
      <c r="X4718" s="3"/>
      <c r="Y4718" s="3"/>
      <c r="Z4718" s="4"/>
      <c r="AA4718"/>
      <c r="AB4718"/>
    </row>
    <row r="4719" spans="1:28" s="37" customFormat="1" x14ac:dyDescent="0.15">
      <c r="A4719" s="70"/>
      <c r="B4719" s="118"/>
      <c r="C4719" s="70"/>
      <c r="D4719" s="70"/>
      <c r="E4719" s="70"/>
      <c r="F4719" s="70"/>
      <c r="G4719" s="70"/>
      <c r="H4719" s="93"/>
      <c r="I4719" s="85"/>
      <c r="J4719" s="85"/>
      <c r="K4719" s="131"/>
      <c r="L4719" s="60"/>
      <c r="M4719" s="33"/>
      <c r="Q4719" s="3"/>
      <c r="R4719" s="3"/>
      <c r="S4719" s="3"/>
      <c r="T4719" s="3"/>
      <c r="U4719" s="3"/>
      <c r="V4719" s="3"/>
      <c r="W4719" s="3"/>
      <c r="X4719" s="3"/>
      <c r="Y4719" s="3"/>
      <c r="Z4719" s="4"/>
      <c r="AA4719"/>
      <c r="AB4719"/>
    </row>
    <row r="4720" spans="1:28" s="37" customFormat="1" x14ac:dyDescent="0.15">
      <c r="A4720" s="70"/>
      <c r="B4720" s="118"/>
      <c r="C4720" s="70"/>
      <c r="D4720" s="70"/>
      <c r="E4720" s="70"/>
      <c r="F4720" s="70"/>
      <c r="G4720" s="70"/>
      <c r="H4720" s="93"/>
      <c r="I4720" s="85"/>
      <c r="J4720" s="85"/>
      <c r="K4720" s="131"/>
      <c r="L4720" s="60"/>
      <c r="M4720" s="33"/>
      <c r="Q4720" s="3"/>
      <c r="R4720" s="3"/>
      <c r="S4720" s="3"/>
      <c r="T4720" s="3"/>
      <c r="U4720" s="3"/>
      <c r="V4720" s="3"/>
      <c r="W4720" s="3"/>
      <c r="X4720" s="3"/>
      <c r="Y4720" s="3"/>
      <c r="Z4720" s="4"/>
      <c r="AA4720"/>
      <c r="AB4720"/>
    </row>
    <row r="4721" spans="1:28" s="37" customFormat="1" x14ac:dyDescent="0.15">
      <c r="A4721" s="70"/>
      <c r="B4721" s="118"/>
      <c r="C4721" s="70"/>
      <c r="D4721" s="70"/>
      <c r="E4721" s="70"/>
      <c r="F4721" s="70"/>
      <c r="G4721" s="70"/>
      <c r="H4721" s="93"/>
      <c r="I4721" s="85"/>
      <c r="J4721" s="85"/>
      <c r="K4721" s="131"/>
      <c r="L4721" s="63"/>
      <c r="M4721" s="33"/>
      <c r="Q4721" s="3"/>
      <c r="R4721" s="3"/>
      <c r="S4721" s="3"/>
      <c r="T4721" s="3"/>
      <c r="U4721" s="3"/>
      <c r="V4721" s="3"/>
      <c r="W4721" s="3"/>
      <c r="X4721" s="3"/>
      <c r="Y4721" s="3"/>
      <c r="Z4721" s="4"/>
      <c r="AA4721"/>
      <c r="AB4721"/>
    </row>
    <row r="4722" spans="1:28" s="37" customFormat="1" x14ac:dyDescent="0.15">
      <c r="A4722" s="70"/>
      <c r="B4722" s="117"/>
      <c r="C4722" s="70"/>
      <c r="D4722" s="70"/>
      <c r="E4722" s="70"/>
      <c r="F4722" s="70"/>
      <c r="G4722" s="70"/>
      <c r="H4722" s="93"/>
      <c r="I4722" s="85"/>
      <c r="J4722" s="85"/>
      <c r="K4722" s="131"/>
      <c r="L4722" s="60"/>
      <c r="M4722" s="33"/>
      <c r="Q4722" s="3"/>
      <c r="R4722" s="3"/>
      <c r="S4722" s="3"/>
      <c r="T4722" s="3"/>
      <c r="U4722" s="3"/>
      <c r="V4722" s="3"/>
      <c r="W4722" s="3"/>
      <c r="X4722" s="3"/>
      <c r="Y4722" s="3"/>
      <c r="Z4722" s="4"/>
      <c r="AA4722"/>
      <c r="AB4722"/>
    </row>
    <row r="4723" spans="1:28" s="37" customFormat="1" x14ac:dyDescent="0.15">
      <c r="A4723" s="70"/>
      <c r="B4723" s="117"/>
      <c r="C4723" s="70"/>
      <c r="D4723" s="70"/>
      <c r="E4723" s="70"/>
      <c r="F4723" s="70"/>
      <c r="G4723" s="70"/>
      <c r="H4723" s="93"/>
      <c r="I4723" s="85"/>
      <c r="J4723" s="85"/>
      <c r="K4723" s="131"/>
      <c r="L4723" s="60"/>
      <c r="M4723" s="33"/>
      <c r="Q4723" s="3"/>
      <c r="R4723" s="3"/>
      <c r="S4723" s="3"/>
      <c r="T4723" s="3"/>
      <c r="U4723" s="3"/>
      <c r="V4723" s="3"/>
      <c r="W4723" s="3"/>
      <c r="X4723" s="3"/>
      <c r="Y4723" s="3"/>
      <c r="Z4723" s="4"/>
      <c r="AA4723"/>
      <c r="AB4723"/>
    </row>
    <row r="4724" spans="1:28" s="37" customFormat="1" x14ac:dyDescent="0.15">
      <c r="A4724" s="62"/>
      <c r="B4724" s="117"/>
      <c r="C4724" s="62"/>
      <c r="D4724" s="62"/>
      <c r="E4724" s="62"/>
      <c r="F4724" s="62"/>
      <c r="G4724" s="62"/>
      <c r="H4724" s="97"/>
      <c r="I4724" s="85"/>
      <c r="J4724" s="98"/>
      <c r="K4724" s="135"/>
      <c r="L4724" s="66"/>
      <c r="M4724" s="35"/>
      <c r="Q4724" s="3"/>
      <c r="R4724" s="3"/>
      <c r="S4724" s="3"/>
      <c r="T4724" s="3"/>
      <c r="U4724" s="3"/>
      <c r="V4724" s="3"/>
      <c r="W4724" s="3"/>
      <c r="X4724" s="3"/>
      <c r="Y4724" s="3"/>
      <c r="Z4724" s="4"/>
      <c r="AA4724"/>
      <c r="AB4724"/>
    </row>
    <row r="4725" spans="1:28" s="37" customFormat="1" x14ac:dyDescent="0.15">
      <c r="A4725" s="70"/>
      <c r="B4725" s="117"/>
      <c r="C4725" s="70"/>
      <c r="D4725" s="70"/>
      <c r="E4725" s="70"/>
      <c r="F4725" s="70"/>
      <c r="G4725" s="70"/>
      <c r="H4725" s="93"/>
      <c r="I4725" s="85"/>
      <c r="J4725" s="85"/>
      <c r="K4725" s="131"/>
      <c r="L4725" s="60"/>
      <c r="M4725" s="33"/>
      <c r="Q4725" s="3"/>
      <c r="R4725" s="3"/>
      <c r="S4725" s="3"/>
      <c r="T4725" s="3"/>
      <c r="U4725" s="3"/>
      <c r="V4725" s="3"/>
      <c r="W4725" s="3"/>
      <c r="X4725" s="3"/>
      <c r="Y4725" s="3"/>
      <c r="Z4725" s="4"/>
      <c r="AA4725"/>
      <c r="AB4725"/>
    </row>
    <row r="4726" spans="1:28" s="37" customFormat="1" x14ac:dyDescent="0.15">
      <c r="A4726" s="70"/>
      <c r="B4726" s="117"/>
      <c r="C4726" s="70"/>
      <c r="D4726" s="70"/>
      <c r="E4726" s="70"/>
      <c r="F4726" s="70"/>
      <c r="G4726" s="70"/>
      <c r="H4726" s="93"/>
      <c r="I4726" s="85"/>
      <c r="J4726" s="85"/>
      <c r="K4726" s="138"/>
      <c r="L4726" s="60"/>
      <c r="N4726" s="32"/>
      <c r="Q4726" s="3"/>
      <c r="R4726" s="3"/>
      <c r="S4726" s="3"/>
      <c r="T4726" s="3"/>
      <c r="U4726" s="3"/>
      <c r="V4726" s="3"/>
      <c r="W4726" s="3"/>
      <c r="X4726" s="3"/>
      <c r="Y4726" s="3"/>
      <c r="Z4726" s="4"/>
      <c r="AA4726"/>
      <c r="AB4726"/>
    </row>
    <row r="4727" spans="1:28" s="37" customFormat="1" x14ac:dyDescent="0.15">
      <c r="A4727" s="70"/>
      <c r="B4727" s="117"/>
      <c r="C4727" s="70"/>
      <c r="D4727" s="70"/>
      <c r="E4727" s="70"/>
      <c r="F4727" s="70"/>
      <c r="G4727" s="70"/>
      <c r="H4727" s="93"/>
      <c r="I4727" s="85"/>
      <c r="J4727" s="85"/>
      <c r="K4727" s="131"/>
      <c r="L4727" s="60"/>
      <c r="M4727" s="33"/>
      <c r="Q4727" s="3"/>
      <c r="R4727" s="3"/>
      <c r="S4727" s="3"/>
      <c r="T4727" s="3"/>
      <c r="U4727" s="3"/>
      <c r="V4727" s="3"/>
      <c r="W4727" s="3"/>
      <c r="X4727" s="3"/>
      <c r="Y4727" s="3"/>
      <c r="Z4727" s="4"/>
      <c r="AA4727"/>
      <c r="AB4727"/>
    </row>
    <row r="4728" spans="1:28" s="37" customFormat="1" x14ac:dyDescent="0.15">
      <c r="A4728" s="70"/>
      <c r="B4728" s="117"/>
      <c r="C4728" s="70"/>
      <c r="D4728" s="70"/>
      <c r="E4728" s="70"/>
      <c r="F4728" s="70"/>
      <c r="G4728" s="70"/>
      <c r="H4728" s="93"/>
      <c r="I4728" s="85"/>
      <c r="J4728" s="85"/>
      <c r="K4728" s="134"/>
      <c r="L4728" s="60"/>
      <c r="M4728" s="33"/>
      <c r="Q4728" s="3"/>
      <c r="R4728" s="3"/>
      <c r="S4728" s="3"/>
      <c r="T4728" s="3"/>
      <c r="U4728" s="3"/>
      <c r="V4728" s="3"/>
      <c r="W4728" s="3"/>
      <c r="X4728" s="3"/>
      <c r="Y4728" s="3"/>
      <c r="Z4728" s="4"/>
      <c r="AA4728"/>
      <c r="AB4728"/>
    </row>
    <row r="4729" spans="1:28" s="37" customFormat="1" x14ac:dyDescent="0.15">
      <c r="A4729" s="70"/>
      <c r="B4729" s="117"/>
      <c r="C4729" s="70"/>
      <c r="D4729" s="70"/>
      <c r="E4729" s="70"/>
      <c r="F4729" s="70"/>
      <c r="G4729" s="70"/>
      <c r="H4729" s="93"/>
      <c r="I4729" s="85"/>
      <c r="J4729" s="85"/>
      <c r="K4729" s="131"/>
      <c r="L4729" s="60"/>
      <c r="M4729" s="33"/>
      <c r="Q4729" s="3"/>
      <c r="R4729" s="3"/>
      <c r="S4729" s="3"/>
      <c r="T4729" s="3"/>
      <c r="U4729" s="3"/>
      <c r="V4729" s="3"/>
      <c r="W4729" s="3"/>
      <c r="X4729" s="3"/>
      <c r="Y4729" s="3"/>
      <c r="Z4729" s="4"/>
      <c r="AA4729"/>
      <c r="AB4729"/>
    </row>
    <row r="4730" spans="1:28" s="37" customFormat="1" x14ac:dyDescent="0.15">
      <c r="A4730" s="70"/>
      <c r="B4730" s="117"/>
      <c r="C4730" s="70"/>
      <c r="D4730" s="70"/>
      <c r="E4730" s="70"/>
      <c r="F4730" s="70"/>
      <c r="G4730" s="70"/>
      <c r="H4730" s="93"/>
      <c r="I4730" s="85"/>
      <c r="J4730" s="85"/>
      <c r="K4730" s="131"/>
      <c r="L4730" s="63"/>
      <c r="Q4730" s="3"/>
      <c r="R4730" s="3"/>
      <c r="S4730" s="3"/>
      <c r="T4730" s="3"/>
      <c r="U4730" s="3"/>
      <c r="V4730" s="3"/>
      <c r="W4730" s="3"/>
      <c r="X4730" s="3"/>
      <c r="Y4730" s="3"/>
      <c r="Z4730" s="4"/>
      <c r="AA4730"/>
      <c r="AB4730"/>
    </row>
    <row r="4731" spans="1:28" s="37" customFormat="1" x14ac:dyDescent="0.15">
      <c r="A4731" s="70"/>
      <c r="B4731" s="117"/>
      <c r="C4731" s="70"/>
      <c r="D4731" s="70"/>
      <c r="E4731" s="70"/>
      <c r="F4731" s="70"/>
      <c r="G4731" s="70"/>
      <c r="H4731" s="93"/>
      <c r="I4731" s="85"/>
      <c r="J4731" s="85"/>
      <c r="K4731" s="131"/>
      <c r="L4731" s="60"/>
      <c r="M4731" s="49"/>
      <c r="Q4731" s="3"/>
      <c r="R4731" s="3"/>
      <c r="S4731" s="3"/>
      <c r="T4731" s="3"/>
      <c r="U4731" s="3"/>
      <c r="V4731" s="3"/>
      <c r="W4731" s="3"/>
      <c r="X4731" s="3"/>
      <c r="Y4731" s="3"/>
      <c r="Z4731" s="4"/>
      <c r="AA4731"/>
      <c r="AB4731"/>
    </row>
    <row r="4732" spans="1:28" s="37" customFormat="1" x14ac:dyDescent="0.15">
      <c r="A4732" s="70"/>
      <c r="B4732" s="118"/>
      <c r="C4732" s="70"/>
      <c r="D4732" s="70"/>
      <c r="E4732" s="70"/>
      <c r="F4732" s="70"/>
      <c r="G4732" s="70"/>
      <c r="H4732" s="93"/>
      <c r="I4732" s="85"/>
      <c r="J4732" s="85"/>
      <c r="K4732" s="131"/>
      <c r="L4732" s="60"/>
      <c r="M4732" s="33"/>
      <c r="Q4732" s="3"/>
      <c r="R4732" s="3"/>
      <c r="S4732" s="3"/>
      <c r="T4732" s="3"/>
      <c r="U4732" s="3"/>
      <c r="V4732" s="3"/>
      <c r="W4732" s="3"/>
      <c r="X4732" s="3"/>
      <c r="Y4732" s="3"/>
      <c r="Z4732" s="4"/>
      <c r="AA4732"/>
      <c r="AB4732"/>
    </row>
    <row r="4733" spans="1:28" s="37" customFormat="1" x14ac:dyDescent="0.15">
      <c r="A4733" s="70"/>
      <c r="B4733" s="118"/>
      <c r="C4733" s="70"/>
      <c r="D4733" s="70"/>
      <c r="E4733" s="70"/>
      <c r="F4733" s="70"/>
      <c r="G4733" s="70"/>
      <c r="H4733" s="93"/>
      <c r="I4733" s="85"/>
      <c r="J4733" s="85"/>
      <c r="K4733" s="131"/>
      <c r="L4733" s="60"/>
      <c r="M4733" s="33"/>
      <c r="Q4733" s="3"/>
      <c r="R4733" s="3"/>
      <c r="S4733" s="3"/>
      <c r="T4733" s="3"/>
      <c r="U4733" s="3"/>
      <c r="V4733" s="3"/>
      <c r="W4733" s="3"/>
      <c r="X4733" s="3"/>
      <c r="Y4733" s="3"/>
      <c r="Z4733" s="4"/>
      <c r="AA4733"/>
      <c r="AB4733"/>
    </row>
    <row r="4734" spans="1:28" s="37" customFormat="1" x14ac:dyDescent="0.15">
      <c r="A4734" s="70"/>
      <c r="B4734" s="117"/>
      <c r="C4734" s="70"/>
      <c r="D4734" s="70"/>
      <c r="E4734" s="70"/>
      <c r="F4734" s="70"/>
      <c r="G4734" s="70"/>
      <c r="H4734" s="93"/>
      <c r="I4734" s="85"/>
      <c r="J4734" s="85"/>
      <c r="K4734" s="131"/>
      <c r="L4734" s="60"/>
      <c r="M4734" s="33"/>
      <c r="Q4734" s="3"/>
      <c r="R4734" s="3"/>
      <c r="S4734" s="3"/>
      <c r="T4734" s="3"/>
      <c r="U4734" s="3"/>
      <c r="V4734" s="3"/>
      <c r="W4734" s="3"/>
      <c r="X4734" s="3"/>
      <c r="Y4734" s="3"/>
      <c r="Z4734" s="4"/>
      <c r="AA4734"/>
      <c r="AB4734"/>
    </row>
    <row r="4735" spans="1:28" s="37" customFormat="1" x14ac:dyDescent="0.15">
      <c r="A4735" s="70"/>
      <c r="B4735" s="117"/>
      <c r="C4735" s="70"/>
      <c r="D4735" s="70"/>
      <c r="E4735" s="70"/>
      <c r="F4735" s="70"/>
      <c r="G4735" s="70"/>
      <c r="H4735" s="93"/>
      <c r="I4735" s="85"/>
      <c r="J4735" s="85"/>
      <c r="K4735" s="131"/>
      <c r="L4735" s="60"/>
      <c r="M4735" s="33"/>
      <c r="Q4735" s="3"/>
      <c r="R4735" s="3"/>
      <c r="S4735" s="3"/>
      <c r="T4735" s="3"/>
      <c r="U4735" s="3"/>
      <c r="V4735" s="3"/>
      <c r="W4735" s="3"/>
      <c r="X4735" s="3"/>
      <c r="Y4735" s="3"/>
      <c r="Z4735" s="4"/>
      <c r="AA4735"/>
      <c r="AB4735"/>
    </row>
    <row r="4736" spans="1:28" s="37" customFormat="1" x14ac:dyDescent="0.15">
      <c r="A4736" s="70"/>
      <c r="B4736" s="117"/>
      <c r="C4736" s="70"/>
      <c r="D4736" s="70"/>
      <c r="E4736" s="70"/>
      <c r="F4736" s="70"/>
      <c r="G4736" s="70"/>
      <c r="H4736" s="93"/>
      <c r="I4736" s="85"/>
      <c r="J4736" s="85"/>
      <c r="K4736" s="131"/>
      <c r="L4736" s="60"/>
      <c r="M4736" s="33"/>
      <c r="Q4736" s="3"/>
      <c r="R4736" s="3"/>
      <c r="S4736" s="3"/>
      <c r="T4736" s="3"/>
      <c r="U4736" s="3"/>
      <c r="V4736" s="3"/>
      <c r="W4736" s="3"/>
      <c r="X4736" s="3"/>
      <c r="Y4736" s="3"/>
      <c r="Z4736" s="4"/>
      <c r="AA4736"/>
      <c r="AB4736"/>
    </row>
    <row r="4737" spans="1:28" s="37" customFormat="1" x14ac:dyDescent="0.15">
      <c r="A4737" s="70"/>
      <c r="B4737" s="118"/>
      <c r="C4737" s="70"/>
      <c r="D4737" s="70"/>
      <c r="E4737" s="70"/>
      <c r="F4737" s="70"/>
      <c r="G4737" s="70"/>
      <c r="H4737" s="93"/>
      <c r="I4737" s="85"/>
      <c r="J4737" s="85"/>
      <c r="K4737" s="131"/>
      <c r="L4737" s="60"/>
      <c r="M4737" s="33"/>
      <c r="Q4737" s="3"/>
      <c r="R4737" s="3"/>
      <c r="S4737" s="3"/>
      <c r="T4737" s="3"/>
      <c r="U4737" s="3"/>
      <c r="V4737" s="3"/>
      <c r="W4737" s="3"/>
      <c r="X4737" s="3"/>
      <c r="Y4737" s="3"/>
      <c r="Z4737" s="4"/>
      <c r="AA4737"/>
      <c r="AB4737"/>
    </row>
    <row r="4738" spans="1:28" s="37" customFormat="1" x14ac:dyDescent="0.15">
      <c r="A4738" s="70"/>
      <c r="B4738" s="118"/>
      <c r="C4738" s="70"/>
      <c r="D4738" s="70"/>
      <c r="E4738" s="70"/>
      <c r="F4738" s="70"/>
      <c r="G4738" s="70"/>
      <c r="H4738" s="93"/>
      <c r="I4738" s="85"/>
      <c r="J4738" s="85"/>
      <c r="K4738" s="131"/>
      <c r="L4738" s="60"/>
      <c r="M4738" s="33"/>
      <c r="Q4738" s="3"/>
      <c r="R4738" s="3"/>
      <c r="S4738" s="3"/>
      <c r="T4738" s="3"/>
      <c r="U4738" s="3"/>
      <c r="V4738" s="3"/>
      <c r="W4738" s="3"/>
      <c r="X4738" s="3"/>
      <c r="Y4738" s="3"/>
      <c r="Z4738" s="4"/>
      <c r="AA4738"/>
      <c r="AB4738"/>
    </row>
    <row r="4739" spans="1:28" s="37" customFormat="1" x14ac:dyDescent="0.15">
      <c r="A4739" s="70"/>
      <c r="B4739" s="118"/>
      <c r="C4739" s="70"/>
      <c r="D4739" s="70"/>
      <c r="E4739" s="70"/>
      <c r="F4739" s="70"/>
      <c r="G4739" s="70"/>
      <c r="H4739" s="93"/>
      <c r="I4739" s="85"/>
      <c r="J4739" s="85"/>
      <c r="K4739" s="131"/>
      <c r="L4739" s="60"/>
      <c r="M4739" s="33"/>
      <c r="Q4739" s="3"/>
      <c r="R4739" s="3"/>
      <c r="S4739" s="3"/>
      <c r="T4739" s="3"/>
      <c r="U4739" s="3"/>
      <c r="V4739" s="3"/>
      <c r="W4739" s="3"/>
      <c r="X4739" s="3"/>
      <c r="Y4739" s="3"/>
      <c r="Z4739" s="4"/>
      <c r="AA4739"/>
      <c r="AB4739"/>
    </row>
    <row r="4740" spans="1:28" s="37" customFormat="1" x14ac:dyDescent="0.15">
      <c r="A4740" s="70"/>
      <c r="B4740" s="117"/>
      <c r="C4740" s="70"/>
      <c r="D4740" s="70"/>
      <c r="E4740" s="70"/>
      <c r="F4740" s="70"/>
      <c r="G4740" s="70"/>
      <c r="H4740" s="93"/>
      <c r="I4740" s="85"/>
      <c r="J4740" s="85"/>
      <c r="K4740" s="131"/>
      <c r="L4740" s="60"/>
      <c r="M4740" s="33"/>
      <c r="Q4740" s="3"/>
      <c r="R4740" s="3"/>
      <c r="S4740" s="3"/>
      <c r="T4740" s="3"/>
      <c r="U4740" s="3"/>
      <c r="V4740" s="3"/>
      <c r="W4740" s="3"/>
      <c r="X4740" s="3"/>
      <c r="Y4740" s="3"/>
      <c r="Z4740" s="4"/>
      <c r="AA4740"/>
      <c r="AB4740"/>
    </row>
    <row r="4741" spans="1:28" s="37" customFormat="1" x14ac:dyDescent="0.15">
      <c r="A4741" s="70"/>
      <c r="B4741" s="117"/>
      <c r="C4741" s="70"/>
      <c r="D4741" s="70"/>
      <c r="E4741" s="70"/>
      <c r="F4741" s="70"/>
      <c r="G4741" s="70"/>
      <c r="H4741" s="93"/>
      <c r="I4741" s="85"/>
      <c r="J4741" s="85"/>
      <c r="K4741" s="131"/>
      <c r="L4741" s="60"/>
      <c r="M4741" s="33"/>
      <c r="Q4741" s="3"/>
      <c r="R4741" s="3"/>
      <c r="S4741" s="3"/>
      <c r="T4741" s="3"/>
      <c r="U4741" s="3"/>
      <c r="V4741" s="3"/>
      <c r="W4741" s="3"/>
      <c r="X4741" s="3"/>
      <c r="Y4741" s="3"/>
      <c r="Z4741" s="4"/>
      <c r="AA4741"/>
      <c r="AB4741"/>
    </row>
    <row r="4742" spans="1:28" s="37" customFormat="1" x14ac:dyDescent="0.15">
      <c r="A4742" s="70"/>
      <c r="B4742" s="117"/>
      <c r="C4742" s="70"/>
      <c r="D4742" s="70"/>
      <c r="E4742" s="70"/>
      <c r="F4742" s="70"/>
      <c r="G4742" s="70"/>
      <c r="H4742" s="93"/>
      <c r="I4742" s="85"/>
      <c r="J4742" s="85"/>
      <c r="K4742" s="131"/>
      <c r="L4742" s="60"/>
      <c r="M4742" s="33"/>
      <c r="Q4742" s="3"/>
      <c r="R4742" s="3"/>
      <c r="S4742" s="3"/>
      <c r="T4742" s="3"/>
      <c r="U4742" s="3"/>
      <c r="V4742" s="3"/>
      <c r="W4742" s="3"/>
      <c r="X4742" s="3"/>
      <c r="Y4742" s="3"/>
      <c r="Z4742" s="4"/>
      <c r="AA4742"/>
      <c r="AB4742"/>
    </row>
    <row r="4743" spans="1:28" s="37" customFormat="1" x14ac:dyDescent="0.15">
      <c r="A4743" s="70"/>
      <c r="B4743" s="117"/>
      <c r="C4743" s="70"/>
      <c r="D4743" s="70"/>
      <c r="E4743" s="70"/>
      <c r="F4743" s="70"/>
      <c r="G4743" s="70"/>
      <c r="H4743" s="93"/>
      <c r="I4743" s="85"/>
      <c r="J4743" s="85"/>
      <c r="K4743" s="131"/>
      <c r="L4743" s="60"/>
      <c r="M4743" s="33"/>
      <c r="Q4743" s="3"/>
      <c r="R4743" s="3"/>
      <c r="S4743" s="3"/>
      <c r="T4743" s="3"/>
      <c r="U4743" s="3"/>
      <c r="V4743" s="3"/>
      <c r="W4743" s="3"/>
      <c r="X4743" s="3"/>
      <c r="Y4743" s="3"/>
      <c r="Z4743" s="4"/>
      <c r="AA4743"/>
      <c r="AB4743"/>
    </row>
    <row r="4744" spans="1:28" s="37" customFormat="1" x14ac:dyDescent="0.15">
      <c r="A4744" s="70"/>
      <c r="B4744" s="117"/>
      <c r="C4744" s="70"/>
      <c r="D4744" s="70"/>
      <c r="E4744" s="70"/>
      <c r="F4744" s="70"/>
      <c r="G4744" s="70"/>
      <c r="H4744" s="93"/>
      <c r="I4744" s="85"/>
      <c r="J4744" s="85"/>
      <c r="K4744" s="131"/>
      <c r="L4744" s="60"/>
      <c r="M4744" s="33"/>
      <c r="Q4744" s="3"/>
      <c r="R4744" s="3"/>
      <c r="S4744" s="3"/>
      <c r="T4744" s="3"/>
      <c r="U4744" s="3"/>
      <c r="V4744" s="3"/>
      <c r="W4744" s="3"/>
      <c r="X4744" s="3"/>
      <c r="Y4744" s="3"/>
      <c r="Z4744" s="4"/>
      <c r="AA4744"/>
      <c r="AB4744"/>
    </row>
    <row r="4745" spans="1:28" s="37" customFormat="1" x14ac:dyDescent="0.15">
      <c r="A4745" s="70"/>
      <c r="B4745" s="117"/>
      <c r="C4745" s="70"/>
      <c r="D4745" s="70"/>
      <c r="E4745" s="70"/>
      <c r="F4745" s="70"/>
      <c r="G4745" s="70"/>
      <c r="H4745" s="93"/>
      <c r="I4745" s="85"/>
      <c r="J4745" s="85"/>
      <c r="K4745" s="131"/>
      <c r="L4745" s="60"/>
      <c r="M4745" s="33"/>
      <c r="Q4745" s="3"/>
      <c r="R4745" s="3"/>
      <c r="S4745" s="3"/>
      <c r="T4745" s="3"/>
      <c r="U4745" s="3"/>
      <c r="V4745" s="3"/>
      <c r="W4745" s="3"/>
      <c r="X4745" s="3"/>
      <c r="Y4745" s="3"/>
      <c r="Z4745" s="4"/>
      <c r="AA4745"/>
      <c r="AB4745"/>
    </row>
    <row r="4746" spans="1:28" s="37" customFormat="1" x14ac:dyDescent="0.15">
      <c r="A4746" s="70"/>
      <c r="B4746" s="117"/>
      <c r="C4746" s="70"/>
      <c r="D4746" s="70"/>
      <c r="E4746" s="73"/>
      <c r="F4746" s="70"/>
      <c r="G4746" s="70"/>
      <c r="H4746" s="93"/>
      <c r="I4746" s="85"/>
      <c r="J4746" s="85"/>
      <c r="K4746" s="131"/>
      <c r="L4746" s="60"/>
      <c r="M4746" s="33"/>
      <c r="Q4746" s="3"/>
      <c r="R4746" s="3"/>
      <c r="S4746" s="3"/>
      <c r="T4746" s="3"/>
      <c r="U4746" s="3"/>
      <c r="V4746" s="3"/>
      <c r="W4746" s="3"/>
      <c r="X4746" s="3"/>
      <c r="Y4746" s="3"/>
      <c r="Z4746" s="4"/>
      <c r="AA4746"/>
      <c r="AB4746"/>
    </row>
    <row r="4747" spans="1:28" s="37" customFormat="1" x14ac:dyDescent="0.15">
      <c r="A4747" s="70"/>
      <c r="B4747" s="117"/>
      <c r="C4747" s="70"/>
      <c r="D4747" s="70"/>
      <c r="E4747" s="70"/>
      <c r="F4747" s="70"/>
      <c r="G4747" s="70"/>
      <c r="H4747" s="93"/>
      <c r="I4747" s="85"/>
      <c r="J4747" s="85"/>
      <c r="K4747" s="131"/>
      <c r="L4747" s="60"/>
      <c r="M4747" s="33"/>
      <c r="Q4747" s="3"/>
      <c r="R4747" s="3"/>
      <c r="S4747" s="3"/>
      <c r="T4747" s="3"/>
      <c r="U4747" s="3"/>
      <c r="V4747" s="3"/>
      <c r="W4747" s="3"/>
      <c r="X4747" s="3"/>
      <c r="Y4747" s="3"/>
      <c r="Z4747" s="4"/>
      <c r="AA4747"/>
      <c r="AB4747"/>
    </row>
    <row r="4748" spans="1:28" s="37" customFormat="1" x14ac:dyDescent="0.15">
      <c r="A4748" s="70"/>
      <c r="B4748" s="117"/>
      <c r="C4748" s="70"/>
      <c r="D4748" s="70"/>
      <c r="E4748" s="70"/>
      <c r="F4748" s="70"/>
      <c r="G4748" s="70"/>
      <c r="H4748" s="93"/>
      <c r="I4748" s="85"/>
      <c r="J4748" s="85"/>
      <c r="K4748" s="131"/>
      <c r="L4748" s="60"/>
      <c r="M4748" s="33"/>
      <c r="Q4748" s="3"/>
      <c r="R4748" s="3"/>
      <c r="S4748" s="3"/>
      <c r="T4748" s="3"/>
      <c r="U4748" s="3"/>
      <c r="V4748" s="3"/>
      <c r="W4748" s="3"/>
      <c r="X4748" s="3"/>
      <c r="Y4748" s="3"/>
      <c r="Z4748" s="4"/>
      <c r="AA4748"/>
      <c r="AB4748"/>
    </row>
    <row r="4749" spans="1:28" s="37" customFormat="1" x14ac:dyDescent="0.15">
      <c r="A4749" s="70"/>
      <c r="B4749" s="117"/>
      <c r="C4749" s="70"/>
      <c r="D4749" s="70"/>
      <c r="E4749" s="70"/>
      <c r="F4749" s="70"/>
      <c r="G4749" s="70"/>
      <c r="H4749" s="93"/>
      <c r="I4749" s="85"/>
      <c r="J4749" s="85"/>
      <c r="K4749" s="131"/>
      <c r="L4749" s="60"/>
      <c r="M4749" s="33"/>
      <c r="Q4749" s="3"/>
      <c r="R4749" s="3"/>
      <c r="S4749" s="3"/>
      <c r="T4749" s="3"/>
      <c r="U4749" s="3"/>
      <c r="V4749" s="3"/>
      <c r="W4749" s="3"/>
      <c r="X4749" s="3"/>
      <c r="Y4749" s="3"/>
      <c r="Z4749" s="4"/>
      <c r="AA4749"/>
      <c r="AB4749"/>
    </row>
    <row r="4750" spans="1:28" s="37" customFormat="1" ht="16" x14ac:dyDescent="0.2">
      <c r="A4750" s="70"/>
      <c r="B4750" s="117"/>
      <c r="C4750" s="70"/>
      <c r="D4750" s="70"/>
      <c r="E4750" s="70"/>
      <c r="F4750" s="70"/>
      <c r="G4750" s="70"/>
      <c r="H4750" s="93"/>
      <c r="I4750" s="85"/>
      <c r="J4750" s="85"/>
      <c r="K4750" s="131"/>
      <c r="L4750" s="60"/>
      <c r="M4750" s="47"/>
      <c r="Q4750" s="3"/>
      <c r="R4750" s="3"/>
      <c r="S4750" s="3"/>
      <c r="T4750" s="3"/>
      <c r="U4750" s="3"/>
      <c r="V4750" s="3"/>
      <c r="W4750" s="3"/>
      <c r="X4750" s="3"/>
      <c r="Y4750" s="3"/>
      <c r="Z4750" s="4"/>
      <c r="AA4750"/>
      <c r="AB4750"/>
    </row>
    <row r="4751" spans="1:28" s="37" customFormat="1" x14ac:dyDescent="0.15">
      <c r="A4751" s="70"/>
      <c r="B4751" s="118"/>
      <c r="C4751" s="70"/>
      <c r="D4751" s="70"/>
      <c r="E4751" s="70"/>
      <c r="F4751" s="70"/>
      <c r="G4751" s="70"/>
      <c r="H4751" s="93"/>
      <c r="I4751" s="85"/>
      <c r="J4751" s="85"/>
      <c r="K4751" s="131"/>
      <c r="L4751" s="60"/>
      <c r="M4751" s="33"/>
      <c r="Q4751" s="3"/>
      <c r="R4751" s="3"/>
      <c r="S4751" s="3"/>
      <c r="T4751" s="3"/>
      <c r="U4751" s="3"/>
      <c r="V4751" s="3"/>
      <c r="W4751" s="3"/>
      <c r="X4751" s="3"/>
      <c r="Y4751" s="3"/>
      <c r="Z4751" s="4"/>
      <c r="AA4751"/>
      <c r="AB4751"/>
    </row>
    <row r="4752" spans="1:28" s="37" customFormat="1" x14ac:dyDescent="0.15">
      <c r="A4752" s="70"/>
      <c r="B4752" s="117"/>
      <c r="C4752" s="70"/>
      <c r="D4752" s="70"/>
      <c r="E4752" s="70"/>
      <c r="F4752" s="70"/>
      <c r="G4752" s="70"/>
      <c r="H4752" s="93"/>
      <c r="I4752" s="85"/>
      <c r="J4752" s="85"/>
      <c r="K4752" s="131"/>
      <c r="L4752" s="60"/>
      <c r="M4752" s="33"/>
      <c r="Q4752" s="3"/>
      <c r="R4752" s="3"/>
      <c r="S4752" s="3"/>
      <c r="T4752" s="3"/>
      <c r="U4752" s="3"/>
      <c r="V4752" s="3"/>
      <c r="W4752" s="3"/>
      <c r="X4752" s="3"/>
      <c r="Y4752" s="3"/>
      <c r="Z4752" s="4"/>
      <c r="AA4752"/>
      <c r="AB4752"/>
    </row>
    <row r="4753" spans="1:28" s="37" customFormat="1" x14ac:dyDescent="0.15">
      <c r="A4753" s="70"/>
      <c r="B4753" s="117"/>
      <c r="C4753" s="70"/>
      <c r="D4753" s="70"/>
      <c r="E4753" s="70"/>
      <c r="F4753" s="70"/>
      <c r="G4753" s="70"/>
      <c r="H4753" s="93"/>
      <c r="I4753" s="85"/>
      <c r="J4753" s="85"/>
      <c r="K4753" s="131"/>
      <c r="L4753" s="70"/>
      <c r="M4753" s="33"/>
      <c r="Q4753" s="3"/>
      <c r="R4753" s="3"/>
      <c r="S4753" s="3"/>
      <c r="T4753" s="3"/>
      <c r="U4753" s="3"/>
      <c r="V4753" s="3"/>
      <c r="W4753" s="3"/>
      <c r="X4753" s="3"/>
      <c r="Y4753" s="3"/>
      <c r="Z4753" s="4"/>
      <c r="AA4753"/>
      <c r="AB4753"/>
    </row>
    <row r="4754" spans="1:28" s="37" customFormat="1" x14ac:dyDescent="0.15">
      <c r="A4754" s="70"/>
      <c r="B4754" s="117"/>
      <c r="C4754" s="70"/>
      <c r="D4754" s="70"/>
      <c r="E4754" s="70"/>
      <c r="F4754" s="70"/>
      <c r="G4754" s="70"/>
      <c r="H4754" s="93"/>
      <c r="I4754" s="85"/>
      <c r="J4754" s="85"/>
      <c r="K4754" s="131"/>
      <c r="L4754" s="60"/>
      <c r="M4754" s="33"/>
      <c r="Q4754" s="3"/>
      <c r="R4754" s="3"/>
      <c r="S4754" s="3"/>
      <c r="T4754" s="3"/>
      <c r="U4754" s="3"/>
      <c r="V4754" s="3"/>
      <c r="W4754" s="3"/>
      <c r="X4754" s="3"/>
      <c r="Y4754" s="3"/>
      <c r="Z4754" s="4"/>
      <c r="AA4754"/>
      <c r="AB4754"/>
    </row>
    <row r="4755" spans="1:28" s="37" customFormat="1" x14ac:dyDescent="0.15">
      <c r="A4755" s="70"/>
      <c r="B4755" s="117"/>
      <c r="C4755" s="70"/>
      <c r="D4755" s="70"/>
      <c r="E4755" s="70"/>
      <c r="F4755" s="70"/>
      <c r="G4755" s="70"/>
      <c r="H4755" s="93"/>
      <c r="I4755" s="85"/>
      <c r="J4755" s="85"/>
      <c r="K4755" s="131"/>
      <c r="L4755" s="60"/>
      <c r="M4755" s="33"/>
      <c r="Q4755" s="3"/>
      <c r="R4755" s="3"/>
      <c r="S4755" s="3"/>
      <c r="T4755" s="3"/>
      <c r="U4755" s="3"/>
      <c r="V4755" s="3"/>
      <c r="W4755" s="3"/>
      <c r="X4755" s="3"/>
      <c r="Y4755" s="3"/>
      <c r="Z4755" s="4"/>
      <c r="AA4755"/>
      <c r="AB4755"/>
    </row>
    <row r="4756" spans="1:28" s="37" customFormat="1" x14ac:dyDescent="0.15">
      <c r="A4756" s="70"/>
      <c r="B4756" s="117"/>
      <c r="C4756" s="70"/>
      <c r="D4756" s="70"/>
      <c r="E4756" s="70"/>
      <c r="F4756" s="70"/>
      <c r="G4756" s="70"/>
      <c r="H4756" s="93"/>
      <c r="I4756" s="85"/>
      <c r="J4756" s="85"/>
      <c r="K4756" s="131"/>
      <c r="L4756" s="60"/>
      <c r="M4756" s="33"/>
      <c r="Q4756" s="3"/>
      <c r="R4756" s="3"/>
      <c r="S4756" s="3"/>
      <c r="T4756" s="3"/>
      <c r="U4756" s="3"/>
      <c r="V4756" s="3"/>
      <c r="W4756" s="3"/>
      <c r="X4756" s="3"/>
      <c r="Y4756" s="3"/>
      <c r="Z4756" s="4"/>
      <c r="AA4756"/>
      <c r="AB4756"/>
    </row>
    <row r="4757" spans="1:28" s="37" customFormat="1" x14ac:dyDescent="0.15">
      <c r="A4757" s="70"/>
      <c r="B4757" s="117"/>
      <c r="C4757" s="70"/>
      <c r="D4757" s="70"/>
      <c r="E4757" s="70"/>
      <c r="F4757" s="70"/>
      <c r="G4757" s="70"/>
      <c r="H4757" s="93"/>
      <c r="I4757" s="85"/>
      <c r="J4757" s="85"/>
      <c r="K4757" s="131"/>
      <c r="L4757" s="60"/>
      <c r="M4757" s="33"/>
      <c r="Q4757" s="3"/>
      <c r="R4757" s="3"/>
      <c r="S4757" s="3"/>
      <c r="T4757" s="3"/>
      <c r="U4757" s="3"/>
      <c r="V4757" s="3"/>
      <c r="W4757" s="3"/>
      <c r="X4757" s="3"/>
      <c r="Y4757" s="3"/>
      <c r="Z4757" s="4"/>
      <c r="AA4757"/>
      <c r="AB4757"/>
    </row>
    <row r="4758" spans="1:28" s="37" customFormat="1" ht="16" x14ac:dyDescent="0.2">
      <c r="A4758" s="70"/>
      <c r="B4758" s="117"/>
      <c r="C4758" s="70"/>
      <c r="D4758" s="70"/>
      <c r="E4758" s="70"/>
      <c r="F4758" s="70"/>
      <c r="G4758" s="70"/>
      <c r="H4758" s="93"/>
      <c r="I4758" s="85"/>
      <c r="J4758" s="85"/>
      <c r="K4758" s="131"/>
      <c r="L4758" s="60"/>
      <c r="M4758" s="33"/>
      <c r="N4758" s="48"/>
      <c r="Q4758" s="3"/>
      <c r="R4758" s="3"/>
      <c r="S4758" s="3"/>
      <c r="T4758" s="3"/>
      <c r="U4758" s="3"/>
      <c r="V4758" s="3"/>
      <c r="W4758" s="3"/>
      <c r="X4758" s="3"/>
      <c r="Y4758" s="3"/>
      <c r="Z4758" s="4"/>
      <c r="AA4758"/>
      <c r="AB4758"/>
    </row>
    <row r="4759" spans="1:28" s="37" customFormat="1" x14ac:dyDescent="0.15">
      <c r="A4759" s="70"/>
      <c r="B4759" s="117"/>
      <c r="C4759" s="70"/>
      <c r="D4759" s="70"/>
      <c r="E4759" s="70"/>
      <c r="F4759" s="70"/>
      <c r="G4759" s="70"/>
      <c r="H4759" s="93"/>
      <c r="I4759" s="85"/>
      <c r="J4759" s="85"/>
      <c r="K4759" s="131"/>
      <c r="L4759" s="60"/>
      <c r="M4759" s="33"/>
      <c r="Q4759" s="3"/>
      <c r="R4759" s="3"/>
      <c r="S4759" s="3"/>
      <c r="T4759" s="3"/>
      <c r="U4759" s="3"/>
      <c r="V4759" s="3"/>
      <c r="W4759" s="3"/>
      <c r="X4759" s="3"/>
      <c r="Y4759" s="3"/>
      <c r="Z4759" s="4"/>
      <c r="AA4759"/>
      <c r="AB4759"/>
    </row>
    <row r="4760" spans="1:28" s="37" customFormat="1" x14ac:dyDescent="0.15">
      <c r="A4760" s="83"/>
      <c r="B4760" s="117"/>
      <c r="C4760" s="70"/>
      <c r="D4760" s="70"/>
      <c r="E4760" s="70"/>
      <c r="F4760" s="70"/>
      <c r="G4760" s="70"/>
      <c r="H4760" s="93"/>
      <c r="I4760" s="85"/>
      <c r="J4760" s="85"/>
      <c r="K4760" s="131"/>
      <c r="L4760" s="60"/>
      <c r="M4760" s="33"/>
      <c r="Q4760" s="3"/>
      <c r="R4760" s="3"/>
      <c r="S4760" s="3"/>
      <c r="T4760" s="3"/>
      <c r="U4760" s="3"/>
      <c r="V4760" s="3"/>
      <c r="W4760" s="3"/>
      <c r="X4760" s="3"/>
      <c r="Y4760" s="3"/>
      <c r="Z4760" s="4"/>
      <c r="AA4760"/>
      <c r="AB4760"/>
    </row>
    <row r="4761" spans="1:28" s="37" customFormat="1" x14ac:dyDescent="0.15">
      <c r="A4761" s="70"/>
      <c r="B4761" s="117"/>
      <c r="C4761" s="70"/>
      <c r="D4761" s="70"/>
      <c r="E4761" s="70"/>
      <c r="F4761" s="70"/>
      <c r="G4761" s="70"/>
      <c r="H4761" s="93"/>
      <c r="I4761" s="85"/>
      <c r="J4761" s="85"/>
      <c r="K4761" s="131"/>
      <c r="L4761" s="60"/>
      <c r="M4761" s="33"/>
      <c r="Q4761" s="3"/>
      <c r="R4761" s="3"/>
      <c r="S4761" s="3"/>
      <c r="T4761" s="3"/>
      <c r="U4761" s="3"/>
      <c r="V4761" s="3"/>
      <c r="W4761" s="3"/>
      <c r="X4761" s="3"/>
      <c r="Y4761" s="3"/>
      <c r="Z4761" s="4"/>
      <c r="AA4761"/>
      <c r="AB4761"/>
    </row>
    <row r="4762" spans="1:28" s="37" customFormat="1" x14ac:dyDescent="0.15">
      <c r="A4762" s="70"/>
      <c r="B4762" s="117"/>
      <c r="C4762" s="70"/>
      <c r="D4762" s="70"/>
      <c r="E4762" s="70"/>
      <c r="F4762" s="70"/>
      <c r="G4762" s="70"/>
      <c r="H4762" s="93"/>
      <c r="I4762" s="85"/>
      <c r="J4762" s="85"/>
      <c r="K4762" s="131"/>
      <c r="L4762" s="60"/>
      <c r="M4762" s="33"/>
      <c r="Q4762" s="3"/>
      <c r="R4762" s="3"/>
      <c r="S4762" s="3"/>
      <c r="T4762" s="3"/>
      <c r="U4762" s="3"/>
      <c r="V4762" s="3"/>
      <c r="W4762" s="3"/>
      <c r="X4762" s="3"/>
      <c r="Y4762" s="3"/>
      <c r="Z4762" s="4"/>
      <c r="AA4762"/>
      <c r="AB4762"/>
    </row>
    <row r="4763" spans="1:28" s="37" customFormat="1" x14ac:dyDescent="0.15">
      <c r="A4763" s="70"/>
      <c r="B4763" s="117"/>
      <c r="C4763" s="70"/>
      <c r="D4763" s="70"/>
      <c r="E4763" s="70"/>
      <c r="F4763" s="70"/>
      <c r="G4763" s="70"/>
      <c r="H4763" s="93"/>
      <c r="I4763" s="85"/>
      <c r="J4763" s="85"/>
      <c r="K4763" s="131"/>
      <c r="L4763" s="60"/>
      <c r="M4763" s="33"/>
      <c r="Q4763" s="3"/>
      <c r="R4763" s="3"/>
      <c r="S4763" s="3"/>
      <c r="T4763" s="3"/>
      <c r="U4763" s="3"/>
      <c r="V4763" s="3"/>
      <c r="W4763" s="3"/>
      <c r="X4763" s="3"/>
      <c r="Y4763" s="3"/>
      <c r="Z4763" s="4"/>
      <c r="AA4763"/>
      <c r="AB4763"/>
    </row>
    <row r="4764" spans="1:28" s="37" customFormat="1" x14ac:dyDescent="0.15">
      <c r="A4764" s="70"/>
      <c r="B4764" s="117"/>
      <c r="C4764" s="70"/>
      <c r="D4764" s="70"/>
      <c r="E4764" s="70"/>
      <c r="F4764" s="70"/>
      <c r="G4764" s="70"/>
      <c r="H4764" s="93"/>
      <c r="I4764" s="85"/>
      <c r="J4764" s="85"/>
      <c r="K4764" s="131"/>
      <c r="L4764" s="60"/>
      <c r="M4764" s="33"/>
      <c r="Q4764" s="3"/>
      <c r="R4764" s="3"/>
      <c r="S4764" s="3"/>
      <c r="T4764" s="3"/>
      <c r="U4764" s="3"/>
      <c r="V4764" s="3"/>
      <c r="W4764" s="3"/>
      <c r="X4764" s="3"/>
      <c r="Y4764" s="3"/>
      <c r="Z4764" s="4"/>
      <c r="AA4764"/>
      <c r="AB4764"/>
    </row>
    <row r="4765" spans="1:28" s="37" customFormat="1" x14ac:dyDescent="0.15">
      <c r="A4765" s="70"/>
      <c r="B4765" s="117"/>
      <c r="C4765" s="70"/>
      <c r="D4765" s="70"/>
      <c r="E4765" s="70"/>
      <c r="F4765" s="70"/>
      <c r="G4765" s="70"/>
      <c r="H4765" s="93"/>
      <c r="I4765" s="85"/>
      <c r="J4765" s="85"/>
      <c r="K4765" s="131"/>
      <c r="L4765" s="60"/>
      <c r="M4765" s="33"/>
      <c r="N4765" s="35"/>
      <c r="Q4765" s="3"/>
      <c r="R4765" s="3"/>
      <c r="S4765" s="3"/>
      <c r="T4765" s="3"/>
      <c r="U4765" s="3"/>
      <c r="V4765" s="3"/>
      <c r="W4765" s="3"/>
      <c r="X4765" s="3"/>
      <c r="Y4765" s="3"/>
      <c r="Z4765" s="4"/>
      <c r="AA4765"/>
      <c r="AB4765"/>
    </row>
    <row r="4766" spans="1:28" s="37" customFormat="1" x14ac:dyDescent="0.15">
      <c r="A4766" s="70"/>
      <c r="B4766" s="117"/>
      <c r="C4766" s="70"/>
      <c r="D4766" s="70"/>
      <c r="E4766" s="70"/>
      <c r="F4766" s="70"/>
      <c r="G4766" s="70"/>
      <c r="H4766" s="93"/>
      <c r="I4766" s="85"/>
      <c r="J4766" s="85"/>
      <c r="K4766" s="131"/>
      <c r="L4766" s="60"/>
      <c r="M4766" s="33"/>
      <c r="Q4766" s="3"/>
      <c r="R4766" s="3"/>
      <c r="S4766" s="3"/>
      <c r="T4766" s="3"/>
      <c r="U4766" s="3"/>
      <c r="V4766" s="3"/>
      <c r="W4766" s="3"/>
      <c r="X4766" s="3"/>
      <c r="Y4766" s="3"/>
      <c r="Z4766" s="4"/>
      <c r="AA4766"/>
      <c r="AB4766"/>
    </row>
    <row r="4767" spans="1:28" s="37" customFormat="1" x14ac:dyDescent="0.15">
      <c r="A4767" s="70"/>
      <c r="B4767" s="117"/>
      <c r="C4767" s="70"/>
      <c r="D4767" s="70"/>
      <c r="E4767" s="70"/>
      <c r="F4767" s="70"/>
      <c r="G4767" s="70"/>
      <c r="H4767" s="93"/>
      <c r="I4767" s="85"/>
      <c r="J4767" s="85"/>
      <c r="K4767" s="131"/>
      <c r="L4767" s="67"/>
      <c r="M4767" s="33"/>
      <c r="Q4767" s="3"/>
      <c r="R4767" s="3"/>
      <c r="S4767" s="3"/>
      <c r="T4767" s="3"/>
      <c r="U4767" s="3"/>
      <c r="V4767" s="3"/>
      <c r="W4767" s="3"/>
      <c r="X4767" s="3"/>
      <c r="Y4767" s="3"/>
      <c r="Z4767" s="4"/>
      <c r="AA4767"/>
      <c r="AB4767"/>
    </row>
    <row r="4768" spans="1:28" s="37" customFormat="1" x14ac:dyDescent="0.15">
      <c r="A4768" s="70"/>
      <c r="B4768" s="117"/>
      <c r="C4768" s="70"/>
      <c r="D4768" s="70"/>
      <c r="E4768" s="70"/>
      <c r="F4768" s="70"/>
      <c r="G4768" s="70"/>
      <c r="H4768" s="93"/>
      <c r="I4768" s="85"/>
      <c r="J4768" s="85"/>
      <c r="K4768" s="131"/>
      <c r="L4768" s="60"/>
      <c r="M4768" s="33"/>
      <c r="Q4768" s="3"/>
      <c r="R4768" s="3"/>
      <c r="S4768" s="3"/>
      <c r="T4768" s="3"/>
      <c r="U4768" s="3"/>
      <c r="V4768" s="3"/>
      <c r="W4768" s="3"/>
      <c r="X4768" s="3"/>
      <c r="Y4768" s="3"/>
      <c r="Z4768" s="4"/>
      <c r="AA4768"/>
      <c r="AB4768"/>
    </row>
    <row r="4769" spans="1:28" s="37" customFormat="1" ht="16" x14ac:dyDescent="0.2">
      <c r="A4769" s="70"/>
      <c r="B4769" s="117"/>
      <c r="C4769" s="70"/>
      <c r="D4769" s="70"/>
      <c r="E4769" s="70"/>
      <c r="F4769" s="70"/>
      <c r="G4769" s="70"/>
      <c r="H4769" s="93"/>
      <c r="I4769" s="85"/>
      <c r="J4769" s="85"/>
      <c r="K4769" s="131"/>
      <c r="L4769" s="60"/>
      <c r="M4769" s="47"/>
      <c r="Q4769" s="3"/>
      <c r="R4769" s="3"/>
      <c r="S4769" s="3"/>
      <c r="T4769" s="3"/>
      <c r="U4769" s="3"/>
      <c r="V4769" s="3"/>
      <c r="W4769" s="3"/>
      <c r="X4769" s="3"/>
      <c r="Y4769" s="3"/>
      <c r="Z4769" s="4"/>
      <c r="AA4769"/>
      <c r="AB4769"/>
    </row>
    <row r="4770" spans="1:28" s="37" customFormat="1" x14ac:dyDescent="0.15">
      <c r="A4770" s="70"/>
      <c r="B4770" s="118"/>
      <c r="C4770" s="70"/>
      <c r="D4770" s="70"/>
      <c r="E4770" s="70"/>
      <c r="F4770" s="70"/>
      <c r="G4770" s="70"/>
      <c r="H4770" s="93"/>
      <c r="I4770" s="85"/>
      <c r="J4770" s="85"/>
      <c r="K4770" s="131"/>
      <c r="L4770" s="60"/>
      <c r="M4770" s="33"/>
      <c r="Q4770" s="3"/>
      <c r="R4770" s="3"/>
      <c r="S4770" s="3"/>
      <c r="T4770" s="3"/>
      <c r="U4770" s="3"/>
      <c r="V4770" s="3"/>
      <c r="W4770" s="3"/>
      <c r="X4770" s="3"/>
      <c r="Y4770" s="3"/>
      <c r="Z4770" s="4"/>
      <c r="AA4770"/>
      <c r="AB4770"/>
    </row>
    <row r="4771" spans="1:28" s="37" customFormat="1" ht="16" x14ac:dyDescent="0.2">
      <c r="A4771" s="70"/>
      <c r="B4771" s="117"/>
      <c r="C4771" s="70"/>
      <c r="D4771" s="70"/>
      <c r="E4771" s="70"/>
      <c r="F4771" s="70"/>
      <c r="G4771" s="70"/>
      <c r="H4771" s="93"/>
      <c r="I4771" s="85"/>
      <c r="J4771" s="85"/>
      <c r="K4771" s="131"/>
      <c r="L4771" s="60"/>
      <c r="M4771" s="47"/>
      <c r="Q4771" s="3"/>
      <c r="R4771" s="3"/>
      <c r="S4771" s="3"/>
      <c r="T4771" s="3"/>
      <c r="U4771" s="3"/>
      <c r="V4771" s="3"/>
      <c r="W4771" s="3"/>
      <c r="X4771" s="3"/>
      <c r="Y4771" s="3"/>
      <c r="Z4771" s="4"/>
      <c r="AA4771"/>
      <c r="AB4771"/>
    </row>
    <row r="4772" spans="1:28" s="37" customFormat="1" x14ac:dyDescent="0.15">
      <c r="A4772" s="70"/>
      <c r="B4772" s="117"/>
      <c r="C4772" s="70"/>
      <c r="D4772" s="70"/>
      <c r="E4772" s="70"/>
      <c r="F4772" s="70"/>
      <c r="G4772" s="70"/>
      <c r="H4772" s="93"/>
      <c r="I4772" s="85"/>
      <c r="J4772" s="85"/>
      <c r="K4772" s="131"/>
      <c r="L4772" s="60"/>
      <c r="M4772" s="33"/>
      <c r="Q4772" s="3"/>
      <c r="R4772" s="3"/>
      <c r="S4772" s="3"/>
      <c r="T4772" s="3"/>
      <c r="U4772" s="3"/>
      <c r="V4772" s="3"/>
      <c r="W4772" s="3"/>
      <c r="X4772" s="3"/>
      <c r="Y4772" s="3"/>
      <c r="Z4772" s="4"/>
      <c r="AA4772"/>
      <c r="AB4772"/>
    </row>
    <row r="4773" spans="1:28" s="37" customFormat="1" x14ac:dyDescent="0.15">
      <c r="A4773" s="70"/>
      <c r="B4773" s="117"/>
      <c r="C4773" s="70"/>
      <c r="D4773" s="70"/>
      <c r="E4773" s="70"/>
      <c r="F4773" s="70"/>
      <c r="G4773" s="70"/>
      <c r="H4773" s="93"/>
      <c r="I4773" s="85"/>
      <c r="J4773" s="85"/>
      <c r="K4773" s="131"/>
      <c r="L4773" s="60"/>
      <c r="M4773" s="33"/>
      <c r="Q4773" s="3"/>
      <c r="R4773" s="3"/>
      <c r="S4773" s="3"/>
      <c r="T4773" s="3"/>
      <c r="U4773" s="3"/>
      <c r="V4773" s="3"/>
      <c r="W4773" s="3"/>
      <c r="X4773" s="3"/>
      <c r="Y4773" s="3"/>
      <c r="Z4773" s="4"/>
      <c r="AA4773"/>
      <c r="AB4773"/>
    </row>
    <row r="4774" spans="1:28" s="37" customFormat="1" x14ac:dyDescent="0.15">
      <c r="A4774" s="70"/>
      <c r="B4774" s="117"/>
      <c r="C4774" s="70"/>
      <c r="D4774" s="70"/>
      <c r="E4774" s="70"/>
      <c r="F4774" s="70"/>
      <c r="G4774" s="70"/>
      <c r="H4774" s="93"/>
      <c r="I4774" s="85"/>
      <c r="J4774" s="85"/>
      <c r="K4774" s="131"/>
      <c r="L4774" s="60"/>
      <c r="M4774" s="33"/>
      <c r="Q4774" s="3"/>
      <c r="R4774" s="3"/>
      <c r="S4774" s="3"/>
      <c r="T4774" s="3"/>
      <c r="U4774" s="3"/>
      <c r="V4774" s="3"/>
      <c r="W4774" s="3"/>
      <c r="X4774" s="3"/>
      <c r="Y4774" s="3"/>
      <c r="Z4774" s="4"/>
      <c r="AA4774"/>
      <c r="AB4774"/>
    </row>
    <row r="4775" spans="1:28" s="37" customFormat="1" x14ac:dyDescent="0.15">
      <c r="A4775" s="70"/>
      <c r="B4775" s="117"/>
      <c r="C4775" s="70"/>
      <c r="D4775" s="70"/>
      <c r="E4775" s="70"/>
      <c r="F4775" s="70"/>
      <c r="G4775" s="70"/>
      <c r="H4775" s="93"/>
      <c r="I4775" s="85"/>
      <c r="J4775" s="85"/>
      <c r="K4775" s="131"/>
      <c r="L4775" s="60"/>
      <c r="M4775" s="33"/>
      <c r="Q4775" s="3"/>
      <c r="R4775" s="3"/>
      <c r="S4775" s="3"/>
      <c r="T4775" s="3"/>
      <c r="U4775" s="3"/>
      <c r="V4775" s="3"/>
      <c r="W4775" s="3"/>
      <c r="X4775" s="3"/>
      <c r="Y4775" s="3"/>
      <c r="Z4775" s="4"/>
      <c r="AA4775"/>
      <c r="AB4775"/>
    </row>
    <row r="4776" spans="1:28" s="37" customFormat="1" x14ac:dyDescent="0.15">
      <c r="A4776" s="70"/>
      <c r="B4776" s="118"/>
      <c r="C4776" s="70"/>
      <c r="D4776" s="70"/>
      <c r="E4776" s="70"/>
      <c r="F4776" s="70"/>
      <c r="G4776" s="70"/>
      <c r="H4776" s="93"/>
      <c r="I4776" s="85"/>
      <c r="J4776" s="85"/>
      <c r="K4776" s="131"/>
      <c r="L4776" s="60"/>
      <c r="M4776" s="33"/>
      <c r="Q4776" s="3"/>
      <c r="R4776" s="3"/>
      <c r="S4776" s="3"/>
      <c r="T4776" s="3"/>
      <c r="U4776" s="3"/>
      <c r="V4776" s="3"/>
      <c r="W4776" s="3"/>
      <c r="X4776" s="3"/>
      <c r="Y4776" s="3"/>
      <c r="Z4776" s="4"/>
      <c r="AA4776"/>
      <c r="AB4776"/>
    </row>
    <row r="4777" spans="1:28" s="37" customFormat="1" ht="16" x14ac:dyDescent="0.2">
      <c r="A4777" s="70"/>
      <c r="B4777" s="117"/>
      <c r="C4777" s="70"/>
      <c r="D4777" s="70"/>
      <c r="E4777" s="70"/>
      <c r="F4777" s="70"/>
      <c r="G4777" s="70"/>
      <c r="H4777" s="93"/>
      <c r="I4777" s="85"/>
      <c r="J4777" s="85"/>
      <c r="K4777" s="131"/>
      <c r="L4777" s="60"/>
      <c r="M4777" s="47"/>
      <c r="Q4777" s="3"/>
      <c r="R4777" s="3"/>
      <c r="S4777" s="3"/>
      <c r="T4777" s="3"/>
      <c r="U4777" s="3"/>
      <c r="V4777" s="3"/>
      <c r="W4777" s="3"/>
      <c r="X4777" s="3"/>
      <c r="Y4777" s="3"/>
      <c r="Z4777" s="4"/>
      <c r="AA4777"/>
      <c r="AB4777"/>
    </row>
    <row r="4778" spans="1:28" s="37" customFormat="1" x14ac:dyDescent="0.15">
      <c r="A4778" s="70"/>
      <c r="B4778" s="117"/>
      <c r="C4778" s="70"/>
      <c r="D4778" s="70"/>
      <c r="E4778" s="70"/>
      <c r="F4778" s="70"/>
      <c r="G4778" s="70"/>
      <c r="H4778" s="93"/>
      <c r="I4778" s="85"/>
      <c r="J4778" s="85"/>
      <c r="K4778" s="131"/>
      <c r="L4778" s="60"/>
      <c r="M4778" s="33"/>
      <c r="Q4778" s="3"/>
      <c r="R4778" s="3"/>
      <c r="S4778" s="3"/>
      <c r="T4778" s="3"/>
      <c r="U4778" s="3"/>
      <c r="V4778" s="3"/>
      <c r="W4778" s="3"/>
      <c r="X4778" s="3"/>
      <c r="Y4778" s="3"/>
      <c r="Z4778" s="4"/>
      <c r="AA4778"/>
      <c r="AB4778"/>
    </row>
    <row r="4779" spans="1:28" s="37" customFormat="1" ht="16" x14ac:dyDescent="0.2">
      <c r="A4779" s="70"/>
      <c r="B4779" s="117"/>
      <c r="C4779" s="70"/>
      <c r="D4779" s="70"/>
      <c r="E4779" s="70"/>
      <c r="F4779" s="70"/>
      <c r="G4779" s="70"/>
      <c r="H4779" s="93"/>
      <c r="I4779" s="85"/>
      <c r="J4779" s="85"/>
      <c r="K4779" s="131"/>
      <c r="L4779" s="60"/>
      <c r="M4779" s="33"/>
      <c r="N4779" s="48"/>
      <c r="Q4779" s="3"/>
      <c r="R4779" s="3"/>
      <c r="S4779" s="3"/>
      <c r="T4779" s="3"/>
      <c r="U4779" s="3"/>
      <c r="V4779" s="3"/>
      <c r="W4779" s="3"/>
      <c r="X4779" s="3"/>
      <c r="Y4779" s="3"/>
      <c r="Z4779" s="4"/>
      <c r="AA4779"/>
      <c r="AB4779"/>
    </row>
    <row r="4780" spans="1:28" s="37" customFormat="1" x14ac:dyDescent="0.15">
      <c r="A4780" s="70"/>
      <c r="B4780" s="117"/>
      <c r="C4780" s="70"/>
      <c r="D4780" s="70"/>
      <c r="E4780" s="70"/>
      <c r="F4780" s="70"/>
      <c r="G4780" s="70"/>
      <c r="H4780" s="93"/>
      <c r="I4780" s="85"/>
      <c r="J4780" s="85"/>
      <c r="K4780" s="131"/>
      <c r="L4780" s="60"/>
      <c r="M4780" s="33"/>
      <c r="Q4780" s="3"/>
      <c r="R4780" s="3"/>
      <c r="S4780" s="3"/>
      <c r="T4780" s="3"/>
      <c r="U4780" s="3"/>
      <c r="V4780" s="3"/>
      <c r="W4780" s="3"/>
      <c r="X4780" s="3"/>
      <c r="Y4780" s="3"/>
      <c r="Z4780" s="4"/>
      <c r="AA4780"/>
      <c r="AB4780"/>
    </row>
    <row r="4781" spans="1:28" s="37" customFormat="1" x14ac:dyDescent="0.15">
      <c r="A4781" s="70"/>
      <c r="B4781" s="117"/>
      <c r="C4781" s="70"/>
      <c r="D4781" s="70"/>
      <c r="E4781" s="70"/>
      <c r="F4781" s="70"/>
      <c r="G4781" s="70"/>
      <c r="H4781" s="93"/>
      <c r="I4781" s="85"/>
      <c r="J4781" s="85"/>
      <c r="K4781" s="131"/>
      <c r="L4781" s="60"/>
      <c r="M4781" s="33"/>
      <c r="Q4781" s="3"/>
      <c r="R4781" s="3"/>
      <c r="S4781" s="3"/>
      <c r="T4781" s="3"/>
      <c r="U4781" s="3"/>
      <c r="V4781" s="3"/>
      <c r="W4781" s="3"/>
      <c r="X4781" s="3"/>
      <c r="Y4781" s="3"/>
      <c r="Z4781" s="4"/>
      <c r="AA4781"/>
      <c r="AB4781"/>
    </row>
    <row r="4782" spans="1:28" s="37" customFormat="1" x14ac:dyDescent="0.15">
      <c r="A4782" s="70"/>
      <c r="B4782" s="117"/>
      <c r="C4782" s="70"/>
      <c r="D4782" s="70"/>
      <c r="E4782" s="70"/>
      <c r="F4782" s="70"/>
      <c r="G4782" s="70"/>
      <c r="H4782" s="93"/>
      <c r="I4782" s="85"/>
      <c r="J4782" s="85"/>
      <c r="K4782" s="131"/>
      <c r="L4782" s="60"/>
      <c r="M4782" s="33"/>
      <c r="Q4782" s="3"/>
      <c r="R4782" s="3"/>
      <c r="S4782" s="3"/>
      <c r="T4782" s="3"/>
      <c r="U4782" s="3"/>
      <c r="V4782" s="3"/>
      <c r="W4782" s="3"/>
      <c r="X4782" s="3"/>
      <c r="Y4782" s="3"/>
      <c r="Z4782" s="4"/>
      <c r="AA4782"/>
      <c r="AB4782"/>
    </row>
    <row r="4783" spans="1:28" s="37" customFormat="1" x14ac:dyDescent="0.15">
      <c r="A4783" s="70"/>
      <c r="B4783" s="117"/>
      <c r="C4783" s="70"/>
      <c r="D4783" s="70"/>
      <c r="E4783" s="70"/>
      <c r="F4783" s="70"/>
      <c r="G4783" s="70"/>
      <c r="H4783" s="93"/>
      <c r="I4783" s="85"/>
      <c r="J4783" s="85"/>
      <c r="K4783" s="131"/>
      <c r="L4783" s="60"/>
      <c r="M4783" s="33"/>
      <c r="Q4783" s="3"/>
      <c r="R4783" s="3"/>
      <c r="S4783" s="3"/>
      <c r="T4783" s="3"/>
      <c r="U4783" s="3"/>
      <c r="V4783" s="3"/>
      <c r="W4783" s="3"/>
      <c r="X4783" s="3"/>
      <c r="Y4783" s="3"/>
      <c r="Z4783" s="4"/>
      <c r="AA4783"/>
      <c r="AB4783"/>
    </row>
    <row r="4784" spans="1:28" s="37" customFormat="1" x14ac:dyDescent="0.15">
      <c r="A4784" s="70"/>
      <c r="B4784" s="117"/>
      <c r="C4784" s="70"/>
      <c r="D4784" s="70"/>
      <c r="E4784" s="70"/>
      <c r="F4784" s="70"/>
      <c r="G4784" s="70"/>
      <c r="H4784" s="93"/>
      <c r="I4784" s="85"/>
      <c r="J4784" s="85"/>
      <c r="K4784" s="131"/>
      <c r="L4784" s="60"/>
      <c r="M4784" s="33"/>
      <c r="Q4784" s="3"/>
      <c r="R4784" s="3"/>
      <c r="S4784" s="3"/>
      <c r="T4784" s="3"/>
      <c r="U4784" s="3"/>
      <c r="V4784" s="3"/>
      <c r="W4784" s="3"/>
      <c r="X4784" s="3"/>
      <c r="Y4784" s="3"/>
      <c r="Z4784" s="4"/>
      <c r="AA4784"/>
      <c r="AB4784"/>
    </row>
    <row r="4785" spans="1:28" s="37" customFormat="1" x14ac:dyDescent="0.15">
      <c r="A4785" s="70"/>
      <c r="B4785" s="118"/>
      <c r="C4785" s="70"/>
      <c r="D4785" s="70"/>
      <c r="E4785" s="73"/>
      <c r="F4785" s="70"/>
      <c r="G4785" s="70"/>
      <c r="H4785" s="93"/>
      <c r="I4785" s="85"/>
      <c r="J4785" s="85"/>
      <c r="K4785" s="131"/>
      <c r="L4785" s="60"/>
      <c r="M4785" s="33"/>
      <c r="Q4785" s="3"/>
      <c r="R4785" s="3"/>
      <c r="S4785" s="3"/>
      <c r="T4785" s="3"/>
      <c r="U4785" s="3"/>
      <c r="V4785" s="3"/>
      <c r="W4785" s="3"/>
      <c r="X4785" s="3"/>
      <c r="Y4785" s="3"/>
      <c r="Z4785" s="4"/>
      <c r="AA4785"/>
      <c r="AB4785"/>
    </row>
    <row r="4786" spans="1:28" s="37" customFormat="1" x14ac:dyDescent="0.15">
      <c r="A4786" s="70"/>
      <c r="B4786" s="118"/>
      <c r="C4786" s="70"/>
      <c r="D4786" s="70"/>
      <c r="E4786" s="70"/>
      <c r="F4786" s="70"/>
      <c r="G4786" s="70"/>
      <c r="H4786" s="93"/>
      <c r="I4786" s="85"/>
      <c r="J4786" s="85"/>
      <c r="K4786" s="131"/>
      <c r="L4786" s="60"/>
      <c r="M4786" s="33"/>
      <c r="Q4786" s="3"/>
      <c r="R4786" s="3"/>
      <c r="S4786" s="3"/>
      <c r="T4786" s="3"/>
      <c r="U4786" s="3"/>
      <c r="V4786" s="3"/>
      <c r="W4786" s="3"/>
      <c r="X4786" s="3"/>
      <c r="Y4786" s="3"/>
      <c r="Z4786" s="4"/>
      <c r="AA4786"/>
      <c r="AB4786"/>
    </row>
    <row r="4787" spans="1:28" s="37" customFormat="1" x14ac:dyDescent="0.15">
      <c r="A4787" s="70"/>
      <c r="B4787" s="118"/>
      <c r="C4787" s="70"/>
      <c r="D4787" s="70"/>
      <c r="E4787" s="70"/>
      <c r="F4787" s="70"/>
      <c r="G4787" s="70"/>
      <c r="H4787" s="93"/>
      <c r="I4787" s="85"/>
      <c r="J4787" s="85"/>
      <c r="K4787" s="131"/>
      <c r="L4787" s="60"/>
      <c r="M4787" s="33"/>
      <c r="Q4787" s="3"/>
      <c r="R4787" s="3"/>
      <c r="S4787" s="3"/>
      <c r="T4787" s="3"/>
      <c r="U4787" s="3"/>
      <c r="V4787" s="3"/>
      <c r="W4787" s="3"/>
      <c r="X4787" s="3"/>
      <c r="Y4787" s="3"/>
      <c r="Z4787" s="4"/>
      <c r="AA4787"/>
      <c r="AB4787"/>
    </row>
    <row r="4788" spans="1:28" s="37" customFormat="1" x14ac:dyDescent="0.15">
      <c r="A4788" s="70"/>
      <c r="B4788" s="118"/>
      <c r="C4788" s="70"/>
      <c r="D4788" s="70"/>
      <c r="E4788" s="70"/>
      <c r="F4788" s="70"/>
      <c r="G4788" s="70"/>
      <c r="H4788" s="93"/>
      <c r="I4788" s="85"/>
      <c r="J4788" s="85"/>
      <c r="K4788" s="131"/>
      <c r="L4788" s="60"/>
      <c r="M4788" s="33"/>
      <c r="Q4788" s="3"/>
      <c r="R4788" s="3"/>
      <c r="S4788" s="3"/>
      <c r="T4788" s="3"/>
      <c r="U4788" s="3"/>
      <c r="V4788" s="3"/>
      <c r="W4788" s="3"/>
      <c r="X4788" s="3"/>
      <c r="Y4788" s="3"/>
      <c r="Z4788" s="4"/>
      <c r="AA4788"/>
      <c r="AB4788"/>
    </row>
    <row r="4789" spans="1:28" s="37" customFormat="1" x14ac:dyDescent="0.15">
      <c r="A4789" s="70"/>
      <c r="B4789" s="118"/>
      <c r="C4789" s="70"/>
      <c r="D4789" s="70"/>
      <c r="E4789" s="70"/>
      <c r="F4789" s="70"/>
      <c r="G4789" s="70"/>
      <c r="H4789" s="93"/>
      <c r="I4789" s="85"/>
      <c r="J4789" s="85"/>
      <c r="K4789" s="131"/>
      <c r="L4789" s="60"/>
      <c r="M4789" s="33"/>
      <c r="Q4789" s="3"/>
      <c r="R4789" s="3"/>
      <c r="S4789" s="3"/>
      <c r="T4789" s="3"/>
      <c r="U4789" s="3"/>
      <c r="V4789" s="3"/>
      <c r="W4789" s="3"/>
      <c r="X4789" s="3"/>
      <c r="Y4789" s="3"/>
      <c r="Z4789" s="4"/>
      <c r="AA4789"/>
      <c r="AB4789"/>
    </row>
    <row r="4790" spans="1:28" s="37" customFormat="1" x14ac:dyDescent="0.15">
      <c r="A4790" s="70"/>
      <c r="B4790" s="117"/>
      <c r="C4790" s="70"/>
      <c r="D4790" s="70"/>
      <c r="E4790" s="70"/>
      <c r="F4790" s="70"/>
      <c r="G4790" s="70"/>
      <c r="H4790" s="93"/>
      <c r="I4790" s="85"/>
      <c r="J4790" s="85"/>
      <c r="K4790" s="131"/>
      <c r="L4790" s="60"/>
      <c r="M4790" s="33"/>
      <c r="N4790" s="35"/>
      <c r="Q4790" s="3"/>
      <c r="R4790" s="3"/>
      <c r="S4790" s="3"/>
      <c r="T4790" s="3"/>
      <c r="U4790" s="3"/>
      <c r="V4790" s="3"/>
      <c r="W4790" s="3"/>
      <c r="X4790" s="3"/>
      <c r="Y4790" s="3"/>
      <c r="Z4790" s="4"/>
      <c r="AA4790"/>
      <c r="AB4790"/>
    </row>
    <row r="4791" spans="1:28" s="37" customFormat="1" x14ac:dyDescent="0.15">
      <c r="A4791" s="70"/>
      <c r="B4791" s="118"/>
      <c r="C4791" s="70"/>
      <c r="D4791" s="70"/>
      <c r="E4791" s="70"/>
      <c r="F4791" s="70"/>
      <c r="G4791" s="70"/>
      <c r="H4791" s="93"/>
      <c r="I4791" s="85"/>
      <c r="J4791" s="85"/>
      <c r="K4791" s="131"/>
      <c r="L4791" s="60"/>
      <c r="M4791" s="33"/>
      <c r="Q4791" s="3"/>
      <c r="R4791" s="3"/>
      <c r="S4791" s="3"/>
      <c r="T4791" s="3"/>
      <c r="U4791" s="3"/>
      <c r="V4791" s="3"/>
      <c r="W4791" s="3"/>
      <c r="X4791" s="3"/>
      <c r="Y4791" s="3"/>
      <c r="Z4791" s="4"/>
      <c r="AA4791"/>
      <c r="AB4791"/>
    </row>
    <row r="4792" spans="1:28" s="37" customFormat="1" x14ac:dyDescent="0.15">
      <c r="A4792" s="70"/>
      <c r="B4792" s="117"/>
      <c r="C4792" s="70"/>
      <c r="D4792" s="70"/>
      <c r="E4792" s="70"/>
      <c r="F4792" s="70"/>
      <c r="G4792" s="70"/>
      <c r="H4792" s="93"/>
      <c r="I4792" s="85"/>
      <c r="J4792" s="85"/>
      <c r="K4792" s="131"/>
      <c r="L4792" s="60"/>
      <c r="M4792" s="33"/>
      <c r="Q4792" s="3"/>
      <c r="R4792" s="3"/>
      <c r="S4792" s="3"/>
      <c r="T4792" s="3"/>
      <c r="U4792" s="3"/>
      <c r="V4792" s="3"/>
      <c r="W4792" s="3"/>
      <c r="X4792" s="3"/>
      <c r="Y4792" s="3"/>
      <c r="Z4792" s="4"/>
      <c r="AA4792"/>
      <c r="AB4792"/>
    </row>
    <row r="4793" spans="1:28" s="37" customFormat="1" x14ac:dyDescent="0.15">
      <c r="A4793" s="70"/>
      <c r="B4793" s="117"/>
      <c r="C4793" s="70"/>
      <c r="D4793" s="70"/>
      <c r="E4793" s="70"/>
      <c r="F4793" s="70"/>
      <c r="G4793" s="70"/>
      <c r="H4793" s="93"/>
      <c r="I4793" s="85"/>
      <c r="J4793" s="85"/>
      <c r="K4793" s="131"/>
      <c r="L4793" s="60"/>
      <c r="M4793" s="33"/>
      <c r="Q4793" s="3"/>
      <c r="R4793" s="3"/>
      <c r="S4793" s="3"/>
      <c r="T4793" s="3"/>
      <c r="U4793" s="3"/>
      <c r="V4793" s="3"/>
      <c r="W4793" s="3"/>
      <c r="X4793" s="3"/>
      <c r="Y4793" s="3"/>
      <c r="Z4793" s="4"/>
      <c r="AA4793"/>
      <c r="AB4793"/>
    </row>
    <row r="4794" spans="1:28" s="37" customFormat="1" x14ac:dyDescent="0.15">
      <c r="A4794" s="70"/>
      <c r="B4794" s="117"/>
      <c r="C4794" s="70"/>
      <c r="D4794" s="70"/>
      <c r="E4794" s="70"/>
      <c r="F4794" s="70"/>
      <c r="G4794" s="70"/>
      <c r="H4794" s="93"/>
      <c r="I4794" s="85"/>
      <c r="J4794" s="85"/>
      <c r="K4794" s="131"/>
      <c r="L4794" s="60"/>
      <c r="M4794" s="33"/>
      <c r="Q4794" s="3"/>
      <c r="R4794" s="3"/>
      <c r="S4794" s="3"/>
      <c r="T4794" s="3"/>
      <c r="U4794" s="3"/>
      <c r="V4794" s="3"/>
      <c r="W4794" s="3"/>
      <c r="X4794" s="3"/>
      <c r="Y4794" s="3"/>
      <c r="Z4794" s="4"/>
      <c r="AA4794"/>
      <c r="AB4794"/>
    </row>
    <row r="4795" spans="1:28" s="37" customFormat="1" ht="16" x14ac:dyDescent="0.2">
      <c r="A4795" s="70"/>
      <c r="B4795" s="117"/>
      <c r="C4795" s="73"/>
      <c r="D4795" s="73"/>
      <c r="E4795" s="70"/>
      <c r="F4795" s="73"/>
      <c r="G4795" s="73"/>
      <c r="H4795" s="93"/>
      <c r="I4795" s="85"/>
      <c r="J4795" s="95"/>
      <c r="K4795" s="131"/>
      <c r="L4795" s="60"/>
      <c r="M4795" s="47"/>
      <c r="Q4795" s="3"/>
      <c r="R4795" s="3"/>
      <c r="S4795" s="3"/>
      <c r="T4795" s="3"/>
      <c r="U4795" s="3"/>
      <c r="V4795" s="3"/>
      <c r="W4795" s="3"/>
      <c r="X4795" s="3"/>
      <c r="Y4795" s="3"/>
      <c r="Z4795" s="4"/>
      <c r="AA4795"/>
      <c r="AB4795"/>
    </row>
    <row r="4796" spans="1:28" s="37" customFormat="1" x14ac:dyDescent="0.15">
      <c r="A4796" s="70"/>
      <c r="B4796" s="117"/>
      <c r="C4796" s="70"/>
      <c r="D4796" s="70"/>
      <c r="E4796" s="70"/>
      <c r="F4796" s="70"/>
      <c r="G4796" s="70"/>
      <c r="H4796" s="93"/>
      <c r="I4796" s="85"/>
      <c r="J4796" s="85"/>
      <c r="K4796" s="131"/>
      <c r="L4796" s="60"/>
      <c r="M4796" s="33"/>
      <c r="Q4796" s="3"/>
      <c r="R4796" s="3"/>
      <c r="S4796" s="3"/>
      <c r="T4796" s="3"/>
      <c r="U4796" s="3"/>
      <c r="V4796" s="3"/>
      <c r="W4796" s="3"/>
      <c r="X4796" s="3"/>
      <c r="Y4796" s="3"/>
      <c r="Z4796" s="4"/>
      <c r="AA4796"/>
      <c r="AB4796"/>
    </row>
    <row r="4797" spans="1:28" s="37" customFormat="1" x14ac:dyDescent="0.15">
      <c r="A4797" s="70"/>
      <c r="B4797" s="117"/>
      <c r="C4797" s="70"/>
      <c r="D4797" s="70"/>
      <c r="E4797" s="70"/>
      <c r="F4797" s="70"/>
      <c r="G4797" s="70"/>
      <c r="H4797" s="93"/>
      <c r="I4797" s="85"/>
      <c r="J4797" s="85"/>
      <c r="K4797" s="131"/>
      <c r="L4797" s="60"/>
      <c r="M4797" s="33"/>
      <c r="Q4797" s="3"/>
      <c r="R4797" s="3"/>
      <c r="S4797" s="3"/>
      <c r="T4797" s="3"/>
      <c r="U4797" s="3"/>
      <c r="V4797" s="3"/>
      <c r="W4797" s="3"/>
      <c r="X4797" s="3"/>
      <c r="Y4797" s="3"/>
      <c r="Z4797" s="4"/>
      <c r="AA4797"/>
      <c r="AB4797"/>
    </row>
    <row r="4798" spans="1:28" s="37" customFormat="1" x14ac:dyDescent="0.15">
      <c r="A4798" s="70"/>
      <c r="B4798" s="117"/>
      <c r="C4798" s="70"/>
      <c r="D4798" s="70"/>
      <c r="E4798" s="70"/>
      <c r="F4798" s="70"/>
      <c r="G4798" s="70"/>
      <c r="H4798" s="93"/>
      <c r="I4798" s="85"/>
      <c r="J4798" s="85"/>
      <c r="K4798" s="131"/>
      <c r="L4798" s="60"/>
      <c r="M4798" s="33"/>
      <c r="Q4798" s="3"/>
      <c r="R4798" s="3"/>
      <c r="S4798" s="3"/>
      <c r="T4798" s="3"/>
      <c r="U4798" s="3"/>
      <c r="V4798" s="3"/>
      <c r="W4798" s="3"/>
      <c r="X4798" s="3"/>
      <c r="Y4798" s="3"/>
      <c r="Z4798" s="4"/>
      <c r="AA4798"/>
      <c r="AB4798"/>
    </row>
    <row r="4799" spans="1:28" s="37" customFormat="1" x14ac:dyDescent="0.15">
      <c r="A4799" s="70"/>
      <c r="B4799" s="118"/>
      <c r="C4799" s="70"/>
      <c r="D4799" s="70"/>
      <c r="E4799" s="70"/>
      <c r="F4799" s="70"/>
      <c r="G4799" s="70"/>
      <c r="H4799" s="93"/>
      <c r="I4799" s="85"/>
      <c r="J4799" s="85"/>
      <c r="K4799" s="131"/>
      <c r="L4799" s="60"/>
      <c r="M4799" s="33"/>
      <c r="Q4799" s="3"/>
      <c r="R4799" s="3"/>
      <c r="S4799" s="3"/>
      <c r="T4799" s="3"/>
      <c r="U4799" s="3"/>
      <c r="V4799" s="3"/>
      <c r="W4799" s="3"/>
      <c r="X4799" s="3"/>
      <c r="Y4799" s="3"/>
      <c r="Z4799" s="4"/>
      <c r="AA4799"/>
      <c r="AB4799"/>
    </row>
    <row r="4800" spans="1:28" s="37" customFormat="1" x14ac:dyDescent="0.15">
      <c r="A4800" s="70"/>
      <c r="B4800" s="117"/>
      <c r="C4800" s="70"/>
      <c r="D4800" s="70"/>
      <c r="E4800" s="70"/>
      <c r="F4800" s="70"/>
      <c r="G4800" s="70"/>
      <c r="H4800" s="93"/>
      <c r="I4800" s="85"/>
      <c r="J4800" s="85"/>
      <c r="K4800" s="131"/>
      <c r="L4800" s="60"/>
      <c r="M4800" s="33"/>
      <c r="Q4800" s="3"/>
      <c r="R4800" s="3"/>
      <c r="S4800" s="3"/>
      <c r="T4800" s="3"/>
      <c r="U4800" s="3"/>
      <c r="V4800" s="3"/>
      <c r="W4800" s="3"/>
      <c r="X4800" s="3"/>
      <c r="Y4800" s="3"/>
      <c r="Z4800" s="4"/>
      <c r="AA4800"/>
      <c r="AB4800"/>
    </row>
    <row r="4801" spans="1:28" s="37" customFormat="1" x14ac:dyDescent="0.15">
      <c r="A4801" s="70"/>
      <c r="B4801" s="117"/>
      <c r="C4801" s="70"/>
      <c r="D4801" s="70"/>
      <c r="E4801" s="70"/>
      <c r="F4801" s="70"/>
      <c r="G4801" s="70"/>
      <c r="H4801" s="93"/>
      <c r="I4801" s="85"/>
      <c r="J4801" s="85"/>
      <c r="K4801" s="131"/>
      <c r="L4801" s="60"/>
      <c r="M4801" s="33"/>
      <c r="Q4801" s="3"/>
      <c r="R4801" s="3"/>
      <c r="S4801" s="3"/>
      <c r="T4801" s="3"/>
      <c r="U4801" s="3"/>
      <c r="V4801" s="3"/>
      <c r="W4801" s="3"/>
      <c r="X4801" s="3"/>
      <c r="Y4801" s="3"/>
      <c r="Z4801" s="4"/>
      <c r="AA4801"/>
      <c r="AB4801"/>
    </row>
    <row r="4802" spans="1:28" s="37" customFormat="1" x14ac:dyDescent="0.15">
      <c r="A4802" s="70"/>
      <c r="B4802" s="117"/>
      <c r="C4802" s="70"/>
      <c r="D4802" s="70"/>
      <c r="E4802" s="70"/>
      <c r="F4802" s="70"/>
      <c r="G4802" s="70"/>
      <c r="H4802" s="93"/>
      <c r="I4802" s="85"/>
      <c r="J4802" s="85"/>
      <c r="K4802" s="131"/>
      <c r="L4802" s="60"/>
      <c r="M4802" s="33"/>
      <c r="Q4802" s="3"/>
      <c r="R4802" s="3"/>
      <c r="S4802" s="3"/>
      <c r="T4802" s="3"/>
      <c r="U4802" s="3"/>
      <c r="V4802" s="3"/>
      <c r="W4802" s="3"/>
      <c r="X4802" s="3"/>
      <c r="Y4802" s="3"/>
      <c r="Z4802" s="4"/>
      <c r="AA4802"/>
      <c r="AB4802"/>
    </row>
    <row r="4803" spans="1:28" s="37" customFormat="1" x14ac:dyDescent="0.15">
      <c r="A4803" s="70"/>
      <c r="B4803" s="117"/>
      <c r="C4803" s="70"/>
      <c r="D4803" s="70"/>
      <c r="E4803" s="70"/>
      <c r="F4803" s="70"/>
      <c r="G4803" s="70"/>
      <c r="H4803" s="93"/>
      <c r="I4803" s="85"/>
      <c r="J4803" s="85"/>
      <c r="K4803" s="131"/>
      <c r="L4803" s="60"/>
      <c r="M4803" s="33"/>
      <c r="Q4803" s="3"/>
      <c r="R4803" s="3"/>
      <c r="S4803" s="3"/>
      <c r="T4803" s="3"/>
      <c r="U4803" s="3"/>
      <c r="V4803" s="3"/>
      <c r="W4803" s="3"/>
      <c r="X4803" s="3"/>
      <c r="Y4803" s="3"/>
      <c r="Z4803" s="4"/>
      <c r="AA4803"/>
      <c r="AB4803"/>
    </row>
    <row r="4804" spans="1:28" s="37" customFormat="1" x14ac:dyDescent="0.15">
      <c r="A4804" s="70"/>
      <c r="B4804" s="117"/>
      <c r="C4804" s="70"/>
      <c r="D4804" s="70"/>
      <c r="E4804" s="70"/>
      <c r="F4804" s="70"/>
      <c r="G4804" s="70"/>
      <c r="H4804" s="93"/>
      <c r="I4804" s="85"/>
      <c r="J4804" s="85"/>
      <c r="K4804" s="131"/>
      <c r="L4804" s="60"/>
      <c r="M4804" s="33"/>
      <c r="Q4804" s="3"/>
      <c r="R4804" s="3"/>
      <c r="S4804" s="3"/>
      <c r="T4804" s="3"/>
      <c r="U4804" s="3"/>
      <c r="V4804" s="3"/>
      <c r="W4804" s="3"/>
      <c r="X4804" s="3"/>
      <c r="Y4804" s="3"/>
      <c r="Z4804" s="4"/>
      <c r="AA4804"/>
      <c r="AB4804"/>
    </row>
    <row r="4805" spans="1:28" s="37" customFormat="1" x14ac:dyDescent="0.15">
      <c r="A4805" s="70"/>
      <c r="B4805" s="117"/>
      <c r="C4805" s="70"/>
      <c r="D4805" s="70"/>
      <c r="E4805" s="70"/>
      <c r="F4805" s="70"/>
      <c r="G4805" s="70"/>
      <c r="H4805" s="93"/>
      <c r="I4805" s="85"/>
      <c r="J4805" s="85"/>
      <c r="K4805" s="131"/>
      <c r="L4805" s="60"/>
      <c r="M4805" s="33"/>
      <c r="Q4805" s="3"/>
      <c r="R4805" s="3"/>
      <c r="S4805" s="3"/>
      <c r="T4805" s="3"/>
      <c r="U4805" s="3"/>
      <c r="V4805" s="3"/>
      <c r="W4805" s="3"/>
      <c r="X4805" s="3"/>
      <c r="Y4805" s="3"/>
      <c r="Z4805" s="4"/>
      <c r="AA4805"/>
      <c r="AB4805"/>
    </row>
    <row r="4806" spans="1:28" s="37" customFormat="1" x14ac:dyDescent="0.15">
      <c r="A4806" s="70"/>
      <c r="B4806" s="117"/>
      <c r="C4806" s="70"/>
      <c r="D4806" s="70"/>
      <c r="E4806" s="70"/>
      <c r="F4806" s="70"/>
      <c r="G4806" s="70"/>
      <c r="H4806" s="93"/>
      <c r="I4806" s="85"/>
      <c r="J4806" s="85"/>
      <c r="K4806" s="131"/>
      <c r="L4806" s="60"/>
      <c r="M4806" s="33"/>
      <c r="Q4806" s="3"/>
      <c r="R4806" s="3"/>
      <c r="S4806" s="3"/>
      <c r="T4806" s="3"/>
      <c r="U4806" s="3"/>
      <c r="V4806" s="3"/>
      <c r="W4806" s="3"/>
      <c r="X4806" s="3"/>
      <c r="Y4806" s="3"/>
      <c r="Z4806" s="4"/>
      <c r="AA4806"/>
      <c r="AB4806"/>
    </row>
    <row r="4807" spans="1:28" s="37" customFormat="1" x14ac:dyDescent="0.15">
      <c r="A4807" s="70"/>
      <c r="B4807" s="117"/>
      <c r="C4807" s="70"/>
      <c r="D4807" s="70"/>
      <c r="E4807" s="70"/>
      <c r="F4807" s="70"/>
      <c r="G4807" s="70"/>
      <c r="H4807" s="93"/>
      <c r="I4807" s="85"/>
      <c r="J4807" s="85"/>
      <c r="K4807" s="131"/>
      <c r="L4807" s="60"/>
      <c r="M4807" s="33"/>
      <c r="Q4807" s="3"/>
      <c r="R4807" s="3"/>
      <c r="S4807" s="3"/>
      <c r="T4807" s="3"/>
      <c r="U4807" s="3"/>
      <c r="V4807" s="3"/>
      <c r="W4807" s="3"/>
      <c r="X4807" s="3"/>
      <c r="Y4807" s="3"/>
      <c r="Z4807" s="4"/>
      <c r="AA4807"/>
      <c r="AB4807"/>
    </row>
    <row r="4808" spans="1:28" s="37" customFormat="1" x14ac:dyDescent="0.15">
      <c r="A4808" s="70"/>
      <c r="B4808" s="118"/>
      <c r="C4808" s="70"/>
      <c r="D4808" s="70"/>
      <c r="E4808" s="70"/>
      <c r="F4808" s="70"/>
      <c r="G4808" s="70"/>
      <c r="H4808" s="93"/>
      <c r="I4808" s="85"/>
      <c r="J4808" s="85"/>
      <c r="K4808" s="131"/>
      <c r="L4808" s="60"/>
      <c r="M4808" s="33"/>
      <c r="Q4808" s="3"/>
      <c r="R4808" s="3"/>
      <c r="S4808" s="3"/>
      <c r="T4808" s="3"/>
      <c r="U4808" s="3"/>
      <c r="V4808" s="3"/>
      <c r="W4808" s="3"/>
      <c r="X4808" s="3"/>
      <c r="Y4808" s="3"/>
      <c r="Z4808" s="4"/>
      <c r="AA4808"/>
      <c r="AB4808"/>
    </row>
    <row r="4809" spans="1:28" s="37" customFormat="1" x14ac:dyDescent="0.15">
      <c r="A4809" s="70"/>
      <c r="B4809" s="117"/>
      <c r="C4809" s="70"/>
      <c r="D4809" s="70"/>
      <c r="E4809" s="70"/>
      <c r="F4809" s="70"/>
      <c r="G4809" s="70"/>
      <c r="H4809" s="93"/>
      <c r="I4809" s="85"/>
      <c r="J4809" s="85"/>
      <c r="K4809" s="131"/>
      <c r="L4809" s="60"/>
      <c r="M4809" s="33"/>
      <c r="Q4809" s="3"/>
      <c r="R4809" s="3"/>
      <c r="S4809" s="3"/>
      <c r="T4809" s="3"/>
      <c r="U4809" s="3"/>
      <c r="V4809" s="3"/>
      <c r="W4809" s="3"/>
      <c r="X4809" s="3"/>
      <c r="Y4809" s="3"/>
      <c r="Z4809" s="4"/>
      <c r="AA4809"/>
      <c r="AB4809"/>
    </row>
    <row r="4810" spans="1:28" s="37" customFormat="1" x14ac:dyDescent="0.15">
      <c r="A4810" s="70"/>
      <c r="B4810" s="118"/>
      <c r="C4810" s="70"/>
      <c r="D4810" s="70"/>
      <c r="E4810" s="70"/>
      <c r="F4810" s="70"/>
      <c r="G4810" s="70"/>
      <c r="H4810" s="93"/>
      <c r="I4810" s="85"/>
      <c r="J4810" s="85"/>
      <c r="K4810" s="131"/>
      <c r="L4810" s="60"/>
      <c r="M4810" s="49"/>
      <c r="Q4810" s="3"/>
      <c r="R4810" s="3"/>
      <c r="S4810" s="3"/>
      <c r="T4810" s="3"/>
      <c r="U4810" s="3"/>
      <c r="V4810" s="3"/>
      <c r="W4810" s="3"/>
      <c r="X4810" s="3"/>
      <c r="Y4810" s="3"/>
      <c r="Z4810" s="4"/>
      <c r="AA4810"/>
      <c r="AB4810"/>
    </row>
    <row r="4811" spans="1:28" s="37" customFormat="1" x14ac:dyDescent="0.15">
      <c r="A4811" s="70"/>
      <c r="B4811" s="118"/>
      <c r="C4811" s="70"/>
      <c r="D4811" s="70"/>
      <c r="E4811" s="70"/>
      <c r="F4811" s="70"/>
      <c r="G4811" s="70"/>
      <c r="H4811" s="93"/>
      <c r="I4811" s="85"/>
      <c r="J4811" s="85"/>
      <c r="K4811" s="131"/>
      <c r="L4811" s="60"/>
      <c r="M4811" s="49"/>
      <c r="Q4811" s="3"/>
      <c r="R4811" s="3"/>
      <c r="S4811" s="3"/>
      <c r="T4811" s="3"/>
      <c r="U4811" s="3"/>
      <c r="V4811" s="3"/>
      <c r="W4811" s="3"/>
      <c r="X4811" s="3"/>
      <c r="Y4811" s="3"/>
      <c r="Z4811" s="4"/>
      <c r="AA4811"/>
      <c r="AB4811"/>
    </row>
    <row r="4812" spans="1:28" s="37" customFormat="1" x14ac:dyDescent="0.15">
      <c r="A4812" s="70"/>
      <c r="B4812" s="118"/>
      <c r="C4812" s="70"/>
      <c r="D4812" s="70"/>
      <c r="E4812" s="70"/>
      <c r="F4812" s="70"/>
      <c r="G4812" s="70"/>
      <c r="H4812" s="93"/>
      <c r="I4812" s="85"/>
      <c r="J4812" s="85"/>
      <c r="K4812" s="131"/>
      <c r="L4812" s="60"/>
      <c r="M4812" s="49"/>
      <c r="Q4812" s="3"/>
      <c r="R4812" s="3"/>
      <c r="S4812" s="3"/>
      <c r="T4812" s="3"/>
      <c r="U4812" s="3"/>
      <c r="V4812" s="3"/>
      <c r="W4812" s="3"/>
      <c r="X4812" s="3"/>
      <c r="Y4812" s="3"/>
      <c r="Z4812" s="4"/>
      <c r="AA4812"/>
      <c r="AB4812"/>
    </row>
    <row r="4813" spans="1:28" s="37" customFormat="1" x14ac:dyDescent="0.15">
      <c r="A4813" s="70"/>
      <c r="B4813" s="118"/>
      <c r="C4813" s="70"/>
      <c r="D4813" s="70"/>
      <c r="E4813" s="70"/>
      <c r="F4813" s="70"/>
      <c r="G4813" s="70"/>
      <c r="H4813" s="93"/>
      <c r="I4813" s="85"/>
      <c r="J4813" s="85"/>
      <c r="K4813" s="131"/>
      <c r="L4813" s="60"/>
      <c r="M4813" s="49"/>
      <c r="Q4813" s="3"/>
      <c r="R4813" s="3"/>
      <c r="S4813" s="3"/>
      <c r="T4813" s="3"/>
      <c r="U4813" s="3"/>
      <c r="V4813" s="3"/>
      <c r="W4813" s="3"/>
      <c r="X4813" s="3"/>
      <c r="Y4813" s="3"/>
      <c r="Z4813" s="4"/>
      <c r="AA4813"/>
      <c r="AB4813"/>
    </row>
    <row r="4814" spans="1:28" s="3" customFormat="1" x14ac:dyDescent="0.15">
      <c r="A4814" s="73"/>
      <c r="B4814" s="118"/>
      <c r="C4814" s="70"/>
      <c r="D4814" s="70"/>
      <c r="E4814" s="70"/>
      <c r="F4814" s="70"/>
      <c r="G4814" s="70"/>
      <c r="H4814" s="93"/>
      <c r="I4814" s="85"/>
      <c r="J4814" s="85"/>
      <c r="K4814" s="131"/>
      <c r="L4814" s="69"/>
      <c r="M4814" s="49"/>
      <c r="N4814" s="37"/>
      <c r="O4814" s="37"/>
      <c r="P4814" s="37"/>
      <c r="Z4814" s="4"/>
      <c r="AA4814"/>
      <c r="AB4814"/>
    </row>
    <row r="4815" spans="1:28" s="3" customFormat="1" x14ac:dyDescent="0.15">
      <c r="A4815" s="70"/>
      <c r="B4815" s="118"/>
      <c r="C4815" s="70"/>
      <c r="D4815" s="70"/>
      <c r="E4815" s="70"/>
      <c r="F4815" s="70"/>
      <c r="G4815" s="70"/>
      <c r="H4815" s="93"/>
      <c r="I4815" s="85"/>
      <c r="J4815" s="85"/>
      <c r="K4815" s="131"/>
      <c r="L4815" s="60"/>
      <c r="M4815" s="49"/>
      <c r="N4815" s="37"/>
      <c r="O4815" s="37"/>
      <c r="P4815" s="37"/>
      <c r="Z4815" s="4"/>
      <c r="AA4815"/>
      <c r="AB4815"/>
    </row>
    <row r="4816" spans="1:28" s="3" customFormat="1" x14ac:dyDescent="0.15">
      <c r="A4816" s="73"/>
      <c r="B4816" s="118"/>
      <c r="C4816" s="70"/>
      <c r="D4816" s="70"/>
      <c r="E4816" s="70"/>
      <c r="F4816" s="70"/>
      <c r="G4816" s="70"/>
      <c r="H4816" s="93"/>
      <c r="I4816" s="85"/>
      <c r="J4816" s="85"/>
      <c r="K4816" s="131"/>
      <c r="L4816" s="60"/>
      <c r="M4816" s="49"/>
      <c r="N4816" s="37"/>
      <c r="O4816" s="37"/>
      <c r="P4816" s="37"/>
      <c r="Z4816" s="4"/>
      <c r="AA4816"/>
      <c r="AB4816"/>
    </row>
    <row r="4817" spans="1:28" s="3" customFormat="1" x14ac:dyDescent="0.15">
      <c r="A4817" s="70"/>
      <c r="B4817" s="118"/>
      <c r="C4817" s="70"/>
      <c r="D4817" s="70"/>
      <c r="E4817" s="70"/>
      <c r="F4817" s="70"/>
      <c r="G4817" s="70"/>
      <c r="H4817" s="93"/>
      <c r="I4817" s="85"/>
      <c r="J4817" s="85"/>
      <c r="K4817" s="131"/>
      <c r="L4817" s="60"/>
      <c r="M4817" s="49"/>
      <c r="N4817" s="37"/>
      <c r="O4817" s="37"/>
      <c r="P4817" s="37"/>
      <c r="Z4817" s="4"/>
      <c r="AA4817"/>
      <c r="AB4817"/>
    </row>
    <row r="4818" spans="1:28" s="3" customFormat="1" ht="16" x14ac:dyDescent="0.2">
      <c r="A4818" s="70"/>
      <c r="B4818" s="118"/>
      <c r="C4818" s="70"/>
      <c r="D4818" s="70"/>
      <c r="E4818" s="70"/>
      <c r="F4818" s="70"/>
      <c r="G4818" s="70"/>
      <c r="H4818" s="93"/>
      <c r="I4818" s="85"/>
      <c r="J4818" s="85"/>
      <c r="K4818" s="131"/>
      <c r="L4818" s="60"/>
      <c r="M4818" s="49"/>
      <c r="N4818" s="48"/>
      <c r="O4818" s="37"/>
      <c r="P4818" s="37"/>
      <c r="Z4818" s="4"/>
      <c r="AA4818"/>
      <c r="AB4818"/>
    </row>
    <row r="4819" spans="1:28" s="3" customFormat="1" x14ac:dyDescent="0.15">
      <c r="A4819" s="70"/>
      <c r="B4819" s="118"/>
      <c r="C4819" s="70"/>
      <c r="D4819" s="70"/>
      <c r="E4819" s="70"/>
      <c r="F4819" s="70"/>
      <c r="G4819" s="70"/>
      <c r="H4819" s="93"/>
      <c r="I4819" s="85"/>
      <c r="J4819" s="85"/>
      <c r="K4819" s="131"/>
      <c r="L4819" s="60"/>
      <c r="M4819" s="49"/>
      <c r="N4819" s="37"/>
      <c r="O4819" s="37"/>
      <c r="P4819" s="37"/>
      <c r="Z4819" s="4"/>
      <c r="AA4819"/>
      <c r="AB4819"/>
    </row>
    <row r="4820" spans="1:28" s="3" customFormat="1" x14ac:dyDescent="0.15">
      <c r="A4820" s="70"/>
      <c r="B4820" s="118"/>
      <c r="C4820" s="70"/>
      <c r="D4820" s="70"/>
      <c r="E4820" s="70"/>
      <c r="F4820" s="70"/>
      <c r="G4820" s="70"/>
      <c r="H4820" s="93"/>
      <c r="I4820" s="85"/>
      <c r="J4820" s="85"/>
      <c r="K4820" s="131"/>
      <c r="L4820" s="60"/>
      <c r="M4820" s="49"/>
      <c r="N4820" s="37"/>
      <c r="O4820" s="37"/>
      <c r="P4820" s="37"/>
      <c r="Z4820" s="4"/>
      <c r="AA4820"/>
      <c r="AB4820"/>
    </row>
    <row r="4821" spans="1:28" s="3" customFormat="1" x14ac:dyDescent="0.15">
      <c r="A4821" s="70"/>
      <c r="B4821" s="118"/>
      <c r="C4821" s="70"/>
      <c r="D4821" s="70"/>
      <c r="E4821" s="70"/>
      <c r="F4821" s="70"/>
      <c r="G4821" s="70"/>
      <c r="H4821" s="93"/>
      <c r="I4821" s="85"/>
      <c r="J4821" s="85"/>
      <c r="K4821" s="131"/>
      <c r="L4821" s="60"/>
      <c r="M4821" s="49"/>
      <c r="N4821" s="37"/>
      <c r="O4821" s="37"/>
      <c r="P4821" s="37"/>
      <c r="Z4821" s="4"/>
      <c r="AA4821"/>
      <c r="AB4821"/>
    </row>
    <row r="4822" spans="1:28" s="3" customFormat="1" x14ac:dyDescent="0.15">
      <c r="A4822" s="70"/>
      <c r="B4822" s="118"/>
      <c r="C4822" s="73"/>
      <c r="D4822" s="73"/>
      <c r="E4822" s="70"/>
      <c r="F4822" s="73"/>
      <c r="G4822" s="73"/>
      <c r="H4822" s="108"/>
      <c r="I4822" s="85"/>
      <c r="J4822" s="95"/>
      <c r="K4822" s="131"/>
      <c r="L4822" s="69"/>
      <c r="M4822" s="49"/>
      <c r="N4822" s="37"/>
      <c r="O4822" s="37"/>
      <c r="P4822" s="37"/>
      <c r="Z4822" s="4"/>
      <c r="AA4822"/>
      <c r="AB4822"/>
    </row>
    <row r="4823" spans="1:28" s="3" customFormat="1" x14ac:dyDescent="0.15">
      <c r="A4823" s="70"/>
      <c r="B4823" s="118"/>
      <c r="C4823" s="70"/>
      <c r="D4823" s="70"/>
      <c r="E4823" s="70"/>
      <c r="F4823" s="70"/>
      <c r="G4823" s="70"/>
      <c r="H4823" s="93"/>
      <c r="I4823" s="85"/>
      <c r="J4823" s="85"/>
      <c r="K4823" s="131"/>
      <c r="L4823" s="60"/>
      <c r="M4823" s="49"/>
      <c r="N4823" s="37"/>
      <c r="O4823" s="37"/>
      <c r="P4823" s="37"/>
      <c r="Z4823" s="4"/>
      <c r="AA4823"/>
      <c r="AB4823"/>
    </row>
    <row r="4824" spans="1:28" s="3" customFormat="1" x14ac:dyDescent="0.15">
      <c r="A4824" s="70"/>
      <c r="B4824" s="118"/>
      <c r="C4824" s="70"/>
      <c r="D4824" s="70"/>
      <c r="E4824" s="70"/>
      <c r="F4824" s="70"/>
      <c r="G4824" s="70"/>
      <c r="H4824" s="93"/>
      <c r="I4824" s="85"/>
      <c r="J4824" s="85"/>
      <c r="K4824" s="131"/>
      <c r="L4824" s="60"/>
      <c r="M4824" s="49"/>
      <c r="N4824" s="37"/>
      <c r="O4824" s="37"/>
      <c r="P4824" s="37"/>
      <c r="Z4824" s="4"/>
      <c r="AA4824"/>
      <c r="AB4824"/>
    </row>
    <row r="4825" spans="1:28" s="3" customFormat="1" x14ac:dyDescent="0.15">
      <c r="A4825" s="70"/>
      <c r="B4825" s="118"/>
      <c r="C4825" s="70"/>
      <c r="D4825" s="70"/>
      <c r="E4825" s="70"/>
      <c r="F4825" s="70"/>
      <c r="G4825" s="70"/>
      <c r="H4825" s="93"/>
      <c r="I4825" s="85"/>
      <c r="J4825" s="85"/>
      <c r="K4825" s="131"/>
      <c r="L4825" s="69"/>
      <c r="M4825" s="49"/>
      <c r="N4825" s="37"/>
      <c r="O4825" s="37"/>
      <c r="P4825" s="51"/>
      <c r="Z4825" s="4"/>
      <c r="AA4825"/>
      <c r="AB4825"/>
    </row>
    <row r="4826" spans="1:28" s="3" customFormat="1" x14ac:dyDescent="0.15">
      <c r="A4826" s="70"/>
      <c r="B4826" s="118"/>
      <c r="C4826" s="70"/>
      <c r="D4826" s="70"/>
      <c r="E4826" s="70"/>
      <c r="F4826" s="70"/>
      <c r="G4826" s="70"/>
      <c r="H4826" s="93"/>
      <c r="I4826" s="85"/>
      <c r="J4826" s="85"/>
      <c r="K4826" s="131"/>
      <c r="L4826" s="69"/>
      <c r="M4826" s="49"/>
      <c r="N4826" s="37"/>
      <c r="O4826" s="37"/>
      <c r="P4826" s="51"/>
      <c r="Z4826" s="4"/>
      <c r="AA4826"/>
      <c r="AB4826"/>
    </row>
    <row r="4827" spans="1:28" s="3" customFormat="1" x14ac:dyDescent="0.15">
      <c r="A4827" s="73"/>
      <c r="B4827" s="117"/>
      <c r="C4827" s="73"/>
      <c r="D4827" s="73"/>
      <c r="E4827" s="73"/>
      <c r="F4827" s="73"/>
      <c r="G4827" s="73"/>
      <c r="H4827" s="108"/>
      <c r="I4827" s="85"/>
      <c r="J4827" s="95"/>
      <c r="K4827" s="131"/>
      <c r="L4827" s="60"/>
      <c r="M4827" s="33"/>
      <c r="N4827" s="37"/>
      <c r="O4827" s="37"/>
      <c r="P4827" s="37"/>
      <c r="Z4827" s="4"/>
      <c r="AA4827"/>
      <c r="AB4827"/>
    </row>
    <row r="4828" spans="1:28" s="3" customFormat="1" x14ac:dyDescent="0.15">
      <c r="A4828" s="70"/>
      <c r="B4828" s="117"/>
      <c r="C4828" s="70"/>
      <c r="D4828" s="70"/>
      <c r="E4828" s="70"/>
      <c r="F4828" s="70"/>
      <c r="G4828" s="70"/>
      <c r="H4828" s="93"/>
      <c r="I4828" s="85"/>
      <c r="J4828" s="85"/>
      <c r="K4828" s="131"/>
      <c r="L4828" s="60"/>
      <c r="M4828" s="33"/>
      <c r="N4828" s="37"/>
      <c r="O4828" s="37"/>
      <c r="P4828" s="37"/>
      <c r="Z4828" s="4"/>
      <c r="AA4828"/>
      <c r="AB4828"/>
    </row>
    <row r="4829" spans="1:28" s="3" customFormat="1" x14ac:dyDescent="0.15">
      <c r="A4829" s="70"/>
      <c r="B4829" s="117"/>
      <c r="C4829" s="70"/>
      <c r="D4829" s="70"/>
      <c r="E4829" s="70"/>
      <c r="F4829" s="70"/>
      <c r="G4829" s="70"/>
      <c r="H4829" s="93"/>
      <c r="I4829" s="85"/>
      <c r="J4829" s="85"/>
      <c r="K4829" s="131"/>
      <c r="L4829" s="60"/>
      <c r="M4829" s="33"/>
      <c r="N4829" s="37"/>
      <c r="O4829" s="37"/>
      <c r="P4829" s="37"/>
      <c r="Z4829" s="4"/>
      <c r="AA4829"/>
      <c r="AB4829"/>
    </row>
    <row r="4830" spans="1:28" s="3" customFormat="1" x14ac:dyDescent="0.15">
      <c r="A4830" s="70"/>
      <c r="B4830" s="117"/>
      <c r="C4830" s="70"/>
      <c r="D4830" s="70"/>
      <c r="E4830" s="70"/>
      <c r="F4830" s="70"/>
      <c r="G4830" s="70"/>
      <c r="H4830" s="93"/>
      <c r="I4830" s="85"/>
      <c r="J4830" s="85"/>
      <c r="K4830" s="131"/>
      <c r="L4830" s="60"/>
      <c r="M4830" s="49"/>
      <c r="N4830" s="37"/>
      <c r="O4830" s="37"/>
      <c r="P4830" s="51"/>
      <c r="Z4830" s="4"/>
      <c r="AA4830"/>
      <c r="AB4830"/>
    </row>
    <row r="4831" spans="1:28" s="3" customFormat="1" x14ac:dyDescent="0.15">
      <c r="A4831" s="70"/>
      <c r="B4831" s="118"/>
      <c r="C4831" s="70"/>
      <c r="D4831" s="70"/>
      <c r="E4831" s="70"/>
      <c r="F4831" s="70"/>
      <c r="G4831" s="70"/>
      <c r="H4831" s="93"/>
      <c r="I4831" s="85"/>
      <c r="J4831" s="85"/>
      <c r="K4831" s="131"/>
      <c r="L4831" s="69"/>
      <c r="M4831" s="49"/>
      <c r="N4831" s="37"/>
      <c r="O4831" s="37"/>
      <c r="P4831" s="51"/>
      <c r="Z4831" s="4"/>
      <c r="AA4831"/>
      <c r="AB4831"/>
    </row>
    <row r="4832" spans="1:28" s="3" customFormat="1" x14ac:dyDescent="0.15">
      <c r="A4832" s="70"/>
      <c r="B4832" s="118"/>
      <c r="C4832" s="70"/>
      <c r="D4832" s="70"/>
      <c r="E4832" s="70"/>
      <c r="F4832" s="70"/>
      <c r="G4832" s="70"/>
      <c r="H4832" s="93"/>
      <c r="I4832" s="85"/>
      <c r="J4832" s="85"/>
      <c r="K4832" s="131"/>
      <c r="L4832" s="69"/>
      <c r="M4832" s="49"/>
      <c r="N4832" s="37"/>
      <c r="O4832" s="37"/>
      <c r="P4832" s="51"/>
      <c r="Z4832" s="4"/>
      <c r="AA4832"/>
      <c r="AB4832"/>
    </row>
    <row r="4833" spans="1:28" s="3" customFormat="1" x14ac:dyDescent="0.15">
      <c r="A4833" s="73"/>
      <c r="B4833" s="118"/>
      <c r="C4833" s="70"/>
      <c r="D4833" s="70"/>
      <c r="E4833" s="70"/>
      <c r="F4833" s="70"/>
      <c r="G4833" s="70"/>
      <c r="H4833" s="93"/>
      <c r="I4833" s="85"/>
      <c r="J4833" s="85"/>
      <c r="K4833" s="131"/>
      <c r="L4833" s="69"/>
      <c r="M4833" s="49"/>
      <c r="N4833" s="37"/>
      <c r="O4833" s="37"/>
      <c r="P4833" s="51"/>
      <c r="Z4833" s="4"/>
      <c r="AA4833"/>
      <c r="AB4833"/>
    </row>
    <row r="4834" spans="1:28" s="3" customFormat="1" x14ac:dyDescent="0.15">
      <c r="A4834" s="70"/>
      <c r="B4834" s="118"/>
      <c r="C4834" s="70"/>
      <c r="D4834" s="70"/>
      <c r="E4834" s="70"/>
      <c r="F4834" s="70"/>
      <c r="G4834" s="70"/>
      <c r="H4834" s="93"/>
      <c r="I4834" s="85"/>
      <c r="J4834" s="85"/>
      <c r="K4834" s="131"/>
      <c r="L4834" s="69"/>
      <c r="M4834" s="49"/>
      <c r="N4834" s="37"/>
      <c r="O4834" s="37"/>
      <c r="P4834" s="51"/>
      <c r="Z4834" s="4"/>
      <c r="AA4834"/>
      <c r="AB4834"/>
    </row>
    <row r="4835" spans="1:28" s="3" customFormat="1" x14ac:dyDescent="0.15">
      <c r="A4835" s="70"/>
      <c r="B4835" s="117"/>
      <c r="C4835" s="70"/>
      <c r="D4835" s="70"/>
      <c r="E4835" s="70"/>
      <c r="F4835" s="70"/>
      <c r="G4835" s="70"/>
      <c r="H4835" s="93"/>
      <c r="I4835" s="85"/>
      <c r="J4835" s="85"/>
      <c r="K4835" s="131"/>
      <c r="L4835" s="60"/>
      <c r="M4835" s="49"/>
      <c r="N4835" s="37"/>
      <c r="O4835" s="37"/>
      <c r="P4835" s="51"/>
      <c r="Z4835" s="4"/>
      <c r="AA4835"/>
      <c r="AB4835"/>
    </row>
    <row r="4836" spans="1:28" s="3" customFormat="1" x14ac:dyDescent="0.15">
      <c r="A4836" s="70"/>
      <c r="B4836" s="117"/>
      <c r="C4836" s="70"/>
      <c r="D4836" s="70"/>
      <c r="E4836" s="70"/>
      <c r="F4836" s="70"/>
      <c r="G4836" s="70"/>
      <c r="H4836" s="93"/>
      <c r="I4836" s="85"/>
      <c r="J4836" s="85"/>
      <c r="K4836" s="131"/>
      <c r="L4836" s="60"/>
      <c r="M4836" s="49"/>
      <c r="N4836" s="37"/>
      <c r="O4836" s="37"/>
      <c r="P4836" s="51"/>
      <c r="Z4836" s="4"/>
      <c r="AA4836"/>
      <c r="AB4836"/>
    </row>
    <row r="4837" spans="1:28" s="3" customFormat="1" x14ac:dyDescent="0.15">
      <c r="A4837" s="70"/>
      <c r="B4837" s="118"/>
      <c r="C4837" s="73"/>
      <c r="D4837" s="73"/>
      <c r="E4837" s="70"/>
      <c r="F4837" s="73"/>
      <c r="G4837" s="73"/>
      <c r="H4837" s="108"/>
      <c r="I4837" s="85"/>
      <c r="J4837" s="95"/>
      <c r="K4837" s="131"/>
      <c r="L4837" s="69"/>
      <c r="M4837" s="49"/>
      <c r="N4837" s="37"/>
      <c r="O4837" s="37"/>
      <c r="P4837" s="37"/>
      <c r="Z4837" s="4"/>
      <c r="AA4837"/>
      <c r="AB4837"/>
    </row>
    <row r="4838" spans="1:28" s="3" customFormat="1" x14ac:dyDescent="0.15">
      <c r="A4838" s="70"/>
      <c r="B4838" s="118"/>
      <c r="C4838" s="70"/>
      <c r="D4838" s="70"/>
      <c r="E4838" s="70"/>
      <c r="F4838" s="70"/>
      <c r="G4838" s="70"/>
      <c r="H4838" s="93"/>
      <c r="I4838" s="85"/>
      <c r="J4838" s="85"/>
      <c r="K4838" s="131"/>
      <c r="L4838" s="69"/>
      <c r="M4838" s="49"/>
      <c r="N4838" s="37"/>
      <c r="O4838" s="37"/>
      <c r="P4838" s="37"/>
      <c r="Z4838" s="4"/>
      <c r="AA4838"/>
      <c r="AB4838"/>
    </row>
    <row r="4839" spans="1:28" s="3" customFormat="1" x14ac:dyDescent="0.15">
      <c r="A4839" s="70"/>
      <c r="B4839" s="118"/>
      <c r="C4839" s="70"/>
      <c r="D4839" s="70"/>
      <c r="E4839" s="70"/>
      <c r="F4839" s="70"/>
      <c r="G4839" s="70"/>
      <c r="H4839" s="93"/>
      <c r="I4839" s="85"/>
      <c r="J4839" s="85"/>
      <c r="K4839" s="131"/>
      <c r="L4839" s="69"/>
      <c r="M4839" s="49"/>
      <c r="N4839" s="37"/>
      <c r="O4839" s="37"/>
      <c r="P4839" s="37"/>
      <c r="Z4839" s="4"/>
      <c r="AA4839"/>
      <c r="AB4839"/>
    </row>
    <row r="4840" spans="1:28" s="3" customFormat="1" x14ac:dyDescent="0.15">
      <c r="A4840" s="70"/>
      <c r="B4840" s="118"/>
      <c r="C4840" s="73"/>
      <c r="D4840" s="73"/>
      <c r="E4840" s="70"/>
      <c r="F4840" s="73"/>
      <c r="G4840" s="73"/>
      <c r="H4840" s="108"/>
      <c r="I4840" s="85"/>
      <c r="J4840" s="95"/>
      <c r="K4840" s="131"/>
      <c r="L4840" s="69"/>
      <c r="M4840" s="49"/>
      <c r="N4840" s="37"/>
      <c r="O4840" s="37"/>
      <c r="P4840" s="37"/>
      <c r="Z4840" s="4"/>
      <c r="AA4840"/>
      <c r="AB4840"/>
    </row>
    <row r="4841" spans="1:28" s="3" customFormat="1" x14ac:dyDescent="0.15">
      <c r="A4841" s="70"/>
      <c r="B4841" s="118"/>
      <c r="C4841" s="70"/>
      <c r="D4841" s="70"/>
      <c r="E4841" s="70"/>
      <c r="F4841" s="70"/>
      <c r="G4841" s="70"/>
      <c r="H4841" s="93"/>
      <c r="I4841" s="85"/>
      <c r="J4841" s="85"/>
      <c r="K4841" s="131"/>
      <c r="L4841" s="69"/>
      <c r="M4841" s="49"/>
      <c r="N4841" s="37"/>
      <c r="O4841" s="37"/>
      <c r="P4841" s="37"/>
      <c r="Z4841" s="4"/>
      <c r="AA4841"/>
      <c r="AB4841"/>
    </row>
    <row r="4842" spans="1:28" s="3" customFormat="1" x14ac:dyDescent="0.15">
      <c r="A4842" s="70"/>
      <c r="B4842" s="118"/>
      <c r="C4842" s="70"/>
      <c r="D4842" s="70"/>
      <c r="E4842" s="70"/>
      <c r="F4842" s="70"/>
      <c r="G4842" s="70"/>
      <c r="H4842" s="93"/>
      <c r="I4842" s="85"/>
      <c r="J4842" s="85"/>
      <c r="K4842" s="131"/>
      <c r="L4842" s="60"/>
      <c r="M4842" s="49"/>
      <c r="N4842" s="37"/>
      <c r="O4842" s="37"/>
      <c r="P4842" s="37"/>
      <c r="Z4842" s="4"/>
      <c r="AA4842"/>
      <c r="AB4842"/>
    </row>
    <row r="4843" spans="1:28" s="3" customFormat="1" x14ac:dyDescent="0.15">
      <c r="A4843" s="70"/>
      <c r="B4843" s="118"/>
      <c r="C4843" s="70"/>
      <c r="D4843" s="70"/>
      <c r="E4843" s="70"/>
      <c r="F4843" s="70"/>
      <c r="G4843" s="70"/>
      <c r="H4843" s="93"/>
      <c r="I4843" s="85"/>
      <c r="J4843" s="85"/>
      <c r="K4843" s="131"/>
      <c r="L4843" s="60"/>
      <c r="M4843" s="49"/>
      <c r="N4843" s="37"/>
      <c r="O4843" s="37"/>
      <c r="P4843" s="51"/>
      <c r="Z4843" s="4"/>
      <c r="AA4843"/>
      <c r="AB4843"/>
    </row>
    <row r="4844" spans="1:28" s="3" customFormat="1" x14ac:dyDescent="0.15">
      <c r="A4844" s="73"/>
      <c r="B4844" s="118"/>
      <c r="C4844" s="70"/>
      <c r="D4844" s="70"/>
      <c r="E4844" s="70"/>
      <c r="F4844" s="70"/>
      <c r="G4844" s="70"/>
      <c r="H4844" s="93"/>
      <c r="I4844" s="85"/>
      <c r="J4844" s="85"/>
      <c r="K4844" s="131"/>
      <c r="L4844" s="60"/>
      <c r="M4844" s="49"/>
      <c r="N4844" s="37"/>
      <c r="O4844" s="37"/>
      <c r="P4844" s="51"/>
      <c r="Z4844" s="4"/>
      <c r="AA4844"/>
      <c r="AB4844"/>
    </row>
    <row r="4845" spans="1:28" s="3" customFormat="1" x14ac:dyDescent="0.15">
      <c r="A4845" s="70"/>
      <c r="B4845" s="118"/>
      <c r="C4845" s="70"/>
      <c r="D4845" s="70"/>
      <c r="E4845" s="70"/>
      <c r="F4845" s="70"/>
      <c r="G4845" s="70"/>
      <c r="H4845" s="93"/>
      <c r="I4845" s="85"/>
      <c r="J4845" s="85"/>
      <c r="K4845" s="131"/>
      <c r="L4845" s="69"/>
      <c r="M4845" s="49"/>
      <c r="N4845" s="37"/>
      <c r="O4845" s="37"/>
      <c r="P4845" s="51"/>
      <c r="Z4845" s="4"/>
      <c r="AA4845"/>
      <c r="AB4845"/>
    </row>
    <row r="4846" spans="1:28" x14ac:dyDescent="0.15">
      <c r="A4846" s="70"/>
      <c r="B4846" s="117"/>
      <c r="C4846" s="70"/>
      <c r="D4846" s="70"/>
      <c r="E4846" s="70"/>
      <c r="F4846" s="70"/>
      <c r="G4846" s="70"/>
      <c r="H4846" s="93"/>
      <c r="I4846" s="85"/>
      <c r="J4846" s="85"/>
      <c r="K4846" s="131"/>
      <c r="L4846" s="60"/>
      <c r="M4846" s="33"/>
    </row>
    <row r="4847" spans="1:28" x14ac:dyDescent="0.15">
      <c r="A4847" s="70"/>
      <c r="B4847" s="117"/>
      <c r="C4847" s="70"/>
      <c r="D4847" s="70"/>
      <c r="E4847" s="70"/>
      <c r="F4847" s="70"/>
      <c r="G4847" s="70"/>
      <c r="H4847" s="93"/>
      <c r="I4847" s="85"/>
      <c r="J4847" s="85"/>
      <c r="K4847" s="131"/>
      <c r="L4847" s="60"/>
      <c r="M4847" s="33"/>
    </row>
    <row r="4848" spans="1:28" x14ac:dyDescent="0.15">
      <c r="A4848" s="70"/>
      <c r="B4848" s="118"/>
      <c r="C4848" s="70"/>
      <c r="D4848" s="70"/>
      <c r="E4848" s="70"/>
      <c r="F4848" s="70"/>
      <c r="G4848" s="70"/>
      <c r="H4848" s="93"/>
      <c r="I4848" s="85"/>
      <c r="J4848" s="85"/>
      <c r="K4848" s="131"/>
      <c r="L4848" s="69"/>
    </row>
    <row r="4849" spans="1:28" x14ac:dyDescent="0.15">
      <c r="A4849" s="70"/>
      <c r="B4849" s="118"/>
      <c r="C4849" s="70"/>
      <c r="D4849" s="70"/>
      <c r="E4849" s="70"/>
      <c r="F4849" s="70"/>
      <c r="G4849" s="70"/>
      <c r="H4849" s="93"/>
      <c r="I4849" s="85"/>
      <c r="J4849" s="85"/>
      <c r="K4849" s="131"/>
      <c r="L4849" s="69"/>
    </row>
    <row r="4850" spans="1:28" x14ac:dyDescent="0.15">
      <c r="A4850" s="70"/>
      <c r="B4850" s="118"/>
      <c r="C4850" s="70"/>
      <c r="D4850" s="70"/>
      <c r="E4850" s="70"/>
      <c r="F4850" s="70"/>
      <c r="G4850" s="70"/>
      <c r="H4850" s="93"/>
      <c r="I4850" s="85"/>
      <c r="J4850" s="95"/>
      <c r="K4850" s="131"/>
      <c r="L4850" s="60"/>
      <c r="S4850" s="6"/>
      <c r="T4850" s="6"/>
      <c r="U4850" s="6"/>
      <c r="V4850" s="6"/>
      <c r="W4850" s="6"/>
      <c r="X4850" s="6"/>
      <c r="Y4850" s="6"/>
      <c r="Z4850" s="6"/>
      <c r="AA4850" s="2"/>
      <c r="AB4850" s="2"/>
    </row>
    <row r="4851" spans="1:28" x14ac:dyDescent="0.15">
      <c r="A4851" s="70"/>
      <c r="B4851" s="118"/>
      <c r="C4851" s="70"/>
      <c r="D4851" s="70"/>
      <c r="E4851" s="70"/>
      <c r="F4851" s="70"/>
      <c r="G4851" s="70"/>
      <c r="H4851" s="93"/>
      <c r="I4851" s="85"/>
      <c r="J4851" s="85"/>
      <c r="K4851" s="131"/>
      <c r="L4851" s="60"/>
      <c r="S4851" s="6"/>
      <c r="T4851" s="6"/>
      <c r="U4851" s="6"/>
      <c r="V4851" s="6"/>
      <c r="W4851" s="6"/>
      <c r="X4851" s="6"/>
      <c r="Y4851" s="6"/>
      <c r="Z4851" s="6"/>
      <c r="AA4851" s="2"/>
      <c r="AB4851" s="2"/>
    </row>
    <row r="4852" spans="1:28" x14ac:dyDescent="0.15">
      <c r="A4852" s="70"/>
      <c r="B4852" s="118"/>
      <c r="C4852" s="70"/>
      <c r="D4852" s="70"/>
      <c r="E4852" s="70"/>
      <c r="F4852" s="70"/>
      <c r="G4852" s="70"/>
      <c r="H4852" s="93"/>
      <c r="I4852" s="85"/>
      <c r="J4852" s="85"/>
      <c r="K4852" s="131"/>
      <c r="L4852" s="60"/>
      <c r="S4852" s="6"/>
      <c r="T4852" s="6"/>
      <c r="U4852" s="6"/>
      <c r="V4852" s="6"/>
      <c r="W4852" s="6"/>
      <c r="X4852" s="6"/>
      <c r="Y4852" s="6"/>
      <c r="Z4852" s="6"/>
      <c r="AA4852" s="2"/>
      <c r="AB4852" s="2"/>
    </row>
    <row r="4853" spans="1:28" x14ac:dyDescent="0.15">
      <c r="A4853" s="70"/>
      <c r="B4853" s="117"/>
      <c r="C4853" s="70"/>
      <c r="D4853" s="70"/>
      <c r="E4853" s="70"/>
      <c r="F4853" s="70"/>
      <c r="G4853" s="70"/>
      <c r="H4853" s="93"/>
      <c r="I4853" s="85"/>
      <c r="J4853" s="85"/>
      <c r="K4853" s="131"/>
      <c r="L4853" s="60"/>
      <c r="P4853" s="51"/>
      <c r="S4853" s="6"/>
      <c r="T4853" s="6"/>
      <c r="U4853" s="6"/>
      <c r="V4853" s="6"/>
      <c r="W4853" s="6"/>
      <c r="X4853" s="6"/>
      <c r="Y4853" s="6"/>
      <c r="Z4853" s="6"/>
      <c r="AA4853" s="2"/>
      <c r="AB4853" s="2"/>
    </row>
    <row r="4854" spans="1:28" x14ac:dyDescent="0.15">
      <c r="A4854" s="70"/>
      <c r="B4854" s="118"/>
      <c r="C4854" s="70"/>
      <c r="D4854" s="70"/>
      <c r="E4854" s="70"/>
      <c r="F4854" s="70"/>
      <c r="G4854" s="70"/>
      <c r="H4854" s="93"/>
      <c r="I4854" s="85"/>
      <c r="J4854" s="85"/>
      <c r="K4854" s="131"/>
      <c r="L4854" s="60"/>
      <c r="P4854" s="51"/>
      <c r="S4854" s="6"/>
      <c r="T4854" s="6"/>
      <c r="U4854" s="6"/>
      <c r="V4854" s="6"/>
      <c r="W4854" s="6"/>
      <c r="X4854" s="6"/>
      <c r="Y4854" s="6"/>
      <c r="Z4854" s="6"/>
      <c r="AA4854" s="2"/>
      <c r="AB4854" s="2"/>
    </row>
    <row r="4855" spans="1:28" x14ac:dyDescent="0.15">
      <c r="A4855" s="70"/>
      <c r="B4855" s="118"/>
      <c r="C4855" s="70"/>
      <c r="D4855" s="70"/>
      <c r="E4855" s="70"/>
      <c r="F4855" s="70"/>
      <c r="G4855" s="70"/>
      <c r="H4855" s="93"/>
      <c r="I4855" s="85"/>
      <c r="J4855" s="85"/>
      <c r="K4855" s="131"/>
      <c r="L4855" s="69"/>
      <c r="P4855" s="51"/>
      <c r="S4855" s="6"/>
      <c r="T4855" s="6"/>
      <c r="U4855" s="6"/>
      <c r="V4855" s="6"/>
      <c r="W4855" s="6"/>
      <c r="X4855" s="6"/>
      <c r="Y4855" s="6"/>
      <c r="Z4855" s="6"/>
      <c r="AA4855" s="2"/>
      <c r="AB4855" s="2"/>
    </row>
    <row r="4856" spans="1:28" x14ac:dyDescent="0.15">
      <c r="A4856" s="70"/>
      <c r="B4856" s="118"/>
      <c r="C4856" s="70"/>
      <c r="D4856" s="70"/>
      <c r="E4856" s="70"/>
      <c r="F4856" s="70"/>
      <c r="G4856" s="70"/>
      <c r="H4856" s="93"/>
      <c r="I4856" s="85"/>
      <c r="J4856" s="85"/>
      <c r="K4856" s="131"/>
      <c r="L4856" s="60"/>
      <c r="M4856" s="33"/>
      <c r="P4856" s="51"/>
      <c r="S4856" s="6"/>
      <c r="T4856" s="6"/>
      <c r="U4856" s="6"/>
      <c r="V4856" s="6"/>
      <c r="W4856" s="6"/>
      <c r="X4856" s="6"/>
      <c r="Y4856" s="6"/>
      <c r="Z4856" s="6"/>
      <c r="AA4856" s="2"/>
      <c r="AB4856" s="2"/>
    </row>
    <row r="4857" spans="1:28" x14ac:dyDescent="0.15">
      <c r="A4857" s="70"/>
      <c r="B4857" s="118"/>
      <c r="C4857" s="70"/>
      <c r="D4857" s="70"/>
      <c r="E4857" s="70"/>
      <c r="F4857" s="70"/>
      <c r="G4857" s="70"/>
      <c r="H4857" s="93"/>
      <c r="I4857" s="85"/>
      <c r="J4857" s="85"/>
      <c r="K4857" s="131"/>
      <c r="L4857" s="60"/>
      <c r="P4857" s="51"/>
      <c r="S4857" s="6"/>
      <c r="T4857" s="6"/>
      <c r="U4857" s="6"/>
      <c r="V4857" s="6"/>
      <c r="W4857" s="6"/>
      <c r="X4857" s="6"/>
      <c r="Y4857" s="6"/>
      <c r="Z4857" s="6"/>
      <c r="AA4857" s="2"/>
      <c r="AB4857" s="2"/>
    </row>
    <row r="4858" spans="1:28" x14ac:dyDescent="0.15">
      <c r="A4858" s="73"/>
      <c r="B4858" s="118"/>
      <c r="C4858" s="70"/>
      <c r="D4858" s="70"/>
      <c r="E4858" s="70"/>
      <c r="F4858" s="70"/>
      <c r="G4858" s="70"/>
      <c r="H4858" s="93"/>
      <c r="I4858" s="85"/>
      <c r="J4858" s="85"/>
      <c r="K4858" s="131"/>
      <c r="L4858" s="60"/>
      <c r="P4858" s="51"/>
      <c r="S4858" s="6"/>
      <c r="T4858" s="6"/>
      <c r="U4858" s="6"/>
      <c r="V4858" s="6"/>
      <c r="W4858" s="6"/>
      <c r="X4858" s="6"/>
      <c r="Y4858" s="6"/>
      <c r="Z4858" s="6"/>
      <c r="AA4858" s="2"/>
      <c r="AB4858" s="2"/>
    </row>
    <row r="4859" spans="1:28" x14ac:dyDescent="0.15">
      <c r="A4859" s="73"/>
      <c r="B4859" s="118"/>
      <c r="C4859" s="70"/>
      <c r="D4859" s="70"/>
      <c r="E4859" s="70"/>
      <c r="F4859" s="70"/>
      <c r="G4859" s="70"/>
      <c r="H4859" s="93"/>
      <c r="I4859" s="85"/>
      <c r="J4859" s="85"/>
      <c r="K4859" s="131"/>
      <c r="L4859" s="60"/>
      <c r="P4859" s="51"/>
      <c r="S4859" s="6"/>
      <c r="T4859" s="6"/>
      <c r="U4859" s="6"/>
      <c r="V4859" s="6"/>
      <c r="W4859" s="6"/>
      <c r="X4859" s="6"/>
      <c r="Y4859" s="6"/>
      <c r="Z4859" s="6"/>
      <c r="AA4859" s="2"/>
      <c r="AB4859" s="2"/>
    </row>
    <row r="4860" spans="1:28" x14ac:dyDescent="0.15">
      <c r="A4860" s="70"/>
      <c r="B4860" s="118"/>
      <c r="C4860" s="70"/>
      <c r="D4860" s="70"/>
      <c r="E4860" s="70"/>
      <c r="F4860" s="70"/>
      <c r="G4860" s="70"/>
      <c r="H4860" s="93"/>
      <c r="I4860" s="85"/>
      <c r="J4860" s="85"/>
      <c r="K4860" s="131"/>
      <c r="L4860" s="60"/>
      <c r="P4860" s="51"/>
      <c r="S4860" s="6"/>
      <c r="T4860" s="6"/>
      <c r="U4860" s="6"/>
      <c r="V4860" s="6"/>
      <c r="W4860" s="6"/>
      <c r="X4860" s="6"/>
      <c r="Y4860" s="6"/>
      <c r="Z4860" s="6"/>
      <c r="AA4860" s="2"/>
      <c r="AB4860" s="2"/>
    </row>
    <row r="4861" spans="1:28" x14ac:dyDescent="0.15">
      <c r="A4861" s="70"/>
      <c r="B4861" s="118"/>
      <c r="C4861" s="70"/>
      <c r="D4861" s="70"/>
      <c r="E4861" s="70"/>
      <c r="F4861" s="70"/>
      <c r="G4861" s="70"/>
      <c r="H4861" s="93"/>
      <c r="I4861" s="85"/>
      <c r="J4861" s="85"/>
      <c r="K4861" s="131"/>
      <c r="L4861" s="69"/>
      <c r="P4861" s="51"/>
      <c r="S4861" s="6"/>
      <c r="T4861" s="6"/>
      <c r="U4861" s="6"/>
      <c r="V4861" s="6"/>
      <c r="W4861" s="6"/>
      <c r="X4861" s="6"/>
      <c r="Y4861" s="6"/>
      <c r="Z4861" s="6"/>
      <c r="AA4861" s="2"/>
      <c r="AB4861" s="2"/>
    </row>
    <row r="4862" spans="1:28" x14ac:dyDescent="0.15">
      <c r="A4862" s="70"/>
      <c r="B4862" s="118"/>
      <c r="C4862" s="70"/>
      <c r="D4862" s="70"/>
      <c r="E4862" s="70"/>
      <c r="F4862" s="70"/>
      <c r="G4862" s="70"/>
      <c r="H4862" s="93"/>
      <c r="I4862" s="85"/>
      <c r="J4862" s="85"/>
      <c r="K4862" s="131"/>
      <c r="L4862" s="60"/>
      <c r="P4862" s="51"/>
      <c r="S4862" s="6"/>
      <c r="T4862" s="6"/>
      <c r="U4862" s="6"/>
      <c r="V4862" s="6"/>
      <c r="W4862" s="6"/>
      <c r="X4862" s="6"/>
      <c r="Y4862" s="6"/>
      <c r="Z4862" s="6"/>
      <c r="AA4862" s="2"/>
      <c r="AB4862" s="2"/>
    </row>
    <row r="4863" spans="1:28" x14ac:dyDescent="0.15">
      <c r="A4863" s="73"/>
      <c r="B4863" s="118"/>
      <c r="C4863" s="70"/>
      <c r="D4863" s="70"/>
      <c r="E4863" s="70"/>
      <c r="F4863" s="70"/>
      <c r="G4863" s="70"/>
      <c r="H4863" s="93"/>
      <c r="I4863" s="85"/>
      <c r="J4863" s="85"/>
      <c r="K4863" s="131"/>
      <c r="L4863" s="60"/>
      <c r="P4863" s="51"/>
      <c r="S4863" s="6"/>
      <c r="T4863" s="6"/>
      <c r="U4863" s="6"/>
      <c r="V4863" s="6"/>
      <c r="W4863" s="6"/>
      <c r="X4863" s="6"/>
      <c r="Y4863" s="6"/>
      <c r="Z4863" s="6"/>
      <c r="AA4863" s="2"/>
      <c r="AB4863" s="2"/>
    </row>
    <row r="4864" spans="1:28" x14ac:dyDescent="0.15">
      <c r="A4864" s="70"/>
      <c r="B4864" s="118"/>
      <c r="C4864" s="70"/>
      <c r="D4864" s="70"/>
      <c r="E4864" s="70"/>
      <c r="F4864" s="70"/>
      <c r="G4864" s="70"/>
      <c r="H4864" s="93"/>
      <c r="I4864" s="85"/>
      <c r="J4864" s="85"/>
      <c r="K4864" s="131"/>
      <c r="L4864" s="60"/>
      <c r="P4864" s="51"/>
      <c r="S4864" s="6"/>
      <c r="T4864" s="6"/>
      <c r="U4864" s="6"/>
      <c r="V4864" s="6"/>
      <c r="W4864" s="6"/>
      <c r="X4864" s="6"/>
      <c r="Y4864" s="6"/>
      <c r="Z4864" s="6"/>
      <c r="AA4864" s="2"/>
      <c r="AB4864" s="2"/>
    </row>
    <row r="4865" spans="1:28" ht="16" x14ac:dyDescent="0.2">
      <c r="A4865" s="70"/>
      <c r="B4865" s="118"/>
      <c r="C4865" s="70"/>
      <c r="D4865" s="70"/>
      <c r="E4865" s="70"/>
      <c r="F4865" s="70"/>
      <c r="G4865" s="70"/>
      <c r="H4865" s="93"/>
      <c r="I4865" s="85"/>
      <c r="J4865" s="85"/>
      <c r="K4865" s="131"/>
      <c r="L4865" s="69"/>
      <c r="N4865" s="48"/>
      <c r="P4865" s="51"/>
      <c r="S4865" s="6"/>
      <c r="T4865" s="6"/>
      <c r="U4865" s="6"/>
      <c r="V4865" s="6"/>
      <c r="W4865" s="6"/>
      <c r="X4865" s="6"/>
      <c r="Y4865" s="6"/>
      <c r="Z4865" s="6"/>
      <c r="AA4865" s="2"/>
      <c r="AB4865" s="2"/>
    </row>
    <row r="4866" spans="1:28" x14ac:dyDescent="0.15">
      <c r="A4866" s="70"/>
      <c r="B4866" s="118"/>
      <c r="C4866" s="70"/>
      <c r="D4866" s="70"/>
      <c r="E4866" s="70"/>
      <c r="F4866" s="70"/>
      <c r="G4866" s="70"/>
      <c r="H4866" s="93"/>
      <c r="I4866" s="85"/>
      <c r="J4866" s="85"/>
      <c r="K4866" s="131"/>
      <c r="L4866" s="69"/>
      <c r="P4866" s="51"/>
      <c r="S4866" s="6"/>
      <c r="T4866" s="6"/>
      <c r="U4866" s="6"/>
      <c r="V4866" s="6"/>
      <c r="W4866" s="6"/>
      <c r="X4866" s="6"/>
      <c r="Y4866" s="6"/>
      <c r="Z4866" s="6"/>
      <c r="AA4866" s="2"/>
      <c r="AB4866" s="2"/>
    </row>
    <row r="4867" spans="1:28" x14ac:dyDescent="0.15">
      <c r="A4867" s="73"/>
      <c r="B4867" s="118"/>
      <c r="C4867" s="70"/>
      <c r="D4867" s="70"/>
      <c r="E4867" s="70"/>
      <c r="F4867" s="70"/>
      <c r="G4867" s="70"/>
      <c r="H4867" s="93"/>
      <c r="I4867" s="85"/>
      <c r="J4867" s="85"/>
      <c r="K4867" s="131"/>
      <c r="L4867" s="69"/>
      <c r="P4867" s="51"/>
      <c r="S4867" s="6"/>
      <c r="T4867" s="6"/>
      <c r="U4867" s="6"/>
      <c r="V4867" s="6"/>
      <c r="W4867" s="6"/>
      <c r="X4867" s="6"/>
      <c r="Y4867" s="6"/>
      <c r="Z4867" s="6"/>
      <c r="AA4867" s="2"/>
      <c r="AB4867" s="2"/>
    </row>
    <row r="4868" spans="1:28" x14ac:dyDescent="0.15">
      <c r="A4868" s="70"/>
      <c r="B4868" s="118"/>
      <c r="C4868" s="70"/>
      <c r="D4868" s="70"/>
      <c r="E4868" s="70"/>
      <c r="F4868" s="70"/>
      <c r="G4868" s="70"/>
      <c r="H4868" s="93"/>
      <c r="I4868" s="85"/>
      <c r="J4868" s="85"/>
      <c r="K4868" s="131"/>
      <c r="L4868" s="60"/>
      <c r="P4868" s="51"/>
      <c r="S4868" s="6"/>
      <c r="T4868" s="6"/>
      <c r="U4868" s="6"/>
      <c r="V4868" s="6"/>
      <c r="W4868" s="6"/>
      <c r="X4868" s="6"/>
      <c r="Y4868" s="6"/>
      <c r="Z4868" s="6"/>
      <c r="AA4868" s="2"/>
      <c r="AB4868" s="2"/>
    </row>
    <row r="4869" spans="1:28" x14ac:dyDescent="0.15">
      <c r="A4869" s="70"/>
      <c r="B4869" s="118"/>
      <c r="C4869" s="70"/>
      <c r="D4869" s="70"/>
      <c r="E4869" s="70"/>
      <c r="F4869" s="70"/>
      <c r="G4869" s="70"/>
      <c r="H4869" s="93"/>
      <c r="I4869" s="85"/>
      <c r="J4869" s="85"/>
      <c r="K4869" s="131"/>
      <c r="L4869" s="60"/>
      <c r="P4869" s="51"/>
      <c r="S4869" s="6"/>
      <c r="T4869" s="6"/>
      <c r="U4869" s="6"/>
      <c r="V4869" s="6"/>
      <c r="W4869" s="6"/>
      <c r="X4869" s="6"/>
      <c r="Y4869" s="6"/>
      <c r="Z4869" s="6"/>
      <c r="AA4869" s="2"/>
      <c r="AB4869" s="2"/>
    </row>
    <row r="4870" spans="1:28" x14ac:dyDescent="0.15">
      <c r="A4870" s="73"/>
      <c r="B4870" s="118"/>
      <c r="C4870" s="70"/>
      <c r="D4870" s="70"/>
      <c r="E4870" s="70"/>
      <c r="F4870" s="70"/>
      <c r="G4870" s="70"/>
      <c r="H4870" s="93"/>
      <c r="I4870" s="85"/>
      <c r="J4870" s="85"/>
      <c r="K4870" s="131"/>
      <c r="L4870" s="69"/>
      <c r="P4870" s="35"/>
      <c r="S4870" s="6"/>
      <c r="T4870" s="6"/>
      <c r="U4870" s="6"/>
      <c r="V4870" s="6"/>
      <c r="W4870" s="6"/>
      <c r="X4870" s="6"/>
      <c r="Y4870" s="6"/>
      <c r="Z4870" s="6"/>
      <c r="AA4870" s="2"/>
      <c r="AB4870" s="2"/>
    </row>
    <row r="4871" spans="1:28" x14ac:dyDescent="0.15">
      <c r="A4871" s="70"/>
      <c r="B4871" s="118"/>
      <c r="C4871" s="70"/>
      <c r="D4871" s="70"/>
      <c r="E4871" s="70"/>
      <c r="F4871" s="70"/>
      <c r="G4871" s="70"/>
      <c r="H4871" s="93"/>
      <c r="I4871" s="85"/>
      <c r="J4871" s="85"/>
      <c r="K4871" s="131"/>
      <c r="L4871" s="60"/>
      <c r="P4871" s="35"/>
      <c r="S4871" s="6"/>
      <c r="T4871" s="6"/>
      <c r="U4871" s="6"/>
      <c r="V4871" s="6"/>
      <c r="W4871" s="6"/>
      <c r="X4871" s="6"/>
      <c r="Y4871" s="6"/>
      <c r="Z4871" s="6"/>
      <c r="AA4871" s="2"/>
      <c r="AB4871" s="2"/>
    </row>
    <row r="4872" spans="1:28" x14ac:dyDescent="0.15">
      <c r="A4872" s="70"/>
      <c r="B4872" s="118"/>
      <c r="C4872" s="70"/>
      <c r="D4872" s="70"/>
      <c r="E4872" s="70"/>
      <c r="F4872" s="70"/>
      <c r="G4872" s="70"/>
      <c r="H4872" s="93"/>
      <c r="I4872" s="85"/>
      <c r="J4872" s="85"/>
      <c r="K4872" s="131"/>
      <c r="L4872" s="60"/>
      <c r="P4872" s="35"/>
      <c r="S4872" s="6"/>
      <c r="T4872" s="6"/>
      <c r="U4872" s="6"/>
      <c r="V4872" s="6"/>
      <c r="W4872" s="6"/>
      <c r="X4872" s="6"/>
      <c r="Y4872" s="6"/>
      <c r="Z4872" s="6"/>
      <c r="AA4872" s="2"/>
      <c r="AB4872" s="2"/>
    </row>
    <row r="4873" spans="1:28" x14ac:dyDescent="0.15">
      <c r="A4873" s="70"/>
      <c r="B4873" s="118"/>
      <c r="C4873" s="70"/>
      <c r="D4873" s="70"/>
      <c r="E4873" s="70"/>
      <c r="F4873" s="70"/>
      <c r="G4873" s="70"/>
      <c r="H4873" s="93"/>
      <c r="I4873" s="85"/>
      <c r="J4873" s="85"/>
      <c r="K4873" s="131"/>
      <c r="L4873" s="60"/>
      <c r="P4873" s="35"/>
    </row>
    <row r="4874" spans="1:28" x14ac:dyDescent="0.15">
      <c r="A4874" s="70"/>
      <c r="B4874" s="118"/>
      <c r="C4874" s="70"/>
      <c r="D4874" s="70"/>
      <c r="E4874" s="70"/>
      <c r="F4874" s="70"/>
      <c r="G4874" s="70"/>
      <c r="H4874" s="93"/>
      <c r="I4874" s="85"/>
      <c r="J4874" s="85"/>
      <c r="K4874" s="131"/>
      <c r="L4874" s="60"/>
      <c r="P4874" s="35"/>
    </row>
    <row r="4875" spans="1:28" x14ac:dyDescent="0.15">
      <c r="A4875" s="70"/>
      <c r="B4875" s="118"/>
      <c r="C4875" s="70"/>
      <c r="D4875" s="70"/>
      <c r="E4875" s="70"/>
      <c r="F4875" s="70"/>
      <c r="G4875" s="70"/>
      <c r="H4875" s="93"/>
      <c r="I4875" s="85"/>
      <c r="J4875" s="85"/>
      <c r="K4875" s="131"/>
      <c r="L4875" s="60"/>
      <c r="P4875" s="35"/>
    </row>
    <row r="4876" spans="1:28" x14ac:dyDescent="0.15">
      <c r="A4876" s="70"/>
      <c r="B4876" s="118"/>
      <c r="C4876" s="70"/>
      <c r="D4876" s="70"/>
      <c r="E4876" s="70"/>
      <c r="F4876" s="70"/>
      <c r="G4876" s="70"/>
      <c r="H4876" s="93"/>
      <c r="I4876" s="85"/>
      <c r="J4876" s="85"/>
      <c r="K4876" s="131"/>
      <c r="L4876" s="60"/>
      <c r="P4876" s="35"/>
    </row>
    <row r="4877" spans="1:28" x14ac:dyDescent="0.15">
      <c r="A4877" s="73"/>
      <c r="B4877" s="118"/>
      <c r="C4877" s="70"/>
      <c r="D4877" s="70"/>
      <c r="E4877" s="70"/>
      <c r="F4877" s="70"/>
      <c r="G4877" s="70"/>
      <c r="H4877" s="93"/>
      <c r="I4877" s="85"/>
      <c r="J4877" s="85"/>
      <c r="K4877" s="131"/>
      <c r="L4877" s="69"/>
      <c r="P4877" s="35"/>
    </row>
    <row r="4878" spans="1:28" s="3" customFormat="1" x14ac:dyDescent="0.15">
      <c r="A4878" s="70"/>
      <c r="B4878" s="118"/>
      <c r="C4878" s="70"/>
      <c r="D4878" s="70"/>
      <c r="E4878" s="70"/>
      <c r="F4878" s="70"/>
      <c r="G4878" s="70"/>
      <c r="H4878" s="93"/>
      <c r="I4878" s="85"/>
      <c r="J4878" s="85"/>
      <c r="K4878" s="131"/>
      <c r="L4878" s="69"/>
      <c r="M4878" s="49"/>
      <c r="N4878" s="37"/>
      <c r="O4878" s="37"/>
      <c r="P4878" s="35"/>
      <c r="Z4878" s="4"/>
      <c r="AA4878"/>
      <c r="AB4878"/>
    </row>
    <row r="4879" spans="1:28" s="3" customFormat="1" x14ac:dyDescent="0.15">
      <c r="A4879" s="70"/>
      <c r="B4879" s="118"/>
      <c r="C4879" s="70"/>
      <c r="D4879" s="70"/>
      <c r="E4879" s="70"/>
      <c r="F4879" s="70"/>
      <c r="G4879" s="70"/>
      <c r="H4879" s="93"/>
      <c r="I4879" s="85"/>
      <c r="J4879" s="85"/>
      <c r="K4879" s="131"/>
      <c r="L4879" s="69"/>
      <c r="M4879" s="49"/>
      <c r="N4879" s="37"/>
      <c r="O4879" s="37"/>
      <c r="P4879" s="35"/>
      <c r="Z4879" s="4"/>
      <c r="AA4879"/>
      <c r="AB4879"/>
    </row>
    <row r="4880" spans="1:28" s="3" customFormat="1" x14ac:dyDescent="0.15">
      <c r="A4880" s="70"/>
      <c r="B4880" s="118"/>
      <c r="C4880" s="70"/>
      <c r="D4880" s="70"/>
      <c r="E4880" s="70"/>
      <c r="F4880" s="70"/>
      <c r="G4880" s="70"/>
      <c r="H4880" s="93"/>
      <c r="I4880" s="85"/>
      <c r="J4880" s="85"/>
      <c r="K4880" s="131"/>
      <c r="L4880" s="60"/>
      <c r="M4880" s="49"/>
      <c r="N4880" s="37"/>
      <c r="O4880" s="37"/>
      <c r="P4880" s="35"/>
      <c r="Z4880" s="4"/>
      <c r="AA4880"/>
      <c r="AB4880"/>
    </row>
    <row r="4881" spans="1:28" s="3" customFormat="1" x14ac:dyDescent="0.15">
      <c r="A4881" s="70"/>
      <c r="B4881" s="118"/>
      <c r="C4881" s="70"/>
      <c r="D4881" s="70"/>
      <c r="E4881" s="70"/>
      <c r="F4881" s="70"/>
      <c r="G4881" s="70"/>
      <c r="H4881" s="93"/>
      <c r="I4881" s="85"/>
      <c r="J4881" s="85"/>
      <c r="K4881" s="131"/>
      <c r="L4881" s="60"/>
      <c r="M4881" s="49"/>
      <c r="N4881" s="37"/>
      <c r="O4881" s="37"/>
      <c r="P4881" s="35"/>
      <c r="Z4881" s="4"/>
      <c r="AA4881"/>
      <c r="AB4881"/>
    </row>
    <row r="4882" spans="1:28" s="3" customFormat="1" x14ac:dyDescent="0.15">
      <c r="A4882" s="73"/>
      <c r="B4882" s="118"/>
      <c r="C4882" s="70"/>
      <c r="D4882" s="70"/>
      <c r="E4882" s="70"/>
      <c r="F4882" s="70"/>
      <c r="G4882" s="70"/>
      <c r="H4882" s="93"/>
      <c r="I4882" s="85"/>
      <c r="J4882" s="85"/>
      <c r="K4882" s="131"/>
      <c r="L4882" s="60"/>
      <c r="M4882" s="49"/>
      <c r="N4882" s="37"/>
      <c r="O4882" s="37"/>
      <c r="P4882" s="35"/>
      <c r="Z4882" s="4"/>
      <c r="AA4882"/>
      <c r="AB4882"/>
    </row>
    <row r="4883" spans="1:28" s="3" customFormat="1" x14ac:dyDescent="0.15">
      <c r="A4883" s="73"/>
      <c r="B4883" s="118"/>
      <c r="C4883" s="70"/>
      <c r="D4883" s="70"/>
      <c r="E4883" s="70"/>
      <c r="F4883" s="70"/>
      <c r="G4883" s="70"/>
      <c r="H4883" s="93"/>
      <c r="I4883" s="85"/>
      <c r="J4883" s="85"/>
      <c r="K4883" s="131"/>
      <c r="L4883" s="60"/>
      <c r="M4883" s="49"/>
      <c r="N4883" s="37"/>
      <c r="O4883" s="37"/>
      <c r="P4883" s="37"/>
      <c r="Z4883" s="4"/>
      <c r="AA4883"/>
      <c r="AB4883"/>
    </row>
    <row r="4884" spans="1:28" s="3" customFormat="1" x14ac:dyDescent="0.15">
      <c r="A4884" s="70"/>
      <c r="B4884" s="118"/>
      <c r="C4884" s="70"/>
      <c r="D4884" s="70"/>
      <c r="E4884" s="70"/>
      <c r="F4884" s="70"/>
      <c r="G4884" s="70"/>
      <c r="H4884" s="93"/>
      <c r="I4884" s="85"/>
      <c r="J4884" s="85"/>
      <c r="K4884" s="131"/>
      <c r="L4884" s="60"/>
      <c r="M4884" s="49"/>
      <c r="N4884" s="37"/>
      <c r="O4884" s="37"/>
      <c r="P4884" s="37"/>
      <c r="Z4884" s="4"/>
      <c r="AA4884"/>
      <c r="AB4884"/>
    </row>
    <row r="4885" spans="1:28" s="3" customFormat="1" x14ac:dyDescent="0.15">
      <c r="A4885" s="70"/>
      <c r="B4885" s="118"/>
      <c r="C4885" s="70"/>
      <c r="D4885" s="70"/>
      <c r="E4885" s="70"/>
      <c r="F4885" s="70"/>
      <c r="G4885" s="70"/>
      <c r="H4885" s="93"/>
      <c r="I4885" s="85"/>
      <c r="J4885" s="85"/>
      <c r="K4885" s="131"/>
      <c r="L4885" s="60"/>
      <c r="M4885" s="49"/>
      <c r="N4885" s="37"/>
      <c r="O4885" s="37"/>
      <c r="P4885" s="37"/>
      <c r="Z4885" s="4"/>
      <c r="AA4885"/>
      <c r="AB4885"/>
    </row>
    <row r="4886" spans="1:28" s="3" customFormat="1" x14ac:dyDescent="0.15">
      <c r="A4886" s="70"/>
      <c r="B4886" s="118"/>
      <c r="C4886" s="70"/>
      <c r="D4886" s="70"/>
      <c r="E4886" s="70"/>
      <c r="F4886" s="70"/>
      <c r="G4886" s="70"/>
      <c r="H4886" s="93"/>
      <c r="I4886" s="85"/>
      <c r="J4886" s="85"/>
      <c r="K4886" s="131"/>
      <c r="L4886" s="60"/>
      <c r="M4886" s="49"/>
      <c r="N4886" s="37"/>
      <c r="O4886" s="37"/>
      <c r="P4886" s="37"/>
      <c r="Z4886" s="4"/>
      <c r="AA4886"/>
      <c r="AB4886"/>
    </row>
    <row r="4887" spans="1:28" s="3" customFormat="1" ht="16" x14ac:dyDescent="0.2">
      <c r="A4887" s="70"/>
      <c r="B4887" s="118"/>
      <c r="C4887" s="70"/>
      <c r="D4887" s="70"/>
      <c r="E4887" s="70"/>
      <c r="F4887" s="70"/>
      <c r="G4887" s="70"/>
      <c r="H4887" s="93"/>
      <c r="I4887" s="85"/>
      <c r="J4887" s="85"/>
      <c r="K4887" s="131"/>
      <c r="L4887" s="60"/>
      <c r="M4887" s="49"/>
      <c r="N4887" s="48"/>
      <c r="O4887" s="37"/>
      <c r="P4887" s="35"/>
      <c r="Z4887" s="4"/>
      <c r="AA4887"/>
      <c r="AB4887"/>
    </row>
    <row r="4888" spans="1:28" s="3" customFormat="1" x14ac:dyDescent="0.15">
      <c r="A4888" s="70"/>
      <c r="B4888" s="118"/>
      <c r="C4888" s="70"/>
      <c r="D4888" s="70"/>
      <c r="E4888" s="70"/>
      <c r="F4888" s="70"/>
      <c r="G4888" s="70"/>
      <c r="H4888" s="93"/>
      <c r="I4888" s="85"/>
      <c r="J4888" s="85"/>
      <c r="K4888" s="131"/>
      <c r="L4888" s="60"/>
      <c r="M4888" s="49"/>
      <c r="N4888" s="37"/>
      <c r="O4888" s="37"/>
      <c r="P4888" s="35"/>
      <c r="Z4888" s="4"/>
      <c r="AA4888"/>
      <c r="AB4888"/>
    </row>
    <row r="4889" spans="1:28" s="3" customFormat="1" x14ac:dyDescent="0.15">
      <c r="A4889" s="70"/>
      <c r="B4889" s="118"/>
      <c r="C4889" s="121"/>
      <c r="D4889" s="121"/>
      <c r="E4889" s="70"/>
      <c r="F4889" s="121"/>
      <c r="G4889" s="121"/>
      <c r="H4889" s="93"/>
      <c r="I4889" s="85"/>
      <c r="J4889" s="122"/>
      <c r="K4889" s="131"/>
      <c r="L4889" s="60"/>
      <c r="M4889" s="49"/>
      <c r="N4889" s="37"/>
      <c r="O4889" s="37"/>
      <c r="P4889" s="35"/>
      <c r="Z4889" s="4"/>
      <c r="AA4889"/>
      <c r="AB4889"/>
    </row>
    <row r="4890" spans="1:28" s="3" customFormat="1" x14ac:dyDescent="0.15">
      <c r="A4890" s="70"/>
      <c r="B4890" s="117"/>
      <c r="C4890" s="121"/>
      <c r="D4890" s="121"/>
      <c r="E4890" s="70"/>
      <c r="F4890" s="121"/>
      <c r="G4890" s="121"/>
      <c r="H4890" s="93"/>
      <c r="I4890" s="85"/>
      <c r="J4890" s="122"/>
      <c r="K4890" s="131"/>
      <c r="L4890" s="60"/>
      <c r="M4890" s="49"/>
      <c r="N4890" s="37"/>
      <c r="O4890" s="37"/>
      <c r="P4890" s="35"/>
      <c r="Z4890" s="4"/>
      <c r="AA4890"/>
      <c r="AB4890"/>
    </row>
    <row r="4891" spans="1:28" s="3" customFormat="1" x14ac:dyDescent="0.15">
      <c r="A4891" s="70"/>
      <c r="B4891" s="118"/>
      <c r="C4891" s="121"/>
      <c r="D4891" s="121"/>
      <c r="E4891" s="70"/>
      <c r="F4891" s="121"/>
      <c r="G4891" s="121"/>
      <c r="H4891" s="93"/>
      <c r="I4891" s="85"/>
      <c r="J4891" s="122"/>
      <c r="K4891" s="131"/>
      <c r="L4891" s="69"/>
      <c r="M4891" s="49"/>
      <c r="N4891" s="37"/>
      <c r="O4891" s="37"/>
      <c r="P4891" s="37"/>
      <c r="Z4891" s="4"/>
      <c r="AA4891"/>
      <c r="AB4891"/>
    </row>
    <row r="4892" spans="1:28" s="3" customFormat="1" ht="16" x14ac:dyDescent="0.2">
      <c r="A4892" s="70"/>
      <c r="B4892" s="118"/>
      <c r="C4892" s="121"/>
      <c r="D4892" s="121"/>
      <c r="E4892" s="70"/>
      <c r="F4892" s="121"/>
      <c r="G4892" s="121"/>
      <c r="H4892" s="93"/>
      <c r="I4892" s="85"/>
      <c r="J4892" s="122"/>
      <c r="K4892" s="131"/>
      <c r="L4892" s="60"/>
      <c r="M4892" s="49"/>
      <c r="N4892" s="48"/>
      <c r="O4892" s="37"/>
      <c r="P4892" s="36"/>
      <c r="Z4892" s="4"/>
      <c r="AA4892"/>
      <c r="AB4892"/>
    </row>
    <row r="4893" spans="1:28" s="3" customFormat="1" x14ac:dyDescent="0.15">
      <c r="A4893" s="70"/>
      <c r="B4893" s="118"/>
      <c r="C4893" s="121"/>
      <c r="D4893" s="121"/>
      <c r="E4893" s="70"/>
      <c r="F4893" s="121"/>
      <c r="G4893" s="121"/>
      <c r="H4893" s="93"/>
      <c r="I4893" s="85"/>
      <c r="J4893" s="122"/>
      <c r="K4893" s="131"/>
      <c r="L4893" s="60"/>
      <c r="M4893" s="49"/>
      <c r="N4893" s="37"/>
      <c r="O4893" s="37"/>
      <c r="P4893" s="35"/>
      <c r="Z4893" s="4"/>
      <c r="AA4893"/>
      <c r="AB4893"/>
    </row>
    <row r="4894" spans="1:28" s="3" customFormat="1" x14ac:dyDescent="0.15">
      <c r="A4894" s="70"/>
      <c r="B4894" s="118"/>
      <c r="C4894" s="121"/>
      <c r="D4894" s="121"/>
      <c r="E4894" s="70"/>
      <c r="F4894" s="121"/>
      <c r="G4894" s="121"/>
      <c r="H4894" s="93"/>
      <c r="I4894" s="85"/>
      <c r="J4894" s="122"/>
      <c r="K4894" s="131"/>
      <c r="L4894" s="69"/>
      <c r="M4894" s="49"/>
      <c r="N4894" s="37"/>
      <c r="O4894" s="37"/>
      <c r="P4894" s="35"/>
      <c r="Z4894" s="4"/>
      <c r="AA4894"/>
      <c r="AB4894"/>
    </row>
    <row r="4895" spans="1:28" s="3" customFormat="1" x14ac:dyDescent="0.15">
      <c r="A4895" s="70"/>
      <c r="B4895" s="118"/>
      <c r="C4895" s="121"/>
      <c r="D4895" s="121"/>
      <c r="E4895" s="70"/>
      <c r="F4895" s="121"/>
      <c r="G4895" s="121"/>
      <c r="H4895" s="93"/>
      <c r="I4895" s="85"/>
      <c r="J4895" s="122"/>
      <c r="K4895" s="131"/>
      <c r="L4895" s="69"/>
      <c r="M4895" s="49"/>
      <c r="N4895" s="37"/>
      <c r="O4895" s="37"/>
      <c r="P4895" s="35"/>
      <c r="Z4895" s="4"/>
      <c r="AA4895"/>
      <c r="AB4895"/>
    </row>
    <row r="4896" spans="1:28" s="3" customFormat="1" x14ac:dyDescent="0.15">
      <c r="A4896" s="70"/>
      <c r="B4896" s="118"/>
      <c r="C4896" s="121"/>
      <c r="D4896" s="121"/>
      <c r="E4896" s="70"/>
      <c r="F4896" s="121"/>
      <c r="G4896" s="121"/>
      <c r="H4896" s="93"/>
      <c r="I4896" s="85"/>
      <c r="J4896" s="122"/>
      <c r="K4896" s="131"/>
      <c r="L4896" s="69"/>
      <c r="M4896" s="49"/>
      <c r="N4896" s="37"/>
      <c r="O4896" s="37"/>
      <c r="P4896" s="35"/>
      <c r="Z4896" s="4"/>
      <c r="AA4896"/>
      <c r="AB4896"/>
    </row>
    <row r="4897" spans="1:28" s="3" customFormat="1" x14ac:dyDescent="0.15">
      <c r="A4897" s="70"/>
      <c r="B4897" s="118"/>
      <c r="C4897" s="121"/>
      <c r="D4897" s="121"/>
      <c r="E4897" s="70"/>
      <c r="F4897" s="121"/>
      <c r="G4897" s="121"/>
      <c r="H4897" s="93"/>
      <c r="I4897" s="85"/>
      <c r="J4897" s="122"/>
      <c r="K4897" s="131"/>
      <c r="L4897" s="60"/>
      <c r="M4897" s="49"/>
      <c r="N4897" s="37"/>
      <c r="O4897" s="37"/>
      <c r="P4897" s="51"/>
      <c r="Z4897" s="4"/>
      <c r="AA4897"/>
      <c r="AB4897"/>
    </row>
    <row r="4898" spans="1:28" s="3" customFormat="1" x14ac:dyDescent="0.15">
      <c r="A4898" s="70"/>
      <c r="B4898" s="118"/>
      <c r="C4898" s="121"/>
      <c r="D4898" s="121"/>
      <c r="E4898" s="70"/>
      <c r="F4898" s="121"/>
      <c r="G4898" s="121"/>
      <c r="H4898" s="93"/>
      <c r="I4898" s="85"/>
      <c r="J4898" s="122"/>
      <c r="K4898" s="131"/>
      <c r="L4898" s="60"/>
      <c r="M4898" s="49"/>
      <c r="N4898" s="37"/>
      <c r="O4898" s="37"/>
      <c r="P4898" s="51"/>
      <c r="Z4898" s="4"/>
      <c r="AA4898"/>
      <c r="AB4898"/>
    </row>
    <row r="4899" spans="1:28" s="3" customFormat="1" x14ac:dyDescent="0.15">
      <c r="A4899" s="70"/>
      <c r="B4899" s="118"/>
      <c r="C4899" s="121"/>
      <c r="D4899" s="121"/>
      <c r="E4899" s="70"/>
      <c r="F4899" s="121"/>
      <c r="G4899" s="121"/>
      <c r="H4899" s="93"/>
      <c r="I4899" s="85"/>
      <c r="J4899" s="122"/>
      <c r="K4899" s="131"/>
      <c r="L4899" s="60"/>
      <c r="M4899" s="49"/>
      <c r="N4899" s="37"/>
      <c r="O4899" s="37"/>
      <c r="P4899" s="51"/>
      <c r="Z4899" s="4"/>
      <c r="AA4899"/>
      <c r="AB4899"/>
    </row>
    <row r="4900" spans="1:28" s="3" customFormat="1" x14ac:dyDescent="0.15">
      <c r="A4900" s="70"/>
      <c r="B4900" s="118"/>
      <c r="C4900" s="121"/>
      <c r="D4900" s="121"/>
      <c r="E4900" s="70"/>
      <c r="F4900" s="121"/>
      <c r="G4900" s="121"/>
      <c r="H4900" s="93"/>
      <c r="I4900" s="85"/>
      <c r="J4900" s="122"/>
      <c r="K4900" s="131"/>
      <c r="L4900" s="60"/>
      <c r="M4900" s="49"/>
      <c r="N4900" s="37"/>
      <c r="O4900" s="37"/>
      <c r="P4900" s="51"/>
      <c r="Z4900" s="4"/>
      <c r="AA4900"/>
      <c r="AB4900"/>
    </row>
    <row r="4901" spans="1:28" s="3" customFormat="1" x14ac:dyDescent="0.15">
      <c r="A4901" s="70"/>
      <c r="B4901" s="118"/>
      <c r="C4901" s="121"/>
      <c r="D4901" s="121"/>
      <c r="E4901" s="70"/>
      <c r="F4901" s="121"/>
      <c r="G4901" s="121"/>
      <c r="H4901" s="93"/>
      <c r="I4901" s="85"/>
      <c r="J4901" s="122"/>
      <c r="K4901" s="131"/>
      <c r="L4901" s="60"/>
      <c r="M4901" s="49"/>
      <c r="N4901" s="37"/>
      <c r="O4901" s="37"/>
      <c r="P4901" s="51"/>
      <c r="Z4901" s="4"/>
      <c r="AA4901"/>
      <c r="AB4901"/>
    </row>
    <row r="4902" spans="1:28" s="3" customFormat="1" x14ac:dyDescent="0.15">
      <c r="A4902" s="70"/>
      <c r="B4902" s="118"/>
      <c r="C4902" s="121"/>
      <c r="D4902" s="121"/>
      <c r="E4902" s="70"/>
      <c r="F4902" s="121"/>
      <c r="G4902" s="121"/>
      <c r="H4902" s="93"/>
      <c r="I4902" s="85"/>
      <c r="J4902" s="122"/>
      <c r="K4902" s="131"/>
      <c r="L4902" s="60"/>
      <c r="M4902" s="49"/>
      <c r="N4902" s="37"/>
      <c r="O4902" s="37"/>
      <c r="P4902" s="51"/>
      <c r="Z4902" s="4"/>
      <c r="AA4902"/>
      <c r="AB4902"/>
    </row>
    <row r="4903" spans="1:28" s="3" customFormat="1" ht="16" x14ac:dyDescent="0.2">
      <c r="A4903" s="70"/>
      <c r="B4903" s="118"/>
      <c r="C4903" s="121"/>
      <c r="D4903" s="121"/>
      <c r="E4903" s="70"/>
      <c r="F4903" s="121"/>
      <c r="G4903" s="121"/>
      <c r="H4903" s="93"/>
      <c r="I4903" s="85"/>
      <c r="J4903" s="122"/>
      <c r="K4903" s="131"/>
      <c r="L4903" s="60"/>
      <c r="M4903" s="49"/>
      <c r="N4903" s="48"/>
      <c r="O4903" s="37"/>
      <c r="P4903" s="51"/>
      <c r="Z4903" s="4"/>
      <c r="AA4903"/>
      <c r="AB4903"/>
    </row>
    <row r="4904" spans="1:28" s="3" customFormat="1" x14ac:dyDescent="0.15">
      <c r="A4904" s="70"/>
      <c r="B4904" s="118"/>
      <c r="C4904" s="121"/>
      <c r="D4904" s="121"/>
      <c r="E4904" s="70"/>
      <c r="F4904" s="121"/>
      <c r="G4904" s="121"/>
      <c r="H4904" s="93"/>
      <c r="I4904" s="85"/>
      <c r="J4904" s="122"/>
      <c r="K4904" s="131"/>
      <c r="L4904" s="60"/>
      <c r="M4904" s="49"/>
      <c r="N4904" s="37"/>
      <c r="O4904" s="37"/>
      <c r="P4904" s="51"/>
      <c r="Z4904" s="4"/>
      <c r="AA4904"/>
      <c r="AB4904"/>
    </row>
    <row r="4905" spans="1:28" s="3" customFormat="1" x14ac:dyDescent="0.15">
      <c r="A4905" s="70"/>
      <c r="B4905" s="118"/>
      <c r="C4905" s="121"/>
      <c r="D4905" s="121"/>
      <c r="E4905" s="70"/>
      <c r="F4905" s="121"/>
      <c r="G4905" s="121"/>
      <c r="H4905" s="93"/>
      <c r="I4905" s="85"/>
      <c r="J4905" s="122"/>
      <c r="K4905" s="131"/>
      <c r="L4905" s="60"/>
      <c r="M4905" s="49"/>
      <c r="N4905" s="37"/>
      <c r="O4905" s="37"/>
      <c r="P4905" s="51"/>
      <c r="Z4905" s="4"/>
      <c r="AA4905"/>
      <c r="AB4905"/>
    </row>
    <row r="4906" spans="1:28" s="3" customFormat="1" x14ac:dyDescent="0.15">
      <c r="A4906" s="70"/>
      <c r="B4906" s="118"/>
      <c r="C4906" s="121"/>
      <c r="D4906" s="121"/>
      <c r="E4906" s="70"/>
      <c r="F4906" s="121"/>
      <c r="G4906" s="121"/>
      <c r="H4906" s="93"/>
      <c r="I4906" s="85"/>
      <c r="J4906" s="122"/>
      <c r="K4906" s="131"/>
      <c r="L4906" s="60"/>
      <c r="M4906" s="49"/>
      <c r="N4906" s="37"/>
      <c r="O4906" s="37"/>
      <c r="P4906" s="51"/>
      <c r="Z4906" s="4"/>
      <c r="AA4906"/>
      <c r="AB4906"/>
    </row>
    <row r="4907" spans="1:28" s="3" customFormat="1" x14ac:dyDescent="0.15">
      <c r="A4907" s="70"/>
      <c r="B4907" s="118"/>
      <c r="C4907" s="121"/>
      <c r="D4907" s="121"/>
      <c r="E4907" s="70"/>
      <c r="F4907" s="121"/>
      <c r="G4907" s="121"/>
      <c r="H4907" s="93"/>
      <c r="I4907" s="85"/>
      <c r="J4907" s="122"/>
      <c r="K4907" s="131"/>
      <c r="L4907" s="69"/>
      <c r="M4907" s="49"/>
      <c r="N4907" s="37"/>
      <c r="O4907" s="37"/>
      <c r="P4907" s="51"/>
      <c r="Z4907" s="4"/>
      <c r="AA4907"/>
      <c r="AB4907"/>
    </row>
    <row r="4908" spans="1:28" s="3" customFormat="1" ht="16" x14ac:dyDescent="0.2">
      <c r="A4908" s="70"/>
      <c r="B4908" s="118"/>
      <c r="C4908" s="121"/>
      <c r="D4908" s="121"/>
      <c r="E4908" s="70"/>
      <c r="F4908" s="121"/>
      <c r="G4908" s="121"/>
      <c r="H4908" s="93"/>
      <c r="I4908" s="85"/>
      <c r="J4908" s="122"/>
      <c r="K4908" s="131"/>
      <c r="L4908" s="69"/>
      <c r="M4908" s="49"/>
      <c r="N4908" s="48"/>
      <c r="O4908" s="37"/>
      <c r="P4908" s="51"/>
      <c r="Z4908" s="4"/>
      <c r="AA4908"/>
      <c r="AB4908"/>
    </row>
    <row r="4909" spans="1:28" s="3" customFormat="1" ht="16" x14ac:dyDescent="0.2">
      <c r="A4909" s="70"/>
      <c r="B4909" s="118"/>
      <c r="C4909" s="121"/>
      <c r="D4909" s="121"/>
      <c r="E4909" s="70"/>
      <c r="F4909" s="121"/>
      <c r="G4909" s="121"/>
      <c r="H4909" s="93"/>
      <c r="I4909" s="85"/>
      <c r="J4909" s="122"/>
      <c r="K4909" s="131"/>
      <c r="L4909" s="60"/>
      <c r="M4909" s="49"/>
      <c r="N4909" s="48"/>
      <c r="O4909" s="37"/>
      <c r="P4909" s="51"/>
      <c r="Z4909" s="4"/>
      <c r="AA4909"/>
      <c r="AB4909"/>
    </row>
    <row r="4910" spans="1:28" s="3" customFormat="1" x14ac:dyDescent="0.15">
      <c r="A4910" s="70"/>
      <c r="B4910" s="118"/>
      <c r="C4910" s="121"/>
      <c r="D4910" s="121"/>
      <c r="E4910" s="70"/>
      <c r="F4910" s="121"/>
      <c r="G4910" s="121"/>
      <c r="H4910" s="93"/>
      <c r="I4910" s="85"/>
      <c r="J4910" s="122"/>
      <c r="K4910" s="131"/>
      <c r="L4910" s="60"/>
      <c r="M4910" s="49"/>
      <c r="N4910" s="37"/>
      <c r="O4910" s="37"/>
      <c r="P4910" s="37"/>
      <c r="Z4910" s="4"/>
      <c r="AA4910"/>
      <c r="AB4910"/>
    </row>
    <row r="4911" spans="1:28" s="3" customFormat="1" x14ac:dyDescent="0.15">
      <c r="A4911" s="70"/>
      <c r="B4911" s="117"/>
      <c r="C4911" s="121"/>
      <c r="D4911" s="121"/>
      <c r="E4911" s="70"/>
      <c r="F4911" s="121"/>
      <c r="G4911" s="121"/>
      <c r="H4911" s="93"/>
      <c r="I4911" s="85"/>
      <c r="J4911" s="122"/>
      <c r="K4911" s="131"/>
      <c r="L4911" s="60"/>
      <c r="M4911" s="49"/>
      <c r="N4911" s="37"/>
      <c r="O4911" s="37"/>
      <c r="P4911" s="37"/>
      <c r="Z4911" s="4"/>
      <c r="AA4911"/>
      <c r="AB4911"/>
    </row>
    <row r="4912" spans="1:28" s="3" customFormat="1" ht="16" x14ac:dyDescent="0.2">
      <c r="A4912" s="70"/>
      <c r="B4912" s="118"/>
      <c r="C4912" s="121"/>
      <c r="D4912" s="121"/>
      <c r="E4912" s="70"/>
      <c r="F4912" s="121"/>
      <c r="G4912" s="121"/>
      <c r="H4912" s="93"/>
      <c r="I4912" s="85"/>
      <c r="J4912" s="122"/>
      <c r="K4912" s="131"/>
      <c r="L4912" s="60"/>
      <c r="M4912" s="49"/>
      <c r="N4912" s="48"/>
      <c r="O4912" s="37"/>
      <c r="P4912" s="37"/>
      <c r="Z4912" s="4"/>
      <c r="AA4912"/>
      <c r="AB4912"/>
    </row>
    <row r="4913" spans="1:28" s="3" customFormat="1" x14ac:dyDescent="0.15">
      <c r="A4913" s="70"/>
      <c r="B4913" s="118"/>
      <c r="C4913" s="121"/>
      <c r="D4913" s="121"/>
      <c r="E4913" s="70"/>
      <c r="F4913" s="121"/>
      <c r="G4913" s="121"/>
      <c r="H4913" s="93"/>
      <c r="I4913" s="85"/>
      <c r="J4913" s="122"/>
      <c r="K4913" s="131"/>
      <c r="L4913" s="69"/>
      <c r="M4913" s="49"/>
      <c r="N4913" s="37"/>
      <c r="O4913" s="37"/>
      <c r="P4913" s="37"/>
      <c r="Z4913" s="4"/>
      <c r="AA4913"/>
      <c r="AB4913"/>
    </row>
    <row r="4914" spans="1:28" s="3" customFormat="1" x14ac:dyDescent="0.15">
      <c r="A4914" s="70"/>
      <c r="B4914" s="118"/>
      <c r="C4914" s="121"/>
      <c r="D4914" s="121"/>
      <c r="E4914" s="70"/>
      <c r="F4914" s="121"/>
      <c r="G4914" s="121"/>
      <c r="H4914" s="93"/>
      <c r="I4914" s="85"/>
      <c r="J4914" s="122"/>
      <c r="K4914" s="131"/>
      <c r="L4914" s="60"/>
      <c r="M4914" s="49"/>
      <c r="N4914" s="37"/>
      <c r="O4914" s="37"/>
      <c r="P4914" s="51"/>
      <c r="Z4914" s="4"/>
      <c r="AA4914"/>
      <c r="AB4914"/>
    </row>
    <row r="4915" spans="1:28" s="3" customFormat="1" x14ac:dyDescent="0.15">
      <c r="A4915" s="70"/>
      <c r="B4915" s="118"/>
      <c r="C4915" s="121"/>
      <c r="D4915" s="121"/>
      <c r="E4915" s="70"/>
      <c r="F4915" s="121"/>
      <c r="G4915" s="121"/>
      <c r="H4915" s="93"/>
      <c r="I4915" s="85"/>
      <c r="J4915" s="122"/>
      <c r="K4915" s="131"/>
      <c r="L4915" s="60"/>
      <c r="M4915" s="49"/>
      <c r="N4915" s="37"/>
      <c r="O4915" s="37"/>
      <c r="P4915" s="51"/>
      <c r="Z4915" s="4"/>
      <c r="AA4915"/>
      <c r="AB4915"/>
    </row>
    <row r="4916" spans="1:28" s="3" customFormat="1" x14ac:dyDescent="0.15">
      <c r="A4916" s="73"/>
      <c r="B4916" s="118"/>
      <c r="C4916" s="121"/>
      <c r="D4916" s="121"/>
      <c r="E4916" s="70"/>
      <c r="F4916" s="121"/>
      <c r="G4916" s="121"/>
      <c r="H4916" s="93"/>
      <c r="I4916" s="85"/>
      <c r="J4916" s="122"/>
      <c r="K4916" s="131"/>
      <c r="L4916" s="69"/>
      <c r="M4916" s="49"/>
      <c r="N4916" s="37"/>
      <c r="O4916" s="37"/>
      <c r="P4916" s="37"/>
      <c r="Z4916" s="4"/>
      <c r="AA4916"/>
      <c r="AB4916"/>
    </row>
    <row r="4917" spans="1:28" s="3" customFormat="1" x14ac:dyDescent="0.15">
      <c r="A4917" s="70"/>
      <c r="B4917" s="117"/>
      <c r="C4917" s="121"/>
      <c r="D4917" s="121"/>
      <c r="E4917" s="70"/>
      <c r="F4917" s="121"/>
      <c r="G4917" s="121"/>
      <c r="H4917" s="93"/>
      <c r="I4917" s="85"/>
      <c r="J4917" s="122"/>
      <c r="K4917" s="131"/>
      <c r="L4917" s="60"/>
      <c r="M4917" s="33"/>
      <c r="N4917" s="37"/>
      <c r="O4917" s="37"/>
      <c r="P4917" s="37"/>
      <c r="Z4917" s="4"/>
      <c r="AA4917"/>
      <c r="AB4917"/>
    </row>
    <row r="4918" spans="1:28" s="3" customFormat="1" x14ac:dyDescent="0.15">
      <c r="A4918" s="70"/>
      <c r="B4918" s="117"/>
      <c r="C4918" s="121"/>
      <c r="D4918" s="121"/>
      <c r="E4918" s="70"/>
      <c r="F4918" s="121"/>
      <c r="G4918" s="121"/>
      <c r="H4918" s="93"/>
      <c r="I4918" s="85"/>
      <c r="J4918" s="122"/>
      <c r="K4918" s="138"/>
      <c r="L4918" s="60"/>
      <c r="M4918" s="33"/>
      <c r="N4918" s="37"/>
      <c r="O4918" s="37"/>
      <c r="P4918" s="37"/>
      <c r="Z4918" s="4"/>
      <c r="AA4918"/>
      <c r="AB4918"/>
    </row>
    <row r="4919" spans="1:28" s="3" customFormat="1" x14ac:dyDescent="0.15">
      <c r="A4919" s="70"/>
      <c r="B4919" s="118"/>
      <c r="C4919" s="121"/>
      <c r="D4919" s="121"/>
      <c r="E4919" s="70"/>
      <c r="F4919" s="121"/>
      <c r="G4919" s="121"/>
      <c r="H4919" s="93"/>
      <c r="I4919" s="85"/>
      <c r="J4919" s="122"/>
      <c r="K4919" s="131"/>
      <c r="L4919" s="60"/>
      <c r="M4919" s="49"/>
      <c r="N4919" s="37"/>
      <c r="O4919" s="37"/>
      <c r="P4919" s="37"/>
      <c r="Z4919" s="4"/>
      <c r="AA4919"/>
      <c r="AB4919"/>
    </row>
    <row r="4920" spans="1:28" s="3" customFormat="1" x14ac:dyDescent="0.15">
      <c r="A4920" s="70"/>
      <c r="B4920" s="117"/>
      <c r="C4920" s="121"/>
      <c r="D4920" s="121"/>
      <c r="E4920" s="70"/>
      <c r="F4920" s="121"/>
      <c r="G4920" s="121"/>
      <c r="H4920" s="93"/>
      <c r="I4920" s="85"/>
      <c r="J4920" s="122"/>
      <c r="K4920" s="131"/>
      <c r="L4920" s="60"/>
      <c r="M4920" s="33"/>
      <c r="N4920" s="37"/>
      <c r="O4920" s="37"/>
      <c r="P4920" s="37"/>
      <c r="Z4920" s="4"/>
      <c r="AA4920"/>
      <c r="AB4920"/>
    </row>
    <row r="4921" spans="1:28" s="3" customFormat="1" x14ac:dyDescent="0.15">
      <c r="A4921" s="70"/>
      <c r="B4921" s="118"/>
      <c r="C4921" s="121"/>
      <c r="D4921" s="121"/>
      <c r="E4921" s="70"/>
      <c r="F4921" s="121"/>
      <c r="G4921" s="121"/>
      <c r="H4921" s="93"/>
      <c r="I4921" s="85"/>
      <c r="J4921" s="122"/>
      <c r="K4921" s="131"/>
      <c r="L4921" s="69"/>
      <c r="M4921" s="49"/>
      <c r="N4921" s="37"/>
      <c r="O4921" s="37"/>
      <c r="P4921" s="37"/>
      <c r="Z4921" s="4"/>
      <c r="AA4921"/>
      <c r="AB4921"/>
    </row>
    <row r="4922" spans="1:28" s="3" customFormat="1" x14ac:dyDescent="0.15">
      <c r="A4922" s="70"/>
      <c r="B4922" s="118"/>
      <c r="C4922" s="121"/>
      <c r="D4922" s="121"/>
      <c r="E4922" s="70"/>
      <c r="F4922" s="121"/>
      <c r="G4922" s="121"/>
      <c r="H4922" s="93"/>
      <c r="I4922" s="85"/>
      <c r="J4922" s="122"/>
      <c r="K4922" s="131"/>
      <c r="L4922" s="69"/>
      <c r="M4922" s="49"/>
      <c r="N4922" s="37"/>
      <c r="O4922" s="37"/>
      <c r="P4922" s="37"/>
      <c r="Z4922" s="4"/>
      <c r="AA4922"/>
      <c r="AB4922"/>
    </row>
    <row r="4923" spans="1:28" s="3" customFormat="1" x14ac:dyDescent="0.15">
      <c r="A4923" s="70"/>
      <c r="B4923" s="118"/>
      <c r="C4923" s="121"/>
      <c r="D4923" s="121"/>
      <c r="E4923" s="70"/>
      <c r="F4923" s="121"/>
      <c r="G4923" s="121"/>
      <c r="H4923" s="93"/>
      <c r="I4923" s="85"/>
      <c r="J4923" s="122"/>
      <c r="K4923" s="131"/>
      <c r="L4923" s="69"/>
      <c r="M4923" s="49"/>
      <c r="N4923" s="37"/>
      <c r="O4923" s="37"/>
      <c r="P4923" s="37"/>
      <c r="Z4923" s="4"/>
      <c r="AA4923"/>
      <c r="AB4923"/>
    </row>
    <row r="4924" spans="1:28" s="3" customFormat="1" ht="16" x14ac:dyDescent="0.2">
      <c r="A4924" s="70"/>
      <c r="B4924" s="118"/>
      <c r="C4924" s="121"/>
      <c r="D4924" s="121"/>
      <c r="E4924" s="70"/>
      <c r="F4924" s="121"/>
      <c r="G4924" s="121"/>
      <c r="H4924" s="93"/>
      <c r="I4924" s="85"/>
      <c r="J4924" s="122"/>
      <c r="K4924" s="131"/>
      <c r="L4924" s="69"/>
      <c r="M4924" s="49"/>
      <c r="N4924" s="48"/>
      <c r="O4924" s="37"/>
      <c r="P4924" s="37"/>
      <c r="Z4924" s="4"/>
      <c r="AA4924"/>
      <c r="AB4924"/>
    </row>
    <row r="4925" spans="1:28" s="3" customFormat="1" x14ac:dyDescent="0.15">
      <c r="A4925" s="70"/>
      <c r="B4925" s="118"/>
      <c r="C4925" s="121"/>
      <c r="D4925" s="121"/>
      <c r="E4925" s="70"/>
      <c r="F4925" s="121"/>
      <c r="G4925" s="121"/>
      <c r="H4925" s="93"/>
      <c r="I4925" s="85"/>
      <c r="J4925" s="122"/>
      <c r="K4925" s="131"/>
      <c r="L4925" s="69"/>
      <c r="M4925" s="49"/>
      <c r="N4925" s="37"/>
      <c r="O4925" s="37"/>
      <c r="P4925" s="37"/>
      <c r="Z4925" s="4"/>
      <c r="AA4925"/>
      <c r="AB4925"/>
    </row>
    <row r="4926" spans="1:28" s="3" customFormat="1" x14ac:dyDescent="0.15">
      <c r="A4926" s="70"/>
      <c r="B4926" s="118"/>
      <c r="C4926" s="121"/>
      <c r="D4926" s="121"/>
      <c r="E4926" s="70"/>
      <c r="F4926" s="121"/>
      <c r="G4926" s="121"/>
      <c r="H4926" s="93"/>
      <c r="I4926" s="85"/>
      <c r="J4926" s="122"/>
      <c r="K4926" s="131"/>
      <c r="L4926" s="60"/>
      <c r="M4926" s="49"/>
      <c r="N4926" s="37"/>
      <c r="O4926" s="37"/>
      <c r="P4926" s="37"/>
      <c r="Z4926" s="4"/>
      <c r="AA4926"/>
      <c r="AB4926"/>
    </row>
    <row r="4927" spans="1:28" s="3" customFormat="1" x14ac:dyDescent="0.15">
      <c r="A4927" s="73"/>
      <c r="B4927" s="118"/>
      <c r="C4927" s="121"/>
      <c r="D4927" s="121"/>
      <c r="E4927" s="70"/>
      <c r="F4927" s="121"/>
      <c r="G4927" s="121"/>
      <c r="H4927" s="93"/>
      <c r="I4927" s="85"/>
      <c r="J4927" s="122"/>
      <c r="K4927" s="131"/>
      <c r="L4927" s="60"/>
      <c r="M4927" s="49"/>
      <c r="N4927" s="37"/>
      <c r="O4927" s="37"/>
      <c r="P4927" s="37"/>
      <c r="Q4927" s="6"/>
      <c r="R4927" s="6"/>
      <c r="Z4927" s="4"/>
      <c r="AA4927"/>
      <c r="AB4927"/>
    </row>
    <row r="4928" spans="1:28" s="3" customFormat="1" x14ac:dyDescent="0.15">
      <c r="A4928" s="70"/>
      <c r="B4928" s="117"/>
      <c r="C4928" s="121"/>
      <c r="D4928" s="121"/>
      <c r="E4928" s="70"/>
      <c r="F4928" s="121"/>
      <c r="G4928" s="121"/>
      <c r="H4928" s="93"/>
      <c r="I4928" s="85"/>
      <c r="J4928" s="122"/>
      <c r="K4928" s="131"/>
      <c r="L4928" s="60"/>
      <c r="M4928" s="33"/>
      <c r="N4928" s="37"/>
      <c r="O4928" s="37"/>
      <c r="P4928" s="37"/>
      <c r="Q4928" s="6"/>
      <c r="R4928" s="6"/>
      <c r="Z4928" s="4"/>
      <c r="AA4928"/>
      <c r="AB4928"/>
    </row>
    <row r="4929" spans="1:28" s="3" customFormat="1" x14ac:dyDescent="0.15">
      <c r="A4929" s="70"/>
      <c r="B4929" s="118"/>
      <c r="C4929" s="121"/>
      <c r="D4929" s="121"/>
      <c r="E4929" s="70"/>
      <c r="F4929" s="121"/>
      <c r="G4929" s="121"/>
      <c r="H4929" s="93"/>
      <c r="I4929" s="85"/>
      <c r="J4929" s="122"/>
      <c r="K4929" s="131"/>
      <c r="L4929" s="69"/>
      <c r="M4929" s="49"/>
      <c r="N4929" s="37"/>
      <c r="O4929" s="37"/>
      <c r="P4929" s="37"/>
      <c r="Q4929" s="6"/>
      <c r="R4929" s="6"/>
      <c r="Z4929" s="4"/>
      <c r="AA4929"/>
      <c r="AB4929"/>
    </row>
    <row r="4930" spans="1:28" s="3" customFormat="1" x14ac:dyDescent="0.15">
      <c r="A4930" s="73"/>
      <c r="B4930" s="118"/>
      <c r="C4930" s="121"/>
      <c r="D4930" s="121"/>
      <c r="E4930" s="70"/>
      <c r="F4930" s="121"/>
      <c r="G4930" s="121"/>
      <c r="H4930" s="93"/>
      <c r="I4930" s="85"/>
      <c r="J4930" s="122"/>
      <c r="K4930" s="131"/>
      <c r="L4930" s="60"/>
      <c r="M4930" s="49"/>
      <c r="N4930" s="37"/>
      <c r="O4930" s="37"/>
      <c r="P4930" s="37"/>
      <c r="Q4930" s="6"/>
      <c r="R4930" s="6"/>
      <c r="Z4930" s="4"/>
      <c r="AA4930"/>
      <c r="AB4930"/>
    </row>
    <row r="4931" spans="1:28" s="3" customFormat="1" x14ac:dyDescent="0.15">
      <c r="A4931" s="70"/>
      <c r="B4931" s="117"/>
      <c r="C4931" s="121"/>
      <c r="D4931" s="121"/>
      <c r="E4931" s="70"/>
      <c r="F4931" s="121"/>
      <c r="G4931" s="121"/>
      <c r="H4931" s="93"/>
      <c r="I4931" s="85"/>
      <c r="J4931" s="122"/>
      <c r="K4931" s="131"/>
      <c r="L4931" s="60"/>
      <c r="M4931" s="33"/>
      <c r="N4931" s="37"/>
      <c r="O4931" s="37"/>
      <c r="P4931" s="37"/>
      <c r="Q4931" s="6"/>
      <c r="R4931" s="6"/>
      <c r="Z4931" s="4"/>
      <c r="AA4931"/>
      <c r="AB4931"/>
    </row>
    <row r="4932" spans="1:28" s="3" customFormat="1" x14ac:dyDescent="0.15">
      <c r="A4932" s="70"/>
      <c r="B4932" s="117"/>
      <c r="C4932" s="121"/>
      <c r="D4932" s="121"/>
      <c r="E4932" s="70"/>
      <c r="F4932" s="121"/>
      <c r="G4932" s="121"/>
      <c r="H4932" s="93"/>
      <c r="I4932" s="85"/>
      <c r="J4932" s="122"/>
      <c r="K4932" s="131"/>
      <c r="L4932" s="60"/>
      <c r="M4932" s="33"/>
      <c r="N4932" s="37"/>
      <c r="O4932" s="37"/>
      <c r="P4932" s="37"/>
      <c r="Q4932" s="6"/>
      <c r="R4932" s="6"/>
      <c r="Z4932" s="4"/>
      <c r="AA4932"/>
      <c r="AB4932"/>
    </row>
    <row r="4933" spans="1:28" s="3" customFormat="1" x14ac:dyDescent="0.15">
      <c r="A4933" s="70"/>
      <c r="B4933" s="118"/>
      <c r="C4933" s="121"/>
      <c r="D4933" s="121"/>
      <c r="E4933" s="70"/>
      <c r="F4933" s="121"/>
      <c r="G4933" s="121"/>
      <c r="H4933" s="93"/>
      <c r="I4933" s="85"/>
      <c r="J4933" s="122"/>
      <c r="K4933" s="131"/>
      <c r="L4933" s="60"/>
      <c r="M4933" s="49"/>
      <c r="N4933" s="37"/>
      <c r="O4933" s="37"/>
      <c r="P4933" s="37"/>
      <c r="Q4933" s="6"/>
      <c r="R4933" s="6"/>
      <c r="Z4933" s="4"/>
      <c r="AA4933"/>
      <c r="AB4933"/>
    </row>
    <row r="4934" spans="1:28" s="3" customFormat="1" x14ac:dyDescent="0.15">
      <c r="A4934" s="73"/>
      <c r="B4934" s="118"/>
      <c r="C4934" s="121"/>
      <c r="D4934" s="121"/>
      <c r="E4934" s="70"/>
      <c r="F4934" s="121"/>
      <c r="G4934" s="121"/>
      <c r="H4934" s="93"/>
      <c r="I4934" s="85"/>
      <c r="J4934" s="122"/>
      <c r="K4934" s="131"/>
      <c r="L4934" s="60"/>
      <c r="M4934" s="49"/>
      <c r="N4934" s="37"/>
      <c r="O4934" s="37"/>
      <c r="P4934" s="51"/>
      <c r="Z4934" s="4"/>
      <c r="AA4934"/>
      <c r="AB4934"/>
    </row>
    <row r="4935" spans="1:28" s="3" customFormat="1" x14ac:dyDescent="0.15">
      <c r="A4935" s="73"/>
      <c r="B4935" s="118"/>
      <c r="C4935" s="121"/>
      <c r="D4935" s="121"/>
      <c r="E4935" s="70"/>
      <c r="F4935" s="121"/>
      <c r="G4935" s="121"/>
      <c r="H4935" s="93"/>
      <c r="I4935" s="85"/>
      <c r="J4935" s="122"/>
      <c r="K4935" s="131"/>
      <c r="L4935" s="60"/>
      <c r="M4935" s="49"/>
      <c r="N4935" s="37"/>
      <c r="O4935" s="37"/>
      <c r="P4935" s="37"/>
      <c r="Z4935" s="4"/>
      <c r="AA4935"/>
      <c r="AB4935"/>
    </row>
    <row r="4936" spans="1:28" s="3" customFormat="1" x14ac:dyDescent="0.15">
      <c r="A4936" s="70"/>
      <c r="B4936" s="118"/>
      <c r="C4936" s="121"/>
      <c r="D4936" s="121"/>
      <c r="E4936" s="70"/>
      <c r="F4936" s="121"/>
      <c r="G4936" s="121"/>
      <c r="H4936" s="93"/>
      <c r="I4936" s="85"/>
      <c r="J4936" s="122"/>
      <c r="K4936" s="131"/>
      <c r="L4936" s="60"/>
      <c r="M4936" s="49"/>
      <c r="N4936" s="37"/>
      <c r="O4936" s="37"/>
      <c r="P4936" s="37"/>
      <c r="Z4936" s="4"/>
      <c r="AA4936"/>
      <c r="AB4936"/>
    </row>
    <row r="4937" spans="1:28" s="3" customFormat="1" x14ac:dyDescent="0.15">
      <c r="A4937" s="70"/>
      <c r="B4937" s="118"/>
      <c r="C4937" s="121"/>
      <c r="D4937" s="121"/>
      <c r="E4937" s="70"/>
      <c r="F4937" s="121"/>
      <c r="G4937" s="121"/>
      <c r="H4937" s="93"/>
      <c r="I4937" s="85"/>
      <c r="J4937" s="122"/>
      <c r="K4937" s="131"/>
      <c r="L4937" s="60"/>
      <c r="M4937" s="49"/>
      <c r="N4937" s="37"/>
      <c r="O4937" s="37"/>
      <c r="P4937" s="37"/>
      <c r="Z4937" s="4"/>
      <c r="AA4937"/>
      <c r="AB4937"/>
    </row>
    <row r="4938" spans="1:28" s="3" customFormat="1" x14ac:dyDescent="0.15">
      <c r="A4938" s="70"/>
      <c r="B4938" s="118"/>
      <c r="C4938" s="121"/>
      <c r="D4938" s="121"/>
      <c r="E4938" s="70"/>
      <c r="F4938" s="121"/>
      <c r="G4938" s="121"/>
      <c r="H4938" s="93"/>
      <c r="I4938" s="85"/>
      <c r="J4938" s="122"/>
      <c r="K4938" s="131"/>
      <c r="L4938" s="60"/>
      <c r="M4938" s="49"/>
      <c r="N4938" s="37"/>
      <c r="O4938" s="37"/>
      <c r="P4938" s="37"/>
      <c r="Z4938" s="4"/>
      <c r="AA4938"/>
      <c r="AB4938"/>
    </row>
    <row r="4939" spans="1:28" s="3" customFormat="1" x14ac:dyDescent="0.15">
      <c r="A4939" s="70"/>
      <c r="B4939" s="118"/>
      <c r="C4939" s="121"/>
      <c r="D4939" s="121"/>
      <c r="E4939" s="70"/>
      <c r="F4939" s="121"/>
      <c r="G4939" s="121"/>
      <c r="H4939" s="108"/>
      <c r="I4939" s="85"/>
      <c r="J4939" s="122"/>
      <c r="K4939" s="131"/>
      <c r="L4939" s="60"/>
      <c r="M4939" s="49"/>
      <c r="N4939" s="37"/>
      <c r="O4939" s="37"/>
      <c r="P4939" s="37"/>
      <c r="Z4939" s="4"/>
      <c r="AA4939"/>
      <c r="AB4939"/>
    </row>
    <row r="4940" spans="1:28" s="3" customFormat="1" x14ac:dyDescent="0.15">
      <c r="A4940" s="70"/>
      <c r="B4940" s="118"/>
      <c r="C4940" s="121"/>
      <c r="D4940" s="121"/>
      <c r="E4940" s="70"/>
      <c r="F4940" s="121"/>
      <c r="G4940" s="121"/>
      <c r="H4940" s="93"/>
      <c r="I4940" s="85"/>
      <c r="J4940" s="122"/>
      <c r="K4940" s="131"/>
      <c r="L4940" s="60"/>
      <c r="M4940" s="49"/>
      <c r="N4940" s="37"/>
      <c r="O4940" s="37"/>
      <c r="P4940" s="37"/>
      <c r="Z4940" s="4"/>
      <c r="AA4940"/>
      <c r="AB4940"/>
    </row>
    <row r="4941" spans="1:28" s="3" customFormat="1" x14ac:dyDescent="0.15">
      <c r="A4941" s="70"/>
      <c r="B4941" s="118"/>
      <c r="C4941" s="121"/>
      <c r="D4941" s="121"/>
      <c r="E4941" s="70"/>
      <c r="F4941" s="121"/>
      <c r="G4941" s="121"/>
      <c r="H4941" s="93"/>
      <c r="I4941" s="85"/>
      <c r="J4941" s="122"/>
      <c r="K4941" s="131"/>
      <c r="L4941" s="60"/>
      <c r="M4941" s="49"/>
      <c r="N4941" s="37"/>
      <c r="O4941" s="37"/>
      <c r="P4941" s="37"/>
      <c r="Z4941" s="4"/>
      <c r="AA4941"/>
      <c r="AB4941"/>
    </row>
    <row r="4942" spans="1:28" s="37" customFormat="1" x14ac:dyDescent="0.15">
      <c r="A4942" s="70"/>
      <c r="B4942" s="118"/>
      <c r="C4942" s="121"/>
      <c r="D4942" s="121"/>
      <c r="E4942" s="70"/>
      <c r="F4942" s="121"/>
      <c r="G4942" s="121"/>
      <c r="H4942" s="93"/>
      <c r="I4942" s="85"/>
      <c r="J4942" s="122"/>
      <c r="K4942" s="131"/>
      <c r="L4942" s="60"/>
      <c r="M4942" s="49"/>
      <c r="Q4942" s="3"/>
      <c r="R4942" s="3"/>
      <c r="S4942" s="3"/>
      <c r="T4942" s="3"/>
      <c r="U4942" s="3"/>
      <c r="V4942" s="3"/>
      <c r="W4942" s="3"/>
      <c r="X4942" s="3"/>
      <c r="Y4942" s="3"/>
      <c r="Z4942" s="4"/>
      <c r="AA4942"/>
      <c r="AB4942"/>
    </row>
    <row r="4943" spans="1:28" s="37" customFormat="1" ht="16" x14ac:dyDescent="0.2">
      <c r="A4943" s="70"/>
      <c r="B4943" s="118"/>
      <c r="C4943" s="121"/>
      <c r="D4943" s="121"/>
      <c r="E4943" s="70"/>
      <c r="F4943" s="121"/>
      <c r="G4943" s="121"/>
      <c r="H4943" s="93"/>
      <c r="I4943" s="85"/>
      <c r="J4943" s="122"/>
      <c r="K4943" s="131"/>
      <c r="L4943" s="60"/>
      <c r="M4943" s="49"/>
      <c r="N4943" s="48"/>
      <c r="Q4943" s="3"/>
      <c r="R4943" s="3"/>
      <c r="S4943" s="3"/>
      <c r="T4943" s="3"/>
      <c r="U4943" s="3"/>
      <c r="V4943" s="3"/>
      <c r="W4943" s="3"/>
      <c r="X4943" s="3"/>
      <c r="Y4943" s="3"/>
      <c r="Z4943" s="4"/>
      <c r="AA4943"/>
      <c r="AB4943"/>
    </row>
    <row r="4944" spans="1:28" s="37" customFormat="1" ht="16" x14ac:dyDescent="0.2">
      <c r="A4944" s="70"/>
      <c r="B4944" s="118"/>
      <c r="C4944" s="121"/>
      <c r="D4944" s="121"/>
      <c r="E4944" s="70"/>
      <c r="F4944" s="121"/>
      <c r="G4944" s="121"/>
      <c r="H4944" s="93"/>
      <c r="I4944" s="85"/>
      <c r="J4944" s="122"/>
      <c r="K4944" s="131"/>
      <c r="L4944" s="69"/>
      <c r="M4944" s="49"/>
      <c r="N4944" s="48"/>
      <c r="Q4944" s="3"/>
      <c r="R4944" s="3"/>
      <c r="S4944" s="3"/>
      <c r="T4944" s="3"/>
      <c r="U4944" s="3"/>
      <c r="V4944" s="3"/>
      <c r="W4944" s="3"/>
      <c r="X4944" s="3"/>
      <c r="Y4944" s="3"/>
      <c r="Z4944" s="4"/>
      <c r="AA4944"/>
      <c r="AB4944"/>
    </row>
    <row r="4945" spans="1:28" s="37" customFormat="1" x14ac:dyDescent="0.15">
      <c r="A4945" s="70"/>
      <c r="B4945" s="118"/>
      <c r="C4945" s="121"/>
      <c r="D4945" s="121"/>
      <c r="E4945" s="70"/>
      <c r="F4945" s="121"/>
      <c r="G4945" s="121"/>
      <c r="H4945" s="93"/>
      <c r="I4945" s="85"/>
      <c r="J4945" s="122"/>
      <c r="K4945" s="131"/>
      <c r="L4945" s="69"/>
      <c r="M4945" s="49"/>
      <c r="Q4945" s="3"/>
      <c r="R4945" s="3"/>
      <c r="S4945" s="3"/>
      <c r="T4945" s="3"/>
      <c r="U4945" s="3"/>
      <c r="V4945" s="3"/>
      <c r="W4945" s="3"/>
      <c r="X4945" s="3"/>
      <c r="Y4945" s="3"/>
      <c r="Z4945" s="4"/>
      <c r="AA4945"/>
      <c r="AB4945"/>
    </row>
    <row r="4946" spans="1:28" s="37" customFormat="1" x14ac:dyDescent="0.15">
      <c r="A4946" s="70"/>
      <c r="B4946" s="118"/>
      <c r="C4946" s="121"/>
      <c r="D4946" s="121"/>
      <c r="E4946" s="70"/>
      <c r="F4946" s="121"/>
      <c r="G4946" s="121"/>
      <c r="H4946" s="93"/>
      <c r="I4946" s="85"/>
      <c r="J4946" s="122"/>
      <c r="K4946" s="131"/>
      <c r="L4946" s="69"/>
      <c r="M4946" s="49"/>
      <c r="Q4946" s="3"/>
      <c r="R4946" s="3"/>
      <c r="S4946" s="3"/>
      <c r="T4946" s="3"/>
      <c r="U4946" s="3"/>
      <c r="V4946" s="3"/>
      <c r="W4946" s="3"/>
      <c r="X4946" s="3"/>
      <c r="Y4946" s="3"/>
      <c r="Z4946" s="4"/>
      <c r="AA4946"/>
      <c r="AB4946"/>
    </row>
    <row r="4947" spans="1:28" s="37" customFormat="1" x14ac:dyDescent="0.15">
      <c r="A4947" s="73"/>
      <c r="B4947" s="118"/>
      <c r="C4947" s="121"/>
      <c r="D4947" s="121"/>
      <c r="E4947" s="70"/>
      <c r="F4947" s="121"/>
      <c r="G4947" s="121"/>
      <c r="H4947" s="93"/>
      <c r="I4947" s="85"/>
      <c r="J4947" s="122"/>
      <c r="K4947" s="131"/>
      <c r="L4947" s="69"/>
      <c r="M4947" s="49"/>
      <c r="Q4947" s="3"/>
      <c r="R4947" s="3"/>
      <c r="S4947" s="3"/>
      <c r="T4947" s="3"/>
      <c r="U4947" s="3"/>
      <c r="V4947" s="3"/>
      <c r="W4947" s="3"/>
      <c r="X4947" s="3"/>
      <c r="Y4947" s="3"/>
      <c r="Z4947" s="4"/>
      <c r="AA4947"/>
      <c r="AB4947"/>
    </row>
    <row r="4948" spans="1:28" s="37" customFormat="1" x14ac:dyDescent="0.15">
      <c r="A4948" s="70"/>
      <c r="B4948" s="118"/>
      <c r="C4948" s="121"/>
      <c r="D4948" s="121"/>
      <c r="E4948" s="70"/>
      <c r="F4948" s="121"/>
      <c r="G4948" s="121"/>
      <c r="H4948" s="93"/>
      <c r="I4948" s="85"/>
      <c r="J4948" s="122"/>
      <c r="K4948" s="131"/>
      <c r="L4948" s="60"/>
      <c r="M4948" s="49"/>
      <c r="Q4948" s="3"/>
      <c r="R4948" s="3"/>
      <c r="S4948" s="3"/>
      <c r="T4948" s="3"/>
      <c r="U4948" s="3"/>
      <c r="V4948" s="3"/>
      <c r="W4948" s="3"/>
      <c r="X4948" s="3"/>
      <c r="Y4948" s="3"/>
      <c r="Z4948" s="4"/>
      <c r="AA4948"/>
      <c r="AB4948"/>
    </row>
    <row r="4949" spans="1:28" s="37" customFormat="1" x14ac:dyDescent="0.15">
      <c r="A4949" s="70"/>
      <c r="B4949" s="118"/>
      <c r="C4949" s="121"/>
      <c r="D4949" s="121"/>
      <c r="E4949" s="70"/>
      <c r="F4949" s="121"/>
      <c r="G4949" s="121"/>
      <c r="H4949" s="93"/>
      <c r="I4949" s="85"/>
      <c r="J4949" s="122"/>
      <c r="K4949" s="131"/>
      <c r="L4949" s="60"/>
      <c r="M4949" s="49"/>
      <c r="Q4949" s="3"/>
      <c r="R4949" s="3"/>
      <c r="S4949" s="3"/>
      <c r="T4949" s="3"/>
      <c r="U4949" s="3"/>
      <c r="V4949" s="3"/>
      <c r="W4949" s="3"/>
      <c r="X4949" s="3"/>
      <c r="Y4949" s="3"/>
      <c r="Z4949" s="4"/>
      <c r="AA4949"/>
      <c r="AB4949"/>
    </row>
    <row r="4950" spans="1:28" s="37" customFormat="1" x14ac:dyDescent="0.15">
      <c r="A4950" s="70"/>
      <c r="B4950" s="118"/>
      <c r="C4950" s="121"/>
      <c r="D4950" s="121"/>
      <c r="E4950" s="70"/>
      <c r="F4950" s="121"/>
      <c r="G4950" s="121"/>
      <c r="H4950" s="93"/>
      <c r="I4950" s="85"/>
      <c r="J4950" s="122"/>
      <c r="K4950" s="131"/>
      <c r="L4950" s="60"/>
      <c r="M4950" s="49"/>
      <c r="Q4950" s="3"/>
      <c r="R4950" s="3"/>
      <c r="S4950" s="3"/>
      <c r="T4950" s="3"/>
      <c r="U4950" s="3"/>
      <c r="V4950" s="3"/>
      <c r="W4950" s="3"/>
      <c r="X4950" s="3"/>
      <c r="Y4950" s="3"/>
      <c r="Z4950" s="4"/>
      <c r="AA4950"/>
      <c r="AB4950"/>
    </row>
    <row r="4951" spans="1:28" s="37" customFormat="1" x14ac:dyDescent="0.15">
      <c r="A4951" s="70"/>
      <c r="B4951" s="118"/>
      <c r="C4951" s="121"/>
      <c r="D4951" s="121"/>
      <c r="E4951" s="70"/>
      <c r="F4951" s="121"/>
      <c r="G4951" s="121"/>
      <c r="H4951" s="93"/>
      <c r="I4951" s="85"/>
      <c r="J4951" s="122"/>
      <c r="K4951" s="131"/>
      <c r="L4951" s="60"/>
      <c r="M4951" s="49"/>
      <c r="Q4951" s="3"/>
      <c r="R4951" s="3"/>
      <c r="S4951" s="3"/>
      <c r="T4951" s="3"/>
      <c r="U4951" s="3"/>
      <c r="V4951" s="3"/>
      <c r="W4951" s="3"/>
      <c r="X4951" s="3"/>
      <c r="Y4951" s="3"/>
      <c r="Z4951" s="4"/>
      <c r="AA4951"/>
      <c r="AB4951"/>
    </row>
    <row r="4952" spans="1:28" s="37" customFormat="1" x14ac:dyDescent="0.15">
      <c r="A4952" s="70"/>
      <c r="B4952" s="118"/>
      <c r="C4952" s="121"/>
      <c r="D4952" s="121"/>
      <c r="E4952" s="70"/>
      <c r="F4952" s="121"/>
      <c r="G4952" s="121"/>
      <c r="H4952" s="93"/>
      <c r="I4952" s="85"/>
      <c r="J4952" s="122"/>
      <c r="K4952" s="131"/>
      <c r="L4952" s="60"/>
      <c r="M4952" s="49"/>
      <c r="Q4952" s="3"/>
      <c r="R4952" s="3"/>
      <c r="S4952" s="3"/>
      <c r="T4952" s="3"/>
      <c r="U4952" s="3"/>
      <c r="V4952" s="3"/>
      <c r="W4952" s="3"/>
      <c r="X4952" s="3"/>
      <c r="Y4952" s="3"/>
      <c r="Z4952" s="4"/>
      <c r="AA4952"/>
      <c r="AB4952"/>
    </row>
    <row r="4953" spans="1:28" s="37" customFormat="1" x14ac:dyDescent="0.15">
      <c r="A4953" s="73"/>
      <c r="B4953" s="118"/>
      <c r="C4953" s="121"/>
      <c r="D4953" s="121"/>
      <c r="E4953" s="70"/>
      <c r="F4953" s="121"/>
      <c r="G4953" s="121"/>
      <c r="H4953" s="93"/>
      <c r="I4953" s="85"/>
      <c r="J4953" s="122"/>
      <c r="K4953" s="131"/>
      <c r="L4953" s="60"/>
      <c r="M4953" s="33"/>
      <c r="Q4953" s="3"/>
      <c r="R4953" s="3"/>
      <c r="S4953" s="3"/>
      <c r="T4953" s="3"/>
      <c r="U4953" s="3"/>
      <c r="V4953" s="3"/>
      <c r="W4953" s="3"/>
      <c r="X4953" s="3"/>
      <c r="Y4953" s="3"/>
      <c r="Z4953" s="4"/>
      <c r="AA4953"/>
      <c r="AB4953"/>
    </row>
    <row r="4954" spans="1:28" s="37" customFormat="1" x14ac:dyDescent="0.15">
      <c r="A4954" s="70"/>
      <c r="B4954" s="117"/>
      <c r="C4954" s="121"/>
      <c r="D4954" s="121"/>
      <c r="E4954" s="70"/>
      <c r="F4954" s="121"/>
      <c r="G4954" s="121"/>
      <c r="H4954" s="93"/>
      <c r="I4954" s="85"/>
      <c r="J4954" s="122"/>
      <c r="K4954" s="131"/>
      <c r="L4954" s="60"/>
      <c r="M4954" s="33"/>
      <c r="Q4954" s="3"/>
      <c r="R4954" s="3"/>
      <c r="S4954" s="3"/>
      <c r="T4954" s="3"/>
      <c r="U4954" s="3"/>
      <c r="V4954" s="3"/>
      <c r="W4954" s="3"/>
      <c r="X4954" s="3"/>
      <c r="Y4954" s="3"/>
      <c r="Z4954" s="4"/>
      <c r="AA4954"/>
      <c r="AB4954"/>
    </row>
    <row r="4955" spans="1:28" s="37" customFormat="1" x14ac:dyDescent="0.15">
      <c r="A4955" s="70"/>
      <c r="B4955" s="118"/>
      <c r="C4955" s="121"/>
      <c r="D4955" s="121"/>
      <c r="E4955" s="70"/>
      <c r="F4955" s="121"/>
      <c r="G4955" s="121"/>
      <c r="H4955" s="93"/>
      <c r="I4955" s="85"/>
      <c r="J4955" s="122"/>
      <c r="K4955" s="131"/>
      <c r="L4955" s="69"/>
      <c r="M4955" s="49"/>
      <c r="Q4955" s="3"/>
      <c r="R4955" s="3"/>
      <c r="S4955" s="3"/>
      <c r="T4955" s="3"/>
      <c r="U4955" s="3"/>
      <c r="V4955" s="3"/>
      <c r="W4955" s="3"/>
      <c r="X4955" s="3"/>
      <c r="Y4955" s="3"/>
      <c r="Z4955" s="4"/>
      <c r="AA4955"/>
      <c r="AB4955"/>
    </row>
    <row r="4956" spans="1:28" s="37" customFormat="1" x14ac:dyDescent="0.15">
      <c r="A4956" s="70"/>
      <c r="B4956" s="118"/>
      <c r="C4956" s="121"/>
      <c r="D4956" s="121"/>
      <c r="E4956" s="70"/>
      <c r="F4956" s="121"/>
      <c r="G4956" s="121"/>
      <c r="H4956" s="93"/>
      <c r="I4956" s="85"/>
      <c r="J4956" s="122"/>
      <c r="K4956" s="131"/>
      <c r="L4956" s="60"/>
      <c r="M4956" s="49"/>
      <c r="Q4956" s="3"/>
      <c r="R4956" s="3"/>
      <c r="S4956" s="3"/>
      <c r="T4956" s="3"/>
      <c r="U4956" s="3"/>
      <c r="V4956" s="3"/>
      <c r="W4956" s="3"/>
      <c r="X4956" s="3"/>
      <c r="Y4956" s="3"/>
      <c r="Z4956" s="4"/>
      <c r="AA4956"/>
      <c r="AB4956"/>
    </row>
    <row r="4957" spans="1:28" s="37" customFormat="1" ht="16" x14ac:dyDescent="0.2">
      <c r="A4957" s="70"/>
      <c r="B4957" s="117"/>
      <c r="C4957" s="121"/>
      <c r="D4957" s="121"/>
      <c r="E4957" s="70"/>
      <c r="F4957" s="121"/>
      <c r="G4957" s="121"/>
      <c r="H4957" s="93"/>
      <c r="I4957" s="85"/>
      <c r="J4957" s="122"/>
      <c r="K4957" s="131"/>
      <c r="L4957" s="60"/>
      <c r="M4957" s="33"/>
      <c r="N4957" s="48"/>
      <c r="Q4957" s="3"/>
      <c r="R4957" s="3"/>
      <c r="S4957" s="3"/>
      <c r="T4957" s="3"/>
      <c r="U4957" s="3"/>
      <c r="V4957" s="3"/>
      <c r="W4957" s="3"/>
      <c r="X4957" s="3"/>
      <c r="Y4957" s="3"/>
      <c r="Z4957" s="4"/>
      <c r="AA4957"/>
      <c r="AB4957"/>
    </row>
    <row r="4958" spans="1:28" s="37" customFormat="1" x14ac:dyDescent="0.15">
      <c r="A4958" s="70"/>
      <c r="B4958" s="118"/>
      <c r="C4958" s="121"/>
      <c r="D4958" s="121"/>
      <c r="E4958" s="70"/>
      <c r="F4958" s="121"/>
      <c r="G4958" s="121"/>
      <c r="H4958" s="93"/>
      <c r="I4958" s="85"/>
      <c r="J4958" s="122"/>
      <c r="K4958" s="131"/>
      <c r="L4958" s="60"/>
      <c r="M4958" s="49"/>
      <c r="Q4958" s="3"/>
      <c r="R4958" s="3"/>
      <c r="S4958" s="3"/>
      <c r="T4958" s="3"/>
      <c r="U4958" s="3"/>
      <c r="V4958" s="3"/>
      <c r="W4958" s="3"/>
      <c r="X4958" s="3"/>
      <c r="Y4958" s="3"/>
      <c r="Z4958" s="4"/>
      <c r="AA4958"/>
      <c r="AB4958"/>
    </row>
    <row r="4959" spans="1:28" s="37" customFormat="1" x14ac:dyDescent="0.15">
      <c r="A4959" s="70"/>
      <c r="B4959" s="118"/>
      <c r="C4959" s="121"/>
      <c r="D4959" s="121"/>
      <c r="E4959" s="70"/>
      <c r="F4959" s="121"/>
      <c r="G4959" s="121"/>
      <c r="H4959" s="93"/>
      <c r="I4959" s="85"/>
      <c r="J4959" s="122"/>
      <c r="K4959" s="131"/>
      <c r="L4959" s="60"/>
      <c r="M4959" s="49"/>
      <c r="Q4959" s="3"/>
      <c r="R4959" s="3"/>
      <c r="S4959" s="3"/>
      <c r="T4959" s="3"/>
      <c r="U4959" s="3"/>
      <c r="V4959" s="3"/>
      <c r="W4959" s="3"/>
      <c r="X4959" s="3"/>
      <c r="Y4959" s="3"/>
      <c r="Z4959" s="4"/>
      <c r="AA4959"/>
      <c r="AB4959"/>
    </row>
    <row r="4960" spans="1:28" s="37" customFormat="1" x14ac:dyDescent="0.15">
      <c r="A4960" s="70"/>
      <c r="B4960" s="118"/>
      <c r="C4960" s="121"/>
      <c r="D4960" s="121"/>
      <c r="E4960" s="70"/>
      <c r="F4960" s="121"/>
      <c r="G4960" s="121"/>
      <c r="H4960" s="93"/>
      <c r="I4960" s="85"/>
      <c r="J4960" s="122"/>
      <c r="K4960" s="131"/>
      <c r="L4960" s="69"/>
      <c r="M4960" s="49"/>
      <c r="Q4960" s="3"/>
      <c r="R4960" s="3"/>
      <c r="S4960" s="3"/>
      <c r="T4960" s="3"/>
      <c r="U4960" s="3"/>
      <c r="V4960" s="3"/>
      <c r="W4960" s="3"/>
      <c r="X4960" s="3"/>
      <c r="Y4960" s="3"/>
      <c r="Z4960" s="4"/>
      <c r="AA4960"/>
      <c r="AB4960"/>
    </row>
    <row r="4961" spans="1:28" s="37" customFormat="1" x14ac:dyDescent="0.15">
      <c r="A4961" s="70"/>
      <c r="B4961" s="118"/>
      <c r="C4961" s="121"/>
      <c r="D4961" s="121"/>
      <c r="E4961" s="70"/>
      <c r="F4961" s="121"/>
      <c r="G4961" s="121"/>
      <c r="H4961" s="93"/>
      <c r="I4961" s="85"/>
      <c r="J4961" s="122"/>
      <c r="K4961" s="131"/>
      <c r="L4961" s="69"/>
      <c r="M4961" s="49"/>
      <c r="Q4961" s="3"/>
      <c r="R4961" s="3"/>
      <c r="S4961" s="3"/>
      <c r="T4961" s="3"/>
      <c r="U4961" s="3"/>
      <c r="V4961" s="3"/>
      <c r="W4961" s="3"/>
      <c r="X4961" s="3"/>
      <c r="Y4961" s="3"/>
      <c r="Z4961" s="4"/>
      <c r="AA4961"/>
      <c r="AB4961"/>
    </row>
    <row r="4962" spans="1:28" s="37" customFormat="1" x14ac:dyDescent="0.15">
      <c r="A4962" s="70"/>
      <c r="B4962" s="118"/>
      <c r="C4962" s="121"/>
      <c r="D4962" s="121"/>
      <c r="E4962" s="70"/>
      <c r="F4962" s="121"/>
      <c r="G4962" s="121"/>
      <c r="H4962" s="93"/>
      <c r="I4962" s="85"/>
      <c r="J4962" s="122"/>
      <c r="K4962" s="131"/>
      <c r="L4962" s="69"/>
      <c r="M4962" s="49"/>
      <c r="Q4962" s="3"/>
      <c r="R4962" s="3"/>
      <c r="S4962" s="3"/>
      <c r="T4962" s="3"/>
      <c r="U4962" s="3"/>
      <c r="V4962" s="3"/>
      <c r="W4962" s="3"/>
      <c r="X4962" s="3"/>
      <c r="Y4962" s="3"/>
      <c r="Z4962" s="4"/>
      <c r="AA4962"/>
      <c r="AB4962"/>
    </row>
    <row r="4963" spans="1:28" s="37" customFormat="1" x14ac:dyDescent="0.15">
      <c r="A4963" s="70"/>
      <c r="B4963" s="118"/>
      <c r="C4963" s="121"/>
      <c r="D4963" s="121"/>
      <c r="E4963" s="70"/>
      <c r="F4963" s="121"/>
      <c r="G4963" s="121"/>
      <c r="H4963" s="93"/>
      <c r="I4963" s="85"/>
      <c r="J4963" s="122"/>
      <c r="K4963" s="131"/>
      <c r="L4963" s="69"/>
      <c r="M4963" s="49"/>
      <c r="Q4963" s="3"/>
      <c r="R4963" s="3"/>
      <c r="S4963" s="3"/>
      <c r="T4963" s="3"/>
      <c r="U4963" s="3"/>
      <c r="V4963" s="3"/>
      <c r="W4963" s="3"/>
      <c r="X4963" s="3"/>
      <c r="Y4963" s="3"/>
      <c r="Z4963" s="4"/>
      <c r="AA4963"/>
      <c r="AB4963"/>
    </row>
    <row r="4964" spans="1:28" s="37" customFormat="1" x14ac:dyDescent="0.15">
      <c r="A4964" s="70"/>
      <c r="B4964" s="118"/>
      <c r="C4964" s="121"/>
      <c r="D4964" s="121"/>
      <c r="E4964" s="70"/>
      <c r="F4964" s="121"/>
      <c r="G4964" s="121"/>
      <c r="H4964" s="93"/>
      <c r="I4964" s="85"/>
      <c r="J4964" s="122"/>
      <c r="K4964" s="131"/>
      <c r="L4964" s="69"/>
      <c r="M4964" s="49"/>
      <c r="Q4964" s="3"/>
      <c r="R4964" s="3"/>
      <c r="S4964" s="3"/>
      <c r="T4964" s="3"/>
      <c r="U4964" s="3"/>
      <c r="V4964" s="3"/>
      <c r="W4964" s="3"/>
      <c r="X4964" s="3"/>
      <c r="Y4964" s="3"/>
      <c r="Z4964" s="4"/>
      <c r="AA4964"/>
      <c r="AB4964"/>
    </row>
    <row r="4965" spans="1:28" s="37" customFormat="1" x14ac:dyDescent="0.15">
      <c r="A4965" s="70"/>
      <c r="B4965" s="118"/>
      <c r="C4965" s="121"/>
      <c r="D4965" s="121"/>
      <c r="E4965" s="70"/>
      <c r="F4965" s="121"/>
      <c r="G4965" s="121"/>
      <c r="H4965" s="93"/>
      <c r="I4965" s="85"/>
      <c r="J4965" s="122"/>
      <c r="K4965" s="131"/>
      <c r="L4965" s="60"/>
      <c r="M4965" s="49"/>
      <c r="Q4965" s="3"/>
      <c r="R4965" s="3"/>
      <c r="S4965" s="3"/>
      <c r="T4965" s="3"/>
      <c r="U4965" s="3"/>
      <c r="V4965" s="3"/>
      <c r="W4965" s="3"/>
      <c r="X4965" s="3"/>
      <c r="Y4965" s="3"/>
      <c r="Z4965" s="4"/>
      <c r="AA4965"/>
      <c r="AB4965"/>
    </row>
    <row r="4966" spans="1:28" s="37" customFormat="1" x14ac:dyDescent="0.15">
      <c r="A4966" s="70"/>
      <c r="B4966" s="118"/>
      <c r="C4966" s="121"/>
      <c r="D4966" s="121"/>
      <c r="E4966" s="70"/>
      <c r="F4966" s="121"/>
      <c r="G4966" s="121"/>
      <c r="H4966" s="93"/>
      <c r="I4966" s="85"/>
      <c r="J4966" s="122"/>
      <c r="K4966" s="131"/>
      <c r="L4966" s="60"/>
      <c r="M4966" s="49"/>
      <c r="Q4966" s="3"/>
      <c r="R4966" s="3"/>
      <c r="S4966" s="3"/>
      <c r="T4966" s="3"/>
      <c r="U4966" s="3"/>
      <c r="V4966" s="3"/>
      <c r="W4966" s="3"/>
      <c r="X4966" s="3"/>
      <c r="Y4966" s="3"/>
      <c r="Z4966" s="4"/>
      <c r="AA4966"/>
      <c r="AB4966"/>
    </row>
    <row r="4967" spans="1:28" s="37" customFormat="1" x14ac:dyDescent="0.15">
      <c r="A4967" s="70"/>
      <c r="B4967" s="118"/>
      <c r="C4967" s="121"/>
      <c r="D4967" s="121"/>
      <c r="E4967" s="70"/>
      <c r="F4967" s="121"/>
      <c r="G4967" s="121"/>
      <c r="H4967" s="93"/>
      <c r="I4967" s="85"/>
      <c r="J4967" s="122"/>
      <c r="K4967" s="131"/>
      <c r="L4967" s="60"/>
      <c r="M4967" s="49"/>
      <c r="Q4967" s="3"/>
      <c r="R4967" s="3"/>
      <c r="S4967" s="3"/>
      <c r="T4967" s="3"/>
      <c r="U4967" s="3"/>
      <c r="V4967" s="3"/>
      <c r="W4967" s="3"/>
      <c r="X4967" s="3"/>
      <c r="Y4967" s="3"/>
      <c r="Z4967" s="4"/>
      <c r="AA4967"/>
      <c r="AB4967"/>
    </row>
    <row r="4968" spans="1:28" s="37" customFormat="1" x14ac:dyDescent="0.15">
      <c r="A4968" s="70"/>
      <c r="B4968" s="118"/>
      <c r="C4968" s="121"/>
      <c r="D4968" s="121"/>
      <c r="E4968" s="70"/>
      <c r="F4968" s="121"/>
      <c r="G4968" s="121"/>
      <c r="H4968" s="93"/>
      <c r="I4968" s="85"/>
      <c r="J4968" s="122"/>
      <c r="K4968" s="131"/>
      <c r="L4968" s="60"/>
      <c r="M4968" s="49"/>
      <c r="Q4968" s="3"/>
      <c r="R4968" s="3"/>
      <c r="S4968" s="3"/>
      <c r="T4968" s="3"/>
      <c r="U4968" s="3"/>
      <c r="V4968" s="3"/>
      <c r="W4968" s="3"/>
      <c r="X4968" s="3"/>
      <c r="Y4968" s="3"/>
      <c r="Z4968" s="4"/>
      <c r="AA4968"/>
      <c r="AB4968"/>
    </row>
    <row r="4969" spans="1:28" s="37" customFormat="1" x14ac:dyDescent="0.15">
      <c r="A4969" s="70"/>
      <c r="B4969" s="118"/>
      <c r="C4969" s="121"/>
      <c r="D4969" s="121"/>
      <c r="E4969" s="70"/>
      <c r="F4969" s="121"/>
      <c r="G4969" s="121"/>
      <c r="H4969" s="93"/>
      <c r="I4969" s="85"/>
      <c r="J4969" s="122"/>
      <c r="K4969" s="131"/>
      <c r="L4969" s="60"/>
      <c r="M4969" s="49"/>
      <c r="Q4969" s="3"/>
      <c r="R4969" s="3"/>
      <c r="S4969" s="3"/>
      <c r="T4969" s="3"/>
      <c r="U4969" s="3"/>
      <c r="V4969" s="3"/>
      <c r="W4969" s="3"/>
      <c r="X4969" s="3"/>
      <c r="Y4969" s="3"/>
      <c r="Z4969" s="4"/>
      <c r="AA4969"/>
      <c r="AB4969"/>
    </row>
    <row r="4970" spans="1:28" s="37" customFormat="1" x14ac:dyDescent="0.15">
      <c r="A4970" s="70"/>
      <c r="B4970" s="118"/>
      <c r="C4970" s="121"/>
      <c r="D4970" s="121"/>
      <c r="E4970" s="70"/>
      <c r="F4970" s="121"/>
      <c r="G4970" s="121"/>
      <c r="H4970" s="93"/>
      <c r="I4970" s="85"/>
      <c r="J4970" s="122"/>
      <c r="K4970" s="131"/>
      <c r="L4970" s="60"/>
      <c r="M4970" s="49"/>
      <c r="Q4970" s="3"/>
      <c r="R4970" s="3"/>
      <c r="S4970" s="3"/>
      <c r="T4970" s="3"/>
      <c r="U4970" s="3"/>
      <c r="V4970" s="3"/>
      <c r="W4970" s="3"/>
      <c r="X4970" s="3"/>
      <c r="Y4970" s="3"/>
      <c r="Z4970" s="4"/>
      <c r="AA4970"/>
      <c r="AB4970"/>
    </row>
    <row r="4971" spans="1:28" s="37" customFormat="1" x14ac:dyDescent="0.15">
      <c r="A4971" s="73"/>
      <c r="B4971" s="118"/>
      <c r="C4971" s="121"/>
      <c r="D4971" s="121"/>
      <c r="E4971" s="70"/>
      <c r="F4971" s="121"/>
      <c r="G4971" s="121"/>
      <c r="H4971" s="93"/>
      <c r="I4971" s="85"/>
      <c r="J4971" s="122"/>
      <c r="K4971" s="131"/>
      <c r="L4971" s="69"/>
      <c r="M4971" s="49"/>
      <c r="Q4971" s="3"/>
      <c r="R4971" s="3"/>
      <c r="S4971" s="3"/>
      <c r="T4971" s="3"/>
      <c r="U4971" s="3"/>
      <c r="V4971" s="3"/>
      <c r="W4971" s="3"/>
      <c r="X4971" s="3"/>
      <c r="Y4971" s="3"/>
      <c r="Z4971" s="4"/>
      <c r="AA4971"/>
      <c r="AB4971"/>
    </row>
    <row r="4972" spans="1:28" s="37" customFormat="1" x14ac:dyDescent="0.15">
      <c r="A4972" s="70"/>
      <c r="B4972" s="118"/>
      <c r="C4972" s="121"/>
      <c r="D4972" s="121"/>
      <c r="E4972" s="70"/>
      <c r="F4972" s="121"/>
      <c r="G4972" s="121"/>
      <c r="H4972" s="93"/>
      <c r="I4972" s="85"/>
      <c r="J4972" s="122"/>
      <c r="K4972" s="131"/>
      <c r="L4972" s="69"/>
      <c r="M4972" s="49"/>
      <c r="Q4972" s="3"/>
      <c r="R4972" s="3"/>
      <c r="S4972" s="3"/>
      <c r="T4972" s="3"/>
      <c r="U4972" s="3"/>
      <c r="V4972" s="3"/>
      <c r="W4972" s="3"/>
      <c r="X4972" s="3"/>
      <c r="Y4972" s="3"/>
      <c r="Z4972" s="4"/>
      <c r="AA4972"/>
      <c r="AB4972"/>
    </row>
    <row r="4973" spans="1:28" s="37" customFormat="1" ht="16" x14ac:dyDescent="0.2">
      <c r="A4973" s="73"/>
      <c r="B4973" s="118"/>
      <c r="C4973" s="121"/>
      <c r="D4973" s="121"/>
      <c r="E4973" s="70"/>
      <c r="F4973" s="121"/>
      <c r="G4973" s="121"/>
      <c r="H4973" s="93"/>
      <c r="I4973" s="85"/>
      <c r="J4973" s="122"/>
      <c r="K4973" s="131"/>
      <c r="L4973" s="69"/>
      <c r="M4973" s="49"/>
      <c r="N4973" s="48"/>
      <c r="Q4973" s="3"/>
      <c r="R4973" s="3"/>
      <c r="S4973" s="3"/>
      <c r="T4973" s="3"/>
      <c r="U4973" s="3"/>
      <c r="V4973" s="3"/>
      <c r="W4973" s="3"/>
      <c r="X4973" s="3"/>
      <c r="Y4973" s="3"/>
      <c r="Z4973" s="4"/>
      <c r="AA4973"/>
      <c r="AB4973"/>
    </row>
    <row r="4974" spans="1:28" s="3" customFormat="1" x14ac:dyDescent="0.15">
      <c r="A4974" s="70"/>
      <c r="B4974" s="118"/>
      <c r="C4974" s="121"/>
      <c r="D4974" s="121"/>
      <c r="E4974" s="70"/>
      <c r="F4974" s="121"/>
      <c r="G4974" s="121"/>
      <c r="H4974" s="93"/>
      <c r="I4974" s="85"/>
      <c r="J4974" s="122"/>
      <c r="K4974" s="131"/>
      <c r="L4974" s="60"/>
      <c r="M4974" s="49"/>
      <c r="N4974" s="37"/>
      <c r="O4974" s="37"/>
      <c r="P4974" s="51"/>
      <c r="Z4974" s="4"/>
      <c r="AA4974"/>
      <c r="AB4974"/>
    </row>
    <row r="4975" spans="1:28" s="3" customFormat="1" x14ac:dyDescent="0.15">
      <c r="A4975" s="70"/>
      <c r="B4975" s="117"/>
      <c r="C4975" s="121"/>
      <c r="D4975" s="121"/>
      <c r="E4975" s="70"/>
      <c r="F4975" s="121"/>
      <c r="G4975" s="121"/>
      <c r="H4975" s="93"/>
      <c r="I4975" s="85"/>
      <c r="J4975" s="122"/>
      <c r="K4975" s="131"/>
      <c r="L4975" s="60"/>
      <c r="M4975" s="33"/>
      <c r="N4975" s="37"/>
      <c r="O4975" s="37"/>
      <c r="P4975" s="37"/>
      <c r="Z4975" s="4"/>
      <c r="AA4975"/>
      <c r="AB4975"/>
    </row>
    <row r="4976" spans="1:28" s="3" customFormat="1" x14ac:dyDescent="0.15">
      <c r="A4976" s="70"/>
      <c r="B4976" s="118"/>
      <c r="C4976" s="121"/>
      <c r="D4976" s="121"/>
      <c r="E4976" s="70"/>
      <c r="F4976" s="121"/>
      <c r="G4976" s="121"/>
      <c r="H4976" s="93"/>
      <c r="I4976" s="85"/>
      <c r="J4976" s="122"/>
      <c r="K4976" s="131"/>
      <c r="L4976" s="60"/>
      <c r="M4976" s="49"/>
      <c r="N4976" s="37"/>
      <c r="O4976" s="37"/>
      <c r="P4976" s="37"/>
      <c r="Z4976" s="4"/>
      <c r="AA4976"/>
      <c r="AB4976"/>
    </row>
    <row r="4977" spans="1:28" s="3" customFormat="1" x14ac:dyDescent="0.15">
      <c r="A4977" s="70"/>
      <c r="B4977" s="118"/>
      <c r="C4977" s="121"/>
      <c r="D4977" s="121"/>
      <c r="E4977" s="70"/>
      <c r="F4977" s="121"/>
      <c r="G4977" s="121"/>
      <c r="H4977" s="93"/>
      <c r="I4977" s="85"/>
      <c r="J4977" s="122"/>
      <c r="K4977" s="131"/>
      <c r="L4977" s="60"/>
      <c r="M4977" s="49"/>
      <c r="N4977" s="37"/>
      <c r="O4977" s="37"/>
      <c r="P4977" s="37"/>
      <c r="Z4977" s="4"/>
      <c r="AA4977"/>
      <c r="AB4977"/>
    </row>
    <row r="4978" spans="1:28" s="3" customFormat="1" x14ac:dyDescent="0.15">
      <c r="A4978" s="70"/>
      <c r="B4978" s="118"/>
      <c r="C4978" s="121"/>
      <c r="D4978" s="121"/>
      <c r="E4978" s="70"/>
      <c r="F4978" s="121"/>
      <c r="G4978" s="121"/>
      <c r="H4978" s="93"/>
      <c r="I4978" s="85"/>
      <c r="J4978" s="122"/>
      <c r="K4978" s="131"/>
      <c r="L4978" s="60"/>
      <c r="M4978" s="49"/>
      <c r="N4978" s="37"/>
      <c r="O4978" s="37"/>
      <c r="P4978" s="37"/>
      <c r="Z4978" s="4"/>
      <c r="AA4978"/>
      <c r="AB4978"/>
    </row>
    <row r="4979" spans="1:28" s="3" customFormat="1" ht="16" x14ac:dyDescent="0.2">
      <c r="A4979" s="70"/>
      <c r="B4979" s="118"/>
      <c r="C4979" s="121"/>
      <c r="D4979" s="121"/>
      <c r="E4979" s="70"/>
      <c r="F4979" s="121"/>
      <c r="G4979" s="121"/>
      <c r="H4979" s="93"/>
      <c r="I4979" s="85"/>
      <c r="J4979" s="122"/>
      <c r="K4979" s="131"/>
      <c r="L4979" s="60"/>
      <c r="M4979" s="49"/>
      <c r="N4979" s="48"/>
      <c r="O4979" s="37"/>
      <c r="P4979" s="37"/>
      <c r="Z4979" s="4"/>
      <c r="AA4979"/>
      <c r="AB4979"/>
    </row>
    <row r="4980" spans="1:28" s="3" customFormat="1" x14ac:dyDescent="0.15">
      <c r="A4980" s="73"/>
      <c r="B4980" s="118"/>
      <c r="C4980" s="121"/>
      <c r="D4980" s="121"/>
      <c r="E4980" s="70"/>
      <c r="F4980" s="121"/>
      <c r="G4980" s="121"/>
      <c r="H4980" s="93"/>
      <c r="I4980" s="85"/>
      <c r="J4980" s="122"/>
      <c r="K4980" s="131"/>
      <c r="L4980" s="69"/>
      <c r="M4980" s="49"/>
      <c r="N4980" s="37"/>
      <c r="O4980" s="37"/>
      <c r="P4980" s="37"/>
      <c r="Z4980" s="4"/>
      <c r="AA4980"/>
      <c r="AB4980"/>
    </row>
    <row r="4981" spans="1:28" s="3" customFormat="1" x14ac:dyDescent="0.15">
      <c r="A4981" s="73"/>
      <c r="B4981" s="117"/>
      <c r="C4981" s="121"/>
      <c r="D4981" s="121"/>
      <c r="E4981" s="70"/>
      <c r="F4981" s="121"/>
      <c r="G4981" s="121"/>
      <c r="H4981" s="93"/>
      <c r="I4981" s="85"/>
      <c r="J4981" s="122"/>
      <c r="K4981" s="131"/>
      <c r="L4981" s="60"/>
      <c r="M4981" s="33"/>
      <c r="N4981" s="37"/>
      <c r="O4981" s="37"/>
      <c r="P4981" s="37"/>
      <c r="Z4981" s="4"/>
      <c r="AA4981"/>
      <c r="AB4981"/>
    </row>
    <row r="4982" spans="1:28" s="3" customFormat="1" x14ac:dyDescent="0.15">
      <c r="A4982" s="73"/>
      <c r="B4982" s="117"/>
      <c r="C4982" s="121"/>
      <c r="D4982" s="121"/>
      <c r="E4982" s="73"/>
      <c r="F4982" s="121"/>
      <c r="G4982" s="121"/>
      <c r="H4982" s="93"/>
      <c r="I4982" s="85"/>
      <c r="J4982" s="122"/>
      <c r="K4982" s="131"/>
      <c r="L4982" s="60"/>
      <c r="M4982" s="33"/>
      <c r="N4982" s="37"/>
      <c r="O4982" s="37"/>
      <c r="P4982" s="37"/>
      <c r="Z4982" s="4"/>
      <c r="AA4982"/>
      <c r="AB4982"/>
    </row>
    <row r="4983" spans="1:28" s="3" customFormat="1" x14ac:dyDescent="0.15">
      <c r="A4983" s="70"/>
      <c r="B4983" s="117"/>
      <c r="C4983" s="121"/>
      <c r="D4983" s="121"/>
      <c r="E4983" s="70"/>
      <c r="F4983" s="121"/>
      <c r="G4983" s="121"/>
      <c r="H4983" s="93"/>
      <c r="I4983" s="85"/>
      <c r="J4983" s="122"/>
      <c r="K4983" s="131"/>
      <c r="L4983" s="60"/>
      <c r="M4983" s="33"/>
      <c r="N4983" s="37"/>
      <c r="O4983" s="37"/>
      <c r="P4983" s="37"/>
      <c r="Z4983" s="4"/>
      <c r="AA4983"/>
      <c r="AB4983"/>
    </row>
    <row r="4984" spans="1:28" s="3" customFormat="1" x14ac:dyDescent="0.15">
      <c r="A4984" s="70"/>
      <c r="B4984" s="117"/>
      <c r="C4984" s="121"/>
      <c r="D4984" s="121"/>
      <c r="E4984" s="70"/>
      <c r="F4984" s="121"/>
      <c r="G4984" s="121"/>
      <c r="H4984" s="93"/>
      <c r="I4984" s="85"/>
      <c r="J4984" s="122"/>
      <c r="K4984" s="131"/>
      <c r="L4984" s="60"/>
      <c r="M4984" s="33"/>
      <c r="N4984" s="37"/>
      <c r="O4984" s="37"/>
      <c r="P4984" s="37"/>
      <c r="Z4984" s="4"/>
      <c r="AA4984"/>
      <c r="AB4984"/>
    </row>
    <row r="4985" spans="1:28" s="3" customFormat="1" x14ac:dyDescent="0.15">
      <c r="A4985" s="70"/>
      <c r="B4985" s="117"/>
      <c r="C4985" s="121"/>
      <c r="D4985" s="121"/>
      <c r="E4985" s="70"/>
      <c r="F4985" s="121"/>
      <c r="G4985" s="121"/>
      <c r="H4985" s="93"/>
      <c r="I4985" s="85"/>
      <c r="J4985" s="122"/>
      <c r="K4985" s="131"/>
      <c r="L4985" s="60"/>
      <c r="M4985" s="33"/>
      <c r="N4985" s="37"/>
      <c r="O4985" s="37"/>
      <c r="P4985" s="37"/>
      <c r="Z4985" s="4"/>
      <c r="AA4985"/>
      <c r="AB4985"/>
    </row>
    <row r="4986" spans="1:28" s="3" customFormat="1" x14ac:dyDescent="0.15">
      <c r="A4986" s="70"/>
      <c r="B4986" s="118"/>
      <c r="C4986" s="121"/>
      <c r="D4986" s="121"/>
      <c r="E4986" s="70"/>
      <c r="F4986" s="121"/>
      <c r="G4986" s="121"/>
      <c r="H4986" s="93"/>
      <c r="I4986" s="85"/>
      <c r="J4986" s="122"/>
      <c r="K4986" s="131"/>
      <c r="L4986" s="60"/>
      <c r="M4986" s="49"/>
      <c r="N4986" s="37"/>
      <c r="O4986" s="37"/>
      <c r="P4986" s="37"/>
      <c r="Z4986" s="4"/>
      <c r="AA4986"/>
      <c r="AB4986"/>
    </row>
    <row r="4987" spans="1:28" s="3" customFormat="1" x14ac:dyDescent="0.15">
      <c r="A4987" s="70"/>
      <c r="B4987" s="118"/>
      <c r="C4987" s="121"/>
      <c r="D4987" s="121"/>
      <c r="E4987" s="70"/>
      <c r="F4987" s="121"/>
      <c r="G4987" s="121"/>
      <c r="H4987" s="93"/>
      <c r="I4987" s="85"/>
      <c r="J4987" s="122"/>
      <c r="K4987" s="131"/>
      <c r="L4987" s="60"/>
      <c r="M4987" s="49"/>
      <c r="N4987" s="37"/>
      <c r="O4987" s="37"/>
      <c r="P4987" s="37"/>
      <c r="Z4987" s="4"/>
      <c r="AA4987"/>
      <c r="AB4987"/>
    </row>
    <row r="4988" spans="1:28" s="3" customFormat="1" x14ac:dyDescent="0.15">
      <c r="A4988" s="70"/>
      <c r="B4988" s="118"/>
      <c r="C4988" s="121"/>
      <c r="D4988" s="121"/>
      <c r="E4988" s="70"/>
      <c r="F4988" s="121"/>
      <c r="G4988" s="121"/>
      <c r="H4988" s="93"/>
      <c r="I4988" s="85"/>
      <c r="J4988" s="122"/>
      <c r="K4988" s="131"/>
      <c r="L4988" s="69"/>
      <c r="M4988" s="49"/>
      <c r="N4988" s="37"/>
      <c r="O4988" s="37"/>
      <c r="P4988" s="37"/>
      <c r="Z4988" s="4"/>
      <c r="AA4988"/>
      <c r="AB4988"/>
    </row>
    <row r="4989" spans="1:28" s="3" customFormat="1" ht="16" x14ac:dyDescent="0.2">
      <c r="A4989" s="70"/>
      <c r="B4989" s="118"/>
      <c r="C4989" s="121"/>
      <c r="D4989" s="121"/>
      <c r="E4989" s="70"/>
      <c r="F4989" s="121"/>
      <c r="G4989" s="121"/>
      <c r="H4989" s="93"/>
      <c r="I4989" s="85"/>
      <c r="J4989" s="122"/>
      <c r="K4989" s="131"/>
      <c r="L4989" s="60"/>
      <c r="M4989" s="49"/>
      <c r="N4989" s="48"/>
      <c r="O4989" s="37"/>
      <c r="P4989" s="37"/>
      <c r="Z4989" s="4"/>
      <c r="AA4989"/>
      <c r="AB4989"/>
    </row>
    <row r="4990" spans="1:28" s="3" customFormat="1" x14ac:dyDescent="0.15">
      <c r="A4990" s="70"/>
      <c r="B4990" s="118"/>
      <c r="C4990" s="121"/>
      <c r="D4990" s="121"/>
      <c r="E4990" s="70"/>
      <c r="F4990" s="121"/>
      <c r="G4990" s="121"/>
      <c r="H4990" s="93"/>
      <c r="I4990" s="85"/>
      <c r="J4990" s="122"/>
      <c r="K4990" s="131"/>
      <c r="L4990" s="60"/>
      <c r="M4990" s="49"/>
      <c r="N4990" s="37"/>
      <c r="O4990" s="37"/>
      <c r="P4990" s="37"/>
      <c r="Z4990" s="4"/>
      <c r="AA4990"/>
      <c r="AB4990"/>
    </row>
    <row r="4991" spans="1:28" s="3" customFormat="1" x14ac:dyDescent="0.15">
      <c r="A4991" s="70"/>
      <c r="B4991" s="118"/>
      <c r="C4991" s="121"/>
      <c r="D4991" s="121"/>
      <c r="E4991" s="70"/>
      <c r="F4991" s="121"/>
      <c r="G4991" s="121"/>
      <c r="H4991" s="93"/>
      <c r="I4991" s="85"/>
      <c r="J4991" s="122"/>
      <c r="K4991" s="131"/>
      <c r="L4991" s="69"/>
      <c r="M4991" s="49"/>
      <c r="N4991" s="37"/>
      <c r="O4991" s="37"/>
      <c r="P4991" s="37"/>
      <c r="Z4991" s="4"/>
      <c r="AA4991"/>
      <c r="AB4991"/>
    </row>
    <row r="4992" spans="1:28" s="3" customFormat="1" x14ac:dyDescent="0.15">
      <c r="A4992" s="70"/>
      <c r="B4992" s="118"/>
      <c r="C4992" s="121"/>
      <c r="D4992" s="121"/>
      <c r="E4992" s="70"/>
      <c r="F4992" s="121"/>
      <c r="G4992" s="121"/>
      <c r="H4992" s="93"/>
      <c r="I4992" s="85"/>
      <c r="J4992" s="122"/>
      <c r="K4992" s="131"/>
      <c r="L4992" s="60"/>
      <c r="M4992" s="49"/>
      <c r="N4992" s="37"/>
      <c r="O4992" s="37"/>
      <c r="P4992" s="37"/>
      <c r="Z4992" s="4"/>
      <c r="AA4992"/>
      <c r="AB4992"/>
    </row>
    <row r="4993" spans="1:28" s="3" customFormat="1" x14ac:dyDescent="0.15">
      <c r="A4993" s="70"/>
      <c r="B4993" s="118"/>
      <c r="C4993" s="121"/>
      <c r="D4993" s="121"/>
      <c r="E4993" s="70"/>
      <c r="F4993" s="121"/>
      <c r="G4993" s="121"/>
      <c r="H4993" s="93"/>
      <c r="I4993" s="85"/>
      <c r="J4993" s="122"/>
      <c r="K4993" s="131"/>
      <c r="L4993" s="60"/>
      <c r="M4993" s="49"/>
      <c r="N4993" s="37"/>
      <c r="O4993" s="37"/>
      <c r="P4993" s="37"/>
      <c r="Z4993" s="4"/>
      <c r="AA4993"/>
      <c r="AB4993"/>
    </row>
    <row r="4994" spans="1:28" s="3" customFormat="1" x14ac:dyDescent="0.15">
      <c r="A4994" s="70"/>
      <c r="B4994" s="117"/>
      <c r="C4994" s="121"/>
      <c r="D4994" s="121"/>
      <c r="E4994" s="70"/>
      <c r="F4994" s="121"/>
      <c r="G4994" s="121"/>
      <c r="H4994" s="93"/>
      <c r="I4994" s="85"/>
      <c r="J4994" s="122"/>
      <c r="K4994" s="131"/>
      <c r="L4994" s="60"/>
      <c r="M4994" s="33"/>
      <c r="N4994" s="37"/>
      <c r="O4994" s="37"/>
      <c r="P4994" s="37"/>
      <c r="Z4994" s="4"/>
      <c r="AA4994"/>
      <c r="AB4994"/>
    </row>
    <row r="4995" spans="1:28" s="3" customFormat="1" x14ac:dyDescent="0.15">
      <c r="A4995" s="70"/>
      <c r="B4995" s="117"/>
      <c r="C4995" s="121"/>
      <c r="D4995" s="121"/>
      <c r="E4995" s="73"/>
      <c r="F4995" s="121"/>
      <c r="G4995" s="121"/>
      <c r="H4995" s="93"/>
      <c r="I4995" s="85"/>
      <c r="J4995" s="122"/>
      <c r="K4995" s="131"/>
      <c r="L4995" s="60"/>
      <c r="M4995" s="33"/>
      <c r="N4995" s="37"/>
      <c r="O4995" s="37"/>
      <c r="P4995" s="37"/>
      <c r="Z4995" s="4"/>
      <c r="AA4995"/>
      <c r="AB4995"/>
    </row>
    <row r="4996" spans="1:28" s="3" customFormat="1" x14ac:dyDescent="0.15">
      <c r="A4996" s="70"/>
      <c r="B4996" s="118"/>
      <c r="C4996" s="121"/>
      <c r="D4996" s="121"/>
      <c r="E4996" s="70"/>
      <c r="F4996" s="121"/>
      <c r="G4996" s="121"/>
      <c r="H4996" s="93"/>
      <c r="I4996" s="85"/>
      <c r="J4996" s="122"/>
      <c r="K4996" s="131"/>
      <c r="L4996" s="60"/>
      <c r="M4996" s="49"/>
      <c r="N4996" s="37"/>
      <c r="O4996" s="37"/>
      <c r="P4996" s="51"/>
      <c r="Z4996" s="4"/>
      <c r="AA4996"/>
      <c r="AB4996"/>
    </row>
    <row r="4997" spans="1:28" s="3" customFormat="1" ht="16" x14ac:dyDescent="0.2">
      <c r="A4997" s="70"/>
      <c r="B4997" s="118"/>
      <c r="C4997" s="121"/>
      <c r="D4997" s="121"/>
      <c r="E4997" s="70"/>
      <c r="F4997" s="121"/>
      <c r="G4997" s="121"/>
      <c r="H4997" s="93"/>
      <c r="I4997" s="85"/>
      <c r="J4997" s="122"/>
      <c r="K4997" s="131"/>
      <c r="L4997" s="60"/>
      <c r="M4997" s="49"/>
      <c r="N4997" s="48"/>
      <c r="O4997" s="37"/>
      <c r="P4997" s="51"/>
      <c r="Z4997" s="4"/>
      <c r="AA4997"/>
      <c r="AB4997"/>
    </row>
    <row r="4998" spans="1:28" s="3" customFormat="1" x14ac:dyDescent="0.15">
      <c r="A4998" s="70"/>
      <c r="B4998" s="118"/>
      <c r="C4998" s="121"/>
      <c r="D4998" s="121"/>
      <c r="E4998" s="70"/>
      <c r="F4998" s="121"/>
      <c r="G4998" s="121"/>
      <c r="H4998" s="93"/>
      <c r="I4998" s="85"/>
      <c r="J4998" s="122"/>
      <c r="K4998" s="131"/>
      <c r="L4998" s="60"/>
      <c r="M4998" s="49"/>
      <c r="N4998" s="37"/>
      <c r="O4998" s="37"/>
      <c r="P4998" s="51"/>
      <c r="Z4998" s="4"/>
      <c r="AA4998"/>
      <c r="AB4998"/>
    </row>
    <row r="4999" spans="1:28" s="3" customFormat="1" x14ac:dyDescent="0.15">
      <c r="A4999" s="70"/>
      <c r="B4999" s="118"/>
      <c r="C4999" s="121"/>
      <c r="D4999" s="121"/>
      <c r="E4999" s="70"/>
      <c r="F4999" s="121"/>
      <c r="G4999" s="121"/>
      <c r="H4999" s="93"/>
      <c r="I4999" s="85"/>
      <c r="J4999" s="122"/>
      <c r="K4999" s="131"/>
      <c r="L4999" s="60"/>
      <c r="M4999" s="49"/>
      <c r="N4999" s="37"/>
      <c r="O4999" s="37"/>
      <c r="P4999" s="51"/>
      <c r="Z4999" s="4"/>
      <c r="AA4999"/>
      <c r="AB4999"/>
    </row>
    <row r="5000" spans="1:28" s="3" customFormat="1" x14ac:dyDescent="0.15">
      <c r="A5000" s="70"/>
      <c r="B5000" s="118"/>
      <c r="C5000" s="121"/>
      <c r="D5000" s="121"/>
      <c r="E5000" s="70"/>
      <c r="F5000" s="121"/>
      <c r="G5000" s="121"/>
      <c r="H5000" s="93"/>
      <c r="I5000" s="85"/>
      <c r="J5000" s="122"/>
      <c r="K5000" s="131"/>
      <c r="L5000" s="60"/>
      <c r="M5000" s="49"/>
      <c r="N5000" s="37"/>
      <c r="O5000" s="37"/>
      <c r="P5000" s="51"/>
      <c r="Z5000" s="4"/>
      <c r="AA5000"/>
      <c r="AB5000"/>
    </row>
    <row r="5001" spans="1:28" s="3" customFormat="1" x14ac:dyDescent="0.15">
      <c r="A5001" s="70"/>
      <c r="B5001" s="118"/>
      <c r="C5001" s="121"/>
      <c r="D5001" s="121"/>
      <c r="E5001" s="70"/>
      <c r="F5001" s="121"/>
      <c r="G5001" s="121"/>
      <c r="H5001" s="93"/>
      <c r="I5001" s="85"/>
      <c r="J5001" s="122"/>
      <c r="K5001" s="131"/>
      <c r="L5001" s="69"/>
      <c r="M5001" s="49"/>
      <c r="N5001" s="37"/>
      <c r="O5001" s="37"/>
      <c r="P5001" s="51"/>
      <c r="Z5001" s="4"/>
      <c r="AA5001"/>
      <c r="AB5001"/>
    </row>
    <row r="5002" spans="1:28" s="3" customFormat="1" x14ac:dyDescent="0.15">
      <c r="A5002" s="70"/>
      <c r="B5002" s="118"/>
      <c r="C5002" s="121"/>
      <c r="D5002" s="121"/>
      <c r="E5002" s="70"/>
      <c r="F5002" s="121"/>
      <c r="G5002" s="121"/>
      <c r="H5002" s="93"/>
      <c r="I5002" s="85"/>
      <c r="J5002" s="122"/>
      <c r="K5002" s="131"/>
      <c r="L5002" s="60"/>
      <c r="M5002" s="49"/>
      <c r="N5002" s="37"/>
      <c r="O5002" s="37"/>
      <c r="P5002" s="37"/>
      <c r="Z5002" s="4"/>
      <c r="AA5002"/>
      <c r="AB5002"/>
    </row>
    <row r="5003" spans="1:28" s="3" customFormat="1" x14ac:dyDescent="0.15">
      <c r="A5003" s="70"/>
      <c r="B5003" s="117"/>
      <c r="C5003" s="121"/>
      <c r="D5003" s="121"/>
      <c r="E5003" s="70"/>
      <c r="F5003" s="121"/>
      <c r="G5003" s="121"/>
      <c r="H5003" s="93"/>
      <c r="I5003" s="85"/>
      <c r="J5003" s="122"/>
      <c r="K5003" s="131"/>
      <c r="L5003" s="60"/>
      <c r="M5003" s="33"/>
      <c r="N5003" s="37"/>
      <c r="O5003" s="37"/>
      <c r="P5003" s="37"/>
      <c r="Z5003" s="4"/>
      <c r="AA5003"/>
      <c r="AB5003"/>
    </row>
    <row r="5004" spans="1:28" s="3" customFormat="1" x14ac:dyDescent="0.15">
      <c r="A5004" s="70"/>
      <c r="B5004" s="118"/>
      <c r="C5004" s="121"/>
      <c r="D5004" s="121"/>
      <c r="E5004" s="70"/>
      <c r="F5004" s="121"/>
      <c r="G5004" s="121"/>
      <c r="H5004" s="93"/>
      <c r="I5004" s="85"/>
      <c r="J5004" s="122"/>
      <c r="K5004" s="131"/>
      <c r="L5004" s="60"/>
      <c r="M5004" s="49"/>
      <c r="N5004" s="37"/>
      <c r="O5004" s="37"/>
      <c r="P5004" s="37"/>
      <c r="Z5004" s="4"/>
      <c r="AA5004"/>
      <c r="AB5004"/>
    </row>
    <row r="5005" spans="1:28" s="3" customFormat="1" x14ac:dyDescent="0.15">
      <c r="A5005" s="70"/>
      <c r="B5005" s="117"/>
      <c r="C5005" s="121"/>
      <c r="D5005" s="121"/>
      <c r="E5005" s="70"/>
      <c r="F5005" s="121"/>
      <c r="G5005" s="121"/>
      <c r="H5005" s="93"/>
      <c r="I5005" s="85"/>
      <c r="J5005" s="122"/>
      <c r="K5005" s="131"/>
      <c r="L5005" s="60"/>
      <c r="M5005" s="49"/>
      <c r="N5005" s="37"/>
      <c r="O5005" s="37"/>
      <c r="P5005" s="37"/>
      <c r="Z5005" s="4"/>
      <c r="AA5005"/>
      <c r="AB5005"/>
    </row>
    <row r="5006" spans="1:28" s="37" customFormat="1" x14ac:dyDescent="0.15">
      <c r="A5006" s="70"/>
      <c r="B5006" s="118"/>
      <c r="C5006" s="121"/>
      <c r="D5006" s="121"/>
      <c r="E5006" s="70"/>
      <c r="F5006" s="121"/>
      <c r="G5006" s="121"/>
      <c r="H5006" s="93"/>
      <c r="I5006" s="85"/>
      <c r="J5006" s="122"/>
      <c r="K5006" s="131"/>
      <c r="L5006" s="60"/>
      <c r="M5006" s="49"/>
      <c r="Q5006" s="3"/>
      <c r="R5006" s="3"/>
      <c r="S5006" s="3"/>
      <c r="T5006" s="3"/>
      <c r="U5006" s="3"/>
      <c r="V5006" s="3"/>
      <c r="W5006" s="3"/>
      <c r="X5006" s="3"/>
      <c r="Y5006" s="3"/>
      <c r="Z5006" s="4"/>
      <c r="AA5006"/>
      <c r="AB5006"/>
    </row>
    <row r="5007" spans="1:28" s="37" customFormat="1" x14ac:dyDescent="0.15">
      <c r="A5007" s="70"/>
      <c r="B5007" s="118"/>
      <c r="C5007" s="121"/>
      <c r="D5007" s="121"/>
      <c r="E5007" s="70"/>
      <c r="F5007" s="121"/>
      <c r="G5007" s="121"/>
      <c r="H5007" s="93"/>
      <c r="I5007" s="85"/>
      <c r="J5007" s="122"/>
      <c r="K5007" s="131"/>
      <c r="L5007" s="60"/>
      <c r="M5007" s="49"/>
      <c r="Q5007" s="3"/>
      <c r="R5007" s="3"/>
      <c r="S5007" s="3"/>
      <c r="T5007" s="3"/>
      <c r="U5007" s="3"/>
      <c r="V5007" s="3"/>
      <c r="W5007" s="3"/>
      <c r="X5007" s="3"/>
      <c r="Y5007" s="3"/>
      <c r="Z5007" s="4"/>
      <c r="AA5007"/>
      <c r="AB5007"/>
    </row>
    <row r="5008" spans="1:28" s="37" customFormat="1" x14ac:dyDescent="0.15">
      <c r="A5008" s="70"/>
      <c r="B5008" s="117"/>
      <c r="C5008" s="121"/>
      <c r="D5008" s="121"/>
      <c r="E5008" s="70"/>
      <c r="F5008" s="121"/>
      <c r="G5008" s="121"/>
      <c r="H5008" s="93"/>
      <c r="I5008" s="85"/>
      <c r="J5008" s="122"/>
      <c r="K5008" s="131"/>
      <c r="L5008" s="60"/>
      <c r="M5008" s="33"/>
      <c r="Q5008" s="3"/>
      <c r="R5008" s="3"/>
      <c r="S5008" s="3"/>
      <c r="T5008" s="3"/>
      <c r="U5008" s="3"/>
      <c r="V5008" s="3"/>
      <c r="W5008" s="3"/>
      <c r="X5008" s="3"/>
      <c r="Y5008" s="3"/>
      <c r="Z5008" s="4"/>
      <c r="AA5008"/>
      <c r="AB5008"/>
    </row>
    <row r="5009" spans="1:28" s="37" customFormat="1" x14ac:dyDescent="0.15">
      <c r="A5009" s="73"/>
      <c r="B5009" s="118"/>
      <c r="C5009" s="121"/>
      <c r="D5009" s="121"/>
      <c r="E5009" s="70"/>
      <c r="F5009" s="121"/>
      <c r="G5009" s="121"/>
      <c r="H5009" s="93"/>
      <c r="I5009" s="85"/>
      <c r="J5009" s="122"/>
      <c r="K5009" s="131"/>
      <c r="L5009" s="60"/>
      <c r="M5009" s="49"/>
      <c r="Q5009" s="3"/>
      <c r="R5009" s="3"/>
      <c r="S5009" s="3"/>
      <c r="T5009" s="3"/>
      <c r="U5009" s="3"/>
      <c r="V5009" s="3"/>
      <c r="W5009" s="3"/>
      <c r="X5009" s="3"/>
      <c r="Y5009" s="3"/>
      <c r="Z5009" s="4"/>
      <c r="AA5009"/>
      <c r="AB5009"/>
    </row>
    <row r="5010" spans="1:28" s="37" customFormat="1" x14ac:dyDescent="0.15">
      <c r="A5010" s="70"/>
      <c r="B5010" s="117"/>
      <c r="C5010" s="121"/>
      <c r="D5010" s="121"/>
      <c r="E5010" s="70"/>
      <c r="F5010" s="121"/>
      <c r="G5010" s="121"/>
      <c r="H5010" s="93"/>
      <c r="I5010" s="85"/>
      <c r="J5010" s="122"/>
      <c r="K5010" s="131"/>
      <c r="L5010" s="60"/>
      <c r="M5010" s="49"/>
      <c r="Q5010" s="3"/>
      <c r="R5010" s="3"/>
      <c r="S5010" s="3"/>
      <c r="T5010" s="3"/>
      <c r="U5010" s="3"/>
      <c r="V5010" s="3"/>
      <c r="W5010" s="3"/>
      <c r="X5010" s="3"/>
      <c r="Y5010" s="3"/>
      <c r="Z5010" s="4"/>
      <c r="AA5010"/>
      <c r="AB5010"/>
    </row>
    <row r="5011" spans="1:28" s="37" customFormat="1" ht="16" x14ac:dyDescent="0.2">
      <c r="A5011" s="70"/>
      <c r="B5011" s="118"/>
      <c r="C5011" s="121"/>
      <c r="D5011" s="121"/>
      <c r="E5011" s="70"/>
      <c r="F5011" s="121"/>
      <c r="G5011" s="121"/>
      <c r="H5011" s="93"/>
      <c r="I5011" s="85"/>
      <c r="J5011" s="122"/>
      <c r="K5011" s="131"/>
      <c r="L5011" s="60"/>
      <c r="M5011" s="49"/>
      <c r="N5011" s="48"/>
      <c r="Q5011" s="3"/>
      <c r="R5011" s="3"/>
      <c r="S5011" s="3"/>
      <c r="T5011" s="3"/>
      <c r="U5011" s="3"/>
      <c r="V5011" s="3"/>
      <c r="W5011" s="3"/>
      <c r="X5011" s="3"/>
      <c r="Y5011" s="3"/>
      <c r="Z5011" s="4"/>
      <c r="AA5011"/>
      <c r="AB5011"/>
    </row>
    <row r="5012" spans="1:28" s="37" customFormat="1" x14ac:dyDescent="0.15">
      <c r="A5012" s="73"/>
      <c r="B5012" s="118"/>
      <c r="C5012" s="121"/>
      <c r="D5012" s="121"/>
      <c r="E5012" s="70"/>
      <c r="F5012" s="121"/>
      <c r="G5012" s="121"/>
      <c r="H5012" s="93"/>
      <c r="I5012" s="85"/>
      <c r="J5012" s="122"/>
      <c r="K5012" s="131"/>
      <c r="L5012" s="60"/>
      <c r="M5012" s="49"/>
      <c r="Q5012" s="3"/>
      <c r="R5012" s="3"/>
      <c r="S5012" s="3"/>
      <c r="T5012" s="3"/>
      <c r="U5012" s="3"/>
      <c r="V5012" s="3"/>
      <c r="W5012" s="3"/>
      <c r="X5012" s="3"/>
      <c r="Y5012" s="3"/>
      <c r="Z5012" s="4"/>
      <c r="AA5012"/>
      <c r="AB5012"/>
    </row>
    <row r="5013" spans="1:28" s="37" customFormat="1" x14ac:dyDescent="0.15">
      <c r="A5013" s="70"/>
      <c r="B5013" s="118"/>
      <c r="C5013" s="121"/>
      <c r="D5013" s="121"/>
      <c r="E5013" s="70"/>
      <c r="F5013" s="121"/>
      <c r="G5013" s="121"/>
      <c r="H5013" s="93"/>
      <c r="I5013" s="85"/>
      <c r="J5013" s="122"/>
      <c r="K5013" s="131"/>
      <c r="L5013" s="69"/>
      <c r="M5013" s="49"/>
      <c r="Q5013" s="3"/>
      <c r="R5013" s="3"/>
      <c r="S5013" s="3"/>
      <c r="T5013" s="3"/>
      <c r="U5013" s="3"/>
      <c r="V5013" s="3"/>
      <c r="W5013" s="3"/>
      <c r="X5013" s="3"/>
      <c r="Y5013" s="3"/>
      <c r="Z5013" s="4"/>
      <c r="AA5013"/>
      <c r="AB5013"/>
    </row>
    <row r="5014" spans="1:28" s="37" customFormat="1" ht="16" x14ac:dyDescent="0.2">
      <c r="A5014" s="73"/>
      <c r="B5014" s="118"/>
      <c r="C5014" s="121"/>
      <c r="D5014" s="121"/>
      <c r="E5014" s="70"/>
      <c r="F5014" s="121"/>
      <c r="G5014" s="121"/>
      <c r="H5014" s="93"/>
      <c r="I5014" s="85"/>
      <c r="J5014" s="122"/>
      <c r="K5014" s="131"/>
      <c r="L5014" s="69"/>
      <c r="M5014" s="49"/>
      <c r="N5014" s="48"/>
      <c r="Q5014" s="3"/>
      <c r="R5014" s="3"/>
      <c r="S5014" s="3"/>
      <c r="T5014" s="3"/>
      <c r="U5014" s="3"/>
      <c r="V5014" s="3"/>
      <c r="W5014" s="3"/>
      <c r="X5014" s="3"/>
      <c r="Y5014" s="3"/>
      <c r="Z5014" s="4"/>
      <c r="AA5014"/>
      <c r="AB5014"/>
    </row>
    <row r="5015" spans="1:28" s="37" customFormat="1" ht="16" x14ac:dyDescent="0.2">
      <c r="A5015" s="70"/>
      <c r="B5015" s="118"/>
      <c r="C5015" s="121"/>
      <c r="D5015" s="121"/>
      <c r="E5015" s="70"/>
      <c r="F5015" s="121"/>
      <c r="G5015" s="121"/>
      <c r="H5015" s="93"/>
      <c r="I5015" s="85"/>
      <c r="J5015" s="122"/>
      <c r="K5015" s="131"/>
      <c r="L5015" s="69"/>
      <c r="M5015" s="49"/>
      <c r="N5015" s="48"/>
      <c r="Q5015" s="3"/>
      <c r="R5015" s="3"/>
      <c r="S5015" s="3"/>
      <c r="T5015" s="3"/>
      <c r="U5015" s="3"/>
      <c r="V5015" s="3"/>
      <c r="W5015" s="3"/>
      <c r="X5015" s="3"/>
      <c r="Y5015" s="3"/>
      <c r="Z5015" s="4"/>
      <c r="AA5015"/>
      <c r="AB5015"/>
    </row>
    <row r="5016" spans="1:28" s="37" customFormat="1" x14ac:dyDescent="0.15">
      <c r="A5016" s="70"/>
      <c r="B5016" s="118"/>
      <c r="C5016" s="121"/>
      <c r="D5016" s="121"/>
      <c r="E5016" s="70"/>
      <c r="F5016" s="121"/>
      <c r="G5016" s="121"/>
      <c r="H5016" s="93"/>
      <c r="I5016" s="85"/>
      <c r="J5016" s="122"/>
      <c r="K5016" s="131"/>
      <c r="L5016" s="69"/>
      <c r="M5016" s="49"/>
      <c r="Q5016" s="3"/>
      <c r="R5016" s="3"/>
      <c r="S5016" s="3"/>
      <c r="T5016" s="3"/>
      <c r="U5016" s="3"/>
      <c r="V5016" s="3"/>
      <c r="W5016" s="3"/>
      <c r="X5016" s="3"/>
      <c r="Y5016" s="3"/>
      <c r="Z5016" s="4"/>
      <c r="AA5016"/>
      <c r="AB5016"/>
    </row>
    <row r="5017" spans="1:28" s="37" customFormat="1" x14ac:dyDescent="0.15">
      <c r="A5017" s="70"/>
      <c r="B5017" s="118"/>
      <c r="C5017" s="121"/>
      <c r="D5017" s="121"/>
      <c r="E5017" s="70"/>
      <c r="F5017" s="121"/>
      <c r="G5017" s="121"/>
      <c r="H5017" s="93"/>
      <c r="I5017" s="85"/>
      <c r="J5017" s="122"/>
      <c r="K5017" s="131"/>
      <c r="L5017" s="60"/>
      <c r="M5017" s="49"/>
      <c r="Q5017" s="3"/>
      <c r="R5017" s="3"/>
      <c r="S5017" s="3"/>
      <c r="T5017" s="3"/>
      <c r="U5017" s="3"/>
      <c r="V5017" s="3"/>
      <c r="W5017" s="3"/>
      <c r="X5017" s="3"/>
      <c r="Y5017" s="3"/>
      <c r="Z5017" s="4"/>
      <c r="AA5017"/>
      <c r="AB5017"/>
    </row>
    <row r="5018" spans="1:28" s="37" customFormat="1" ht="16" x14ac:dyDescent="0.2">
      <c r="A5018" s="70"/>
      <c r="B5018" s="118"/>
      <c r="C5018" s="121"/>
      <c r="D5018" s="121"/>
      <c r="E5018" s="70"/>
      <c r="F5018" s="121"/>
      <c r="G5018" s="121"/>
      <c r="H5018" s="93"/>
      <c r="I5018" s="85"/>
      <c r="J5018" s="122"/>
      <c r="K5018" s="131"/>
      <c r="L5018" s="69"/>
      <c r="M5018" s="49"/>
      <c r="N5018" s="48"/>
      <c r="Q5018" s="3"/>
      <c r="R5018" s="3"/>
      <c r="S5018" s="3"/>
      <c r="T5018" s="3"/>
      <c r="U5018" s="3"/>
      <c r="V5018" s="3"/>
      <c r="W5018" s="3"/>
      <c r="X5018" s="3"/>
      <c r="Y5018" s="3"/>
      <c r="Z5018" s="4"/>
      <c r="AA5018"/>
      <c r="AB5018"/>
    </row>
    <row r="5019" spans="1:28" s="37" customFormat="1" x14ac:dyDescent="0.15">
      <c r="A5019" s="70"/>
      <c r="B5019" s="118"/>
      <c r="C5019" s="121"/>
      <c r="D5019" s="121"/>
      <c r="E5019" s="70"/>
      <c r="F5019" s="121"/>
      <c r="G5019" s="121"/>
      <c r="H5019" s="93"/>
      <c r="I5019" s="85"/>
      <c r="J5019" s="122"/>
      <c r="K5019" s="131"/>
      <c r="L5019" s="69"/>
      <c r="M5019" s="49"/>
      <c r="Q5019" s="3"/>
      <c r="R5019" s="3"/>
      <c r="S5019" s="3"/>
      <c r="T5019" s="3"/>
      <c r="U5019" s="3"/>
      <c r="V5019" s="3"/>
      <c r="W5019" s="3"/>
      <c r="X5019" s="3"/>
      <c r="Y5019" s="3"/>
      <c r="Z5019" s="4"/>
      <c r="AA5019"/>
      <c r="AB5019"/>
    </row>
    <row r="5020" spans="1:28" s="37" customFormat="1" x14ac:dyDescent="0.15">
      <c r="A5020" s="70"/>
      <c r="B5020" s="118"/>
      <c r="C5020" s="121"/>
      <c r="D5020" s="121"/>
      <c r="E5020" s="70"/>
      <c r="F5020" s="121"/>
      <c r="G5020" s="121"/>
      <c r="H5020" s="93"/>
      <c r="I5020" s="85"/>
      <c r="J5020" s="122"/>
      <c r="K5020" s="131"/>
      <c r="L5020" s="69"/>
      <c r="M5020" s="49"/>
      <c r="Q5020" s="3"/>
      <c r="R5020" s="3"/>
      <c r="S5020" s="3"/>
      <c r="T5020" s="3"/>
      <c r="U5020" s="3"/>
      <c r="V5020" s="3"/>
      <c r="W5020" s="3"/>
      <c r="X5020" s="3"/>
      <c r="Y5020" s="3"/>
      <c r="Z5020" s="4"/>
      <c r="AA5020"/>
      <c r="AB5020"/>
    </row>
    <row r="5021" spans="1:28" s="37" customFormat="1" ht="16" x14ac:dyDescent="0.2">
      <c r="A5021" s="70"/>
      <c r="B5021" s="118"/>
      <c r="C5021" s="121"/>
      <c r="D5021" s="121"/>
      <c r="E5021" s="70"/>
      <c r="F5021" s="121"/>
      <c r="G5021" s="121"/>
      <c r="H5021" s="93"/>
      <c r="I5021" s="85"/>
      <c r="J5021" s="122"/>
      <c r="K5021" s="131"/>
      <c r="L5021" s="69"/>
      <c r="M5021" s="49"/>
      <c r="N5021" s="48"/>
      <c r="Q5021" s="3"/>
      <c r="R5021" s="3"/>
      <c r="S5021" s="3"/>
      <c r="T5021" s="3"/>
      <c r="U5021" s="3"/>
      <c r="V5021" s="3"/>
      <c r="W5021" s="3"/>
      <c r="X5021" s="3"/>
      <c r="Y5021" s="3"/>
      <c r="Z5021" s="4"/>
      <c r="AA5021"/>
      <c r="AB5021"/>
    </row>
    <row r="5022" spans="1:28" s="37" customFormat="1" x14ac:dyDescent="0.15">
      <c r="A5022" s="70"/>
      <c r="B5022" s="118"/>
      <c r="C5022" s="121"/>
      <c r="D5022" s="121"/>
      <c r="E5022" s="70"/>
      <c r="F5022" s="121"/>
      <c r="G5022" s="121"/>
      <c r="H5022" s="93"/>
      <c r="I5022" s="85"/>
      <c r="J5022" s="122"/>
      <c r="K5022" s="131"/>
      <c r="L5022" s="69"/>
      <c r="M5022" s="49"/>
      <c r="Q5022" s="3"/>
      <c r="R5022" s="3"/>
      <c r="S5022" s="3"/>
      <c r="T5022" s="3"/>
      <c r="U5022" s="3"/>
      <c r="V5022" s="3"/>
      <c r="W5022" s="3"/>
      <c r="X5022" s="3"/>
      <c r="Y5022" s="3"/>
      <c r="Z5022" s="4"/>
      <c r="AA5022"/>
      <c r="AB5022"/>
    </row>
    <row r="5023" spans="1:28" s="37" customFormat="1" x14ac:dyDescent="0.15">
      <c r="A5023" s="70"/>
      <c r="B5023" s="118"/>
      <c r="C5023" s="121"/>
      <c r="D5023" s="121"/>
      <c r="E5023" s="70"/>
      <c r="F5023" s="121"/>
      <c r="G5023" s="121"/>
      <c r="H5023" s="93"/>
      <c r="I5023" s="85"/>
      <c r="J5023" s="122"/>
      <c r="K5023" s="131"/>
      <c r="L5023" s="69"/>
      <c r="M5023" s="49"/>
      <c r="Q5023" s="3"/>
      <c r="R5023" s="3"/>
      <c r="S5023" s="3"/>
      <c r="T5023" s="3"/>
      <c r="U5023" s="3"/>
      <c r="V5023" s="3"/>
      <c r="W5023" s="3"/>
      <c r="X5023" s="3"/>
      <c r="Y5023" s="3"/>
      <c r="Z5023" s="4"/>
      <c r="AA5023"/>
      <c r="AB5023"/>
    </row>
    <row r="5024" spans="1:28" s="37" customFormat="1" x14ac:dyDescent="0.15">
      <c r="A5024" s="70"/>
      <c r="B5024" s="118"/>
      <c r="C5024" s="121"/>
      <c r="D5024" s="121"/>
      <c r="E5024" s="70"/>
      <c r="F5024" s="121"/>
      <c r="G5024" s="121"/>
      <c r="H5024" s="93"/>
      <c r="I5024" s="85"/>
      <c r="J5024" s="122"/>
      <c r="K5024" s="131"/>
      <c r="L5024" s="69"/>
      <c r="M5024" s="49"/>
      <c r="Q5024" s="3"/>
      <c r="R5024" s="3"/>
      <c r="S5024" s="3"/>
      <c r="T5024" s="3"/>
      <c r="U5024" s="3"/>
      <c r="V5024" s="3"/>
      <c r="W5024" s="3"/>
      <c r="X5024" s="3"/>
      <c r="Y5024" s="3"/>
      <c r="Z5024" s="4"/>
      <c r="AA5024"/>
      <c r="AB5024"/>
    </row>
    <row r="5025" spans="1:28" s="37" customFormat="1" x14ac:dyDescent="0.15">
      <c r="A5025" s="73"/>
      <c r="B5025" s="118"/>
      <c r="C5025" s="121"/>
      <c r="D5025" s="121"/>
      <c r="E5025" s="70"/>
      <c r="F5025" s="121"/>
      <c r="G5025" s="121"/>
      <c r="H5025" s="93"/>
      <c r="I5025" s="85"/>
      <c r="J5025" s="122"/>
      <c r="K5025" s="131"/>
      <c r="L5025" s="69"/>
      <c r="M5025" s="49"/>
      <c r="Q5025" s="3"/>
      <c r="R5025" s="3"/>
      <c r="S5025" s="3"/>
      <c r="T5025" s="3"/>
      <c r="U5025" s="3"/>
      <c r="V5025" s="3"/>
      <c r="W5025" s="3"/>
      <c r="X5025" s="3"/>
      <c r="Y5025" s="3"/>
      <c r="Z5025" s="4"/>
      <c r="AA5025"/>
      <c r="AB5025"/>
    </row>
    <row r="5026" spans="1:28" s="37" customFormat="1" x14ac:dyDescent="0.15">
      <c r="A5026" s="70"/>
      <c r="B5026" s="118"/>
      <c r="C5026" s="121"/>
      <c r="D5026" s="121"/>
      <c r="E5026" s="70"/>
      <c r="F5026" s="121"/>
      <c r="G5026" s="121"/>
      <c r="H5026" s="93"/>
      <c r="I5026" s="85"/>
      <c r="J5026" s="122"/>
      <c r="K5026" s="131"/>
      <c r="L5026" s="69"/>
      <c r="M5026" s="49"/>
      <c r="Q5026" s="3"/>
      <c r="R5026" s="3"/>
      <c r="S5026" s="3"/>
      <c r="T5026" s="3"/>
      <c r="U5026" s="3"/>
      <c r="V5026" s="3"/>
      <c r="W5026" s="3"/>
      <c r="X5026" s="3"/>
      <c r="Y5026" s="3"/>
      <c r="Z5026" s="4"/>
      <c r="AA5026"/>
      <c r="AB5026"/>
    </row>
    <row r="5027" spans="1:28" s="37" customFormat="1" x14ac:dyDescent="0.15">
      <c r="A5027" s="70"/>
      <c r="B5027" s="118"/>
      <c r="C5027" s="121"/>
      <c r="D5027" s="121"/>
      <c r="E5027" s="70"/>
      <c r="F5027" s="121"/>
      <c r="G5027" s="121"/>
      <c r="H5027" s="93"/>
      <c r="I5027" s="85"/>
      <c r="J5027" s="122"/>
      <c r="K5027" s="131"/>
      <c r="L5027" s="69"/>
      <c r="M5027" s="49"/>
      <c r="Q5027" s="3"/>
      <c r="R5027" s="3"/>
      <c r="S5027" s="3"/>
      <c r="T5027" s="3"/>
      <c r="U5027" s="3"/>
      <c r="V5027" s="3"/>
      <c r="W5027" s="3"/>
      <c r="X5027" s="3"/>
      <c r="Y5027" s="3"/>
      <c r="Z5027" s="4"/>
      <c r="AA5027"/>
      <c r="AB5027"/>
    </row>
    <row r="5028" spans="1:28" s="37" customFormat="1" x14ac:dyDescent="0.15">
      <c r="A5028" s="70"/>
      <c r="B5028" s="118"/>
      <c r="C5028" s="121"/>
      <c r="D5028" s="121"/>
      <c r="E5028" s="70"/>
      <c r="F5028" s="121"/>
      <c r="G5028" s="121"/>
      <c r="H5028" s="93"/>
      <c r="I5028" s="85"/>
      <c r="J5028" s="122"/>
      <c r="K5028" s="131"/>
      <c r="L5028" s="69"/>
      <c r="M5028" s="49"/>
      <c r="Q5028" s="3"/>
      <c r="R5028" s="3"/>
      <c r="S5028" s="3"/>
      <c r="T5028" s="3"/>
      <c r="U5028" s="3"/>
      <c r="V5028" s="3"/>
      <c r="W5028" s="3"/>
      <c r="X5028" s="3"/>
      <c r="Y5028" s="3"/>
      <c r="Z5028" s="4"/>
      <c r="AA5028"/>
      <c r="AB5028"/>
    </row>
    <row r="5029" spans="1:28" s="37" customFormat="1" x14ac:dyDescent="0.15">
      <c r="A5029" s="70"/>
      <c r="B5029" s="118"/>
      <c r="C5029" s="121"/>
      <c r="D5029" s="121"/>
      <c r="E5029" s="70"/>
      <c r="F5029" s="121"/>
      <c r="G5029" s="121"/>
      <c r="H5029" s="93"/>
      <c r="I5029" s="85"/>
      <c r="J5029" s="122"/>
      <c r="K5029" s="131"/>
      <c r="L5029" s="69"/>
      <c r="M5029" s="49"/>
      <c r="Q5029" s="3"/>
      <c r="R5029" s="3"/>
      <c r="S5029" s="3"/>
      <c r="T5029" s="3"/>
      <c r="U5029" s="3"/>
      <c r="V5029" s="3"/>
      <c r="W5029" s="3"/>
      <c r="X5029" s="3"/>
      <c r="Y5029" s="3"/>
      <c r="Z5029" s="4"/>
      <c r="AA5029"/>
      <c r="AB5029"/>
    </row>
    <row r="5030" spans="1:28" s="37" customFormat="1" x14ac:dyDescent="0.15">
      <c r="A5030" s="70"/>
      <c r="B5030" s="118"/>
      <c r="C5030" s="121"/>
      <c r="D5030" s="121"/>
      <c r="E5030" s="70"/>
      <c r="F5030" s="121"/>
      <c r="G5030" s="121"/>
      <c r="H5030" s="93"/>
      <c r="I5030" s="85"/>
      <c r="J5030" s="122"/>
      <c r="K5030" s="131"/>
      <c r="L5030" s="60"/>
      <c r="M5030" s="49"/>
      <c r="Q5030" s="3"/>
      <c r="R5030" s="3"/>
      <c r="S5030" s="3"/>
      <c r="T5030" s="3"/>
      <c r="U5030" s="3"/>
      <c r="V5030" s="3"/>
      <c r="W5030" s="3"/>
      <c r="X5030" s="3"/>
      <c r="Y5030" s="3"/>
      <c r="Z5030" s="4"/>
      <c r="AA5030"/>
      <c r="AB5030"/>
    </row>
    <row r="5031" spans="1:28" s="37" customFormat="1" x14ac:dyDescent="0.15">
      <c r="A5031" s="70"/>
      <c r="B5031" s="118"/>
      <c r="C5031" s="121"/>
      <c r="D5031" s="121"/>
      <c r="E5031" s="70"/>
      <c r="F5031" s="121"/>
      <c r="G5031" s="121"/>
      <c r="H5031" s="93"/>
      <c r="I5031" s="85"/>
      <c r="J5031" s="122"/>
      <c r="K5031" s="131"/>
      <c r="L5031" s="69"/>
      <c r="M5031" s="49"/>
      <c r="Q5031" s="3"/>
      <c r="R5031" s="3"/>
      <c r="S5031" s="3"/>
      <c r="T5031" s="3"/>
      <c r="U5031" s="3"/>
      <c r="V5031" s="3"/>
      <c r="W5031" s="3"/>
      <c r="X5031" s="3"/>
      <c r="Y5031" s="3"/>
      <c r="Z5031" s="4"/>
      <c r="AA5031"/>
      <c r="AB5031"/>
    </row>
    <row r="5032" spans="1:28" s="37" customFormat="1" ht="16" x14ac:dyDescent="0.2">
      <c r="A5032" s="70"/>
      <c r="B5032" s="118"/>
      <c r="C5032" s="121"/>
      <c r="D5032" s="121"/>
      <c r="E5032" s="70"/>
      <c r="F5032" s="121"/>
      <c r="G5032" s="121"/>
      <c r="H5032" s="93"/>
      <c r="I5032" s="85"/>
      <c r="J5032" s="122"/>
      <c r="K5032" s="131"/>
      <c r="L5032" s="60"/>
      <c r="M5032" s="49"/>
      <c r="N5032" s="48"/>
      <c r="Q5032" s="3"/>
      <c r="R5032" s="3"/>
      <c r="S5032" s="3"/>
      <c r="T5032" s="3"/>
      <c r="U5032" s="3"/>
      <c r="V5032" s="3"/>
      <c r="W5032" s="3"/>
      <c r="X5032" s="3"/>
      <c r="Y5032" s="3"/>
      <c r="Z5032" s="4"/>
      <c r="AA5032"/>
      <c r="AB5032"/>
    </row>
    <row r="5033" spans="1:28" s="37" customFormat="1" x14ac:dyDescent="0.15">
      <c r="A5033" s="70"/>
      <c r="B5033" s="118"/>
      <c r="C5033" s="121"/>
      <c r="D5033" s="121"/>
      <c r="E5033" s="70"/>
      <c r="F5033" s="121"/>
      <c r="G5033" s="121"/>
      <c r="H5033" s="93"/>
      <c r="I5033" s="85"/>
      <c r="J5033" s="122"/>
      <c r="K5033" s="131"/>
      <c r="L5033" s="69"/>
      <c r="M5033" s="49"/>
      <c r="Q5033" s="3"/>
      <c r="R5033" s="3"/>
      <c r="S5033" s="3"/>
      <c r="T5033" s="3"/>
      <c r="U5033" s="3"/>
      <c r="V5033" s="3"/>
      <c r="W5033" s="3"/>
      <c r="X5033" s="3"/>
      <c r="Y5033" s="3"/>
      <c r="Z5033" s="4"/>
      <c r="AA5033"/>
      <c r="AB5033"/>
    </row>
    <row r="5034" spans="1:28" s="37" customFormat="1" x14ac:dyDescent="0.15">
      <c r="A5034" s="70"/>
      <c r="B5034" s="118"/>
      <c r="C5034" s="121"/>
      <c r="D5034" s="121"/>
      <c r="E5034" s="70"/>
      <c r="F5034" s="121"/>
      <c r="G5034" s="121"/>
      <c r="H5034" s="93"/>
      <c r="I5034" s="85"/>
      <c r="J5034" s="122"/>
      <c r="K5034" s="131"/>
      <c r="L5034" s="69"/>
      <c r="M5034" s="49"/>
      <c r="Q5034" s="3"/>
      <c r="R5034" s="3"/>
      <c r="S5034" s="3"/>
      <c r="T5034" s="3"/>
      <c r="U5034" s="3"/>
      <c r="V5034" s="3"/>
      <c r="W5034" s="3"/>
      <c r="X5034" s="3"/>
      <c r="Y5034" s="3"/>
      <c r="Z5034" s="4"/>
      <c r="AA5034"/>
      <c r="AB5034"/>
    </row>
    <row r="5035" spans="1:28" s="37" customFormat="1" x14ac:dyDescent="0.15">
      <c r="A5035" s="70"/>
      <c r="B5035" s="118"/>
      <c r="C5035" s="121"/>
      <c r="D5035" s="121"/>
      <c r="E5035" s="70"/>
      <c r="F5035" s="121"/>
      <c r="G5035" s="121"/>
      <c r="H5035" s="93"/>
      <c r="I5035" s="85"/>
      <c r="J5035" s="122"/>
      <c r="K5035" s="131"/>
      <c r="L5035" s="69"/>
      <c r="M5035" s="49"/>
      <c r="Q5035" s="3"/>
      <c r="R5035" s="3"/>
      <c r="S5035" s="3"/>
      <c r="T5035" s="3"/>
      <c r="U5035" s="3"/>
      <c r="V5035" s="3"/>
      <c r="W5035" s="3"/>
      <c r="X5035" s="3"/>
      <c r="Y5035" s="3"/>
      <c r="Z5035" s="4"/>
      <c r="AA5035"/>
      <c r="AB5035"/>
    </row>
    <row r="5036" spans="1:28" s="37" customFormat="1" x14ac:dyDescent="0.15">
      <c r="A5036" s="70"/>
      <c r="B5036" s="118"/>
      <c r="C5036" s="121"/>
      <c r="D5036" s="121"/>
      <c r="E5036" s="70"/>
      <c r="F5036" s="121"/>
      <c r="G5036" s="121"/>
      <c r="H5036" s="93"/>
      <c r="I5036" s="85"/>
      <c r="J5036" s="122"/>
      <c r="K5036" s="131"/>
      <c r="L5036" s="60"/>
      <c r="M5036" s="49"/>
      <c r="Q5036" s="3"/>
      <c r="R5036" s="3"/>
      <c r="S5036" s="3"/>
      <c r="T5036" s="3"/>
      <c r="U5036" s="3"/>
      <c r="V5036" s="3"/>
      <c r="W5036" s="3"/>
      <c r="X5036" s="3"/>
      <c r="Y5036" s="3"/>
      <c r="Z5036" s="4"/>
      <c r="AA5036"/>
      <c r="AB5036"/>
    </row>
    <row r="5037" spans="1:28" s="37" customFormat="1" x14ac:dyDescent="0.15">
      <c r="A5037" s="70"/>
      <c r="B5037" s="117"/>
      <c r="C5037" s="121"/>
      <c r="D5037" s="121"/>
      <c r="E5037" s="73"/>
      <c r="F5037" s="121"/>
      <c r="G5037" s="121"/>
      <c r="H5037" s="93"/>
      <c r="I5037" s="85"/>
      <c r="J5037" s="122"/>
      <c r="K5037" s="131"/>
      <c r="L5037" s="60"/>
      <c r="M5037" s="33"/>
      <c r="Q5037" s="3"/>
      <c r="R5037" s="3"/>
      <c r="S5037" s="3"/>
      <c r="T5037" s="3"/>
      <c r="U5037" s="3"/>
      <c r="V5037" s="3"/>
      <c r="W5037" s="3"/>
      <c r="X5037" s="3"/>
      <c r="Y5037" s="3"/>
      <c r="Z5037" s="4"/>
      <c r="AA5037"/>
      <c r="AB5037"/>
    </row>
    <row r="5038" spans="1:28" s="3" customFormat="1" x14ac:dyDescent="0.15">
      <c r="A5038" s="70"/>
      <c r="B5038" s="118"/>
      <c r="C5038" s="121"/>
      <c r="D5038" s="121"/>
      <c r="E5038" s="70"/>
      <c r="F5038" s="121"/>
      <c r="G5038" s="121"/>
      <c r="H5038" s="93"/>
      <c r="I5038" s="85"/>
      <c r="J5038" s="122"/>
      <c r="K5038" s="131"/>
      <c r="L5038" s="60"/>
      <c r="M5038" s="49"/>
      <c r="N5038" s="37"/>
      <c r="O5038" s="37"/>
      <c r="P5038" s="37"/>
      <c r="Z5038" s="4"/>
      <c r="AA5038"/>
      <c r="AB5038"/>
    </row>
    <row r="5039" spans="1:28" s="3" customFormat="1" x14ac:dyDescent="0.15">
      <c r="A5039" s="70"/>
      <c r="B5039" s="117"/>
      <c r="C5039" s="121"/>
      <c r="D5039" s="121"/>
      <c r="E5039" s="70"/>
      <c r="F5039" s="121"/>
      <c r="G5039" s="121"/>
      <c r="H5039" s="93"/>
      <c r="I5039" s="85"/>
      <c r="J5039" s="122"/>
      <c r="K5039" s="131"/>
      <c r="L5039" s="60"/>
      <c r="M5039" s="33"/>
      <c r="N5039" s="37"/>
      <c r="O5039" s="37"/>
      <c r="P5039" s="37"/>
      <c r="Z5039" s="4"/>
      <c r="AA5039"/>
      <c r="AB5039"/>
    </row>
    <row r="5040" spans="1:28" s="3" customFormat="1" x14ac:dyDescent="0.15">
      <c r="A5040" s="70"/>
      <c r="B5040" s="117"/>
      <c r="C5040" s="121"/>
      <c r="D5040" s="121"/>
      <c r="E5040" s="70"/>
      <c r="F5040" s="121"/>
      <c r="G5040" s="121"/>
      <c r="H5040" s="93"/>
      <c r="I5040" s="85"/>
      <c r="J5040" s="122"/>
      <c r="K5040" s="131"/>
      <c r="L5040" s="60"/>
      <c r="M5040" s="33"/>
      <c r="N5040" s="37"/>
      <c r="O5040" s="37"/>
      <c r="P5040" s="37"/>
      <c r="Z5040" s="4"/>
      <c r="AA5040"/>
      <c r="AB5040"/>
    </row>
    <row r="5041" spans="1:28" s="3" customFormat="1" x14ac:dyDescent="0.15">
      <c r="A5041" s="70"/>
      <c r="B5041" s="117"/>
      <c r="C5041" s="121"/>
      <c r="D5041" s="121"/>
      <c r="E5041" s="70"/>
      <c r="F5041" s="121"/>
      <c r="G5041" s="121"/>
      <c r="H5041" s="93"/>
      <c r="I5041" s="85"/>
      <c r="J5041" s="122"/>
      <c r="K5041" s="131"/>
      <c r="L5041" s="60"/>
      <c r="M5041" s="33"/>
      <c r="N5041" s="37"/>
      <c r="O5041" s="37"/>
      <c r="P5041" s="37"/>
      <c r="Z5041" s="4"/>
      <c r="AA5041"/>
      <c r="AB5041"/>
    </row>
    <row r="5042" spans="1:28" s="3" customFormat="1" x14ac:dyDescent="0.15">
      <c r="A5042" s="70"/>
      <c r="B5042" s="118"/>
      <c r="C5042" s="121"/>
      <c r="D5042" s="121"/>
      <c r="E5042" s="70"/>
      <c r="F5042" s="121"/>
      <c r="G5042" s="121"/>
      <c r="H5042" s="93"/>
      <c r="I5042" s="85"/>
      <c r="J5042" s="122"/>
      <c r="K5042" s="131"/>
      <c r="L5042" s="60"/>
      <c r="M5042" s="49"/>
      <c r="N5042" s="37"/>
      <c r="O5042" s="37"/>
      <c r="P5042" s="37"/>
      <c r="Z5042" s="4"/>
      <c r="AA5042"/>
      <c r="AB5042"/>
    </row>
    <row r="5043" spans="1:28" s="3" customFormat="1" x14ac:dyDescent="0.15">
      <c r="A5043" s="70"/>
      <c r="B5043" s="118"/>
      <c r="C5043" s="121"/>
      <c r="D5043" s="121"/>
      <c r="E5043" s="70"/>
      <c r="F5043" s="121"/>
      <c r="G5043" s="121"/>
      <c r="H5043" s="93"/>
      <c r="I5043" s="85"/>
      <c r="J5043" s="122"/>
      <c r="K5043" s="131"/>
      <c r="L5043" s="60"/>
      <c r="M5043" s="49"/>
      <c r="N5043" s="37"/>
      <c r="O5043" s="37"/>
      <c r="P5043" s="37"/>
      <c r="Z5043" s="4"/>
      <c r="AA5043"/>
      <c r="AB5043"/>
    </row>
    <row r="5044" spans="1:28" s="3" customFormat="1" x14ac:dyDescent="0.15">
      <c r="A5044" s="70"/>
      <c r="B5044" s="118"/>
      <c r="C5044" s="121"/>
      <c r="D5044" s="121"/>
      <c r="E5044" s="70"/>
      <c r="F5044" s="121"/>
      <c r="G5044" s="121"/>
      <c r="H5044" s="93"/>
      <c r="I5044" s="85"/>
      <c r="J5044" s="122"/>
      <c r="K5044" s="131"/>
      <c r="L5044" s="60"/>
      <c r="M5044" s="49"/>
      <c r="N5044" s="37"/>
      <c r="O5044" s="37"/>
      <c r="P5044" s="37"/>
      <c r="Z5044" s="4"/>
      <c r="AA5044"/>
      <c r="AB5044"/>
    </row>
    <row r="5045" spans="1:28" s="3" customFormat="1" x14ac:dyDescent="0.15">
      <c r="A5045" s="73"/>
      <c r="B5045" s="118"/>
      <c r="C5045" s="121"/>
      <c r="D5045" s="121"/>
      <c r="E5045" s="70"/>
      <c r="F5045" s="121"/>
      <c r="G5045" s="121"/>
      <c r="H5045" s="93"/>
      <c r="I5045" s="85"/>
      <c r="J5045" s="122"/>
      <c r="K5045" s="131"/>
      <c r="L5045" s="60"/>
      <c r="M5045" s="49"/>
      <c r="N5045" s="37"/>
      <c r="O5045" s="37"/>
      <c r="P5045" s="37"/>
      <c r="Z5045" s="4"/>
      <c r="AA5045"/>
      <c r="AB5045"/>
    </row>
    <row r="5046" spans="1:28" s="3" customFormat="1" x14ac:dyDescent="0.15">
      <c r="A5046" s="70"/>
      <c r="B5046" s="118"/>
      <c r="C5046" s="121"/>
      <c r="D5046" s="121"/>
      <c r="E5046" s="70"/>
      <c r="F5046" s="121"/>
      <c r="G5046" s="121"/>
      <c r="H5046" s="93"/>
      <c r="I5046" s="85"/>
      <c r="J5046" s="122"/>
      <c r="K5046" s="131"/>
      <c r="L5046" s="60"/>
      <c r="M5046" s="49"/>
      <c r="N5046" s="37"/>
      <c r="O5046" s="37"/>
      <c r="P5046" s="37"/>
      <c r="Z5046" s="4"/>
      <c r="AA5046"/>
      <c r="AB5046"/>
    </row>
    <row r="5047" spans="1:28" s="3" customFormat="1" x14ac:dyDescent="0.15">
      <c r="A5047" s="73"/>
      <c r="B5047" s="118"/>
      <c r="C5047" s="121"/>
      <c r="D5047" s="121"/>
      <c r="E5047" s="70"/>
      <c r="F5047" s="121"/>
      <c r="G5047" s="121"/>
      <c r="H5047" s="93"/>
      <c r="I5047" s="85"/>
      <c r="J5047" s="122"/>
      <c r="K5047" s="131"/>
      <c r="L5047" s="60"/>
      <c r="M5047" s="49"/>
      <c r="N5047" s="37"/>
      <c r="O5047" s="37"/>
      <c r="P5047" s="37"/>
      <c r="Z5047" s="4"/>
      <c r="AA5047"/>
      <c r="AB5047"/>
    </row>
    <row r="5048" spans="1:28" s="3" customFormat="1" x14ac:dyDescent="0.15">
      <c r="A5048" s="70"/>
      <c r="B5048" s="117"/>
      <c r="C5048" s="121"/>
      <c r="D5048" s="121"/>
      <c r="E5048" s="70"/>
      <c r="F5048" s="121"/>
      <c r="G5048" s="121"/>
      <c r="H5048" s="93"/>
      <c r="I5048" s="85"/>
      <c r="J5048" s="122"/>
      <c r="K5048" s="131"/>
      <c r="L5048" s="60"/>
      <c r="M5048" s="49"/>
      <c r="N5048" s="37"/>
      <c r="O5048" s="37"/>
      <c r="P5048" s="37"/>
      <c r="Z5048" s="4"/>
      <c r="AA5048"/>
      <c r="AB5048"/>
    </row>
    <row r="5049" spans="1:28" s="3" customFormat="1" x14ac:dyDescent="0.15">
      <c r="A5049" s="70"/>
      <c r="B5049" s="118"/>
      <c r="C5049" s="121"/>
      <c r="D5049" s="121"/>
      <c r="E5049" s="70"/>
      <c r="F5049" s="121"/>
      <c r="G5049" s="121"/>
      <c r="H5049" s="93"/>
      <c r="I5049" s="85"/>
      <c r="J5049" s="122"/>
      <c r="K5049" s="131"/>
      <c r="L5049" s="69"/>
      <c r="M5049" s="49"/>
      <c r="N5049" s="37"/>
      <c r="O5049" s="37"/>
      <c r="P5049" s="51"/>
      <c r="Z5049" s="4"/>
      <c r="AA5049"/>
      <c r="AB5049"/>
    </row>
    <row r="5050" spans="1:28" s="3" customFormat="1" x14ac:dyDescent="0.15">
      <c r="A5050" s="70"/>
      <c r="B5050" s="118"/>
      <c r="C5050" s="121"/>
      <c r="D5050" s="121"/>
      <c r="E5050" s="70"/>
      <c r="F5050" s="121"/>
      <c r="G5050" s="121"/>
      <c r="H5050" s="93"/>
      <c r="I5050" s="85"/>
      <c r="J5050" s="122"/>
      <c r="K5050" s="131"/>
      <c r="L5050" s="69"/>
      <c r="M5050" s="49"/>
      <c r="N5050" s="37"/>
      <c r="O5050" s="37"/>
      <c r="P5050" s="51"/>
      <c r="Z5050" s="4"/>
      <c r="AA5050"/>
      <c r="AB5050"/>
    </row>
    <row r="5051" spans="1:28" s="3" customFormat="1" x14ac:dyDescent="0.15">
      <c r="A5051" s="73"/>
      <c r="B5051" s="118"/>
      <c r="C5051" s="121"/>
      <c r="D5051" s="121"/>
      <c r="E5051" s="70"/>
      <c r="F5051" s="121"/>
      <c r="G5051" s="121"/>
      <c r="H5051" s="93"/>
      <c r="I5051" s="85"/>
      <c r="J5051" s="122"/>
      <c r="K5051" s="131"/>
      <c r="L5051" s="69"/>
      <c r="M5051" s="49"/>
      <c r="N5051" s="37"/>
      <c r="O5051" s="37"/>
      <c r="P5051" s="51"/>
      <c r="Z5051" s="4"/>
      <c r="AA5051"/>
      <c r="AB5051"/>
    </row>
    <row r="5052" spans="1:28" s="3" customFormat="1" x14ac:dyDescent="0.15">
      <c r="A5052" s="70"/>
      <c r="B5052" s="118"/>
      <c r="C5052" s="121"/>
      <c r="D5052" s="121"/>
      <c r="E5052" s="70"/>
      <c r="F5052" s="121"/>
      <c r="G5052" s="121"/>
      <c r="H5052" s="93"/>
      <c r="I5052" s="85"/>
      <c r="J5052" s="122"/>
      <c r="K5052" s="131"/>
      <c r="L5052" s="69"/>
      <c r="M5052" s="49"/>
      <c r="N5052" s="37"/>
      <c r="O5052" s="37"/>
      <c r="P5052" s="51"/>
      <c r="Z5052" s="4"/>
      <c r="AA5052"/>
      <c r="AB5052"/>
    </row>
    <row r="5053" spans="1:28" s="3" customFormat="1" x14ac:dyDescent="0.15">
      <c r="A5053" s="70"/>
      <c r="B5053" s="118"/>
      <c r="C5053" s="121"/>
      <c r="D5053" s="121"/>
      <c r="E5053" s="70"/>
      <c r="F5053" s="121"/>
      <c r="G5053" s="121"/>
      <c r="H5053" s="93"/>
      <c r="I5053" s="85"/>
      <c r="J5053" s="122"/>
      <c r="K5053" s="131"/>
      <c r="L5053" s="69"/>
      <c r="M5053" s="49"/>
      <c r="N5053" s="37"/>
      <c r="O5053" s="37"/>
      <c r="P5053" s="51"/>
      <c r="Z5053" s="4"/>
      <c r="AA5053"/>
      <c r="AB5053"/>
    </row>
    <row r="5054" spans="1:28" x14ac:dyDescent="0.15">
      <c r="A5054" s="70"/>
      <c r="B5054" s="118"/>
      <c r="C5054" s="121"/>
      <c r="D5054" s="121"/>
      <c r="E5054" s="70"/>
      <c r="F5054" s="121"/>
      <c r="G5054" s="121"/>
      <c r="H5054" s="93"/>
      <c r="I5054" s="85"/>
      <c r="J5054" s="122"/>
      <c r="K5054" s="131"/>
      <c r="L5054" s="69"/>
      <c r="P5054" s="51"/>
    </row>
    <row r="5055" spans="1:28" ht="16" x14ac:dyDescent="0.2">
      <c r="A5055" s="70"/>
      <c r="B5055" s="118"/>
      <c r="C5055" s="121"/>
      <c r="D5055" s="121"/>
      <c r="E5055" s="121"/>
      <c r="F5055" s="121"/>
      <c r="G5055" s="121"/>
      <c r="H5055" s="93"/>
      <c r="I5055" s="85"/>
      <c r="J5055" s="122"/>
      <c r="K5055" s="131"/>
      <c r="L5055" s="69"/>
      <c r="N5055" s="48"/>
      <c r="P5055" s="51"/>
    </row>
    <row r="5056" spans="1:28" ht="16" x14ac:dyDescent="0.2">
      <c r="A5056" s="70"/>
      <c r="B5056" s="117"/>
      <c r="C5056" s="121"/>
      <c r="D5056" s="121"/>
      <c r="E5056" s="121"/>
      <c r="F5056" s="121"/>
      <c r="G5056" s="121"/>
      <c r="H5056" s="93"/>
      <c r="I5056" s="85"/>
      <c r="J5056" s="122"/>
      <c r="K5056" s="131"/>
      <c r="L5056" s="60"/>
      <c r="M5056" s="47"/>
      <c r="P5056" s="51"/>
    </row>
    <row r="5057" spans="1:28" x14ac:dyDescent="0.15">
      <c r="A5057" s="70"/>
      <c r="B5057" s="117"/>
      <c r="C5057" s="121"/>
      <c r="D5057" s="121"/>
      <c r="E5057" s="121"/>
      <c r="F5057" s="121"/>
      <c r="G5057" s="121"/>
      <c r="H5057" s="93"/>
      <c r="I5057" s="85"/>
      <c r="J5057" s="122"/>
      <c r="K5057" s="131"/>
      <c r="L5057" s="60"/>
      <c r="M5057" s="33"/>
    </row>
    <row r="5058" spans="1:28" ht="16" x14ac:dyDescent="0.2">
      <c r="A5058" s="70"/>
      <c r="B5058" s="118"/>
      <c r="C5058" s="121"/>
      <c r="D5058" s="121"/>
      <c r="E5058" s="121"/>
      <c r="F5058" s="121"/>
      <c r="G5058" s="121"/>
      <c r="H5058" s="93"/>
      <c r="I5058" s="85"/>
      <c r="J5058" s="122"/>
      <c r="K5058" s="131"/>
      <c r="L5058" s="69"/>
      <c r="N5058" s="48"/>
    </row>
    <row r="5059" spans="1:28" x14ac:dyDescent="0.15">
      <c r="A5059" s="70"/>
      <c r="B5059" s="118"/>
      <c r="C5059" s="121"/>
      <c r="D5059" s="121"/>
      <c r="E5059" s="121"/>
      <c r="F5059" s="121"/>
      <c r="G5059" s="121"/>
      <c r="H5059" s="93"/>
      <c r="I5059" s="85"/>
      <c r="J5059" s="122"/>
      <c r="K5059" s="131"/>
      <c r="L5059" s="69"/>
    </row>
    <row r="5060" spans="1:28" x14ac:dyDescent="0.15">
      <c r="A5060" s="70"/>
      <c r="B5060" s="117"/>
      <c r="C5060" s="121"/>
      <c r="D5060" s="121"/>
      <c r="E5060" s="121"/>
      <c r="F5060" s="121"/>
      <c r="G5060" s="121"/>
      <c r="H5060" s="93"/>
      <c r="I5060" s="85"/>
      <c r="J5060" s="122"/>
      <c r="K5060" s="131"/>
      <c r="L5060" s="60"/>
      <c r="M5060" s="33"/>
    </row>
    <row r="5061" spans="1:28" x14ac:dyDescent="0.15">
      <c r="A5061" s="73"/>
      <c r="B5061" s="118"/>
      <c r="C5061" s="121"/>
      <c r="D5061" s="121"/>
      <c r="E5061" s="121"/>
      <c r="F5061" s="121"/>
      <c r="G5061" s="121"/>
      <c r="H5061" s="93"/>
      <c r="I5061" s="85"/>
      <c r="J5061" s="122"/>
      <c r="K5061" s="131"/>
      <c r="L5061" s="60"/>
    </row>
    <row r="5062" spans="1:28" x14ac:dyDescent="0.15">
      <c r="A5062" s="70"/>
      <c r="B5062" s="118"/>
      <c r="C5062" s="121"/>
      <c r="D5062" s="121"/>
      <c r="E5062" s="121"/>
      <c r="F5062" s="121"/>
      <c r="G5062" s="121"/>
      <c r="H5062" s="93"/>
      <c r="I5062" s="85"/>
      <c r="J5062" s="122"/>
      <c r="K5062" s="131"/>
      <c r="L5062" s="60"/>
      <c r="P5062" s="51"/>
    </row>
    <row r="5063" spans="1:28" x14ac:dyDescent="0.15">
      <c r="A5063" s="70"/>
      <c r="B5063" s="118"/>
      <c r="C5063" s="121"/>
      <c r="D5063" s="121"/>
      <c r="E5063" s="121"/>
      <c r="F5063" s="121"/>
      <c r="G5063" s="121"/>
      <c r="H5063" s="93"/>
      <c r="I5063" s="85"/>
      <c r="J5063" s="122"/>
      <c r="K5063" s="131"/>
      <c r="L5063" s="60"/>
    </row>
    <row r="5064" spans="1:28" x14ac:dyDescent="0.15">
      <c r="A5064" s="70"/>
      <c r="B5064" s="118"/>
      <c r="C5064" s="121"/>
      <c r="D5064" s="121"/>
      <c r="E5064" s="121"/>
      <c r="F5064" s="121"/>
      <c r="G5064" s="121"/>
      <c r="H5064" s="93"/>
      <c r="I5064" s="85"/>
      <c r="J5064" s="122"/>
      <c r="K5064" s="131"/>
      <c r="L5064" s="69"/>
    </row>
    <row r="5065" spans="1:28" x14ac:dyDescent="0.15">
      <c r="A5065" s="73"/>
      <c r="B5065" s="118"/>
      <c r="C5065" s="121"/>
      <c r="D5065" s="121"/>
      <c r="E5065" s="121"/>
      <c r="F5065" s="121"/>
      <c r="G5065" s="121"/>
      <c r="H5065" s="93"/>
      <c r="I5065" s="85"/>
      <c r="J5065" s="122"/>
      <c r="K5065" s="131"/>
      <c r="L5065" s="60"/>
    </row>
    <row r="5066" spans="1:28" x14ac:dyDescent="0.15">
      <c r="A5066" s="70"/>
      <c r="B5066" s="118"/>
      <c r="C5066" s="121"/>
      <c r="D5066" s="121"/>
      <c r="E5066" s="121"/>
      <c r="F5066" s="121"/>
      <c r="G5066" s="121"/>
      <c r="H5066" s="93"/>
      <c r="I5066" s="85"/>
      <c r="J5066" s="122"/>
      <c r="K5066" s="131"/>
      <c r="L5066" s="60"/>
    </row>
    <row r="5067" spans="1:28" x14ac:dyDescent="0.15">
      <c r="A5067" s="70"/>
      <c r="B5067" s="118"/>
      <c r="C5067" s="121"/>
      <c r="D5067" s="121"/>
      <c r="E5067" s="121"/>
      <c r="F5067" s="121"/>
      <c r="G5067" s="121"/>
      <c r="H5067" s="93"/>
      <c r="I5067" s="85"/>
      <c r="J5067" s="122"/>
      <c r="K5067" s="131"/>
      <c r="L5067" s="60"/>
    </row>
    <row r="5068" spans="1:28" x14ac:dyDescent="0.15">
      <c r="A5068" s="73"/>
      <c r="B5068" s="118"/>
      <c r="C5068" s="121"/>
      <c r="D5068" s="121"/>
      <c r="E5068" s="121"/>
      <c r="F5068" s="121"/>
      <c r="G5068" s="121"/>
      <c r="H5068" s="93"/>
      <c r="I5068" s="85"/>
      <c r="J5068" s="122"/>
      <c r="K5068" s="131"/>
      <c r="L5068" s="69"/>
      <c r="S5068"/>
      <c r="T5068"/>
      <c r="U5068"/>
      <c r="V5068"/>
      <c r="W5068"/>
      <c r="X5068"/>
      <c r="Y5068"/>
      <c r="Z5068"/>
    </row>
    <row r="5069" spans="1:28" x14ac:dyDescent="0.15">
      <c r="A5069" s="73"/>
      <c r="B5069" s="118"/>
      <c r="C5069" s="121"/>
      <c r="D5069" s="121"/>
      <c r="E5069" s="121"/>
      <c r="F5069" s="121"/>
      <c r="G5069" s="121"/>
      <c r="H5069" s="93"/>
      <c r="I5069" s="85"/>
      <c r="J5069" s="122"/>
      <c r="K5069" s="131"/>
      <c r="L5069" s="60"/>
    </row>
    <row r="5070" spans="1:28" s="3" customFormat="1" x14ac:dyDescent="0.15">
      <c r="A5070" s="70"/>
      <c r="B5070" s="117"/>
      <c r="C5070" s="121"/>
      <c r="D5070" s="121"/>
      <c r="E5070" s="121"/>
      <c r="F5070" s="121"/>
      <c r="G5070" s="121"/>
      <c r="H5070" s="93"/>
      <c r="I5070" s="85"/>
      <c r="J5070" s="122"/>
      <c r="K5070" s="131"/>
      <c r="L5070" s="60"/>
      <c r="M5070" s="33"/>
      <c r="N5070" s="37"/>
      <c r="O5070" s="37"/>
      <c r="P5070" s="37"/>
      <c r="Z5070" s="4"/>
      <c r="AA5070"/>
      <c r="AB5070"/>
    </row>
    <row r="5071" spans="1:28" s="3" customFormat="1" x14ac:dyDescent="0.15">
      <c r="A5071" s="70"/>
      <c r="B5071" s="117"/>
      <c r="C5071" s="121"/>
      <c r="D5071" s="121"/>
      <c r="E5071" s="121"/>
      <c r="F5071" s="121"/>
      <c r="G5071" s="121"/>
      <c r="H5071" s="93"/>
      <c r="I5071" s="85"/>
      <c r="J5071" s="122"/>
      <c r="K5071" s="131"/>
      <c r="L5071" s="60"/>
      <c r="M5071" s="33"/>
      <c r="N5071" s="37"/>
      <c r="O5071" s="37"/>
      <c r="P5071" s="37"/>
      <c r="Z5071" s="4"/>
      <c r="AA5071"/>
      <c r="AB5071"/>
    </row>
    <row r="5072" spans="1:28" s="3" customFormat="1" x14ac:dyDescent="0.15">
      <c r="A5072" s="70"/>
      <c r="B5072" s="118"/>
      <c r="C5072" s="121"/>
      <c r="D5072" s="121"/>
      <c r="E5072" s="121"/>
      <c r="F5072" s="121"/>
      <c r="G5072" s="121"/>
      <c r="H5072" s="93"/>
      <c r="I5072" s="85"/>
      <c r="J5072" s="122"/>
      <c r="K5072" s="131"/>
      <c r="L5072" s="60"/>
      <c r="M5072" s="49"/>
      <c r="N5072" s="37"/>
      <c r="O5072" s="37"/>
      <c r="P5072" s="51"/>
      <c r="Z5072" s="4"/>
      <c r="AA5072"/>
      <c r="AB5072"/>
    </row>
    <row r="5073" spans="1:28" s="3" customFormat="1" x14ac:dyDescent="0.15">
      <c r="A5073" s="70"/>
      <c r="B5073" s="118"/>
      <c r="C5073" s="121"/>
      <c r="D5073" s="121"/>
      <c r="E5073" s="121"/>
      <c r="F5073" s="121"/>
      <c r="G5073" s="121"/>
      <c r="H5073" s="93"/>
      <c r="I5073" s="85"/>
      <c r="J5073" s="122"/>
      <c r="K5073" s="131"/>
      <c r="L5073" s="60"/>
      <c r="M5073" s="49"/>
      <c r="N5073" s="37"/>
      <c r="O5073" s="37"/>
      <c r="P5073" s="37"/>
      <c r="Z5073" s="4"/>
      <c r="AA5073"/>
      <c r="AB5073"/>
    </row>
    <row r="5074" spans="1:28" s="3" customFormat="1" x14ac:dyDescent="0.15">
      <c r="A5074" s="70"/>
      <c r="B5074" s="117"/>
      <c r="C5074" s="121"/>
      <c r="D5074" s="121"/>
      <c r="E5074" s="121"/>
      <c r="F5074" s="121"/>
      <c r="G5074" s="121"/>
      <c r="H5074" s="93"/>
      <c r="I5074" s="85"/>
      <c r="J5074" s="122"/>
      <c r="K5074" s="131"/>
      <c r="L5074" s="60"/>
      <c r="M5074" s="33"/>
      <c r="N5074" s="37"/>
      <c r="O5074" s="37"/>
      <c r="P5074" s="37"/>
      <c r="Z5074" s="4"/>
      <c r="AA5074"/>
      <c r="AB5074"/>
    </row>
    <row r="5075" spans="1:28" s="3" customFormat="1" x14ac:dyDescent="0.15">
      <c r="A5075" s="70"/>
      <c r="B5075" s="117"/>
      <c r="C5075" s="121"/>
      <c r="D5075" s="121"/>
      <c r="E5075" s="121"/>
      <c r="F5075" s="121"/>
      <c r="G5075" s="121"/>
      <c r="H5075" s="93"/>
      <c r="I5075" s="85"/>
      <c r="J5075" s="122"/>
      <c r="K5075" s="131"/>
      <c r="L5075" s="60"/>
      <c r="M5075" s="33"/>
      <c r="N5075" s="37"/>
      <c r="O5075" s="37"/>
      <c r="P5075" s="37"/>
      <c r="Z5075" s="4"/>
      <c r="AA5075"/>
      <c r="AB5075"/>
    </row>
    <row r="5076" spans="1:28" s="3" customFormat="1" x14ac:dyDescent="0.15">
      <c r="A5076" s="70"/>
      <c r="B5076" s="118"/>
      <c r="C5076" s="121"/>
      <c r="D5076" s="121"/>
      <c r="E5076" s="121"/>
      <c r="F5076" s="121"/>
      <c r="G5076" s="121"/>
      <c r="H5076" s="93"/>
      <c r="I5076" s="85"/>
      <c r="J5076" s="122"/>
      <c r="K5076" s="131"/>
      <c r="L5076" s="60"/>
      <c r="M5076" s="49"/>
      <c r="N5076" s="37"/>
      <c r="O5076" s="37"/>
      <c r="P5076" s="37"/>
      <c r="Z5076" s="4"/>
      <c r="AA5076"/>
      <c r="AB5076"/>
    </row>
    <row r="5077" spans="1:28" s="3" customFormat="1" x14ac:dyDescent="0.15">
      <c r="A5077" s="70"/>
      <c r="B5077" s="117"/>
      <c r="C5077" s="121"/>
      <c r="D5077" s="121"/>
      <c r="E5077" s="121"/>
      <c r="F5077" s="121"/>
      <c r="G5077" s="121"/>
      <c r="H5077" s="93"/>
      <c r="I5077" s="85"/>
      <c r="J5077" s="122"/>
      <c r="K5077" s="131"/>
      <c r="L5077" s="60"/>
      <c r="M5077" s="33"/>
      <c r="N5077" s="37"/>
      <c r="O5077" s="37"/>
      <c r="P5077" s="37"/>
      <c r="Z5077" s="4"/>
      <c r="AA5077"/>
      <c r="AB5077"/>
    </row>
    <row r="5078" spans="1:28" s="3" customFormat="1" x14ac:dyDescent="0.15">
      <c r="A5078" s="70"/>
      <c r="B5078" s="118"/>
      <c r="C5078" s="121"/>
      <c r="D5078" s="121"/>
      <c r="E5078" s="121"/>
      <c r="F5078" s="121"/>
      <c r="G5078" s="121"/>
      <c r="H5078" s="93"/>
      <c r="I5078" s="85"/>
      <c r="J5078" s="122"/>
      <c r="K5078" s="131"/>
      <c r="L5078" s="69"/>
      <c r="M5078" s="49"/>
      <c r="N5078" s="37"/>
      <c r="O5078" s="37"/>
      <c r="P5078" s="37"/>
      <c r="Z5078" s="4"/>
      <c r="AA5078"/>
      <c r="AB5078"/>
    </row>
    <row r="5079" spans="1:28" s="3" customFormat="1" x14ac:dyDescent="0.15">
      <c r="A5079" s="73"/>
      <c r="B5079" s="118"/>
      <c r="C5079" s="121"/>
      <c r="D5079" s="121"/>
      <c r="E5079" s="121"/>
      <c r="F5079" s="121"/>
      <c r="G5079" s="121"/>
      <c r="H5079" s="93"/>
      <c r="I5079" s="85"/>
      <c r="J5079" s="122"/>
      <c r="K5079" s="131"/>
      <c r="L5079" s="69"/>
      <c r="M5079" s="49"/>
      <c r="N5079" s="37"/>
      <c r="O5079" s="37"/>
      <c r="P5079" s="37"/>
      <c r="Z5079" s="4"/>
      <c r="AA5079"/>
      <c r="AB5079"/>
    </row>
    <row r="5080" spans="1:28" s="3" customFormat="1" x14ac:dyDescent="0.15">
      <c r="A5080" s="70"/>
      <c r="B5080" s="118"/>
      <c r="C5080" s="121"/>
      <c r="D5080" s="121"/>
      <c r="E5080" s="121"/>
      <c r="F5080" s="121"/>
      <c r="G5080" s="121"/>
      <c r="H5080" s="93"/>
      <c r="I5080" s="85"/>
      <c r="J5080" s="122"/>
      <c r="K5080" s="131"/>
      <c r="L5080" s="69"/>
      <c r="M5080" s="49"/>
      <c r="N5080" s="37"/>
      <c r="O5080" s="37"/>
      <c r="P5080" s="37"/>
      <c r="Z5080" s="4"/>
      <c r="AA5080"/>
      <c r="AB5080"/>
    </row>
    <row r="5081" spans="1:28" s="3" customFormat="1" x14ac:dyDescent="0.15">
      <c r="A5081" s="70"/>
      <c r="B5081" s="118"/>
      <c r="C5081" s="121"/>
      <c r="D5081" s="121"/>
      <c r="E5081" s="121"/>
      <c r="F5081" s="121"/>
      <c r="G5081" s="121"/>
      <c r="H5081" s="93"/>
      <c r="I5081" s="85"/>
      <c r="J5081" s="122"/>
      <c r="K5081" s="131"/>
      <c r="L5081" s="60"/>
      <c r="M5081" s="49"/>
      <c r="N5081" s="37"/>
      <c r="O5081" s="37"/>
      <c r="P5081" s="37"/>
      <c r="Z5081" s="4"/>
      <c r="AA5081"/>
      <c r="AB5081"/>
    </row>
    <row r="5082" spans="1:28" s="3" customFormat="1" x14ac:dyDescent="0.15">
      <c r="A5082" s="70"/>
      <c r="B5082" s="118"/>
      <c r="C5082" s="121"/>
      <c r="D5082" s="121"/>
      <c r="E5082" s="121"/>
      <c r="F5082" s="121"/>
      <c r="G5082" s="121"/>
      <c r="H5082" s="93"/>
      <c r="I5082" s="85"/>
      <c r="J5082" s="122"/>
      <c r="K5082" s="131"/>
      <c r="L5082" s="60"/>
      <c r="M5082" s="49"/>
      <c r="N5082" s="37"/>
      <c r="O5082" s="37"/>
      <c r="P5082" s="37"/>
      <c r="Z5082" s="4"/>
      <c r="AA5082"/>
      <c r="AB5082"/>
    </row>
    <row r="5083" spans="1:28" s="3" customFormat="1" x14ac:dyDescent="0.15">
      <c r="A5083" s="70"/>
      <c r="B5083" s="118"/>
      <c r="C5083" s="121"/>
      <c r="D5083" s="121"/>
      <c r="E5083" s="121"/>
      <c r="F5083" s="121"/>
      <c r="G5083" s="121"/>
      <c r="H5083" s="93"/>
      <c r="I5083" s="85"/>
      <c r="J5083" s="122"/>
      <c r="K5083" s="131"/>
      <c r="L5083" s="60"/>
      <c r="M5083" s="49"/>
      <c r="N5083" s="37"/>
      <c r="O5083" s="37"/>
      <c r="P5083" s="37"/>
      <c r="Z5083" s="4"/>
      <c r="AA5083"/>
      <c r="AB5083"/>
    </row>
    <row r="5084" spans="1:28" s="3" customFormat="1" x14ac:dyDescent="0.15">
      <c r="A5084" s="70"/>
      <c r="B5084" s="118"/>
      <c r="C5084" s="121"/>
      <c r="D5084" s="121"/>
      <c r="E5084" s="121"/>
      <c r="F5084" s="121"/>
      <c r="G5084" s="121"/>
      <c r="H5084" s="93"/>
      <c r="I5084" s="85"/>
      <c r="J5084" s="122"/>
      <c r="K5084" s="131"/>
      <c r="L5084" s="60"/>
      <c r="M5084" s="49"/>
      <c r="N5084" s="37"/>
      <c r="O5084" s="37"/>
      <c r="P5084" s="37"/>
      <c r="Z5084" s="4"/>
      <c r="AA5084"/>
      <c r="AB5084"/>
    </row>
    <row r="5085" spans="1:28" s="3" customFormat="1" x14ac:dyDescent="0.15">
      <c r="A5085" s="70"/>
      <c r="B5085" s="118"/>
      <c r="C5085" s="121"/>
      <c r="D5085" s="121"/>
      <c r="E5085" s="121"/>
      <c r="F5085" s="121"/>
      <c r="G5085" s="121"/>
      <c r="H5085" s="93"/>
      <c r="I5085" s="85"/>
      <c r="J5085" s="122"/>
      <c r="K5085" s="131"/>
      <c r="L5085" s="69"/>
      <c r="M5085" s="49"/>
      <c r="N5085" s="37"/>
      <c r="O5085" s="37"/>
      <c r="P5085" s="37"/>
      <c r="Z5085" s="4"/>
      <c r="AA5085"/>
      <c r="AB5085"/>
    </row>
    <row r="5086" spans="1:28" s="37" customFormat="1" x14ac:dyDescent="0.15">
      <c r="A5086" s="70"/>
      <c r="B5086" s="118"/>
      <c r="C5086" s="121"/>
      <c r="D5086" s="121"/>
      <c r="E5086" s="121"/>
      <c r="F5086" s="121"/>
      <c r="G5086" s="121"/>
      <c r="H5086" s="93"/>
      <c r="I5086" s="85"/>
      <c r="J5086" s="122"/>
      <c r="K5086" s="131"/>
      <c r="L5086" s="69"/>
      <c r="M5086" s="49"/>
      <c r="Q5086" s="3"/>
      <c r="R5086" s="3"/>
      <c r="S5086" s="3"/>
      <c r="T5086" s="3"/>
      <c r="U5086" s="3"/>
      <c r="V5086" s="3"/>
      <c r="W5086" s="3"/>
      <c r="X5086" s="3"/>
      <c r="Y5086" s="3"/>
      <c r="Z5086" s="4"/>
      <c r="AA5086"/>
      <c r="AB5086"/>
    </row>
    <row r="5087" spans="1:28" s="37" customFormat="1" x14ac:dyDescent="0.15">
      <c r="A5087" s="70"/>
      <c r="B5087" s="118"/>
      <c r="C5087" s="121"/>
      <c r="D5087" s="121"/>
      <c r="E5087" s="121"/>
      <c r="F5087" s="121"/>
      <c r="G5087" s="121"/>
      <c r="H5087" s="93"/>
      <c r="I5087" s="85"/>
      <c r="J5087" s="122"/>
      <c r="K5087" s="131"/>
      <c r="L5087" s="60"/>
      <c r="M5087" s="49"/>
      <c r="Q5087" s="3"/>
      <c r="R5087" s="3"/>
      <c r="S5087" s="3"/>
      <c r="T5087" s="3"/>
      <c r="U5087" s="3"/>
      <c r="V5087" s="3"/>
      <c r="W5087" s="3"/>
      <c r="X5087" s="3"/>
      <c r="Y5087" s="3"/>
      <c r="Z5087" s="4"/>
      <c r="AA5087"/>
      <c r="AB5087"/>
    </row>
    <row r="5088" spans="1:28" s="37" customFormat="1" x14ac:dyDescent="0.15">
      <c r="A5088" s="70"/>
      <c r="B5088" s="118"/>
      <c r="C5088" s="121"/>
      <c r="D5088" s="121"/>
      <c r="E5088" s="121"/>
      <c r="F5088" s="121"/>
      <c r="G5088" s="121"/>
      <c r="H5088" s="93"/>
      <c r="I5088" s="85"/>
      <c r="J5088" s="122"/>
      <c r="K5088" s="131"/>
      <c r="L5088" s="60"/>
      <c r="M5088" s="49"/>
      <c r="Q5088" s="3"/>
      <c r="R5088" s="3"/>
      <c r="S5088" s="3"/>
      <c r="T5088" s="3"/>
      <c r="U5088" s="3"/>
      <c r="V5088" s="3"/>
      <c r="W5088" s="3"/>
      <c r="X5088" s="3"/>
      <c r="Y5088" s="3"/>
      <c r="Z5088" s="4"/>
      <c r="AA5088"/>
      <c r="AB5088"/>
    </row>
    <row r="5089" spans="1:28" s="37" customFormat="1" x14ac:dyDescent="0.15">
      <c r="A5089" s="70"/>
      <c r="B5089" s="118"/>
      <c r="C5089" s="121"/>
      <c r="D5089" s="121"/>
      <c r="E5089" s="121"/>
      <c r="F5089" s="121"/>
      <c r="G5089" s="121"/>
      <c r="H5089" s="93"/>
      <c r="I5089" s="85"/>
      <c r="J5089" s="122"/>
      <c r="K5089" s="131"/>
      <c r="L5089" s="60"/>
      <c r="M5089" s="49"/>
      <c r="Q5089" s="3"/>
      <c r="R5089" s="3"/>
      <c r="S5089" s="3"/>
      <c r="T5089" s="3"/>
      <c r="U5089" s="3"/>
      <c r="V5089" s="3"/>
      <c r="W5089" s="3"/>
      <c r="X5089" s="3"/>
      <c r="Y5089" s="3"/>
      <c r="Z5089" s="4"/>
      <c r="AA5089"/>
      <c r="AB5089"/>
    </row>
    <row r="5090" spans="1:28" s="37" customFormat="1" x14ac:dyDescent="0.15">
      <c r="A5090" s="70"/>
      <c r="B5090" s="118"/>
      <c r="C5090" s="121"/>
      <c r="D5090" s="121"/>
      <c r="E5090" s="121"/>
      <c r="F5090" s="121"/>
      <c r="G5090" s="121"/>
      <c r="H5090" s="93"/>
      <c r="I5090" s="85"/>
      <c r="J5090" s="122"/>
      <c r="K5090" s="131"/>
      <c r="L5090" s="60"/>
      <c r="M5090" s="49"/>
      <c r="Q5090" s="3"/>
      <c r="R5090" s="3"/>
      <c r="S5090" s="3"/>
      <c r="T5090" s="3"/>
      <c r="U5090" s="3"/>
      <c r="V5090" s="3"/>
      <c r="W5090" s="3"/>
      <c r="X5090" s="3"/>
      <c r="Y5090" s="3"/>
      <c r="Z5090" s="4"/>
      <c r="AA5090"/>
      <c r="AB5090"/>
    </row>
    <row r="5091" spans="1:28" s="37" customFormat="1" x14ac:dyDescent="0.15">
      <c r="A5091" s="70"/>
      <c r="B5091" s="118"/>
      <c r="C5091" s="121"/>
      <c r="D5091" s="121"/>
      <c r="E5091" s="121"/>
      <c r="F5091" s="121"/>
      <c r="G5091" s="121"/>
      <c r="H5091" s="93"/>
      <c r="I5091" s="85"/>
      <c r="J5091" s="122"/>
      <c r="K5091" s="131"/>
      <c r="L5091" s="60"/>
      <c r="M5091" s="49"/>
      <c r="Q5091" s="3"/>
      <c r="R5091" s="3"/>
      <c r="S5091" s="3"/>
      <c r="T5091" s="3"/>
      <c r="U5091" s="3"/>
      <c r="V5091" s="3"/>
      <c r="W5091" s="3"/>
      <c r="X5091" s="3"/>
      <c r="Y5091" s="3"/>
      <c r="Z5091" s="4"/>
      <c r="AA5091"/>
      <c r="AB5091"/>
    </row>
    <row r="5092" spans="1:28" s="37" customFormat="1" x14ac:dyDescent="0.15">
      <c r="A5092" s="70"/>
      <c r="B5092" s="118"/>
      <c r="C5092" s="121"/>
      <c r="D5092" s="121"/>
      <c r="E5092" s="121"/>
      <c r="F5092" s="121"/>
      <c r="G5092" s="121"/>
      <c r="H5092" s="93"/>
      <c r="I5092" s="85"/>
      <c r="J5092" s="122"/>
      <c r="K5092" s="131"/>
      <c r="L5092" s="69"/>
      <c r="M5092" s="49"/>
      <c r="Q5092" s="3"/>
      <c r="R5092" s="3"/>
      <c r="S5092" s="3"/>
      <c r="T5092" s="3"/>
      <c r="U5092" s="3"/>
      <c r="V5092" s="3"/>
      <c r="W5092" s="3"/>
      <c r="X5092" s="3"/>
      <c r="Y5092" s="3"/>
      <c r="Z5092" s="4"/>
      <c r="AA5092"/>
      <c r="AB5092"/>
    </row>
    <row r="5093" spans="1:28" s="37" customFormat="1" x14ac:dyDescent="0.15">
      <c r="A5093" s="70"/>
      <c r="B5093" s="117"/>
      <c r="C5093" s="121"/>
      <c r="D5093" s="121"/>
      <c r="E5093" s="121"/>
      <c r="F5093" s="121"/>
      <c r="G5093" s="121"/>
      <c r="H5093" s="93"/>
      <c r="I5093" s="85"/>
      <c r="J5093" s="122"/>
      <c r="K5093" s="131"/>
      <c r="L5093" s="60"/>
      <c r="M5093" s="33"/>
      <c r="Q5093" s="3"/>
      <c r="R5093" s="3"/>
      <c r="S5093" s="3"/>
      <c r="T5093" s="3"/>
      <c r="U5093" s="3"/>
      <c r="V5093" s="3"/>
      <c r="W5093" s="3"/>
      <c r="X5093" s="3"/>
      <c r="Y5093" s="3"/>
      <c r="Z5093" s="4"/>
      <c r="AA5093"/>
      <c r="AB5093"/>
    </row>
    <row r="5094" spans="1:28" s="37" customFormat="1" x14ac:dyDescent="0.15">
      <c r="A5094" s="73"/>
      <c r="B5094" s="118"/>
      <c r="C5094" s="121"/>
      <c r="D5094" s="121"/>
      <c r="E5094" s="121"/>
      <c r="F5094" s="121"/>
      <c r="G5094" s="121"/>
      <c r="H5094" s="93"/>
      <c r="I5094" s="85"/>
      <c r="J5094" s="122"/>
      <c r="K5094" s="131"/>
      <c r="L5094" s="60"/>
      <c r="M5094" s="49"/>
      <c r="Q5094" s="3"/>
      <c r="R5094" s="3"/>
      <c r="S5094" s="3"/>
      <c r="T5094" s="3"/>
      <c r="U5094" s="3"/>
      <c r="V5094" s="3"/>
      <c r="W5094" s="3"/>
      <c r="X5094" s="3"/>
      <c r="Y5094" s="3"/>
      <c r="Z5094" s="4"/>
      <c r="AA5094"/>
      <c r="AB5094"/>
    </row>
    <row r="5095" spans="1:28" s="37" customFormat="1" x14ac:dyDescent="0.15">
      <c r="A5095" s="70"/>
      <c r="B5095" s="118"/>
      <c r="C5095" s="121"/>
      <c r="D5095" s="121"/>
      <c r="E5095" s="121"/>
      <c r="F5095" s="121"/>
      <c r="G5095" s="121"/>
      <c r="H5095" s="93"/>
      <c r="I5095" s="85"/>
      <c r="J5095" s="122"/>
      <c r="K5095" s="131"/>
      <c r="L5095" s="69"/>
      <c r="M5095" s="49"/>
      <c r="Q5095" s="3"/>
      <c r="R5095" s="3"/>
      <c r="S5095" s="3"/>
      <c r="T5095" s="3"/>
      <c r="U5095" s="3"/>
      <c r="V5095" s="3"/>
      <c r="W5095" s="3"/>
      <c r="X5095" s="3"/>
      <c r="Y5095" s="3"/>
      <c r="Z5095" s="4"/>
      <c r="AA5095"/>
      <c r="AB5095"/>
    </row>
    <row r="5096" spans="1:28" s="37" customFormat="1" x14ac:dyDescent="0.15">
      <c r="A5096" s="70"/>
      <c r="B5096" s="118"/>
      <c r="C5096" s="121"/>
      <c r="D5096" s="121"/>
      <c r="E5096" s="121"/>
      <c r="F5096" s="121"/>
      <c r="G5096" s="121"/>
      <c r="H5096" s="93"/>
      <c r="I5096" s="85"/>
      <c r="J5096" s="122"/>
      <c r="K5096" s="131"/>
      <c r="L5096" s="69"/>
      <c r="M5096" s="49"/>
      <c r="Q5096" s="3"/>
      <c r="R5096" s="3"/>
      <c r="S5096" s="3"/>
      <c r="T5096" s="3"/>
      <c r="U5096" s="3"/>
      <c r="V5096" s="3"/>
      <c r="W5096" s="3"/>
      <c r="X5096" s="3"/>
      <c r="Y5096" s="3"/>
      <c r="Z5096" s="4"/>
      <c r="AA5096"/>
      <c r="AB5096"/>
    </row>
    <row r="5097" spans="1:28" s="37" customFormat="1" x14ac:dyDescent="0.15">
      <c r="A5097" s="70"/>
      <c r="B5097" s="118"/>
      <c r="C5097" s="121"/>
      <c r="D5097" s="121"/>
      <c r="E5097" s="121"/>
      <c r="F5097" s="121"/>
      <c r="G5097" s="121"/>
      <c r="H5097" s="93"/>
      <c r="I5097" s="85"/>
      <c r="J5097" s="122"/>
      <c r="K5097" s="131"/>
      <c r="L5097" s="60"/>
      <c r="M5097" s="49"/>
      <c r="Q5097" s="3"/>
      <c r="R5097" s="3"/>
      <c r="S5097" s="3"/>
      <c r="T5097" s="3"/>
      <c r="U5097" s="3"/>
      <c r="V5097" s="3"/>
      <c r="W5097" s="3"/>
      <c r="X5097" s="3"/>
      <c r="Y5097" s="3"/>
      <c r="Z5097" s="4"/>
      <c r="AA5097"/>
      <c r="AB5097"/>
    </row>
    <row r="5098" spans="1:28" s="37" customFormat="1" x14ac:dyDescent="0.15">
      <c r="A5098" s="73"/>
      <c r="B5098" s="118"/>
      <c r="C5098" s="121"/>
      <c r="D5098" s="121"/>
      <c r="E5098" s="121"/>
      <c r="F5098" s="121"/>
      <c r="G5098" s="121"/>
      <c r="H5098" s="93"/>
      <c r="I5098" s="85"/>
      <c r="J5098" s="122"/>
      <c r="K5098" s="131"/>
      <c r="L5098" s="60"/>
      <c r="M5098" s="49"/>
      <c r="Q5098" s="3"/>
      <c r="R5098" s="3"/>
      <c r="S5098" s="3"/>
      <c r="T5098" s="3"/>
      <c r="U5098" s="3"/>
      <c r="V5098" s="3"/>
      <c r="W5098" s="3"/>
      <c r="X5098" s="3"/>
      <c r="Y5098" s="3"/>
      <c r="Z5098" s="4"/>
      <c r="AA5098"/>
      <c r="AB5098"/>
    </row>
    <row r="5099" spans="1:28" s="37" customFormat="1" x14ac:dyDescent="0.15">
      <c r="A5099" s="70"/>
      <c r="B5099" s="117"/>
      <c r="C5099" s="121"/>
      <c r="D5099" s="121"/>
      <c r="E5099" s="121"/>
      <c r="F5099" s="121"/>
      <c r="G5099" s="121"/>
      <c r="H5099" s="93"/>
      <c r="I5099" s="85"/>
      <c r="J5099" s="122"/>
      <c r="K5099" s="131"/>
      <c r="L5099" s="60"/>
      <c r="M5099" s="49"/>
      <c r="Q5099" s="3"/>
      <c r="R5099" s="3"/>
      <c r="S5099" s="3"/>
      <c r="T5099" s="3"/>
      <c r="U5099" s="3"/>
      <c r="V5099" s="3"/>
      <c r="W5099" s="3"/>
      <c r="X5099" s="3"/>
      <c r="Y5099" s="3"/>
      <c r="Z5099" s="4"/>
      <c r="AA5099"/>
      <c r="AB5099"/>
    </row>
    <row r="5100" spans="1:28" s="37" customFormat="1" x14ac:dyDescent="0.15">
      <c r="A5100" s="70"/>
      <c r="B5100" s="118"/>
      <c r="C5100" s="121"/>
      <c r="D5100" s="121"/>
      <c r="E5100" s="121"/>
      <c r="F5100" s="121"/>
      <c r="G5100" s="121"/>
      <c r="H5100" s="93"/>
      <c r="I5100" s="85"/>
      <c r="J5100" s="122"/>
      <c r="K5100" s="131"/>
      <c r="L5100" s="60"/>
      <c r="M5100" s="49"/>
      <c r="Q5100" s="3"/>
      <c r="R5100" s="3"/>
      <c r="S5100" s="3"/>
      <c r="T5100" s="3"/>
      <c r="U5100" s="3"/>
      <c r="V5100" s="3"/>
      <c r="W5100" s="3"/>
      <c r="X5100" s="3"/>
      <c r="Y5100" s="3"/>
      <c r="Z5100" s="4"/>
      <c r="AA5100"/>
      <c r="AB5100"/>
    </row>
    <row r="5101" spans="1:28" s="37" customFormat="1" x14ac:dyDescent="0.15">
      <c r="A5101" s="70"/>
      <c r="B5101" s="118"/>
      <c r="C5101" s="121"/>
      <c r="D5101" s="121"/>
      <c r="E5101" s="121"/>
      <c r="F5101" s="121"/>
      <c r="G5101" s="121"/>
      <c r="H5101" s="93"/>
      <c r="I5101" s="85"/>
      <c r="J5101" s="122"/>
      <c r="K5101" s="131"/>
      <c r="L5101" s="60"/>
      <c r="M5101" s="50"/>
      <c r="Q5101" s="3"/>
      <c r="R5101" s="3"/>
      <c r="S5101" s="3"/>
      <c r="T5101" s="3"/>
      <c r="U5101" s="3"/>
      <c r="V5101" s="3"/>
      <c r="W5101" s="3"/>
      <c r="X5101" s="3"/>
      <c r="Y5101" s="3"/>
      <c r="Z5101" s="4"/>
      <c r="AA5101"/>
      <c r="AB5101"/>
    </row>
    <row r="5102" spans="1:28" s="37" customFormat="1" x14ac:dyDescent="0.15">
      <c r="A5102" s="70"/>
      <c r="B5102" s="118"/>
      <c r="C5102" s="121"/>
      <c r="D5102" s="121"/>
      <c r="E5102" s="121"/>
      <c r="F5102" s="121"/>
      <c r="G5102" s="121"/>
      <c r="H5102" s="93"/>
      <c r="I5102" s="85"/>
      <c r="J5102" s="122"/>
      <c r="K5102" s="131"/>
      <c r="L5102" s="60"/>
      <c r="M5102" s="49"/>
      <c r="Q5102" s="3"/>
      <c r="R5102" s="3"/>
      <c r="S5102" s="3"/>
      <c r="T5102" s="3"/>
      <c r="U5102" s="3"/>
      <c r="V5102" s="3"/>
      <c r="W5102" s="3"/>
      <c r="X5102" s="3"/>
      <c r="Y5102" s="3"/>
      <c r="Z5102" s="4"/>
      <c r="AA5102"/>
      <c r="AB5102"/>
    </row>
    <row r="5103" spans="1:28" s="37" customFormat="1" x14ac:dyDescent="0.15">
      <c r="A5103" s="73"/>
      <c r="B5103" s="118"/>
      <c r="C5103" s="121"/>
      <c r="D5103" s="121"/>
      <c r="E5103" s="121"/>
      <c r="F5103" s="121"/>
      <c r="G5103" s="121"/>
      <c r="H5103" s="93"/>
      <c r="I5103" s="85"/>
      <c r="J5103" s="122"/>
      <c r="K5103" s="131"/>
      <c r="L5103" s="60"/>
      <c r="M5103" s="49"/>
      <c r="Q5103" s="3"/>
      <c r="R5103" s="3"/>
      <c r="S5103" s="3"/>
      <c r="T5103" s="3"/>
      <c r="U5103" s="3"/>
      <c r="V5103" s="3"/>
      <c r="W5103" s="3"/>
      <c r="X5103" s="3"/>
      <c r="Y5103" s="3"/>
      <c r="Z5103" s="4"/>
      <c r="AA5103"/>
      <c r="AB5103"/>
    </row>
    <row r="5104" spans="1:28" s="37" customFormat="1" x14ac:dyDescent="0.15">
      <c r="A5104" s="73"/>
      <c r="B5104" s="118"/>
      <c r="C5104" s="121"/>
      <c r="D5104" s="121"/>
      <c r="E5104" s="121"/>
      <c r="F5104" s="121"/>
      <c r="G5104" s="121"/>
      <c r="H5104" s="93"/>
      <c r="I5104" s="85"/>
      <c r="J5104" s="122"/>
      <c r="K5104" s="131"/>
      <c r="L5104" s="69"/>
      <c r="M5104" s="49"/>
      <c r="Q5104" s="3"/>
      <c r="R5104" s="3"/>
      <c r="S5104" s="3"/>
      <c r="T5104" s="3"/>
      <c r="U5104" s="3"/>
      <c r="V5104" s="3"/>
      <c r="W5104" s="3"/>
      <c r="X5104" s="3"/>
      <c r="Y5104" s="3"/>
      <c r="Z5104" s="4"/>
      <c r="AA5104"/>
      <c r="AB5104"/>
    </row>
    <row r="5105" spans="1:28" s="37" customFormat="1" x14ac:dyDescent="0.15">
      <c r="A5105" s="70"/>
      <c r="B5105" s="118"/>
      <c r="C5105" s="121"/>
      <c r="D5105" s="121"/>
      <c r="E5105" s="121"/>
      <c r="F5105" s="121"/>
      <c r="G5105" s="121"/>
      <c r="H5105" s="93"/>
      <c r="I5105" s="85"/>
      <c r="J5105" s="122"/>
      <c r="K5105" s="131"/>
      <c r="L5105" s="60"/>
      <c r="M5105" s="49"/>
      <c r="Q5105" s="3"/>
      <c r="R5105" s="3"/>
      <c r="S5105" s="3"/>
      <c r="T5105" s="3"/>
      <c r="U5105" s="3"/>
      <c r="V5105" s="3"/>
      <c r="W5105" s="3"/>
      <c r="X5105" s="3"/>
      <c r="Y5105" s="3"/>
      <c r="Z5105" s="4"/>
      <c r="AA5105"/>
      <c r="AB5105"/>
    </row>
    <row r="5106" spans="1:28" s="37" customFormat="1" x14ac:dyDescent="0.15">
      <c r="A5106" s="70"/>
      <c r="B5106" s="118"/>
      <c r="C5106" s="121"/>
      <c r="D5106" s="121"/>
      <c r="E5106" s="121"/>
      <c r="F5106" s="121"/>
      <c r="G5106" s="121"/>
      <c r="H5106" s="93"/>
      <c r="I5106" s="85"/>
      <c r="J5106" s="122"/>
      <c r="K5106" s="131"/>
      <c r="L5106" s="60"/>
      <c r="M5106" s="49"/>
      <c r="Q5106" s="3"/>
      <c r="R5106" s="3"/>
      <c r="S5106" s="3"/>
      <c r="T5106" s="3"/>
      <c r="U5106" s="3"/>
      <c r="V5106" s="3"/>
      <c r="W5106" s="3"/>
      <c r="X5106" s="3"/>
      <c r="Y5106" s="3"/>
      <c r="Z5106" s="4"/>
      <c r="AA5106"/>
      <c r="AB5106"/>
    </row>
    <row r="5107" spans="1:28" s="37" customFormat="1" x14ac:dyDescent="0.15">
      <c r="A5107" s="70"/>
      <c r="B5107" s="118"/>
      <c r="C5107" s="121"/>
      <c r="D5107" s="121"/>
      <c r="E5107" s="121"/>
      <c r="F5107" s="121"/>
      <c r="G5107" s="121"/>
      <c r="H5107" s="93"/>
      <c r="I5107" s="85"/>
      <c r="J5107" s="122"/>
      <c r="K5107" s="131"/>
      <c r="L5107" s="60"/>
      <c r="M5107" s="49"/>
      <c r="Q5107" s="3"/>
      <c r="R5107" s="3"/>
      <c r="S5107" s="3"/>
      <c r="T5107" s="3"/>
      <c r="U5107" s="3"/>
      <c r="V5107" s="3"/>
      <c r="W5107" s="3"/>
      <c r="X5107" s="3"/>
      <c r="Y5107" s="3"/>
      <c r="Z5107" s="4"/>
      <c r="AA5107"/>
      <c r="AB5107"/>
    </row>
    <row r="5108" spans="1:28" s="37" customFormat="1" x14ac:dyDescent="0.15">
      <c r="A5108" s="70"/>
      <c r="B5108" s="118"/>
      <c r="C5108" s="121"/>
      <c r="D5108" s="121"/>
      <c r="E5108" s="121"/>
      <c r="F5108" s="121"/>
      <c r="G5108" s="121"/>
      <c r="H5108" s="93"/>
      <c r="I5108" s="85"/>
      <c r="J5108" s="122"/>
      <c r="K5108" s="131"/>
      <c r="L5108" s="60"/>
      <c r="M5108" s="49"/>
      <c r="Q5108" s="3"/>
      <c r="R5108" s="3"/>
      <c r="S5108" s="3"/>
      <c r="T5108" s="3"/>
      <c r="U5108" s="3"/>
      <c r="V5108" s="3"/>
      <c r="W5108" s="3"/>
      <c r="X5108" s="3"/>
      <c r="Y5108" s="3"/>
      <c r="Z5108" s="4"/>
      <c r="AA5108"/>
      <c r="AB5108"/>
    </row>
    <row r="5109" spans="1:28" s="37" customFormat="1" x14ac:dyDescent="0.15">
      <c r="A5109" s="70"/>
      <c r="B5109" s="118"/>
      <c r="C5109" s="121"/>
      <c r="D5109" s="121"/>
      <c r="E5109" s="121"/>
      <c r="F5109" s="121"/>
      <c r="G5109" s="121"/>
      <c r="H5109" s="93"/>
      <c r="I5109" s="85"/>
      <c r="J5109" s="122"/>
      <c r="K5109" s="134"/>
      <c r="L5109" s="60"/>
      <c r="M5109" s="49"/>
      <c r="Q5109" s="3"/>
      <c r="R5109" s="3"/>
      <c r="S5109" s="3"/>
      <c r="T5109" s="3"/>
      <c r="U5109" s="3"/>
      <c r="V5109" s="3"/>
      <c r="W5109" s="3"/>
      <c r="X5109" s="3"/>
      <c r="Y5109" s="3"/>
      <c r="Z5109" s="4"/>
      <c r="AA5109"/>
      <c r="AB5109"/>
    </row>
    <row r="5110" spans="1:28" s="37" customFormat="1" x14ac:dyDescent="0.15">
      <c r="A5110" s="70"/>
      <c r="B5110" s="118"/>
      <c r="C5110" s="121"/>
      <c r="D5110" s="121"/>
      <c r="E5110" s="121"/>
      <c r="F5110" s="121"/>
      <c r="G5110" s="121"/>
      <c r="H5110" s="93"/>
      <c r="I5110" s="85"/>
      <c r="J5110" s="122"/>
      <c r="K5110" s="131"/>
      <c r="L5110" s="60"/>
      <c r="M5110" s="49"/>
      <c r="Q5110" s="3"/>
      <c r="R5110" s="3"/>
      <c r="S5110" s="3"/>
      <c r="T5110" s="3"/>
      <c r="U5110" s="3"/>
      <c r="V5110" s="3"/>
      <c r="W5110" s="3"/>
      <c r="X5110" s="3"/>
      <c r="Y5110" s="3"/>
      <c r="Z5110" s="4"/>
      <c r="AA5110"/>
      <c r="AB5110"/>
    </row>
    <row r="5111" spans="1:28" s="37" customFormat="1" x14ac:dyDescent="0.15">
      <c r="A5111" s="70"/>
      <c r="B5111" s="118"/>
      <c r="C5111" s="121"/>
      <c r="D5111" s="121"/>
      <c r="E5111" s="121"/>
      <c r="F5111" s="121"/>
      <c r="G5111" s="121"/>
      <c r="H5111" s="93"/>
      <c r="I5111" s="85"/>
      <c r="J5111" s="122"/>
      <c r="K5111" s="131"/>
      <c r="L5111" s="60"/>
      <c r="M5111" s="49"/>
      <c r="Q5111" s="3"/>
      <c r="R5111" s="3"/>
      <c r="S5111" s="3"/>
      <c r="T5111" s="3"/>
      <c r="U5111" s="3"/>
      <c r="V5111" s="3"/>
      <c r="W5111" s="3"/>
      <c r="X5111" s="3"/>
      <c r="Y5111" s="3"/>
      <c r="Z5111" s="4"/>
      <c r="AA5111"/>
      <c r="AB5111"/>
    </row>
    <row r="5112" spans="1:28" s="37" customFormat="1" x14ac:dyDescent="0.15">
      <c r="A5112" s="70"/>
      <c r="B5112" s="118"/>
      <c r="C5112" s="121"/>
      <c r="D5112" s="121"/>
      <c r="E5112" s="121"/>
      <c r="F5112" s="121"/>
      <c r="G5112" s="121"/>
      <c r="H5112" s="93"/>
      <c r="I5112" s="85"/>
      <c r="J5112" s="122"/>
      <c r="K5112" s="131"/>
      <c r="L5112" s="60"/>
      <c r="M5112" s="49"/>
      <c r="Q5112" s="3"/>
      <c r="R5112" s="3"/>
      <c r="S5112" s="3"/>
      <c r="T5112" s="3"/>
      <c r="U5112" s="3"/>
      <c r="V5112" s="3"/>
      <c r="W5112" s="3"/>
      <c r="X5112" s="3"/>
      <c r="Y5112" s="3"/>
      <c r="Z5112" s="4"/>
      <c r="AA5112"/>
      <c r="AB5112"/>
    </row>
    <row r="5113" spans="1:28" s="37" customFormat="1" x14ac:dyDescent="0.15">
      <c r="A5113" s="70"/>
      <c r="B5113" s="117"/>
      <c r="C5113" s="121"/>
      <c r="D5113" s="121"/>
      <c r="E5113" s="121"/>
      <c r="F5113" s="121"/>
      <c r="G5113" s="121"/>
      <c r="H5113" s="93"/>
      <c r="I5113" s="85"/>
      <c r="J5113" s="122"/>
      <c r="K5113" s="131"/>
      <c r="L5113" s="60"/>
      <c r="M5113" s="33"/>
      <c r="Q5113" s="3"/>
      <c r="R5113" s="3"/>
      <c r="S5113" s="3"/>
      <c r="T5113" s="3"/>
      <c r="U5113" s="3"/>
      <c r="V5113" s="3"/>
      <c r="W5113" s="3"/>
      <c r="X5113" s="3"/>
      <c r="Y5113" s="3"/>
      <c r="Z5113" s="4"/>
      <c r="AA5113"/>
      <c r="AB5113"/>
    </row>
    <row r="5114" spans="1:28" s="37" customFormat="1" x14ac:dyDescent="0.15">
      <c r="A5114" s="70"/>
      <c r="B5114" s="118"/>
      <c r="C5114" s="121"/>
      <c r="D5114" s="121"/>
      <c r="E5114" s="121"/>
      <c r="F5114" s="121"/>
      <c r="G5114" s="121"/>
      <c r="H5114" s="93"/>
      <c r="I5114" s="85"/>
      <c r="J5114" s="122"/>
      <c r="K5114" s="131"/>
      <c r="L5114" s="60"/>
      <c r="M5114" s="49"/>
      <c r="Q5114" s="3"/>
      <c r="R5114" s="3"/>
      <c r="S5114" s="3"/>
      <c r="T5114" s="3"/>
      <c r="U5114" s="3"/>
      <c r="V5114" s="3"/>
      <c r="W5114" s="3"/>
      <c r="X5114" s="3"/>
      <c r="Y5114" s="3"/>
      <c r="Z5114" s="4"/>
      <c r="AA5114"/>
      <c r="AB5114"/>
    </row>
    <row r="5115" spans="1:28" s="37" customFormat="1" x14ac:dyDescent="0.15">
      <c r="A5115" s="70"/>
      <c r="B5115" s="118"/>
      <c r="C5115" s="121"/>
      <c r="D5115" s="121"/>
      <c r="E5115" s="121"/>
      <c r="F5115" s="121"/>
      <c r="G5115" s="121"/>
      <c r="H5115" s="93"/>
      <c r="I5115" s="85"/>
      <c r="J5115" s="122"/>
      <c r="K5115" s="131"/>
      <c r="L5115" s="69"/>
      <c r="M5115" s="49"/>
      <c r="Q5115" s="3"/>
      <c r="R5115" s="3"/>
      <c r="S5115" s="3"/>
      <c r="T5115" s="3"/>
      <c r="U5115" s="3"/>
      <c r="V5115" s="3"/>
      <c r="W5115" s="3"/>
      <c r="X5115" s="3"/>
      <c r="Y5115" s="3"/>
      <c r="Z5115" s="4"/>
      <c r="AA5115"/>
      <c r="AB5115"/>
    </row>
    <row r="5116" spans="1:28" s="37" customFormat="1" x14ac:dyDescent="0.15">
      <c r="A5116" s="70"/>
      <c r="B5116" s="118"/>
      <c r="C5116" s="121"/>
      <c r="D5116" s="121"/>
      <c r="E5116" s="121"/>
      <c r="F5116" s="121"/>
      <c r="G5116" s="121"/>
      <c r="H5116" s="93"/>
      <c r="I5116" s="85"/>
      <c r="J5116" s="122"/>
      <c r="K5116" s="131"/>
      <c r="L5116" s="60"/>
      <c r="M5116" s="49"/>
      <c r="Q5116" s="3"/>
      <c r="R5116" s="3"/>
      <c r="S5116" s="3"/>
      <c r="T5116" s="3"/>
      <c r="U5116" s="3"/>
      <c r="V5116" s="3"/>
      <c r="W5116" s="3"/>
      <c r="X5116" s="3"/>
      <c r="Y5116" s="3"/>
      <c r="Z5116" s="4"/>
      <c r="AA5116"/>
      <c r="AB5116"/>
    </row>
    <row r="5117" spans="1:28" s="37" customFormat="1" x14ac:dyDescent="0.15">
      <c r="A5117" s="70"/>
      <c r="B5117" s="118"/>
      <c r="C5117" s="121"/>
      <c r="D5117" s="121"/>
      <c r="E5117" s="121"/>
      <c r="F5117" s="121"/>
      <c r="G5117" s="121"/>
      <c r="H5117" s="93"/>
      <c r="I5117" s="85"/>
      <c r="J5117" s="122"/>
      <c r="K5117" s="131"/>
      <c r="L5117" s="69"/>
      <c r="M5117" s="49"/>
      <c r="Q5117" s="3"/>
      <c r="R5117" s="3"/>
      <c r="S5117" s="3"/>
      <c r="T5117" s="3"/>
      <c r="U5117" s="3"/>
      <c r="V5117" s="3"/>
      <c r="W5117" s="3"/>
      <c r="X5117" s="3"/>
      <c r="Y5117" s="3"/>
      <c r="Z5117" s="4"/>
      <c r="AA5117"/>
      <c r="AB5117"/>
    </row>
    <row r="5118" spans="1:28" s="49" customFormat="1" x14ac:dyDescent="0.15">
      <c r="A5118" s="70"/>
      <c r="B5118" s="118"/>
      <c r="C5118" s="121"/>
      <c r="D5118" s="121"/>
      <c r="E5118" s="121"/>
      <c r="F5118" s="121"/>
      <c r="G5118" s="121"/>
      <c r="H5118" s="93"/>
      <c r="I5118" s="85"/>
      <c r="J5118" s="122"/>
      <c r="K5118" s="131"/>
      <c r="L5118" s="60"/>
      <c r="N5118" s="37"/>
      <c r="O5118" s="37"/>
      <c r="P5118" s="37"/>
      <c r="Q5118" s="3"/>
      <c r="R5118" s="3"/>
      <c r="S5118" s="3"/>
      <c r="T5118" s="3"/>
      <c r="U5118" s="3"/>
      <c r="V5118" s="3"/>
      <c r="W5118" s="3"/>
      <c r="X5118" s="3"/>
      <c r="Y5118" s="3"/>
      <c r="Z5118" s="4"/>
      <c r="AA5118"/>
      <c r="AB5118"/>
    </row>
    <row r="5119" spans="1:28" s="49" customFormat="1" x14ac:dyDescent="0.15">
      <c r="A5119" s="70"/>
      <c r="B5119" s="118"/>
      <c r="C5119" s="121"/>
      <c r="D5119" s="121"/>
      <c r="E5119" s="121"/>
      <c r="F5119" s="121"/>
      <c r="G5119" s="121"/>
      <c r="H5119" s="93"/>
      <c r="I5119" s="85"/>
      <c r="J5119" s="122"/>
      <c r="K5119" s="131"/>
      <c r="L5119" s="60"/>
      <c r="N5119" s="37"/>
      <c r="O5119" s="37"/>
      <c r="P5119" s="37"/>
      <c r="Q5119" s="3"/>
      <c r="R5119" s="3"/>
      <c r="S5119" s="3"/>
      <c r="T5119" s="3"/>
      <c r="U5119" s="3"/>
      <c r="V5119" s="3"/>
      <c r="W5119" s="3"/>
      <c r="X5119" s="3"/>
      <c r="Y5119" s="3"/>
      <c r="Z5119" s="4"/>
      <c r="AA5119"/>
      <c r="AB5119"/>
    </row>
    <row r="5120" spans="1:28" s="49" customFormat="1" x14ac:dyDescent="0.15">
      <c r="A5120" s="73"/>
      <c r="B5120" s="118"/>
      <c r="C5120" s="121"/>
      <c r="D5120" s="121"/>
      <c r="E5120" s="121"/>
      <c r="F5120" s="121"/>
      <c r="G5120" s="121"/>
      <c r="H5120" s="93"/>
      <c r="I5120" s="85"/>
      <c r="J5120" s="122"/>
      <c r="K5120" s="131"/>
      <c r="L5120" s="60"/>
      <c r="N5120" s="37"/>
      <c r="O5120" s="37"/>
      <c r="P5120" s="37"/>
      <c r="Q5120" s="3"/>
      <c r="R5120" s="3"/>
      <c r="S5120" s="3"/>
      <c r="T5120" s="3"/>
      <c r="U5120" s="3"/>
      <c r="V5120" s="3"/>
      <c r="W5120" s="3"/>
      <c r="X5120" s="3"/>
      <c r="Y5120" s="3"/>
      <c r="Z5120" s="4"/>
      <c r="AA5120"/>
      <c r="AB5120"/>
    </row>
    <row r="5121" spans="1:28" s="49" customFormat="1" x14ac:dyDescent="0.15">
      <c r="A5121" s="70"/>
      <c r="B5121" s="118"/>
      <c r="C5121" s="121"/>
      <c r="D5121" s="121"/>
      <c r="E5121" s="121"/>
      <c r="F5121" s="121"/>
      <c r="G5121" s="121"/>
      <c r="H5121" s="93"/>
      <c r="I5121" s="85"/>
      <c r="J5121" s="122"/>
      <c r="K5121" s="131"/>
      <c r="L5121" s="60"/>
      <c r="N5121" s="37"/>
      <c r="O5121" s="37"/>
      <c r="P5121" s="37"/>
      <c r="Q5121" s="3"/>
      <c r="R5121" s="3"/>
      <c r="S5121" s="3"/>
      <c r="T5121" s="3"/>
      <c r="U5121" s="3"/>
      <c r="V5121" s="3"/>
      <c r="W5121" s="3"/>
      <c r="X5121" s="3"/>
      <c r="Y5121" s="3"/>
      <c r="Z5121" s="4"/>
      <c r="AA5121"/>
      <c r="AB5121"/>
    </row>
    <row r="5122" spans="1:28" s="49" customFormat="1" x14ac:dyDescent="0.15">
      <c r="A5122" s="70"/>
      <c r="B5122" s="118"/>
      <c r="C5122" s="121"/>
      <c r="D5122" s="121"/>
      <c r="E5122" s="121"/>
      <c r="F5122" s="121"/>
      <c r="G5122" s="121"/>
      <c r="H5122" s="93"/>
      <c r="I5122" s="85"/>
      <c r="J5122" s="122"/>
      <c r="K5122" s="131"/>
      <c r="L5122" s="60"/>
      <c r="N5122" s="37"/>
      <c r="O5122" s="37"/>
      <c r="P5122" s="37"/>
      <c r="Q5122" s="3"/>
      <c r="R5122" s="3"/>
      <c r="S5122" s="3"/>
      <c r="T5122" s="3"/>
      <c r="U5122" s="3"/>
      <c r="V5122" s="3"/>
      <c r="W5122" s="3"/>
      <c r="X5122" s="3"/>
      <c r="Y5122" s="3"/>
      <c r="Z5122" s="4"/>
      <c r="AA5122"/>
      <c r="AB5122"/>
    </row>
    <row r="5123" spans="1:28" s="49" customFormat="1" x14ac:dyDescent="0.15">
      <c r="A5123" s="70"/>
      <c r="B5123" s="118"/>
      <c r="C5123" s="121"/>
      <c r="D5123" s="121"/>
      <c r="E5123" s="121"/>
      <c r="F5123" s="121"/>
      <c r="G5123" s="121"/>
      <c r="H5123" s="93"/>
      <c r="I5123" s="85"/>
      <c r="J5123" s="122"/>
      <c r="K5123" s="131"/>
      <c r="L5123" s="60"/>
      <c r="N5123" s="37"/>
      <c r="O5123" s="37"/>
      <c r="P5123" s="37"/>
      <c r="Q5123" s="3"/>
      <c r="R5123" s="3"/>
      <c r="S5123" s="3"/>
      <c r="T5123" s="3"/>
      <c r="U5123" s="3"/>
      <c r="V5123" s="3"/>
      <c r="W5123" s="3"/>
      <c r="X5123" s="3"/>
      <c r="Y5123" s="3"/>
      <c r="Z5123" s="4"/>
      <c r="AA5123"/>
      <c r="AB5123"/>
    </row>
    <row r="5124" spans="1:28" s="49" customFormat="1" x14ac:dyDescent="0.15">
      <c r="A5124" s="70"/>
      <c r="B5124" s="118"/>
      <c r="C5124" s="121"/>
      <c r="D5124" s="121"/>
      <c r="E5124" s="121"/>
      <c r="F5124" s="121"/>
      <c r="G5124" s="121"/>
      <c r="H5124" s="93"/>
      <c r="I5124" s="85"/>
      <c r="J5124" s="122"/>
      <c r="K5124" s="131"/>
      <c r="L5124" s="60"/>
      <c r="N5124" s="37"/>
      <c r="O5124" s="37"/>
      <c r="P5124" s="37"/>
      <c r="Q5124" s="3"/>
      <c r="R5124" s="3"/>
      <c r="S5124" s="3"/>
      <c r="T5124" s="3"/>
      <c r="U5124" s="3"/>
      <c r="V5124" s="3"/>
      <c r="W5124" s="3"/>
      <c r="X5124" s="3"/>
      <c r="Y5124" s="3"/>
      <c r="Z5124" s="4"/>
      <c r="AA5124"/>
      <c r="AB5124"/>
    </row>
    <row r="5125" spans="1:28" s="49" customFormat="1" x14ac:dyDescent="0.15">
      <c r="A5125" s="70"/>
      <c r="B5125" s="118"/>
      <c r="C5125" s="121"/>
      <c r="D5125" s="121"/>
      <c r="E5125" s="121"/>
      <c r="F5125" s="121"/>
      <c r="G5125" s="121"/>
      <c r="H5125" s="93"/>
      <c r="I5125" s="85"/>
      <c r="J5125" s="122"/>
      <c r="K5125" s="131"/>
      <c r="L5125" s="69"/>
      <c r="N5125" s="37"/>
      <c r="O5125" s="37"/>
      <c r="P5125" s="37"/>
      <c r="Q5125" s="3"/>
      <c r="R5125" s="3"/>
      <c r="S5125" s="3"/>
      <c r="T5125" s="3"/>
      <c r="U5125" s="3"/>
      <c r="V5125" s="3"/>
      <c r="W5125" s="3"/>
      <c r="X5125" s="3"/>
      <c r="Y5125" s="3"/>
      <c r="Z5125" s="4"/>
      <c r="AA5125"/>
      <c r="AB5125"/>
    </row>
    <row r="5126" spans="1:28" s="49" customFormat="1" x14ac:dyDescent="0.15">
      <c r="A5126" s="70"/>
      <c r="B5126" s="118"/>
      <c r="C5126" s="121"/>
      <c r="D5126" s="121"/>
      <c r="E5126" s="121"/>
      <c r="F5126" s="121"/>
      <c r="G5126" s="121"/>
      <c r="H5126" s="93"/>
      <c r="I5126" s="85"/>
      <c r="J5126" s="122"/>
      <c r="K5126" s="131"/>
      <c r="L5126" s="69"/>
      <c r="N5126" s="37"/>
      <c r="O5126" s="37"/>
      <c r="P5126" s="37"/>
      <c r="Q5126" s="3"/>
      <c r="R5126" s="3"/>
      <c r="S5126" s="3"/>
      <c r="T5126" s="3"/>
      <c r="U5126" s="3"/>
      <c r="V5126" s="3"/>
      <c r="W5126" s="3"/>
      <c r="X5126" s="3"/>
      <c r="Y5126" s="3"/>
      <c r="Z5126" s="4"/>
      <c r="AA5126"/>
      <c r="AB5126"/>
    </row>
    <row r="5127" spans="1:28" s="49" customFormat="1" x14ac:dyDescent="0.15">
      <c r="A5127" s="70"/>
      <c r="B5127" s="118"/>
      <c r="C5127" s="121"/>
      <c r="D5127" s="121"/>
      <c r="E5127" s="121"/>
      <c r="F5127" s="121"/>
      <c r="G5127" s="121"/>
      <c r="H5127" s="93"/>
      <c r="I5127" s="85"/>
      <c r="J5127" s="122"/>
      <c r="K5127" s="131"/>
      <c r="L5127" s="60"/>
      <c r="N5127" s="37"/>
      <c r="O5127" s="37"/>
      <c r="P5127" s="37"/>
      <c r="Q5127" s="3"/>
      <c r="R5127" s="3"/>
      <c r="S5127" s="3"/>
      <c r="T5127" s="3"/>
      <c r="U5127" s="3"/>
      <c r="V5127" s="3"/>
      <c r="W5127" s="3"/>
      <c r="X5127" s="3"/>
      <c r="Y5127" s="3"/>
      <c r="Z5127" s="4"/>
      <c r="AA5127"/>
      <c r="AB5127"/>
    </row>
    <row r="5128" spans="1:28" s="49" customFormat="1" x14ac:dyDescent="0.15">
      <c r="A5128" s="70"/>
      <c r="B5128" s="118"/>
      <c r="C5128" s="121"/>
      <c r="D5128" s="121"/>
      <c r="E5128" s="121"/>
      <c r="F5128" s="121"/>
      <c r="G5128" s="121"/>
      <c r="H5128" s="93"/>
      <c r="I5128" s="85"/>
      <c r="J5128" s="122"/>
      <c r="K5128" s="131"/>
      <c r="L5128" s="69"/>
      <c r="N5128" s="37"/>
      <c r="O5128" s="37"/>
      <c r="P5128" s="37"/>
      <c r="Q5128" s="3"/>
      <c r="R5128" s="3"/>
      <c r="S5128" s="3"/>
      <c r="T5128" s="3"/>
      <c r="U5128" s="3"/>
      <c r="V5128" s="3"/>
      <c r="W5128" s="3"/>
      <c r="X5128" s="3"/>
      <c r="Y5128" s="3"/>
      <c r="Z5128" s="4"/>
      <c r="AA5128"/>
      <c r="AB5128"/>
    </row>
    <row r="5129" spans="1:28" s="49" customFormat="1" x14ac:dyDescent="0.15">
      <c r="A5129" s="70"/>
      <c r="B5129" s="118"/>
      <c r="C5129" s="121"/>
      <c r="D5129" s="121"/>
      <c r="E5129" s="121"/>
      <c r="F5129" s="121"/>
      <c r="G5129" s="121"/>
      <c r="H5129" s="93"/>
      <c r="I5129" s="85"/>
      <c r="J5129" s="122"/>
      <c r="K5129" s="131"/>
      <c r="L5129" s="60"/>
      <c r="N5129" s="37"/>
      <c r="O5129" s="37"/>
      <c r="P5129" s="37"/>
      <c r="Q5129" s="3"/>
      <c r="R5129" s="3"/>
      <c r="S5129" s="3"/>
      <c r="T5129" s="3"/>
      <c r="U5129" s="3"/>
      <c r="V5129" s="3"/>
      <c r="W5129" s="3"/>
      <c r="X5129" s="3"/>
      <c r="Y5129" s="3"/>
      <c r="Z5129" s="4"/>
      <c r="AA5129"/>
      <c r="AB5129"/>
    </row>
    <row r="5130" spans="1:28" s="49" customFormat="1" x14ac:dyDescent="0.15">
      <c r="A5130" s="70"/>
      <c r="B5130" s="118"/>
      <c r="C5130" s="121"/>
      <c r="D5130" s="121"/>
      <c r="E5130" s="121"/>
      <c r="F5130" s="121"/>
      <c r="G5130" s="121"/>
      <c r="H5130" s="93"/>
      <c r="I5130" s="85"/>
      <c r="J5130" s="122"/>
      <c r="K5130" s="131"/>
      <c r="L5130" s="60"/>
      <c r="N5130" s="37"/>
      <c r="O5130" s="37"/>
      <c r="P5130" s="37"/>
      <c r="Q5130" s="3"/>
      <c r="R5130" s="3"/>
      <c r="S5130" s="3"/>
      <c r="T5130" s="3"/>
      <c r="U5130" s="3"/>
      <c r="V5130" s="3"/>
      <c r="W5130" s="3"/>
      <c r="X5130" s="3"/>
      <c r="Y5130" s="3"/>
      <c r="Z5130" s="4"/>
      <c r="AA5130"/>
      <c r="AB5130"/>
    </row>
    <row r="5131" spans="1:28" s="49" customFormat="1" x14ac:dyDescent="0.15">
      <c r="A5131" s="70"/>
      <c r="B5131" s="118"/>
      <c r="C5131" s="121"/>
      <c r="D5131" s="121"/>
      <c r="E5131" s="121"/>
      <c r="F5131" s="121"/>
      <c r="G5131" s="121"/>
      <c r="H5131" s="93"/>
      <c r="I5131" s="85"/>
      <c r="J5131" s="122"/>
      <c r="K5131" s="131"/>
      <c r="L5131" s="60"/>
      <c r="N5131" s="37"/>
      <c r="O5131" s="37"/>
      <c r="P5131" s="37"/>
      <c r="Q5131" s="3"/>
      <c r="R5131" s="3"/>
      <c r="S5131" s="3"/>
      <c r="T5131" s="3"/>
      <c r="U5131" s="3"/>
      <c r="V5131" s="3"/>
      <c r="W5131" s="3"/>
      <c r="X5131" s="3"/>
      <c r="Y5131" s="3"/>
      <c r="Z5131" s="4"/>
      <c r="AA5131"/>
      <c r="AB5131"/>
    </row>
    <row r="5132" spans="1:28" s="49" customFormat="1" x14ac:dyDescent="0.15">
      <c r="A5132" s="70"/>
      <c r="B5132" s="118"/>
      <c r="C5132" s="121"/>
      <c r="D5132" s="121"/>
      <c r="E5132" s="121"/>
      <c r="F5132" s="121"/>
      <c r="G5132" s="121"/>
      <c r="H5132" s="93"/>
      <c r="I5132" s="85"/>
      <c r="J5132" s="122"/>
      <c r="K5132" s="131"/>
      <c r="L5132" s="60"/>
      <c r="N5132" s="37"/>
      <c r="O5132" s="37"/>
      <c r="P5132" s="37"/>
      <c r="Q5132" s="3"/>
      <c r="R5132" s="3"/>
      <c r="S5132" s="3"/>
      <c r="T5132" s="3"/>
      <c r="U5132" s="3"/>
      <c r="V5132" s="3"/>
      <c r="W5132" s="3"/>
      <c r="X5132" s="3"/>
      <c r="Y5132" s="3"/>
      <c r="Z5132" s="4"/>
      <c r="AA5132"/>
      <c r="AB5132"/>
    </row>
    <row r="5133" spans="1:28" s="49" customFormat="1" x14ac:dyDescent="0.15">
      <c r="A5133" s="70"/>
      <c r="B5133" s="118"/>
      <c r="C5133" s="121"/>
      <c r="D5133" s="121"/>
      <c r="E5133" s="121"/>
      <c r="F5133" s="121"/>
      <c r="G5133" s="121"/>
      <c r="H5133" s="93"/>
      <c r="I5133" s="85"/>
      <c r="J5133" s="122"/>
      <c r="K5133" s="131"/>
      <c r="L5133" s="60"/>
      <c r="N5133" s="37"/>
      <c r="O5133" s="37"/>
      <c r="P5133" s="37"/>
      <c r="Q5133" s="3"/>
      <c r="R5133" s="3"/>
      <c r="S5133" s="3"/>
      <c r="T5133" s="3"/>
      <c r="U5133" s="3"/>
      <c r="V5133" s="3"/>
      <c r="W5133" s="3"/>
      <c r="X5133" s="3"/>
      <c r="Y5133" s="3"/>
      <c r="Z5133" s="4"/>
      <c r="AA5133"/>
      <c r="AB5133"/>
    </row>
    <row r="5134" spans="1:28" s="37" customFormat="1" x14ac:dyDescent="0.15">
      <c r="A5134" s="70"/>
      <c r="B5134" s="118"/>
      <c r="C5134" s="121"/>
      <c r="D5134" s="121"/>
      <c r="E5134" s="121"/>
      <c r="F5134" s="121"/>
      <c r="G5134" s="121"/>
      <c r="H5134" s="93"/>
      <c r="I5134" s="85"/>
      <c r="J5134" s="122"/>
      <c r="K5134" s="131"/>
      <c r="L5134" s="69"/>
      <c r="M5134" s="49"/>
      <c r="Q5134" s="3"/>
      <c r="R5134" s="3"/>
      <c r="S5134" s="3"/>
      <c r="T5134" s="3"/>
      <c r="U5134" s="3"/>
      <c r="V5134" s="3"/>
      <c r="W5134" s="3"/>
      <c r="X5134" s="3"/>
      <c r="Y5134" s="3"/>
      <c r="Z5134" s="4"/>
      <c r="AA5134"/>
      <c r="AB5134"/>
    </row>
    <row r="5135" spans="1:28" s="37" customFormat="1" x14ac:dyDescent="0.15">
      <c r="A5135" s="70"/>
      <c r="B5135" s="118"/>
      <c r="C5135" s="121"/>
      <c r="D5135" s="121"/>
      <c r="E5135" s="121"/>
      <c r="F5135" s="121"/>
      <c r="G5135" s="121"/>
      <c r="H5135" s="93"/>
      <c r="I5135" s="85"/>
      <c r="J5135" s="122"/>
      <c r="K5135" s="131"/>
      <c r="L5135" s="60"/>
      <c r="M5135" s="49"/>
      <c r="Q5135" s="3"/>
      <c r="R5135" s="3"/>
      <c r="S5135" s="3"/>
      <c r="T5135" s="3"/>
      <c r="U5135" s="3"/>
      <c r="V5135" s="3"/>
      <c r="W5135" s="3"/>
      <c r="X5135" s="3"/>
      <c r="Y5135" s="3"/>
      <c r="Z5135" s="4"/>
      <c r="AA5135"/>
      <c r="AB5135"/>
    </row>
    <row r="5136" spans="1:28" s="37" customFormat="1" x14ac:dyDescent="0.15">
      <c r="A5136" s="70"/>
      <c r="B5136" s="118"/>
      <c r="C5136" s="121"/>
      <c r="D5136" s="121"/>
      <c r="E5136" s="121"/>
      <c r="F5136" s="121"/>
      <c r="G5136" s="121"/>
      <c r="H5136" s="93"/>
      <c r="I5136" s="85"/>
      <c r="J5136" s="122"/>
      <c r="K5136" s="131"/>
      <c r="L5136" s="60"/>
      <c r="M5136" s="49"/>
      <c r="Q5136" s="3"/>
      <c r="R5136" s="3"/>
      <c r="S5136" s="3"/>
      <c r="T5136" s="3"/>
      <c r="U5136" s="3"/>
      <c r="V5136" s="3"/>
      <c r="W5136" s="3"/>
      <c r="X5136" s="3"/>
      <c r="Y5136" s="3"/>
      <c r="Z5136" s="4"/>
      <c r="AA5136"/>
      <c r="AB5136"/>
    </row>
    <row r="5137" spans="1:28" s="37" customFormat="1" x14ac:dyDescent="0.15">
      <c r="A5137" s="70"/>
      <c r="B5137" s="118"/>
      <c r="C5137" s="121"/>
      <c r="D5137" s="121"/>
      <c r="E5137" s="121"/>
      <c r="F5137" s="121"/>
      <c r="G5137" s="121"/>
      <c r="H5137" s="93"/>
      <c r="I5137" s="85"/>
      <c r="J5137" s="122"/>
      <c r="K5137" s="131"/>
      <c r="L5137" s="60"/>
      <c r="M5137" s="49"/>
      <c r="Q5137" s="3"/>
      <c r="R5137" s="3"/>
      <c r="S5137" s="3"/>
      <c r="T5137" s="3"/>
      <c r="U5137" s="3"/>
      <c r="V5137" s="3"/>
      <c r="W5137" s="3"/>
      <c r="X5137" s="3"/>
      <c r="Y5137" s="3"/>
      <c r="Z5137" s="4"/>
      <c r="AA5137"/>
      <c r="AB5137"/>
    </row>
    <row r="5138" spans="1:28" s="37" customFormat="1" x14ac:dyDescent="0.15">
      <c r="A5138" s="70"/>
      <c r="B5138" s="118"/>
      <c r="C5138" s="121"/>
      <c r="D5138" s="121"/>
      <c r="E5138" s="121"/>
      <c r="F5138" s="121"/>
      <c r="G5138" s="121"/>
      <c r="H5138" s="93"/>
      <c r="I5138" s="85"/>
      <c r="J5138" s="122"/>
      <c r="K5138" s="131"/>
      <c r="L5138" s="60"/>
      <c r="M5138" s="49"/>
      <c r="Q5138" s="3"/>
      <c r="R5138" s="3"/>
      <c r="S5138" s="3"/>
      <c r="T5138" s="3"/>
      <c r="U5138" s="3"/>
      <c r="V5138" s="3"/>
      <c r="W5138" s="3"/>
      <c r="X5138" s="3"/>
      <c r="Y5138" s="3"/>
      <c r="Z5138" s="4"/>
      <c r="AA5138"/>
      <c r="AB5138"/>
    </row>
    <row r="5139" spans="1:28" s="37" customFormat="1" x14ac:dyDescent="0.15">
      <c r="A5139" s="70"/>
      <c r="B5139" s="117"/>
      <c r="C5139" s="121"/>
      <c r="D5139" s="121"/>
      <c r="E5139" s="121"/>
      <c r="F5139" s="121"/>
      <c r="G5139" s="121"/>
      <c r="H5139" s="93"/>
      <c r="I5139" s="85"/>
      <c r="J5139" s="122"/>
      <c r="K5139" s="131"/>
      <c r="L5139" s="60"/>
      <c r="M5139" s="33"/>
      <c r="Q5139" s="3"/>
      <c r="R5139" s="3"/>
      <c r="S5139" s="3"/>
      <c r="T5139" s="3"/>
      <c r="U5139" s="3"/>
      <c r="V5139" s="3"/>
      <c r="W5139" s="3"/>
      <c r="X5139" s="3"/>
      <c r="Y5139" s="3"/>
      <c r="Z5139" s="4"/>
      <c r="AA5139"/>
      <c r="AB5139"/>
    </row>
    <row r="5140" spans="1:28" s="37" customFormat="1" x14ac:dyDescent="0.15">
      <c r="A5140" s="70"/>
      <c r="B5140" s="118"/>
      <c r="C5140" s="121"/>
      <c r="D5140" s="121"/>
      <c r="E5140" s="121"/>
      <c r="F5140" s="121"/>
      <c r="G5140" s="121"/>
      <c r="H5140" s="93"/>
      <c r="I5140" s="85"/>
      <c r="J5140" s="122"/>
      <c r="K5140" s="131"/>
      <c r="L5140" s="60"/>
      <c r="M5140" s="49"/>
      <c r="Q5140" s="3"/>
      <c r="R5140" s="3"/>
      <c r="S5140" s="3"/>
      <c r="T5140" s="3"/>
      <c r="U5140" s="3"/>
      <c r="V5140" s="3"/>
      <c r="W5140" s="3"/>
      <c r="X5140" s="3"/>
      <c r="Y5140" s="3"/>
      <c r="Z5140" s="4"/>
      <c r="AA5140"/>
      <c r="AB5140"/>
    </row>
    <row r="5141" spans="1:28" s="37" customFormat="1" x14ac:dyDescent="0.15">
      <c r="A5141" s="70"/>
      <c r="B5141" s="118"/>
      <c r="C5141" s="121"/>
      <c r="D5141" s="121"/>
      <c r="E5141" s="121"/>
      <c r="F5141" s="121"/>
      <c r="G5141" s="121"/>
      <c r="H5141" s="93"/>
      <c r="I5141" s="85"/>
      <c r="J5141" s="122"/>
      <c r="K5141" s="131"/>
      <c r="L5141" s="60"/>
      <c r="M5141" s="49"/>
      <c r="Q5141" s="3"/>
      <c r="R5141" s="3"/>
      <c r="S5141" s="3"/>
      <c r="T5141" s="3"/>
      <c r="U5141" s="3"/>
      <c r="V5141" s="3"/>
      <c r="W5141" s="3"/>
      <c r="X5141" s="3"/>
      <c r="Y5141" s="3"/>
      <c r="Z5141" s="4"/>
      <c r="AA5141"/>
      <c r="AB5141"/>
    </row>
    <row r="5142" spans="1:28" s="37" customFormat="1" x14ac:dyDescent="0.15">
      <c r="A5142" s="70"/>
      <c r="B5142" s="118"/>
      <c r="C5142" s="121"/>
      <c r="D5142" s="121"/>
      <c r="E5142" s="121"/>
      <c r="F5142" s="121"/>
      <c r="G5142" s="121"/>
      <c r="H5142" s="93"/>
      <c r="I5142" s="85"/>
      <c r="J5142" s="122"/>
      <c r="K5142" s="131"/>
      <c r="L5142" s="60"/>
      <c r="M5142" s="49"/>
      <c r="Q5142" s="3"/>
      <c r="R5142" s="3"/>
      <c r="S5142" s="3"/>
      <c r="T5142" s="3"/>
      <c r="U5142" s="3"/>
      <c r="V5142" s="3"/>
      <c r="W5142" s="3"/>
      <c r="X5142" s="3"/>
      <c r="Y5142" s="3"/>
      <c r="Z5142" s="4"/>
      <c r="AA5142"/>
      <c r="AB5142"/>
    </row>
    <row r="5143" spans="1:28" s="37" customFormat="1" x14ac:dyDescent="0.15">
      <c r="A5143" s="70"/>
      <c r="B5143" s="118"/>
      <c r="C5143" s="121"/>
      <c r="D5143" s="121"/>
      <c r="E5143" s="121"/>
      <c r="F5143" s="121"/>
      <c r="G5143" s="121"/>
      <c r="H5143" s="93"/>
      <c r="I5143" s="85"/>
      <c r="J5143" s="122"/>
      <c r="K5143" s="131"/>
      <c r="L5143" s="60"/>
      <c r="M5143" s="49"/>
      <c r="Q5143" s="3"/>
      <c r="R5143" s="3"/>
      <c r="S5143" s="3"/>
      <c r="T5143" s="3"/>
      <c r="U5143" s="3"/>
      <c r="V5143" s="3"/>
      <c r="W5143" s="3"/>
      <c r="X5143" s="3"/>
      <c r="Y5143" s="3"/>
      <c r="Z5143" s="4"/>
      <c r="AA5143"/>
      <c r="AB5143"/>
    </row>
    <row r="5144" spans="1:28" s="37" customFormat="1" ht="16" x14ac:dyDescent="0.2">
      <c r="A5144" s="70"/>
      <c r="B5144" s="118"/>
      <c r="C5144" s="121"/>
      <c r="D5144" s="121"/>
      <c r="E5144" s="121"/>
      <c r="F5144" s="121"/>
      <c r="G5144" s="121"/>
      <c r="H5144" s="93"/>
      <c r="I5144" s="85"/>
      <c r="J5144" s="122"/>
      <c r="K5144" s="131"/>
      <c r="L5144" s="60"/>
      <c r="M5144" s="49"/>
      <c r="N5144" s="48"/>
      <c r="Q5144" s="3"/>
      <c r="R5144" s="3"/>
      <c r="S5144" s="3"/>
      <c r="T5144" s="3"/>
      <c r="U5144" s="3"/>
      <c r="V5144" s="3"/>
      <c r="W5144" s="3"/>
      <c r="X5144" s="3"/>
      <c r="Y5144" s="3"/>
      <c r="Z5144" s="4"/>
      <c r="AA5144"/>
      <c r="AB5144"/>
    </row>
    <row r="5145" spans="1:28" s="37" customFormat="1" x14ac:dyDescent="0.15">
      <c r="A5145" s="70"/>
      <c r="B5145" s="118"/>
      <c r="C5145" s="121"/>
      <c r="D5145" s="121"/>
      <c r="E5145" s="121"/>
      <c r="F5145" s="121"/>
      <c r="G5145" s="121"/>
      <c r="H5145" s="93"/>
      <c r="I5145" s="85"/>
      <c r="J5145" s="122"/>
      <c r="K5145" s="131"/>
      <c r="L5145" s="60"/>
      <c r="M5145" s="49"/>
      <c r="Q5145" s="3"/>
      <c r="R5145" s="3"/>
      <c r="S5145" s="3"/>
      <c r="T5145" s="3"/>
      <c r="U5145" s="3"/>
      <c r="V5145" s="3"/>
      <c r="W5145" s="3"/>
      <c r="X5145" s="3"/>
      <c r="Y5145" s="3"/>
      <c r="Z5145" s="4"/>
      <c r="AA5145"/>
      <c r="AB5145"/>
    </row>
    <row r="5146" spans="1:28" s="37" customFormat="1" x14ac:dyDescent="0.15">
      <c r="A5146" s="70"/>
      <c r="B5146" s="118"/>
      <c r="C5146" s="121"/>
      <c r="D5146" s="121"/>
      <c r="E5146" s="121"/>
      <c r="F5146" s="121"/>
      <c r="G5146" s="121"/>
      <c r="H5146" s="93"/>
      <c r="I5146" s="85"/>
      <c r="J5146" s="122"/>
      <c r="K5146" s="131"/>
      <c r="L5146" s="60"/>
      <c r="M5146" s="49"/>
      <c r="Q5146" s="3"/>
      <c r="R5146" s="3"/>
      <c r="S5146" s="3"/>
      <c r="T5146" s="3"/>
      <c r="U5146" s="3"/>
      <c r="V5146" s="3"/>
      <c r="W5146" s="3"/>
      <c r="X5146" s="3"/>
      <c r="Y5146" s="3"/>
      <c r="Z5146" s="4"/>
      <c r="AA5146"/>
      <c r="AB5146"/>
    </row>
    <row r="5147" spans="1:28" s="37" customFormat="1" x14ac:dyDescent="0.15">
      <c r="A5147" s="70"/>
      <c r="B5147" s="118"/>
      <c r="C5147" s="121"/>
      <c r="D5147" s="121"/>
      <c r="E5147" s="121"/>
      <c r="F5147" s="121"/>
      <c r="G5147" s="121"/>
      <c r="H5147" s="93"/>
      <c r="I5147" s="85"/>
      <c r="J5147" s="122"/>
      <c r="K5147" s="131"/>
      <c r="L5147" s="60"/>
      <c r="M5147" s="49"/>
      <c r="Q5147" s="3"/>
      <c r="R5147" s="3"/>
      <c r="S5147" s="3"/>
      <c r="T5147" s="3"/>
      <c r="U5147" s="3"/>
      <c r="V5147" s="3"/>
      <c r="W5147" s="3"/>
      <c r="X5147" s="3"/>
      <c r="Y5147" s="3"/>
      <c r="Z5147" s="4"/>
      <c r="AA5147"/>
      <c r="AB5147"/>
    </row>
    <row r="5148" spans="1:28" s="37" customFormat="1" x14ac:dyDescent="0.15">
      <c r="A5148" s="70"/>
      <c r="B5148" s="118"/>
      <c r="C5148" s="121"/>
      <c r="D5148" s="121"/>
      <c r="E5148" s="121"/>
      <c r="F5148" s="121"/>
      <c r="G5148" s="121"/>
      <c r="H5148" s="93"/>
      <c r="I5148" s="85"/>
      <c r="J5148" s="122"/>
      <c r="K5148" s="131"/>
      <c r="L5148" s="60"/>
      <c r="M5148" s="49"/>
      <c r="Q5148" s="3"/>
      <c r="R5148" s="3"/>
      <c r="S5148" s="3"/>
      <c r="T5148" s="3"/>
      <c r="U5148" s="3"/>
      <c r="V5148" s="3"/>
      <c r="W5148" s="3"/>
      <c r="X5148" s="3"/>
      <c r="Y5148" s="3"/>
      <c r="Z5148" s="4"/>
      <c r="AA5148"/>
      <c r="AB5148"/>
    </row>
    <row r="5149" spans="1:28" s="37" customFormat="1" x14ac:dyDescent="0.15">
      <c r="A5149" s="70"/>
      <c r="B5149" s="118"/>
      <c r="C5149" s="121"/>
      <c r="D5149" s="121"/>
      <c r="E5149" s="121"/>
      <c r="F5149" s="121"/>
      <c r="G5149" s="121"/>
      <c r="H5149" s="93"/>
      <c r="I5149" s="85"/>
      <c r="J5149" s="122"/>
      <c r="K5149" s="131"/>
      <c r="L5149" s="60"/>
      <c r="M5149" s="49"/>
      <c r="Q5149" s="3"/>
      <c r="R5149" s="3"/>
      <c r="S5149" s="3"/>
      <c r="T5149" s="3"/>
      <c r="U5149" s="3"/>
      <c r="V5149" s="3"/>
      <c r="W5149" s="3"/>
      <c r="X5149" s="3"/>
      <c r="Y5149" s="3"/>
      <c r="Z5149" s="4"/>
      <c r="AA5149"/>
      <c r="AB5149"/>
    </row>
    <row r="5150" spans="1:28" s="37" customFormat="1" x14ac:dyDescent="0.15">
      <c r="A5150" s="70"/>
      <c r="B5150" s="118"/>
      <c r="C5150" s="121"/>
      <c r="D5150" s="121"/>
      <c r="E5150" s="121"/>
      <c r="F5150" s="121"/>
      <c r="G5150" s="121"/>
      <c r="H5150" s="93"/>
      <c r="I5150" s="85"/>
      <c r="J5150" s="122"/>
      <c r="K5150" s="131"/>
      <c r="L5150" s="60"/>
      <c r="M5150" s="49"/>
      <c r="Q5150" s="3"/>
      <c r="R5150" s="3"/>
      <c r="S5150" s="3"/>
      <c r="T5150" s="3"/>
      <c r="U5150" s="3"/>
      <c r="V5150" s="3"/>
      <c r="W5150" s="3"/>
      <c r="X5150" s="3"/>
      <c r="Y5150" s="3"/>
      <c r="Z5150" s="4"/>
      <c r="AA5150"/>
      <c r="AB5150"/>
    </row>
    <row r="5151" spans="1:28" s="37" customFormat="1" x14ac:dyDescent="0.15">
      <c r="A5151" s="70"/>
      <c r="B5151" s="118"/>
      <c r="C5151" s="121"/>
      <c r="D5151" s="121"/>
      <c r="E5151" s="121"/>
      <c r="F5151" s="121"/>
      <c r="G5151" s="121"/>
      <c r="H5151" s="93"/>
      <c r="I5151" s="85"/>
      <c r="J5151" s="122"/>
      <c r="K5151" s="131"/>
      <c r="L5151" s="60"/>
      <c r="M5151" s="49"/>
      <c r="Q5151" s="3"/>
      <c r="R5151" s="3"/>
      <c r="S5151" s="3"/>
      <c r="T5151" s="3"/>
      <c r="U5151" s="3"/>
      <c r="V5151" s="3"/>
      <c r="W5151" s="3"/>
      <c r="X5151" s="3"/>
      <c r="Y5151" s="3"/>
      <c r="Z5151" s="4"/>
      <c r="AA5151"/>
      <c r="AB5151"/>
    </row>
    <row r="5152" spans="1:28" s="37" customFormat="1" x14ac:dyDescent="0.15">
      <c r="A5152" s="70"/>
      <c r="B5152" s="118"/>
      <c r="C5152" s="121"/>
      <c r="D5152" s="121"/>
      <c r="E5152" s="121"/>
      <c r="F5152" s="121"/>
      <c r="G5152" s="121"/>
      <c r="H5152" s="93"/>
      <c r="I5152" s="85"/>
      <c r="J5152" s="122"/>
      <c r="K5152" s="131"/>
      <c r="L5152" s="60"/>
      <c r="M5152" s="49"/>
      <c r="Q5152" s="3"/>
      <c r="R5152" s="3"/>
      <c r="S5152" s="3"/>
      <c r="T5152" s="3"/>
      <c r="U5152" s="3"/>
      <c r="V5152" s="3"/>
      <c r="W5152" s="3"/>
      <c r="X5152" s="3"/>
      <c r="Y5152" s="3"/>
      <c r="Z5152" s="4"/>
      <c r="AA5152"/>
      <c r="AB5152"/>
    </row>
    <row r="5153" spans="1:28" s="37" customFormat="1" x14ac:dyDescent="0.15">
      <c r="A5153" s="70"/>
      <c r="B5153" s="118"/>
      <c r="C5153" s="121"/>
      <c r="D5153" s="121"/>
      <c r="E5153" s="121"/>
      <c r="F5153" s="121"/>
      <c r="G5153" s="121"/>
      <c r="H5153" s="93"/>
      <c r="I5153" s="85"/>
      <c r="J5153" s="122"/>
      <c r="K5153" s="131"/>
      <c r="L5153" s="60"/>
      <c r="M5153" s="49"/>
      <c r="Q5153" s="3"/>
      <c r="R5153" s="3"/>
      <c r="S5153" s="3"/>
      <c r="T5153" s="3"/>
      <c r="U5153" s="3"/>
      <c r="V5153" s="3"/>
      <c r="W5153" s="3"/>
      <c r="X5153" s="3"/>
      <c r="Y5153" s="3"/>
      <c r="Z5153" s="4"/>
      <c r="AA5153"/>
      <c r="AB5153"/>
    </row>
    <row r="5154" spans="1:28" s="37" customFormat="1" x14ac:dyDescent="0.15">
      <c r="A5154" s="70"/>
      <c r="B5154" s="118"/>
      <c r="C5154" s="121"/>
      <c r="D5154" s="121"/>
      <c r="E5154" s="121"/>
      <c r="F5154" s="121"/>
      <c r="G5154" s="121"/>
      <c r="H5154" s="93"/>
      <c r="I5154" s="85"/>
      <c r="J5154" s="122"/>
      <c r="K5154" s="131"/>
      <c r="L5154" s="60"/>
      <c r="M5154" s="49"/>
      <c r="Q5154" s="3"/>
      <c r="R5154" s="3"/>
      <c r="S5154" s="3"/>
      <c r="T5154" s="3"/>
      <c r="U5154" s="3"/>
      <c r="V5154" s="3"/>
      <c r="W5154" s="3"/>
      <c r="X5154" s="3"/>
      <c r="Y5154" s="3"/>
      <c r="Z5154" s="4"/>
      <c r="AA5154"/>
      <c r="AB5154"/>
    </row>
    <row r="5155" spans="1:28" s="37" customFormat="1" x14ac:dyDescent="0.15">
      <c r="A5155" s="70"/>
      <c r="B5155" s="118"/>
      <c r="C5155" s="121"/>
      <c r="D5155" s="121"/>
      <c r="E5155" s="121"/>
      <c r="F5155" s="121"/>
      <c r="G5155" s="121"/>
      <c r="H5155" s="93"/>
      <c r="I5155" s="85"/>
      <c r="J5155" s="122"/>
      <c r="K5155" s="131"/>
      <c r="L5155" s="69"/>
      <c r="M5155" s="49"/>
      <c r="Q5155" s="3"/>
      <c r="R5155" s="3"/>
      <c r="S5155" s="3"/>
      <c r="T5155" s="3"/>
      <c r="U5155" s="3"/>
      <c r="V5155" s="3"/>
      <c r="W5155" s="3"/>
      <c r="X5155" s="3"/>
      <c r="Y5155" s="3"/>
      <c r="Z5155" s="4"/>
      <c r="AA5155"/>
      <c r="AB5155"/>
    </row>
    <row r="5156" spans="1:28" s="37" customFormat="1" x14ac:dyDescent="0.15">
      <c r="A5156" s="70"/>
      <c r="B5156" s="118"/>
      <c r="C5156" s="121"/>
      <c r="D5156" s="121"/>
      <c r="E5156" s="121"/>
      <c r="F5156" s="121"/>
      <c r="G5156" s="121"/>
      <c r="H5156" s="93"/>
      <c r="I5156" s="85"/>
      <c r="J5156" s="122"/>
      <c r="K5156" s="131"/>
      <c r="L5156" s="69"/>
      <c r="M5156" s="49"/>
      <c r="Q5156" s="3"/>
      <c r="R5156" s="3"/>
      <c r="S5156" s="3"/>
      <c r="T5156" s="3"/>
      <c r="U5156" s="3"/>
      <c r="V5156" s="3"/>
      <c r="W5156" s="3"/>
      <c r="X5156" s="3"/>
      <c r="Y5156" s="3"/>
      <c r="Z5156" s="4"/>
      <c r="AA5156"/>
      <c r="AB5156"/>
    </row>
    <row r="5157" spans="1:28" s="37" customFormat="1" x14ac:dyDescent="0.15">
      <c r="A5157" s="70"/>
      <c r="B5157" s="118"/>
      <c r="C5157" s="121"/>
      <c r="D5157" s="121"/>
      <c r="E5157" s="121"/>
      <c r="F5157" s="121"/>
      <c r="G5157" s="121"/>
      <c r="H5157" s="93"/>
      <c r="I5157" s="85"/>
      <c r="J5157" s="122"/>
      <c r="K5157" s="131"/>
      <c r="L5157" s="69"/>
      <c r="M5157" s="49"/>
      <c r="Q5157" s="3"/>
      <c r="R5157" s="3"/>
      <c r="S5157" s="3"/>
      <c r="T5157" s="3"/>
      <c r="U5157" s="3"/>
      <c r="V5157" s="3"/>
      <c r="W5157" s="3"/>
      <c r="X5157" s="3"/>
      <c r="Y5157" s="3"/>
      <c r="Z5157" s="4"/>
      <c r="AA5157"/>
      <c r="AB5157"/>
    </row>
    <row r="5158" spans="1:28" s="37" customFormat="1" x14ac:dyDescent="0.15">
      <c r="A5158" s="73"/>
      <c r="B5158" s="118"/>
      <c r="C5158" s="121"/>
      <c r="D5158" s="121"/>
      <c r="E5158" s="121"/>
      <c r="F5158" s="121"/>
      <c r="G5158" s="121"/>
      <c r="H5158" s="93"/>
      <c r="I5158" s="85"/>
      <c r="J5158" s="122"/>
      <c r="K5158" s="131"/>
      <c r="L5158" s="69"/>
      <c r="M5158" s="49"/>
      <c r="Q5158" s="3"/>
      <c r="R5158" s="3"/>
      <c r="S5158" s="3"/>
      <c r="T5158" s="3"/>
      <c r="U5158" s="3"/>
      <c r="V5158" s="3"/>
      <c r="W5158" s="3"/>
      <c r="X5158" s="3"/>
      <c r="Y5158" s="3"/>
      <c r="Z5158" s="4"/>
      <c r="AA5158"/>
      <c r="AB5158"/>
    </row>
    <row r="5159" spans="1:28" s="37" customFormat="1" x14ac:dyDescent="0.15">
      <c r="A5159" s="70"/>
      <c r="B5159" s="118"/>
      <c r="C5159" s="121"/>
      <c r="D5159" s="121"/>
      <c r="E5159" s="121"/>
      <c r="F5159" s="121"/>
      <c r="G5159" s="121"/>
      <c r="H5159" s="93"/>
      <c r="I5159" s="85"/>
      <c r="J5159" s="122"/>
      <c r="K5159" s="131"/>
      <c r="L5159" s="60"/>
      <c r="M5159" s="49"/>
      <c r="Q5159" s="3"/>
      <c r="R5159" s="3"/>
      <c r="S5159" s="3"/>
      <c r="T5159" s="3"/>
      <c r="U5159" s="3"/>
      <c r="V5159" s="3"/>
      <c r="W5159" s="3"/>
      <c r="X5159" s="3"/>
      <c r="Y5159" s="3"/>
      <c r="Z5159" s="4"/>
      <c r="AA5159"/>
      <c r="AB5159"/>
    </row>
    <row r="5160" spans="1:28" s="37" customFormat="1" x14ac:dyDescent="0.15">
      <c r="A5160" s="70"/>
      <c r="B5160" s="118"/>
      <c r="C5160" s="121"/>
      <c r="D5160" s="121"/>
      <c r="E5160" s="121"/>
      <c r="F5160" s="121"/>
      <c r="G5160" s="121"/>
      <c r="H5160" s="93"/>
      <c r="I5160" s="85"/>
      <c r="J5160" s="122"/>
      <c r="K5160" s="131"/>
      <c r="L5160" s="63"/>
      <c r="M5160" s="49"/>
      <c r="Q5160" s="3"/>
      <c r="R5160" s="3"/>
      <c r="S5160" s="3"/>
      <c r="T5160" s="3"/>
      <c r="U5160" s="3"/>
      <c r="V5160" s="3"/>
      <c r="W5160" s="3"/>
      <c r="X5160" s="3"/>
      <c r="Y5160" s="3"/>
      <c r="Z5160" s="4"/>
      <c r="AA5160"/>
      <c r="AB5160"/>
    </row>
    <row r="5161" spans="1:28" s="37" customFormat="1" x14ac:dyDescent="0.15">
      <c r="A5161" s="70"/>
      <c r="B5161" s="118"/>
      <c r="C5161" s="121"/>
      <c r="D5161" s="121"/>
      <c r="E5161" s="121"/>
      <c r="F5161" s="121"/>
      <c r="G5161" s="121"/>
      <c r="H5161" s="93"/>
      <c r="I5161" s="85"/>
      <c r="J5161" s="122"/>
      <c r="K5161" s="131"/>
      <c r="L5161" s="69"/>
      <c r="M5161" s="49"/>
      <c r="Q5161" s="3"/>
      <c r="R5161" s="3"/>
      <c r="S5161" s="3"/>
      <c r="T5161" s="3"/>
      <c r="U5161" s="3"/>
      <c r="V5161" s="3"/>
      <c r="W5161" s="3"/>
      <c r="X5161" s="3"/>
      <c r="Y5161" s="3"/>
      <c r="Z5161" s="4"/>
      <c r="AA5161"/>
      <c r="AB5161"/>
    </row>
    <row r="5162" spans="1:28" s="37" customFormat="1" x14ac:dyDescent="0.15">
      <c r="A5162" s="70"/>
      <c r="B5162" s="118"/>
      <c r="C5162" s="121"/>
      <c r="D5162" s="121"/>
      <c r="E5162" s="121"/>
      <c r="F5162" s="121"/>
      <c r="G5162" s="121"/>
      <c r="H5162" s="93"/>
      <c r="I5162" s="85"/>
      <c r="J5162" s="122"/>
      <c r="K5162" s="131"/>
      <c r="L5162" s="60"/>
      <c r="M5162" s="49"/>
      <c r="Q5162" s="3"/>
      <c r="R5162" s="3"/>
      <c r="S5162" s="3"/>
      <c r="T5162" s="3"/>
      <c r="U5162" s="3"/>
      <c r="V5162" s="3"/>
      <c r="W5162" s="3"/>
      <c r="X5162" s="3"/>
      <c r="Y5162" s="3"/>
      <c r="Z5162" s="4"/>
      <c r="AA5162"/>
      <c r="AB5162"/>
    </row>
    <row r="5163" spans="1:28" s="37" customFormat="1" x14ac:dyDescent="0.15">
      <c r="A5163" s="70"/>
      <c r="B5163" s="118"/>
      <c r="C5163" s="121"/>
      <c r="D5163" s="121"/>
      <c r="E5163" s="121"/>
      <c r="F5163" s="121"/>
      <c r="G5163" s="121"/>
      <c r="H5163" s="93"/>
      <c r="I5163" s="85"/>
      <c r="J5163" s="122"/>
      <c r="K5163" s="131"/>
      <c r="L5163" s="60"/>
      <c r="M5163" s="49"/>
      <c r="Q5163" s="3"/>
      <c r="R5163" s="3"/>
      <c r="S5163" s="3"/>
      <c r="T5163" s="3"/>
      <c r="U5163" s="3"/>
      <c r="V5163" s="3"/>
      <c r="W5163" s="3"/>
      <c r="X5163" s="3"/>
      <c r="Y5163" s="3"/>
      <c r="Z5163" s="4"/>
      <c r="AA5163"/>
      <c r="AB5163"/>
    </row>
    <row r="5164" spans="1:28" s="37" customFormat="1" x14ac:dyDescent="0.15">
      <c r="A5164" s="70"/>
      <c r="B5164" s="118"/>
      <c r="C5164" s="121"/>
      <c r="D5164" s="121"/>
      <c r="E5164" s="121"/>
      <c r="F5164" s="121"/>
      <c r="G5164" s="121"/>
      <c r="H5164" s="93"/>
      <c r="I5164" s="85"/>
      <c r="J5164" s="122"/>
      <c r="K5164" s="131"/>
      <c r="L5164" s="60"/>
      <c r="M5164" s="33"/>
      <c r="Q5164" s="3"/>
      <c r="R5164" s="3"/>
      <c r="S5164" s="3"/>
      <c r="T5164" s="3"/>
      <c r="U5164" s="3"/>
      <c r="V5164" s="3"/>
      <c r="W5164" s="3"/>
      <c r="X5164" s="3"/>
      <c r="Y5164" s="3"/>
      <c r="Z5164" s="4"/>
      <c r="AA5164"/>
      <c r="AB5164"/>
    </row>
    <row r="5165" spans="1:28" s="37" customFormat="1" x14ac:dyDescent="0.15">
      <c r="A5165" s="70"/>
      <c r="B5165" s="118"/>
      <c r="C5165" s="121"/>
      <c r="D5165" s="121"/>
      <c r="E5165" s="121"/>
      <c r="F5165" s="121"/>
      <c r="G5165" s="121"/>
      <c r="H5165" s="93"/>
      <c r="I5165" s="85"/>
      <c r="J5165" s="122"/>
      <c r="K5165" s="131"/>
      <c r="L5165" s="60"/>
      <c r="M5165" s="49"/>
      <c r="Q5165" s="3"/>
      <c r="R5165" s="3"/>
      <c r="S5165" s="3"/>
      <c r="T5165" s="3"/>
      <c r="U5165" s="3"/>
      <c r="V5165" s="3"/>
      <c r="W5165" s="3"/>
      <c r="X5165" s="3"/>
      <c r="Y5165" s="3"/>
      <c r="Z5165" s="4"/>
      <c r="AA5165"/>
      <c r="AB5165"/>
    </row>
    <row r="5166" spans="1:28" s="49" customFormat="1" x14ac:dyDescent="0.15">
      <c r="A5166" s="70"/>
      <c r="B5166" s="118"/>
      <c r="C5166" s="121"/>
      <c r="D5166" s="121"/>
      <c r="E5166" s="121"/>
      <c r="F5166" s="121"/>
      <c r="G5166" s="121"/>
      <c r="H5166" s="93"/>
      <c r="I5166" s="85"/>
      <c r="J5166" s="122"/>
      <c r="K5166" s="131"/>
      <c r="L5166" s="69"/>
      <c r="N5166" s="37"/>
      <c r="O5166" s="37"/>
      <c r="P5166" s="37"/>
      <c r="Q5166" s="3"/>
      <c r="R5166" s="3"/>
      <c r="S5166" s="3"/>
      <c r="T5166" s="3"/>
      <c r="U5166" s="3"/>
      <c r="V5166" s="3"/>
      <c r="W5166" s="3"/>
      <c r="X5166" s="3"/>
      <c r="Y5166" s="3"/>
      <c r="Z5166" s="4"/>
      <c r="AA5166"/>
      <c r="AB5166"/>
    </row>
    <row r="5167" spans="1:28" s="49" customFormat="1" x14ac:dyDescent="0.15">
      <c r="A5167" s="70"/>
      <c r="B5167" s="118"/>
      <c r="C5167" s="121"/>
      <c r="D5167" s="121"/>
      <c r="E5167" s="121"/>
      <c r="F5167" s="121"/>
      <c r="G5167" s="121"/>
      <c r="H5167" s="93"/>
      <c r="I5167" s="85"/>
      <c r="J5167" s="122"/>
      <c r="K5167" s="131"/>
      <c r="L5167" s="69"/>
      <c r="N5167" s="37"/>
      <c r="O5167" s="37"/>
      <c r="P5167" s="37"/>
      <c r="Q5167" s="3"/>
      <c r="R5167" s="3"/>
      <c r="S5167" s="3"/>
      <c r="T5167" s="3"/>
      <c r="U5167" s="3"/>
      <c r="V5167" s="3"/>
      <c r="W5167" s="3"/>
      <c r="X5167" s="3"/>
      <c r="Y5167" s="3"/>
      <c r="Z5167" s="4"/>
      <c r="AA5167"/>
      <c r="AB5167"/>
    </row>
    <row r="5168" spans="1:28" s="49" customFormat="1" x14ac:dyDescent="0.15">
      <c r="A5168" s="70"/>
      <c r="B5168" s="118"/>
      <c r="C5168" s="121"/>
      <c r="D5168" s="121"/>
      <c r="E5168" s="121"/>
      <c r="F5168" s="121"/>
      <c r="G5168" s="121"/>
      <c r="H5168" s="93"/>
      <c r="I5168" s="85"/>
      <c r="J5168" s="122"/>
      <c r="K5168" s="131"/>
      <c r="L5168" s="60"/>
      <c r="N5168" s="37"/>
      <c r="O5168" s="37"/>
      <c r="P5168" s="37"/>
      <c r="Q5168" s="3"/>
      <c r="R5168" s="3"/>
      <c r="S5168" s="3"/>
      <c r="T5168" s="3"/>
      <c r="U5168" s="3"/>
      <c r="V5168" s="3"/>
      <c r="W5168" s="3"/>
      <c r="X5168" s="3"/>
      <c r="Y5168" s="3"/>
      <c r="Z5168" s="4"/>
      <c r="AA5168"/>
      <c r="AB5168"/>
    </row>
    <row r="5169" spans="1:28" s="49" customFormat="1" x14ac:dyDescent="0.15">
      <c r="A5169" s="70"/>
      <c r="B5169" s="118"/>
      <c r="C5169" s="121"/>
      <c r="D5169" s="121"/>
      <c r="E5169" s="121"/>
      <c r="F5169" s="121"/>
      <c r="G5169" s="121"/>
      <c r="H5169" s="93"/>
      <c r="I5169" s="85"/>
      <c r="J5169" s="122"/>
      <c r="K5169" s="131"/>
      <c r="L5169" s="60"/>
      <c r="N5169" s="37"/>
      <c r="O5169" s="37"/>
      <c r="P5169" s="37"/>
      <c r="Q5169" s="3"/>
      <c r="R5169" s="3"/>
      <c r="S5169" s="3"/>
      <c r="T5169" s="3"/>
      <c r="U5169" s="3"/>
      <c r="V5169" s="3"/>
      <c r="W5169" s="3"/>
      <c r="X5169" s="3"/>
      <c r="Y5169" s="3"/>
      <c r="Z5169" s="4"/>
      <c r="AA5169"/>
      <c r="AB5169"/>
    </row>
    <row r="5170" spans="1:28" s="49" customFormat="1" x14ac:dyDescent="0.15">
      <c r="A5170" s="70"/>
      <c r="B5170" s="118"/>
      <c r="C5170" s="121"/>
      <c r="D5170" s="121"/>
      <c r="E5170" s="121"/>
      <c r="F5170" s="121"/>
      <c r="G5170" s="121"/>
      <c r="H5170" s="93"/>
      <c r="I5170" s="85"/>
      <c r="J5170" s="122"/>
      <c r="K5170" s="131"/>
      <c r="L5170" s="60"/>
      <c r="N5170" s="37"/>
      <c r="O5170" s="37"/>
      <c r="P5170" s="37"/>
      <c r="Q5170" s="3"/>
      <c r="R5170" s="3"/>
      <c r="S5170" s="3"/>
      <c r="T5170" s="3"/>
      <c r="U5170" s="3"/>
      <c r="V5170" s="3"/>
      <c r="W5170" s="3"/>
      <c r="X5170" s="3"/>
      <c r="Y5170" s="3"/>
      <c r="Z5170" s="4"/>
      <c r="AA5170"/>
      <c r="AB5170"/>
    </row>
    <row r="5171" spans="1:28" s="49" customFormat="1" x14ac:dyDescent="0.15">
      <c r="A5171" s="70"/>
      <c r="B5171" s="118"/>
      <c r="C5171" s="121"/>
      <c r="D5171" s="121"/>
      <c r="E5171" s="121"/>
      <c r="F5171" s="121"/>
      <c r="G5171" s="121"/>
      <c r="H5171" s="93"/>
      <c r="I5171" s="85"/>
      <c r="J5171" s="122"/>
      <c r="K5171" s="131"/>
      <c r="L5171" s="60"/>
      <c r="N5171" s="37"/>
      <c r="O5171" s="37"/>
      <c r="P5171" s="37"/>
      <c r="Q5171" s="3"/>
      <c r="R5171" s="3"/>
      <c r="S5171" s="3"/>
      <c r="T5171" s="3"/>
      <c r="U5171" s="3"/>
      <c r="V5171" s="3"/>
      <c r="W5171" s="3"/>
      <c r="X5171" s="3"/>
      <c r="Y5171" s="3"/>
      <c r="Z5171" s="4"/>
      <c r="AA5171"/>
      <c r="AB5171"/>
    </row>
    <row r="5172" spans="1:28" s="49" customFormat="1" x14ac:dyDescent="0.15">
      <c r="A5172" s="70"/>
      <c r="B5172" s="118"/>
      <c r="C5172" s="121"/>
      <c r="D5172" s="121"/>
      <c r="E5172" s="121"/>
      <c r="F5172" s="121"/>
      <c r="G5172" s="121"/>
      <c r="H5172" s="93"/>
      <c r="I5172" s="85"/>
      <c r="J5172" s="122"/>
      <c r="K5172" s="131"/>
      <c r="L5172" s="60"/>
      <c r="N5172" s="37"/>
      <c r="O5172" s="37"/>
      <c r="P5172" s="37"/>
      <c r="Q5172" s="3"/>
      <c r="R5172" s="3"/>
      <c r="S5172" s="3"/>
      <c r="T5172" s="3"/>
      <c r="U5172" s="3"/>
      <c r="V5172" s="3"/>
      <c r="W5172" s="3"/>
      <c r="X5172" s="3"/>
      <c r="Y5172" s="3"/>
      <c r="Z5172" s="4"/>
      <c r="AA5172"/>
      <c r="AB5172"/>
    </row>
    <row r="5173" spans="1:28" s="49" customFormat="1" x14ac:dyDescent="0.15">
      <c r="A5173" s="70"/>
      <c r="B5173" s="118"/>
      <c r="C5173" s="121"/>
      <c r="D5173" s="121"/>
      <c r="E5173" s="121"/>
      <c r="F5173" s="121"/>
      <c r="G5173" s="121"/>
      <c r="H5173" s="93"/>
      <c r="I5173" s="85"/>
      <c r="J5173" s="122"/>
      <c r="K5173" s="131"/>
      <c r="L5173" s="60"/>
      <c r="N5173" s="37"/>
      <c r="O5173" s="37"/>
      <c r="P5173" s="37"/>
      <c r="Q5173" s="3"/>
      <c r="R5173" s="3"/>
      <c r="S5173" s="3"/>
      <c r="T5173" s="3"/>
      <c r="U5173" s="3"/>
      <c r="V5173" s="3"/>
      <c r="W5173" s="3"/>
      <c r="X5173" s="3"/>
      <c r="Y5173" s="3"/>
      <c r="Z5173" s="4"/>
      <c r="AA5173"/>
      <c r="AB5173"/>
    </row>
    <row r="5174" spans="1:28" s="49" customFormat="1" x14ac:dyDescent="0.15">
      <c r="A5174" s="73"/>
      <c r="B5174" s="118"/>
      <c r="C5174" s="121"/>
      <c r="D5174" s="121"/>
      <c r="E5174" s="121"/>
      <c r="F5174" s="121"/>
      <c r="G5174" s="121"/>
      <c r="H5174" s="93"/>
      <c r="I5174" s="85"/>
      <c r="J5174" s="122"/>
      <c r="K5174" s="131"/>
      <c r="L5174" s="60"/>
      <c r="N5174" s="37"/>
      <c r="O5174" s="37"/>
      <c r="P5174" s="37"/>
      <c r="Q5174" s="3"/>
      <c r="R5174" s="3"/>
      <c r="S5174" s="3"/>
      <c r="T5174" s="3"/>
      <c r="U5174" s="3"/>
      <c r="V5174" s="3"/>
      <c r="W5174" s="3"/>
      <c r="X5174" s="3"/>
      <c r="Y5174" s="3"/>
      <c r="Z5174" s="4"/>
      <c r="AA5174"/>
      <c r="AB5174"/>
    </row>
    <row r="5175" spans="1:28" s="49" customFormat="1" x14ac:dyDescent="0.15">
      <c r="A5175" s="70"/>
      <c r="B5175" s="118"/>
      <c r="C5175" s="121"/>
      <c r="D5175" s="121"/>
      <c r="E5175" s="121"/>
      <c r="F5175" s="121"/>
      <c r="G5175" s="121"/>
      <c r="H5175" s="93"/>
      <c r="I5175" s="85"/>
      <c r="J5175" s="122"/>
      <c r="K5175" s="131"/>
      <c r="L5175" s="60"/>
      <c r="N5175" s="37"/>
      <c r="O5175" s="37"/>
      <c r="P5175" s="37"/>
      <c r="Q5175" s="3"/>
      <c r="R5175" s="3"/>
      <c r="S5175" s="3"/>
      <c r="T5175" s="3"/>
      <c r="U5175" s="3"/>
      <c r="V5175" s="3"/>
      <c r="W5175" s="3"/>
      <c r="X5175" s="3"/>
      <c r="Y5175" s="3"/>
      <c r="Z5175" s="4"/>
      <c r="AA5175"/>
      <c r="AB5175"/>
    </row>
    <row r="5176" spans="1:28" s="49" customFormat="1" x14ac:dyDescent="0.15">
      <c r="A5176" s="70"/>
      <c r="B5176" s="118"/>
      <c r="C5176" s="121"/>
      <c r="D5176" s="121"/>
      <c r="E5176" s="121"/>
      <c r="F5176" s="121"/>
      <c r="G5176" s="121"/>
      <c r="H5176" s="93"/>
      <c r="I5176" s="85"/>
      <c r="J5176" s="122"/>
      <c r="K5176" s="131"/>
      <c r="L5176" s="60"/>
      <c r="N5176" s="37"/>
      <c r="O5176" s="37"/>
      <c r="P5176" s="37"/>
      <c r="Q5176" s="3"/>
      <c r="R5176" s="3"/>
      <c r="S5176" s="3"/>
      <c r="T5176" s="3"/>
      <c r="U5176" s="3"/>
      <c r="V5176" s="3"/>
      <c r="W5176" s="3"/>
      <c r="X5176" s="3"/>
      <c r="Y5176" s="3"/>
      <c r="Z5176" s="4"/>
      <c r="AA5176"/>
      <c r="AB5176"/>
    </row>
    <row r="5177" spans="1:28" s="49" customFormat="1" x14ac:dyDescent="0.15">
      <c r="A5177" s="70"/>
      <c r="B5177" s="118"/>
      <c r="C5177" s="121"/>
      <c r="D5177" s="121"/>
      <c r="E5177" s="121"/>
      <c r="F5177" s="121"/>
      <c r="G5177" s="121"/>
      <c r="H5177" s="93"/>
      <c r="I5177" s="85"/>
      <c r="J5177" s="122"/>
      <c r="K5177" s="131"/>
      <c r="L5177" s="60"/>
      <c r="N5177" s="37"/>
      <c r="O5177" s="37"/>
      <c r="P5177" s="37"/>
      <c r="Q5177" s="3"/>
      <c r="R5177" s="3"/>
      <c r="S5177" s="3"/>
      <c r="T5177" s="3"/>
      <c r="U5177" s="3"/>
      <c r="V5177" s="3"/>
      <c r="W5177" s="3"/>
      <c r="X5177" s="3"/>
      <c r="Y5177" s="3"/>
      <c r="Z5177" s="4"/>
      <c r="AA5177"/>
      <c r="AB5177"/>
    </row>
    <row r="5178" spans="1:28" s="49" customFormat="1" x14ac:dyDescent="0.15">
      <c r="A5178" s="70"/>
      <c r="B5178" s="118"/>
      <c r="C5178" s="121"/>
      <c r="D5178" s="121"/>
      <c r="E5178" s="121"/>
      <c r="F5178" s="121"/>
      <c r="G5178" s="121"/>
      <c r="H5178" s="93"/>
      <c r="I5178" s="85"/>
      <c r="J5178" s="122"/>
      <c r="K5178" s="131"/>
      <c r="L5178" s="60"/>
      <c r="N5178" s="37"/>
      <c r="O5178" s="37"/>
      <c r="P5178" s="37"/>
      <c r="Q5178" s="3"/>
      <c r="R5178" s="3"/>
      <c r="S5178" s="3"/>
      <c r="T5178" s="3"/>
      <c r="U5178" s="3"/>
      <c r="V5178" s="3"/>
      <c r="W5178" s="3"/>
      <c r="X5178" s="3"/>
      <c r="Y5178" s="3"/>
      <c r="Z5178" s="4"/>
      <c r="AA5178"/>
      <c r="AB5178"/>
    </row>
    <row r="5179" spans="1:28" s="49" customFormat="1" x14ac:dyDescent="0.15">
      <c r="A5179" s="70"/>
      <c r="B5179" s="118"/>
      <c r="C5179" s="121"/>
      <c r="D5179" s="121"/>
      <c r="E5179" s="121"/>
      <c r="F5179" s="121"/>
      <c r="G5179" s="121"/>
      <c r="H5179" s="93"/>
      <c r="I5179" s="85"/>
      <c r="J5179" s="122"/>
      <c r="K5179" s="131"/>
      <c r="L5179" s="69"/>
      <c r="N5179" s="37"/>
      <c r="O5179" s="37"/>
      <c r="P5179" s="37"/>
      <c r="Q5179" s="3"/>
      <c r="R5179" s="3"/>
      <c r="S5179" s="3"/>
      <c r="T5179" s="3"/>
      <c r="U5179" s="3"/>
      <c r="V5179" s="3"/>
      <c r="W5179" s="3"/>
      <c r="X5179" s="3"/>
      <c r="Y5179" s="3"/>
      <c r="Z5179" s="4"/>
      <c r="AA5179"/>
      <c r="AB5179"/>
    </row>
    <row r="5180" spans="1:28" s="49" customFormat="1" x14ac:dyDescent="0.15">
      <c r="A5180" s="70"/>
      <c r="B5180" s="118"/>
      <c r="C5180" s="121"/>
      <c r="D5180" s="121"/>
      <c r="E5180" s="121"/>
      <c r="F5180" s="121"/>
      <c r="G5180" s="121"/>
      <c r="H5180" s="93"/>
      <c r="I5180" s="85"/>
      <c r="J5180" s="122"/>
      <c r="K5180" s="131"/>
      <c r="L5180" s="69"/>
      <c r="N5180" s="37"/>
      <c r="O5180" s="37"/>
      <c r="P5180" s="37"/>
      <c r="Q5180" s="3"/>
      <c r="R5180" s="3"/>
      <c r="S5180" s="3"/>
      <c r="T5180" s="3"/>
      <c r="U5180" s="3"/>
      <c r="V5180" s="3"/>
      <c r="W5180" s="3"/>
      <c r="X5180" s="3"/>
      <c r="Y5180" s="3"/>
      <c r="Z5180" s="4"/>
      <c r="AA5180"/>
      <c r="AB5180"/>
    </row>
    <row r="5181" spans="1:28" s="49" customFormat="1" x14ac:dyDescent="0.15">
      <c r="A5181" s="70"/>
      <c r="B5181" s="118"/>
      <c r="C5181" s="121"/>
      <c r="D5181" s="121"/>
      <c r="E5181" s="121"/>
      <c r="F5181" s="121"/>
      <c r="G5181" s="121"/>
      <c r="H5181" s="108"/>
      <c r="I5181" s="85"/>
      <c r="J5181" s="122"/>
      <c r="K5181" s="131"/>
      <c r="L5181" s="60"/>
      <c r="N5181" s="37"/>
      <c r="O5181" s="37"/>
      <c r="P5181" s="37"/>
      <c r="Q5181" s="3"/>
      <c r="R5181" s="3"/>
      <c r="S5181" s="3"/>
      <c r="T5181" s="3"/>
      <c r="U5181" s="3"/>
      <c r="V5181" s="3"/>
      <c r="W5181" s="3"/>
      <c r="X5181" s="3"/>
      <c r="Y5181" s="3"/>
      <c r="Z5181" s="4"/>
      <c r="AA5181"/>
      <c r="AB5181"/>
    </row>
    <row r="5182" spans="1:28" s="49" customFormat="1" x14ac:dyDescent="0.15">
      <c r="A5182" s="70"/>
      <c r="B5182" s="118"/>
      <c r="C5182" s="121"/>
      <c r="D5182" s="121"/>
      <c r="E5182" s="121"/>
      <c r="F5182" s="121"/>
      <c r="G5182" s="121"/>
      <c r="H5182" s="93"/>
      <c r="I5182" s="85"/>
      <c r="J5182" s="122"/>
      <c r="K5182" s="131"/>
      <c r="L5182" s="69"/>
      <c r="N5182" s="37"/>
      <c r="O5182" s="37"/>
      <c r="P5182" s="37"/>
      <c r="Q5182" s="3"/>
      <c r="R5182" s="3"/>
      <c r="S5182" s="3"/>
      <c r="T5182" s="3"/>
      <c r="U5182" s="3"/>
      <c r="V5182" s="3"/>
      <c r="W5182" s="3"/>
      <c r="X5182" s="3"/>
      <c r="Y5182" s="3"/>
      <c r="Z5182" s="4"/>
      <c r="AA5182"/>
      <c r="AB5182"/>
    </row>
    <row r="5183" spans="1:28" s="49" customFormat="1" x14ac:dyDescent="0.15">
      <c r="A5183" s="73"/>
      <c r="B5183" s="118"/>
      <c r="C5183" s="121"/>
      <c r="D5183" s="121"/>
      <c r="E5183" s="121"/>
      <c r="F5183" s="121"/>
      <c r="G5183" s="121"/>
      <c r="H5183" s="93"/>
      <c r="I5183" s="85"/>
      <c r="J5183" s="122"/>
      <c r="K5183" s="131"/>
      <c r="L5183" s="69"/>
      <c r="N5183" s="37"/>
      <c r="O5183" s="37"/>
      <c r="P5183" s="37"/>
      <c r="Q5183" s="3"/>
      <c r="R5183" s="3"/>
      <c r="S5183" s="3"/>
      <c r="T5183" s="3"/>
      <c r="U5183" s="3"/>
      <c r="V5183" s="3"/>
      <c r="W5183" s="3"/>
      <c r="X5183" s="3"/>
      <c r="Y5183" s="3"/>
      <c r="Z5183" s="4"/>
      <c r="AA5183"/>
      <c r="AB5183"/>
    </row>
    <row r="5184" spans="1:28" s="49" customFormat="1" x14ac:dyDescent="0.15">
      <c r="A5184" s="73"/>
      <c r="B5184" s="118"/>
      <c r="C5184" s="121"/>
      <c r="D5184" s="121"/>
      <c r="E5184" s="121"/>
      <c r="F5184" s="121"/>
      <c r="G5184" s="121"/>
      <c r="H5184" s="93"/>
      <c r="I5184" s="85"/>
      <c r="J5184" s="122"/>
      <c r="K5184" s="131"/>
      <c r="L5184" s="69"/>
      <c r="N5184" s="37"/>
      <c r="O5184" s="37"/>
      <c r="P5184" s="37"/>
      <c r="Q5184" s="3"/>
      <c r="R5184" s="3"/>
      <c r="S5184" s="3"/>
      <c r="T5184" s="3"/>
      <c r="U5184" s="3"/>
      <c r="V5184" s="3"/>
      <c r="W5184" s="3"/>
      <c r="X5184" s="3"/>
      <c r="Y5184" s="3"/>
      <c r="Z5184" s="4"/>
      <c r="AA5184"/>
      <c r="AB5184"/>
    </row>
    <row r="5185" spans="1:28" s="49" customFormat="1" x14ac:dyDescent="0.15">
      <c r="A5185" s="70"/>
      <c r="B5185" s="118"/>
      <c r="C5185" s="121"/>
      <c r="D5185" s="121"/>
      <c r="E5185" s="121"/>
      <c r="F5185" s="121"/>
      <c r="G5185" s="121"/>
      <c r="H5185" s="93"/>
      <c r="I5185" s="85"/>
      <c r="J5185" s="122"/>
      <c r="K5185" s="131"/>
      <c r="L5185" s="69"/>
      <c r="N5185" s="37"/>
      <c r="O5185" s="37"/>
      <c r="P5185" s="37"/>
      <c r="Q5185" s="3"/>
      <c r="R5185" s="3"/>
      <c r="S5185" s="3"/>
      <c r="T5185" s="3"/>
      <c r="U5185" s="3"/>
      <c r="V5185" s="3"/>
      <c r="W5185" s="3"/>
      <c r="X5185" s="3"/>
      <c r="Y5185" s="3"/>
      <c r="Z5185" s="4"/>
      <c r="AA5185"/>
      <c r="AB5185"/>
    </row>
    <row r="5186" spans="1:28" s="49" customFormat="1" x14ac:dyDescent="0.15">
      <c r="A5186" s="70"/>
      <c r="B5186" s="118"/>
      <c r="C5186" s="121"/>
      <c r="D5186" s="121"/>
      <c r="E5186" s="121"/>
      <c r="F5186" s="121"/>
      <c r="G5186" s="121"/>
      <c r="H5186" s="93"/>
      <c r="I5186" s="85"/>
      <c r="J5186" s="122"/>
      <c r="K5186" s="131"/>
      <c r="L5186" s="60"/>
      <c r="N5186" s="37"/>
      <c r="O5186" s="37"/>
      <c r="P5186" s="37"/>
      <c r="Q5186" s="3"/>
      <c r="R5186" s="3"/>
      <c r="S5186" s="3"/>
      <c r="T5186" s="3"/>
      <c r="U5186" s="3"/>
      <c r="V5186" s="3"/>
      <c r="W5186" s="3"/>
      <c r="X5186" s="3"/>
      <c r="Y5186" s="3"/>
      <c r="Z5186" s="4"/>
      <c r="AA5186"/>
      <c r="AB5186"/>
    </row>
    <row r="5187" spans="1:28" s="49" customFormat="1" x14ac:dyDescent="0.15">
      <c r="A5187" s="70"/>
      <c r="B5187" s="118"/>
      <c r="C5187" s="121"/>
      <c r="D5187" s="121"/>
      <c r="E5187" s="121"/>
      <c r="F5187" s="121"/>
      <c r="G5187" s="121"/>
      <c r="H5187" s="93"/>
      <c r="I5187" s="85"/>
      <c r="J5187" s="122"/>
      <c r="K5187" s="131"/>
      <c r="L5187" s="60"/>
      <c r="N5187" s="37"/>
      <c r="O5187" s="37"/>
      <c r="P5187" s="37"/>
      <c r="Q5187" s="3"/>
      <c r="R5187" s="3"/>
      <c r="S5187" s="3"/>
      <c r="T5187" s="3"/>
      <c r="U5187" s="3"/>
      <c r="V5187" s="3"/>
      <c r="W5187" s="3"/>
      <c r="X5187" s="3"/>
      <c r="Y5187" s="3"/>
      <c r="Z5187" s="4"/>
      <c r="AA5187"/>
      <c r="AB5187"/>
    </row>
    <row r="5188" spans="1:28" s="49" customFormat="1" x14ac:dyDescent="0.15">
      <c r="A5188" s="70"/>
      <c r="B5188" s="118"/>
      <c r="C5188" s="121"/>
      <c r="D5188" s="121"/>
      <c r="E5188" s="121"/>
      <c r="F5188" s="121"/>
      <c r="G5188" s="121"/>
      <c r="H5188" s="93"/>
      <c r="I5188" s="85"/>
      <c r="J5188" s="122"/>
      <c r="K5188" s="131"/>
      <c r="L5188" s="72"/>
      <c r="N5188" s="37"/>
      <c r="O5188" s="37"/>
      <c r="P5188" s="37"/>
      <c r="Q5188" s="3"/>
      <c r="R5188" s="3"/>
      <c r="S5188" s="3"/>
      <c r="T5188" s="3"/>
      <c r="U5188" s="3"/>
      <c r="V5188" s="3"/>
      <c r="W5188" s="3"/>
      <c r="X5188" s="3"/>
      <c r="Y5188" s="3"/>
      <c r="Z5188" s="4"/>
      <c r="AA5188"/>
      <c r="AB5188"/>
    </row>
    <row r="5189" spans="1:28" s="49" customFormat="1" x14ac:dyDescent="0.15">
      <c r="A5189" s="70"/>
      <c r="B5189" s="118"/>
      <c r="C5189" s="121"/>
      <c r="D5189" s="121"/>
      <c r="E5189" s="121"/>
      <c r="F5189" s="121"/>
      <c r="G5189" s="121"/>
      <c r="H5189" s="93"/>
      <c r="I5189" s="85"/>
      <c r="J5189" s="122"/>
      <c r="K5189" s="131"/>
      <c r="L5189" s="69"/>
      <c r="N5189" s="37"/>
      <c r="O5189" s="37"/>
      <c r="P5189" s="37"/>
      <c r="Q5189" s="3"/>
      <c r="R5189" s="3"/>
      <c r="S5189" s="3"/>
      <c r="T5189" s="3"/>
      <c r="U5189" s="3"/>
      <c r="V5189" s="3"/>
      <c r="W5189" s="3"/>
      <c r="X5189" s="3"/>
      <c r="Y5189" s="3"/>
      <c r="Z5189" s="4"/>
      <c r="AA5189"/>
      <c r="AB5189"/>
    </row>
    <row r="5190" spans="1:28" s="49" customFormat="1" x14ac:dyDescent="0.15">
      <c r="A5190" s="70"/>
      <c r="B5190" s="118"/>
      <c r="C5190" s="121"/>
      <c r="D5190" s="121"/>
      <c r="E5190" s="121"/>
      <c r="F5190" s="121"/>
      <c r="G5190" s="121"/>
      <c r="H5190" s="93"/>
      <c r="I5190" s="85"/>
      <c r="J5190" s="122"/>
      <c r="K5190" s="131"/>
      <c r="L5190" s="69"/>
      <c r="N5190" s="37"/>
      <c r="O5190" s="37"/>
      <c r="P5190" s="37"/>
      <c r="Q5190" s="3"/>
      <c r="R5190" s="3"/>
      <c r="S5190" s="3"/>
      <c r="T5190" s="3"/>
      <c r="U5190" s="3"/>
      <c r="V5190" s="3"/>
      <c r="W5190" s="3"/>
      <c r="X5190" s="3"/>
      <c r="Y5190" s="3"/>
      <c r="Z5190" s="4"/>
      <c r="AA5190"/>
      <c r="AB5190"/>
    </row>
    <row r="5191" spans="1:28" s="49" customFormat="1" x14ac:dyDescent="0.15">
      <c r="A5191" s="70"/>
      <c r="B5191" s="118"/>
      <c r="C5191" s="121"/>
      <c r="D5191" s="121"/>
      <c r="E5191" s="121"/>
      <c r="F5191" s="121"/>
      <c r="G5191" s="121"/>
      <c r="H5191" s="93"/>
      <c r="I5191" s="85"/>
      <c r="J5191" s="122"/>
      <c r="K5191" s="131"/>
      <c r="L5191" s="63"/>
      <c r="N5191" s="37"/>
      <c r="O5191" s="37"/>
      <c r="P5191" s="37"/>
      <c r="Q5191" s="3"/>
      <c r="R5191" s="3"/>
      <c r="S5191" s="3"/>
      <c r="T5191" s="3"/>
      <c r="U5191" s="3"/>
      <c r="V5191" s="3"/>
      <c r="W5191" s="3"/>
      <c r="X5191" s="3"/>
      <c r="Y5191" s="3"/>
      <c r="Z5191" s="4"/>
      <c r="AA5191"/>
      <c r="AB5191"/>
    </row>
    <row r="5192" spans="1:28" s="49" customFormat="1" x14ac:dyDescent="0.15">
      <c r="A5192" s="70"/>
      <c r="B5192" s="118"/>
      <c r="C5192" s="121"/>
      <c r="D5192" s="121"/>
      <c r="E5192" s="121"/>
      <c r="F5192" s="121"/>
      <c r="G5192" s="121"/>
      <c r="H5192" s="93"/>
      <c r="I5192" s="85"/>
      <c r="J5192" s="122"/>
      <c r="K5192" s="131"/>
      <c r="L5192" s="69"/>
      <c r="N5192" s="37"/>
      <c r="O5192" s="37"/>
      <c r="P5192" s="37"/>
      <c r="Q5192" s="3"/>
      <c r="R5192" s="3"/>
      <c r="S5192" s="3"/>
      <c r="T5192" s="3"/>
      <c r="U5192" s="3"/>
      <c r="V5192" s="3"/>
      <c r="W5192" s="3"/>
      <c r="X5192" s="3"/>
      <c r="Y5192" s="3"/>
      <c r="Z5192" s="4"/>
      <c r="AA5192"/>
      <c r="AB5192"/>
    </row>
    <row r="5193" spans="1:28" s="49" customFormat="1" x14ac:dyDescent="0.15">
      <c r="A5193" s="70"/>
      <c r="B5193" s="118"/>
      <c r="C5193" s="121"/>
      <c r="D5193" s="121"/>
      <c r="E5193" s="121"/>
      <c r="F5193" s="121"/>
      <c r="G5193" s="121"/>
      <c r="H5193" s="93"/>
      <c r="I5193" s="85"/>
      <c r="J5193" s="122"/>
      <c r="K5193" s="131"/>
      <c r="L5193" s="69"/>
      <c r="N5193" s="37"/>
      <c r="O5193" s="37"/>
      <c r="P5193" s="37"/>
      <c r="Q5193" s="3"/>
      <c r="R5193" s="3"/>
      <c r="S5193" s="3"/>
      <c r="T5193" s="3"/>
      <c r="U5193" s="3"/>
      <c r="V5193" s="3"/>
      <c r="W5193" s="3"/>
      <c r="X5193" s="3"/>
      <c r="Y5193" s="3"/>
      <c r="Z5193" s="4"/>
      <c r="AA5193"/>
      <c r="AB5193"/>
    </row>
    <row r="5194" spans="1:28" s="49" customFormat="1" x14ac:dyDescent="0.15">
      <c r="A5194" s="70"/>
      <c r="B5194" s="118"/>
      <c r="C5194" s="121"/>
      <c r="D5194" s="121"/>
      <c r="E5194" s="121"/>
      <c r="F5194" s="121"/>
      <c r="G5194" s="121"/>
      <c r="H5194" s="93"/>
      <c r="I5194" s="85"/>
      <c r="J5194" s="122"/>
      <c r="K5194" s="131"/>
      <c r="L5194" s="60"/>
      <c r="N5194" s="37"/>
      <c r="O5194" s="37"/>
      <c r="P5194" s="37"/>
      <c r="Q5194" s="3"/>
      <c r="R5194" s="3"/>
      <c r="S5194" s="3"/>
      <c r="T5194" s="3"/>
      <c r="U5194" s="3"/>
      <c r="V5194" s="3"/>
      <c r="W5194" s="3"/>
      <c r="X5194" s="3"/>
      <c r="Y5194" s="3"/>
      <c r="Z5194" s="4"/>
      <c r="AA5194"/>
      <c r="AB5194"/>
    </row>
    <row r="5195" spans="1:28" s="49" customFormat="1" x14ac:dyDescent="0.15">
      <c r="A5195" s="70"/>
      <c r="B5195" s="118"/>
      <c r="C5195" s="121"/>
      <c r="D5195" s="121"/>
      <c r="E5195" s="121"/>
      <c r="F5195" s="121"/>
      <c r="G5195" s="121"/>
      <c r="H5195" s="93"/>
      <c r="I5195" s="85"/>
      <c r="J5195" s="122"/>
      <c r="K5195" s="131"/>
      <c r="L5195" s="69"/>
      <c r="N5195" s="37"/>
      <c r="O5195" s="37"/>
      <c r="P5195" s="37"/>
      <c r="Q5195" s="3"/>
      <c r="R5195" s="3"/>
      <c r="S5195" s="3"/>
      <c r="T5195" s="3"/>
      <c r="U5195" s="3"/>
      <c r="V5195" s="3"/>
      <c r="W5195" s="3"/>
      <c r="X5195" s="3"/>
      <c r="Y5195" s="3"/>
      <c r="Z5195" s="4"/>
      <c r="AA5195"/>
      <c r="AB5195"/>
    </row>
    <row r="5196" spans="1:28" s="49" customFormat="1" x14ac:dyDescent="0.15">
      <c r="A5196" s="70"/>
      <c r="B5196" s="118"/>
      <c r="C5196" s="121"/>
      <c r="D5196" s="121"/>
      <c r="E5196" s="121"/>
      <c r="F5196" s="121"/>
      <c r="G5196" s="121"/>
      <c r="H5196" s="93"/>
      <c r="I5196" s="85"/>
      <c r="J5196" s="121"/>
      <c r="K5196" s="131"/>
      <c r="L5196" s="69"/>
      <c r="N5196" s="37"/>
      <c r="O5196" s="37"/>
      <c r="P5196" s="37"/>
      <c r="Q5196" s="3"/>
      <c r="R5196" s="3"/>
      <c r="S5196" s="3"/>
      <c r="T5196" s="3"/>
      <c r="U5196" s="3"/>
      <c r="V5196" s="3"/>
      <c r="W5196" s="3"/>
      <c r="X5196" s="3"/>
      <c r="Y5196" s="3"/>
      <c r="Z5196" s="4"/>
      <c r="AA5196"/>
      <c r="AB5196"/>
    </row>
    <row r="5197" spans="1:28" s="49" customFormat="1" x14ac:dyDescent="0.15">
      <c r="A5197" s="73"/>
      <c r="B5197" s="118"/>
      <c r="C5197" s="121"/>
      <c r="D5197" s="121"/>
      <c r="E5197" s="121"/>
      <c r="F5197" s="121"/>
      <c r="G5197" s="121"/>
      <c r="H5197" s="93"/>
      <c r="I5197" s="85"/>
      <c r="J5197" s="122"/>
      <c r="K5197" s="131"/>
      <c r="L5197" s="69"/>
      <c r="N5197" s="37"/>
      <c r="O5197" s="37"/>
      <c r="P5197" s="37"/>
      <c r="Q5197" s="3"/>
      <c r="R5197" s="3"/>
      <c r="S5197" s="3"/>
      <c r="T5197" s="3"/>
      <c r="U5197" s="3"/>
      <c r="V5197" s="3"/>
      <c r="W5197" s="3"/>
      <c r="X5197" s="3"/>
      <c r="Y5197" s="3"/>
      <c r="Z5197" s="4"/>
      <c r="AA5197"/>
      <c r="AB5197"/>
    </row>
    <row r="5198" spans="1:28" s="49" customFormat="1" x14ac:dyDescent="0.15">
      <c r="A5198" s="70"/>
      <c r="B5198" s="118"/>
      <c r="C5198" s="121"/>
      <c r="D5198" s="121"/>
      <c r="E5198" s="121"/>
      <c r="F5198" s="121"/>
      <c r="G5198" s="121"/>
      <c r="H5198" s="93"/>
      <c r="I5198" s="85"/>
      <c r="J5198" s="122"/>
      <c r="K5198" s="131"/>
      <c r="L5198" s="69"/>
      <c r="N5198" s="37"/>
      <c r="O5198" s="37"/>
      <c r="P5198" s="37"/>
      <c r="Q5198" s="3"/>
      <c r="R5198" s="3"/>
      <c r="S5198" s="3"/>
      <c r="T5198" s="3"/>
      <c r="U5198" s="3"/>
      <c r="V5198" s="3"/>
      <c r="W5198" s="3"/>
      <c r="X5198" s="3"/>
      <c r="Y5198" s="3"/>
      <c r="Z5198" s="4"/>
      <c r="AA5198"/>
      <c r="AB5198"/>
    </row>
    <row r="5199" spans="1:28" s="49" customFormat="1" x14ac:dyDescent="0.15">
      <c r="A5199" s="70"/>
      <c r="B5199" s="118"/>
      <c r="C5199" s="121"/>
      <c r="D5199" s="121"/>
      <c r="E5199" s="121"/>
      <c r="F5199" s="121"/>
      <c r="G5199" s="121"/>
      <c r="H5199" s="93"/>
      <c r="I5199" s="85"/>
      <c r="J5199" s="122"/>
      <c r="K5199" s="131"/>
      <c r="L5199" s="69"/>
      <c r="N5199" s="37"/>
      <c r="O5199" s="37"/>
      <c r="P5199" s="37"/>
      <c r="Q5199" s="3"/>
      <c r="R5199" s="3"/>
      <c r="S5199" s="3"/>
      <c r="T5199" s="3"/>
      <c r="U5199" s="3"/>
      <c r="V5199" s="3"/>
      <c r="W5199" s="3"/>
      <c r="X5199" s="3"/>
      <c r="Y5199" s="3"/>
      <c r="Z5199" s="4"/>
      <c r="AA5199"/>
      <c r="AB5199"/>
    </row>
    <row r="5200" spans="1:28" s="49" customFormat="1" x14ac:dyDescent="0.15">
      <c r="A5200" s="70"/>
      <c r="B5200" s="118"/>
      <c r="C5200" s="121"/>
      <c r="D5200" s="121"/>
      <c r="E5200" s="121"/>
      <c r="F5200" s="121"/>
      <c r="G5200" s="121"/>
      <c r="H5200" s="93"/>
      <c r="I5200" s="85"/>
      <c r="J5200" s="122"/>
      <c r="K5200" s="131"/>
      <c r="L5200" s="69"/>
      <c r="N5200" s="37"/>
      <c r="O5200" s="37"/>
      <c r="P5200" s="37"/>
      <c r="Q5200" s="3"/>
      <c r="R5200" s="3"/>
      <c r="S5200" s="3"/>
      <c r="T5200" s="3"/>
      <c r="U5200" s="3"/>
      <c r="V5200" s="3"/>
      <c r="W5200" s="3"/>
      <c r="X5200" s="3"/>
      <c r="Y5200" s="3"/>
      <c r="Z5200" s="4"/>
      <c r="AA5200"/>
      <c r="AB5200"/>
    </row>
    <row r="5201" spans="1:28" s="49" customFormat="1" x14ac:dyDescent="0.15">
      <c r="A5201" s="70"/>
      <c r="B5201" s="118"/>
      <c r="C5201" s="121"/>
      <c r="D5201" s="121"/>
      <c r="E5201" s="121"/>
      <c r="F5201" s="121"/>
      <c r="G5201" s="121"/>
      <c r="H5201" s="108"/>
      <c r="I5201" s="85"/>
      <c r="J5201" s="122"/>
      <c r="K5201" s="131"/>
      <c r="L5201" s="69"/>
      <c r="N5201" s="37"/>
      <c r="O5201" s="37"/>
      <c r="P5201" s="37"/>
      <c r="Q5201" s="3"/>
      <c r="R5201" s="3"/>
      <c r="S5201" s="3"/>
      <c r="T5201" s="3"/>
      <c r="U5201" s="3"/>
      <c r="V5201" s="3"/>
      <c r="W5201" s="3"/>
      <c r="X5201" s="3"/>
      <c r="Y5201" s="3"/>
      <c r="Z5201" s="4"/>
      <c r="AA5201"/>
      <c r="AB5201"/>
    </row>
    <row r="5202" spans="1:28" s="49" customFormat="1" x14ac:dyDescent="0.15">
      <c r="A5202" s="70"/>
      <c r="B5202" s="118"/>
      <c r="C5202" s="121"/>
      <c r="D5202" s="121"/>
      <c r="E5202" s="121"/>
      <c r="F5202" s="121"/>
      <c r="G5202" s="121"/>
      <c r="H5202" s="93"/>
      <c r="I5202" s="85"/>
      <c r="J5202" s="122"/>
      <c r="K5202" s="131"/>
      <c r="L5202" s="69"/>
      <c r="N5202" s="37"/>
      <c r="O5202" s="37"/>
      <c r="P5202" s="37"/>
      <c r="Q5202" s="3"/>
      <c r="R5202" s="3"/>
      <c r="S5202" s="3"/>
      <c r="T5202" s="3"/>
      <c r="U5202" s="3"/>
      <c r="V5202" s="3"/>
      <c r="W5202" s="3"/>
      <c r="X5202" s="3"/>
      <c r="Y5202" s="3"/>
      <c r="Z5202" s="4"/>
      <c r="AA5202"/>
      <c r="AB5202"/>
    </row>
    <row r="5203" spans="1:28" s="49" customFormat="1" x14ac:dyDescent="0.15">
      <c r="A5203" s="73"/>
      <c r="B5203" s="118"/>
      <c r="C5203" s="121"/>
      <c r="D5203" s="121"/>
      <c r="E5203" s="121"/>
      <c r="F5203" s="121"/>
      <c r="G5203" s="121"/>
      <c r="H5203" s="93"/>
      <c r="I5203" s="85"/>
      <c r="J5203" s="122"/>
      <c r="K5203" s="131"/>
      <c r="L5203" s="69"/>
      <c r="N5203" s="37"/>
      <c r="O5203" s="37"/>
      <c r="P5203" s="37"/>
      <c r="Q5203" s="3"/>
      <c r="R5203" s="3"/>
      <c r="S5203" s="3"/>
      <c r="T5203" s="3"/>
      <c r="U5203" s="3"/>
      <c r="V5203" s="3"/>
      <c r="W5203" s="3"/>
      <c r="X5203" s="3"/>
      <c r="Y5203" s="3"/>
      <c r="Z5203" s="4"/>
      <c r="AA5203"/>
      <c r="AB5203"/>
    </row>
    <row r="5204" spans="1:28" s="49" customFormat="1" x14ac:dyDescent="0.15">
      <c r="A5204" s="70"/>
      <c r="B5204" s="118"/>
      <c r="C5204" s="121"/>
      <c r="D5204" s="121"/>
      <c r="E5204" s="121"/>
      <c r="F5204" s="121"/>
      <c r="G5204" s="121"/>
      <c r="H5204" s="93"/>
      <c r="I5204" s="85"/>
      <c r="J5204" s="122"/>
      <c r="K5204" s="131"/>
      <c r="L5204" s="69"/>
      <c r="N5204" s="37"/>
      <c r="O5204" s="37"/>
      <c r="P5204" s="37"/>
      <c r="Q5204" s="3"/>
      <c r="R5204" s="3"/>
      <c r="S5204" s="3"/>
      <c r="T5204" s="3"/>
      <c r="U5204" s="3"/>
      <c r="V5204" s="3"/>
      <c r="W5204" s="3"/>
      <c r="X5204" s="3"/>
      <c r="Y5204" s="3"/>
      <c r="Z5204" s="4"/>
      <c r="AA5204"/>
      <c r="AB5204"/>
    </row>
    <row r="5205" spans="1:28" s="49" customFormat="1" x14ac:dyDescent="0.15">
      <c r="A5205" s="70"/>
      <c r="B5205" s="118"/>
      <c r="C5205" s="121"/>
      <c r="D5205" s="121"/>
      <c r="E5205" s="121"/>
      <c r="F5205" s="121"/>
      <c r="G5205" s="121"/>
      <c r="H5205" s="93"/>
      <c r="I5205" s="85"/>
      <c r="J5205" s="122"/>
      <c r="K5205" s="131"/>
      <c r="L5205" s="60"/>
      <c r="N5205" s="37"/>
      <c r="O5205" s="37"/>
      <c r="P5205" s="37"/>
      <c r="Q5205" s="3"/>
      <c r="R5205" s="3"/>
      <c r="S5205" s="3"/>
      <c r="T5205" s="3"/>
      <c r="U5205" s="3"/>
      <c r="V5205" s="3"/>
      <c r="W5205" s="3"/>
      <c r="X5205" s="3"/>
      <c r="Y5205" s="3"/>
      <c r="Z5205" s="4"/>
      <c r="AA5205"/>
      <c r="AB5205"/>
    </row>
    <row r="5206" spans="1:28" s="49" customFormat="1" x14ac:dyDescent="0.15">
      <c r="A5206" s="70"/>
      <c r="B5206" s="118"/>
      <c r="C5206" s="121"/>
      <c r="D5206" s="121"/>
      <c r="E5206" s="121"/>
      <c r="F5206" s="121"/>
      <c r="G5206" s="121"/>
      <c r="H5206" s="93"/>
      <c r="I5206" s="85"/>
      <c r="J5206" s="122"/>
      <c r="K5206" s="131"/>
      <c r="L5206" s="60"/>
      <c r="N5206" s="37"/>
      <c r="O5206" s="37"/>
      <c r="P5206" s="37"/>
      <c r="Q5206" s="3"/>
      <c r="R5206" s="3"/>
      <c r="S5206" s="3"/>
      <c r="T5206" s="3"/>
      <c r="U5206" s="3"/>
      <c r="V5206" s="3"/>
      <c r="W5206" s="3"/>
      <c r="X5206" s="3"/>
      <c r="Y5206" s="3"/>
      <c r="Z5206" s="4"/>
      <c r="AA5206"/>
      <c r="AB5206"/>
    </row>
    <row r="5207" spans="1:28" s="49" customFormat="1" x14ac:dyDescent="0.15">
      <c r="A5207" s="70"/>
      <c r="B5207" s="118"/>
      <c r="C5207" s="121"/>
      <c r="D5207" s="121"/>
      <c r="E5207" s="121"/>
      <c r="F5207" s="121"/>
      <c r="G5207" s="121"/>
      <c r="H5207" s="93"/>
      <c r="I5207" s="85"/>
      <c r="J5207" s="122"/>
      <c r="K5207" s="131"/>
      <c r="L5207" s="69"/>
      <c r="N5207" s="37"/>
      <c r="O5207" s="37"/>
      <c r="P5207" s="37"/>
      <c r="Q5207" s="3"/>
      <c r="R5207" s="3"/>
      <c r="S5207" s="3"/>
      <c r="T5207" s="3"/>
      <c r="U5207" s="3"/>
      <c r="V5207" s="3"/>
      <c r="W5207" s="3"/>
      <c r="X5207" s="3"/>
      <c r="Y5207" s="3"/>
      <c r="Z5207" s="4"/>
      <c r="AA5207"/>
      <c r="AB5207"/>
    </row>
    <row r="5208" spans="1:28" s="49" customFormat="1" x14ac:dyDescent="0.15">
      <c r="A5208" s="70"/>
      <c r="B5208" s="118"/>
      <c r="C5208" s="121"/>
      <c r="D5208" s="121"/>
      <c r="E5208" s="121"/>
      <c r="F5208" s="121"/>
      <c r="G5208" s="121"/>
      <c r="H5208" s="93"/>
      <c r="I5208" s="85"/>
      <c r="J5208" s="122"/>
      <c r="K5208" s="131"/>
      <c r="L5208" s="69"/>
      <c r="N5208" s="37"/>
      <c r="O5208" s="37"/>
      <c r="P5208" s="37"/>
      <c r="Q5208" s="3"/>
      <c r="R5208" s="3"/>
      <c r="S5208" s="3"/>
      <c r="T5208" s="3"/>
      <c r="U5208" s="3"/>
      <c r="V5208" s="3"/>
      <c r="W5208" s="3"/>
      <c r="X5208" s="3"/>
      <c r="Y5208" s="3"/>
      <c r="Z5208" s="4"/>
      <c r="AA5208"/>
      <c r="AB5208"/>
    </row>
    <row r="5209" spans="1:28" s="49" customFormat="1" x14ac:dyDescent="0.15">
      <c r="A5209" s="70"/>
      <c r="B5209" s="118"/>
      <c r="C5209" s="121"/>
      <c r="D5209" s="121"/>
      <c r="E5209" s="121"/>
      <c r="F5209" s="121"/>
      <c r="G5209" s="121"/>
      <c r="H5209" s="93"/>
      <c r="I5209" s="85"/>
      <c r="J5209" s="122"/>
      <c r="K5209" s="131"/>
      <c r="L5209" s="69"/>
      <c r="N5209" s="37"/>
      <c r="O5209" s="37"/>
      <c r="P5209" s="37"/>
      <c r="Q5209" s="3"/>
      <c r="R5209" s="3"/>
      <c r="S5209" s="3"/>
      <c r="T5209" s="3"/>
      <c r="U5209" s="3"/>
      <c r="V5209" s="3"/>
      <c r="W5209" s="3"/>
      <c r="X5209" s="3"/>
      <c r="Y5209" s="3"/>
      <c r="Z5209" s="4"/>
      <c r="AA5209"/>
      <c r="AB5209"/>
    </row>
    <row r="5210" spans="1:28" s="49" customFormat="1" x14ac:dyDescent="0.15">
      <c r="A5210" s="70"/>
      <c r="B5210" s="118"/>
      <c r="C5210" s="121"/>
      <c r="D5210" s="121"/>
      <c r="E5210" s="121"/>
      <c r="F5210" s="121"/>
      <c r="G5210" s="121"/>
      <c r="H5210" s="93"/>
      <c r="I5210" s="85"/>
      <c r="J5210" s="122"/>
      <c r="K5210" s="131"/>
      <c r="L5210" s="69"/>
      <c r="N5210" s="37"/>
      <c r="O5210" s="37"/>
      <c r="P5210" s="37"/>
      <c r="Q5210" s="3"/>
      <c r="R5210" s="3"/>
      <c r="S5210" s="3"/>
      <c r="T5210" s="3"/>
      <c r="U5210" s="3"/>
      <c r="V5210" s="3"/>
      <c r="W5210" s="3"/>
      <c r="X5210" s="3"/>
      <c r="Y5210" s="3"/>
      <c r="Z5210" s="4"/>
      <c r="AA5210"/>
      <c r="AB5210"/>
    </row>
    <row r="5211" spans="1:28" s="49" customFormat="1" x14ac:dyDescent="0.15">
      <c r="A5211" s="70"/>
      <c r="B5211" s="118"/>
      <c r="C5211" s="121"/>
      <c r="D5211" s="121"/>
      <c r="E5211" s="121"/>
      <c r="F5211" s="121"/>
      <c r="G5211" s="121"/>
      <c r="H5211" s="93"/>
      <c r="I5211" s="85"/>
      <c r="J5211" s="122"/>
      <c r="K5211" s="131"/>
      <c r="L5211" s="69"/>
      <c r="N5211" s="37"/>
      <c r="O5211" s="37"/>
      <c r="P5211" s="37"/>
      <c r="Q5211" s="3"/>
      <c r="R5211" s="3"/>
      <c r="S5211" s="3"/>
      <c r="T5211" s="3"/>
      <c r="U5211" s="3"/>
      <c r="V5211" s="3"/>
      <c r="W5211" s="3"/>
      <c r="X5211" s="3"/>
      <c r="Y5211" s="3"/>
      <c r="Z5211" s="4"/>
      <c r="AA5211"/>
      <c r="AB5211"/>
    </row>
    <row r="5212" spans="1:28" s="49" customFormat="1" x14ac:dyDescent="0.15">
      <c r="A5212" s="70"/>
      <c r="B5212" s="118"/>
      <c r="C5212" s="121"/>
      <c r="D5212" s="121"/>
      <c r="E5212" s="121"/>
      <c r="F5212" s="121"/>
      <c r="G5212" s="121"/>
      <c r="H5212" s="93"/>
      <c r="I5212" s="85"/>
      <c r="J5212" s="122"/>
      <c r="K5212" s="131"/>
      <c r="L5212" s="60"/>
      <c r="N5212" s="37"/>
      <c r="O5212" s="37"/>
      <c r="P5212" s="37"/>
      <c r="Q5212" s="3"/>
      <c r="R5212" s="3"/>
      <c r="S5212" s="3"/>
      <c r="T5212" s="3"/>
      <c r="U5212" s="3"/>
      <c r="V5212" s="3"/>
      <c r="W5212" s="3"/>
      <c r="X5212" s="3"/>
      <c r="Y5212" s="3"/>
      <c r="Z5212" s="4"/>
      <c r="AA5212"/>
      <c r="AB5212"/>
    </row>
    <row r="5213" spans="1:28" s="49" customFormat="1" x14ac:dyDescent="0.15">
      <c r="A5213" s="70"/>
      <c r="B5213" s="118"/>
      <c r="C5213" s="121"/>
      <c r="D5213" s="121"/>
      <c r="E5213" s="121"/>
      <c r="F5213" s="121"/>
      <c r="G5213" s="121"/>
      <c r="H5213" s="93"/>
      <c r="I5213" s="85"/>
      <c r="J5213" s="122"/>
      <c r="K5213" s="131"/>
      <c r="L5213" s="60"/>
      <c r="N5213" s="37"/>
      <c r="O5213" s="37"/>
      <c r="P5213" s="37"/>
      <c r="Q5213" s="3"/>
      <c r="R5213" s="3"/>
      <c r="S5213" s="3"/>
      <c r="T5213" s="3"/>
      <c r="U5213" s="3"/>
      <c r="V5213" s="3"/>
      <c r="W5213" s="3"/>
      <c r="X5213" s="3"/>
      <c r="Y5213" s="3"/>
      <c r="Z5213" s="4"/>
      <c r="AA5213"/>
      <c r="AB5213"/>
    </row>
    <row r="5214" spans="1:28" s="49" customFormat="1" x14ac:dyDescent="0.15">
      <c r="A5214" s="70"/>
      <c r="B5214" s="118"/>
      <c r="C5214" s="121"/>
      <c r="D5214" s="121"/>
      <c r="E5214" s="121"/>
      <c r="F5214" s="121"/>
      <c r="G5214" s="121"/>
      <c r="H5214" s="93"/>
      <c r="I5214" s="85"/>
      <c r="J5214" s="122"/>
      <c r="K5214" s="131"/>
      <c r="L5214" s="69"/>
      <c r="N5214" s="37"/>
      <c r="O5214" s="37"/>
      <c r="P5214" s="37"/>
      <c r="Q5214" s="3"/>
      <c r="R5214" s="3"/>
      <c r="S5214" s="3"/>
      <c r="T5214" s="3"/>
      <c r="U5214" s="3"/>
      <c r="V5214" s="3"/>
      <c r="W5214" s="3"/>
      <c r="X5214" s="3"/>
      <c r="Y5214" s="3"/>
      <c r="Z5214" s="4"/>
      <c r="AA5214"/>
      <c r="AB5214"/>
    </row>
    <row r="5215" spans="1:28" s="49" customFormat="1" x14ac:dyDescent="0.15">
      <c r="A5215" s="70"/>
      <c r="B5215" s="118"/>
      <c r="C5215" s="121"/>
      <c r="D5215" s="121"/>
      <c r="E5215" s="121"/>
      <c r="F5215" s="121"/>
      <c r="G5215" s="121"/>
      <c r="H5215" s="93"/>
      <c r="I5215" s="85"/>
      <c r="J5215" s="122"/>
      <c r="K5215" s="131"/>
      <c r="L5215" s="60"/>
      <c r="N5215" s="37"/>
      <c r="O5215" s="37"/>
      <c r="P5215" s="37"/>
      <c r="Q5215" s="3"/>
      <c r="R5215" s="3"/>
      <c r="S5215" s="3"/>
      <c r="T5215" s="3"/>
      <c r="U5215" s="3"/>
      <c r="V5215" s="3"/>
      <c r="W5215" s="3"/>
      <c r="X5215" s="3"/>
      <c r="Y5215" s="3"/>
      <c r="Z5215" s="4"/>
      <c r="AA5215"/>
      <c r="AB5215"/>
    </row>
    <row r="5216" spans="1:28" s="49" customFormat="1" x14ac:dyDescent="0.15">
      <c r="A5216" s="70"/>
      <c r="B5216" s="118"/>
      <c r="C5216" s="121"/>
      <c r="D5216" s="121"/>
      <c r="E5216" s="121"/>
      <c r="F5216" s="121"/>
      <c r="G5216" s="121"/>
      <c r="H5216" s="93"/>
      <c r="I5216" s="85"/>
      <c r="J5216" s="122"/>
      <c r="K5216" s="131"/>
      <c r="L5216" s="69"/>
      <c r="N5216" s="37"/>
      <c r="O5216" s="37"/>
      <c r="P5216" s="37"/>
      <c r="Q5216" s="3"/>
      <c r="R5216" s="3"/>
      <c r="S5216" s="3"/>
      <c r="T5216" s="3"/>
      <c r="U5216" s="3"/>
      <c r="V5216" s="3"/>
      <c r="W5216" s="3"/>
      <c r="X5216" s="3"/>
      <c r="Y5216" s="3"/>
      <c r="Z5216" s="4"/>
      <c r="AA5216"/>
      <c r="AB5216"/>
    </row>
    <row r="5217" spans="1:28" s="49" customFormat="1" x14ac:dyDescent="0.15">
      <c r="A5217" s="70"/>
      <c r="B5217" s="118"/>
      <c r="C5217" s="121"/>
      <c r="D5217" s="121"/>
      <c r="E5217" s="121"/>
      <c r="F5217" s="121"/>
      <c r="G5217" s="121"/>
      <c r="H5217" s="93"/>
      <c r="I5217" s="85"/>
      <c r="J5217" s="122"/>
      <c r="K5217" s="131"/>
      <c r="L5217" s="69"/>
      <c r="N5217" s="37"/>
      <c r="O5217" s="37"/>
      <c r="P5217" s="37"/>
      <c r="Q5217" s="3"/>
      <c r="R5217" s="3"/>
      <c r="S5217" s="3"/>
      <c r="T5217" s="3"/>
      <c r="U5217" s="3"/>
      <c r="V5217" s="3"/>
      <c r="W5217" s="3"/>
      <c r="X5217" s="3"/>
      <c r="Y5217" s="3"/>
      <c r="Z5217" s="4"/>
      <c r="AA5217"/>
      <c r="AB5217"/>
    </row>
    <row r="5218" spans="1:28" s="49" customFormat="1" x14ac:dyDescent="0.15">
      <c r="A5218" s="73"/>
      <c r="B5218" s="118"/>
      <c r="C5218" s="121"/>
      <c r="D5218" s="121"/>
      <c r="E5218" s="121"/>
      <c r="F5218" s="121"/>
      <c r="G5218" s="121"/>
      <c r="H5218" s="93"/>
      <c r="I5218" s="85"/>
      <c r="J5218" s="122"/>
      <c r="K5218" s="131"/>
      <c r="L5218" s="69"/>
      <c r="N5218" s="37"/>
      <c r="O5218" s="37"/>
      <c r="P5218" s="37"/>
      <c r="Q5218" s="3"/>
      <c r="R5218" s="3"/>
      <c r="S5218" s="3"/>
      <c r="T5218" s="3"/>
      <c r="U5218" s="3"/>
      <c r="V5218" s="3"/>
      <c r="W5218" s="3"/>
      <c r="X5218" s="3"/>
      <c r="Y5218" s="3"/>
      <c r="Z5218" s="4"/>
      <c r="AA5218"/>
      <c r="AB5218"/>
    </row>
    <row r="5219" spans="1:28" s="49" customFormat="1" x14ac:dyDescent="0.15">
      <c r="A5219" s="70"/>
      <c r="B5219" s="118"/>
      <c r="C5219" s="121"/>
      <c r="D5219" s="121"/>
      <c r="E5219" s="121"/>
      <c r="F5219" s="121"/>
      <c r="G5219" s="121"/>
      <c r="H5219" s="93"/>
      <c r="I5219" s="85"/>
      <c r="J5219" s="122"/>
      <c r="K5219" s="131"/>
      <c r="L5219" s="69"/>
      <c r="N5219" s="37"/>
      <c r="O5219" s="37"/>
      <c r="P5219" s="37"/>
      <c r="Q5219" s="3"/>
      <c r="R5219" s="3"/>
      <c r="S5219" s="3"/>
      <c r="T5219" s="3"/>
      <c r="U5219" s="3"/>
      <c r="V5219" s="3"/>
      <c r="W5219" s="3"/>
      <c r="X5219" s="3"/>
      <c r="Y5219" s="3"/>
      <c r="Z5219" s="4"/>
      <c r="AA5219"/>
      <c r="AB5219"/>
    </row>
    <row r="5220" spans="1:28" s="49" customFormat="1" x14ac:dyDescent="0.15">
      <c r="A5220" s="70"/>
      <c r="B5220" s="118"/>
      <c r="C5220" s="121"/>
      <c r="D5220" s="121"/>
      <c r="E5220" s="121"/>
      <c r="F5220" s="121"/>
      <c r="G5220" s="121"/>
      <c r="H5220" s="93"/>
      <c r="I5220" s="85"/>
      <c r="J5220" s="122"/>
      <c r="K5220" s="131"/>
      <c r="L5220" s="69"/>
      <c r="N5220" s="37"/>
      <c r="O5220" s="37"/>
      <c r="P5220" s="37"/>
      <c r="Q5220" s="3"/>
      <c r="R5220" s="3"/>
      <c r="S5220" s="3"/>
      <c r="T5220" s="3"/>
      <c r="U5220" s="3"/>
      <c r="V5220" s="3"/>
      <c r="W5220" s="3"/>
      <c r="X5220" s="3"/>
      <c r="Y5220" s="3"/>
      <c r="Z5220" s="4"/>
      <c r="AA5220"/>
      <c r="AB5220"/>
    </row>
    <row r="5221" spans="1:28" s="49" customFormat="1" x14ac:dyDescent="0.15">
      <c r="A5221" s="70"/>
      <c r="B5221" s="118"/>
      <c r="C5221" s="121"/>
      <c r="D5221" s="121"/>
      <c r="E5221" s="121"/>
      <c r="F5221" s="121"/>
      <c r="G5221" s="121"/>
      <c r="H5221" s="93"/>
      <c r="I5221" s="85"/>
      <c r="J5221" s="122"/>
      <c r="K5221" s="131"/>
      <c r="L5221" s="69"/>
      <c r="N5221" s="37"/>
      <c r="O5221" s="37"/>
      <c r="P5221" s="37"/>
      <c r="Q5221" s="3"/>
      <c r="R5221" s="3"/>
      <c r="S5221" s="3"/>
      <c r="T5221" s="3"/>
      <c r="U5221" s="3"/>
      <c r="V5221" s="3"/>
      <c r="W5221" s="3"/>
      <c r="X5221" s="3"/>
      <c r="Y5221" s="3"/>
      <c r="Z5221" s="4"/>
      <c r="AA5221"/>
      <c r="AB5221"/>
    </row>
    <row r="5222" spans="1:28" s="49" customFormat="1" x14ac:dyDescent="0.15">
      <c r="A5222" s="70"/>
      <c r="B5222" s="118"/>
      <c r="C5222" s="121"/>
      <c r="D5222" s="121"/>
      <c r="E5222" s="121"/>
      <c r="F5222" s="121"/>
      <c r="G5222" s="121"/>
      <c r="H5222" s="93"/>
      <c r="I5222" s="85"/>
      <c r="J5222" s="122"/>
      <c r="K5222" s="131"/>
      <c r="L5222" s="69"/>
      <c r="N5222" s="37"/>
      <c r="O5222" s="37"/>
      <c r="P5222" s="37"/>
      <c r="Q5222" s="3"/>
      <c r="R5222" s="3"/>
      <c r="S5222" s="3"/>
      <c r="T5222" s="3"/>
      <c r="U5222" s="3"/>
      <c r="V5222" s="3"/>
      <c r="W5222" s="3"/>
      <c r="X5222" s="3"/>
      <c r="Y5222" s="3"/>
      <c r="Z5222" s="4"/>
      <c r="AA5222"/>
      <c r="AB5222"/>
    </row>
    <row r="5223" spans="1:28" s="49" customFormat="1" x14ac:dyDescent="0.15">
      <c r="A5223" s="70"/>
      <c r="B5223" s="118"/>
      <c r="C5223" s="121"/>
      <c r="D5223" s="121"/>
      <c r="E5223" s="121"/>
      <c r="F5223" s="121"/>
      <c r="G5223" s="121"/>
      <c r="H5223" s="93"/>
      <c r="I5223" s="85"/>
      <c r="J5223" s="122"/>
      <c r="K5223" s="131"/>
      <c r="L5223" s="69"/>
      <c r="N5223" s="37"/>
      <c r="O5223" s="37"/>
      <c r="P5223" s="37"/>
      <c r="Q5223" s="3"/>
      <c r="R5223" s="3"/>
      <c r="S5223" s="3"/>
      <c r="T5223" s="3"/>
      <c r="U5223" s="3"/>
      <c r="V5223" s="3"/>
      <c r="W5223" s="3"/>
      <c r="X5223" s="3"/>
      <c r="Y5223" s="3"/>
      <c r="Z5223" s="4"/>
      <c r="AA5223"/>
      <c r="AB5223"/>
    </row>
    <row r="5224" spans="1:28" s="49" customFormat="1" x14ac:dyDescent="0.15">
      <c r="A5224" s="70"/>
      <c r="B5224" s="118"/>
      <c r="C5224" s="121"/>
      <c r="D5224" s="121"/>
      <c r="E5224" s="121"/>
      <c r="F5224" s="121"/>
      <c r="G5224" s="121"/>
      <c r="H5224" s="93"/>
      <c r="I5224" s="85"/>
      <c r="J5224" s="122"/>
      <c r="K5224" s="134"/>
      <c r="L5224" s="69"/>
      <c r="N5224" s="37"/>
      <c r="O5224" s="37"/>
      <c r="P5224" s="37"/>
      <c r="Q5224" s="3"/>
      <c r="R5224" s="3"/>
      <c r="S5224" s="3"/>
      <c r="T5224" s="3"/>
      <c r="U5224" s="3"/>
      <c r="V5224" s="3"/>
      <c r="W5224" s="3"/>
      <c r="X5224" s="3"/>
      <c r="Y5224" s="3"/>
      <c r="Z5224" s="4"/>
      <c r="AA5224"/>
      <c r="AB5224"/>
    </row>
    <row r="5225" spans="1:28" s="49" customFormat="1" x14ac:dyDescent="0.15">
      <c r="A5225" s="70"/>
      <c r="B5225" s="118"/>
      <c r="C5225" s="121"/>
      <c r="D5225" s="121"/>
      <c r="E5225" s="121"/>
      <c r="F5225" s="121"/>
      <c r="G5225" s="121"/>
      <c r="H5225" s="93"/>
      <c r="I5225" s="85"/>
      <c r="J5225" s="122"/>
      <c r="K5225" s="131"/>
      <c r="L5225" s="69"/>
      <c r="N5225" s="37"/>
      <c r="O5225" s="37"/>
      <c r="P5225" s="37"/>
      <c r="Q5225" s="3"/>
      <c r="R5225" s="3"/>
      <c r="S5225" s="3"/>
      <c r="T5225" s="3"/>
      <c r="U5225" s="3"/>
      <c r="V5225" s="3"/>
      <c r="W5225" s="3"/>
      <c r="X5225" s="3"/>
      <c r="Y5225" s="3"/>
      <c r="Z5225" s="4"/>
      <c r="AA5225"/>
      <c r="AB5225"/>
    </row>
    <row r="5226" spans="1:28" s="49" customFormat="1" x14ac:dyDescent="0.15">
      <c r="A5226" s="73"/>
      <c r="B5226" s="118"/>
      <c r="C5226" s="121"/>
      <c r="D5226" s="121"/>
      <c r="E5226" s="121"/>
      <c r="F5226" s="121"/>
      <c r="G5226" s="121"/>
      <c r="H5226" s="93"/>
      <c r="I5226" s="85"/>
      <c r="J5226" s="122"/>
      <c r="K5226" s="131"/>
      <c r="L5226" s="69"/>
      <c r="N5226" s="37"/>
      <c r="O5226" s="37"/>
      <c r="P5226" s="37"/>
      <c r="Q5226" s="3"/>
      <c r="R5226" s="3"/>
      <c r="S5226" s="3"/>
      <c r="T5226" s="3"/>
      <c r="U5226" s="3"/>
      <c r="V5226" s="3"/>
      <c r="W5226" s="3"/>
      <c r="X5226" s="3"/>
      <c r="Y5226" s="3"/>
      <c r="Z5226" s="4"/>
      <c r="AA5226"/>
      <c r="AB5226"/>
    </row>
    <row r="5227" spans="1:28" s="49" customFormat="1" x14ac:dyDescent="0.15">
      <c r="A5227" s="70"/>
      <c r="B5227" s="118"/>
      <c r="C5227" s="121"/>
      <c r="D5227" s="121"/>
      <c r="E5227" s="121"/>
      <c r="F5227" s="121"/>
      <c r="G5227" s="121"/>
      <c r="H5227" s="93"/>
      <c r="I5227" s="85"/>
      <c r="J5227" s="122"/>
      <c r="K5227" s="131"/>
      <c r="L5227" s="60"/>
      <c r="N5227" s="37"/>
      <c r="O5227" s="37"/>
      <c r="P5227" s="37"/>
      <c r="Q5227" s="3"/>
      <c r="R5227" s="3"/>
      <c r="S5227" s="3"/>
      <c r="T5227" s="3"/>
      <c r="U5227" s="3"/>
      <c r="V5227" s="3"/>
      <c r="W5227" s="3"/>
      <c r="X5227" s="3"/>
      <c r="Y5227" s="3"/>
      <c r="Z5227" s="4"/>
      <c r="AA5227"/>
      <c r="AB5227"/>
    </row>
    <row r="5228" spans="1:28" s="49" customFormat="1" x14ac:dyDescent="0.15">
      <c r="A5228" s="70"/>
      <c r="B5228" s="118"/>
      <c r="C5228" s="121"/>
      <c r="D5228" s="121"/>
      <c r="E5228" s="121"/>
      <c r="F5228" s="121"/>
      <c r="G5228" s="121"/>
      <c r="H5228" s="93"/>
      <c r="I5228" s="85"/>
      <c r="J5228" s="122"/>
      <c r="K5228" s="131"/>
      <c r="L5228" s="69"/>
      <c r="N5228" s="37"/>
      <c r="O5228" s="37"/>
      <c r="P5228" s="37"/>
      <c r="Q5228" s="3"/>
      <c r="R5228" s="3"/>
      <c r="S5228" s="3"/>
      <c r="T5228" s="3"/>
      <c r="U5228" s="3"/>
      <c r="V5228" s="3"/>
      <c r="W5228" s="3"/>
      <c r="X5228" s="3"/>
      <c r="Y5228" s="3"/>
      <c r="Z5228" s="4"/>
      <c r="AA5228"/>
      <c r="AB5228"/>
    </row>
    <row r="5229" spans="1:28" s="49" customFormat="1" x14ac:dyDescent="0.15">
      <c r="A5229" s="70"/>
      <c r="B5229" s="118"/>
      <c r="C5229" s="121"/>
      <c r="D5229" s="121"/>
      <c r="E5229" s="121"/>
      <c r="F5229" s="121"/>
      <c r="G5229" s="121"/>
      <c r="H5229" s="93"/>
      <c r="I5229" s="85"/>
      <c r="J5229" s="122"/>
      <c r="K5229" s="131"/>
      <c r="L5229" s="60"/>
      <c r="N5229" s="37"/>
      <c r="O5229" s="37"/>
      <c r="P5229" s="37"/>
      <c r="Q5229" s="3"/>
      <c r="R5229" s="3"/>
      <c r="S5229" s="3"/>
      <c r="T5229" s="3"/>
      <c r="U5229" s="3"/>
      <c r="V5229" s="3"/>
      <c r="W5229" s="3"/>
      <c r="X5229" s="3"/>
      <c r="Y5229" s="3"/>
      <c r="Z5229" s="4"/>
      <c r="AA5229"/>
      <c r="AB5229"/>
    </row>
    <row r="5230" spans="1:28" s="37" customFormat="1" x14ac:dyDescent="0.15">
      <c r="A5230" s="70"/>
      <c r="B5230" s="118"/>
      <c r="C5230" s="121"/>
      <c r="D5230" s="121"/>
      <c r="E5230" s="121"/>
      <c r="F5230" s="121"/>
      <c r="G5230" s="121"/>
      <c r="H5230" s="93"/>
      <c r="I5230" s="85"/>
      <c r="J5230" s="122"/>
      <c r="K5230" s="131"/>
      <c r="L5230" s="60"/>
      <c r="M5230" s="49"/>
      <c r="Q5230" s="3"/>
      <c r="R5230" s="3"/>
      <c r="S5230" s="3"/>
      <c r="T5230" s="3"/>
      <c r="U5230" s="3"/>
      <c r="V5230" s="3"/>
      <c r="W5230" s="3"/>
      <c r="X5230" s="3"/>
      <c r="Y5230" s="3"/>
      <c r="Z5230" s="4"/>
      <c r="AA5230"/>
      <c r="AB5230"/>
    </row>
    <row r="5231" spans="1:28" s="37" customFormat="1" x14ac:dyDescent="0.15">
      <c r="A5231" s="70"/>
      <c r="B5231" s="118"/>
      <c r="C5231" s="121"/>
      <c r="D5231" s="121"/>
      <c r="E5231" s="121"/>
      <c r="F5231" s="121"/>
      <c r="G5231" s="121"/>
      <c r="H5231" s="93"/>
      <c r="I5231" s="85"/>
      <c r="J5231" s="122"/>
      <c r="K5231" s="131"/>
      <c r="L5231" s="72"/>
      <c r="M5231" s="49"/>
      <c r="Q5231" s="3"/>
      <c r="R5231" s="3"/>
      <c r="S5231" s="3"/>
      <c r="T5231" s="3"/>
      <c r="U5231" s="3"/>
      <c r="V5231" s="3"/>
      <c r="W5231" s="3"/>
      <c r="X5231" s="3"/>
      <c r="Y5231" s="3"/>
      <c r="Z5231" s="4"/>
      <c r="AA5231"/>
      <c r="AB5231"/>
    </row>
    <row r="5232" spans="1:28" s="37" customFormat="1" x14ac:dyDescent="0.15">
      <c r="A5232" s="70"/>
      <c r="B5232" s="118"/>
      <c r="C5232" s="121"/>
      <c r="D5232" s="121"/>
      <c r="E5232" s="121"/>
      <c r="F5232" s="121"/>
      <c r="G5232" s="121"/>
      <c r="H5232" s="93"/>
      <c r="I5232" s="85"/>
      <c r="J5232" s="122"/>
      <c r="K5232" s="131"/>
      <c r="L5232" s="72"/>
      <c r="M5232" s="49"/>
      <c r="Q5232" s="3"/>
      <c r="R5232" s="3"/>
      <c r="S5232" s="3"/>
      <c r="T5232" s="3"/>
      <c r="U5232" s="3"/>
      <c r="V5232" s="3"/>
      <c r="W5232" s="3"/>
      <c r="X5232" s="3"/>
      <c r="Y5232" s="3"/>
      <c r="Z5232" s="4"/>
      <c r="AA5232"/>
      <c r="AB5232"/>
    </row>
    <row r="5233" spans="1:28" s="37" customFormat="1" x14ac:dyDescent="0.15">
      <c r="A5233" s="70"/>
      <c r="B5233" s="118"/>
      <c r="C5233" s="121"/>
      <c r="D5233" s="121"/>
      <c r="E5233" s="121"/>
      <c r="F5233" s="121"/>
      <c r="G5233" s="121"/>
      <c r="H5233" s="93"/>
      <c r="I5233" s="85"/>
      <c r="J5233" s="122"/>
      <c r="K5233" s="131"/>
      <c r="L5233" s="69"/>
      <c r="M5233" s="49"/>
      <c r="Q5233" s="3"/>
      <c r="R5233" s="3"/>
      <c r="S5233" s="3"/>
      <c r="T5233" s="3"/>
      <c r="U5233" s="3"/>
      <c r="V5233" s="3"/>
      <c r="W5233" s="3"/>
      <c r="X5233" s="3"/>
      <c r="Y5233" s="3"/>
      <c r="Z5233" s="4"/>
      <c r="AA5233"/>
      <c r="AB5233"/>
    </row>
    <row r="5234" spans="1:28" s="37" customFormat="1" x14ac:dyDescent="0.15">
      <c r="A5234" s="73"/>
      <c r="B5234" s="118"/>
      <c r="C5234" s="121"/>
      <c r="D5234" s="121"/>
      <c r="E5234" s="121"/>
      <c r="F5234" s="121"/>
      <c r="G5234" s="121"/>
      <c r="H5234" s="93"/>
      <c r="I5234" s="85"/>
      <c r="J5234" s="122"/>
      <c r="K5234" s="131"/>
      <c r="L5234" s="60"/>
      <c r="M5234" s="49"/>
      <c r="Q5234" s="3"/>
      <c r="R5234" s="3"/>
      <c r="S5234" s="3"/>
      <c r="T5234" s="3"/>
      <c r="U5234" s="3"/>
      <c r="V5234" s="3"/>
      <c r="W5234" s="3"/>
      <c r="X5234" s="3"/>
      <c r="Y5234" s="3"/>
      <c r="Z5234" s="4"/>
      <c r="AA5234"/>
      <c r="AB5234"/>
    </row>
    <row r="5235" spans="1:28" s="37" customFormat="1" x14ac:dyDescent="0.15">
      <c r="A5235" s="70"/>
      <c r="B5235" s="118"/>
      <c r="C5235" s="121"/>
      <c r="D5235" s="121"/>
      <c r="E5235" s="121"/>
      <c r="F5235" s="121"/>
      <c r="G5235" s="121"/>
      <c r="H5235" s="93"/>
      <c r="I5235" s="85"/>
      <c r="J5235" s="122"/>
      <c r="K5235" s="131"/>
      <c r="L5235" s="72"/>
      <c r="M5235" s="49"/>
      <c r="Q5235" s="3"/>
      <c r="R5235" s="3"/>
      <c r="S5235" s="3"/>
      <c r="T5235" s="3"/>
      <c r="U5235" s="3"/>
      <c r="V5235" s="3"/>
      <c r="W5235" s="3"/>
      <c r="X5235" s="3"/>
      <c r="Y5235" s="3"/>
      <c r="Z5235" s="4"/>
      <c r="AA5235"/>
      <c r="AB5235"/>
    </row>
    <row r="5236" spans="1:28" s="37" customFormat="1" x14ac:dyDescent="0.15">
      <c r="A5236" s="70"/>
      <c r="B5236" s="118"/>
      <c r="C5236" s="121"/>
      <c r="D5236" s="121"/>
      <c r="E5236" s="121"/>
      <c r="F5236" s="121"/>
      <c r="G5236" s="121"/>
      <c r="H5236" s="93"/>
      <c r="I5236" s="85"/>
      <c r="J5236" s="122"/>
      <c r="K5236" s="131"/>
      <c r="L5236" s="60"/>
      <c r="M5236" s="49"/>
      <c r="Q5236" s="3"/>
      <c r="R5236" s="3"/>
      <c r="S5236" s="3"/>
      <c r="T5236" s="3"/>
      <c r="U5236" s="3"/>
      <c r="V5236" s="3"/>
      <c r="W5236" s="3"/>
      <c r="X5236" s="3"/>
      <c r="Y5236" s="3"/>
      <c r="Z5236" s="4"/>
      <c r="AA5236"/>
      <c r="AB5236"/>
    </row>
    <row r="5237" spans="1:28" s="37" customFormat="1" x14ac:dyDescent="0.15">
      <c r="A5237" s="70"/>
      <c r="B5237" s="118"/>
      <c r="C5237" s="121"/>
      <c r="D5237" s="121"/>
      <c r="E5237" s="121"/>
      <c r="F5237" s="121"/>
      <c r="G5237" s="121"/>
      <c r="H5237" s="93"/>
      <c r="I5237" s="85"/>
      <c r="J5237" s="122"/>
      <c r="K5237" s="131"/>
      <c r="L5237" s="69"/>
      <c r="M5237" s="49"/>
      <c r="Q5237" s="3"/>
      <c r="R5237" s="3"/>
      <c r="S5237" s="3"/>
      <c r="T5237" s="3"/>
      <c r="U5237" s="3"/>
      <c r="V5237" s="3"/>
      <c r="W5237" s="3"/>
      <c r="X5237" s="3"/>
      <c r="Y5237" s="3"/>
      <c r="Z5237" s="4"/>
      <c r="AA5237"/>
      <c r="AB5237"/>
    </row>
    <row r="5238" spans="1:28" s="37" customFormat="1" x14ac:dyDescent="0.15">
      <c r="A5238" s="70"/>
      <c r="B5238" s="118"/>
      <c r="C5238" s="121"/>
      <c r="D5238" s="121"/>
      <c r="E5238" s="121"/>
      <c r="F5238" s="121"/>
      <c r="G5238" s="121"/>
      <c r="H5238" s="93"/>
      <c r="I5238" s="85"/>
      <c r="J5238" s="122"/>
      <c r="K5238" s="131"/>
      <c r="L5238" s="60"/>
      <c r="M5238" s="49"/>
      <c r="Q5238" s="3"/>
      <c r="R5238" s="3"/>
      <c r="S5238" s="3"/>
      <c r="T5238" s="3"/>
      <c r="U5238" s="3"/>
      <c r="V5238" s="3"/>
      <c r="W5238" s="3"/>
      <c r="X5238" s="3"/>
      <c r="Y5238" s="3"/>
      <c r="Z5238" s="4"/>
      <c r="AA5238"/>
      <c r="AB5238"/>
    </row>
    <row r="5239" spans="1:28" s="37" customFormat="1" x14ac:dyDescent="0.15">
      <c r="A5239" s="73"/>
      <c r="B5239" s="118"/>
      <c r="C5239" s="121"/>
      <c r="D5239" s="121"/>
      <c r="E5239" s="121"/>
      <c r="F5239" s="121"/>
      <c r="G5239" s="121"/>
      <c r="H5239" s="108"/>
      <c r="I5239" s="85"/>
      <c r="J5239" s="122"/>
      <c r="K5239" s="131"/>
      <c r="L5239" s="69"/>
      <c r="M5239" s="49"/>
      <c r="Q5239" s="3"/>
      <c r="R5239" s="3"/>
      <c r="S5239" s="3"/>
      <c r="T5239" s="3"/>
      <c r="U5239" s="3"/>
      <c r="V5239" s="3"/>
      <c r="W5239" s="3"/>
      <c r="X5239" s="3"/>
      <c r="Y5239" s="3"/>
      <c r="Z5239" s="4"/>
      <c r="AA5239"/>
      <c r="AB5239"/>
    </row>
    <row r="5240" spans="1:28" s="37" customFormat="1" x14ac:dyDescent="0.15">
      <c r="A5240" s="70"/>
      <c r="B5240" s="118"/>
      <c r="C5240" s="121"/>
      <c r="D5240" s="121"/>
      <c r="E5240" s="121"/>
      <c r="F5240" s="121"/>
      <c r="G5240" s="121"/>
      <c r="H5240" s="93"/>
      <c r="I5240" s="85"/>
      <c r="J5240" s="122"/>
      <c r="K5240" s="131"/>
      <c r="L5240" s="69"/>
      <c r="M5240" s="49"/>
      <c r="Q5240" s="3"/>
      <c r="R5240" s="3"/>
      <c r="S5240" s="3"/>
      <c r="T5240" s="3"/>
      <c r="U5240" s="3"/>
      <c r="V5240" s="3"/>
      <c r="W5240" s="3"/>
      <c r="X5240" s="3"/>
      <c r="Y5240" s="3"/>
      <c r="Z5240" s="4"/>
      <c r="AA5240"/>
      <c r="AB5240"/>
    </row>
    <row r="5241" spans="1:28" s="37" customFormat="1" x14ac:dyDescent="0.15">
      <c r="A5241" s="70"/>
      <c r="B5241" s="118"/>
      <c r="C5241" s="121"/>
      <c r="D5241" s="121"/>
      <c r="E5241" s="121"/>
      <c r="F5241" s="121"/>
      <c r="G5241" s="121"/>
      <c r="H5241" s="93"/>
      <c r="I5241" s="85"/>
      <c r="J5241" s="122"/>
      <c r="K5241" s="131"/>
      <c r="L5241" s="60"/>
      <c r="M5241" s="49"/>
      <c r="Q5241" s="3"/>
      <c r="R5241" s="3"/>
      <c r="S5241" s="3"/>
      <c r="T5241" s="3"/>
      <c r="U5241" s="3"/>
      <c r="V5241" s="3"/>
      <c r="W5241" s="3"/>
      <c r="X5241" s="3"/>
      <c r="Y5241" s="3"/>
      <c r="Z5241" s="4"/>
      <c r="AA5241"/>
      <c r="AB5241"/>
    </row>
    <row r="5242" spans="1:28" s="37" customFormat="1" x14ac:dyDescent="0.15">
      <c r="A5242" s="70"/>
      <c r="B5242" s="118"/>
      <c r="C5242" s="121"/>
      <c r="D5242" s="121"/>
      <c r="E5242" s="121"/>
      <c r="F5242" s="121"/>
      <c r="G5242" s="121"/>
      <c r="H5242" s="93"/>
      <c r="I5242" s="85"/>
      <c r="J5242" s="122"/>
      <c r="K5242" s="131"/>
      <c r="L5242" s="60"/>
      <c r="M5242" s="49"/>
      <c r="Q5242" s="3"/>
      <c r="R5242" s="3"/>
      <c r="S5242" s="3"/>
      <c r="T5242" s="3"/>
      <c r="U5242" s="3"/>
      <c r="V5242" s="3"/>
      <c r="W5242" s="3"/>
      <c r="X5242" s="3"/>
      <c r="Y5242" s="3"/>
      <c r="Z5242" s="4"/>
      <c r="AA5242"/>
      <c r="AB5242"/>
    </row>
    <row r="5243" spans="1:28" s="37" customFormat="1" x14ac:dyDescent="0.15">
      <c r="A5243" s="70"/>
      <c r="B5243" s="118"/>
      <c r="C5243" s="121"/>
      <c r="D5243" s="121"/>
      <c r="E5243" s="121"/>
      <c r="F5243" s="121"/>
      <c r="G5243" s="121"/>
      <c r="H5243" s="93"/>
      <c r="I5243" s="85"/>
      <c r="J5243" s="122"/>
      <c r="K5243" s="131"/>
      <c r="L5243" s="60"/>
      <c r="M5243" s="50"/>
      <c r="Q5243" s="3"/>
      <c r="R5243" s="3"/>
      <c r="S5243" s="3"/>
      <c r="T5243" s="3"/>
      <c r="U5243" s="3"/>
      <c r="V5243" s="3"/>
      <c r="W5243" s="3"/>
      <c r="X5243" s="3"/>
      <c r="Y5243" s="3"/>
      <c r="Z5243" s="4"/>
      <c r="AA5243"/>
      <c r="AB5243"/>
    </row>
    <row r="5244" spans="1:28" s="37" customFormat="1" x14ac:dyDescent="0.15">
      <c r="A5244" s="70"/>
      <c r="B5244" s="118"/>
      <c r="C5244" s="121"/>
      <c r="D5244" s="121"/>
      <c r="E5244" s="121"/>
      <c r="F5244" s="121"/>
      <c r="G5244" s="121"/>
      <c r="H5244" s="93"/>
      <c r="I5244" s="85"/>
      <c r="J5244" s="122"/>
      <c r="K5244" s="131"/>
      <c r="L5244" s="60"/>
      <c r="M5244" s="49"/>
      <c r="Q5244" s="3"/>
      <c r="R5244" s="3"/>
      <c r="S5244" s="3"/>
      <c r="T5244" s="3"/>
      <c r="U5244" s="3"/>
      <c r="V5244" s="3"/>
      <c r="W5244" s="3"/>
      <c r="X5244" s="3"/>
      <c r="Y5244" s="3"/>
      <c r="Z5244" s="4"/>
      <c r="AA5244"/>
      <c r="AB5244"/>
    </row>
    <row r="5245" spans="1:28" s="37" customFormat="1" x14ac:dyDescent="0.15">
      <c r="A5245" s="70"/>
      <c r="B5245" s="118"/>
      <c r="C5245" s="121"/>
      <c r="D5245" s="121"/>
      <c r="E5245" s="121"/>
      <c r="F5245" s="121"/>
      <c r="G5245" s="121"/>
      <c r="H5245" s="93"/>
      <c r="I5245" s="85"/>
      <c r="J5245" s="122"/>
      <c r="K5245" s="131"/>
      <c r="L5245" s="69"/>
      <c r="M5245" s="49"/>
      <c r="Q5245" s="3"/>
      <c r="R5245" s="3"/>
      <c r="S5245" s="3"/>
      <c r="T5245" s="3"/>
      <c r="U5245" s="3"/>
      <c r="V5245" s="3"/>
      <c r="W5245" s="3"/>
      <c r="X5245" s="3"/>
      <c r="Y5245" s="3"/>
      <c r="Z5245" s="4"/>
      <c r="AA5245"/>
      <c r="AB5245"/>
    </row>
    <row r="5246" spans="1:28" s="49" customFormat="1" x14ac:dyDescent="0.15">
      <c r="A5246" s="70"/>
      <c r="B5246" s="118"/>
      <c r="C5246" s="121"/>
      <c r="D5246" s="121"/>
      <c r="E5246" s="121"/>
      <c r="F5246" s="121"/>
      <c r="G5246" s="121"/>
      <c r="H5246" s="93"/>
      <c r="I5246" s="85"/>
      <c r="J5246" s="122"/>
      <c r="K5246" s="131"/>
      <c r="L5246" s="69"/>
      <c r="N5246" s="37"/>
      <c r="O5246" s="37"/>
      <c r="P5246" s="37"/>
      <c r="Q5246" s="3"/>
      <c r="R5246" s="3"/>
      <c r="S5246" s="3"/>
      <c r="T5246" s="3"/>
      <c r="U5246" s="3"/>
      <c r="V5246" s="3"/>
      <c r="W5246" s="3"/>
      <c r="X5246" s="3"/>
      <c r="Y5246" s="3"/>
      <c r="Z5246" s="4"/>
      <c r="AA5246"/>
      <c r="AB5246"/>
    </row>
    <row r="5247" spans="1:28" s="49" customFormat="1" x14ac:dyDescent="0.15">
      <c r="A5247" s="70"/>
      <c r="B5247" s="118"/>
      <c r="C5247" s="121"/>
      <c r="D5247" s="121"/>
      <c r="E5247" s="121"/>
      <c r="F5247" s="121"/>
      <c r="G5247" s="121"/>
      <c r="H5247" s="93"/>
      <c r="I5247" s="85"/>
      <c r="J5247" s="122"/>
      <c r="K5247" s="131"/>
      <c r="L5247" s="69"/>
      <c r="N5247" s="37"/>
      <c r="O5247" s="37"/>
      <c r="P5247" s="37"/>
      <c r="Q5247" s="3"/>
      <c r="R5247" s="3"/>
      <c r="S5247" s="3"/>
      <c r="T5247" s="3"/>
      <c r="U5247" s="3"/>
      <c r="V5247" s="3"/>
      <c r="W5247" s="3"/>
      <c r="X5247" s="3"/>
      <c r="Y5247" s="3"/>
      <c r="Z5247" s="4"/>
      <c r="AA5247"/>
      <c r="AB5247"/>
    </row>
    <row r="5248" spans="1:28" s="49" customFormat="1" x14ac:dyDescent="0.15">
      <c r="A5248" s="70"/>
      <c r="B5248" s="118"/>
      <c r="C5248" s="121"/>
      <c r="D5248" s="121"/>
      <c r="E5248" s="121"/>
      <c r="F5248" s="121"/>
      <c r="G5248" s="121"/>
      <c r="H5248" s="93"/>
      <c r="I5248" s="85"/>
      <c r="J5248" s="122"/>
      <c r="K5248" s="131"/>
      <c r="L5248" s="69"/>
      <c r="N5248" s="37"/>
      <c r="O5248" s="37"/>
      <c r="P5248" s="37"/>
      <c r="Q5248" s="3"/>
      <c r="R5248" s="3"/>
      <c r="S5248" s="3"/>
      <c r="T5248" s="3"/>
      <c r="U5248" s="3"/>
      <c r="V5248" s="3"/>
      <c r="W5248" s="3"/>
      <c r="X5248" s="3"/>
      <c r="Y5248" s="3"/>
      <c r="Z5248" s="4"/>
      <c r="AA5248"/>
      <c r="AB5248"/>
    </row>
    <row r="5249" spans="1:28" s="49" customFormat="1" x14ac:dyDescent="0.15">
      <c r="A5249" s="70"/>
      <c r="B5249" s="118"/>
      <c r="C5249" s="121"/>
      <c r="D5249" s="121"/>
      <c r="E5249" s="121"/>
      <c r="F5249" s="121"/>
      <c r="G5249" s="121"/>
      <c r="H5249" s="93"/>
      <c r="I5249" s="85"/>
      <c r="J5249" s="122"/>
      <c r="K5249" s="131"/>
      <c r="L5249" s="69"/>
      <c r="N5249" s="37"/>
      <c r="O5249" s="37"/>
      <c r="P5249" s="37"/>
      <c r="Q5249" s="3"/>
      <c r="R5249" s="3"/>
      <c r="S5249" s="3"/>
      <c r="T5249" s="3"/>
      <c r="U5249" s="3"/>
      <c r="V5249" s="3"/>
      <c r="W5249" s="3"/>
      <c r="X5249" s="3"/>
      <c r="Y5249" s="3"/>
      <c r="Z5249" s="4"/>
      <c r="AA5249"/>
      <c r="AB5249"/>
    </row>
    <row r="5250" spans="1:28" s="49" customFormat="1" x14ac:dyDescent="0.15">
      <c r="A5250" s="70"/>
      <c r="B5250" s="118"/>
      <c r="C5250" s="121"/>
      <c r="D5250" s="121"/>
      <c r="E5250" s="121"/>
      <c r="F5250" s="121"/>
      <c r="G5250" s="121"/>
      <c r="H5250" s="93"/>
      <c r="I5250" s="85"/>
      <c r="J5250" s="122"/>
      <c r="K5250" s="131"/>
      <c r="L5250" s="69"/>
      <c r="N5250" s="37"/>
      <c r="O5250" s="37"/>
      <c r="P5250" s="37"/>
      <c r="Q5250" s="3"/>
      <c r="R5250" s="3"/>
      <c r="S5250" s="3"/>
      <c r="T5250" s="3"/>
      <c r="U5250" s="3"/>
      <c r="V5250" s="3"/>
      <c r="W5250" s="3"/>
      <c r="X5250" s="3"/>
      <c r="Y5250" s="3"/>
      <c r="Z5250" s="4"/>
      <c r="AA5250"/>
      <c r="AB5250"/>
    </row>
    <row r="5251" spans="1:28" s="49" customFormat="1" x14ac:dyDescent="0.15">
      <c r="A5251" s="70"/>
      <c r="B5251" s="118"/>
      <c r="C5251" s="121"/>
      <c r="D5251" s="121"/>
      <c r="E5251" s="121"/>
      <c r="F5251" s="121"/>
      <c r="G5251" s="121"/>
      <c r="H5251" s="108"/>
      <c r="I5251" s="85"/>
      <c r="J5251" s="122"/>
      <c r="K5251" s="131"/>
      <c r="L5251" s="60"/>
      <c r="N5251" s="37"/>
      <c r="O5251" s="37"/>
      <c r="P5251" s="37"/>
      <c r="Q5251" s="3"/>
      <c r="R5251" s="3"/>
      <c r="S5251" s="3"/>
      <c r="T5251" s="3"/>
      <c r="U5251" s="3"/>
      <c r="V5251" s="3"/>
      <c r="W5251" s="3"/>
      <c r="X5251" s="3"/>
      <c r="Y5251" s="3"/>
      <c r="Z5251" s="4"/>
      <c r="AA5251"/>
      <c r="AB5251"/>
    </row>
    <row r="5252" spans="1:28" s="49" customFormat="1" x14ac:dyDescent="0.15">
      <c r="A5252" s="70"/>
      <c r="B5252" s="118"/>
      <c r="C5252" s="121"/>
      <c r="D5252" s="121"/>
      <c r="E5252" s="121"/>
      <c r="F5252" s="121"/>
      <c r="G5252" s="121"/>
      <c r="H5252" s="93"/>
      <c r="I5252" s="85"/>
      <c r="J5252" s="122"/>
      <c r="K5252" s="131"/>
      <c r="L5252" s="69"/>
      <c r="N5252" s="37"/>
      <c r="O5252" s="37"/>
      <c r="P5252" s="37"/>
      <c r="Q5252" s="3"/>
      <c r="R5252" s="3"/>
      <c r="S5252" s="3"/>
      <c r="T5252" s="3"/>
      <c r="U5252" s="3"/>
      <c r="V5252" s="3"/>
      <c r="W5252" s="3"/>
      <c r="X5252" s="3"/>
      <c r="Y5252" s="3"/>
      <c r="Z5252" s="4"/>
      <c r="AA5252"/>
      <c r="AB5252"/>
    </row>
    <row r="5253" spans="1:28" s="49" customFormat="1" x14ac:dyDescent="0.15">
      <c r="A5253" s="70"/>
      <c r="B5253" s="118"/>
      <c r="C5253" s="121"/>
      <c r="D5253" s="121"/>
      <c r="E5253" s="121"/>
      <c r="F5253" s="121"/>
      <c r="G5253" s="121"/>
      <c r="H5253" s="93"/>
      <c r="I5253" s="85"/>
      <c r="J5253" s="122"/>
      <c r="K5253" s="131"/>
      <c r="L5253" s="69"/>
      <c r="N5253" s="37"/>
      <c r="O5253" s="37"/>
      <c r="P5253" s="37"/>
      <c r="Q5253" s="3"/>
      <c r="R5253" s="3"/>
      <c r="S5253" s="3"/>
      <c r="T5253" s="3"/>
      <c r="U5253" s="3"/>
      <c r="V5253" s="3"/>
      <c r="W5253" s="3"/>
      <c r="X5253" s="3"/>
      <c r="Y5253" s="3"/>
      <c r="Z5253" s="4"/>
      <c r="AA5253"/>
      <c r="AB5253"/>
    </row>
    <row r="5254" spans="1:28" s="49" customFormat="1" x14ac:dyDescent="0.15">
      <c r="A5254" s="70"/>
      <c r="B5254" s="118"/>
      <c r="C5254" s="121"/>
      <c r="D5254" s="121"/>
      <c r="E5254" s="121"/>
      <c r="F5254" s="121"/>
      <c r="G5254" s="121"/>
      <c r="H5254" s="93"/>
      <c r="I5254" s="85"/>
      <c r="J5254" s="122"/>
      <c r="K5254" s="131"/>
      <c r="L5254" s="69"/>
      <c r="N5254" s="37"/>
      <c r="O5254" s="37"/>
      <c r="P5254" s="37"/>
      <c r="Q5254" s="3"/>
      <c r="R5254" s="3"/>
      <c r="S5254" s="3"/>
      <c r="T5254" s="3"/>
      <c r="U5254" s="3"/>
      <c r="V5254" s="3"/>
      <c r="W5254" s="3"/>
      <c r="X5254" s="3"/>
      <c r="Y5254" s="3"/>
      <c r="Z5254" s="4"/>
      <c r="AA5254"/>
      <c r="AB5254"/>
    </row>
    <row r="5255" spans="1:28" s="49" customFormat="1" x14ac:dyDescent="0.15">
      <c r="A5255" s="70"/>
      <c r="B5255" s="118"/>
      <c r="C5255" s="121"/>
      <c r="D5255" s="121"/>
      <c r="E5255" s="121"/>
      <c r="F5255" s="121"/>
      <c r="G5255" s="121"/>
      <c r="H5255" s="93"/>
      <c r="I5255" s="85"/>
      <c r="J5255" s="122"/>
      <c r="K5255" s="131"/>
      <c r="L5255" s="69"/>
      <c r="N5255" s="37"/>
      <c r="O5255" s="37"/>
      <c r="P5255" s="37"/>
      <c r="Q5255" s="3"/>
      <c r="R5255" s="3"/>
      <c r="S5255" s="3"/>
      <c r="T5255" s="3"/>
      <c r="U5255" s="3"/>
      <c r="V5255" s="3"/>
      <c r="W5255" s="3"/>
      <c r="X5255" s="3"/>
      <c r="Y5255" s="3"/>
      <c r="Z5255" s="4"/>
      <c r="AA5255"/>
      <c r="AB5255"/>
    </row>
    <row r="5256" spans="1:28" s="49" customFormat="1" x14ac:dyDescent="0.15">
      <c r="A5256" s="70"/>
      <c r="B5256" s="118"/>
      <c r="C5256" s="121"/>
      <c r="D5256" s="121"/>
      <c r="E5256" s="121"/>
      <c r="F5256" s="121"/>
      <c r="G5256" s="121"/>
      <c r="H5256" s="93"/>
      <c r="I5256" s="85"/>
      <c r="J5256" s="122"/>
      <c r="K5256" s="131"/>
      <c r="L5256" s="69"/>
      <c r="N5256" s="37"/>
      <c r="O5256" s="37"/>
      <c r="P5256" s="37"/>
      <c r="Q5256" s="3"/>
      <c r="R5256" s="3"/>
      <c r="S5256" s="3"/>
      <c r="T5256" s="3"/>
      <c r="U5256" s="3"/>
      <c r="V5256" s="3"/>
      <c r="W5256" s="3"/>
      <c r="X5256" s="3"/>
      <c r="Y5256" s="3"/>
      <c r="Z5256" s="4"/>
      <c r="AA5256"/>
      <c r="AB5256"/>
    </row>
    <row r="5257" spans="1:28" s="49" customFormat="1" x14ac:dyDescent="0.15">
      <c r="A5257" s="70"/>
      <c r="B5257" s="118"/>
      <c r="C5257" s="121"/>
      <c r="D5257" s="121"/>
      <c r="E5257" s="121"/>
      <c r="F5257" s="121"/>
      <c r="G5257" s="121"/>
      <c r="H5257" s="93"/>
      <c r="I5257" s="85"/>
      <c r="J5257" s="122"/>
      <c r="K5257" s="131"/>
      <c r="L5257" s="69"/>
      <c r="N5257" s="37"/>
      <c r="O5257" s="37"/>
      <c r="P5257" s="37"/>
      <c r="Q5257" s="3"/>
      <c r="R5257" s="3"/>
      <c r="S5257" s="3"/>
      <c r="T5257" s="3"/>
      <c r="U5257" s="3"/>
      <c r="V5257" s="3"/>
      <c r="W5257" s="3"/>
      <c r="X5257" s="3"/>
      <c r="Y5257" s="3"/>
      <c r="Z5257" s="4"/>
      <c r="AA5257"/>
      <c r="AB5257"/>
    </row>
    <row r="5258" spans="1:28" s="49" customFormat="1" x14ac:dyDescent="0.15">
      <c r="A5258" s="70"/>
      <c r="B5258" s="118"/>
      <c r="C5258" s="121"/>
      <c r="D5258" s="121"/>
      <c r="E5258" s="121"/>
      <c r="F5258" s="121"/>
      <c r="G5258" s="121"/>
      <c r="H5258" s="93"/>
      <c r="I5258" s="85"/>
      <c r="J5258" s="122"/>
      <c r="K5258" s="131"/>
      <c r="L5258" s="69"/>
      <c r="N5258" s="37"/>
      <c r="O5258" s="37"/>
      <c r="P5258" s="37"/>
      <c r="Q5258" s="3"/>
      <c r="R5258" s="3"/>
      <c r="S5258" s="3"/>
      <c r="T5258" s="3"/>
      <c r="U5258" s="3"/>
      <c r="V5258" s="3"/>
      <c r="W5258" s="3"/>
      <c r="X5258" s="3"/>
      <c r="Y5258" s="3"/>
      <c r="Z5258" s="4"/>
      <c r="AA5258"/>
      <c r="AB5258"/>
    </row>
    <row r="5259" spans="1:28" s="49" customFormat="1" x14ac:dyDescent="0.15">
      <c r="A5259" s="70"/>
      <c r="B5259" s="118"/>
      <c r="C5259" s="121"/>
      <c r="D5259" s="121"/>
      <c r="E5259" s="121"/>
      <c r="F5259" s="121"/>
      <c r="G5259" s="121"/>
      <c r="H5259" s="93"/>
      <c r="I5259" s="85"/>
      <c r="J5259" s="122"/>
      <c r="K5259" s="131"/>
      <c r="L5259" s="69"/>
      <c r="N5259" s="37"/>
      <c r="O5259" s="37"/>
      <c r="P5259" s="37"/>
      <c r="Q5259" s="3"/>
      <c r="R5259" s="3"/>
      <c r="S5259" s="3"/>
      <c r="T5259" s="3"/>
      <c r="U5259" s="3"/>
      <c r="V5259" s="3"/>
      <c r="W5259" s="3"/>
      <c r="X5259" s="3"/>
      <c r="Y5259" s="3"/>
      <c r="Z5259" s="4"/>
      <c r="AA5259"/>
      <c r="AB5259"/>
    </row>
    <row r="5260" spans="1:28" s="49" customFormat="1" x14ac:dyDescent="0.15">
      <c r="A5260" s="70"/>
      <c r="B5260" s="118"/>
      <c r="C5260" s="121"/>
      <c r="D5260" s="121"/>
      <c r="E5260" s="121"/>
      <c r="F5260" s="121"/>
      <c r="G5260" s="121"/>
      <c r="H5260" s="93"/>
      <c r="I5260" s="85"/>
      <c r="J5260" s="122"/>
      <c r="K5260" s="131"/>
      <c r="L5260" s="69"/>
      <c r="N5260" s="37"/>
      <c r="O5260" s="37"/>
      <c r="P5260" s="37"/>
      <c r="Q5260" s="3"/>
      <c r="R5260" s="3"/>
      <c r="S5260" s="3"/>
      <c r="T5260" s="3"/>
      <c r="U5260" s="3"/>
      <c r="V5260" s="3"/>
      <c r="W5260" s="3"/>
      <c r="X5260" s="3"/>
      <c r="Y5260" s="3"/>
      <c r="Z5260" s="4"/>
      <c r="AA5260"/>
      <c r="AB5260"/>
    </row>
    <row r="5261" spans="1:28" s="49" customFormat="1" x14ac:dyDescent="0.15">
      <c r="A5261" s="70"/>
      <c r="B5261" s="118"/>
      <c r="C5261" s="121"/>
      <c r="D5261" s="121"/>
      <c r="E5261" s="121"/>
      <c r="F5261" s="121"/>
      <c r="G5261" s="121"/>
      <c r="H5261" s="93"/>
      <c r="I5261" s="85"/>
      <c r="J5261" s="122"/>
      <c r="K5261" s="131"/>
      <c r="L5261" s="69"/>
      <c r="N5261" s="37"/>
      <c r="O5261" s="37"/>
      <c r="P5261" s="37"/>
      <c r="Q5261" s="3"/>
      <c r="R5261" s="3"/>
      <c r="S5261" s="3"/>
      <c r="T5261" s="3"/>
      <c r="U5261" s="3"/>
      <c r="V5261" s="3"/>
      <c r="W5261" s="3"/>
      <c r="X5261" s="3"/>
      <c r="Y5261" s="3"/>
      <c r="Z5261" s="4"/>
      <c r="AA5261"/>
      <c r="AB5261"/>
    </row>
    <row r="5262" spans="1:28" s="49" customFormat="1" x14ac:dyDescent="0.15">
      <c r="A5262" s="73"/>
      <c r="B5262" s="118"/>
      <c r="C5262" s="121"/>
      <c r="D5262" s="121"/>
      <c r="E5262" s="121"/>
      <c r="F5262" s="121"/>
      <c r="G5262" s="121"/>
      <c r="H5262" s="93"/>
      <c r="I5262" s="85"/>
      <c r="J5262" s="122"/>
      <c r="K5262" s="131"/>
      <c r="L5262" s="69"/>
      <c r="N5262" s="37"/>
      <c r="O5262" s="37"/>
      <c r="P5262" s="37"/>
      <c r="Q5262" s="3"/>
      <c r="R5262" s="3"/>
      <c r="S5262" s="3"/>
      <c r="T5262" s="3"/>
      <c r="U5262" s="3"/>
      <c r="V5262" s="3"/>
      <c r="W5262" s="3"/>
      <c r="X5262" s="3"/>
      <c r="Y5262" s="3"/>
      <c r="Z5262" s="4"/>
      <c r="AA5262"/>
      <c r="AB5262"/>
    </row>
    <row r="5263" spans="1:28" s="49" customFormat="1" x14ac:dyDescent="0.15">
      <c r="A5263" s="70"/>
      <c r="B5263" s="118"/>
      <c r="C5263" s="121"/>
      <c r="D5263" s="121"/>
      <c r="E5263" s="121"/>
      <c r="F5263" s="121"/>
      <c r="G5263" s="121"/>
      <c r="H5263" s="93"/>
      <c r="I5263" s="85"/>
      <c r="J5263" s="122"/>
      <c r="K5263" s="131"/>
      <c r="L5263" s="69"/>
      <c r="N5263" s="37"/>
      <c r="O5263" s="37"/>
      <c r="P5263" s="37"/>
      <c r="Q5263" s="3"/>
      <c r="R5263" s="3"/>
      <c r="S5263" s="3"/>
      <c r="T5263" s="3"/>
      <c r="U5263" s="3"/>
      <c r="V5263" s="3"/>
      <c r="W5263" s="3"/>
      <c r="X5263" s="3"/>
      <c r="Y5263" s="3"/>
      <c r="Z5263" s="4"/>
      <c r="AA5263"/>
      <c r="AB5263"/>
    </row>
    <row r="5264" spans="1:28" s="49" customFormat="1" x14ac:dyDescent="0.15">
      <c r="A5264" s="70"/>
      <c r="B5264" s="118"/>
      <c r="C5264" s="121"/>
      <c r="D5264" s="121"/>
      <c r="E5264" s="121"/>
      <c r="F5264" s="121"/>
      <c r="G5264" s="121"/>
      <c r="H5264" s="93"/>
      <c r="I5264" s="85"/>
      <c r="J5264" s="122"/>
      <c r="K5264" s="131"/>
      <c r="L5264" s="72"/>
      <c r="N5264" s="37"/>
      <c r="O5264" s="37"/>
      <c r="P5264" s="37"/>
      <c r="Q5264" s="3"/>
      <c r="R5264" s="3"/>
      <c r="S5264" s="3"/>
      <c r="T5264" s="3"/>
      <c r="U5264" s="3"/>
      <c r="V5264" s="3"/>
      <c r="W5264" s="3"/>
      <c r="X5264" s="3"/>
      <c r="Y5264" s="3"/>
      <c r="Z5264" s="4"/>
      <c r="AA5264"/>
      <c r="AB5264"/>
    </row>
    <row r="5265" spans="1:28" s="49" customFormat="1" x14ac:dyDescent="0.15">
      <c r="A5265" s="70"/>
      <c r="B5265" s="118"/>
      <c r="C5265" s="121"/>
      <c r="D5265" s="121"/>
      <c r="E5265" s="121"/>
      <c r="F5265" s="121"/>
      <c r="G5265" s="121"/>
      <c r="H5265" s="93"/>
      <c r="I5265" s="85"/>
      <c r="J5265" s="122"/>
      <c r="K5265" s="131"/>
      <c r="L5265" s="69"/>
      <c r="N5265" s="37"/>
      <c r="O5265" s="37"/>
      <c r="P5265" s="37"/>
      <c r="Q5265" s="3"/>
      <c r="R5265" s="3"/>
      <c r="S5265" s="3"/>
      <c r="T5265" s="3"/>
      <c r="U5265" s="3"/>
      <c r="V5265" s="3"/>
      <c r="W5265" s="3"/>
      <c r="X5265" s="3"/>
      <c r="Y5265" s="3"/>
      <c r="Z5265" s="4"/>
      <c r="AA5265"/>
      <c r="AB5265"/>
    </row>
    <row r="5266" spans="1:28" s="49" customFormat="1" x14ac:dyDescent="0.15">
      <c r="A5266" s="70"/>
      <c r="B5266" s="118"/>
      <c r="C5266" s="121"/>
      <c r="D5266" s="121"/>
      <c r="E5266" s="121"/>
      <c r="F5266" s="121"/>
      <c r="G5266" s="121"/>
      <c r="H5266" s="93"/>
      <c r="I5266" s="85"/>
      <c r="J5266" s="122"/>
      <c r="K5266" s="131"/>
      <c r="L5266" s="60"/>
      <c r="N5266" s="37"/>
      <c r="O5266" s="37"/>
      <c r="P5266" s="37"/>
      <c r="Q5266" s="3"/>
      <c r="R5266" s="3"/>
      <c r="S5266" s="3"/>
      <c r="T5266" s="3"/>
      <c r="U5266" s="3"/>
      <c r="V5266" s="3"/>
      <c r="W5266" s="3"/>
      <c r="X5266" s="3"/>
      <c r="Y5266" s="3"/>
      <c r="Z5266" s="4"/>
      <c r="AA5266"/>
      <c r="AB5266"/>
    </row>
    <row r="5267" spans="1:28" s="49" customFormat="1" x14ac:dyDescent="0.15">
      <c r="A5267" s="70"/>
      <c r="B5267" s="118"/>
      <c r="C5267" s="121"/>
      <c r="D5267" s="121"/>
      <c r="E5267" s="121"/>
      <c r="F5267" s="121"/>
      <c r="G5267" s="121"/>
      <c r="H5267" s="93"/>
      <c r="I5267" s="85"/>
      <c r="J5267" s="122"/>
      <c r="K5267" s="131"/>
      <c r="L5267" s="69"/>
      <c r="N5267" s="37"/>
      <c r="O5267" s="37"/>
      <c r="P5267" s="37"/>
      <c r="Q5267" s="3"/>
      <c r="R5267" s="3"/>
      <c r="S5267" s="3"/>
      <c r="T5267" s="3"/>
      <c r="U5267" s="3"/>
      <c r="V5267" s="3"/>
      <c r="W5267" s="3"/>
      <c r="X5267" s="3"/>
      <c r="Y5267" s="3"/>
      <c r="Z5267" s="4"/>
      <c r="AA5267"/>
      <c r="AB5267"/>
    </row>
    <row r="5268" spans="1:28" s="49" customFormat="1" x14ac:dyDescent="0.15">
      <c r="A5268" s="70"/>
      <c r="B5268" s="118"/>
      <c r="C5268" s="121"/>
      <c r="D5268" s="121"/>
      <c r="E5268" s="121"/>
      <c r="F5268" s="121"/>
      <c r="G5268" s="121"/>
      <c r="H5268" s="93"/>
      <c r="I5268" s="85"/>
      <c r="J5268" s="122"/>
      <c r="K5268" s="131"/>
      <c r="L5268" s="69"/>
      <c r="N5268" s="37"/>
      <c r="O5268" s="37"/>
      <c r="P5268" s="37"/>
      <c r="Q5268" s="3"/>
      <c r="R5268" s="3"/>
      <c r="S5268" s="3"/>
      <c r="T5268" s="3"/>
      <c r="U5268" s="3"/>
      <c r="V5268" s="3"/>
      <c r="W5268" s="3"/>
      <c r="X5268" s="3"/>
      <c r="Y5268" s="3"/>
      <c r="Z5268" s="4"/>
      <c r="AA5268"/>
      <c r="AB5268"/>
    </row>
    <row r="5269" spans="1:28" s="49" customFormat="1" x14ac:dyDescent="0.15">
      <c r="A5269" s="70"/>
      <c r="B5269" s="118"/>
      <c r="C5269" s="121"/>
      <c r="D5269" s="121"/>
      <c r="E5269" s="121"/>
      <c r="F5269" s="121"/>
      <c r="G5269" s="121"/>
      <c r="H5269" s="93"/>
      <c r="I5269" s="85"/>
      <c r="J5269" s="122"/>
      <c r="K5269" s="131"/>
      <c r="L5269" s="60"/>
      <c r="N5269" s="37"/>
      <c r="O5269" s="37"/>
      <c r="P5269" s="37"/>
      <c r="Q5269" s="3"/>
      <c r="R5269" s="3"/>
      <c r="S5269" s="3"/>
      <c r="T5269" s="3"/>
      <c r="U5269" s="3"/>
      <c r="V5269" s="3"/>
      <c r="W5269" s="3"/>
      <c r="X5269" s="3"/>
      <c r="Y5269" s="3"/>
      <c r="Z5269" s="4"/>
      <c r="AA5269"/>
      <c r="AB5269"/>
    </row>
    <row r="5270" spans="1:28" s="49" customFormat="1" x14ac:dyDescent="0.15">
      <c r="A5270" s="70"/>
      <c r="B5270" s="118"/>
      <c r="C5270" s="121"/>
      <c r="D5270" s="121"/>
      <c r="E5270" s="121"/>
      <c r="F5270" s="121"/>
      <c r="G5270" s="121"/>
      <c r="H5270" s="93"/>
      <c r="I5270" s="85"/>
      <c r="J5270" s="122"/>
      <c r="K5270" s="134"/>
      <c r="L5270" s="69"/>
      <c r="N5270" s="37"/>
      <c r="O5270" s="37"/>
      <c r="P5270" s="37"/>
      <c r="Q5270" s="3"/>
      <c r="R5270" s="3"/>
      <c r="S5270" s="3"/>
      <c r="T5270" s="3"/>
      <c r="U5270" s="3"/>
      <c r="V5270" s="3"/>
      <c r="W5270" s="3"/>
      <c r="X5270" s="3"/>
      <c r="Y5270" s="3"/>
      <c r="Z5270" s="4"/>
      <c r="AA5270"/>
      <c r="AB5270"/>
    </row>
    <row r="5271" spans="1:28" s="49" customFormat="1" x14ac:dyDescent="0.15">
      <c r="A5271" s="70"/>
      <c r="B5271" s="118"/>
      <c r="C5271" s="121"/>
      <c r="D5271" s="121"/>
      <c r="E5271" s="121"/>
      <c r="F5271" s="121"/>
      <c r="G5271" s="121"/>
      <c r="H5271" s="93"/>
      <c r="I5271" s="85"/>
      <c r="J5271" s="122"/>
      <c r="K5271" s="131"/>
      <c r="L5271" s="60"/>
      <c r="N5271" s="37"/>
      <c r="O5271" s="37"/>
      <c r="P5271" s="37"/>
      <c r="Q5271" s="3"/>
      <c r="R5271" s="3"/>
      <c r="S5271" s="3"/>
      <c r="T5271" s="3"/>
      <c r="U5271" s="3"/>
      <c r="V5271" s="3"/>
      <c r="W5271" s="3"/>
      <c r="X5271" s="3"/>
      <c r="Y5271" s="3"/>
      <c r="Z5271" s="4"/>
      <c r="AA5271"/>
      <c r="AB5271"/>
    </row>
    <row r="5272" spans="1:28" s="49" customFormat="1" x14ac:dyDescent="0.15">
      <c r="A5272" s="73"/>
      <c r="B5272" s="118"/>
      <c r="C5272" s="121"/>
      <c r="D5272" s="121"/>
      <c r="E5272" s="121"/>
      <c r="F5272" s="121"/>
      <c r="G5272" s="121"/>
      <c r="H5272" s="93"/>
      <c r="I5272" s="85"/>
      <c r="J5272" s="122"/>
      <c r="K5272" s="131"/>
      <c r="L5272" s="69"/>
      <c r="N5272" s="37"/>
      <c r="O5272" s="37"/>
      <c r="P5272" s="37"/>
      <c r="Q5272" s="3"/>
      <c r="R5272" s="3"/>
      <c r="S5272" s="3"/>
      <c r="T5272" s="3"/>
      <c r="U5272" s="3"/>
      <c r="V5272" s="3"/>
      <c r="W5272" s="3"/>
      <c r="X5272" s="3"/>
      <c r="Y5272" s="3"/>
      <c r="Z5272" s="4"/>
      <c r="AA5272"/>
      <c r="AB5272"/>
    </row>
    <row r="5273" spans="1:28" s="49" customFormat="1" x14ac:dyDescent="0.15">
      <c r="A5273" s="70"/>
      <c r="B5273" s="118"/>
      <c r="C5273" s="121"/>
      <c r="D5273" s="121"/>
      <c r="E5273" s="121"/>
      <c r="F5273" s="121"/>
      <c r="G5273" s="121"/>
      <c r="H5273" s="93"/>
      <c r="I5273" s="85"/>
      <c r="J5273" s="122"/>
      <c r="K5273" s="131"/>
      <c r="L5273" s="69"/>
      <c r="N5273" s="37"/>
      <c r="O5273" s="37"/>
      <c r="P5273" s="37"/>
      <c r="Q5273" s="3"/>
      <c r="R5273" s="3"/>
      <c r="S5273" s="3"/>
      <c r="T5273" s="3"/>
      <c r="U5273" s="3"/>
      <c r="V5273" s="3"/>
      <c r="W5273" s="3"/>
      <c r="X5273" s="3"/>
      <c r="Y5273" s="3"/>
      <c r="Z5273" s="4"/>
      <c r="AA5273"/>
      <c r="AB5273"/>
    </row>
    <row r="5274" spans="1:28" s="49" customFormat="1" x14ac:dyDescent="0.15">
      <c r="A5274" s="70"/>
      <c r="B5274" s="118"/>
      <c r="C5274" s="121"/>
      <c r="D5274" s="121"/>
      <c r="E5274" s="121"/>
      <c r="F5274" s="121"/>
      <c r="G5274" s="121"/>
      <c r="H5274" s="93"/>
      <c r="I5274" s="85"/>
      <c r="J5274" s="122"/>
      <c r="K5274" s="131"/>
      <c r="L5274" s="69"/>
      <c r="N5274" s="37"/>
      <c r="O5274" s="37"/>
      <c r="P5274" s="37"/>
      <c r="Q5274" s="3"/>
      <c r="R5274" s="3"/>
      <c r="S5274" s="3"/>
      <c r="T5274" s="3"/>
      <c r="U5274" s="3"/>
      <c r="V5274" s="3"/>
      <c r="W5274" s="3"/>
      <c r="X5274" s="3"/>
      <c r="Y5274" s="3"/>
      <c r="Z5274" s="4"/>
      <c r="AA5274"/>
      <c r="AB5274"/>
    </row>
    <row r="5275" spans="1:28" s="49" customFormat="1" x14ac:dyDescent="0.15">
      <c r="A5275" s="70"/>
      <c r="B5275" s="118"/>
      <c r="C5275" s="121"/>
      <c r="D5275" s="121"/>
      <c r="E5275" s="121"/>
      <c r="F5275" s="121"/>
      <c r="G5275" s="121"/>
      <c r="H5275" s="93"/>
      <c r="I5275" s="85"/>
      <c r="J5275" s="122"/>
      <c r="K5275" s="131"/>
      <c r="L5275" s="69"/>
      <c r="N5275" s="37"/>
      <c r="O5275" s="37"/>
      <c r="P5275" s="37"/>
      <c r="Q5275" s="3"/>
      <c r="R5275" s="3"/>
      <c r="S5275" s="3"/>
      <c r="T5275" s="3"/>
      <c r="U5275" s="3"/>
      <c r="V5275" s="3"/>
      <c r="W5275" s="3"/>
      <c r="X5275" s="3"/>
      <c r="Y5275" s="3"/>
      <c r="Z5275" s="4"/>
      <c r="AA5275"/>
      <c r="AB5275"/>
    </row>
    <row r="5276" spans="1:28" s="49" customFormat="1" x14ac:dyDescent="0.15">
      <c r="A5276" s="70"/>
      <c r="B5276" s="118"/>
      <c r="C5276" s="121"/>
      <c r="D5276" s="121"/>
      <c r="E5276" s="121"/>
      <c r="F5276" s="121"/>
      <c r="G5276" s="121"/>
      <c r="H5276" s="93"/>
      <c r="I5276" s="85"/>
      <c r="J5276" s="122"/>
      <c r="K5276" s="131"/>
      <c r="L5276" s="69"/>
      <c r="N5276" s="37"/>
      <c r="O5276" s="37"/>
      <c r="P5276" s="37"/>
      <c r="Q5276" s="3"/>
      <c r="R5276" s="3"/>
      <c r="S5276" s="3"/>
      <c r="T5276" s="3"/>
      <c r="U5276" s="3"/>
      <c r="V5276" s="3"/>
      <c r="W5276" s="3"/>
      <c r="X5276" s="3"/>
      <c r="Y5276" s="3"/>
      <c r="Z5276" s="4"/>
      <c r="AA5276"/>
      <c r="AB5276"/>
    </row>
    <row r="5277" spans="1:28" s="49" customFormat="1" x14ac:dyDescent="0.15">
      <c r="A5277" s="73"/>
      <c r="B5277" s="118"/>
      <c r="C5277" s="121"/>
      <c r="D5277" s="121"/>
      <c r="E5277" s="121"/>
      <c r="F5277" s="121"/>
      <c r="G5277" s="121"/>
      <c r="H5277" s="93"/>
      <c r="I5277" s="85"/>
      <c r="J5277" s="122"/>
      <c r="K5277" s="131"/>
      <c r="L5277" s="69"/>
      <c r="N5277" s="37"/>
      <c r="O5277" s="37"/>
      <c r="P5277" s="37"/>
      <c r="Q5277" s="3"/>
      <c r="R5277" s="3"/>
      <c r="S5277" s="3"/>
      <c r="T5277" s="3"/>
      <c r="U5277" s="3"/>
      <c r="V5277" s="3"/>
      <c r="W5277" s="3"/>
      <c r="X5277" s="3"/>
      <c r="Y5277" s="3"/>
      <c r="Z5277" s="4"/>
      <c r="AA5277"/>
      <c r="AB5277"/>
    </row>
    <row r="5278" spans="1:28" s="37" customFormat="1" x14ac:dyDescent="0.15">
      <c r="A5278" s="70"/>
      <c r="B5278" s="118"/>
      <c r="C5278" s="121"/>
      <c r="D5278" s="121"/>
      <c r="E5278" s="121"/>
      <c r="F5278" s="121"/>
      <c r="G5278" s="121"/>
      <c r="H5278" s="93"/>
      <c r="I5278" s="85"/>
      <c r="J5278" s="122"/>
      <c r="K5278" s="131"/>
      <c r="L5278" s="69"/>
      <c r="M5278" s="49"/>
      <c r="O5278" s="51"/>
      <c r="Q5278" s="3"/>
      <c r="R5278" s="3"/>
      <c r="S5278" s="3"/>
      <c r="T5278" s="3"/>
      <c r="U5278" s="3"/>
      <c r="V5278" s="3"/>
      <c r="W5278" s="3"/>
      <c r="X5278" s="3"/>
      <c r="Y5278" s="3"/>
      <c r="Z5278" s="4"/>
      <c r="AA5278"/>
      <c r="AB5278"/>
    </row>
    <row r="5279" spans="1:28" s="37" customFormat="1" x14ac:dyDescent="0.15">
      <c r="A5279" s="70"/>
      <c r="B5279" s="118"/>
      <c r="C5279" s="121"/>
      <c r="D5279" s="121"/>
      <c r="E5279" s="121"/>
      <c r="F5279" s="121"/>
      <c r="G5279" s="121"/>
      <c r="H5279" s="93"/>
      <c r="I5279" s="85"/>
      <c r="J5279" s="122"/>
      <c r="K5279" s="131"/>
      <c r="L5279" s="69"/>
      <c r="M5279" s="49"/>
      <c r="Q5279" s="3"/>
      <c r="R5279" s="3"/>
      <c r="S5279" s="3"/>
      <c r="T5279" s="3"/>
      <c r="U5279" s="3"/>
      <c r="V5279" s="3"/>
      <c r="W5279" s="3"/>
      <c r="X5279" s="3"/>
      <c r="Y5279" s="3"/>
      <c r="Z5279" s="4"/>
      <c r="AA5279"/>
      <c r="AB5279"/>
    </row>
    <row r="5280" spans="1:28" s="37" customFormat="1" x14ac:dyDescent="0.15">
      <c r="A5280" s="70"/>
      <c r="B5280" s="118"/>
      <c r="C5280" s="121"/>
      <c r="D5280" s="121"/>
      <c r="E5280" s="121"/>
      <c r="F5280" s="121"/>
      <c r="G5280" s="121"/>
      <c r="H5280" s="93"/>
      <c r="I5280" s="85"/>
      <c r="J5280" s="122"/>
      <c r="K5280" s="131"/>
      <c r="L5280" s="69"/>
      <c r="M5280" s="50"/>
      <c r="Q5280" s="3"/>
      <c r="R5280" s="3"/>
      <c r="S5280" s="3"/>
      <c r="T5280" s="3"/>
      <c r="U5280" s="3"/>
      <c r="V5280" s="3"/>
      <c r="W5280" s="3"/>
      <c r="X5280" s="3"/>
      <c r="Y5280" s="3"/>
      <c r="Z5280" s="4"/>
      <c r="AA5280"/>
      <c r="AB5280"/>
    </row>
    <row r="5281" spans="1:28" s="37" customFormat="1" x14ac:dyDescent="0.15">
      <c r="A5281" s="70"/>
      <c r="B5281" s="118"/>
      <c r="C5281" s="121"/>
      <c r="D5281" s="121"/>
      <c r="E5281" s="121"/>
      <c r="F5281" s="121"/>
      <c r="G5281" s="121"/>
      <c r="H5281" s="93"/>
      <c r="I5281" s="85"/>
      <c r="J5281" s="122"/>
      <c r="K5281" s="131"/>
      <c r="L5281" s="69"/>
      <c r="M5281" s="50"/>
      <c r="Q5281" s="3"/>
      <c r="R5281" s="3"/>
      <c r="S5281" s="3"/>
      <c r="T5281" s="3"/>
      <c r="U5281" s="3"/>
      <c r="V5281" s="3"/>
      <c r="W5281" s="3"/>
      <c r="X5281" s="3"/>
      <c r="Y5281" s="3"/>
      <c r="Z5281" s="4"/>
      <c r="AA5281"/>
      <c r="AB5281"/>
    </row>
    <row r="5282" spans="1:28" s="37" customFormat="1" x14ac:dyDescent="0.15">
      <c r="A5282" s="70"/>
      <c r="B5282" s="118"/>
      <c r="C5282" s="121"/>
      <c r="D5282" s="121"/>
      <c r="E5282" s="121"/>
      <c r="F5282" s="121"/>
      <c r="G5282" s="121"/>
      <c r="H5282" s="93"/>
      <c r="I5282" s="85"/>
      <c r="J5282" s="122"/>
      <c r="K5282" s="131"/>
      <c r="L5282" s="69"/>
      <c r="M5282" s="49"/>
      <c r="Q5282" s="3"/>
      <c r="R5282" s="3"/>
      <c r="S5282" s="3"/>
      <c r="T5282" s="3"/>
      <c r="U5282" s="3"/>
      <c r="V5282" s="3"/>
      <c r="W5282" s="3"/>
      <c r="X5282" s="3"/>
      <c r="Y5282" s="3"/>
      <c r="Z5282" s="4"/>
      <c r="AA5282"/>
      <c r="AB5282"/>
    </row>
    <row r="5283" spans="1:28" s="37" customFormat="1" x14ac:dyDescent="0.15">
      <c r="A5283" s="70"/>
      <c r="B5283" s="118"/>
      <c r="C5283" s="121"/>
      <c r="D5283" s="121"/>
      <c r="E5283" s="121"/>
      <c r="F5283" s="121"/>
      <c r="G5283" s="121"/>
      <c r="H5283" s="93"/>
      <c r="I5283" s="85"/>
      <c r="J5283" s="122"/>
      <c r="K5283" s="131"/>
      <c r="L5283" s="69"/>
      <c r="M5283" s="49"/>
      <c r="Q5283" s="3"/>
      <c r="R5283" s="3"/>
      <c r="S5283" s="3"/>
      <c r="T5283" s="3"/>
      <c r="U5283" s="3"/>
      <c r="V5283" s="3"/>
      <c r="W5283" s="3"/>
      <c r="X5283" s="3"/>
      <c r="Y5283" s="3"/>
      <c r="Z5283" s="4"/>
      <c r="AA5283"/>
      <c r="AB5283"/>
    </row>
    <row r="5284" spans="1:28" s="37" customFormat="1" x14ac:dyDescent="0.15">
      <c r="A5284" s="70"/>
      <c r="B5284" s="118"/>
      <c r="C5284" s="121"/>
      <c r="D5284" s="121"/>
      <c r="E5284" s="121"/>
      <c r="F5284" s="121"/>
      <c r="G5284" s="121"/>
      <c r="H5284" s="93"/>
      <c r="I5284" s="85"/>
      <c r="J5284" s="122"/>
      <c r="K5284" s="131"/>
      <c r="L5284" s="69"/>
      <c r="M5284" s="49"/>
      <c r="Q5284" s="3"/>
      <c r="R5284" s="3"/>
      <c r="S5284" s="3"/>
      <c r="T5284" s="3"/>
      <c r="U5284" s="3"/>
      <c r="V5284" s="3"/>
      <c r="W5284" s="3"/>
      <c r="X5284" s="3"/>
      <c r="Y5284" s="3"/>
      <c r="Z5284" s="4"/>
      <c r="AA5284"/>
      <c r="AB5284"/>
    </row>
    <row r="5285" spans="1:28" s="37" customFormat="1" x14ac:dyDescent="0.15">
      <c r="A5285" s="70"/>
      <c r="B5285" s="118"/>
      <c r="C5285" s="121"/>
      <c r="D5285" s="121"/>
      <c r="E5285" s="121"/>
      <c r="F5285" s="121"/>
      <c r="G5285" s="121"/>
      <c r="H5285" s="93"/>
      <c r="I5285" s="85"/>
      <c r="J5285" s="122"/>
      <c r="K5285" s="131"/>
      <c r="L5285" s="69"/>
      <c r="M5285" s="49"/>
      <c r="Q5285" s="3"/>
      <c r="R5285" s="3"/>
      <c r="S5285" s="3"/>
      <c r="T5285" s="3"/>
      <c r="U5285" s="3"/>
      <c r="V5285" s="3"/>
      <c r="W5285" s="3"/>
      <c r="X5285" s="3"/>
      <c r="Y5285" s="3"/>
      <c r="Z5285" s="4"/>
      <c r="AA5285"/>
      <c r="AB5285"/>
    </row>
    <row r="5286" spans="1:28" s="37" customFormat="1" x14ac:dyDescent="0.15">
      <c r="A5286" s="73"/>
      <c r="B5286" s="118"/>
      <c r="C5286" s="121"/>
      <c r="D5286" s="121"/>
      <c r="E5286" s="121"/>
      <c r="F5286" s="121"/>
      <c r="G5286" s="121"/>
      <c r="H5286" s="93"/>
      <c r="I5286" s="85"/>
      <c r="J5286" s="122"/>
      <c r="K5286" s="131"/>
      <c r="L5286" s="69"/>
      <c r="M5286" s="49"/>
      <c r="Q5286" s="3"/>
      <c r="R5286" s="3"/>
      <c r="S5286" s="3"/>
      <c r="T5286" s="3"/>
      <c r="U5286" s="3"/>
      <c r="V5286" s="3"/>
      <c r="W5286" s="3"/>
      <c r="X5286" s="3"/>
      <c r="Y5286" s="3"/>
      <c r="Z5286" s="4"/>
      <c r="AA5286"/>
      <c r="AB5286"/>
    </row>
    <row r="5287" spans="1:28" s="37" customFormat="1" x14ac:dyDescent="0.15">
      <c r="A5287" s="70"/>
      <c r="B5287" s="118"/>
      <c r="C5287" s="121"/>
      <c r="D5287" s="121"/>
      <c r="E5287" s="121"/>
      <c r="F5287" s="121"/>
      <c r="G5287" s="121"/>
      <c r="H5287" s="93"/>
      <c r="I5287" s="85"/>
      <c r="J5287" s="122"/>
      <c r="K5287" s="131"/>
      <c r="L5287" s="69"/>
      <c r="M5287" s="49"/>
      <c r="Q5287" s="3"/>
      <c r="R5287" s="3"/>
      <c r="S5287" s="3"/>
      <c r="T5287" s="3"/>
      <c r="U5287" s="3"/>
      <c r="V5287" s="3"/>
      <c r="W5287" s="3"/>
      <c r="X5287" s="3"/>
      <c r="Y5287" s="3"/>
      <c r="Z5287" s="4"/>
      <c r="AA5287"/>
      <c r="AB5287"/>
    </row>
    <row r="5288" spans="1:28" s="37" customFormat="1" x14ac:dyDescent="0.15">
      <c r="A5288" s="70"/>
      <c r="B5288" s="118"/>
      <c r="C5288" s="121"/>
      <c r="D5288" s="121"/>
      <c r="E5288" s="121"/>
      <c r="F5288" s="121"/>
      <c r="G5288" s="121"/>
      <c r="H5288" s="93"/>
      <c r="I5288" s="85"/>
      <c r="J5288" s="122"/>
      <c r="K5288" s="131"/>
      <c r="L5288" s="69"/>
      <c r="M5288" s="49"/>
      <c r="Q5288" s="3"/>
      <c r="R5288" s="3"/>
      <c r="S5288" s="3"/>
      <c r="T5288" s="3"/>
      <c r="U5288" s="3"/>
      <c r="V5288" s="3"/>
      <c r="W5288" s="3"/>
      <c r="X5288" s="3"/>
      <c r="Y5288" s="3"/>
      <c r="Z5288" s="4"/>
      <c r="AA5288"/>
      <c r="AB5288"/>
    </row>
    <row r="5289" spans="1:28" s="37" customFormat="1" x14ac:dyDescent="0.15">
      <c r="A5289" s="70"/>
      <c r="B5289" s="118"/>
      <c r="C5289" s="121"/>
      <c r="D5289" s="121"/>
      <c r="E5289" s="121"/>
      <c r="F5289" s="121"/>
      <c r="G5289" s="121"/>
      <c r="H5289" s="93"/>
      <c r="I5289" s="85"/>
      <c r="J5289" s="122"/>
      <c r="K5289" s="131"/>
      <c r="L5289" s="69"/>
      <c r="M5289" s="49"/>
      <c r="Q5289" s="3"/>
      <c r="R5289" s="3"/>
      <c r="S5289" s="3"/>
      <c r="T5289" s="3"/>
      <c r="U5289" s="3"/>
      <c r="V5289" s="3"/>
      <c r="W5289" s="3"/>
      <c r="X5289" s="3"/>
      <c r="Y5289" s="3"/>
      <c r="Z5289" s="4"/>
      <c r="AA5289"/>
      <c r="AB5289"/>
    </row>
    <row r="5290" spans="1:28" s="37" customFormat="1" x14ac:dyDescent="0.15">
      <c r="A5290" s="70"/>
      <c r="B5290" s="118"/>
      <c r="C5290" s="121"/>
      <c r="D5290" s="121"/>
      <c r="E5290" s="121"/>
      <c r="F5290" s="121"/>
      <c r="G5290" s="121"/>
      <c r="H5290" s="93"/>
      <c r="I5290" s="85"/>
      <c r="J5290" s="122"/>
      <c r="K5290" s="131"/>
      <c r="L5290" s="69"/>
      <c r="M5290" s="49"/>
      <c r="Q5290" s="3"/>
      <c r="R5290" s="3"/>
      <c r="S5290" s="3"/>
      <c r="T5290" s="3"/>
      <c r="U5290" s="3"/>
      <c r="V5290" s="3"/>
      <c r="W5290" s="3"/>
      <c r="X5290" s="3"/>
      <c r="Y5290" s="3"/>
      <c r="Z5290" s="4"/>
      <c r="AA5290"/>
      <c r="AB5290"/>
    </row>
    <row r="5291" spans="1:28" s="37" customFormat="1" x14ac:dyDescent="0.15">
      <c r="A5291" s="70"/>
      <c r="B5291" s="118"/>
      <c r="C5291" s="121"/>
      <c r="D5291" s="121"/>
      <c r="E5291" s="121"/>
      <c r="F5291" s="121"/>
      <c r="G5291" s="121"/>
      <c r="H5291" s="93"/>
      <c r="I5291" s="85"/>
      <c r="J5291" s="122"/>
      <c r="K5291" s="131"/>
      <c r="L5291" s="69"/>
      <c r="M5291" s="49"/>
      <c r="Q5291" s="3"/>
      <c r="R5291" s="3"/>
      <c r="S5291" s="3"/>
      <c r="T5291" s="3"/>
      <c r="U5291" s="3"/>
      <c r="V5291" s="3"/>
      <c r="W5291" s="3"/>
      <c r="X5291" s="3"/>
      <c r="Y5291" s="3"/>
      <c r="Z5291" s="4"/>
      <c r="AA5291"/>
      <c r="AB5291"/>
    </row>
    <row r="5292" spans="1:28" s="37" customFormat="1" x14ac:dyDescent="0.15">
      <c r="A5292" s="70"/>
      <c r="B5292" s="118"/>
      <c r="C5292" s="121"/>
      <c r="D5292" s="121"/>
      <c r="E5292" s="121"/>
      <c r="F5292" s="121"/>
      <c r="G5292" s="121"/>
      <c r="H5292" s="93"/>
      <c r="I5292" s="85"/>
      <c r="J5292" s="122"/>
      <c r="K5292" s="131"/>
      <c r="L5292" s="69"/>
      <c r="M5292" s="49"/>
      <c r="Q5292" s="3"/>
      <c r="R5292" s="3"/>
      <c r="S5292" s="3"/>
      <c r="T5292" s="3"/>
      <c r="U5292" s="3"/>
      <c r="V5292" s="3"/>
      <c r="W5292" s="3"/>
      <c r="X5292" s="3"/>
      <c r="Y5292" s="3"/>
      <c r="Z5292" s="4"/>
      <c r="AA5292"/>
      <c r="AB5292"/>
    </row>
    <row r="5293" spans="1:28" s="37" customFormat="1" x14ac:dyDescent="0.15">
      <c r="A5293" s="70"/>
      <c r="B5293" s="118"/>
      <c r="C5293" s="121"/>
      <c r="D5293" s="121"/>
      <c r="E5293" s="121"/>
      <c r="F5293" s="121"/>
      <c r="G5293" s="121"/>
      <c r="H5293" s="93"/>
      <c r="I5293" s="85"/>
      <c r="J5293" s="122"/>
      <c r="K5293" s="131"/>
      <c r="L5293" s="69"/>
      <c r="M5293" s="50"/>
      <c r="Q5293" s="3"/>
      <c r="R5293" s="3"/>
      <c r="S5293" s="3"/>
      <c r="T5293" s="3"/>
      <c r="U5293" s="3"/>
      <c r="V5293" s="3"/>
      <c r="W5293" s="3"/>
      <c r="X5293" s="3"/>
      <c r="Y5293" s="3"/>
      <c r="Z5293" s="4"/>
      <c r="AA5293"/>
      <c r="AB5293"/>
    </row>
    <row r="5294" spans="1:28" s="37" customFormat="1" x14ac:dyDescent="0.15">
      <c r="A5294" s="70"/>
      <c r="B5294" s="118"/>
      <c r="C5294" s="121"/>
      <c r="D5294" s="121"/>
      <c r="E5294" s="121"/>
      <c r="F5294" s="121"/>
      <c r="G5294" s="121"/>
      <c r="H5294" s="93"/>
      <c r="I5294" s="85"/>
      <c r="J5294" s="122"/>
      <c r="K5294" s="131"/>
      <c r="L5294" s="69"/>
      <c r="M5294" s="50"/>
      <c r="Q5294" s="3"/>
      <c r="R5294" s="3"/>
      <c r="S5294" s="3"/>
      <c r="T5294" s="3"/>
      <c r="U5294" s="3"/>
      <c r="V5294" s="3"/>
      <c r="W5294" s="3"/>
      <c r="X5294" s="3"/>
      <c r="Y5294" s="3"/>
      <c r="Z5294" s="4"/>
      <c r="AA5294"/>
      <c r="AB5294"/>
    </row>
    <row r="5295" spans="1:28" s="37" customFormat="1" x14ac:dyDescent="0.15">
      <c r="A5295" s="70"/>
      <c r="B5295" s="118"/>
      <c r="C5295" s="121"/>
      <c r="D5295" s="121"/>
      <c r="E5295" s="121"/>
      <c r="F5295" s="121"/>
      <c r="G5295" s="121"/>
      <c r="H5295" s="93"/>
      <c r="I5295" s="85"/>
      <c r="J5295" s="122"/>
      <c r="K5295" s="131"/>
      <c r="L5295" s="69"/>
      <c r="M5295" s="50"/>
      <c r="Q5295" s="3"/>
      <c r="R5295" s="3"/>
      <c r="S5295" s="3"/>
      <c r="T5295" s="3"/>
      <c r="U5295" s="3"/>
      <c r="V5295" s="3"/>
      <c r="W5295" s="3"/>
      <c r="X5295" s="3"/>
      <c r="Y5295" s="3"/>
      <c r="Z5295" s="4"/>
      <c r="AA5295"/>
      <c r="AB5295"/>
    </row>
    <row r="5296" spans="1:28" s="37" customFormat="1" x14ac:dyDescent="0.15">
      <c r="A5296" s="70"/>
      <c r="B5296" s="118"/>
      <c r="C5296" s="121"/>
      <c r="D5296" s="121"/>
      <c r="E5296" s="121"/>
      <c r="F5296" s="121"/>
      <c r="G5296" s="121"/>
      <c r="H5296" s="93"/>
      <c r="I5296" s="85"/>
      <c r="J5296" s="122"/>
      <c r="K5296" s="131"/>
      <c r="L5296" s="69"/>
      <c r="M5296" s="50"/>
      <c r="Q5296" s="3"/>
      <c r="R5296" s="3"/>
      <c r="S5296" s="3"/>
      <c r="T5296" s="3"/>
      <c r="U5296" s="3"/>
      <c r="V5296" s="3"/>
      <c r="W5296" s="3"/>
      <c r="X5296" s="3"/>
      <c r="Y5296" s="3"/>
      <c r="Z5296" s="4"/>
      <c r="AA5296"/>
      <c r="AB5296"/>
    </row>
    <row r="5297" spans="1:28" s="37" customFormat="1" x14ac:dyDescent="0.15">
      <c r="A5297" s="70"/>
      <c r="B5297" s="118"/>
      <c r="C5297" s="121"/>
      <c r="D5297" s="121"/>
      <c r="E5297" s="121"/>
      <c r="F5297" s="121"/>
      <c r="G5297" s="121"/>
      <c r="H5297" s="93"/>
      <c r="I5297" s="85"/>
      <c r="J5297" s="122"/>
      <c r="K5297" s="131"/>
      <c r="L5297" s="69"/>
      <c r="M5297" s="50"/>
      <c r="Q5297" s="3"/>
      <c r="R5297" s="3"/>
      <c r="S5297" s="3"/>
      <c r="T5297" s="3"/>
      <c r="U5297" s="3"/>
      <c r="V5297" s="3"/>
      <c r="W5297" s="3"/>
      <c r="X5297" s="3"/>
      <c r="Y5297" s="3"/>
      <c r="Z5297" s="4"/>
      <c r="AA5297"/>
      <c r="AB5297"/>
    </row>
    <row r="5298" spans="1:28" s="37" customFormat="1" x14ac:dyDescent="0.15">
      <c r="A5298" s="70"/>
      <c r="B5298" s="118"/>
      <c r="C5298" s="121"/>
      <c r="D5298" s="121"/>
      <c r="E5298" s="121"/>
      <c r="F5298" s="121"/>
      <c r="G5298" s="121"/>
      <c r="H5298" s="93"/>
      <c r="I5298" s="85"/>
      <c r="J5298" s="122"/>
      <c r="K5298" s="131"/>
      <c r="L5298" s="69"/>
      <c r="M5298" s="50"/>
      <c r="Q5298" s="3"/>
      <c r="R5298" s="3"/>
      <c r="S5298" s="3"/>
      <c r="T5298" s="3"/>
      <c r="U5298" s="3"/>
      <c r="V5298" s="3"/>
      <c r="W5298" s="3"/>
      <c r="X5298" s="3"/>
      <c r="Y5298" s="3"/>
      <c r="Z5298" s="4"/>
      <c r="AA5298"/>
      <c r="AB5298"/>
    </row>
    <row r="5299" spans="1:28" s="37" customFormat="1" x14ac:dyDescent="0.15">
      <c r="A5299" s="70"/>
      <c r="B5299" s="118"/>
      <c r="C5299" s="121"/>
      <c r="D5299" s="121"/>
      <c r="E5299" s="121"/>
      <c r="F5299" s="121"/>
      <c r="G5299" s="121"/>
      <c r="H5299" s="93"/>
      <c r="I5299" s="85"/>
      <c r="J5299" s="122"/>
      <c r="K5299" s="131"/>
      <c r="L5299" s="69"/>
      <c r="M5299" s="50"/>
      <c r="Q5299" s="3"/>
      <c r="R5299" s="3"/>
      <c r="S5299" s="3"/>
      <c r="T5299" s="3"/>
      <c r="U5299" s="3"/>
      <c r="V5299" s="3"/>
      <c r="W5299" s="3"/>
      <c r="X5299" s="3"/>
      <c r="Y5299" s="3"/>
      <c r="Z5299" s="4"/>
      <c r="AA5299"/>
      <c r="AB5299"/>
    </row>
    <row r="5300" spans="1:28" s="37" customFormat="1" x14ac:dyDescent="0.15">
      <c r="A5300" s="70"/>
      <c r="B5300" s="118"/>
      <c r="C5300" s="121"/>
      <c r="D5300" s="121"/>
      <c r="E5300" s="121"/>
      <c r="F5300" s="121"/>
      <c r="G5300" s="121"/>
      <c r="H5300" s="93"/>
      <c r="I5300" s="85"/>
      <c r="J5300" s="122"/>
      <c r="K5300" s="131"/>
      <c r="L5300" s="69"/>
      <c r="M5300" s="50"/>
      <c r="Q5300" s="3"/>
      <c r="R5300" s="3"/>
      <c r="S5300" s="3"/>
      <c r="T5300" s="3"/>
      <c r="U5300" s="3"/>
      <c r="V5300" s="3"/>
      <c r="W5300" s="3"/>
      <c r="X5300" s="3"/>
      <c r="Y5300" s="3"/>
      <c r="Z5300" s="4"/>
      <c r="AA5300"/>
      <c r="AB5300"/>
    </row>
    <row r="5301" spans="1:28" s="37" customFormat="1" x14ac:dyDescent="0.15">
      <c r="A5301" s="70"/>
      <c r="B5301" s="118"/>
      <c r="C5301" s="121"/>
      <c r="D5301" s="121"/>
      <c r="E5301" s="121"/>
      <c r="F5301" s="121"/>
      <c r="G5301" s="121"/>
      <c r="H5301" s="93"/>
      <c r="I5301" s="85"/>
      <c r="J5301" s="122"/>
      <c r="K5301" s="131"/>
      <c r="L5301" s="69"/>
      <c r="M5301" s="50"/>
      <c r="Q5301" s="3"/>
      <c r="R5301" s="3"/>
      <c r="S5301" s="3"/>
      <c r="T5301" s="3"/>
      <c r="U5301" s="3"/>
      <c r="V5301" s="3"/>
      <c r="W5301" s="3"/>
      <c r="X5301" s="3"/>
      <c r="Y5301" s="3"/>
      <c r="Z5301" s="4"/>
      <c r="AA5301"/>
      <c r="AB5301"/>
    </row>
    <row r="5302" spans="1:28" s="37" customFormat="1" x14ac:dyDescent="0.15">
      <c r="A5302" s="70"/>
      <c r="B5302" s="118"/>
      <c r="C5302" s="121"/>
      <c r="D5302" s="121"/>
      <c r="E5302" s="121"/>
      <c r="F5302" s="121"/>
      <c r="G5302" s="121"/>
      <c r="H5302" s="93"/>
      <c r="I5302" s="85"/>
      <c r="J5302" s="122"/>
      <c r="K5302" s="131"/>
      <c r="L5302" s="69"/>
      <c r="M5302" s="50"/>
      <c r="Q5302" s="3"/>
      <c r="R5302" s="3"/>
      <c r="S5302" s="3"/>
      <c r="T5302" s="3"/>
      <c r="U5302" s="3"/>
      <c r="V5302" s="3"/>
      <c r="W5302" s="3"/>
      <c r="X5302" s="3"/>
      <c r="Y5302" s="3"/>
      <c r="Z5302" s="4"/>
      <c r="AA5302"/>
      <c r="AB5302"/>
    </row>
    <row r="5303" spans="1:28" s="37" customFormat="1" x14ac:dyDescent="0.15">
      <c r="A5303" s="70"/>
      <c r="B5303" s="118"/>
      <c r="C5303" s="121"/>
      <c r="D5303" s="121"/>
      <c r="E5303" s="121"/>
      <c r="F5303" s="121"/>
      <c r="G5303" s="121"/>
      <c r="H5303" s="93"/>
      <c r="I5303" s="85"/>
      <c r="J5303" s="122"/>
      <c r="K5303" s="131"/>
      <c r="L5303" s="69"/>
      <c r="M5303" s="50"/>
      <c r="Q5303" s="3"/>
      <c r="R5303" s="3"/>
      <c r="S5303" s="3"/>
      <c r="T5303" s="3"/>
      <c r="U5303" s="3"/>
      <c r="V5303" s="3"/>
      <c r="W5303" s="3"/>
      <c r="X5303" s="3"/>
      <c r="Y5303" s="3"/>
      <c r="Z5303" s="4"/>
      <c r="AA5303"/>
      <c r="AB5303"/>
    </row>
    <row r="5304" spans="1:28" s="37" customFormat="1" x14ac:dyDescent="0.15">
      <c r="A5304" s="73"/>
      <c r="B5304" s="118"/>
      <c r="C5304" s="121"/>
      <c r="D5304" s="121"/>
      <c r="E5304" s="121"/>
      <c r="F5304" s="121"/>
      <c r="G5304" s="121"/>
      <c r="H5304" s="93"/>
      <c r="I5304" s="85"/>
      <c r="J5304" s="122"/>
      <c r="K5304" s="131"/>
      <c r="L5304" s="69"/>
      <c r="M5304" s="50"/>
      <c r="Q5304" s="3"/>
      <c r="R5304" s="3"/>
      <c r="S5304" s="3"/>
      <c r="T5304" s="3"/>
      <c r="U5304" s="3"/>
      <c r="V5304" s="3"/>
      <c r="W5304" s="3"/>
      <c r="X5304" s="3"/>
      <c r="Y5304" s="3"/>
      <c r="Z5304" s="4"/>
      <c r="AA5304"/>
      <c r="AB5304"/>
    </row>
    <row r="5305" spans="1:28" s="37" customFormat="1" x14ac:dyDescent="0.15">
      <c r="A5305" s="70"/>
      <c r="B5305" s="118"/>
      <c r="C5305" s="121"/>
      <c r="D5305" s="121"/>
      <c r="E5305" s="121"/>
      <c r="F5305" s="121"/>
      <c r="G5305" s="121"/>
      <c r="H5305" s="93"/>
      <c r="I5305" s="85"/>
      <c r="J5305" s="122"/>
      <c r="K5305" s="134"/>
      <c r="L5305" s="69"/>
      <c r="M5305" s="50"/>
      <c r="Q5305" s="3"/>
      <c r="R5305" s="3"/>
      <c r="S5305" s="3"/>
      <c r="T5305" s="3"/>
      <c r="U5305" s="3"/>
      <c r="V5305" s="3"/>
      <c r="W5305" s="3"/>
      <c r="X5305" s="3"/>
      <c r="Y5305" s="3"/>
      <c r="Z5305" s="4"/>
      <c r="AA5305"/>
      <c r="AB5305"/>
    </row>
    <row r="5306" spans="1:28" s="37" customFormat="1" x14ac:dyDescent="0.15">
      <c r="A5306" s="70"/>
      <c r="B5306" s="118"/>
      <c r="C5306" s="121"/>
      <c r="D5306" s="121"/>
      <c r="E5306" s="121"/>
      <c r="F5306" s="121"/>
      <c r="G5306" s="121"/>
      <c r="H5306" s="93"/>
      <c r="I5306" s="85"/>
      <c r="J5306" s="122"/>
      <c r="K5306" s="131"/>
      <c r="L5306" s="60"/>
      <c r="M5306" s="49"/>
      <c r="Q5306" s="3"/>
      <c r="R5306" s="3"/>
      <c r="S5306" s="3"/>
      <c r="T5306" s="3"/>
      <c r="U5306" s="3"/>
      <c r="V5306" s="3"/>
      <c r="W5306" s="3"/>
      <c r="X5306" s="3"/>
      <c r="Y5306" s="3"/>
      <c r="Z5306" s="4"/>
      <c r="AA5306"/>
      <c r="AB5306"/>
    </row>
    <row r="5307" spans="1:28" s="37" customFormat="1" x14ac:dyDescent="0.15">
      <c r="A5307" s="70"/>
      <c r="B5307" s="118"/>
      <c r="C5307" s="121"/>
      <c r="D5307" s="121"/>
      <c r="E5307" s="121"/>
      <c r="F5307" s="121"/>
      <c r="G5307" s="121"/>
      <c r="H5307" s="93"/>
      <c r="I5307" s="85"/>
      <c r="J5307" s="122"/>
      <c r="K5307" s="131"/>
      <c r="L5307" s="60"/>
      <c r="M5307" s="49"/>
      <c r="Q5307" s="3"/>
      <c r="R5307" s="3"/>
      <c r="S5307" s="3"/>
      <c r="T5307" s="3"/>
      <c r="U5307" s="3"/>
      <c r="V5307" s="3"/>
      <c r="W5307" s="3"/>
      <c r="X5307" s="3"/>
      <c r="Y5307" s="3"/>
      <c r="Z5307" s="4"/>
      <c r="AA5307"/>
      <c r="AB5307"/>
    </row>
    <row r="5308" spans="1:28" s="37" customFormat="1" x14ac:dyDescent="0.15">
      <c r="A5308" s="70"/>
      <c r="B5308" s="118"/>
      <c r="C5308" s="121"/>
      <c r="D5308" s="121"/>
      <c r="E5308" s="121"/>
      <c r="F5308" s="121"/>
      <c r="G5308" s="121"/>
      <c r="H5308" s="93"/>
      <c r="I5308" s="85"/>
      <c r="J5308" s="122"/>
      <c r="K5308" s="131"/>
      <c r="L5308" s="60"/>
      <c r="M5308" s="50"/>
      <c r="Q5308" s="3"/>
      <c r="R5308" s="3"/>
      <c r="S5308" s="3"/>
      <c r="T5308" s="3"/>
      <c r="U5308" s="3"/>
      <c r="V5308" s="3"/>
      <c r="W5308" s="3"/>
      <c r="X5308" s="3"/>
      <c r="Y5308" s="3"/>
      <c r="Z5308" s="4"/>
      <c r="AA5308"/>
      <c r="AB5308"/>
    </row>
    <row r="5309" spans="1:28" s="37" customFormat="1" x14ac:dyDescent="0.15">
      <c r="A5309" s="70"/>
      <c r="B5309" s="118"/>
      <c r="C5309" s="121"/>
      <c r="D5309" s="121"/>
      <c r="E5309" s="121"/>
      <c r="F5309" s="121"/>
      <c r="G5309" s="121"/>
      <c r="H5309" s="93"/>
      <c r="I5309" s="85"/>
      <c r="J5309" s="122"/>
      <c r="K5309" s="131"/>
      <c r="L5309" s="60"/>
      <c r="M5309" s="49"/>
      <c r="Q5309" s="3"/>
      <c r="R5309" s="3"/>
      <c r="S5309" s="3"/>
      <c r="T5309" s="3"/>
      <c r="U5309" s="3"/>
      <c r="V5309" s="3"/>
      <c r="W5309" s="3"/>
      <c r="X5309" s="3"/>
      <c r="Y5309" s="3"/>
      <c r="Z5309" s="4"/>
      <c r="AA5309"/>
      <c r="AB5309"/>
    </row>
    <row r="5310" spans="1:28" s="37" customFormat="1" x14ac:dyDescent="0.15">
      <c r="A5310" s="70"/>
      <c r="B5310" s="118"/>
      <c r="C5310" s="121"/>
      <c r="D5310" s="121"/>
      <c r="E5310" s="121"/>
      <c r="F5310" s="121"/>
      <c r="G5310" s="121"/>
      <c r="H5310" s="93"/>
      <c r="I5310" s="85"/>
      <c r="J5310" s="122"/>
      <c r="K5310" s="131"/>
      <c r="L5310" s="60"/>
      <c r="M5310" s="50"/>
      <c r="Q5310" s="3"/>
      <c r="R5310" s="3"/>
      <c r="S5310" s="3"/>
      <c r="T5310" s="3"/>
      <c r="U5310" s="3"/>
      <c r="V5310" s="3"/>
      <c r="W5310" s="3"/>
      <c r="X5310" s="3"/>
      <c r="Y5310" s="3"/>
      <c r="Z5310" s="4"/>
      <c r="AA5310"/>
      <c r="AB5310"/>
    </row>
    <row r="5311" spans="1:28" s="37" customFormat="1" x14ac:dyDescent="0.15">
      <c r="A5311" s="70"/>
      <c r="B5311" s="118"/>
      <c r="C5311" s="121"/>
      <c r="D5311" s="121"/>
      <c r="E5311" s="121"/>
      <c r="F5311" s="121"/>
      <c r="G5311" s="121"/>
      <c r="H5311" s="93"/>
      <c r="I5311" s="85"/>
      <c r="J5311" s="122"/>
      <c r="K5311" s="131"/>
      <c r="L5311" s="60"/>
      <c r="M5311" s="49"/>
      <c r="Q5311" s="3"/>
      <c r="R5311" s="3"/>
      <c r="S5311" s="3"/>
      <c r="T5311" s="3"/>
      <c r="U5311" s="3"/>
      <c r="V5311" s="3"/>
      <c r="W5311" s="3"/>
      <c r="X5311" s="3"/>
      <c r="Y5311" s="3"/>
      <c r="Z5311" s="4"/>
      <c r="AA5311"/>
      <c r="AB5311"/>
    </row>
    <row r="5312" spans="1:28" s="37" customFormat="1" x14ac:dyDescent="0.15">
      <c r="A5312" s="70"/>
      <c r="B5312" s="118"/>
      <c r="C5312" s="121"/>
      <c r="D5312" s="121"/>
      <c r="E5312" s="121"/>
      <c r="F5312" s="121"/>
      <c r="G5312" s="121"/>
      <c r="H5312" s="93"/>
      <c r="I5312" s="85"/>
      <c r="J5312" s="122"/>
      <c r="K5312" s="131"/>
      <c r="L5312" s="60"/>
      <c r="M5312" s="49"/>
      <c r="Q5312" s="3"/>
      <c r="R5312" s="3"/>
      <c r="S5312" s="3"/>
      <c r="T5312" s="3"/>
      <c r="U5312" s="3"/>
      <c r="V5312" s="3"/>
      <c r="W5312" s="3"/>
      <c r="X5312" s="3"/>
      <c r="Y5312" s="3"/>
      <c r="Z5312" s="4"/>
      <c r="AA5312"/>
      <c r="AB5312"/>
    </row>
    <row r="5313" spans="1:28" s="37" customFormat="1" x14ac:dyDescent="0.15">
      <c r="A5313" s="70"/>
      <c r="B5313" s="118"/>
      <c r="C5313" s="121"/>
      <c r="D5313" s="121"/>
      <c r="E5313" s="121"/>
      <c r="F5313" s="121"/>
      <c r="G5313" s="121"/>
      <c r="H5313" s="93"/>
      <c r="I5313" s="85"/>
      <c r="J5313" s="122"/>
      <c r="K5313" s="131"/>
      <c r="L5313" s="63"/>
      <c r="M5313" s="49"/>
      <c r="Q5313" s="3"/>
      <c r="R5313" s="3"/>
      <c r="S5313" s="3"/>
      <c r="T5313" s="3"/>
      <c r="U5313" s="3"/>
      <c r="V5313" s="3"/>
      <c r="W5313" s="3"/>
      <c r="X5313" s="3"/>
      <c r="Y5313" s="3"/>
      <c r="Z5313" s="4"/>
      <c r="AA5313"/>
      <c r="AB5313"/>
    </row>
    <row r="5314" spans="1:28" s="37" customFormat="1" x14ac:dyDescent="0.15">
      <c r="A5314" s="70"/>
      <c r="B5314" s="118"/>
      <c r="C5314" s="121"/>
      <c r="D5314" s="121"/>
      <c r="E5314" s="121"/>
      <c r="F5314" s="121"/>
      <c r="G5314" s="121"/>
      <c r="H5314" s="93"/>
      <c r="I5314" s="85"/>
      <c r="J5314" s="122"/>
      <c r="K5314" s="131"/>
      <c r="L5314" s="60"/>
      <c r="M5314" s="49"/>
      <c r="Q5314" s="3"/>
      <c r="R5314" s="3"/>
      <c r="S5314" s="3"/>
      <c r="T5314" s="3"/>
      <c r="U5314" s="3"/>
      <c r="V5314" s="3"/>
      <c r="W5314" s="3"/>
      <c r="X5314" s="3"/>
      <c r="Y5314" s="3"/>
      <c r="Z5314" s="4"/>
      <c r="AA5314"/>
      <c r="AB5314"/>
    </row>
    <row r="5315" spans="1:28" s="37" customFormat="1" x14ac:dyDescent="0.15">
      <c r="A5315" s="73"/>
      <c r="B5315" s="118"/>
      <c r="C5315" s="121"/>
      <c r="D5315" s="121"/>
      <c r="E5315" s="121"/>
      <c r="F5315" s="121"/>
      <c r="G5315" s="121"/>
      <c r="H5315" s="93"/>
      <c r="I5315" s="85"/>
      <c r="J5315" s="122"/>
      <c r="K5315" s="131"/>
      <c r="L5315" s="69"/>
      <c r="M5315" s="49"/>
      <c r="Q5315" s="3"/>
      <c r="R5315" s="3"/>
      <c r="S5315" s="3"/>
      <c r="T5315" s="3"/>
      <c r="U5315" s="3"/>
      <c r="V5315" s="3"/>
      <c r="W5315" s="3"/>
      <c r="X5315" s="3"/>
      <c r="Y5315" s="3"/>
      <c r="Z5315" s="4"/>
      <c r="AA5315"/>
      <c r="AB5315"/>
    </row>
    <row r="5316" spans="1:28" s="37" customFormat="1" x14ac:dyDescent="0.15">
      <c r="A5316" s="70"/>
      <c r="B5316" s="118"/>
      <c r="C5316" s="121"/>
      <c r="D5316" s="121"/>
      <c r="E5316" s="121"/>
      <c r="F5316" s="121"/>
      <c r="G5316" s="121"/>
      <c r="H5316" s="93"/>
      <c r="I5316" s="85"/>
      <c r="J5316" s="85"/>
      <c r="K5316" s="131"/>
      <c r="L5316" s="69"/>
      <c r="M5316" s="50"/>
      <c r="Q5316" s="3"/>
      <c r="R5316" s="3"/>
      <c r="S5316" s="3"/>
      <c r="T5316" s="3"/>
      <c r="U5316" s="3"/>
      <c r="V5316" s="3"/>
      <c r="W5316" s="3"/>
      <c r="X5316" s="3"/>
      <c r="Y5316" s="3"/>
      <c r="Z5316" s="4"/>
      <c r="AA5316"/>
      <c r="AB5316"/>
    </row>
    <row r="5317" spans="1:28" s="37" customFormat="1" x14ac:dyDescent="0.15">
      <c r="A5317" s="70"/>
      <c r="B5317" s="118"/>
      <c r="C5317" s="121"/>
      <c r="D5317" s="121"/>
      <c r="E5317" s="121"/>
      <c r="F5317" s="121"/>
      <c r="G5317" s="121"/>
      <c r="H5317" s="93"/>
      <c r="I5317" s="85"/>
      <c r="J5317" s="122"/>
      <c r="K5317" s="131"/>
      <c r="L5317" s="72"/>
      <c r="M5317" s="50"/>
      <c r="Q5317" s="3"/>
      <c r="R5317" s="3"/>
      <c r="S5317" s="3"/>
      <c r="T5317" s="3"/>
      <c r="U5317" s="3"/>
      <c r="V5317" s="3"/>
      <c r="W5317" s="3"/>
      <c r="X5317" s="3"/>
      <c r="Y5317" s="3"/>
      <c r="Z5317" s="4"/>
      <c r="AA5317"/>
      <c r="AB5317"/>
    </row>
    <row r="5318" spans="1:28" s="37" customFormat="1" x14ac:dyDescent="0.15">
      <c r="A5318" s="70"/>
      <c r="B5318" s="118"/>
      <c r="C5318" s="121"/>
      <c r="D5318" s="121"/>
      <c r="E5318" s="121"/>
      <c r="F5318" s="121"/>
      <c r="G5318" s="121"/>
      <c r="H5318" s="93"/>
      <c r="I5318" s="85"/>
      <c r="J5318" s="122"/>
      <c r="K5318" s="131"/>
      <c r="L5318" s="60"/>
      <c r="M5318" s="50"/>
      <c r="Q5318" s="3"/>
      <c r="R5318" s="3"/>
      <c r="S5318" s="3"/>
      <c r="T5318" s="3"/>
      <c r="U5318" s="3"/>
      <c r="V5318" s="3"/>
      <c r="W5318" s="3"/>
      <c r="X5318" s="3"/>
      <c r="Y5318" s="3"/>
      <c r="Z5318" s="4"/>
      <c r="AA5318"/>
      <c r="AB5318"/>
    </row>
    <row r="5319" spans="1:28" s="37" customFormat="1" x14ac:dyDescent="0.15">
      <c r="A5319" s="70"/>
      <c r="B5319" s="118"/>
      <c r="C5319" s="121"/>
      <c r="D5319" s="121"/>
      <c r="E5319" s="121"/>
      <c r="F5319" s="121"/>
      <c r="G5319" s="121"/>
      <c r="H5319" s="93"/>
      <c r="I5319" s="85"/>
      <c r="J5319" s="122"/>
      <c r="K5319" s="131"/>
      <c r="L5319" s="69"/>
      <c r="M5319" s="50"/>
      <c r="Q5319" s="3"/>
      <c r="R5319" s="3"/>
      <c r="S5319" s="3"/>
      <c r="T5319" s="3"/>
      <c r="U5319" s="3"/>
      <c r="V5319" s="3"/>
      <c r="W5319" s="3"/>
      <c r="X5319" s="3"/>
      <c r="Y5319" s="3"/>
      <c r="Z5319" s="4"/>
      <c r="AA5319"/>
      <c r="AB5319"/>
    </row>
    <row r="5320" spans="1:28" s="37" customFormat="1" x14ac:dyDescent="0.15">
      <c r="A5320" s="70"/>
      <c r="B5320" s="118"/>
      <c r="C5320" s="121"/>
      <c r="D5320" s="121"/>
      <c r="E5320" s="121"/>
      <c r="F5320" s="121"/>
      <c r="G5320" s="121"/>
      <c r="H5320" s="93"/>
      <c r="I5320" s="85"/>
      <c r="J5320" s="122"/>
      <c r="K5320" s="131"/>
      <c r="L5320" s="69"/>
      <c r="M5320" s="49"/>
      <c r="Q5320" s="3"/>
      <c r="R5320" s="3"/>
      <c r="S5320" s="3"/>
      <c r="T5320" s="3"/>
      <c r="U5320" s="3"/>
      <c r="V5320" s="3"/>
      <c r="W5320" s="3"/>
      <c r="X5320" s="3"/>
      <c r="Y5320" s="3"/>
      <c r="Z5320" s="4"/>
      <c r="AA5320"/>
      <c r="AB5320"/>
    </row>
    <row r="5321" spans="1:28" s="37" customFormat="1" x14ac:dyDescent="0.15">
      <c r="A5321" s="70"/>
      <c r="B5321" s="118"/>
      <c r="C5321" s="121"/>
      <c r="D5321" s="121"/>
      <c r="E5321" s="121"/>
      <c r="F5321" s="121"/>
      <c r="G5321" s="121"/>
      <c r="H5321" s="93"/>
      <c r="I5321" s="85"/>
      <c r="J5321" s="122"/>
      <c r="K5321" s="131"/>
      <c r="L5321" s="69"/>
      <c r="M5321" s="49"/>
      <c r="Q5321" s="3"/>
      <c r="R5321" s="3"/>
      <c r="S5321" s="3"/>
      <c r="T5321" s="3"/>
      <c r="U5321" s="3"/>
      <c r="V5321" s="3"/>
      <c r="W5321" s="3"/>
      <c r="X5321" s="3"/>
      <c r="Y5321" s="3"/>
      <c r="Z5321" s="4"/>
      <c r="AA5321"/>
      <c r="AB5321"/>
    </row>
    <row r="5322" spans="1:28" s="37" customFormat="1" x14ac:dyDescent="0.15">
      <c r="A5322" s="70"/>
      <c r="B5322" s="118"/>
      <c r="C5322" s="121"/>
      <c r="D5322" s="121"/>
      <c r="E5322" s="121"/>
      <c r="F5322" s="121"/>
      <c r="G5322" s="121"/>
      <c r="H5322" s="93"/>
      <c r="I5322" s="85"/>
      <c r="J5322" s="122"/>
      <c r="K5322" s="131"/>
      <c r="L5322" s="60"/>
      <c r="M5322" s="49"/>
      <c r="Q5322" s="3"/>
      <c r="R5322" s="3"/>
      <c r="S5322" s="3"/>
      <c r="T5322" s="3"/>
      <c r="U5322" s="3"/>
      <c r="V5322" s="3"/>
      <c r="W5322" s="3"/>
      <c r="X5322" s="3"/>
      <c r="Y5322" s="3"/>
      <c r="Z5322" s="4"/>
      <c r="AA5322"/>
      <c r="AB5322"/>
    </row>
    <row r="5323" spans="1:28" s="37" customFormat="1" x14ac:dyDescent="0.15">
      <c r="A5323" s="70"/>
      <c r="B5323" s="118"/>
      <c r="C5323" s="121"/>
      <c r="D5323" s="121"/>
      <c r="E5323" s="121"/>
      <c r="F5323" s="121"/>
      <c r="G5323" s="121"/>
      <c r="H5323" s="93"/>
      <c r="I5323" s="85"/>
      <c r="J5323" s="122"/>
      <c r="K5323" s="131"/>
      <c r="L5323" s="69"/>
      <c r="M5323" s="49"/>
      <c r="Q5323" s="3"/>
      <c r="R5323" s="3"/>
      <c r="S5323" s="3"/>
      <c r="T5323" s="3"/>
      <c r="U5323" s="3"/>
      <c r="V5323" s="3"/>
      <c r="W5323" s="3"/>
      <c r="X5323" s="3"/>
      <c r="Y5323" s="3"/>
      <c r="Z5323" s="4"/>
      <c r="AA5323"/>
      <c r="AB5323"/>
    </row>
    <row r="5324" spans="1:28" s="37" customFormat="1" x14ac:dyDescent="0.15">
      <c r="A5324" s="70"/>
      <c r="B5324" s="118"/>
      <c r="C5324" s="121"/>
      <c r="D5324" s="121"/>
      <c r="E5324" s="121"/>
      <c r="F5324" s="121"/>
      <c r="G5324" s="121"/>
      <c r="H5324" s="93"/>
      <c r="I5324" s="85"/>
      <c r="J5324" s="122"/>
      <c r="K5324" s="131"/>
      <c r="L5324" s="69"/>
      <c r="M5324" s="49"/>
      <c r="Q5324" s="3"/>
      <c r="R5324" s="3"/>
      <c r="S5324" s="3"/>
      <c r="T5324" s="3"/>
      <c r="U5324" s="3"/>
      <c r="V5324" s="3"/>
      <c r="W5324" s="3"/>
      <c r="X5324" s="3"/>
      <c r="Y5324" s="3"/>
      <c r="Z5324" s="4"/>
      <c r="AA5324"/>
      <c r="AB5324"/>
    </row>
    <row r="5325" spans="1:28" s="37" customFormat="1" x14ac:dyDescent="0.15">
      <c r="A5325" s="70"/>
      <c r="B5325" s="118"/>
      <c r="C5325" s="121"/>
      <c r="D5325" s="121"/>
      <c r="E5325" s="121"/>
      <c r="F5325" s="121"/>
      <c r="G5325" s="121"/>
      <c r="H5325" s="93"/>
      <c r="I5325" s="85"/>
      <c r="J5325" s="122"/>
      <c r="K5325" s="131"/>
      <c r="L5325" s="60"/>
      <c r="M5325" s="49"/>
      <c r="Q5325" s="3"/>
      <c r="R5325" s="3"/>
      <c r="S5325" s="3"/>
      <c r="T5325" s="3"/>
      <c r="U5325" s="3"/>
      <c r="V5325" s="3"/>
      <c r="W5325" s="3"/>
      <c r="X5325" s="3"/>
      <c r="Y5325" s="3"/>
      <c r="Z5325" s="4"/>
      <c r="AA5325"/>
      <c r="AB5325"/>
    </row>
    <row r="5326" spans="1:28" s="37" customFormat="1" x14ac:dyDescent="0.15">
      <c r="A5326" s="73"/>
      <c r="B5326" s="118"/>
      <c r="C5326" s="121"/>
      <c r="D5326" s="121"/>
      <c r="E5326" s="121"/>
      <c r="F5326" s="121"/>
      <c r="G5326" s="121"/>
      <c r="H5326" s="93"/>
      <c r="I5326" s="85"/>
      <c r="J5326" s="122"/>
      <c r="K5326" s="131"/>
      <c r="L5326" s="60"/>
      <c r="M5326" s="49"/>
      <c r="Q5326" s="3"/>
      <c r="R5326" s="3"/>
      <c r="S5326" s="3"/>
      <c r="T5326" s="3"/>
      <c r="U5326" s="3"/>
      <c r="V5326" s="3"/>
      <c r="W5326" s="3"/>
      <c r="X5326" s="3"/>
      <c r="Y5326" s="3"/>
      <c r="Z5326" s="4"/>
      <c r="AA5326"/>
      <c r="AB5326"/>
    </row>
    <row r="5327" spans="1:28" s="37" customFormat="1" x14ac:dyDescent="0.15">
      <c r="A5327" s="70"/>
      <c r="B5327" s="118"/>
      <c r="C5327" s="121"/>
      <c r="D5327" s="121"/>
      <c r="E5327" s="121"/>
      <c r="F5327" s="121"/>
      <c r="G5327" s="121"/>
      <c r="H5327" s="93"/>
      <c r="I5327" s="85"/>
      <c r="J5327" s="122"/>
      <c r="K5327" s="131"/>
      <c r="L5327" s="60"/>
      <c r="M5327" s="49"/>
      <c r="Q5327" s="3"/>
      <c r="R5327" s="3"/>
      <c r="S5327" s="3"/>
      <c r="T5327" s="3"/>
      <c r="U5327" s="3"/>
      <c r="V5327" s="3"/>
      <c r="W5327" s="3"/>
      <c r="X5327" s="3"/>
      <c r="Y5327" s="3"/>
      <c r="Z5327" s="4"/>
      <c r="AA5327"/>
      <c r="AB5327"/>
    </row>
    <row r="5328" spans="1:28" s="37" customFormat="1" ht="16" x14ac:dyDescent="0.2">
      <c r="A5328" s="70"/>
      <c r="B5328" s="118"/>
      <c r="C5328" s="121"/>
      <c r="D5328" s="121"/>
      <c r="E5328" s="121"/>
      <c r="F5328" s="121"/>
      <c r="G5328" s="121"/>
      <c r="H5328" s="93"/>
      <c r="I5328" s="85"/>
      <c r="J5328" s="122"/>
      <c r="K5328" s="131"/>
      <c r="L5328" s="60"/>
      <c r="M5328" s="49"/>
      <c r="N5328" s="48"/>
      <c r="Q5328" s="3"/>
      <c r="R5328" s="3"/>
      <c r="S5328" s="3"/>
      <c r="T5328" s="3"/>
      <c r="U5328" s="3"/>
      <c r="V5328" s="3"/>
      <c r="W5328" s="3"/>
      <c r="X5328" s="3"/>
      <c r="Y5328" s="3"/>
      <c r="Z5328" s="4"/>
      <c r="AA5328"/>
      <c r="AB5328"/>
    </row>
    <row r="5329" spans="1:28" s="37" customFormat="1" x14ac:dyDescent="0.15">
      <c r="A5329" s="70"/>
      <c r="B5329" s="118"/>
      <c r="C5329" s="121"/>
      <c r="D5329" s="121"/>
      <c r="E5329" s="121"/>
      <c r="F5329" s="121"/>
      <c r="G5329" s="121"/>
      <c r="H5329" s="93"/>
      <c r="I5329" s="85"/>
      <c r="J5329" s="122"/>
      <c r="K5329" s="131"/>
      <c r="L5329" s="60"/>
      <c r="M5329" s="49"/>
      <c r="Q5329" s="3"/>
      <c r="R5329" s="3"/>
      <c r="S5329" s="3"/>
      <c r="T5329" s="3"/>
      <c r="U5329" s="3"/>
      <c r="V5329" s="3"/>
      <c r="W5329" s="3"/>
      <c r="X5329" s="3"/>
      <c r="Y5329" s="3"/>
      <c r="Z5329" s="4"/>
      <c r="AA5329"/>
      <c r="AB5329"/>
    </row>
    <row r="5330" spans="1:28" s="37" customFormat="1" x14ac:dyDescent="0.15">
      <c r="A5330" s="70"/>
      <c r="B5330" s="118"/>
      <c r="C5330" s="121"/>
      <c r="D5330" s="121"/>
      <c r="E5330" s="121"/>
      <c r="F5330" s="121"/>
      <c r="G5330" s="121"/>
      <c r="H5330" s="93"/>
      <c r="I5330" s="85"/>
      <c r="J5330" s="122"/>
      <c r="K5330" s="131"/>
      <c r="L5330" s="60"/>
      <c r="M5330" s="50"/>
      <c r="Q5330" s="3"/>
      <c r="R5330" s="3"/>
      <c r="S5330" s="3"/>
      <c r="T5330" s="3"/>
      <c r="U5330" s="3"/>
      <c r="V5330" s="3"/>
      <c r="W5330" s="3"/>
      <c r="X5330" s="3"/>
      <c r="Y5330" s="3"/>
      <c r="Z5330" s="4"/>
      <c r="AA5330"/>
      <c r="AB5330"/>
    </row>
    <row r="5331" spans="1:28" s="37" customFormat="1" x14ac:dyDescent="0.15">
      <c r="A5331" s="70"/>
      <c r="B5331" s="118"/>
      <c r="C5331" s="121"/>
      <c r="D5331" s="121"/>
      <c r="E5331" s="121"/>
      <c r="F5331" s="121"/>
      <c r="G5331" s="121"/>
      <c r="H5331" s="93"/>
      <c r="I5331" s="85"/>
      <c r="J5331" s="122"/>
      <c r="K5331" s="131"/>
      <c r="L5331" s="60"/>
      <c r="M5331" s="49"/>
      <c r="Q5331" s="3"/>
      <c r="R5331" s="3"/>
      <c r="S5331" s="3"/>
      <c r="T5331" s="3"/>
      <c r="U5331" s="3"/>
      <c r="V5331" s="3"/>
      <c r="W5331" s="3"/>
      <c r="X5331" s="3"/>
      <c r="Y5331" s="3"/>
      <c r="Z5331" s="4"/>
      <c r="AA5331"/>
      <c r="AB5331"/>
    </row>
    <row r="5332" spans="1:28" s="37" customFormat="1" x14ac:dyDescent="0.15">
      <c r="A5332" s="70"/>
      <c r="B5332" s="118"/>
      <c r="C5332" s="121"/>
      <c r="D5332" s="121"/>
      <c r="E5332" s="121"/>
      <c r="F5332" s="121"/>
      <c r="G5332" s="121"/>
      <c r="H5332" s="93"/>
      <c r="I5332" s="85"/>
      <c r="J5332" s="122"/>
      <c r="K5332" s="131"/>
      <c r="L5332" s="60"/>
      <c r="M5332" s="49"/>
      <c r="Q5332" s="3"/>
      <c r="R5332" s="3"/>
      <c r="S5332" s="3"/>
      <c r="T5332" s="3"/>
      <c r="U5332" s="3"/>
      <c r="V5332" s="3"/>
      <c r="W5332" s="3"/>
      <c r="X5332" s="3"/>
      <c r="Y5332" s="3"/>
      <c r="Z5332" s="4"/>
      <c r="AA5332"/>
      <c r="AB5332"/>
    </row>
    <row r="5333" spans="1:28" s="37" customFormat="1" x14ac:dyDescent="0.15">
      <c r="A5333" s="70"/>
      <c r="B5333" s="118"/>
      <c r="C5333" s="121"/>
      <c r="D5333" s="121"/>
      <c r="E5333" s="121"/>
      <c r="F5333" s="121"/>
      <c r="G5333" s="121"/>
      <c r="H5333" s="93"/>
      <c r="I5333" s="85"/>
      <c r="J5333" s="122"/>
      <c r="K5333" s="131"/>
      <c r="L5333" s="60"/>
      <c r="M5333" s="49"/>
      <c r="Q5333" s="3"/>
      <c r="R5333" s="3"/>
      <c r="S5333" s="3"/>
      <c r="T5333" s="3"/>
      <c r="U5333" s="3"/>
      <c r="V5333" s="3"/>
      <c r="W5333" s="3"/>
      <c r="X5333" s="3"/>
      <c r="Y5333" s="3"/>
      <c r="Z5333" s="4"/>
      <c r="AA5333"/>
      <c r="AB5333"/>
    </row>
    <row r="5334" spans="1:28" s="37" customFormat="1" x14ac:dyDescent="0.15">
      <c r="A5334" s="70"/>
      <c r="B5334" s="118"/>
      <c r="C5334" s="121"/>
      <c r="D5334" s="121"/>
      <c r="E5334" s="121"/>
      <c r="F5334" s="121"/>
      <c r="G5334" s="121"/>
      <c r="H5334" s="93"/>
      <c r="I5334" s="85"/>
      <c r="J5334" s="122"/>
      <c r="K5334" s="131"/>
      <c r="L5334" s="60"/>
      <c r="M5334" s="50"/>
      <c r="O5334" s="51"/>
      <c r="Q5334" s="3"/>
      <c r="R5334" s="3"/>
      <c r="S5334" s="3"/>
      <c r="T5334" s="3"/>
      <c r="U5334" s="3"/>
      <c r="V5334" s="3"/>
      <c r="W5334" s="3"/>
      <c r="X5334" s="3"/>
      <c r="Y5334" s="3"/>
      <c r="Z5334" s="4"/>
      <c r="AA5334"/>
      <c r="AB5334"/>
    </row>
    <row r="5335" spans="1:28" s="37" customFormat="1" ht="16" x14ac:dyDescent="0.2">
      <c r="A5335" s="70"/>
      <c r="B5335" s="118"/>
      <c r="C5335" s="121"/>
      <c r="D5335" s="121"/>
      <c r="E5335" s="121"/>
      <c r="F5335" s="121"/>
      <c r="G5335" s="121"/>
      <c r="H5335" s="93"/>
      <c r="I5335" s="85"/>
      <c r="J5335" s="122"/>
      <c r="K5335" s="131"/>
      <c r="L5335" s="60"/>
      <c r="M5335" s="50"/>
      <c r="N5335" s="48"/>
      <c r="Q5335" s="3"/>
      <c r="R5335" s="3"/>
      <c r="S5335" s="3"/>
      <c r="T5335" s="3"/>
      <c r="U5335" s="3"/>
      <c r="V5335" s="3"/>
      <c r="W5335" s="3"/>
      <c r="X5335" s="3"/>
      <c r="Y5335" s="3"/>
      <c r="Z5335" s="4"/>
      <c r="AA5335"/>
      <c r="AB5335"/>
    </row>
    <row r="5336" spans="1:28" s="37" customFormat="1" x14ac:dyDescent="0.15">
      <c r="A5336" s="70"/>
      <c r="B5336" s="118"/>
      <c r="C5336" s="121"/>
      <c r="D5336" s="121"/>
      <c r="E5336" s="121"/>
      <c r="F5336" s="121"/>
      <c r="G5336" s="121"/>
      <c r="H5336" s="93"/>
      <c r="I5336" s="85"/>
      <c r="J5336" s="122"/>
      <c r="K5336" s="131"/>
      <c r="L5336" s="60"/>
      <c r="M5336" s="49"/>
      <c r="Q5336" s="3"/>
      <c r="R5336" s="3"/>
      <c r="S5336" s="3"/>
      <c r="T5336" s="3"/>
      <c r="U5336" s="3"/>
      <c r="V5336" s="3"/>
      <c r="W5336" s="3"/>
      <c r="X5336" s="3"/>
      <c r="Y5336" s="3"/>
      <c r="Z5336" s="4"/>
      <c r="AA5336"/>
      <c r="AB5336"/>
    </row>
    <row r="5337" spans="1:28" s="37" customFormat="1" x14ac:dyDescent="0.15">
      <c r="A5337" s="70"/>
      <c r="B5337" s="118"/>
      <c r="C5337" s="121"/>
      <c r="D5337" s="121"/>
      <c r="E5337" s="121"/>
      <c r="F5337" s="121"/>
      <c r="G5337" s="121"/>
      <c r="H5337" s="93"/>
      <c r="I5337" s="85"/>
      <c r="J5337" s="122"/>
      <c r="K5337" s="131"/>
      <c r="L5337" s="60"/>
      <c r="M5337" s="49"/>
      <c r="Q5337" s="3"/>
      <c r="R5337" s="3"/>
      <c r="S5337" s="3"/>
      <c r="T5337" s="3"/>
      <c r="U5337" s="3"/>
      <c r="V5337" s="3"/>
      <c r="W5337" s="3"/>
      <c r="X5337" s="3"/>
      <c r="Y5337" s="3"/>
      <c r="Z5337" s="4"/>
      <c r="AA5337"/>
      <c r="AB5337"/>
    </row>
    <row r="5338" spans="1:28" s="37" customFormat="1" x14ac:dyDescent="0.15">
      <c r="A5338" s="70"/>
      <c r="B5338" s="118"/>
      <c r="C5338" s="121"/>
      <c r="D5338" s="121"/>
      <c r="E5338" s="121"/>
      <c r="F5338" s="121"/>
      <c r="G5338" s="121"/>
      <c r="H5338" s="93"/>
      <c r="I5338" s="85"/>
      <c r="J5338" s="122"/>
      <c r="K5338" s="131"/>
      <c r="L5338" s="60"/>
      <c r="M5338" s="49"/>
      <c r="Q5338" s="3"/>
      <c r="R5338" s="3"/>
      <c r="S5338" s="3"/>
      <c r="T5338" s="3"/>
      <c r="U5338" s="3"/>
      <c r="V5338" s="3"/>
      <c r="W5338" s="3"/>
      <c r="X5338" s="3"/>
      <c r="Y5338" s="3"/>
      <c r="Z5338" s="4"/>
      <c r="AA5338"/>
      <c r="AB5338"/>
    </row>
    <row r="5339" spans="1:28" s="37" customFormat="1" x14ac:dyDescent="0.15">
      <c r="A5339" s="70"/>
      <c r="B5339" s="118"/>
      <c r="C5339" s="121"/>
      <c r="D5339" s="121"/>
      <c r="E5339" s="121"/>
      <c r="F5339" s="121"/>
      <c r="G5339" s="121"/>
      <c r="H5339" s="93"/>
      <c r="I5339" s="85"/>
      <c r="J5339" s="122"/>
      <c r="K5339" s="131"/>
      <c r="L5339" s="60"/>
      <c r="M5339" s="50"/>
      <c r="Q5339" s="3"/>
      <c r="R5339" s="3"/>
      <c r="S5339" s="3"/>
      <c r="T5339" s="3"/>
      <c r="U5339" s="3"/>
      <c r="V5339" s="3"/>
      <c r="W5339" s="3"/>
      <c r="X5339" s="3"/>
      <c r="Y5339" s="3"/>
      <c r="Z5339" s="4"/>
      <c r="AA5339"/>
      <c r="AB5339"/>
    </row>
    <row r="5340" spans="1:28" s="37" customFormat="1" x14ac:dyDescent="0.15">
      <c r="A5340" s="70"/>
      <c r="B5340" s="118"/>
      <c r="C5340" s="121"/>
      <c r="D5340" s="121"/>
      <c r="E5340" s="121"/>
      <c r="F5340" s="121"/>
      <c r="G5340" s="121"/>
      <c r="H5340" s="93"/>
      <c r="I5340" s="85"/>
      <c r="J5340" s="122"/>
      <c r="K5340" s="131"/>
      <c r="L5340" s="60"/>
      <c r="M5340" s="50"/>
      <c r="Q5340" s="3"/>
      <c r="R5340" s="3"/>
      <c r="S5340" s="3"/>
      <c r="T5340" s="3"/>
      <c r="U5340" s="3"/>
      <c r="V5340" s="3"/>
      <c r="W5340" s="3"/>
      <c r="X5340" s="3"/>
      <c r="Y5340" s="3"/>
      <c r="Z5340" s="4"/>
      <c r="AA5340"/>
      <c r="AB5340"/>
    </row>
    <row r="5341" spans="1:28" s="37" customFormat="1" ht="16" x14ac:dyDescent="0.2">
      <c r="A5341" s="70"/>
      <c r="B5341" s="118"/>
      <c r="C5341" s="121"/>
      <c r="D5341" s="121"/>
      <c r="E5341" s="121"/>
      <c r="F5341" s="121"/>
      <c r="G5341" s="121"/>
      <c r="H5341" s="93"/>
      <c r="I5341" s="85"/>
      <c r="J5341" s="122"/>
      <c r="K5341" s="131"/>
      <c r="L5341" s="60"/>
      <c r="M5341" s="50"/>
      <c r="N5341" s="48"/>
      <c r="Q5341" s="3"/>
      <c r="R5341" s="3"/>
      <c r="S5341" s="3"/>
      <c r="T5341" s="3"/>
      <c r="U5341" s="3"/>
      <c r="V5341" s="3"/>
      <c r="W5341" s="3"/>
      <c r="X5341" s="3"/>
      <c r="Y5341" s="3"/>
      <c r="Z5341" s="4"/>
      <c r="AA5341"/>
      <c r="AB5341"/>
    </row>
    <row r="5342" spans="1:28" s="37" customFormat="1" x14ac:dyDescent="0.15">
      <c r="A5342" s="73"/>
      <c r="B5342" s="118"/>
      <c r="C5342" s="121"/>
      <c r="D5342" s="121"/>
      <c r="E5342" s="121"/>
      <c r="F5342" s="121"/>
      <c r="G5342" s="121"/>
      <c r="H5342" s="93"/>
      <c r="I5342" s="85"/>
      <c r="J5342" s="122"/>
      <c r="K5342" s="131"/>
      <c r="L5342" s="60"/>
      <c r="M5342" s="50"/>
      <c r="Q5342" s="3"/>
      <c r="R5342" s="3"/>
      <c r="S5342" s="3"/>
      <c r="T5342" s="3"/>
      <c r="U5342" s="3"/>
      <c r="V5342" s="3"/>
      <c r="W5342" s="3"/>
      <c r="X5342" s="3"/>
      <c r="Y5342" s="3"/>
      <c r="Z5342" s="4"/>
      <c r="AA5342"/>
      <c r="AB5342"/>
    </row>
    <row r="5343" spans="1:28" s="37" customFormat="1" ht="16" x14ac:dyDescent="0.2">
      <c r="A5343" s="70"/>
      <c r="B5343" s="118"/>
      <c r="C5343" s="121"/>
      <c r="D5343" s="121"/>
      <c r="E5343" s="121"/>
      <c r="F5343" s="121"/>
      <c r="G5343" s="121"/>
      <c r="H5343" s="93"/>
      <c r="I5343" s="85"/>
      <c r="J5343" s="122"/>
      <c r="K5343" s="131"/>
      <c r="L5343" s="60"/>
      <c r="M5343" s="49"/>
      <c r="N5343" s="48"/>
      <c r="Q5343" s="3"/>
      <c r="R5343" s="3"/>
      <c r="S5343" s="3"/>
      <c r="T5343" s="3"/>
      <c r="U5343" s="3"/>
      <c r="V5343" s="3"/>
      <c r="W5343" s="3"/>
      <c r="X5343" s="3"/>
      <c r="Y5343" s="3"/>
      <c r="Z5343" s="4"/>
      <c r="AA5343"/>
      <c r="AB5343"/>
    </row>
    <row r="5344" spans="1:28" s="37" customFormat="1" x14ac:dyDescent="0.15">
      <c r="A5344" s="70"/>
      <c r="B5344" s="118"/>
      <c r="C5344" s="121"/>
      <c r="D5344" s="121"/>
      <c r="E5344" s="121"/>
      <c r="F5344" s="121"/>
      <c r="G5344" s="121"/>
      <c r="H5344" s="93"/>
      <c r="I5344" s="85"/>
      <c r="J5344" s="122"/>
      <c r="K5344" s="131"/>
      <c r="L5344" s="60"/>
      <c r="M5344" s="49"/>
      <c r="Q5344" s="3"/>
      <c r="R5344" s="3"/>
      <c r="S5344" s="3"/>
      <c r="T5344" s="3"/>
      <c r="U5344" s="3"/>
      <c r="V5344" s="3"/>
      <c r="W5344" s="3"/>
      <c r="X5344" s="3"/>
      <c r="Y5344" s="3"/>
      <c r="Z5344" s="4"/>
      <c r="AA5344"/>
      <c r="AB5344"/>
    </row>
    <row r="5345" spans="1:28" s="37" customFormat="1" x14ac:dyDescent="0.15">
      <c r="A5345" s="70"/>
      <c r="B5345" s="118"/>
      <c r="C5345" s="121"/>
      <c r="D5345" s="121"/>
      <c r="E5345" s="121"/>
      <c r="F5345" s="121"/>
      <c r="G5345" s="121"/>
      <c r="H5345" s="93"/>
      <c r="I5345" s="85"/>
      <c r="J5345" s="122"/>
      <c r="K5345" s="131"/>
      <c r="L5345" s="60"/>
      <c r="M5345" s="50"/>
      <c r="Q5345" s="3"/>
      <c r="R5345" s="3"/>
      <c r="S5345" s="3"/>
      <c r="T5345" s="3"/>
      <c r="U5345" s="3"/>
      <c r="V5345" s="3"/>
      <c r="W5345" s="3"/>
      <c r="X5345" s="3"/>
      <c r="Y5345" s="3"/>
      <c r="Z5345" s="4"/>
      <c r="AA5345"/>
      <c r="AB5345"/>
    </row>
    <row r="5346" spans="1:28" s="37" customFormat="1" x14ac:dyDescent="0.15">
      <c r="A5346" s="73"/>
      <c r="B5346" s="118"/>
      <c r="C5346" s="121"/>
      <c r="D5346" s="121"/>
      <c r="E5346" s="121"/>
      <c r="F5346" s="121"/>
      <c r="G5346" s="121"/>
      <c r="H5346" s="93"/>
      <c r="I5346" s="85"/>
      <c r="J5346" s="122"/>
      <c r="K5346" s="131"/>
      <c r="L5346" s="60"/>
      <c r="M5346" s="49"/>
      <c r="Q5346" s="3"/>
      <c r="R5346" s="3"/>
      <c r="S5346" s="3"/>
      <c r="T5346" s="3"/>
      <c r="U5346" s="3"/>
      <c r="V5346" s="3"/>
      <c r="W5346" s="3"/>
      <c r="X5346" s="3"/>
      <c r="Y5346" s="3"/>
      <c r="Z5346" s="4"/>
      <c r="AA5346"/>
      <c r="AB5346"/>
    </row>
    <row r="5347" spans="1:28" s="37" customFormat="1" x14ac:dyDescent="0.15">
      <c r="A5347" s="70"/>
      <c r="B5347" s="118"/>
      <c r="C5347" s="121"/>
      <c r="D5347" s="121"/>
      <c r="E5347" s="121"/>
      <c r="F5347" s="121"/>
      <c r="G5347" s="121"/>
      <c r="H5347" s="93"/>
      <c r="I5347" s="85"/>
      <c r="J5347" s="122"/>
      <c r="K5347" s="131"/>
      <c r="L5347" s="60"/>
      <c r="M5347" s="50"/>
      <c r="Q5347" s="3"/>
      <c r="R5347" s="3"/>
      <c r="S5347" s="3"/>
      <c r="T5347" s="3"/>
      <c r="U5347" s="3"/>
      <c r="V5347" s="3"/>
      <c r="W5347" s="3"/>
      <c r="X5347" s="3"/>
      <c r="Y5347" s="3"/>
      <c r="Z5347" s="4"/>
      <c r="AA5347"/>
      <c r="AB5347"/>
    </row>
    <row r="5348" spans="1:28" s="37" customFormat="1" x14ac:dyDescent="0.15">
      <c r="A5348" s="70"/>
      <c r="B5348" s="118"/>
      <c r="C5348" s="121"/>
      <c r="D5348" s="121"/>
      <c r="E5348" s="121"/>
      <c r="F5348" s="121"/>
      <c r="G5348" s="121"/>
      <c r="H5348" s="93"/>
      <c r="I5348" s="85"/>
      <c r="J5348" s="122"/>
      <c r="K5348" s="131"/>
      <c r="L5348" s="60"/>
      <c r="M5348" s="50"/>
      <c r="Q5348" s="3"/>
      <c r="R5348" s="3"/>
      <c r="S5348" s="3"/>
      <c r="T5348" s="3"/>
      <c r="U5348" s="3"/>
      <c r="V5348" s="3"/>
      <c r="W5348" s="3"/>
      <c r="X5348" s="3"/>
      <c r="Y5348" s="3"/>
      <c r="Z5348" s="4"/>
      <c r="AA5348"/>
      <c r="AB5348"/>
    </row>
    <row r="5349" spans="1:28" s="37" customFormat="1" x14ac:dyDescent="0.15">
      <c r="A5349" s="70"/>
      <c r="B5349" s="118"/>
      <c r="C5349" s="121"/>
      <c r="D5349" s="121"/>
      <c r="E5349" s="121"/>
      <c r="F5349" s="121"/>
      <c r="G5349" s="121"/>
      <c r="H5349" s="93"/>
      <c r="I5349" s="85"/>
      <c r="J5349" s="122"/>
      <c r="K5349" s="131"/>
      <c r="L5349" s="60"/>
      <c r="M5349" s="50"/>
      <c r="Q5349" s="3"/>
      <c r="R5349" s="3"/>
      <c r="S5349" s="3"/>
      <c r="T5349" s="3"/>
      <c r="U5349" s="3"/>
      <c r="V5349" s="3"/>
      <c r="W5349" s="3"/>
      <c r="X5349" s="3"/>
      <c r="Y5349" s="3"/>
      <c r="Z5349" s="4"/>
      <c r="AA5349"/>
      <c r="AB5349"/>
    </row>
    <row r="5350" spans="1:28" s="37" customFormat="1" ht="16" x14ac:dyDescent="0.2">
      <c r="A5350" s="70"/>
      <c r="B5350" s="118"/>
      <c r="C5350" s="121"/>
      <c r="D5350" s="121"/>
      <c r="E5350" s="121"/>
      <c r="F5350" s="121"/>
      <c r="G5350" s="121"/>
      <c r="H5350" s="93"/>
      <c r="I5350" s="85"/>
      <c r="J5350" s="122"/>
      <c r="K5350" s="131"/>
      <c r="L5350" s="60"/>
      <c r="M5350" s="49"/>
      <c r="N5350" s="48"/>
      <c r="Q5350" s="3"/>
      <c r="R5350" s="3"/>
      <c r="S5350" s="3"/>
      <c r="T5350" s="3"/>
      <c r="U5350" s="3"/>
      <c r="V5350" s="3"/>
      <c r="W5350" s="3"/>
      <c r="X5350" s="3"/>
      <c r="Y5350" s="3"/>
      <c r="Z5350" s="4"/>
      <c r="AA5350"/>
      <c r="AB5350"/>
    </row>
    <row r="5351" spans="1:28" s="37" customFormat="1" x14ac:dyDescent="0.15">
      <c r="A5351" s="70"/>
      <c r="B5351" s="118"/>
      <c r="C5351" s="121"/>
      <c r="D5351" s="121"/>
      <c r="E5351" s="121"/>
      <c r="F5351" s="121"/>
      <c r="G5351" s="121"/>
      <c r="H5351" s="93"/>
      <c r="I5351" s="85"/>
      <c r="J5351" s="122"/>
      <c r="K5351" s="131"/>
      <c r="L5351" s="60"/>
      <c r="M5351" s="50"/>
      <c r="Q5351" s="3"/>
      <c r="R5351" s="3"/>
      <c r="S5351" s="3"/>
      <c r="T5351" s="3"/>
      <c r="U5351" s="3"/>
      <c r="V5351" s="3"/>
      <c r="W5351" s="3"/>
      <c r="X5351" s="3"/>
      <c r="Y5351" s="3"/>
      <c r="Z5351" s="4"/>
      <c r="AA5351"/>
      <c r="AB5351"/>
    </row>
    <row r="5352" spans="1:28" s="37" customFormat="1" x14ac:dyDescent="0.15">
      <c r="A5352" s="70"/>
      <c r="B5352" s="118"/>
      <c r="C5352" s="121"/>
      <c r="D5352" s="121"/>
      <c r="E5352" s="121"/>
      <c r="F5352" s="121"/>
      <c r="G5352" s="121"/>
      <c r="H5352" s="93"/>
      <c r="I5352" s="85"/>
      <c r="J5352" s="122"/>
      <c r="K5352" s="131"/>
      <c r="L5352" s="60"/>
      <c r="M5352" s="50"/>
      <c r="Q5352" s="3"/>
      <c r="R5352" s="3"/>
      <c r="S5352" s="3"/>
      <c r="T5352" s="3"/>
      <c r="U5352" s="3"/>
      <c r="V5352" s="3"/>
      <c r="W5352" s="3"/>
      <c r="X5352" s="3"/>
      <c r="Y5352" s="3"/>
      <c r="Z5352" s="4"/>
      <c r="AA5352"/>
      <c r="AB5352"/>
    </row>
    <row r="5353" spans="1:28" s="37" customFormat="1" x14ac:dyDescent="0.15">
      <c r="A5353" s="70"/>
      <c r="B5353" s="118"/>
      <c r="C5353" s="121"/>
      <c r="D5353" s="121"/>
      <c r="E5353" s="121"/>
      <c r="F5353" s="121"/>
      <c r="G5353" s="121"/>
      <c r="H5353" s="93"/>
      <c r="I5353" s="85"/>
      <c r="J5353" s="122"/>
      <c r="K5353" s="131"/>
      <c r="L5353" s="60"/>
      <c r="M5353" s="50"/>
      <c r="Q5353" s="3"/>
      <c r="R5353" s="3"/>
      <c r="S5353" s="3"/>
      <c r="T5353" s="3"/>
      <c r="U5353" s="3"/>
      <c r="V5353" s="3"/>
      <c r="W5353" s="3"/>
      <c r="X5353" s="3"/>
      <c r="Y5353" s="3"/>
      <c r="Z5353" s="4"/>
      <c r="AA5353"/>
      <c r="AB5353"/>
    </row>
    <row r="5354" spans="1:28" s="37" customFormat="1" x14ac:dyDescent="0.15">
      <c r="A5354" s="70"/>
      <c r="B5354" s="118"/>
      <c r="C5354" s="121"/>
      <c r="D5354" s="121"/>
      <c r="E5354" s="121"/>
      <c r="F5354" s="121"/>
      <c r="G5354" s="121"/>
      <c r="H5354" s="93"/>
      <c r="I5354" s="85"/>
      <c r="J5354" s="122"/>
      <c r="K5354" s="131"/>
      <c r="L5354" s="60"/>
      <c r="M5354" s="49"/>
      <c r="Q5354" s="3"/>
      <c r="R5354" s="3"/>
      <c r="S5354" s="3"/>
      <c r="T5354" s="3"/>
      <c r="U5354" s="3"/>
      <c r="V5354" s="3"/>
      <c r="W5354" s="3"/>
      <c r="X5354" s="3"/>
      <c r="Y5354" s="3"/>
      <c r="Z5354" s="4"/>
      <c r="AA5354"/>
      <c r="AB5354"/>
    </row>
    <row r="5355" spans="1:28" s="37" customFormat="1" x14ac:dyDescent="0.15">
      <c r="A5355" s="73"/>
      <c r="B5355" s="118"/>
      <c r="C5355" s="121"/>
      <c r="D5355" s="121"/>
      <c r="E5355" s="121"/>
      <c r="F5355" s="121"/>
      <c r="G5355" s="121"/>
      <c r="H5355" s="93"/>
      <c r="I5355" s="85"/>
      <c r="J5355" s="122"/>
      <c r="K5355" s="131"/>
      <c r="L5355" s="60"/>
      <c r="M5355" s="49"/>
      <c r="Q5355" s="3"/>
      <c r="R5355" s="3"/>
      <c r="S5355" s="3"/>
      <c r="T5355" s="3"/>
      <c r="U5355" s="3"/>
      <c r="V5355" s="3"/>
      <c r="W5355" s="3"/>
      <c r="X5355" s="3"/>
      <c r="Y5355" s="3"/>
      <c r="Z5355" s="4"/>
      <c r="AA5355"/>
      <c r="AB5355"/>
    </row>
    <row r="5356" spans="1:28" s="37" customFormat="1" x14ac:dyDescent="0.15">
      <c r="A5356" s="70"/>
      <c r="B5356" s="118"/>
      <c r="C5356" s="121"/>
      <c r="D5356" s="121"/>
      <c r="E5356" s="121"/>
      <c r="F5356" s="121"/>
      <c r="G5356" s="121"/>
      <c r="H5356" s="93"/>
      <c r="I5356" s="85"/>
      <c r="J5356" s="122"/>
      <c r="K5356" s="131"/>
      <c r="L5356" s="60"/>
      <c r="M5356" s="50"/>
      <c r="Q5356" s="3"/>
      <c r="R5356" s="3"/>
      <c r="S5356" s="3"/>
      <c r="T5356" s="3"/>
      <c r="U5356" s="3"/>
      <c r="V5356" s="3"/>
      <c r="W5356" s="3"/>
      <c r="X5356" s="3"/>
      <c r="Y5356" s="3"/>
      <c r="Z5356" s="4"/>
      <c r="AA5356"/>
      <c r="AB5356"/>
    </row>
    <row r="5357" spans="1:28" s="37" customFormat="1" x14ac:dyDescent="0.15">
      <c r="A5357" s="70"/>
      <c r="B5357" s="118"/>
      <c r="C5357" s="121"/>
      <c r="D5357" s="121"/>
      <c r="E5357" s="121"/>
      <c r="F5357" s="121"/>
      <c r="G5357" s="121"/>
      <c r="H5357" s="93"/>
      <c r="I5357" s="85"/>
      <c r="J5357" s="122"/>
      <c r="K5357" s="131"/>
      <c r="L5357" s="60"/>
      <c r="M5357" s="50"/>
      <c r="Q5357" s="3"/>
      <c r="R5357" s="3"/>
      <c r="S5357" s="3"/>
      <c r="T5357" s="3"/>
      <c r="U5357" s="3"/>
      <c r="V5357" s="3"/>
      <c r="W5357" s="3"/>
      <c r="X5357" s="3"/>
      <c r="Y5357" s="3"/>
      <c r="Z5357" s="4"/>
      <c r="AA5357"/>
      <c r="AB5357"/>
    </row>
    <row r="5358" spans="1:28" s="37" customFormat="1" x14ac:dyDescent="0.15">
      <c r="A5358" s="70"/>
      <c r="B5358" s="118"/>
      <c r="C5358" s="121"/>
      <c r="D5358" s="121"/>
      <c r="E5358" s="121"/>
      <c r="F5358" s="121"/>
      <c r="G5358" s="121"/>
      <c r="H5358" s="93"/>
      <c r="I5358" s="85"/>
      <c r="J5358" s="122"/>
      <c r="K5358" s="131"/>
      <c r="L5358" s="60"/>
      <c r="M5358" s="50"/>
      <c r="Q5358" s="3"/>
      <c r="R5358" s="3"/>
      <c r="S5358" s="3"/>
      <c r="T5358" s="3"/>
      <c r="U5358" s="3"/>
      <c r="V5358" s="3"/>
      <c r="W5358" s="3"/>
      <c r="X5358" s="3"/>
      <c r="Y5358" s="3"/>
      <c r="Z5358" s="4"/>
      <c r="AA5358"/>
      <c r="AB5358"/>
    </row>
    <row r="5359" spans="1:28" s="37" customFormat="1" x14ac:dyDescent="0.15">
      <c r="A5359" s="73"/>
      <c r="B5359" s="118"/>
      <c r="C5359" s="121"/>
      <c r="D5359" s="121"/>
      <c r="E5359" s="121"/>
      <c r="F5359" s="121"/>
      <c r="G5359" s="121"/>
      <c r="H5359" s="93"/>
      <c r="I5359" s="85"/>
      <c r="J5359" s="122"/>
      <c r="K5359" s="131"/>
      <c r="L5359" s="60"/>
      <c r="M5359" s="50"/>
      <c r="Q5359" s="3"/>
      <c r="R5359" s="3"/>
      <c r="S5359" s="3"/>
      <c r="T5359" s="3"/>
      <c r="U5359" s="3"/>
      <c r="V5359" s="3"/>
      <c r="W5359" s="3"/>
      <c r="X5359" s="3"/>
      <c r="Y5359" s="3"/>
      <c r="Z5359" s="4"/>
      <c r="AA5359"/>
      <c r="AB5359"/>
    </row>
    <row r="5360" spans="1:28" s="37" customFormat="1" x14ac:dyDescent="0.15">
      <c r="A5360" s="70"/>
      <c r="B5360" s="118"/>
      <c r="C5360" s="121"/>
      <c r="D5360" s="121"/>
      <c r="E5360" s="121"/>
      <c r="F5360" s="121"/>
      <c r="G5360" s="121"/>
      <c r="H5360" s="93"/>
      <c r="I5360" s="85"/>
      <c r="J5360" s="122"/>
      <c r="K5360" s="131"/>
      <c r="L5360" s="60"/>
      <c r="M5360" s="50"/>
      <c r="Q5360" s="3"/>
      <c r="R5360" s="3"/>
      <c r="S5360" s="3"/>
      <c r="T5360" s="3"/>
      <c r="U5360" s="3"/>
      <c r="V5360" s="3"/>
      <c r="W5360" s="3"/>
      <c r="X5360" s="3"/>
      <c r="Y5360" s="3"/>
      <c r="Z5360" s="4"/>
      <c r="AA5360"/>
      <c r="AB5360"/>
    </row>
    <row r="5361" spans="1:28" s="37" customFormat="1" x14ac:dyDescent="0.15">
      <c r="A5361" s="73"/>
      <c r="B5361" s="118"/>
      <c r="C5361" s="121"/>
      <c r="D5361" s="121"/>
      <c r="E5361" s="121"/>
      <c r="F5361" s="121"/>
      <c r="G5361" s="121"/>
      <c r="H5361" s="93"/>
      <c r="I5361" s="85"/>
      <c r="J5361" s="122"/>
      <c r="K5361" s="131"/>
      <c r="L5361" s="60"/>
      <c r="M5361" s="49"/>
      <c r="Q5361" s="3"/>
      <c r="R5361" s="3"/>
      <c r="S5361" s="3"/>
      <c r="T5361" s="3"/>
      <c r="U5361" s="3"/>
      <c r="V5361" s="3"/>
      <c r="W5361" s="3"/>
      <c r="X5361" s="3"/>
      <c r="Y5361" s="3"/>
      <c r="Z5361" s="4"/>
      <c r="AA5361"/>
      <c r="AB5361"/>
    </row>
    <row r="5362" spans="1:28" s="37" customFormat="1" x14ac:dyDescent="0.15">
      <c r="A5362" s="70"/>
      <c r="B5362" s="118"/>
      <c r="C5362" s="121"/>
      <c r="D5362" s="121"/>
      <c r="E5362" s="121"/>
      <c r="F5362" s="121"/>
      <c r="G5362" s="121"/>
      <c r="H5362" s="93"/>
      <c r="I5362" s="85"/>
      <c r="J5362" s="122"/>
      <c r="K5362" s="131"/>
      <c r="L5362" s="60"/>
      <c r="M5362" s="49"/>
      <c r="Q5362" s="3"/>
      <c r="R5362" s="3"/>
      <c r="S5362" s="3"/>
      <c r="T5362" s="3"/>
      <c r="U5362" s="3"/>
      <c r="V5362" s="3"/>
      <c r="W5362" s="3"/>
      <c r="X5362" s="3"/>
      <c r="Y5362" s="3"/>
      <c r="Z5362" s="4"/>
      <c r="AA5362"/>
      <c r="AB5362"/>
    </row>
    <row r="5363" spans="1:28" s="37" customFormat="1" x14ac:dyDescent="0.15">
      <c r="A5363" s="70"/>
      <c r="B5363" s="118"/>
      <c r="C5363" s="121"/>
      <c r="D5363" s="121"/>
      <c r="E5363" s="121"/>
      <c r="F5363" s="121"/>
      <c r="G5363" s="121"/>
      <c r="H5363" s="93"/>
      <c r="I5363" s="85"/>
      <c r="J5363" s="122"/>
      <c r="K5363" s="131"/>
      <c r="L5363" s="60"/>
      <c r="M5363" s="49"/>
      <c r="Q5363" s="3"/>
      <c r="R5363" s="3"/>
      <c r="S5363" s="3"/>
      <c r="T5363" s="3"/>
      <c r="U5363" s="3"/>
      <c r="V5363" s="3"/>
      <c r="W5363" s="3"/>
      <c r="X5363" s="3"/>
      <c r="Y5363" s="3"/>
      <c r="Z5363" s="4"/>
      <c r="AA5363"/>
      <c r="AB5363"/>
    </row>
    <row r="5364" spans="1:28" s="37" customFormat="1" x14ac:dyDescent="0.15">
      <c r="A5364" s="70"/>
      <c r="B5364" s="118"/>
      <c r="C5364" s="121"/>
      <c r="D5364" s="121"/>
      <c r="E5364" s="121"/>
      <c r="F5364" s="121"/>
      <c r="G5364" s="121"/>
      <c r="H5364" s="93"/>
      <c r="I5364" s="85"/>
      <c r="J5364" s="122"/>
      <c r="K5364" s="131"/>
      <c r="L5364" s="60"/>
      <c r="M5364" s="50"/>
      <c r="Q5364" s="3"/>
      <c r="R5364" s="3"/>
      <c r="S5364" s="3"/>
      <c r="T5364" s="3"/>
      <c r="U5364" s="3"/>
      <c r="V5364" s="3"/>
      <c r="W5364" s="3"/>
      <c r="X5364" s="3"/>
      <c r="Y5364" s="3"/>
      <c r="Z5364" s="4"/>
      <c r="AA5364"/>
      <c r="AB5364"/>
    </row>
    <row r="5365" spans="1:28" s="37" customFormat="1" x14ac:dyDescent="0.15">
      <c r="A5365" s="70"/>
      <c r="B5365" s="118"/>
      <c r="C5365" s="121"/>
      <c r="D5365" s="121"/>
      <c r="E5365" s="121"/>
      <c r="F5365" s="121"/>
      <c r="G5365" s="121"/>
      <c r="H5365" s="93"/>
      <c r="I5365" s="85"/>
      <c r="J5365" s="122"/>
      <c r="K5365" s="131"/>
      <c r="L5365" s="60"/>
      <c r="M5365" s="49"/>
      <c r="Q5365" s="3"/>
      <c r="R5365" s="3"/>
      <c r="S5365" s="3"/>
      <c r="T5365" s="3"/>
      <c r="U5365" s="3"/>
      <c r="V5365" s="3"/>
      <c r="W5365" s="3"/>
      <c r="X5365" s="3"/>
      <c r="Y5365" s="3"/>
      <c r="Z5365" s="4"/>
      <c r="AA5365"/>
      <c r="AB5365"/>
    </row>
    <row r="5366" spans="1:28" s="37" customFormat="1" x14ac:dyDescent="0.15">
      <c r="A5366" s="70"/>
      <c r="B5366" s="118"/>
      <c r="C5366" s="121"/>
      <c r="D5366" s="121"/>
      <c r="E5366" s="121"/>
      <c r="F5366" s="121"/>
      <c r="G5366" s="121"/>
      <c r="H5366" s="93"/>
      <c r="I5366" s="85"/>
      <c r="J5366" s="122"/>
      <c r="K5366" s="131"/>
      <c r="L5366" s="60"/>
      <c r="M5366" s="50"/>
      <c r="Q5366" s="3"/>
      <c r="R5366" s="3"/>
      <c r="S5366" s="3"/>
      <c r="T5366" s="3"/>
      <c r="U5366" s="3"/>
      <c r="V5366" s="3"/>
      <c r="W5366" s="3"/>
      <c r="X5366" s="3"/>
      <c r="Y5366" s="3"/>
      <c r="Z5366" s="4"/>
      <c r="AA5366"/>
      <c r="AB5366"/>
    </row>
    <row r="5367" spans="1:28" s="37" customFormat="1" ht="16" x14ac:dyDescent="0.2">
      <c r="A5367" s="70"/>
      <c r="B5367" s="118"/>
      <c r="C5367" s="121"/>
      <c r="D5367" s="121"/>
      <c r="E5367" s="121"/>
      <c r="F5367" s="121"/>
      <c r="G5367" s="121"/>
      <c r="H5367" s="93"/>
      <c r="I5367" s="85"/>
      <c r="J5367" s="122"/>
      <c r="K5367" s="131"/>
      <c r="L5367" s="60"/>
      <c r="M5367" s="49"/>
      <c r="N5367" s="48"/>
      <c r="Q5367" s="3"/>
      <c r="R5367" s="3"/>
      <c r="S5367" s="3"/>
      <c r="T5367" s="3"/>
      <c r="U5367" s="3"/>
      <c r="V5367" s="3"/>
      <c r="W5367" s="3"/>
      <c r="X5367" s="3"/>
      <c r="Y5367" s="3"/>
      <c r="Z5367" s="4"/>
      <c r="AA5367"/>
      <c r="AB5367"/>
    </row>
    <row r="5368" spans="1:28" s="37" customFormat="1" x14ac:dyDescent="0.15">
      <c r="A5368" s="70"/>
      <c r="B5368" s="118"/>
      <c r="C5368" s="121"/>
      <c r="D5368" s="121"/>
      <c r="E5368" s="121"/>
      <c r="F5368" s="121"/>
      <c r="G5368" s="121"/>
      <c r="H5368" s="93"/>
      <c r="I5368" s="85"/>
      <c r="J5368" s="85"/>
      <c r="K5368" s="131"/>
      <c r="L5368" s="60"/>
      <c r="M5368" s="50"/>
      <c r="Q5368" s="3"/>
      <c r="R5368" s="3"/>
      <c r="S5368" s="3"/>
      <c r="T5368" s="3"/>
      <c r="U5368" s="3"/>
      <c r="V5368" s="3"/>
      <c r="W5368" s="3"/>
      <c r="X5368" s="3"/>
      <c r="Y5368" s="3"/>
      <c r="Z5368" s="4"/>
      <c r="AA5368"/>
      <c r="AB5368"/>
    </row>
    <row r="5369" spans="1:28" s="37" customFormat="1" x14ac:dyDescent="0.15">
      <c r="A5369" s="70"/>
      <c r="B5369" s="118"/>
      <c r="C5369" s="121"/>
      <c r="D5369" s="121"/>
      <c r="E5369" s="121"/>
      <c r="F5369" s="121"/>
      <c r="G5369" s="121"/>
      <c r="H5369" s="93"/>
      <c r="I5369" s="85"/>
      <c r="J5369" s="122"/>
      <c r="K5369" s="131"/>
      <c r="L5369" s="60"/>
      <c r="M5369" s="50"/>
      <c r="Q5369" s="3"/>
      <c r="R5369" s="3"/>
      <c r="S5369" s="3"/>
      <c r="T5369" s="3"/>
      <c r="U5369" s="3"/>
      <c r="V5369" s="3"/>
      <c r="W5369" s="3"/>
      <c r="X5369" s="3"/>
      <c r="Y5369" s="3"/>
      <c r="Z5369" s="4"/>
      <c r="AA5369"/>
      <c r="AB5369"/>
    </row>
    <row r="5370" spans="1:28" s="37" customFormat="1" x14ac:dyDescent="0.15">
      <c r="A5370" s="70"/>
      <c r="B5370" s="118"/>
      <c r="C5370" s="121"/>
      <c r="D5370" s="121"/>
      <c r="E5370" s="121"/>
      <c r="F5370" s="121"/>
      <c r="G5370" s="121"/>
      <c r="H5370" s="93"/>
      <c r="I5370" s="85"/>
      <c r="J5370" s="122"/>
      <c r="K5370" s="131"/>
      <c r="L5370" s="60"/>
      <c r="M5370" s="49"/>
      <c r="Q5370" s="3"/>
      <c r="R5370" s="3"/>
      <c r="S5370" s="3"/>
      <c r="T5370" s="3"/>
      <c r="U5370" s="3"/>
      <c r="V5370" s="3"/>
      <c r="W5370" s="3"/>
      <c r="X5370" s="3"/>
      <c r="Y5370" s="3"/>
      <c r="Z5370" s="4"/>
      <c r="AA5370"/>
      <c r="AB5370"/>
    </row>
    <row r="5371" spans="1:28" s="37" customFormat="1" x14ac:dyDescent="0.15">
      <c r="A5371" s="70"/>
      <c r="B5371" s="118"/>
      <c r="C5371" s="121"/>
      <c r="D5371" s="121"/>
      <c r="E5371" s="121"/>
      <c r="F5371" s="121"/>
      <c r="G5371" s="121"/>
      <c r="H5371" s="93"/>
      <c r="I5371" s="85"/>
      <c r="J5371" s="122"/>
      <c r="K5371" s="131"/>
      <c r="L5371" s="60"/>
      <c r="M5371" s="49"/>
      <c r="Q5371" s="3"/>
      <c r="R5371" s="3"/>
      <c r="S5371" s="3"/>
      <c r="T5371" s="3"/>
      <c r="U5371" s="3"/>
      <c r="V5371" s="3"/>
      <c r="W5371" s="3"/>
      <c r="X5371" s="3"/>
      <c r="Y5371" s="3"/>
      <c r="Z5371" s="4"/>
      <c r="AA5371"/>
      <c r="AB5371"/>
    </row>
    <row r="5372" spans="1:28" s="37" customFormat="1" x14ac:dyDescent="0.15">
      <c r="A5372" s="70"/>
      <c r="B5372" s="118"/>
      <c r="C5372" s="121"/>
      <c r="D5372" s="121"/>
      <c r="E5372" s="121"/>
      <c r="F5372" s="121"/>
      <c r="G5372" s="121"/>
      <c r="H5372" s="93"/>
      <c r="I5372" s="85"/>
      <c r="J5372" s="122"/>
      <c r="K5372" s="131"/>
      <c r="L5372" s="60"/>
      <c r="M5372" s="49"/>
      <c r="Q5372" s="3"/>
      <c r="R5372" s="3"/>
      <c r="S5372" s="3"/>
      <c r="T5372" s="3"/>
      <c r="U5372" s="3"/>
      <c r="V5372" s="3"/>
      <c r="W5372" s="3"/>
      <c r="X5372" s="3"/>
      <c r="Y5372" s="3"/>
      <c r="Z5372" s="4"/>
      <c r="AA5372"/>
      <c r="AB5372"/>
    </row>
    <row r="5373" spans="1:28" s="37" customFormat="1" x14ac:dyDescent="0.15">
      <c r="A5373" s="70"/>
      <c r="B5373" s="118"/>
      <c r="C5373" s="121"/>
      <c r="D5373" s="121"/>
      <c r="E5373" s="121"/>
      <c r="F5373" s="121"/>
      <c r="G5373" s="121"/>
      <c r="H5373" s="93"/>
      <c r="I5373" s="85"/>
      <c r="J5373" s="122"/>
      <c r="K5373" s="131"/>
      <c r="L5373" s="60"/>
      <c r="M5373" s="49"/>
      <c r="Q5373" s="3"/>
      <c r="R5373" s="3"/>
      <c r="S5373" s="3"/>
      <c r="T5373" s="3"/>
      <c r="U5373" s="3"/>
      <c r="V5373" s="3"/>
      <c r="W5373" s="3"/>
      <c r="X5373" s="3"/>
      <c r="Y5373" s="3"/>
      <c r="Z5373" s="4"/>
      <c r="AA5373"/>
      <c r="AB5373"/>
    </row>
    <row r="5374" spans="1:28" s="37" customFormat="1" x14ac:dyDescent="0.15">
      <c r="A5374" s="70"/>
      <c r="B5374" s="118"/>
      <c r="C5374" s="121"/>
      <c r="D5374" s="121"/>
      <c r="E5374" s="121"/>
      <c r="F5374" s="121"/>
      <c r="G5374" s="121"/>
      <c r="H5374" s="93"/>
      <c r="I5374" s="85"/>
      <c r="J5374" s="122"/>
      <c r="K5374" s="131"/>
      <c r="L5374" s="60"/>
      <c r="M5374" s="49"/>
      <c r="Q5374" s="3"/>
      <c r="R5374" s="3"/>
      <c r="S5374" s="3"/>
      <c r="T5374" s="3"/>
      <c r="U5374" s="3"/>
      <c r="V5374" s="3"/>
      <c r="W5374" s="3"/>
      <c r="X5374" s="3"/>
      <c r="Y5374" s="3"/>
      <c r="Z5374" s="4"/>
      <c r="AA5374"/>
      <c r="AB5374"/>
    </row>
    <row r="5375" spans="1:28" s="37" customFormat="1" x14ac:dyDescent="0.15">
      <c r="A5375" s="70"/>
      <c r="B5375" s="118"/>
      <c r="C5375" s="121"/>
      <c r="D5375" s="121"/>
      <c r="E5375" s="121"/>
      <c r="F5375" s="121"/>
      <c r="G5375" s="121"/>
      <c r="H5375" s="93"/>
      <c r="I5375" s="85"/>
      <c r="J5375" s="122"/>
      <c r="K5375" s="131"/>
      <c r="L5375" s="60"/>
      <c r="M5375" s="49"/>
      <c r="Q5375" s="3"/>
      <c r="R5375" s="3"/>
      <c r="S5375" s="3"/>
      <c r="T5375" s="3"/>
      <c r="U5375" s="3"/>
      <c r="V5375" s="3"/>
      <c r="W5375" s="3"/>
      <c r="X5375" s="3"/>
      <c r="Y5375" s="3"/>
      <c r="Z5375" s="4"/>
      <c r="AA5375"/>
      <c r="AB5375"/>
    </row>
    <row r="5376" spans="1:28" s="37" customFormat="1" x14ac:dyDescent="0.15">
      <c r="A5376" s="70"/>
      <c r="B5376" s="118"/>
      <c r="C5376" s="121"/>
      <c r="D5376" s="121"/>
      <c r="E5376" s="121"/>
      <c r="F5376" s="121"/>
      <c r="G5376" s="121"/>
      <c r="H5376" s="93"/>
      <c r="I5376" s="85"/>
      <c r="J5376" s="122"/>
      <c r="K5376" s="131"/>
      <c r="L5376" s="60"/>
      <c r="M5376" s="49"/>
      <c r="Q5376" s="3"/>
      <c r="R5376" s="3"/>
      <c r="S5376" s="3"/>
      <c r="T5376" s="3"/>
      <c r="U5376" s="3"/>
      <c r="V5376" s="3"/>
      <c r="W5376" s="3"/>
      <c r="X5376" s="3"/>
      <c r="Y5376" s="3"/>
      <c r="Z5376" s="4"/>
      <c r="AA5376"/>
      <c r="AB5376"/>
    </row>
    <row r="5377" spans="1:28" s="37" customFormat="1" x14ac:dyDescent="0.15">
      <c r="A5377" s="70"/>
      <c r="B5377" s="118"/>
      <c r="C5377" s="121"/>
      <c r="D5377" s="121"/>
      <c r="E5377" s="121"/>
      <c r="F5377" s="121"/>
      <c r="G5377" s="121"/>
      <c r="H5377" s="93"/>
      <c r="I5377" s="85"/>
      <c r="J5377" s="122"/>
      <c r="K5377" s="131"/>
      <c r="L5377" s="60"/>
      <c r="M5377" s="49"/>
      <c r="Q5377" s="3"/>
      <c r="R5377" s="3"/>
      <c r="S5377" s="3"/>
      <c r="T5377" s="3"/>
      <c r="U5377" s="3"/>
      <c r="V5377" s="3"/>
      <c r="W5377" s="3"/>
      <c r="X5377" s="3"/>
      <c r="Y5377" s="3"/>
      <c r="Z5377" s="4"/>
      <c r="AA5377"/>
      <c r="AB5377"/>
    </row>
    <row r="5378" spans="1:28" s="37" customFormat="1" x14ac:dyDescent="0.15">
      <c r="A5378" s="70"/>
      <c r="B5378" s="118"/>
      <c r="C5378" s="121"/>
      <c r="D5378" s="121"/>
      <c r="E5378" s="121"/>
      <c r="F5378" s="121"/>
      <c r="G5378" s="121"/>
      <c r="H5378" s="93"/>
      <c r="I5378" s="85"/>
      <c r="J5378" s="122"/>
      <c r="K5378" s="131"/>
      <c r="L5378" s="60"/>
      <c r="M5378" s="49"/>
      <c r="Q5378" s="3"/>
      <c r="R5378" s="3"/>
      <c r="S5378" s="3"/>
      <c r="T5378" s="3"/>
      <c r="U5378" s="3"/>
      <c r="V5378" s="3"/>
      <c r="W5378" s="3"/>
      <c r="X5378" s="3"/>
      <c r="Y5378" s="3"/>
      <c r="Z5378" s="4"/>
      <c r="AA5378"/>
      <c r="AB5378"/>
    </row>
    <row r="5379" spans="1:28" s="37" customFormat="1" x14ac:dyDescent="0.15">
      <c r="A5379" s="70"/>
      <c r="B5379" s="118"/>
      <c r="C5379" s="121"/>
      <c r="D5379" s="121"/>
      <c r="E5379" s="121"/>
      <c r="F5379" s="121"/>
      <c r="G5379" s="121"/>
      <c r="H5379" s="93"/>
      <c r="I5379" s="85"/>
      <c r="J5379" s="122"/>
      <c r="K5379" s="131"/>
      <c r="L5379" s="60"/>
      <c r="M5379" s="49"/>
      <c r="Q5379" s="3"/>
      <c r="R5379" s="3"/>
      <c r="S5379" s="3"/>
      <c r="T5379" s="3"/>
      <c r="U5379" s="3"/>
      <c r="V5379" s="3"/>
      <c r="W5379" s="3"/>
      <c r="X5379" s="3"/>
      <c r="Y5379" s="3"/>
      <c r="Z5379" s="4"/>
      <c r="AA5379"/>
      <c r="AB5379"/>
    </row>
    <row r="5380" spans="1:28" s="37" customFormat="1" x14ac:dyDescent="0.15">
      <c r="A5380" s="70"/>
      <c r="B5380" s="118"/>
      <c r="C5380" s="121"/>
      <c r="D5380" s="121"/>
      <c r="E5380" s="121"/>
      <c r="F5380" s="121"/>
      <c r="G5380" s="121"/>
      <c r="H5380" s="93"/>
      <c r="I5380" s="85"/>
      <c r="J5380" s="122"/>
      <c r="K5380" s="131"/>
      <c r="L5380" s="60"/>
      <c r="M5380" s="49"/>
      <c r="Q5380" s="3"/>
      <c r="R5380" s="3"/>
      <c r="S5380" s="3"/>
      <c r="T5380" s="3"/>
      <c r="U5380" s="3"/>
      <c r="V5380" s="3"/>
      <c r="W5380" s="3"/>
      <c r="X5380" s="3"/>
      <c r="Y5380" s="3"/>
      <c r="Z5380" s="4"/>
      <c r="AA5380"/>
      <c r="AB5380"/>
    </row>
    <row r="5381" spans="1:28" s="37" customFormat="1" x14ac:dyDescent="0.15">
      <c r="A5381" s="70"/>
      <c r="B5381" s="118"/>
      <c r="C5381" s="121"/>
      <c r="D5381" s="121"/>
      <c r="E5381" s="121"/>
      <c r="F5381" s="121"/>
      <c r="G5381" s="121"/>
      <c r="H5381" s="93"/>
      <c r="I5381" s="85"/>
      <c r="J5381" s="122"/>
      <c r="K5381" s="131"/>
      <c r="L5381" s="60"/>
      <c r="M5381" s="49"/>
      <c r="Q5381" s="3"/>
      <c r="R5381" s="3"/>
      <c r="S5381" s="3"/>
      <c r="T5381" s="3"/>
      <c r="U5381" s="3"/>
      <c r="V5381" s="3"/>
      <c r="W5381" s="3"/>
      <c r="X5381" s="3"/>
      <c r="Y5381" s="3"/>
      <c r="Z5381" s="4"/>
      <c r="AA5381"/>
      <c r="AB5381"/>
    </row>
    <row r="5382" spans="1:28" s="37" customFormat="1" x14ac:dyDescent="0.15">
      <c r="A5382" s="70"/>
      <c r="B5382" s="118"/>
      <c r="C5382" s="121"/>
      <c r="D5382" s="121"/>
      <c r="E5382" s="121"/>
      <c r="F5382" s="121"/>
      <c r="G5382" s="121"/>
      <c r="H5382" s="93"/>
      <c r="I5382" s="85"/>
      <c r="J5382" s="122"/>
      <c r="K5382" s="131"/>
      <c r="L5382" s="60"/>
      <c r="M5382" s="33"/>
      <c r="Q5382" s="3"/>
      <c r="R5382" s="3"/>
      <c r="S5382" s="3"/>
      <c r="T5382" s="3"/>
      <c r="U5382" s="3"/>
      <c r="V5382" s="3"/>
      <c r="W5382" s="3"/>
      <c r="X5382" s="3"/>
      <c r="Y5382" s="3"/>
      <c r="Z5382" s="4"/>
      <c r="AA5382"/>
      <c r="AB5382"/>
    </row>
    <row r="5383" spans="1:28" s="37" customFormat="1" ht="16" x14ac:dyDescent="0.2">
      <c r="A5383" s="70"/>
      <c r="B5383" s="118"/>
      <c r="C5383" s="121"/>
      <c r="D5383" s="121"/>
      <c r="E5383" s="121"/>
      <c r="F5383" s="121"/>
      <c r="G5383" s="121"/>
      <c r="H5383" s="93"/>
      <c r="I5383" s="85"/>
      <c r="J5383" s="122"/>
      <c r="K5383" s="131"/>
      <c r="L5383" s="60"/>
      <c r="M5383" s="49"/>
      <c r="N5383" s="48"/>
      <c r="Q5383" s="3"/>
      <c r="R5383" s="3"/>
      <c r="S5383" s="3"/>
      <c r="T5383" s="3"/>
      <c r="U5383" s="3"/>
      <c r="V5383" s="3"/>
      <c r="W5383" s="3"/>
      <c r="X5383" s="3"/>
      <c r="Y5383" s="3"/>
      <c r="Z5383" s="4"/>
      <c r="AA5383"/>
      <c r="AB5383"/>
    </row>
    <row r="5384" spans="1:28" s="37" customFormat="1" x14ac:dyDescent="0.15">
      <c r="A5384" s="70"/>
      <c r="B5384" s="118"/>
      <c r="C5384" s="121"/>
      <c r="D5384" s="121"/>
      <c r="E5384" s="121"/>
      <c r="F5384" s="121"/>
      <c r="G5384" s="121"/>
      <c r="H5384" s="93"/>
      <c r="I5384" s="85"/>
      <c r="J5384" s="122"/>
      <c r="K5384" s="131"/>
      <c r="L5384" s="60"/>
      <c r="M5384" s="49"/>
      <c r="Q5384" s="3"/>
      <c r="R5384" s="3"/>
      <c r="S5384" s="3"/>
      <c r="T5384" s="3"/>
      <c r="U5384" s="3"/>
      <c r="V5384" s="3"/>
      <c r="W5384" s="3"/>
      <c r="X5384" s="3"/>
      <c r="Y5384" s="3"/>
      <c r="Z5384" s="4"/>
      <c r="AA5384"/>
      <c r="AB5384"/>
    </row>
    <row r="5385" spans="1:28" s="37" customFormat="1" x14ac:dyDescent="0.15">
      <c r="A5385" s="70"/>
      <c r="B5385" s="118"/>
      <c r="C5385" s="121"/>
      <c r="D5385" s="121"/>
      <c r="E5385" s="121"/>
      <c r="F5385" s="121"/>
      <c r="G5385" s="121"/>
      <c r="H5385" s="93"/>
      <c r="I5385" s="85"/>
      <c r="J5385" s="122"/>
      <c r="K5385" s="131"/>
      <c r="L5385" s="60"/>
      <c r="M5385" s="49"/>
      <c r="Q5385" s="3"/>
      <c r="R5385" s="3"/>
      <c r="S5385" s="3"/>
      <c r="T5385" s="3"/>
      <c r="U5385" s="3"/>
      <c r="V5385" s="3"/>
      <c r="W5385" s="3"/>
      <c r="X5385" s="3"/>
      <c r="Y5385" s="3"/>
      <c r="Z5385" s="4"/>
      <c r="AA5385"/>
      <c r="AB5385"/>
    </row>
    <row r="5386" spans="1:28" s="37" customFormat="1" x14ac:dyDescent="0.15">
      <c r="A5386" s="73"/>
      <c r="B5386" s="118"/>
      <c r="C5386" s="121"/>
      <c r="D5386" s="121"/>
      <c r="E5386" s="121"/>
      <c r="F5386" s="121"/>
      <c r="G5386" s="121"/>
      <c r="H5386" s="93"/>
      <c r="I5386" s="85"/>
      <c r="J5386" s="122"/>
      <c r="K5386" s="131"/>
      <c r="L5386" s="60"/>
      <c r="M5386" s="49"/>
      <c r="Q5386" s="3"/>
      <c r="R5386" s="3"/>
      <c r="S5386" s="3"/>
      <c r="T5386" s="3"/>
      <c r="U5386" s="3"/>
      <c r="V5386" s="3"/>
      <c r="W5386" s="3"/>
      <c r="X5386" s="3"/>
      <c r="Y5386" s="3"/>
      <c r="Z5386" s="4"/>
      <c r="AA5386"/>
      <c r="AB5386"/>
    </row>
    <row r="5387" spans="1:28" s="37" customFormat="1" ht="16" x14ac:dyDescent="0.2">
      <c r="A5387" s="73"/>
      <c r="B5387" s="118"/>
      <c r="C5387" s="121"/>
      <c r="D5387" s="121"/>
      <c r="E5387" s="121"/>
      <c r="F5387" s="121"/>
      <c r="G5387" s="121"/>
      <c r="H5387" s="93"/>
      <c r="I5387" s="85"/>
      <c r="J5387" s="122"/>
      <c r="K5387" s="131"/>
      <c r="L5387" s="60"/>
      <c r="M5387" s="49"/>
      <c r="N5387" s="48"/>
      <c r="Q5387" s="3"/>
      <c r="R5387" s="3"/>
      <c r="S5387" s="3"/>
      <c r="T5387" s="3"/>
      <c r="U5387" s="3"/>
      <c r="V5387" s="3"/>
      <c r="W5387" s="3"/>
      <c r="X5387" s="3"/>
      <c r="Y5387" s="3"/>
      <c r="Z5387" s="4"/>
      <c r="AA5387"/>
      <c r="AB5387"/>
    </row>
    <row r="5388" spans="1:28" s="37" customFormat="1" x14ac:dyDescent="0.15">
      <c r="A5388" s="70"/>
      <c r="B5388" s="118"/>
      <c r="C5388" s="121"/>
      <c r="D5388" s="121"/>
      <c r="E5388" s="121"/>
      <c r="F5388" s="121"/>
      <c r="G5388" s="121"/>
      <c r="H5388" s="93"/>
      <c r="I5388" s="85"/>
      <c r="J5388" s="122"/>
      <c r="K5388" s="131"/>
      <c r="L5388" s="60"/>
      <c r="M5388" s="49"/>
      <c r="Q5388" s="3"/>
      <c r="R5388" s="3"/>
      <c r="S5388" s="3"/>
      <c r="T5388" s="3"/>
      <c r="U5388" s="3"/>
      <c r="V5388" s="3"/>
      <c r="W5388" s="3"/>
      <c r="X5388" s="3"/>
      <c r="Y5388" s="3"/>
      <c r="Z5388" s="4"/>
      <c r="AA5388"/>
      <c r="AB5388"/>
    </row>
    <row r="5389" spans="1:28" s="37" customFormat="1" x14ac:dyDescent="0.15">
      <c r="A5389" s="70"/>
      <c r="B5389" s="118"/>
      <c r="C5389" s="121"/>
      <c r="D5389" s="121"/>
      <c r="E5389" s="121"/>
      <c r="F5389" s="121"/>
      <c r="G5389" s="121"/>
      <c r="H5389" s="93"/>
      <c r="I5389" s="85"/>
      <c r="J5389" s="122"/>
      <c r="K5389" s="131"/>
      <c r="L5389" s="60"/>
      <c r="M5389" s="49"/>
      <c r="Q5389" s="3"/>
      <c r="R5389" s="3"/>
      <c r="S5389" s="3"/>
      <c r="T5389" s="3"/>
      <c r="U5389" s="3"/>
      <c r="V5389" s="3"/>
      <c r="W5389" s="3"/>
      <c r="X5389" s="3"/>
      <c r="Y5389" s="3"/>
      <c r="Z5389" s="4"/>
      <c r="AA5389"/>
      <c r="AB5389"/>
    </row>
    <row r="5390" spans="1:28" s="37" customFormat="1" x14ac:dyDescent="0.15">
      <c r="A5390" s="70"/>
      <c r="B5390" s="118"/>
      <c r="C5390" s="121"/>
      <c r="D5390" s="121"/>
      <c r="E5390" s="121"/>
      <c r="F5390" s="121"/>
      <c r="G5390" s="121"/>
      <c r="H5390" s="93"/>
      <c r="I5390" s="85"/>
      <c r="J5390" s="122"/>
      <c r="K5390" s="131"/>
      <c r="L5390" s="60"/>
      <c r="M5390" s="49"/>
      <c r="Q5390" s="3"/>
      <c r="R5390" s="3"/>
      <c r="S5390" s="3"/>
      <c r="T5390" s="3"/>
      <c r="U5390" s="3"/>
      <c r="V5390" s="3"/>
      <c r="W5390" s="3"/>
      <c r="X5390" s="3"/>
      <c r="Y5390" s="3"/>
      <c r="Z5390" s="4"/>
      <c r="AA5390"/>
      <c r="AB5390"/>
    </row>
    <row r="5391" spans="1:28" s="37" customFormat="1" x14ac:dyDescent="0.15">
      <c r="A5391" s="70"/>
      <c r="B5391" s="118"/>
      <c r="C5391" s="121"/>
      <c r="D5391" s="121"/>
      <c r="E5391" s="121"/>
      <c r="F5391" s="121"/>
      <c r="G5391" s="121"/>
      <c r="H5391" s="93"/>
      <c r="I5391" s="85"/>
      <c r="J5391" s="122"/>
      <c r="K5391" s="131"/>
      <c r="L5391" s="60"/>
      <c r="M5391" s="49"/>
      <c r="Q5391" s="3"/>
      <c r="R5391" s="3"/>
      <c r="S5391" s="3"/>
      <c r="T5391" s="3"/>
      <c r="U5391" s="3"/>
      <c r="V5391" s="3"/>
      <c r="W5391" s="3"/>
      <c r="X5391" s="3"/>
      <c r="Y5391" s="3"/>
      <c r="Z5391" s="4"/>
      <c r="AA5391"/>
      <c r="AB5391"/>
    </row>
    <row r="5392" spans="1:28" s="37" customFormat="1" x14ac:dyDescent="0.15">
      <c r="A5392" s="70"/>
      <c r="B5392" s="118"/>
      <c r="C5392" s="121"/>
      <c r="D5392" s="121"/>
      <c r="E5392" s="121"/>
      <c r="F5392" s="121"/>
      <c r="G5392" s="121"/>
      <c r="H5392" s="93"/>
      <c r="I5392" s="85"/>
      <c r="J5392" s="122"/>
      <c r="K5392" s="131"/>
      <c r="L5392" s="60"/>
      <c r="M5392" s="49"/>
      <c r="Q5392" s="3"/>
      <c r="R5392" s="3"/>
      <c r="S5392" s="3"/>
      <c r="T5392" s="3"/>
      <c r="U5392" s="3"/>
      <c r="V5392" s="3"/>
      <c r="W5392" s="3"/>
      <c r="X5392" s="3"/>
      <c r="Y5392" s="3"/>
      <c r="Z5392" s="4"/>
      <c r="AA5392"/>
      <c r="AB5392"/>
    </row>
    <row r="5393" spans="1:28" s="37" customFormat="1" x14ac:dyDescent="0.15">
      <c r="A5393" s="70"/>
      <c r="B5393" s="118"/>
      <c r="C5393" s="121"/>
      <c r="D5393" s="121"/>
      <c r="E5393" s="121"/>
      <c r="F5393" s="121"/>
      <c r="G5393" s="121"/>
      <c r="H5393" s="93"/>
      <c r="I5393" s="85"/>
      <c r="J5393" s="122"/>
      <c r="K5393" s="131"/>
      <c r="L5393" s="60"/>
      <c r="M5393" s="49"/>
      <c r="Q5393" s="3"/>
      <c r="R5393" s="3"/>
      <c r="S5393" s="3"/>
      <c r="T5393" s="3"/>
      <c r="U5393" s="3"/>
      <c r="V5393" s="3"/>
      <c r="W5393" s="3"/>
      <c r="X5393" s="3"/>
      <c r="Y5393" s="3"/>
      <c r="Z5393" s="4"/>
      <c r="AA5393"/>
      <c r="AB5393"/>
    </row>
    <row r="5394" spans="1:28" s="37" customFormat="1" x14ac:dyDescent="0.15">
      <c r="A5394" s="70"/>
      <c r="B5394" s="118"/>
      <c r="C5394" s="121"/>
      <c r="D5394" s="121"/>
      <c r="E5394" s="121"/>
      <c r="F5394" s="121"/>
      <c r="G5394" s="121"/>
      <c r="H5394" s="93"/>
      <c r="I5394" s="85"/>
      <c r="J5394" s="122"/>
      <c r="K5394" s="131"/>
      <c r="L5394" s="60"/>
      <c r="M5394" s="49"/>
      <c r="Q5394" s="3"/>
      <c r="R5394" s="3"/>
      <c r="S5394" s="3"/>
      <c r="T5394" s="3"/>
      <c r="U5394" s="3"/>
      <c r="V5394" s="3"/>
      <c r="W5394" s="3"/>
      <c r="X5394" s="3"/>
      <c r="Y5394" s="3"/>
      <c r="Z5394" s="4"/>
      <c r="AA5394"/>
      <c r="AB5394"/>
    </row>
    <row r="5395" spans="1:28" s="37" customFormat="1" x14ac:dyDescent="0.15">
      <c r="A5395" s="70"/>
      <c r="B5395" s="118"/>
      <c r="C5395" s="121"/>
      <c r="D5395" s="121"/>
      <c r="E5395" s="121"/>
      <c r="F5395" s="121"/>
      <c r="G5395" s="121"/>
      <c r="H5395" s="93"/>
      <c r="I5395" s="85"/>
      <c r="J5395" s="122"/>
      <c r="K5395" s="131"/>
      <c r="L5395" s="60"/>
      <c r="M5395" s="49"/>
      <c r="Q5395" s="3"/>
      <c r="R5395" s="3"/>
      <c r="S5395" s="3"/>
      <c r="T5395" s="3"/>
      <c r="U5395" s="3"/>
      <c r="V5395" s="3"/>
      <c r="W5395" s="3"/>
      <c r="X5395" s="3"/>
      <c r="Y5395" s="3"/>
      <c r="Z5395" s="4"/>
      <c r="AA5395"/>
      <c r="AB5395"/>
    </row>
    <row r="5396" spans="1:28" s="37" customFormat="1" x14ac:dyDescent="0.15">
      <c r="A5396" s="70"/>
      <c r="B5396" s="118"/>
      <c r="C5396" s="121"/>
      <c r="D5396" s="121"/>
      <c r="E5396" s="121"/>
      <c r="F5396" s="121"/>
      <c r="G5396" s="121"/>
      <c r="H5396" s="93"/>
      <c r="I5396" s="85"/>
      <c r="J5396" s="122"/>
      <c r="K5396" s="131"/>
      <c r="L5396" s="60"/>
      <c r="M5396" s="49"/>
      <c r="Q5396" s="3"/>
      <c r="R5396" s="3"/>
      <c r="S5396" s="3"/>
      <c r="T5396" s="3"/>
      <c r="U5396" s="3"/>
      <c r="V5396" s="3"/>
      <c r="W5396" s="3"/>
      <c r="X5396" s="3"/>
      <c r="Y5396" s="3"/>
      <c r="Z5396" s="4"/>
      <c r="AA5396"/>
      <c r="AB5396"/>
    </row>
    <row r="5397" spans="1:28" s="37" customFormat="1" x14ac:dyDescent="0.15">
      <c r="A5397" s="70"/>
      <c r="B5397" s="118"/>
      <c r="C5397" s="121"/>
      <c r="D5397" s="121"/>
      <c r="E5397" s="121"/>
      <c r="F5397" s="121"/>
      <c r="G5397" s="121"/>
      <c r="H5397" s="93"/>
      <c r="I5397" s="85"/>
      <c r="J5397" s="122"/>
      <c r="K5397" s="131"/>
      <c r="L5397" s="60"/>
      <c r="M5397" s="49"/>
      <c r="Q5397" s="3"/>
      <c r="R5397" s="3"/>
      <c r="S5397" s="3"/>
      <c r="T5397" s="3"/>
      <c r="U5397" s="3"/>
      <c r="V5397" s="3"/>
      <c r="W5397" s="3"/>
      <c r="X5397" s="3"/>
      <c r="Y5397" s="3"/>
      <c r="Z5397" s="4"/>
      <c r="AA5397"/>
      <c r="AB5397"/>
    </row>
    <row r="5398" spans="1:28" s="37" customFormat="1" x14ac:dyDescent="0.15">
      <c r="A5398" s="70"/>
      <c r="B5398" s="118"/>
      <c r="C5398" s="121"/>
      <c r="D5398" s="121"/>
      <c r="E5398" s="121"/>
      <c r="F5398" s="121"/>
      <c r="G5398" s="121"/>
      <c r="H5398" s="93"/>
      <c r="I5398" s="85"/>
      <c r="J5398" s="122"/>
      <c r="K5398" s="131"/>
      <c r="L5398" s="60"/>
      <c r="M5398" s="49"/>
      <c r="Q5398" s="3"/>
      <c r="R5398" s="3"/>
      <c r="S5398" s="3"/>
      <c r="T5398" s="3"/>
      <c r="U5398" s="3"/>
      <c r="V5398" s="3"/>
      <c r="W5398" s="3"/>
      <c r="X5398" s="3"/>
      <c r="Y5398" s="3"/>
      <c r="Z5398" s="4"/>
      <c r="AA5398"/>
      <c r="AB5398"/>
    </row>
    <row r="5399" spans="1:28" s="37" customFormat="1" x14ac:dyDescent="0.15">
      <c r="A5399" s="73"/>
      <c r="B5399" s="118"/>
      <c r="C5399" s="121"/>
      <c r="D5399" s="121"/>
      <c r="E5399" s="121"/>
      <c r="F5399" s="121"/>
      <c r="G5399" s="121"/>
      <c r="H5399" s="93"/>
      <c r="I5399" s="85"/>
      <c r="J5399" s="122"/>
      <c r="K5399" s="131"/>
      <c r="L5399" s="60"/>
      <c r="M5399" s="49"/>
      <c r="Q5399" s="3"/>
      <c r="R5399" s="3"/>
      <c r="S5399" s="3"/>
      <c r="T5399" s="3"/>
      <c r="U5399" s="3"/>
      <c r="V5399" s="3"/>
      <c r="W5399" s="3"/>
      <c r="X5399" s="3"/>
      <c r="Y5399" s="3"/>
      <c r="Z5399" s="4"/>
      <c r="AA5399"/>
      <c r="AB5399"/>
    </row>
    <row r="5400" spans="1:28" s="37" customFormat="1" x14ac:dyDescent="0.15">
      <c r="A5400" s="70"/>
      <c r="B5400" s="118"/>
      <c r="C5400" s="121"/>
      <c r="D5400" s="121"/>
      <c r="E5400" s="121"/>
      <c r="F5400" s="121"/>
      <c r="G5400" s="121"/>
      <c r="H5400" s="93"/>
      <c r="I5400" s="85"/>
      <c r="J5400" s="122"/>
      <c r="K5400" s="131"/>
      <c r="L5400" s="60"/>
      <c r="M5400" s="49"/>
      <c r="Q5400" s="3"/>
      <c r="R5400" s="3"/>
      <c r="S5400" s="3"/>
      <c r="T5400" s="3"/>
      <c r="U5400" s="3"/>
      <c r="V5400" s="3"/>
      <c r="W5400" s="3"/>
      <c r="X5400" s="3"/>
      <c r="Y5400" s="3"/>
      <c r="Z5400" s="4"/>
      <c r="AA5400"/>
      <c r="AB5400"/>
    </row>
    <row r="5401" spans="1:28" s="37" customFormat="1" x14ac:dyDescent="0.15">
      <c r="A5401" s="70"/>
      <c r="B5401" s="118"/>
      <c r="C5401" s="121"/>
      <c r="D5401" s="121"/>
      <c r="E5401" s="121"/>
      <c r="F5401" s="121"/>
      <c r="G5401" s="121"/>
      <c r="H5401" s="93"/>
      <c r="I5401" s="85"/>
      <c r="J5401" s="122"/>
      <c r="K5401" s="131"/>
      <c r="L5401" s="60"/>
      <c r="M5401" s="49"/>
      <c r="Q5401" s="3"/>
      <c r="R5401" s="3"/>
      <c r="S5401" s="3"/>
      <c r="T5401" s="3"/>
      <c r="U5401" s="3"/>
      <c r="V5401" s="3"/>
      <c r="W5401" s="3"/>
      <c r="X5401" s="3"/>
      <c r="Y5401" s="3"/>
      <c r="Z5401" s="4"/>
      <c r="AA5401"/>
      <c r="AB5401"/>
    </row>
    <row r="5402" spans="1:28" s="37" customFormat="1" x14ac:dyDescent="0.15">
      <c r="A5402" s="70"/>
      <c r="B5402" s="118"/>
      <c r="C5402" s="121"/>
      <c r="D5402" s="121"/>
      <c r="E5402" s="121"/>
      <c r="F5402" s="121"/>
      <c r="G5402" s="121"/>
      <c r="H5402" s="108"/>
      <c r="I5402" s="85"/>
      <c r="J5402" s="122"/>
      <c r="K5402" s="131"/>
      <c r="L5402" s="60"/>
      <c r="M5402" s="49"/>
      <c r="Q5402" s="3"/>
      <c r="R5402" s="3"/>
      <c r="S5402" s="3"/>
      <c r="T5402" s="3"/>
      <c r="U5402" s="3"/>
      <c r="V5402" s="3"/>
      <c r="W5402" s="3"/>
      <c r="X5402" s="3"/>
      <c r="Y5402" s="3"/>
      <c r="Z5402" s="4"/>
      <c r="AA5402"/>
      <c r="AB5402"/>
    </row>
    <row r="5403" spans="1:28" s="37" customFormat="1" x14ac:dyDescent="0.15">
      <c r="A5403" s="70"/>
      <c r="B5403" s="118"/>
      <c r="C5403" s="121"/>
      <c r="D5403" s="121"/>
      <c r="E5403" s="121"/>
      <c r="F5403" s="121"/>
      <c r="G5403" s="121"/>
      <c r="H5403" s="93"/>
      <c r="I5403" s="85"/>
      <c r="J5403" s="85"/>
      <c r="K5403" s="131"/>
      <c r="L5403" s="63"/>
      <c r="M5403" s="49"/>
      <c r="O5403" s="51"/>
      <c r="Q5403" s="3"/>
      <c r="R5403" s="3"/>
      <c r="S5403" s="3"/>
      <c r="T5403" s="3"/>
      <c r="U5403" s="3"/>
      <c r="V5403" s="3"/>
      <c r="W5403" s="3"/>
      <c r="X5403" s="3"/>
      <c r="Y5403" s="3"/>
      <c r="Z5403" s="4"/>
      <c r="AA5403"/>
      <c r="AB5403"/>
    </row>
    <row r="5404" spans="1:28" s="37" customFormat="1" x14ac:dyDescent="0.15">
      <c r="A5404" s="70"/>
      <c r="B5404" s="118"/>
      <c r="C5404" s="121"/>
      <c r="D5404" s="121"/>
      <c r="E5404" s="121"/>
      <c r="F5404" s="121"/>
      <c r="G5404" s="121"/>
      <c r="H5404" s="93"/>
      <c r="I5404" s="85"/>
      <c r="J5404" s="122"/>
      <c r="K5404" s="131"/>
      <c r="L5404" s="60"/>
      <c r="M5404" s="49"/>
      <c r="Q5404" s="3"/>
      <c r="R5404" s="3"/>
      <c r="S5404" s="3"/>
      <c r="T5404" s="3"/>
      <c r="U5404" s="3"/>
      <c r="V5404" s="3"/>
      <c r="W5404" s="3"/>
      <c r="X5404" s="3"/>
      <c r="Y5404" s="3"/>
      <c r="Z5404" s="4"/>
      <c r="AA5404"/>
      <c r="AB5404"/>
    </row>
    <row r="5405" spans="1:28" s="37" customFormat="1" x14ac:dyDescent="0.15">
      <c r="A5405" s="70"/>
      <c r="B5405" s="118"/>
      <c r="C5405" s="121"/>
      <c r="D5405" s="121"/>
      <c r="E5405" s="121"/>
      <c r="F5405" s="121"/>
      <c r="G5405" s="121"/>
      <c r="H5405" s="93"/>
      <c r="I5405" s="85"/>
      <c r="J5405" s="122"/>
      <c r="K5405" s="131"/>
      <c r="L5405" s="60"/>
      <c r="M5405" s="49"/>
      <c r="Q5405" s="3"/>
      <c r="R5405" s="3"/>
      <c r="S5405" s="3"/>
      <c r="T5405" s="3"/>
      <c r="U5405" s="3"/>
      <c r="V5405" s="3"/>
      <c r="W5405" s="3"/>
      <c r="X5405" s="3"/>
      <c r="Y5405" s="3"/>
      <c r="Z5405" s="4"/>
      <c r="AA5405"/>
      <c r="AB5405"/>
    </row>
    <row r="5406" spans="1:28" s="37" customFormat="1" x14ac:dyDescent="0.15">
      <c r="A5406" s="70"/>
      <c r="B5406" s="118"/>
      <c r="C5406" s="121"/>
      <c r="D5406" s="121"/>
      <c r="E5406" s="121"/>
      <c r="F5406" s="121"/>
      <c r="G5406" s="121"/>
      <c r="H5406" s="93"/>
      <c r="I5406" s="85"/>
      <c r="J5406" s="122"/>
      <c r="K5406" s="131"/>
      <c r="L5406" s="60"/>
      <c r="M5406" s="49"/>
      <c r="Q5406" s="3"/>
      <c r="R5406" s="3"/>
      <c r="S5406" s="3"/>
      <c r="T5406" s="3"/>
      <c r="U5406" s="3"/>
      <c r="V5406" s="3"/>
      <c r="W5406" s="3"/>
      <c r="X5406" s="3"/>
      <c r="Y5406" s="3"/>
      <c r="Z5406" s="4"/>
      <c r="AA5406"/>
      <c r="AB5406"/>
    </row>
    <row r="5407" spans="1:28" s="37" customFormat="1" x14ac:dyDescent="0.15">
      <c r="A5407" s="70"/>
      <c r="B5407" s="118"/>
      <c r="C5407" s="121"/>
      <c r="D5407" s="121"/>
      <c r="E5407" s="121"/>
      <c r="F5407" s="121"/>
      <c r="G5407" s="121"/>
      <c r="H5407" s="108"/>
      <c r="I5407" s="85"/>
      <c r="J5407" s="122"/>
      <c r="K5407" s="131"/>
      <c r="L5407" s="69"/>
      <c r="M5407" s="49"/>
      <c r="Q5407" s="3"/>
      <c r="R5407" s="3"/>
      <c r="S5407" s="3"/>
      <c r="T5407" s="3"/>
      <c r="U5407" s="3"/>
      <c r="V5407" s="3"/>
      <c r="W5407" s="3"/>
      <c r="X5407" s="3"/>
      <c r="Y5407" s="3"/>
      <c r="Z5407" s="4"/>
      <c r="AA5407"/>
      <c r="AB5407"/>
    </row>
    <row r="5408" spans="1:28" s="37" customFormat="1" ht="16" x14ac:dyDescent="0.2">
      <c r="A5408" s="70"/>
      <c r="B5408" s="118"/>
      <c r="C5408" s="121"/>
      <c r="D5408" s="121"/>
      <c r="E5408" s="121"/>
      <c r="F5408" s="121"/>
      <c r="G5408" s="121"/>
      <c r="H5408" s="93"/>
      <c r="I5408" s="85"/>
      <c r="J5408" s="122"/>
      <c r="K5408" s="131"/>
      <c r="L5408" s="69"/>
      <c r="M5408" s="49"/>
      <c r="N5408" s="48"/>
      <c r="Q5408" s="3"/>
      <c r="R5408" s="3"/>
      <c r="S5408" s="3"/>
      <c r="T5408" s="3"/>
      <c r="U5408" s="3"/>
      <c r="V5408" s="3"/>
      <c r="W5408" s="3"/>
      <c r="X5408" s="3"/>
      <c r="Y5408" s="3"/>
      <c r="Z5408" s="4"/>
      <c r="AA5408"/>
      <c r="AB5408"/>
    </row>
    <row r="5409" spans="1:28" s="37" customFormat="1" x14ac:dyDescent="0.15">
      <c r="A5409" s="70"/>
      <c r="B5409" s="118"/>
      <c r="C5409" s="121"/>
      <c r="D5409" s="121"/>
      <c r="E5409" s="121"/>
      <c r="F5409" s="121"/>
      <c r="G5409" s="121"/>
      <c r="H5409" s="93"/>
      <c r="I5409" s="85"/>
      <c r="J5409" s="122"/>
      <c r="K5409" s="131"/>
      <c r="L5409" s="60"/>
      <c r="M5409" s="49"/>
      <c r="Q5409" s="3"/>
      <c r="R5409" s="3"/>
      <c r="S5409" s="3"/>
      <c r="T5409" s="3"/>
      <c r="U5409" s="3"/>
      <c r="V5409" s="3"/>
      <c r="W5409" s="3"/>
      <c r="X5409" s="3"/>
      <c r="Y5409" s="3"/>
      <c r="Z5409" s="4"/>
      <c r="AA5409"/>
      <c r="AB5409"/>
    </row>
    <row r="5410" spans="1:28" s="37" customFormat="1" x14ac:dyDescent="0.15">
      <c r="A5410" s="70"/>
      <c r="B5410" s="118"/>
      <c r="C5410" s="121"/>
      <c r="D5410" s="121"/>
      <c r="E5410" s="121"/>
      <c r="F5410" s="121"/>
      <c r="G5410" s="121"/>
      <c r="H5410" s="93"/>
      <c r="I5410" s="85"/>
      <c r="J5410" s="122"/>
      <c r="K5410" s="131"/>
      <c r="L5410" s="69"/>
      <c r="M5410" s="49"/>
      <c r="Q5410" s="3"/>
      <c r="R5410" s="3"/>
      <c r="S5410" s="3"/>
      <c r="T5410" s="3"/>
      <c r="U5410" s="3"/>
      <c r="V5410" s="3"/>
      <c r="W5410" s="3"/>
      <c r="X5410" s="3"/>
      <c r="Y5410" s="3"/>
      <c r="Z5410" s="4"/>
      <c r="AA5410"/>
      <c r="AB5410"/>
    </row>
    <row r="5411" spans="1:28" s="37" customFormat="1" x14ac:dyDescent="0.15">
      <c r="A5411" s="70"/>
      <c r="B5411" s="118"/>
      <c r="C5411" s="121"/>
      <c r="D5411" s="121"/>
      <c r="E5411" s="121"/>
      <c r="F5411" s="121"/>
      <c r="G5411" s="121"/>
      <c r="H5411" s="93"/>
      <c r="I5411" s="85"/>
      <c r="J5411" s="122"/>
      <c r="K5411" s="131"/>
      <c r="L5411" s="69"/>
      <c r="M5411" s="49"/>
      <c r="Q5411" s="3"/>
      <c r="R5411" s="3"/>
      <c r="S5411" s="3"/>
      <c r="T5411" s="3"/>
      <c r="U5411" s="3"/>
      <c r="V5411" s="3"/>
      <c r="W5411" s="3"/>
      <c r="X5411" s="3"/>
      <c r="Y5411" s="3"/>
      <c r="Z5411" s="4"/>
      <c r="AA5411"/>
      <c r="AB5411"/>
    </row>
    <row r="5412" spans="1:28" s="37" customFormat="1" x14ac:dyDescent="0.15">
      <c r="A5412" s="73"/>
      <c r="B5412" s="118"/>
      <c r="C5412" s="121"/>
      <c r="D5412" s="121"/>
      <c r="E5412" s="121"/>
      <c r="F5412" s="121"/>
      <c r="G5412" s="121"/>
      <c r="H5412" s="93"/>
      <c r="I5412" s="85"/>
      <c r="J5412" s="122"/>
      <c r="K5412" s="131"/>
      <c r="L5412" s="69"/>
      <c r="M5412" s="49"/>
      <c r="Q5412" s="3"/>
      <c r="R5412" s="3"/>
      <c r="S5412" s="3"/>
      <c r="T5412" s="3"/>
      <c r="U5412" s="3"/>
      <c r="V5412" s="3"/>
      <c r="W5412" s="3"/>
      <c r="X5412" s="3"/>
      <c r="Y5412" s="3"/>
      <c r="Z5412" s="4"/>
      <c r="AA5412"/>
      <c r="AB5412"/>
    </row>
    <row r="5413" spans="1:28" s="37" customFormat="1" x14ac:dyDescent="0.15">
      <c r="A5413" s="70"/>
      <c r="B5413" s="118"/>
      <c r="C5413" s="121"/>
      <c r="D5413" s="121"/>
      <c r="E5413" s="121"/>
      <c r="F5413" s="121"/>
      <c r="G5413" s="121"/>
      <c r="H5413" s="93"/>
      <c r="I5413" s="85"/>
      <c r="J5413" s="122"/>
      <c r="K5413" s="131"/>
      <c r="L5413" s="69"/>
      <c r="M5413" s="49"/>
      <c r="Q5413" s="3"/>
      <c r="R5413" s="3"/>
      <c r="S5413" s="3"/>
      <c r="T5413" s="3"/>
      <c r="U5413" s="3"/>
      <c r="V5413" s="3"/>
      <c r="W5413" s="3"/>
      <c r="X5413" s="3"/>
      <c r="Y5413" s="3"/>
      <c r="Z5413" s="4"/>
      <c r="AA5413"/>
      <c r="AB5413"/>
    </row>
    <row r="5414" spans="1:28" s="37" customFormat="1" x14ac:dyDescent="0.15">
      <c r="A5414" s="70"/>
      <c r="B5414" s="118"/>
      <c r="C5414" s="121"/>
      <c r="D5414" s="121"/>
      <c r="E5414" s="121"/>
      <c r="F5414" s="121"/>
      <c r="G5414" s="121"/>
      <c r="H5414" s="93"/>
      <c r="I5414" s="85"/>
      <c r="J5414" s="122"/>
      <c r="K5414" s="131"/>
      <c r="L5414" s="69"/>
      <c r="M5414" s="49"/>
      <c r="Q5414" s="3"/>
      <c r="R5414" s="3"/>
      <c r="S5414" s="3"/>
      <c r="T5414" s="3"/>
      <c r="U5414" s="3"/>
      <c r="V5414" s="3"/>
      <c r="W5414" s="3"/>
      <c r="X5414" s="3"/>
      <c r="Y5414" s="3"/>
      <c r="Z5414" s="4"/>
      <c r="AA5414"/>
      <c r="AB5414"/>
    </row>
    <row r="5415" spans="1:28" s="37" customFormat="1" x14ac:dyDescent="0.15">
      <c r="A5415" s="70"/>
      <c r="B5415" s="118"/>
      <c r="C5415" s="121"/>
      <c r="D5415" s="121"/>
      <c r="E5415" s="121"/>
      <c r="F5415" s="121"/>
      <c r="G5415" s="121"/>
      <c r="H5415" s="93"/>
      <c r="I5415" s="85"/>
      <c r="J5415" s="122"/>
      <c r="K5415" s="131"/>
      <c r="L5415" s="60"/>
      <c r="M5415" s="49"/>
      <c r="Q5415" s="3"/>
      <c r="R5415" s="3"/>
      <c r="S5415" s="3"/>
      <c r="T5415" s="3"/>
      <c r="U5415" s="3"/>
      <c r="V5415" s="3"/>
      <c r="W5415" s="3"/>
      <c r="X5415" s="3"/>
      <c r="Y5415" s="3"/>
      <c r="Z5415" s="4"/>
      <c r="AA5415"/>
      <c r="AB5415"/>
    </row>
    <row r="5416" spans="1:28" s="37" customFormat="1" ht="16" x14ac:dyDescent="0.2">
      <c r="A5416" s="70"/>
      <c r="B5416" s="118"/>
      <c r="C5416" s="121"/>
      <c r="D5416" s="121"/>
      <c r="E5416" s="121"/>
      <c r="F5416" s="121"/>
      <c r="G5416" s="121"/>
      <c r="H5416" s="93"/>
      <c r="I5416" s="85"/>
      <c r="J5416" s="122"/>
      <c r="K5416" s="131"/>
      <c r="L5416" s="69"/>
      <c r="M5416" s="49"/>
      <c r="N5416" s="48"/>
      <c r="Q5416" s="3"/>
      <c r="R5416" s="3"/>
      <c r="S5416" s="3"/>
      <c r="T5416" s="3"/>
      <c r="U5416" s="3"/>
      <c r="V5416" s="3"/>
      <c r="W5416" s="3"/>
      <c r="X5416" s="3"/>
      <c r="Y5416" s="3"/>
      <c r="Z5416" s="4"/>
      <c r="AA5416"/>
      <c r="AB5416"/>
    </row>
    <row r="5417" spans="1:28" s="37" customFormat="1" ht="16" x14ac:dyDescent="0.2">
      <c r="A5417" s="70"/>
      <c r="B5417" s="118"/>
      <c r="C5417" s="121"/>
      <c r="D5417" s="121"/>
      <c r="E5417" s="121"/>
      <c r="F5417" s="121"/>
      <c r="G5417" s="121"/>
      <c r="H5417" s="93"/>
      <c r="I5417" s="85"/>
      <c r="J5417" s="122"/>
      <c r="K5417" s="131"/>
      <c r="L5417" s="60"/>
      <c r="M5417" s="49"/>
      <c r="N5417" s="48"/>
      <c r="Q5417" s="3"/>
      <c r="R5417" s="3"/>
      <c r="S5417" s="3"/>
      <c r="T5417" s="3"/>
      <c r="U5417" s="3"/>
      <c r="V5417" s="3"/>
      <c r="W5417" s="3"/>
      <c r="X5417" s="3"/>
      <c r="Y5417" s="3"/>
      <c r="Z5417" s="4"/>
      <c r="AA5417"/>
      <c r="AB5417"/>
    </row>
    <row r="5418" spans="1:28" s="37" customFormat="1" x14ac:dyDescent="0.15">
      <c r="A5418" s="70"/>
      <c r="B5418" s="118"/>
      <c r="C5418" s="121"/>
      <c r="D5418" s="121"/>
      <c r="E5418" s="121"/>
      <c r="F5418" s="121"/>
      <c r="G5418" s="121"/>
      <c r="H5418" s="93"/>
      <c r="I5418" s="85"/>
      <c r="J5418" s="122"/>
      <c r="K5418" s="131"/>
      <c r="L5418" s="69"/>
      <c r="M5418" s="49"/>
      <c r="Q5418" s="3"/>
      <c r="R5418" s="3"/>
      <c r="S5418" s="3"/>
      <c r="T5418" s="3"/>
      <c r="U5418" s="3"/>
      <c r="V5418" s="3"/>
      <c r="W5418" s="3"/>
      <c r="X5418" s="3"/>
      <c r="Y5418" s="3"/>
      <c r="Z5418" s="4"/>
      <c r="AA5418"/>
      <c r="AB5418"/>
    </row>
    <row r="5419" spans="1:28" s="37" customFormat="1" x14ac:dyDescent="0.15">
      <c r="A5419" s="70"/>
      <c r="B5419" s="118"/>
      <c r="C5419" s="121"/>
      <c r="D5419" s="121"/>
      <c r="E5419" s="121"/>
      <c r="F5419" s="121"/>
      <c r="G5419" s="121"/>
      <c r="H5419" s="93"/>
      <c r="I5419" s="85"/>
      <c r="J5419" s="122"/>
      <c r="K5419" s="131"/>
      <c r="L5419" s="60"/>
      <c r="M5419" s="49"/>
      <c r="Q5419" s="3"/>
      <c r="R5419" s="3"/>
      <c r="S5419" s="3"/>
      <c r="T5419" s="3"/>
      <c r="U5419" s="3"/>
      <c r="V5419" s="3"/>
      <c r="W5419" s="3"/>
      <c r="X5419" s="3"/>
      <c r="Y5419" s="3"/>
      <c r="Z5419" s="4"/>
      <c r="AA5419"/>
      <c r="AB5419"/>
    </row>
    <row r="5420" spans="1:28" s="37" customFormat="1" x14ac:dyDescent="0.15">
      <c r="A5420" s="70"/>
      <c r="B5420" s="118"/>
      <c r="C5420" s="121"/>
      <c r="D5420" s="121"/>
      <c r="E5420" s="121"/>
      <c r="F5420" s="121"/>
      <c r="G5420" s="121"/>
      <c r="H5420" s="93"/>
      <c r="I5420" s="85"/>
      <c r="J5420" s="122"/>
      <c r="K5420" s="131"/>
      <c r="L5420" s="60"/>
      <c r="M5420" s="49"/>
      <c r="Q5420" s="3"/>
      <c r="R5420" s="3"/>
      <c r="S5420" s="3"/>
      <c r="T5420" s="3"/>
      <c r="U5420" s="3"/>
      <c r="V5420" s="3"/>
      <c r="W5420" s="3"/>
      <c r="X5420" s="3"/>
      <c r="Y5420" s="3"/>
      <c r="Z5420" s="4"/>
      <c r="AA5420"/>
      <c r="AB5420"/>
    </row>
    <row r="5421" spans="1:28" s="37" customFormat="1" x14ac:dyDescent="0.15">
      <c r="A5421" s="70"/>
      <c r="B5421" s="118"/>
      <c r="C5421" s="121"/>
      <c r="D5421" s="121"/>
      <c r="E5421" s="121"/>
      <c r="F5421" s="121"/>
      <c r="G5421" s="121"/>
      <c r="H5421" s="93"/>
      <c r="I5421" s="85"/>
      <c r="J5421" s="122"/>
      <c r="K5421" s="131"/>
      <c r="L5421" s="60"/>
      <c r="M5421" s="49"/>
      <c r="Q5421" s="3"/>
      <c r="R5421" s="3"/>
      <c r="S5421" s="3"/>
      <c r="T5421" s="3"/>
      <c r="U5421" s="3"/>
      <c r="V5421" s="3"/>
      <c r="W5421" s="3"/>
      <c r="X5421" s="3"/>
      <c r="Y5421" s="3"/>
      <c r="Z5421" s="4"/>
      <c r="AA5421"/>
      <c r="AB5421"/>
    </row>
    <row r="5422" spans="1:28" s="3" customFormat="1" x14ac:dyDescent="0.15">
      <c r="A5422" s="70"/>
      <c r="B5422" s="118"/>
      <c r="C5422" s="121"/>
      <c r="D5422" s="121"/>
      <c r="E5422" s="121"/>
      <c r="F5422" s="121"/>
      <c r="G5422" s="121"/>
      <c r="H5422" s="93"/>
      <c r="I5422" s="85"/>
      <c r="J5422" s="121"/>
      <c r="K5422" s="131"/>
      <c r="L5422" s="69"/>
      <c r="M5422" s="49"/>
      <c r="N5422" s="37"/>
      <c r="O5422" s="37"/>
      <c r="P5422" s="37"/>
      <c r="Z5422" s="4"/>
      <c r="AA5422"/>
      <c r="AB5422"/>
    </row>
    <row r="5423" spans="1:28" s="3" customFormat="1" x14ac:dyDescent="0.15">
      <c r="A5423" s="70"/>
      <c r="B5423" s="118"/>
      <c r="C5423" s="121"/>
      <c r="D5423" s="121"/>
      <c r="E5423" s="121"/>
      <c r="F5423" s="121"/>
      <c r="G5423" s="121"/>
      <c r="H5423" s="93"/>
      <c r="I5423" s="85"/>
      <c r="J5423" s="122"/>
      <c r="K5423" s="131"/>
      <c r="L5423" s="69"/>
      <c r="M5423" s="49"/>
      <c r="N5423" s="37"/>
      <c r="O5423" s="37"/>
      <c r="P5423" s="37"/>
      <c r="Z5423" s="4"/>
      <c r="AA5423"/>
      <c r="AB5423"/>
    </row>
    <row r="5424" spans="1:28" s="3" customFormat="1" x14ac:dyDescent="0.15">
      <c r="A5424" s="70"/>
      <c r="B5424" s="118"/>
      <c r="C5424" s="121"/>
      <c r="D5424" s="121"/>
      <c r="E5424" s="121"/>
      <c r="F5424" s="121"/>
      <c r="G5424" s="121"/>
      <c r="H5424" s="93"/>
      <c r="I5424" s="85"/>
      <c r="J5424" s="122"/>
      <c r="K5424" s="131"/>
      <c r="L5424" s="69"/>
      <c r="M5424" s="49"/>
      <c r="N5424" s="37"/>
      <c r="O5424" s="37"/>
      <c r="P5424" s="37"/>
      <c r="Z5424" s="4"/>
      <c r="AA5424"/>
      <c r="AB5424"/>
    </row>
    <row r="5425" spans="1:28" s="3" customFormat="1" x14ac:dyDescent="0.15">
      <c r="A5425" s="73"/>
      <c r="B5425" s="118"/>
      <c r="C5425" s="121"/>
      <c r="D5425" s="121"/>
      <c r="E5425" s="121"/>
      <c r="F5425" s="121"/>
      <c r="G5425" s="121"/>
      <c r="H5425" s="93"/>
      <c r="I5425" s="85"/>
      <c r="J5425" s="122"/>
      <c r="K5425" s="150"/>
      <c r="L5425" s="69"/>
      <c r="M5425" s="49"/>
      <c r="N5425" s="37"/>
      <c r="O5425" s="37"/>
      <c r="P5425" s="37"/>
      <c r="Z5425" s="4"/>
      <c r="AA5425"/>
      <c r="AB5425"/>
    </row>
    <row r="5426" spans="1:28" s="3" customFormat="1" x14ac:dyDescent="0.15">
      <c r="A5426" s="70"/>
      <c r="B5426" s="118"/>
      <c r="C5426" s="121"/>
      <c r="D5426" s="121"/>
      <c r="E5426" s="121"/>
      <c r="F5426" s="121"/>
      <c r="G5426" s="121"/>
      <c r="H5426" s="93"/>
      <c r="I5426" s="85"/>
      <c r="J5426" s="122"/>
      <c r="K5426" s="150"/>
      <c r="L5426" s="69"/>
      <c r="M5426" s="49"/>
      <c r="N5426" s="37"/>
      <c r="O5426" s="37"/>
      <c r="P5426" s="37"/>
      <c r="Q5426" s="6"/>
      <c r="R5426" s="6"/>
      <c r="Z5426" s="4"/>
      <c r="AA5426"/>
      <c r="AB5426"/>
    </row>
    <row r="5427" spans="1:28" s="3" customFormat="1" x14ac:dyDescent="0.15">
      <c r="A5427" s="70"/>
      <c r="B5427" s="118"/>
      <c r="C5427" s="121"/>
      <c r="D5427" s="121"/>
      <c r="E5427" s="121"/>
      <c r="F5427" s="121"/>
      <c r="G5427" s="121"/>
      <c r="H5427" s="93"/>
      <c r="I5427" s="85"/>
      <c r="J5427" s="122"/>
      <c r="K5427" s="150"/>
      <c r="L5427" s="69"/>
      <c r="M5427" s="49"/>
      <c r="N5427" s="37"/>
      <c r="O5427" s="37"/>
      <c r="P5427" s="37"/>
      <c r="Q5427" s="6"/>
      <c r="R5427" s="6"/>
      <c r="Z5427" s="4"/>
      <c r="AA5427"/>
      <c r="AB5427"/>
    </row>
    <row r="5428" spans="1:28" s="3" customFormat="1" x14ac:dyDescent="0.15">
      <c r="A5428" s="70"/>
      <c r="B5428" s="118"/>
      <c r="C5428" s="121"/>
      <c r="D5428" s="121"/>
      <c r="E5428" s="121"/>
      <c r="F5428" s="121"/>
      <c r="G5428" s="121"/>
      <c r="H5428" s="93"/>
      <c r="I5428" s="85"/>
      <c r="J5428" s="122"/>
      <c r="K5428" s="150"/>
      <c r="L5428" s="69"/>
      <c r="M5428" s="49"/>
      <c r="N5428" s="37"/>
      <c r="O5428" s="37"/>
      <c r="P5428" s="37"/>
      <c r="Q5428" s="6"/>
      <c r="R5428" s="6"/>
      <c r="Z5428" s="4"/>
      <c r="AA5428"/>
      <c r="AB5428"/>
    </row>
    <row r="5429" spans="1:28" s="3" customFormat="1" x14ac:dyDescent="0.15">
      <c r="A5429" s="70"/>
      <c r="B5429" s="118"/>
      <c r="C5429" s="121"/>
      <c r="D5429" s="121"/>
      <c r="E5429" s="121"/>
      <c r="F5429" s="121"/>
      <c r="G5429" s="121"/>
      <c r="H5429" s="93"/>
      <c r="I5429" s="85"/>
      <c r="J5429" s="122"/>
      <c r="K5429" s="150"/>
      <c r="L5429" s="60"/>
      <c r="M5429" s="49"/>
      <c r="N5429" s="37"/>
      <c r="O5429" s="37"/>
      <c r="P5429" s="37"/>
      <c r="Q5429" s="6"/>
      <c r="R5429" s="6"/>
      <c r="Z5429" s="4"/>
      <c r="AA5429"/>
      <c r="AB5429"/>
    </row>
    <row r="5430" spans="1:28" s="3" customFormat="1" x14ac:dyDescent="0.15">
      <c r="A5430" s="70"/>
      <c r="B5430" s="118"/>
      <c r="C5430" s="121"/>
      <c r="D5430" s="121"/>
      <c r="E5430" s="121"/>
      <c r="F5430" s="121"/>
      <c r="G5430" s="121"/>
      <c r="H5430" s="93"/>
      <c r="I5430" s="85"/>
      <c r="J5430" s="122"/>
      <c r="K5430" s="150"/>
      <c r="L5430" s="60"/>
      <c r="M5430" s="49"/>
      <c r="N5430" s="37"/>
      <c r="O5430" s="37"/>
      <c r="P5430" s="37"/>
      <c r="Q5430" s="6"/>
      <c r="R5430" s="6"/>
      <c r="Z5430" s="4"/>
      <c r="AA5430"/>
      <c r="AB5430"/>
    </row>
    <row r="5431" spans="1:28" s="3" customFormat="1" x14ac:dyDescent="0.15">
      <c r="A5431" s="70"/>
      <c r="B5431" s="118"/>
      <c r="C5431" s="121"/>
      <c r="D5431" s="121"/>
      <c r="E5431" s="121"/>
      <c r="F5431" s="121"/>
      <c r="G5431" s="121"/>
      <c r="H5431" s="93"/>
      <c r="I5431" s="85"/>
      <c r="J5431" s="122"/>
      <c r="K5431" s="150"/>
      <c r="L5431" s="69"/>
      <c r="M5431" s="49"/>
      <c r="N5431" s="37"/>
      <c r="O5431" s="37"/>
      <c r="P5431" s="37"/>
      <c r="Q5431" s="6"/>
      <c r="R5431" s="6"/>
      <c r="Z5431" s="4"/>
      <c r="AA5431"/>
      <c r="AB5431"/>
    </row>
    <row r="5432" spans="1:28" s="3" customFormat="1" x14ac:dyDescent="0.15">
      <c r="A5432" s="70"/>
      <c r="B5432" s="118"/>
      <c r="C5432" s="121"/>
      <c r="D5432" s="121"/>
      <c r="E5432" s="121"/>
      <c r="F5432" s="121"/>
      <c r="G5432" s="121"/>
      <c r="H5432" s="93"/>
      <c r="I5432" s="85"/>
      <c r="J5432" s="122"/>
      <c r="K5432" s="150"/>
      <c r="L5432" s="69"/>
      <c r="M5432" s="49"/>
      <c r="N5432" s="37"/>
      <c r="O5432" s="37"/>
      <c r="P5432" s="37"/>
      <c r="Q5432" s="6"/>
      <c r="R5432" s="6"/>
      <c r="Z5432" s="4"/>
      <c r="AA5432"/>
      <c r="AB5432"/>
    </row>
    <row r="5433" spans="1:28" s="3" customFormat="1" x14ac:dyDescent="0.15">
      <c r="A5433" s="70"/>
      <c r="B5433" s="118"/>
      <c r="C5433" s="121"/>
      <c r="D5433" s="121"/>
      <c r="E5433" s="121"/>
      <c r="F5433" s="121"/>
      <c r="G5433" s="121"/>
      <c r="H5433" s="93"/>
      <c r="I5433" s="85"/>
      <c r="J5433" s="122"/>
      <c r="K5433" s="150"/>
      <c r="L5433" s="60"/>
      <c r="M5433" s="49"/>
      <c r="N5433" s="37"/>
      <c r="O5433" s="37"/>
      <c r="P5433" s="37"/>
      <c r="Q5433" s="6"/>
      <c r="R5433" s="6"/>
      <c r="Z5433" s="4"/>
      <c r="AA5433"/>
      <c r="AB5433"/>
    </row>
    <row r="5434" spans="1:28" s="3" customFormat="1" x14ac:dyDescent="0.15">
      <c r="A5434" s="70"/>
      <c r="B5434" s="118"/>
      <c r="C5434" s="121"/>
      <c r="D5434" s="121"/>
      <c r="E5434" s="121"/>
      <c r="F5434" s="121"/>
      <c r="G5434" s="121"/>
      <c r="H5434" s="93"/>
      <c r="I5434" s="85"/>
      <c r="J5434" s="122"/>
      <c r="K5434" s="150"/>
      <c r="L5434" s="69"/>
      <c r="M5434" s="49"/>
      <c r="N5434" s="37"/>
      <c r="O5434" s="37"/>
      <c r="P5434" s="37"/>
      <c r="Q5434" s="6"/>
      <c r="R5434" s="6"/>
      <c r="Z5434" s="4"/>
      <c r="AA5434"/>
      <c r="AB5434"/>
    </row>
    <row r="5435" spans="1:28" s="3" customFormat="1" x14ac:dyDescent="0.15">
      <c r="A5435" s="70"/>
      <c r="B5435" s="118"/>
      <c r="C5435" s="121"/>
      <c r="D5435" s="121"/>
      <c r="E5435" s="121"/>
      <c r="F5435" s="121"/>
      <c r="G5435" s="121"/>
      <c r="H5435" s="93"/>
      <c r="I5435" s="85"/>
      <c r="J5435" s="122"/>
      <c r="K5435" s="150"/>
      <c r="L5435" s="60"/>
      <c r="M5435" s="49"/>
      <c r="N5435" s="37"/>
      <c r="O5435" s="37"/>
      <c r="P5435" s="37"/>
      <c r="Q5435" s="6"/>
      <c r="R5435" s="6"/>
      <c r="Z5435" s="4"/>
      <c r="AA5435"/>
      <c r="AB5435"/>
    </row>
    <row r="5436" spans="1:28" s="3" customFormat="1" x14ac:dyDescent="0.15">
      <c r="A5436" s="70"/>
      <c r="B5436" s="118"/>
      <c r="C5436" s="121"/>
      <c r="D5436" s="121"/>
      <c r="E5436" s="121"/>
      <c r="F5436" s="121"/>
      <c r="G5436" s="121"/>
      <c r="H5436" s="93"/>
      <c r="I5436" s="85"/>
      <c r="J5436" s="122"/>
      <c r="K5436" s="150"/>
      <c r="L5436" s="69"/>
      <c r="M5436" s="49"/>
      <c r="N5436" s="37"/>
      <c r="O5436" s="37"/>
      <c r="P5436" s="37"/>
      <c r="Q5436" s="6"/>
      <c r="R5436" s="6"/>
      <c r="Z5436" s="4"/>
      <c r="AA5436"/>
      <c r="AB5436"/>
    </row>
    <row r="5437" spans="1:28" s="3" customFormat="1" x14ac:dyDescent="0.15">
      <c r="A5437" s="70"/>
      <c r="B5437" s="118"/>
      <c r="C5437" s="121"/>
      <c r="D5437" s="121"/>
      <c r="E5437" s="121"/>
      <c r="F5437" s="121"/>
      <c r="G5437" s="121"/>
      <c r="H5437" s="93"/>
      <c r="I5437" s="85"/>
      <c r="J5437" s="122"/>
      <c r="K5437" s="150"/>
      <c r="L5437" s="69"/>
      <c r="M5437" s="49"/>
      <c r="N5437" s="37"/>
      <c r="O5437" s="37"/>
      <c r="P5437" s="37"/>
      <c r="Q5437" s="6"/>
      <c r="R5437" s="6"/>
      <c r="Z5437" s="4"/>
      <c r="AA5437"/>
      <c r="AB5437"/>
    </row>
    <row r="5438" spans="1:28" s="37" customFormat="1" x14ac:dyDescent="0.15">
      <c r="A5438" s="70"/>
      <c r="B5438" s="118"/>
      <c r="C5438" s="121"/>
      <c r="D5438" s="121"/>
      <c r="E5438" s="121"/>
      <c r="F5438" s="121"/>
      <c r="G5438" s="121"/>
      <c r="H5438" s="93"/>
      <c r="I5438" s="85"/>
      <c r="J5438" s="122"/>
      <c r="K5438" s="150"/>
      <c r="L5438" s="69"/>
      <c r="M5438" s="49"/>
      <c r="Q5438" s="3"/>
      <c r="R5438" s="3"/>
      <c r="S5438" s="3"/>
      <c r="T5438" s="3"/>
      <c r="U5438" s="3"/>
      <c r="V5438" s="3"/>
      <c r="W5438" s="3"/>
      <c r="X5438" s="3"/>
      <c r="Y5438" s="3"/>
      <c r="Z5438" s="4"/>
      <c r="AA5438"/>
      <c r="AB5438"/>
    </row>
    <row r="5439" spans="1:28" s="37" customFormat="1" x14ac:dyDescent="0.15">
      <c r="A5439" s="70"/>
      <c r="B5439" s="118"/>
      <c r="C5439" s="121"/>
      <c r="D5439" s="121"/>
      <c r="E5439" s="121"/>
      <c r="F5439" s="121"/>
      <c r="G5439" s="121"/>
      <c r="H5439" s="93"/>
      <c r="I5439" s="85"/>
      <c r="J5439" s="122"/>
      <c r="K5439" s="150"/>
      <c r="L5439" s="69"/>
      <c r="M5439" s="49"/>
      <c r="Q5439" s="3"/>
      <c r="R5439" s="3"/>
      <c r="S5439" s="3"/>
      <c r="T5439" s="3"/>
      <c r="U5439" s="3"/>
      <c r="V5439" s="3"/>
      <c r="W5439" s="3"/>
      <c r="X5439" s="3"/>
      <c r="Y5439" s="3"/>
      <c r="Z5439" s="4"/>
      <c r="AA5439"/>
      <c r="AB5439"/>
    </row>
    <row r="5440" spans="1:28" s="37" customFormat="1" ht="16" x14ac:dyDescent="0.2">
      <c r="A5440" s="70"/>
      <c r="B5440" s="118"/>
      <c r="C5440" s="121"/>
      <c r="D5440" s="121"/>
      <c r="E5440" s="121"/>
      <c r="F5440" s="121"/>
      <c r="G5440" s="121"/>
      <c r="H5440" s="93"/>
      <c r="I5440" s="85"/>
      <c r="J5440" s="122"/>
      <c r="K5440" s="150"/>
      <c r="L5440" s="69"/>
      <c r="M5440" s="49"/>
      <c r="N5440" s="48"/>
      <c r="Q5440" s="3"/>
      <c r="R5440" s="3"/>
      <c r="S5440" s="3"/>
      <c r="T5440" s="3"/>
      <c r="U5440" s="3"/>
      <c r="V5440" s="3"/>
      <c r="W5440" s="3"/>
      <c r="X5440" s="3"/>
      <c r="Y5440" s="3"/>
      <c r="Z5440" s="4"/>
      <c r="AA5440"/>
      <c r="AB5440"/>
    </row>
    <row r="5441" spans="1:28" s="37" customFormat="1" x14ac:dyDescent="0.15">
      <c r="A5441" s="70"/>
      <c r="B5441" s="118"/>
      <c r="C5441" s="121"/>
      <c r="D5441" s="121"/>
      <c r="E5441" s="121"/>
      <c r="F5441" s="121"/>
      <c r="G5441" s="121"/>
      <c r="H5441" s="93"/>
      <c r="I5441" s="85"/>
      <c r="J5441" s="122"/>
      <c r="K5441" s="150"/>
      <c r="L5441" s="69"/>
      <c r="M5441" s="49"/>
      <c r="Q5441" s="3"/>
      <c r="R5441" s="3"/>
      <c r="S5441" s="3"/>
      <c r="T5441" s="3"/>
      <c r="U5441" s="3"/>
      <c r="V5441" s="3"/>
      <c r="W5441" s="3"/>
      <c r="X5441" s="3"/>
      <c r="Y5441" s="3"/>
      <c r="Z5441" s="4"/>
      <c r="AA5441"/>
      <c r="AB5441"/>
    </row>
    <row r="5442" spans="1:28" s="37" customFormat="1" x14ac:dyDescent="0.15">
      <c r="A5442" s="70"/>
      <c r="B5442" s="118"/>
      <c r="C5442" s="121"/>
      <c r="D5442" s="121"/>
      <c r="E5442" s="121"/>
      <c r="F5442" s="121"/>
      <c r="G5442" s="121"/>
      <c r="H5442" s="93"/>
      <c r="I5442" s="85"/>
      <c r="J5442" s="122"/>
      <c r="K5442" s="150"/>
      <c r="L5442" s="60"/>
      <c r="M5442" s="49"/>
      <c r="Q5442" s="3"/>
      <c r="R5442" s="3"/>
      <c r="S5442" s="3"/>
      <c r="T5442" s="3"/>
      <c r="U5442" s="3"/>
      <c r="V5442" s="3"/>
      <c r="W5442" s="3"/>
      <c r="X5442" s="3"/>
      <c r="Y5442" s="3"/>
      <c r="Z5442" s="4"/>
      <c r="AA5442"/>
      <c r="AB5442"/>
    </row>
    <row r="5443" spans="1:28" s="37" customFormat="1" x14ac:dyDescent="0.15">
      <c r="A5443" s="70"/>
      <c r="B5443" s="117"/>
      <c r="C5443" s="121"/>
      <c r="D5443" s="121"/>
      <c r="E5443" s="121"/>
      <c r="F5443" s="121"/>
      <c r="G5443" s="121"/>
      <c r="H5443" s="93"/>
      <c r="I5443" s="85"/>
      <c r="J5443" s="122"/>
      <c r="K5443" s="150"/>
      <c r="L5443" s="60"/>
      <c r="M5443" s="33"/>
      <c r="Q5443" s="3"/>
      <c r="R5443" s="3"/>
      <c r="S5443" s="3"/>
      <c r="T5443" s="3"/>
      <c r="U5443" s="3"/>
      <c r="V5443" s="3"/>
      <c r="W5443" s="3"/>
      <c r="X5443" s="3"/>
      <c r="Y5443" s="3"/>
      <c r="Z5443" s="4"/>
      <c r="AA5443"/>
      <c r="AB5443"/>
    </row>
    <row r="5444" spans="1:28" s="37" customFormat="1" x14ac:dyDescent="0.15">
      <c r="A5444" s="73"/>
      <c r="B5444" s="118"/>
      <c r="C5444" s="121"/>
      <c r="D5444" s="121"/>
      <c r="E5444" s="121"/>
      <c r="F5444" s="121"/>
      <c r="G5444" s="121"/>
      <c r="H5444" s="108"/>
      <c r="I5444" s="85"/>
      <c r="J5444" s="122"/>
      <c r="K5444" s="150"/>
      <c r="L5444" s="60"/>
      <c r="M5444" s="49"/>
      <c r="Q5444" s="3"/>
      <c r="R5444" s="3"/>
      <c r="S5444" s="3"/>
      <c r="T5444" s="3"/>
      <c r="U5444" s="3"/>
      <c r="V5444" s="3"/>
      <c r="W5444" s="3"/>
      <c r="X5444" s="3"/>
      <c r="Y5444" s="3"/>
      <c r="Z5444" s="4"/>
      <c r="AA5444"/>
      <c r="AB5444"/>
    </row>
    <row r="5445" spans="1:28" s="37" customFormat="1" x14ac:dyDescent="0.15">
      <c r="A5445" s="70"/>
      <c r="B5445" s="118"/>
      <c r="C5445" s="121"/>
      <c r="D5445" s="121"/>
      <c r="E5445" s="121"/>
      <c r="F5445" s="121"/>
      <c r="G5445" s="121"/>
      <c r="H5445" s="93"/>
      <c r="I5445" s="85"/>
      <c r="J5445" s="122"/>
      <c r="K5445" s="150"/>
      <c r="L5445" s="69"/>
      <c r="M5445" s="49"/>
      <c r="Q5445" s="3"/>
      <c r="R5445" s="3"/>
      <c r="S5445" s="3"/>
      <c r="T5445" s="3"/>
      <c r="U5445" s="3"/>
      <c r="V5445" s="3"/>
      <c r="W5445" s="3"/>
      <c r="X5445" s="3"/>
      <c r="Y5445" s="3"/>
      <c r="Z5445" s="4"/>
      <c r="AA5445"/>
      <c r="AB5445"/>
    </row>
    <row r="5446" spans="1:28" s="37" customFormat="1" x14ac:dyDescent="0.15">
      <c r="A5446" s="73"/>
      <c r="B5446" s="118"/>
      <c r="C5446" s="121"/>
      <c r="D5446" s="121"/>
      <c r="E5446" s="121"/>
      <c r="F5446" s="121"/>
      <c r="G5446" s="121"/>
      <c r="H5446" s="93"/>
      <c r="I5446" s="85"/>
      <c r="J5446" s="122"/>
      <c r="K5446" s="150"/>
      <c r="L5446" s="69"/>
      <c r="M5446" s="49"/>
      <c r="Q5446" s="3"/>
      <c r="R5446" s="3"/>
      <c r="S5446" s="3"/>
      <c r="T5446" s="3"/>
      <c r="U5446" s="3"/>
      <c r="V5446" s="3"/>
      <c r="W5446" s="3"/>
      <c r="X5446" s="3"/>
      <c r="Y5446" s="3"/>
      <c r="Z5446" s="4"/>
      <c r="AA5446"/>
      <c r="AB5446"/>
    </row>
    <row r="5447" spans="1:28" s="37" customFormat="1" x14ac:dyDescent="0.15">
      <c r="A5447" s="70"/>
      <c r="B5447" s="118"/>
      <c r="C5447" s="121"/>
      <c r="D5447" s="121"/>
      <c r="E5447" s="121"/>
      <c r="F5447" s="121"/>
      <c r="G5447" s="121"/>
      <c r="H5447" s="93"/>
      <c r="I5447" s="85"/>
      <c r="J5447" s="122"/>
      <c r="K5447" s="150"/>
      <c r="L5447" s="60"/>
      <c r="M5447" s="49"/>
      <c r="Q5447" s="3"/>
      <c r="R5447" s="3"/>
      <c r="S5447" s="3"/>
      <c r="T5447" s="3"/>
      <c r="U5447" s="3"/>
      <c r="V5447" s="3"/>
      <c r="W5447" s="3"/>
      <c r="X5447" s="3"/>
      <c r="Y5447" s="3"/>
      <c r="Z5447" s="4"/>
      <c r="AA5447"/>
      <c r="AB5447"/>
    </row>
    <row r="5448" spans="1:28" s="37" customFormat="1" x14ac:dyDescent="0.15">
      <c r="A5448" s="70"/>
      <c r="B5448" s="118"/>
      <c r="C5448" s="121"/>
      <c r="D5448" s="121"/>
      <c r="E5448" s="121"/>
      <c r="F5448" s="121"/>
      <c r="G5448" s="121"/>
      <c r="H5448" s="93"/>
      <c r="I5448" s="85"/>
      <c r="J5448" s="122"/>
      <c r="K5448" s="150"/>
      <c r="L5448" s="69"/>
      <c r="M5448" s="49"/>
      <c r="Q5448" s="3"/>
      <c r="R5448" s="3"/>
      <c r="S5448" s="3"/>
      <c r="T5448" s="3"/>
      <c r="U5448" s="3"/>
      <c r="V5448" s="3"/>
      <c r="W5448" s="3"/>
      <c r="X5448" s="3"/>
      <c r="Y5448" s="3"/>
      <c r="Z5448" s="4"/>
      <c r="AA5448"/>
      <c r="AB5448"/>
    </row>
    <row r="5449" spans="1:28" s="37" customFormat="1" x14ac:dyDescent="0.15">
      <c r="A5449" s="70"/>
      <c r="B5449" s="118"/>
      <c r="C5449" s="121"/>
      <c r="D5449" s="121"/>
      <c r="E5449" s="121"/>
      <c r="F5449" s="121"/>
      <c r="G5449" s="121"/>
      <c r="H5449" s="93"/>
      <c r="I5449" s="85"/>
      <c r="J5449" s="122"/>
      <c r="K5449" s="150"/>
      <c r="L5449" s="69"/>
      <c r="M5449" s="49"/>
      <c r="Q5449" s="3"/>
      <c r="R5449" s="3"/>
      <c r="S5449" s="3"/>
      <c r="T5449" s="3"/>
      <c r="U5449" s="3"/>
      <c r="V5449" s="3"/>
      <c r="W5449" s="3"/>
      <c r="X5449" s="3"/>
      <c r="Y5449" s="3"/>
      <c r="Z5449" s="4"/>
      <c r="AA5449"/>
      <c r="AB5449"/>
    </row>
    <row r="5450" spans="1:28" s="37" customFormat="1" x14ac:dyDescent="0.15">
      <c r="A5450" s="70"/>
      <c r="B5450" s="118"/>
      <c r="C5450" s="121"/>
      <c r="D5450" s="121"/>
      <c r="E5450" s="121"/>
      <c r="F5450" s="121"/>
      <c r="G5450" s="121"/>
      <c r="H5450" s="93"/>
      <c r="I5450" s="85"/>
      <c r="J5450" s="122"/>
      <c r="K5450" s="150"/>
      <c r="L5450" s="69"/>
      <c r="M5450" s="49"/>
      <c r="Q5450" s="3"/>
      <c r="R5450" s="3"/>
      <c r="S5450" s="3"/>
      <c r="T5450" s="3"/>
      <c r="U5450" s="3"/>
      <c r="V5450" s="3"/>
      <c r="W5450" s="3"/>
      <c r="X5450" s="3"/>
      <c r="Y5450" s="3"/>
      <c r="Z5450" s="4"/>
      <c r="AA5450"/>
      <c r="AB5450"/>
    </row>
    <row r="5451" spans="1:28" s="37" customFormat="1" x14ac:dyDescent="0.15">
      <c r="A5451" s="70"/>
      <c r="B5451" s="118"/>
      <c r="C5451" s="121"/>
      <c r="D5451" s="121"/>
      <c r="E5451" s="121"/>
      <c r="F5451" s="121"/>
      <c r="G5451" s="121"/>
      <c r="H5451" s="93"/>
      <c r="I5451" s="85"/>
      <c r="J5451" s="122"/>
      <c r="K5451" s="150"/>
      <c r="L5451" s="69"/>
      <c r="M5451" s="49"/>
      <c r="Q5451" s="3"/>
      <c r="R5451" s="3"/>
      <c r="S5451" s="3"/>
      <c r="T5451" s="3"/>
      <c r="U5451" s="3"/>
      <c r="V5451" s="3"/>
      <c r="W5451" s="3"/>
      <c r="X5451" s="3"/>
      <c r="Y5451" s="3"/>
      <c r="Z5451" s="4"/>
      <c r="AA5451"/>
      <c r="AB5451"/>
    </row>
    <row r="5452" spans="1:28" s="37" customFormat="1" x14ac:dyDescent="0.15">
      <c r="A5452" s="70"/>
      <c r="B5452" s="118"/>
      <c r="C5452" s="121"/>
      <c r="D5452" s="121"/>
      <c r="E5452" s="121"/>
      <c r="F5452" s="121"/>
      <c r="G5452" s="121"/>
      <c r="H5452" s="93"/>
      <c r="I5452" s="85"/>
      <c r="J5452" s="122"/>
      <c r="K5452" s="150"/>
      <c r="L5452" s="69"/>
      <c r="M5452" s="49"/>
      <c r="Q5452" s="3"/>
      <c r="R5452" s="3"/>
      <c r="S5452" s="3"/>
      <c r="T5452" s="3"/>
      <c r="U5452" s="3"/>
      <c r="V5452" s="3"/>
      <c r="W5452" s="3"/>
      <c r="X5452" s="3"/>
      <c r="Y5452" s="3"/>
      <c r="Z5452" s="4"/>
      <c r="AA5452"/>
      <c r="AB5452"/>
    </row>
    <row r="5453" spans="1:28" s="37" customFormat="1" x14ac:dyDescent="0.15">
      <c r="A5453" s="70"/>
      <c r="B5453" s="118"/>
      <c r="C5453" s="121"/>
      <c r="D5453" s="121"/>
      <c r="E5453" s="121"/>
      <c r="F5453" s="121"/>
      <c r="G5453" s="121"/>
      <c r="H5453" s="93"/>
      <c r="I5453" s="85"/>
      <c r="J5453" s="122"/>
      <c r="K5453" s="150"/>
      <c r="L5453" s="60"/>
      <c r="M5453" s="49"/>
      <c r="Q5453" s="3"/>
      <c r="R5453" s="3"/>
      <c r="S5453" s="3"/>
      <c r="T5453" s="3"/>
      <c r="U5453" s="3"/>
      <c r="V5453" s="3"/>
      <c r="W5453" s="3"/>
      <c r="X5453" s="3"/>
      <c r="Y5453" s="3"/>
      <c r="Z5453" s="4"/>
      <c r="AA5453"/>
      <c r="AB5453"/>
    </row>
    <row r="5454" spans="1:28" s="37" customFormat="1" ht="16" x14ac:dyDescent="0.2">
      <c r="A5454" s="70"/>
      <c r="B5454" s="118"/>
      <c r="C5454" s="121"/>
      <c r="D5454" s="121"/>
      <c r="E5454" s="121"/>
      <c r="F5454" s="121"/>
      <c r="G5454" s="121"/>
      <c r="H5454" s="93"/>
      <c r="I5454" s="85"/>
      <c r="J5454" s="122"/>
      <c r="K5454" s="150"/>
      <c r="L5454" s="60"/>
      <c r="M5454" s="49"/>
      <c r="N5454" s="48"/>
      <c r="Q5454" s="3"/>
      <c r="R5454" s="3"/>
      <c r="S5454" s="3"/>
      <c r="T5454" s="3"/>
      <c r="U5454" s="3"/>
      <c r="V5454" s="3"/>
      <c r="W5454" s="3"/>
      <c r="X5454" s="3"/>
      <c r="Y5454" s="3"/>
      <c r="Z5454" s="4"/>
      <c r="AA5454"/>
      <c r="AB5454"/>
    </row>
    <row r="5455" spans="1:28" s="37" customFormat="1" x14ac:dyDescent="0.15">
      <c r="A5455" s="70"/>
      <c r="B5455" s="118"/>
      <c r="C5455" s="121"/>
      <c r="D5455" s="121"/>
      <c r="E5455" s="121"/>
      <c r="F5455" s="121"/>
      <c r="G5455" s="121"/>
      <c r="H5455" s="93"/>
      <c r="I5455" s="85"/>
      <c r="J5455" s="122"/>
      <c r="K5455" s="150"/>
      <c r="L5455" s="69"/>
      <c r="M5455" s="49"/>
      <c r="Q5455" s="3"/>
      <c r="R5455" s="3"/>
      <c r="S5455" s="3"/>
      <c r="T5455" s="3"/>
      <c r="U5455" s="3"/>
      <c r="V5455" s="3"/>
      <c r="W5455" s="3"/>
      <c r="X5455" s="3"/>
      <c r="Y5455" s="3"/>
      <c r="Z5455" s="4"/>
      <c r="AA5455"/>
      <c r="AB5455"/>
    </row>
    <row r="5456" spans="1:28" s="37" customFormat="1" x14ac:dyDescent="0.15">
      <c r="A5456" s="70"/>
      <c r="B5456" s="118"/>
      <c r="C5456" s="121"/>
      <c r="D5456" s="121"/>
      <c r="E5456" s="121"/>
      <c r="F5456" s="121"/>
      <c r="G5456" s="121"/>
      <c r="H5456" s="93"/>
      <c r="I5456" s="85"/>
      <c r="J5456" s="122"/>
      <c r="K5456" s="150"/>
      <c r="L5456" s="69"/>
      <c r="M5456" s="49"/>
      <c r="Q5456" s="3"/>
      <c r="R5456" s="3"/>
      <c r="S5456" s="3"/>
      <c r="T5456" s="3"/>
      <c r="U5456" s="3"/>
      <c r="V5456" s="3"/>
      <c r="W5456" s="3"/>
      <c r="X5456" s="3"/>
      <c r="Y5456" s="3"/>
      <c r="Z5456" s="4"/>
      <c r="AA5456"/>
      <c r="AB5456"/>
    </row>
    <row r="5457" spans="1:28" s="37" customFormat="1" x14ac:dyDescent="0.15">
      <c r="A5457" s="70"/>
      <c r="B5457" s="118"/>
      <c r="C5457" s="121"/>
      <c r="D5457" s="121"/>
      <c r="E5457" s="121"/>
      <c r="F5457" s="121"/>
      <c r="G5457" s="121"/>
      <c r="H5457" s="93"/>
      <c r="I5457" s="85"/>
      <c r="J5457" s="122"/>
      <c r="K5457" s="150"/>
      <c r="L5457" s="69"/>
      <c r="M5457" s="49"/>
      <c r="Q5457" s="3"/>
      <c r="R5457" s="3"/>
      <c r="S5457" s="3"/>
      <c r="T5457" s="3"/>
      <c r="U5457" s="3"/>
      <c r="V5457" s="3"/>
      <c r="W5457" s="3"/>
      <c r="X5457" s="3"/>
      <c r="Y5457" s="3"/>
      <c r="Z5457" s="4"/>
      <c r="AA5457"/>
      <c r="AB5457"/>
    </row>
    <row r="5458" spans="1:28" s="37" customFormat="1" x14ac:dyDescent="0.15">
      <c r="A5458" s="70"/>
      <c r="B5458" s="118"/>
      <c r="C5458" s="121"/>
      <c r="D5458" s="121"/>
      <c r="E5458" s="121"/>
      <c r="F5458" s="121"/>
      <c r="G5458" s="121"/>
      <c r="H5458" s="93"/>
      <c r="I5458" s="85"/>
      <c r="J5458" s="122"/>
      <c r="K5458" s="150"/>
      <c r="L5458" s="69"/>
      <c r="M5458" s="49"/>
      <c r="Q5458" s="3"/>
      <c r="R5458" s="3"/>
      <c r="S5458" s="3"/>
      <c r="T5458" s="3"/>
      <c r="U5458" s="3"/>
      <c r="V5458" s="3"/>
      <c r="W5458" s="3"/>
      <c r="X5458" s="3"/>
      <c r="Y5458" s="3"/>
      <c r="Z5458" s="4"/>
      <c r="AA5458"/>
      <c r="AB5458"/>
    </row>
    <row r="5459" spans="1:28" s="37" customFormat="1" x14ac:dyDescent="0.15">
      <c r="A5459" s="70"/>
      <c r="B5459" s="118"/>
      <c r="C5459" s="121"/>
      <c r="D5459" s="121"/>
      <c r="E5459" s="121"/>
      <c r="F5459" s="121"/>
      <c r="G5459" s="121"/>
      <c r="H5459" s="93"/>
      <c r="I5459" s="85"/>
      <c r="J5459" s="122"/>
      <c r="K5459" s="150"/>
      <c r="L5459" s="69"/>
      <c r="M5459" s="49"/>
      <c r="Q5459" s="3"/>
      <c r="R5459" s="3"/>
      <c r="S5459" s="3"/>
      <c r="T5459" s="3"/>
      <c r="U5459" s="3"/>
      <c r="V5459" s="3"/>
      <c r="W5459" s="3"/>
      <c r="X5459" s="3"/>
      <c r="Y5459" s="3"/>
      <c r="Z5459" s="4"/>
      <c r="AA5459"/>
      <c r="AB5459"/>
    </row>
    <row r="5460" spans="1:28" s="37" customFormat="1" x14ac:dyDescent="0.15">
      <c r="A5460" s="73"/>
      <c r="B5460" s="118"/>
      <c r="C5460" s="121"/>
      <c r="D5460" s="121"/>
      <c r="E5460" s="121"/>
      <c r="F5460" s="121"/>
      <c r="G5460" s="121"/>
      <c r="H5460" s="93"/>
      <c r="I5460" s="85"/>
      <c r="J5460" s="122"/>
      <c r="K5460" s="150"/>
      <c r="L5460" s="69"/>
      <c r="M5460" s="49"/>
      <c r="Q5460" s="3"/>
      <c r="R5460" s="3"/>
      <c r="S5460" s="3"/>
      <c r="T5460" s="3"/>
      <c r="U5460" s="3"/>
      <c r="V5460" s="3"/>
      <c r="W5460" s="3"/>
      <c r="X5460" s="3"/>
      <c r="Y5460" s="3"/>
      <c r="Z5460" s="4"/>
      <c r="AA5460"/>
      <c r="AB5460"/>
    </row>
    <row r="5461" spans="1:28" s="37" customFormat="1" x14ac:dyDescent="0.15">
      <c r="A5461" s="70"/>
      <c r="B5461" s="118"/>
      <c r="C5461" s="121"/>
      <c r="D5461" s="121"/>
      <c r="E5461" s="121"/>
      <c r="F5461" s="121"/>
      <c r="G5461" s="121"/>
      <c r="H5461" s="93"/>
      <c r="I5461" s="85"/>
      <c r="J5461" s="122"/>
      <c r="K5461" s="150"/>
      <c r="L5461" s="69"/>
      <c r="M5461" s="49"/>
      <c r="Q5461" s="3"/>
      <c r="R5461" s="3"/>
      <c r="S5461" s="3"/>
      <c r="T5461" s="3"/>
      <c r="U5461" s="3"/>
      <c r="V5461" s="3"/>
      <c r="W5461" s="3"/>
      <c r="X5461" s="3"/>
      <c r="Y5461" s="3"/>
      <c r="Z5461" s="4"/>
      <c r="AA5461"/>
      <c r="AB5461"/>
    </row>
    <row r="5462" spans="1:28" s="37" customFormat="1" x14ac:dyDescent="0.15">
      <c r="A5462" s="70"/>
      <c r="B5462" s="118"/>
      <c r="C5462" s="121"/>
      <c r="D5462" s="121"/>
      <c r="E5462" s="121"/>
      <c r="F5462" s="121"/>
      <c r="G5462" s="121"/>
      <c r="H5462" s="93"/>
      <c r="I5462" s="85"/>
      <c r="J5462" s="122"/>
      <c r="K5462" s="150"/>
      <c r="L5462" s="69"/>
      <c r="M5462" s="49"/>
      <c r="Q5462" s="3"/>
      <c r="R5462" s="3"/>
      <c r="S5462" s="3"/>
      <c r="T5462" s="3"/>
      <c r="U5462" s="3"/>
      <c r="V5462" s="3"/>
      <c r="W5462" s="3"/>
      <c r="X5462" s="3"/>
      <c r="Y5462" s="3"/>
      <c r="Z5462" s="4"/>
      <c r="AA5462"/>
      <c r="AB5462"/>
    </row>
    <row r="5463" spans="1:28" s="37" customFormat="1" x14ac:dyDescent="0.15">
      <c r="A5463" s="70"/>
      <c r="B5463" s="118"/>
      <c r="C5463" s="121"/>
      <c r="D5463" s="121"/>
      <c r="E5463" s="121"/>
      <c r="F5463" s="121"/>
      <c r="G5463" s="121"/>
      <c r="H5463" s="93"/>
      <c r="I5463" s="85"/>
      <c r="J5463" s="122"/>
      <c r="K5463" s="150"/>
      <c r="L5463" s="69"/>
      <c r="M5463" s="49"/>
      <c r="Q5463" s="3"/>
      <c r="R5463" s="3"/>
      <c r="S5463" s="3"/>
      <c r="T5463" s="3"/>
      <c r="U5463" s="3"/>
      <c r="V5463" s="3"/>
      <c r="W5463" s="3"/>
      <c r="X5463" s="3"/>
      <c r="Y5463" s="3"/>
      <c r="Z5463" s="4"/>
      <c r="AA5463"/>
      <c r="AB5463"/>
    </row>
    <row r="5464" spans="1:28" s="37" customFormat="1" x14ac:dyDescent="0.15">
      <c r="A5464" s="70"/>
      <c r="B5464" s="118"/>
      <c r="C5464" s="121"/>
      <c r="D5464" s="121"/>
      <c r="E5464" s="121"/>
      <c r="F5464" s="121"/>
      <c r="G5464" s="121"/>
      <c r="H5464" s="93"/>
      <c r="I5464" s="85"/>
      <c r="J5464" s="122"/>
      <c r="K5464" s="150"/>
      <c r="L5464" s="69"/>
      <c r="M5464" s="49"/>
      <c r="Q5464" s="3"/>
      <c r="R5464" s="3"/>
      <c r="S5464" s="3"/>
      <c r="T5464" s="3"/>
      <c r="U5464" s="3"/>
      <c r="V5464" s="3"/>
      <c r="W5464" s="3"/>
      <c r="X5464" s="3"/>
      <c r="Y5464" s="3"/>
      <c r="Z5464" s="4"/>
      <c r="AA5464"/>
      <c r="AB5464"/>
    </row>
    <row r="5465" spans="1:28" s="37" customFormat="1" x14ac:dyDescent="0.15">
      <c r="A5465" s="70"/>
      <c r="B5465" s="118"/>
      <c r="C5465" s="121"/>
      <c r="D5465" s="121"/>
      <c r="E5465" s="121"/>
      <c r="F5465" s="121"/>
      <c r="G5465" s="121"/>
      <c r="H5465" s="93"/>
      <c r="I5465" s="85"/>
      <c r="J5465" s="122"/>
      <c r="K5465" s="150"/>
      <c r="L5465" s="69"/>
      <c r="M5465" s="49"/>
      <c r="Q5465" s="3"/>
      <c r="R5465" s="3"/>
      <c r="S5465" s="3"/>
      <c r="T5465" s="3"/>
      <c r="U5465" s="3"/>
      <c r="V5465" s="3"/>
      <c r="W5465" s="3"/>
      <c r="X5465" s="3"/>
      <c r="Y5465" s="3"/>
      <c r="Z5465" s="4"/>
      <c r="AA5465"/>
      <c r="AB5465"/>
    </row>
    <row r="5466" spans="1:28" s="37" customFormat="1" x14ac:dyDescent="0.15">
      <c r="A5466" s="70"/>
      <c r="B5466" s="118"/>
      <c r="C5466" s="121"/>
      <c r="D5466" s="121"/>
      <c r="E5466" s="121"/>
      <c r="F5466" s="121"/>
      <c r="G5466" s="121"/>
      <c r="H5466" s="93"/>
      <c r="I5466" s="85"/>
      <c r="J5466" s="122"/>
      <c r="K5466" s="150"/>
      <c r="L5466" s="60"/>
      <c r="M5466" s="49"/>
      <c r="Q5466" s="3"/>
      <c r="R5466" s="3"/>
      <c r="S5466" s="3"/>
      <c r="T5466" s="3"/>
      <c r="U5466" s="3"/>
      <c r="V5466" s="3"/>
      <c r="W5466" s="3"/>
      <c r="X5466" s="3"/>
      <c r="Y5466" s="3"/>
      <c r="Z5466" s="4"/>
      <c r="AA5466"/>
      <c r="AB5466"/>
    </row>
    <row r="5467" spans="1:28" s="37" customFormat="1" x14ac:dyDescent="0.15">
      <c r="A5467" s="70"/>
      <c r="B5467" s="118"/>
      <c r="C5467" s="121"/>
      <c r="D5467" s="121"/>
      <c r="E5467" s="121"/>
      <c r="F5467" s="121"/>
      <c r="G5467" s="121"/>
      <c r="H5467" s="93"/>
      <c r="I5467" s="85"/>
      <c r="J5467" s="122"/>
      <c r="K5467" s="150"/>
      <c r="L5467" s="60"/>
      <c r="M5467" s="49"/>
      <c r="Q5467" s="3"/>
      <c r="R5467" s="3"/>
      <c r="S5467" s="3"/>
      <c r="T5467" s="3"/>
      <c r="U5467" s="3"/>
      <c r="V5467" s="3"/>
      <c r="W5467" s="3"/>
      <c r="X5467" s="3"/>
      <c r="Y5467" s="3"/>
      <c r="Z5467" s="4"/>
      <c r="AA5467"/>
      <c r="AB5467"/>
    </row>
    <row r="5468" spans="1:28" s="37" customFormat="1" x14ac:dyDescent="0.15">
      <c r="A5468" s="70"/>
      <c r="B5468" s="118"/>
      <c r="C5468" s="121"/>
      <c r="D5468" s="121"/>
      <c r="E5468" s="121"/>
      <c r="F5468" s="121"/>
      <c r="G5468" s="121"/>
      <c r="H5468" s="93"/>
      <c r="I5468" s="85"/>
      <c r="J5468" s="122"/>
      <c r="K5468" s="150"/>
      <c r="L5468" s="60"/>
      <c r="M5468" s="49"/>
      <c r="Q5468" s="3"/>
      <c r="R5468" s="3"/>
      <c r="S5468" s="3"/>
      <c r="T5468" s="3"/>
      <c r="U5468" s="3"/>
      <c r="V5468" s="3"/>
      <c r="W5468" s="3"/>
      <c r="X5468" s="3"/>
      <c r="Y5468" s="3"/>
      <c r="Z5468" s="4"/>
      <c r="AA5468"/>
      <c r="AB5468"/>
    </row>
    <row r="5469" spans="1:28" s="37" customFormat="1" ht="16" x14ac:dyDescent="0.2">
      <c r="A5469" s="70"/>
      <c r="B5469" s="118"/>
      <c r="C5469" s="121"/>
      <c r="D5469" s="121"/>
      <c r="E5469" s="121"/>
      <c r="F5469" s="121"/>
      <c r="G5469" s="121"/>
      <c r="H5469" s="93"/>
      <c r="I5469" s="85"/>
      <c r="J5469" s="122"/>
      <c r="K5469" s="150"/>
      <c r="L5469" s="60"/>
      <c r="M5469" s="49"/>
      <c r="N5469" s="48"/>
      <c r="Q5469" s="3"/>
      <c r="R5469" s="3"/>
      <c r="S5469" s="3"/>
      <c r="T5469" s="3"/>
      <c r="U5469" s="3"/>
      <c r="V5469" s="3"/>
      <c r="W5469" s="3"/>
      <c r="X5469" s="3"/>
      <c r="Y5469" s="3"/>
      <c r="Z5469" s="4"/>
      <c r="AA5469"/>
      <c r="AB5469"/>
    </row>
    <row r="5470" spans="1:28" s="37" customFormat="1" x14ac:dyDescent="0.15">
      <c r="A5470" s="70"/>
      <c r="B5470" s="118"/>
      <c r="C5470" s="121"/>
      <c r="D5470" s="121"/>
      <c r="E5470" s="121"/>
      <c r="F5470" s="121"/>
      <c r="G5470" s="121"/>
      <c r="H5470" s="93"/>
      <c r="I5470" s="85"/>
      <c r="J5470" s="122"/>
      <c r="K5470" s="150"/>
      <c r="L5470" s="60"/>
      <c r="M5470" s="49"/>
      <c r="Q5470" s="3"/>
      <c r="R5470" s="3"/>
      <c r="S5470" s="3"/>
      <c r="T5470" s="3"/>
      <c r="U5470" s="3"/>
      <c r="V5470" s="3"/>
      <c r="W5470" s="3"/>
      <c r="X5470" s="3"/>
      <c r="Y5470" s="3"/>
      <c r="Z5470" s="4"/>
      <c r="AA5470"/>
      <c r="AB5470"/>
    </row>
    <row r="5471" spans="1:28" s="37" customFormat="1" x14ac:dyDescent="0.15">
      <c r="A5471" s="70"/>
      <c r="B5471" s="118"/>
      <c r="C5471" s="121"/>
      <c r="D5471" s="121"/>
      <c r="E5471" s="121"/>
      <c r="F5471" s="121"/>
      <c r="G5471" s="121"/>
      <c r="H5471" s="93"/>
      <c r="I5471" s="85"/>
      <c r="J5471" s="122"/>
      <c r="K5471" s="150"/>
      <c r="L5471" s="69"/>
      <c r="M5471" s="49"/>
      <c r="Q5471" s="3"/>
      <c r="R5471" s="3"/>
      <c r="S5471" s="3"/>
      <c r="T5471" s="3"/>
      <c r="U5471" s="3"/>
      <c r="V5471" s="3"/>
      <c r="W5471" s="3"/>
      <c r="X5471" s="3"/>
      <c r="Y5471" s="3"/>
      <c r="Z5471" s="4"/>
      <c r="AA5471"/>
      <c r="AB5471"/>
    </row>
    <row r="5472" spans="1:28" s="37" customFormat="1" x14ac:dyDescent="0.15">
      <c r="A5472" s="70"/>
      <c r="B5472" s="118"/>
      <c r="C5472" s="121"/>
      <c r="D5472" s="121"/>
      <c r="E5472" s="121"/>
      <c r="F5472" s="121"/>
      <c r="G5472" s="121"/>
      <c r="H5472" s="93"/>
      <c r="I5472" s="85"/>
      <c r="J5472" s="122"/>
      <c r="K5472" s="150"/>
      <c r="L5472" s="69"/>
      <c r="M5472" s="49"/>
      <c r="Q5472" s="3"/>
      <c r="R5472" s="3"/>
      <c r="S5472" s="3"/>
      <c r="T5472" s="3"/>
      <c r="U5472" s="3"/>
      <c r="V5472" s="3"/>
      <c r="W5472" s="3"/>
      <c r="X5472" s="3"/>
      <c r="Y5472" s="3"/>
      <c r="Z5472" s="4"/>
      <c r="AA5472"/>
      <c r="AB5472"/>
    </row>
    <row r="5473" spans="1:28" s="37" customFormat="1" x14ac:dyDescent="0.15">
      <c r="A5473" s="70"/>
      <c r="B5473" s="118"/>
      <c r="C5473" s="121"/>
      <c r="D5473" s="121"/>
      <c r="E5473" s="121"/>
      <c r="F5473" s="121"/>
      <c r="G5473" s="121"/>
      <c r="H5473" s="93"/>
      <c r="I5473" s="85"/>
      <c r="J5473" s="122"/>
      <c r="K5473" s="150"/>
      <c r="L5473" s="69"/>
      <c r="M5473" s="49"/>
      <c r="Q5473" s="3"/>
      <c r="R5473" s="3"/>
      <c r="S5473" s="3"/>
      <c r="T5473" s="3"/>
      <c r="U5473" s="3"/>
      <c r="V5473" s="3"/>
      <c r="W5473" s="3"/>
      <c r="X5473" s="3"/>
      <c r="Y5473" s="3"/>
      <c r="Z5473" s="4"/>
      <c r="AA5473"/>
      <c r="AB5473"/>
    </row>
    <row r="5474" spans="1:28" s="37" customFormat="1" x14ac:dyDescent="0.15">
      <c r="A5474" s="70"/>
      <c r="B5474" s="118"/>
      <c r="C5474" s="121"/>
      <c r="D5474" s="121"/>
      <c r="E5474" s="121"/>
      <c r="F5474" s="121"/>
      <c r="G5474" s="121"/>
      <c r="H5474" s="93"/>
      <c r="I5474" s="85"/>
      <c r="J5474" s="122"/>
      <c r="K5474" s="150"/>
      <c r="L5474" s="69"/>
      <c r="M5474" s="49"/>
      <c r="Q5474" s="3"/>
      <c r="R5474" s="3"/>
      <c r="S5474" s="3"/>
      <c r="T5474" s="3"/>
      <c r="U5474" s="3"/>
      <c r="V5474" s="3"/>
      <c r="W5474" s="3"/>
      <c r="X5474" s="3"/>
      <c r="Y5474" s="3"/>
      <c r="Z5474" s="4"/>
      <c r="AA5474"/>
      <c r="AB5474"/>
    </row>
    <row r="5475" spans="1:28" s="37" customFormat="1" x14ac:dyDescent="0.15">
      <c r="A5475" s="70"/>
      <c r="B5475" s="118"/>
      <c r="C5475" s="121"/>
      <c r="D5475" s="121"/>
      <c r="E5475" s="121"/>
      <c r="F5475" s="121"/>
      <c r="G5475" s="121"/>
      <c r="H5475" s="93"/>
      <c r="I5475" s="85"/>
      <c r="J5475" s="122"/>
      <c r="K5475" s="150"/>
      <c r="L5475" s="69"/>
      <c r="M5475" s="49"/>
      <c r="Q5475" s="3"/>
      <c r="R5475" s="3"/>
      <c r="S5475" s="3"/>
      <c r="T5475" s="3"/>
      <c r="U5475" s="3"/>
      <c r="V5475" s="3"/>
      <c r="W5475" s="3"/>
      <c r="X5475" s="3"/>
      <c r="Y5475" s="3"/>
      <c r="Z5475" s="4"/>
      <c r="AA5475"/>
      <c r="AB5475"/>
    </row>
    <row r="5476" spans="1:28" s="37" customFormat="1" ht="16" x14ac:dyDescent="0.2">
      <c r="A5476" s="73"/>
      <c r="B5476" s="118"/>
      <c r="C5476" s="121"/>
      <c r="D5476" s="121"/>
      <c r="E5476" s="121"/>
      <c r="F5476" s="121"/>
      <c r="G5476" s="121"/>
      <c r="H5476" s="93"/>
      <c r="I5476" s="85"/>
      <c r="J5476" s="122"/>
      <c r="K5476" s="150"/>
      <c r="L5476" s="69"/>
      <c r="M5476" s="49"/>
      <c r="N5476" s="48"/>
      <c r="Q5476" s="3"/>
      <c r="R5476" s="3"/>
      <c r="S5476" s="3"/>
      <c r="T5476" s="3"/>
      <c r="U5476" s="3"/>
      <c r="V5476" s="3"/>
      <c r="W5476" s="3"/>
      <c r="X5476" s="3"/>
      <c r="Y5476" s="3"/>
      <c r="Z5476" s="4"/>
      <c r="AA5476"/>
      <c r="AB5476"/>
    </row>
    <row r="5477" spans="1:28" s="37" customFormat="1" ht="16" x14ac:dyDescent="0.2">
      <c r="A5477" s="70"/>
      <c r="B5477" s="118"/>
      <c r="C5477" s="121"/>
      <c r="D5477" s="121"/>
      <c r="E5477" s="121"/>
      <c r="F5477" s="121"/>
      <c r="G5477" s="121"/>
      <c r="H5477" s="93"/>
      <c r="I5477" s="85"/>
      <c r="J5477" s="122"/>
      <c r="K5477" s="150"/>
      <c r="L5477" s="69"/>
      <c r="M5477" s="49"/>
      <c r="N5477" s="48"/>
      <c r="Q5477" s="3"/>
      <c r="R5477" s="3"/>
      <c r="S5477" s="3"/>
      <c r="T5477" s="3"/>
      <c r="U5477" s="3"/>
      <c r="V5477" s="3"/>
      <c r="W5477" s="3"/>
      <c r="X5477" s="3"/>
      <c r="Y5477" s="3"/>
      <c r="Z5477" s="4"/>
      <c r="AA5477"/>
      <c r="AB5477"/>
    </row>
    <row r="5478" spans="1:28" s="37" customFormat="1" x14ac:dyDescent="0.15">
      <c r="A5478" s="70"/>
      <c r="B5478" s="118"/>
      <c r="C5478" s="121"/>
      <c r="D5478" s="121"/>
      <c r="E5478" s="121"/>
      <c r="F5478" s="121"/>
      <c r="G5478" s="121"/>
      <c r="H5478" s="93"/>
      <c r="I5478" s="85"/>
      <c r="J5478" s="122"/>
      <c r="K5478" s="150"/>
      <c r="L5478" s="69"/>
      <c r="M5478" s="49"/>
      <c r="Q5478" s="3"/>
      <c r="R5478" s="3"/>
      <c r="S5478" s="3"/>
      <c r="T5478" s="3"/>
      <c r="U5478" s="3"/>
      <c r="V5478" s="3"/>
      <c r="W5478" s="3"/>
      <c r="X5478" s="3"/>
      <c r="Y5478" s="3"/>
      <c r="Z5478" s="4"/>
      <c r="AA5478"/>
      <c r="AB5478"/>
    </row>
    <row r="5479" spans="1:28" s="37" customFormat="1" x14ac:dyDescent="0.15">
      <c r="A5479" s="70"/>
      <c r="B5479" s="118"/>
      <c r="C5479" s="121"/>
      <c r="D5479" s="121"/>
      <c r="E5479" s="121"/>
      <c r="F5479" s="121"/>
      <c r="G5479" s="121"/>
      <c r="H5479" s="93"/>
      <c r="I5479" s="85"/>
      <c r="J5479" s="122"/>
      <c r="K5479" s="150"/>
      <c r="L5479" s="69"/>
      <c r="M5479" s="49"/>
      <c r="Q5479" s="3"/>
      <c r="R5479" s="3"/>
      <c r="S5479" s="3"/>
      <c r="T5479" s="3"/>
      <c r="U5479" s="3"/>
      <c r="V5479" s="3"/>
      <c r="W5479" s="3"/>
      <c r="X5479" s="3"/>
      <c r="Y5479" s="3"/>
      <c r="Z5479" s="4"/>
      <c r="AA5479"/>
      <c r="AB5479"/>
    </row>
    <row r="5480" spans="1:28" s="37" customFormat="1" x14ac:dyDescent="0.15">
      <c r="A5480" s="70"/>
      <c r="B5480" s="118"/>
      <c r="C5480" s="121"/>
      <c r="D5480" s="121"/>
      <c r="E5480" s="121"/>
      <c r="F5480" s="121"/>
      <c r="G5480" s="121"/>
      <c r="H5480" s="93"/>
      <c r="I5480" s="85"/>
      <c r="J5480" s="122"/>
      <c r="K5480" s="150"/>
      <c r="L5480" s="69"/>
      <c r="M5480" s="49"/>
      <c r="Q5480" s="3"/>
      <c r="R5480" s="3"/>
      <c r="S5480" s="3"/>
      <c r="T5480" s="3"/>
      <c r="U5480" s="3"/>
      <c r="V5480" s="3"/>
      <c r="W5480" s="3"/>
      <c r="X5480" s="3"/>
      <c r="Y5480" s="3"/>
      <c r="Z5480" s="4"/>
      <c r="AA5480"/>
      <c r="AB5480"/>
    </row>
    <row r="5481" spans="1:28" s="37" customFormat="1" x14ac:dyDescent="0.15">
      <c r="A5481" s="73"/>
      <c r="B5481" s="118"/>
      <c r="C5481" s="121"/>
      <c r="D5481" s="121"/>
      <c r="E5481" s="121"/>
      <c r="F5481" s="121"/>
      <c r="G5481" s="121"/>
      <c r="H5481" s="93"/>
      <c r="I5481" s="85"/>
      <c r="J5481" s="122"/>
      <c r="K5481" s="150"/>
      <c r="L5481" s="69"/>
      <c r="M5481" s="49"/>
      <c r="Q5481" s="3"/>
      <c r="R5481" s="3"/>
      <c r="S5481" s="3"/>
      <c r="T5481" s="3"/>
      <c r="U5481" s="3"/>
      <c r="V5481" s="3"/>
      <c r="W5481" s="3"/>
      <c r="X5481" s="3"/>
      <c r="Y5481" s="3"/>
      <c r="Z5481" s="4"/>
      <c r="AA5481"/>
      <c r="AB5481"/>
    </row>
    <row r="5482" spans="1:28" s="37" customFormat="1" x14ac:dyDescent="0.15">
      <c r="A5482" s="70"/>
      <c r="B5482" s="118"/>
      <c r="C5482" s="121"/>
      <c r="D5482" s="121"/>
      <c r="E5482" s="121"/>
      <c r="F5482" s="121"/>
      <c r="G5482" s="121"/>
      <c r="H5482" s="93"/>
      <c r="I5482" s="85"/>
      <c r="J5482" s="122"/>
      <c r="K5482" s="150"/>
      <c r="L5482" s="69"/>
      <c r="M5482" s="49"/>
      <c r="Q5482" s="3"/>
      <c r="R5482" s="3"/>
      <c r="S5482" s="3"/>
      <c r="T5482" s="3"/>
      <c r="U5482" s="3"/>
      <c r="V5482" s="3"/>
      <c r="W5482" s="3"/>
      <c r="X5482" s="3"/>
      <c r="Y5482" s="3"/>
      <c r="Z5482" s="4"/>
      <c r="AA5482"/>
      <c r="AB5482"/>
    </row>
    <row r="5483" spans="1:28" s="37" customFormat="1" x14ac:dyDescent="0.15">
      <c r="A5483" s="70"/>
      <c r="B5483" s="118"/>
      <c r="C5483" s="121"/>
      <c r="D5483" s="121"/>
      <c r="E5483" s="121"/>
      <c r="F5483" s="121"/>
      <c r="G5483" s="121"/>
      <c r="H5483" s="93"/>
      <c r="I5483" s="85"/>
      <c r="J5483" s="122"/>
      <c r="K5483" s="150"/>
      <c r="L5483" s="60"/>
      <c r="M5483" s="49"/>
      <c r="Q5483" s="3"/>
      <c r="R5483" s="3"/>
      <c r="S5483" s="3"/>
      <c r="T5483" s="3"/>
      <c r="U5483" s="3"/>
      <c r="V5483" s="3"/>
      <c r="W5483" s="3"/>
      <c r="X5483" s="3"/>
      <c r="Y5483" s="3"/>
      <c r="Z5483" s="4"/>
      <c r="AA5483"/>
      <c r="AB5483"/>
    </row>
    <row r="5484" spans="1:28" s="37" customFormat="1" x14ac:dyDescent="0.15">
      <c r="A5484" s="70"/>
      <c r="B5484" s="118"/>
      <c r="C5484" s="121"/>
      <c r="D5484" s="121"/>
      <c r="E5484" s="121"/>
      <c r="F5484" s="121"/>
      <c r="G5484" s="121"/>
      <c r="H5484" s="93"/>
      <c r="I5484" s="85"/>
      <c r="J5484" s="122"/>
      <c r="K5484" s="150"/>
      <c r="L5484" s="69"/>
      <c r="M5484" s="49"/>
      <c r="Q5484" s="3"/>
      <c r="R5484" s="3"/>
      <c r="S5484" s="3"/>
      <c r="T5484" s="3"/>
      <c r="U5484" s="3"/>
      <c r="V5484" s="3"/>
      <c r="W5484" s="3"/>
      <c r="X5484" s="3"/>
      <c r="Y5484" s="3"/>
      <c r="Z5484" s="4"/>
      <c r="AA5484"/>
      <c r="AB5484"/>
    </row>
    <row r="5485" spans="1:28" s="37" customFormat="1" ht="16" x14ac:dyDescent="0.2">
      <c r="A5485" s="70"/>
      <c r="B5485" s="118"/>
      <c r="C5485" s="121"/>
      <c r="D5485" s="121"/>
      <c r="E5485" s="121"/>
      <c r="F5485" s="121"/>
      <c r="G5485" s="121"/>
      <c r="H5485" s="93"/>
      <c r="I5485" s="85"/>
      <c r="J5485" s="122"/>
      <c r="K5485" s="150"/>
      <c r="L5485" s="69"/>
      <c r="M5485" s="49"/>
      <c r="N5485" s="48"/>
      <c r="Q5485" s="3"/>
      <c r="R5485" s="3"/>
      <c r="S5485" s="3"/>
      <c r="T5485" s="3"/>
      <c r="U5485" s="3"/>
      <c r="V5485" s="3"/>
      <c r="W5485" s="3"/>
      <c r="X5485" s="3"/>
      <c r="Y5485" s="3"/>
      <c r="Z5485" s="4"/>
      <c r="AA5485"/>
      <c r="AB5485"/>
    </row>
    <row r="5486" spans="1:28" s="37" customFormat="1" x14ac:dyDescent="0.15">
      <c r="A5486" s="70"/>
      <c r="B5486" s="118"/>
      <c r="C5486" s="121"/>
      <c r="D5486" s="121"/>
      <c r="E5486" s="121"/>
      <c r="F5486" s="121"/>
      <c r="G5486" s="121"/>
      <c r="H5486" s="93"/>
      <c r="I5486" s="85"/>
      <c r="J5486" s="122"/>
      <c r="K5486" s="150"/>
      <c r="L5486" s="69"/>
      <c r="M5486" s="49"/>
      <c r="Q5486" s="3"/>
      <c r="R5486" s="3"/>
      <c r="S5486" s="3"/>
      <c r="T5486" s="3"/>
      <c r="U5486" s="3"/>
      <c r="V5486" s="3"/>
      <c r="W5486" s="3"/>
      <c r="X5486" s="3"/>
      <c r="Y5486" s="3"/>
      <c r="Z5486" s="4"/>
      <c r="AA5486"/>
      <c r="AB5486"/>
    </row>
    <row r="5487" spans="1:28" s="37" customFormat="1" x14ac:dyDescent="0.15">
      <c r="A5487" s="70"/>
      <c r="B5487" s="118"/>
      <c r="C5487" s="121"/>
      <c r="D5487" s="121"/>
      <c r="E5487" s="121"/>
      <c r="F5487" s="121"/>
      <c r="G5487" s="121"/>
      <c r="H5487" s="93"/>
      <c r="I5487" s="85"/>
      <c r="J5487" s="122"/>
      <c r="K5487" s="150"/>
      <c r="L5487" s="69"/>
      <c r="M5487" s="49"/>
      <c r="Q5487" s="3"/>
      <c r="R5487" s="3"/>
      <c r="S5487" s="3"/>
      <c r="T5487" s="3"/>
      <c r="U5487" s="3"/>
      <c r="V5487" s="3"/>
      <c r="W5487" s="3"/>
      <c r="X5487" s="3"/>
      <c r="Y5487" s="3"/>
      <c r="Z5487" s="4"/>
      <c r="AA5487"/>
      <c r="AB5487"/>
    </row>
    <row r="5488" spans="1:28" s="37" customFormat="1" x14ac:dyDescent="0.15">
      <c r="A5488" s="70"/>
      <c r="B5488" s="118"/>
      <c r="C5488" s="121"/>
      <c r="D5488" s="121"/>
      <c r="E5488" s="121"/>
      <c r="F5488" s="121"/>
      <c r="G5488" s="121"/>
      <c r="H5488" s="108"/>
      <c r="I5488" s="85"/>
      <c r="J5488" s="122"/>
      <c r="K5488" s="150"/>
      <c r="L5488" s="69"/>
      <c r="M5488" s="49"/>
      <c r="Q5488" s="3"/>
      <c r="R5488" s="3"/>
      <c r="S5488" s="3"/>
      <c r="T5488" s="3"/>
      <c r="U5488" s="3"/>
      <c r="V5488" s="3"/>
      <c r="W5488" s="3"/>
      <c r="X5488" s="3"/>
      <c r="Y5488" s="3"/>
      <c r="Z5488" s="4"/>
      <c r="AA5488"/>
      <c r="AB5488"/>
    </row>
    <row r="5489" spans="1:28" s="37" customFormat="1" ht="16" x14ac:dyDescent="0.2">
      <c r="A5489" s="70"/>
      <c r="B5489" s="118"/>
      <c r="C5489" s="121"/>
      <c r="D5489" s="121"/>
      <c r="E5489" s="121"/>
      <c r="F5489" s="121"/>
      <c r="G5489" s="121"/>
      <c r="H5489" s="93"/>
      <c r="I5489" s="85"/>
      <c r="J5489" s="122"/>
      <c r="K5489" s="150"/>
      <c r="L5489" s="69"/>
      <c r="M5489" s="49"/>
      <c r="N5489" s="48"/>
      <c r="Q5489" s="3"/>
      <c r="R5489" s="3"/>
      <c r="S5489" s="3"/>
      <c r="T5489" s="3"/>
      <c r="U5489" s="3"/>
      <c r="V5489" s="3"/>
      <c r="W5489" s="3"/>
      <c r="X5489" s="3"/>
      <c r="Y5489" s="3"/>
      <c r="Z5489" s="4"/>
      <c r="AA5489"/>
      <c r="AB5489"/>
    </row>
    <row r="5490" spans="1:28" s="37" customFormat="1" x14ac:dyDescent="0.15">
      <c r="A5490" s="70"/>
      <c r="B5490" s="118"/>
      <c r="C5490" s="121"/>
      <c r="D5490" s="121"/>
      <c r="E5490" s="121"/>
      <c r="F5490" s="121"/>
      <c r="G5490" s="121"/>
      <c r="H5490" s="93"/>
      <c r="I5490" s="85"/>
      <c r="J5490" s="122"/>
      <c r="K5490" s="150"/>
      <c r="L5490" s="69"/>
      <c r="M5490" s="49"/>
      <c r="Q5490" s="3"/>
      <c r="R5490" s="3"/>
      <c r="S5490" s="3"/>
      <c r="T5490" s="3"/>
      <c r="U5490" s="3"/>
      <c r="V5490" s="3"/>
      <c r="W5490" s="3"/>
      <c r="X5490" s="3"/>
      <c r="Y5490" s="3"/>
      <c r="Z5490" s="4"/>
      <c r="AA5490"/>
      <c r="AB5490"/>
    </row>
    <row r="5491" spans="1:28" s="37" customFormat="1" x14ac:dyDescent="0.15">
      <c r="A5491" s="70"/>
      <c r="B5491" s="118"/>
      <c r="C5491" s="121"/>
      <c r="D5491" s="121"/>
      <c r="E5491" s="121"/>
      <c r="F5491" s="121"/>
      <c r="G5491" s="121"/>
      <c r="H5491" s="93"/>
      <c r="I5491" s="85"/>
      <c r="J5491" s="122"/>
      <c r="K5491" s="150"/>
      <c r="L5491" s="69"/>
      <c r="M5491" s="49"/>
      <c r="Q5491" s="3"/>
      <c r="R5491" s="3"/>
      <c r="S5491" s="3"/>
      <c r="T5491" s="3"/>
      <c r="U5491" s="3"/>
      <c r="V5491" s="3"/>
      <c r="W5491" s="3"/>
      <c r="X5491" s="3"/>
      <c r="Y5491" s="3"/>
      <c r="Z5491" s="4"/>
      <c r="AA5491"/>
      <c r="AB5491"/>
    </row>
    <row r="5492" spans="1:28" s="37" customFormat="1" ht="16" x14ac:dyDescent="0.2">
      <c r="A5492" s="70"/>
      <c r="B5492" s="118"/>
      <c r="C5492" s="121"/>
      <c r="D5492" s="121"/>
      <c r="E5492" s="121"/>
      <c r="F5492" s="121"/>
      <c r="G5492" s="121"/>
      <c r="H5492" s="93"/>
      <c r="I5492" s="85"/>
      <c r="J5492" s="122"/>
      <c r="K5492" s="150"/>
      <c r="L5492" s="69"/>
      <c r="M5492" s="49"/>
      <c r="N5492" s="48"/>
      <c r="Q5492" s="3"/>
      <c r="R5492" s="3"/>
      <c r="S5492" s="3"/>
      <c r="T5492" s="3"/>
      <c r="U5492" s="3"/>
      <c r="V5492" s="3"/>
      <c r="W5492" s="3"/>
      <c r="X5492" s="3"/>
      <c r="Y5492" s="3"/>
      <c r="Z5492" s="4"/>
      <c r="AA5492"/>
      <c r="AB5492"/>
    </row>
    <row r="5493" spans="1:28" s="37" customFormat="1" x14ac:dyDescent="0.15">
      <c r="A5493" s="70"/>
      <c r="B5493" s="118"/>
      <c r="C5493" s="121"/>
      <c r="D5493" s="121"/>
      <c r="E5493" s="121"/>
      <c r="F5493" s="121"/>
      <c r="G5493" s="121"/>
      <c r="H5493" s="93"/>
      <c r="I5493" s="85"/>
      <c r="J5493" s="122"/>
      <c r="K5493" s="150"/>
      <c r="L5493" s="69"/>
      <c r="M5493" s="49"/>
      <c r="Q5493" s="3"/>
      <c r="R5493" s="3"/>
      <c r="S5493" s="3"/>
      <c r="T5493" s="3"/>
      <c r="U5493" s="3"/>
      <c r="V5493" s="3"/>
      <c r="W5493" s="3"/>
      <c r="X5493" s="3"/>
      <c r="Y5493" s="3"/>
      <c r="Z5493" s="4"/>
      <c r="AA5493"/>
      <c r="AB5493"/>
    </row>
    <row r="5494" spans="1:28" s="37" customFormat="1" ht="16" x14ac:dyDescent="0.2">
      <c r="A5494" s="73"/>
      <c r="B5494" s="118"/>
      <c r="C5494" s="121"/>
      <c r="D5494" s="121"/>
      <c r="E5494" s="121"/>
      <c r="F5494" s="121"/>
      <c r="G5494" s="121"/>
      <c r="H5494" s="93"/>
      <c r="I5494" s="85"/>
      <c r="J5494" s="122"/>
      <c r="K5494" s="150"/>
      <c r="L5494" s="69"/>
      <c r="M5494" s="49"/>
      <c r="N5494" s="48"/>
      <c r="Q5494" s="3"/>
      <c r="R5494" s="3"/>
      <c r="S5494" s="3"/>
      <c r="T5494" s="3"/>
      <c r="U5494" s="3"/>
      <c r="V5494" s="3"/>
      <c r="W5494" s="3"/>
      <c r="X5494" s="3"/>
      <c r="Y5494" s="3"/>
      <c r="Z5494" s="4"/>
      <c r="AA5494"/>
      <c r="AB5494"/>
    </row>
    <row r="5495" spans="1:28" s="37" customFormat="1" ht="16" x14ac:dyDescent="0.2">
      <c r="A5495" s="70"/>
      <c r="B5495" s="118"/>
      <c r="C5495" s="121"/>
      <c r="D5495" s="121"/>
      <c r="E5495" s="121"/>
      <c r="F5495" s="121"/>
      <c r="G5495" s="121"/>
      <c r="H5495" s="93"/>
      <c r="I5495" s="85"/>
      <c r="J5495" s="122"/>
      <c r="K5495" s="150"/>
      <c r="L5495" s="69"/>
      <c r="M5495" s="49"/>
      <c r="N5495" s="48"/>
      <c r="Q5495" s="3"/>
      <c r="R5495" s="3"/>
      <c r="S5495" s="3"/>
      <c r="T5495" s="3"/>
      <c r="U5495" s="3"/>
      <c r="V5495" s="3"/>
      <c r="W5495" s="3"/>
      <c r="X5495" s="3"/>
      <c r="Y5495" s="3"/>
      <c r="Z5495" s="4"/>
      <c r="AA5495"/>
      <c r="AB5495"/>
    </row>
    <row r="5496" spans="1:28" s="37" customFormat="1" ht="16" x14ac:dyDescent="0.2">
      <c r="A5496" s="70"/>
      <c r="B5496" s="118"/>
      <c r="C5496" s="121"/>
      <c r="D5496" s="121"/>
      <c r="E5496" s="121"/>
      <c r="F5496" s="121"/>
      <c r="G5496" s="121"/>
      <c r="H5496" s="93"/>
      <c r="I5496" s="85"/>
      <c r="J5496" s="122"/>
      <c r="K5496" s="150"/>
      <c r="L5496" s="69"/>
      <c r="M5496" s="49"/>
      <c r="N5496" s="48"/>
      <c r="Q5496" s="3"/>
      <c r="R5496" s="3"/>
      <c r="S5496" s="3"/>
      <c r="T5496" s="3"/>
      <c r="U5496" s="3"/>
      <c r="V5496" s="3"/>
      <c r="W5496" s="3"/>
      <c r="X5496" s="3"/>
      <c r="Y5496" s="3"/>
      <c r="Z5496" s="4"/>
      <c r="AA5496"/>
      <c r="AB5496"/>
    </row>
    <row r="5497" spans="1:28" s="37" customFormat="1" ht="16" x14ac:dyDescent="0.2">
      <c r="A5497" s="73"/>
      <c r="B5497" s="118"/>
      <c r="C5497" s="121"/>
      <c r="D5497" s="121"/>
      <c r="E5497" s="121"/>
      <c r="F5497" s="121"/>
      <c r="G5497" s="121"/>
      <c r="H5497" s="93"/>
      <c r="I5497" s="85"/>
      <c r="J5497" s="122"/>
      <c r="K5497" s="150"/>
      <c r="L5497" s="69"/>
      <c r="M5497" s="49"/>
      <c r="N5497" s="48"/>
      <c r="Q5497" s="3"/>
      <c r="R5497" s="3"/>
      <c r="S5497" s="3"/>
      <c r="T5497" s="3"/>
      <c r="U5497" s="3"/>
      <c r="V5497" s="3"/>
      <c r="W5497" s="3"/>
      <c r="X5497" s="3"/>
      <c r="Y5497" s="3"/>
      <c r="Z5497" s="4"/>
      <c r="AA5497"/>
      <c r="AB5497"/>
    </row>
    <row r="5498" spans="1:28" s="37" customFormat="1" ht="16" x14ac:dyDescent="0.2">
      <c r="A5498" s="70"/>
      <c r="B5498" s="118"/>
      <c r="C5498" s="121"/>
      <c r="D5498" s="121"/>
      <c r="E5498" s="121"/>
      <c r="F5498" s="121"/>
      <c r="G5498" s="121"/>
      <c r="H5498" s="93"/>
      <c r="I5498" s="85"/>
      <c r="J5498" s="122"/>
      <c r="K5498" s="150"/>
      <c r="L5498" s="69"/>
      <c r="M5498" s="49"/>
      <c r="N5498" s="48"/>
      <c r="Q5498" s="3"/>
      <c r="R5498" s="3"/>
      <c r="S5498" s="3"/>
      <c r="T5498" s="3"/>
      <c r="U5498" s="3"/>
      <c r="V5498" s="3"/>
      <c r="W5498" s="3"/>
      <c r="X5498" s="3"/>
      <c r="Y5498" s="3"/>
      <c r="Z5498" s="4"/>
      <c r="AA5498"/>
      <c r="AB5498"/>
    </row>
    <row r="5499" spans="1:28" s="37" customFormat="1" ht="16" x14ac:dyDescent="0.2">
      <c r="A5499" s="70"/>
      <c r="B5499" s="118"/>
      <c r="C5499" s="121"/>
      <c r="D5499" s="121"/>
      <c r="E5499" s="121"/>
      <c r="F5499" s="121"/>
      <c r="G5499" s="121"/>
      <c r="H5499" s="93"/>
      <c r="I5499" s="85"/>
      <c r="J5499" s="122"/>
      <c r="K5499" s="150"/>
      <c r="L5499" s="69"/>
      <c r="M5499" s="49"/>
      <c r="N5499" s="48"/>
      <c r="Q5499" s="3"/>
      <c r="R5499" s="3"/>
      <c r="S5499" s="3"/>
      <c r="T5499" s="3"/>
      <c r="U5499" s="3"/>
      <c r="V5499" s="3"/>
      <c r="W5499" s="3"/>
      <c r="X5499" s="3"/>
      <c r="Y5499" s="3"/>
      <c r="Z5499" s="4"/>
      <c r="AA5499"/>
      <c r="AB5499"/>
    </row>
    <row r="5500" spans="1:28" s="37" customFormat="1" ht="16" x14ac:dyDescent="0.2">
      <c r="A5500" s="70"/>
      <c r="B5500" s="118"/>
      <c r="C5500" s="121"/>
      <c r="D5500" s="121"/>
      <c r="E5500" s="121"/>
      <c r="F5500" s="121"/>
      <c r="G5500" s="121"/>
      <c r="H5500" s="93"/>
      <c r="I5500" s="85"/>
      <c r="J5500" s="122"/>
      <c r="K5500" s="150"/>
      <c r="L5500" s="69"/>
      <c r="M5500" s="49"/>
      <c r="N5500" s="48"/>
      <c r="Q5500" s="3"/>
      <c r="R5500" s="3"/>
      <c r="S5500" s="3"/>
      <c r="T5500" s="3"/>
      <c r="U5500" s="3"/>
      <c r="V5500" s="3"/>
      <c r="W5500" s="3"/>
      <c r="X5500" s="3"/>
      <c r="Y5500" s="3"/>
      <c r="Z5500" s="4"/>
      <c r="AA5500"/>
      <c r="AB5500"/>
    </row>
    <row r="5501" spans="1:28" s="37" customFormat="1" x14ac:dyDescent="0.15">
      <c r="A5501" s="70"/>
      <c r="B5501" s="118"/>
      <c r="C5501" s="121"/>
      <c r="D5501" s="121"/>
      <c r="E5501" s="121"/>
      <c r="F5501" s="121"/>
      <c r="G5501" s="121"/>
      <c r="H5501" s="93"/>
      <c r="I5501" s="85"/>
      <c r="J5501" s="122"/>
      <c r="K5501" s="150"/>
      <c r="L5501" s="60"/>
      <c r="M5501" s="49"/>
      <c r="Q5501" s="3"/>
      <c r="R5501" s="3"/>
      <c r="S5501" s="3"/>
      <c r="T5501" s="3"/>
      <c r="U5501" s="3"/>
      <c r="V5501" s="3"/>
      <c r="W5501" s="3"/>
      <c r="X5501" s="3"/>
      <c r="Y5501" s="3"/>
      <c r="Z5501" s="4"/>
      <c r="AA5501"/>
      <c r="AB5501"/>
    </row>
    <row r="5502" spans="1:28" s="37" customFormat="1" x14ac:dyDescent="0.15">
      <c r="A5502" s="70"/>
      <c r="B5502" s="118"/>
      <c r="C5502" s="121"/>
      <c r="D5502" s="121"/>
      <c r="E5502" s="121"/>
      <c r="F5502" s="121"/>
      <c r="G5502" s="121"/>
      <c r="H5502" s="93"/>
      <c r="I5502" s="85"/>
      <c r="J5502" s="122"/>
      <c r="K5502" s="150"/>
      <c r="L5502" s="69"/>
      <c r="M5502" s="49"/>
      <c r="Q5502" s="3"/>
      <c r="R5502" s="3"/>
      <c r="S5502" s="3"/>
      <c r="T5502" s="3"/>
      <c r="U5502" s="3"/>
      <c r="V5502" s="3"/>
      <c r="W5502" s="3"/>
      <c r="X5502" s="3"/>
      <c r="Y5502" s="3"/>
      <c r="Z5502" s="4"/>
      <c r="AA5502"/>
      <c r="AB5502"/>
    </row>
    <row r="5503" spans="1:28" s="37" customFormat="1" x14ac:dyDescent="0.15">
      <c r="A5503" s="70"/>
      <c r="B5503" s="118"/>
      <c r="C5503" s="121"/>
      <c r="D5503" s="121"/>
      <c r="E5503" s="121"/>
      <c r="F5503" s="121"/>
      <c r="G5503" s="121"/>
      <c r="H5503" s="93"/>
      <c r="I5503" s="85"/>
      <c r="J5503" s="122"/>
      <c r="K5503" s="150"/>
      <c r="L5503" s="69"/>
      <c r="M5503" s="49"/>
      <c r="Q5503" s="3"/>
      <c r="R5503" s="3"/>
      <c r="S5503" s="3"/>
      <c r="T5503" s="3"/>
      <c r="U5503" s="3"/>
      <c r="V5503" s="3"/>
      <c r="W5503" s="3"/>
      <c r="X5503" s="3"/>
      <c r="Y5503" s="3"/>
      <c r="Z5503" s="4"/>
      <c r="AA5503"/>
      <c r="AB5503"/>
    </row>
    <row r="5504" spans="1:28" s="37" customFormat="1" x14ac:dyDescent="0.15">
      <c r="A5504" s="70"/>
      <c r="B5504" s="118"/>
      <c r="C5504" s="121"/>
      <c r="D5504" s="121"/>
      <c r="E5504" s="121"/>
      <c r="F5504" s="121"/>
      <c r="G5504" s="121"/>
      <c r="H5504" s="93"/>
      <c r="I5504" s="85"/>
      <c r="J5504" s="122"/>
      <c r="K5504" s="150"/>
      <c r="L5504" s="69"/>
      <c r="M5504" s="49"/>
      <c r="Q5504" s="3"/>
      <c r="R5504" s="3"/>
      <c r="S5504" s="3"/>
      <c r="T5504" s="3"/>
      <c r="U5504" s="3"/>
      <c r="V5504" s="3"/>
      <c r="W5504" s="3"/>
      <c r="X5504" s="3"/>
      <c r="Y5504" s="3"/>
      <c r="Z5504" s="4"/>
      <c r="AA5504"/>
      <c r="AB5504"/>
    </row>
    <row r="5505" spans="1:28" s="37" customFormat="1" ht="16" x14ac:dyDescent="0.2">
      <c r="A5505" s="70"/>
      <c r="B5505" s="118"/>
      <c r="C5505" s="121"/>
      <c r="D5505" s="121"/>
      <c r="E5505" s="121"/>
      <c r="F5505" s="121"/>
      <c r="G5505" s="121"/>
      <c r="H5505" s="93"/>
      <c r="I5505" s="85"/>
      <c r="J5505" s="122"/>
      <c r="K5505" s="150"/>
      <c r="L5505" s="60"/>
      <c r="M5505" s="49"/>
      <c r="N5505" s="48"/>
      <c r="Q5505" s="3"/>
      <c r="R5505" s="3"/>
      <c r="S5505" s="3"/>
      <c r="T5505" s="3"/>
      <c r="U5505" s="3"/>
      <c r="V5505" s="3"/>
      <c r="W5505" s="3"/>
      <c r="X5505" s="3"/>
      <c r="Y5505" s="3"/>
      <c r="Z5505" s="4"/>
      <c r="AA5505"/>
      <c r="AB5505"/>
    </row>
    <row r="5506" spans="1:28" s="37" customFormat="1" x14ac:dyDescent="0.15">
      <c r="A5506" s="70"/>
      <c r="B5506" s="118"/>
      <c r="C5506" s="121"/>
      <c r="D5506" s="121"/>
      <c r="E5506" s="121"/>
      <c r="F5506" s="121"/>
      <c r="G5506" s="121"/>
      <c r="H5506" s="93"/>
      <c r="I5506" s="85"/>
      <c r="J5506" s="122"/>
      <c r="K5506" s="150"/>
      <c r="L5506" s="69"/>
      <c r="M5506" s="49"/>
      <c r="Q5506" s="3"/>
      <c r="R5506" s="3"/>
      <c r="S5506" s="3"/>
      <c r="T5506" s="3"/>
      <c r="U5506" s="3"/>
      <c r="V5506" s="3"/>
      <c r="W5506" s="3"/>
      <c r="X5506" s="3"/>
      <c r="Y5506" s="3"/>
      <c r="Z5506" s="4"/>
      <c r="AA5506"/>
      <c r="AB5506"/>
    </row>
    <row r="5507" spans="1:28" s="37" customFormat="1" x14ac:dyDescent="0.15">
      <c r="A5507" s="70"/>
      <c r="B5507" s="118"/>
      <c r="C5507" s="121"/>
      <c r="D5507" s="121"/>
      <c r="E5507" s="121"/>
      <c r="F5507" s="121"/>
      <c r="G5507" s="121"/>
      <c r="H5507" s="93"/>
      <c r="I5507" s="85"/>
      <c r="J5507" s="122"/>
      <c r="K5507" s="150"/>
      <c r="L5507" s="60"/>
      <c r="M5507" s="49"/>
      <c r="Q5507" s="3"/>
      <c r="R5507" s="3"/>
      <c r="S5507" s="3"/>
      <c r="T5507" s="3"/>
      <c r="U5507" s="3"/>
      <c r="V5507" s="3"/>
      <c r="W5507" s="3"/>
      <c r="X5507" s="3"/>
      <c r="Y5507" s="3"/>
      <c r="Z5507" s="4"/>
      <c r="AA5507"/>
      <c r="AB5507"/>
    </row>
    <row r="5508" spans="1:28" s="37" customFormat="1" x14ac:dyDescent="0.15">
      <c r="A5508" s="70"/>
      <c r="B5508" s="118"/>
      <c r="C5508" s="121"/>
      <c r="D5508" s="121"/>
      <c r="E5508" s="121"/>
      <c r="F5508" s="121"/>
      <c r="G5508" s="121"/>
      <c r="H5508" s="93"/>
      <c r="I5508" s="85"/>
      <c r="J5508" s="122"/>
      <c r="K5508" s="150"/>
      <c r="L5508" s="69"/>
      <c r="M5508" s="49"/>
      <c r="Q5508" s="3"/>
      <c r="R5508" s="3"/>
      <c r="S5508" s="3"/>
      <c r="T5508" s="3"/>
      <c r="U5508" s="3"/>
      <c r="V5508" s="3"/>
      <c r="W5508" s="3"/>
      <c r="X5508" s="3"/>
      <c r="Y5508" s="3"/>
      <c r="Z5508" s="4"/>
      <c r="AA5508"/>
      <c r="AB5508"/>
    </row>
    <row r="5509" spans="1:28" s="37" customFormat="1" x14ac:dyDescent="0.15">
      <c r="A5509" s="70"/>
      <c r="B5509" s="118"/>
      <c r="C5509" s="121"/>
      <c r="D5509" s="121"/>
      <c r="E5509" s="121"/>
      <c r="F5509" s="121"/>
      <c r="G5509" s="121"/>
      <c r="H5509" s="93"/>
      <c r="I5509" s="85"/>
      <c r="J5509" s="122"/>
      <c r="K5509" s="150"/>
      <c r="L5509" s="69"/>
      <c r="M5509" s="49"/>
      <c r="Q5509" s="3"/>
      <c r="R5509" s="3"/>
      <c r="S5509" s="3"/>
      <c r="T5509" s="3"/>
      <c r="U5509" s="3"/>
      <c r="V5509" s="3"/>
      <c r="W5509" s="3"/>
      <c r="X5509" s="3"/>
      <c r="Y5509" s="3"/>
      <c r="Z5509" s="4"/>
      <c r="AA5509"/>
      <c r="AB5509"/>
    </row>
    <row r="5510" spans="1:28" s="37" customFormat="1" x14ac:dyDescent="0.15">
      <c r="A5510" s="70"/>
      <c r="B5510" s="118"/>
      <c r="C5510" s="121"/>
      <c r="D5510" s="121"/>
      <c r="E5510" s="121"/>
      <c r="F5510" s="121"/>
      <c r="G5510" s="121"/>
      <c r="H5510" s="93"/>
      <c r="I5510" s="85"/>
      <c r="J5510" s="122"/>
      <c r="K5510" s="150"/>
      <c r="L5510" s="69"/>
      <c r="M5510" s="49"/>
      <c r="Q5510" s="3"/>
      <c r="R5510" s="3"/>
      <c r="S5510" s="3"/>
      <c r="T5510" s="3"/>
      <c r="U5510" s="3"/>
      <c r="V5510" s="3"/>
      <c r="W5510" s="3"/>
      <c r="X5510" s="3"/>
      <c r="Y5510" s="3"/>
      <c r="Z5510" s="4"/>
      <c r="AA5510"/>
      <c r="AB5510"/>
    </row>
    <row r="5511" spans="1:28" s="37" customFormat="1" x14ac:dyDescent="0.15">
      <c r="A5511" s="70"/>
      <c r="B5511" s="118"/>
      <c r="C5511" s="121"/>
      <c r="D5511" s="121"/>
      <c r="E5511" s="121"/>
      <c r="F5511" s="121"/>
      <c r="G5511" s="121"/>
      <c r="H5511" s="93"/>
      <c r="I5511" s="85"/>
      <c r="J5511" s="122"/>
      <c r="K5511" s="150"/>
      <c r="L5511" s="69"/>
      <c r="M5511" s="49"/>
      <c r="Q5511" s="3"/>
      <c r="R5511" s="3"/>
      <c r="S5511" s="3"/>
      <c r="T5511" s="3"/>
      <c r="U5511" s="3"/>
      <c r="V5511" s="3"/>
      <c r="W5511" s="3"/>
      <c r="X5511" s="3"/>
      <c r="Y5511" s="3"/>
      <c r="Z5511" s="4"/>
      <c r="AA5511"/>
      <c r="AB5511"/>
    </row>
    <row r="5512" spans="1:28" s="37" customFormat="1" x14ac:dyDescent="0.15">
      <c r="A5512" s="70"/>
      <c r="B5512" s="118"/>
      <c r="C5512" s="121"/>
      <c r="D5512" s="121"/>
      <c r="E5512" s="121"/>
      <c r="F5512" s="121"/>
      <c r="G5512" s="121"/>
      <c r="H5512" s="93"/>
      <c r="I5512" s="85"/>
      <c r="J5512" s="122"/>
      <c r="K5512" s="150"/>
      <c r="L5512" s="69"/>
      <c r="M5512" s="49"/>
      <c r="Q5512" s="3"/>
      <c r="R5512" s="3"/>
      <c r="S5512" s="3"/>
      <c r="T5512" s="3"/>
      <c r="U5512" s="3"/>
      <c r="V5512" s="3"/>
      <c r="W5512" s="3"/>
      <c r="X5512" s="3"/>
      <c r="Y5512" s="3"/>
      <c r="Z5512" s="4"/>
      <c r="AA5512"/>
      <c r="AB5512"/>
    </row>
    <row r="5513" spans="1:28" s="37" customFormat="1" x14ac:dyDescent="0.15">
      <c r="A5513" s="70"/>
      <c r="B5513" s="118"/>
      <c r="C5513" s="121"/>
      <c r="D5513" s="121"/>
      <c r="E5513" s="121"/>
      <c r="F5513" s="121"/>
      <c r="G5513" s="121"/>
      <c r="H5513" s="93"/>
      <c r="I5513" s="85"/>
      <c r="J5513" s="122"/>
      <c r="K5513" s="150"/>
      <c r="L5513" s="69"/>
      <c r="M5513" s="49"/>
      <c r="Q5513" s="3"/>
      <c r="R5513" s="3"/>
      <c r="S5513" s="3"/>
      <c r="T5513" s="3"/>
      <c r="U5513" s="3"/>
      <c r="V5513" s="3"/>
      <c r="W5513" s="3"/>
      <c r="X5513" s="3"/>
      <c r="Y5513" s="3"/>
      <c r="Z5513" s="4"/>
      <c r="AA5513"/>
      <c r="AB5513"/>
    </row>
    <row r="5514" spans="1:28" s="37" customFormat="1" x14ac:dyDescent="0.15">
      <c r="A5514" s="70"/>
      <c r="B5514" s="118"/>
      <c r="C5514" s="121"/>
      <c r="D5514" s="121"/>
      <c r="E5514" s="121"/>
      <c r="F5514" s="121"/>
      <c r="G5514" s="121"/>
      <c r="H5514" s="93"/>
      <c r="I5514" s="85"/>
      <c r="J5514" s="122"/>
      <c r="K5514" s="150"/>
      <c r="L5514" s="69"/>
      <c r="M5514" s="49"/>
      <c r="O5514" s="51"/>
      <c r="Q5514" s="3"/>
      <c r="R5514" s="3"/>
      <c r="S5514" s="3"/>
      <c r="T5514" s="3"/>
      <c r="U5514" s="3"/>
      <c r="V5514" s="3"/>
      <c r="W5514" s="3"/>
      <c r="X5514" s="3"/>
      <c r="Y5514" s="3"/>
      <c r="Z5514" s="4"/>
      <c r="AA5514"/>
      <c r="AB5514"/>
    </row>
    <row r="5515" spans="1:28" s="37" customFormat="1" x14ac:dyDescent="0.15">
      <c r="A5515" s="70"/>
      <c r="B5515" s="118"/>
      <c r="C5515" s="121"/>
      <c r="D5515" s="121"/>
      <c r="E5515" s="121"/>
      <c r="F5515" s="121"/>
      <c r="G5515" s="121"/>
      <c r="H5515" s="93"/>
      <c r="I5515" s="85"/>
      <c r="J5515" s="122"/>
      <c r="K5515" s="150"/>
      <c r="L5515" s="69"/>
      <c r="M5515" s="49"/>
      <c r="Q5515" s="3"/>
      <c r="R5515" s="3"/>
      <c r="S5515" s="3"/>
      <c r="T5515" s="3"/>
      <c r="U5515" s="3"/>
      <c r="V5515" s="3"/>
      <c r="W5515" s="3"/>
      <c r="X5515" s="3"/>
      <c r="Y5515" s="3"/>
      <c r="Z5515" s="4"/>
      <c r="AA5515"/>
      <c r="AB5515"/>
    </row>
    <row r="5516" spans="1:28" s="37" customFormat="1" x14ac:dyDescent="0.15">
      <c r="A5516" s="70"/>
      <c r="B5516" s="118"/>
      <c r="C5516" s="121"/>
      <c r="D5516" s="121"/>
      <c r="E5516" s="121"/>
      <c r="F5516" s="121"/>
      <c r="G5516" s="121"/>
      <c r="H5516" s="93"/>
      <c r="I5516" s="85"/>
      <c r="J5516" s="122"/>
      <c r="K5516" s="150"/>
      <c r="L5516" s="60"/>
      <c r="M5516" s="49"/>
      <c r="Q5516" s="3"/>
      <c r="R5516" s="3"/>
      <c r="S5516" s="3"/>
      <c r="T5516" s="3"/>
      <c r="U5516" s="3"/>
      <c r="V5516" s="3"/>
      <c r="W5516" s="3"/>
      <c r="X5516" s="3"/>
      <c r="Y5516" s="3"/>
      <c r="Z5516" s="4"/>
      <c r="AA5516"/>
      <c r="AB5516"/>
    </row>
    <row r="5517" spans="1:28" s="37" customFormat="1" x14ac:dyDescent="0.15">
      <c r="A5517" s="70"/>
      <c r="B5517" s="118"/>
      <c r="C5517" s="121"/>
      <c r="D5517" s="121"/>
      <c r="E5517" s="121"/>
      <c r="F5517" s="121"/>
      <c r="G5517" s="121"/>
      <c r="H5517" s="93"/>
      <c r="I5517" s="85"/>
      <c r="J5517" s="122"/>
      <c r="K5517" s="150"/>
      <c r="L5517" s="69"/>
      <c r="M5517" s="49"/>
      <c r="Q5517" s="3"/>
      <c r="R5517" s="3"/>
      <c r="S5517" s="3"/>
      <c r="T5517" s="3"/>
      <c r="U5517" s="3"/>
      <c r="V5517" s="3"/>
      <c r="W5517" s="3"/>
      <c r="X5517" s="3"/>
      <c r="Y5517" s="3"/>
      <c r="Z5517" s="4"/>
      <c r="AA5517"/>
      <c r="AB5517"/>
    </row>
    <row r="5518" spans="1:28" s="37" customFormat="1" x14ac:dyDescent="0.15">
      <c r="A5518" s="70"/>
      <c r="B5518" s="118"/>
      <c r="C5518" s="121"/>
      <c r="D5518" s="121"/>
      <c r="E5518" s="121"/>
      <c r="F5518" s="121"/>
      <c r="G5518" s="121"/>
      <c r="H5518" s="93"/>
      <c r="I5518" s="85"/>
      <c r="J5518" s="122"/>
      <c r="K5518" s="150"/>
      <c r="L5518" s="69"/>
      <c r="M5518" s="49"/>
      <c r="Q5518" s="3"/>
      <c r="R5518" s="3"/>
      <c r="S5518" s="3"/>
      <c r="T5518" s="3"/>
      <c r="U5518" s="3"/>
      <c r="V5518" s="3"/>
      <c r="W5518" s="3"/>
      <c r="X5518" s="3"/>
      <c r="Y5518" s="3"/>
      <c r="Z5518" s="4"/>
      <c r="AA5518"/>
      <c r="AB5518"/>
    </row>
    <row r="5519" spans="1:28" s="37" customFormat="1" x14ac:dyDescent="0.15">
      <c r="A5519" s="70"/>
      <c r="B5519" s="118"/>
      <c r="C5519" s="121"/>
      <c r="D5519" s="121"/>
      <c r="E5519" s="121"/>
      <c r="F5519" s="121"/>
      <c r="G5519" s="121"/>
      <c r="H5519" s="93"/>
      <c r="I5519" s="85"/>
      <c r="J5519" s="122"/>
      <c r="K5519" s="150"/>
      <c r="L5519" s="69"/>
      <c r="M5519" s="49"/>
      <c r="Q5519" s="3"/>
      <c r="R5519" s="3"/>
      <c r="S5519" s="3"/>
      <c r="T5519" s="3"/>
      <c r="U5519" s="3"/>
      <c r="V5519" s="3"/>
      <c r="W5519" s="3"/>
      <c r="X5519" s="3"/>
      <c r="Y5519" s="3"/>
      <c r="Z5519" s="4"/>
      <c r="AA5519"/>
      <c r="AB5519"/>
    </row>
    <row r="5520" spans="1:28" s="37" customFormat="1" x14ac:dyDescent="0.15">
      <c r="A5520" s="70"/>
      <c r="B5520" s="118"/>
      <c r="C5520" s="121"/>
      <c r="D5520" s="121"/>
      <c r="E5520" s="121"/>
      <c r="F5520" s="121"/>
      <c r="G5520" s="121"/>
      <c r="H5520" s="93"/>
      <c r="I5520" s="85"/>
      <c r="J5520" s="122"/>
      <c r="K5520" s="150"/>
      <c r="L5520" s="69"/>
      <c r="M5520" s="49"/>
      <c r="Q5520" s="3"/>
      <c r="R5520" s="3"/>
      <c r="S5520" s="3"/>
      <c r="T5520" s="3"/>
      <c r="U5520" s="3"/>
      <c r="V5520" s="3"/>
      <c r="W5520" s="3"/>
      <c r="X5520" s="3"/>
      <c r="Y5520" s="3"/>
      <c r="Z5520" s="4"/>
      <c r="AA5520"/>
      <c r="AB5520"/>
    </row>
    <row r="5521" spans="1:28" s="37" customFormat="1" x14ac:dyDescent="0.15">
      <c r="A5521" s="70"/>
      <c r="B5521" s="118"/>
      <c r="C5521" s="121"/>
      <c r="D5521" s="121"/>
      <c r="E5521" s="121"/>
      <c r="F5521" s="121"/>
      <c r="G5521" s="121"/>
      <c r="H5521" s="93"/>
      <c r="I5521" s="85"/>
      <c r="J5521" s="122"/>
      <c r="K5521" s="150"/>
      <c r="L5521" s="69"/>
      <c r="M5521" s="49"/>
      <c r="Q5521" s="3"/>
      <c r="R5521" s="3"/>
      <c r="S5521" s="3"/>
      <c r="T5521" s="3"/>
      <c r="U5521" s="3"/>
      <c r="V5521" s="3"/>
      <c r="W5521" s="3"/>
      <c r="X5521" s="3"/>
      <c r="Y5521" s="3"/>
      <c r="Z5521" s="4"/>
      <c r="AA5521"/>
      <c r="AB5521"/>
    </row>
    <row r="5522" spans="1:28" s="37" customFormat="1" x14ac:dyDescent="0.15">
      <c r="A5522" s="70"/>
      <c r="B5522" s="118"/>
      <c r="C5522" s="121"/>
      <c r="D5522" s="121"/>
      <c r="E5522" s="121"/>
      <c r="F5522" s="121"/>
      <c r="G5522" s="121"/>
      <c r="H5522" s="93"/>
      <c r="I5522" s="85"/>
      <c r="J5522" s="122"/>
      <c r="K5522" s="150"/>
      <c r="L5522" s="69"/>
      <c r="M5522" s="49"/>
      <c r="Q5522" s="3"/>
      <c r="R5522" s="3"/>
      <c r="S5522" s="3"/>
      <c r="T5522" s="3"/>
      <c r="U5522" s="3"/>
      <c r="V5522" s="3"/>
      <c r="W5522" s="3"/>
      <c r="X5522" s="3"/>
      <c r="Y5522" s="3"/>
      <c r="Z5522" s="4"/>
      <c r="AA5522"/>
      <c r="AB5522"/>
    </row>
    <row r="5523" spans="1:28" s="37" customFormat="1" x14ac:dyDescent="0.15">
      <c r="A5523" s="70"/>
      <c r="B5523" s="118"/>
      <c r="C5523" s="121"/>
      <c r="D5523" s="121"/>
      <c r="E5523" s="121"/>
      <c r="F5523" s="121"/>
      <c r="G5523" s="121"/>
      <c r="H5523" s="93"/>
      <c r="I5523" s="85"/>
      <c r="J5523" s="122"/>
      <c r="K5523" s="150"/>
      <c r="L5523" s="69"/>
      <c r="M5523" s="49"/>
      <c r="O5523" s="51"/>
      <c r="Q5523" s="3"/>
      <c r="R5523" s="3"/>
      <c r="S5523" s="3"/>
      <c r="T5523" s="3"/>
      <c r="U5523" s="3"/>
      <c r="V5523" s="3"/>
      <c r="W5523" s="3"/>
      <c r="X5523" s="3"/>
      <c r="Y5523" s="3"/>
      <c r="Z5523" s="4"/>
      <c r="AA5523"/>
      <c r="AB5523"/>
    </row>
    <row r="5524" spans="1:28" s="37" customFormat="1" x14ac:dyDescent="0.15">
      <c r="A5524" s="70"/>
      <c r="B5524" s="118"/>
      <c r="C5524" s="121"/>
      <c r="D5524" s="121"/>
      <c r="E5524" s="121"/>
      <c r="F5524" s="121"/>
      <c r="G5524" s="121"/>
      <c r="H5524" s="93"/>
      <c r="I5524" s="85"/>
      <c r="J5524" s="122"/>
      <c r="K5524" s="150"/>
      <c r="L5524" s="69"/>
      <c r="M5524" s="49"/>
      <c r="Q5524" s="3"/>
      <c r="R5524" s="3"/>
      <c r="S5524" s="3"/>
      <c r="T5524" s="3"/>
      <c r="U5524" s="3"/>
      <c r="V5524" s="3"/>
      <c r="W5524" s="3"/>
      <c r="X5524" s="3"/>
      <c r="Y5524" s="3"/>
      <c r="Z5524" s="4"/>
      <c r="AA5524"/>
      <c r="AB5524"/>
    </row>
    <row r="5525" spans="1:28" s="37" customFormat="1" x14ac:dyDescent="0.15">
      <c r="A5525" s="70"/>
      <c r="B5525" s="118"/>
      <c r="C5525" s="121"/>
      <c r="D5525" s="121"/>
      <c r="E5525" s="121"/>
      <c r="F5525" s="121"/>
      <c r="G5525" s="121"/>
      <c r="H5525" s="93"/>
      <c r="I5525" s="85"/>
      <c r="J5525" s="122"/>
      <c r="K5525" s="150"/>
      <c r="L5525" s="69"/>
      <c r="M5525" s="49"/>
      <c r="Q5525" s="3"/>
      <c r="R5525" s="3"/>
      <c r="S5525" s="3"/>
      <c r="T5525" s="3"/>
      <c r="U5525" s="3"/>
      <c r="V5525" s="3"/>
      <c r="W5525" s="3"/>
      <c r="X5525" s="3"/>
      <c r="Y5525" s="3"/>
      <c r="Z5525" s="4"/>
      <c r="AA5525"/>
      <c r="AB5525"/>
    </row>
    <row r="5526" spans="1:28" s="37" customFormat="1" x14ac:dyDescent="0.15">
      <c r="A5526" s="70"/>
      <c r="B5526" s="118"/>
      <c r="C5526" s="121"/>
      <c r="D5526" s="121"/>
      <c r="E5526" s="121"/>
      <c r="F5526" s="121"/>
      <c r="G5526" s="121"/>
      <c r="H5526" s="93"/>
      <c r="I5526" s="85"/>
      <c r="J5526" s="122"/>
      <c r="K5526" s="150"/>
      <c r="L5526" s="60"/>
      <c r="M5526" s="49"/>
      <c r="Q5526" s="3"/>
      <c r="R5526" s="3"/>
      <c r="S5526" s="3"/>
      <c r="T5526" s="3"/>
      <c r="U5526" s="3"/>
      <c r="V5526" s="3"/>
      <c r="W5526" s="3"/>
      <c r="X5526" s="3"/>
      <c r="Y5526" s="3"/>
      <c r="Z5526" s="4"/>
      <c r="AA5526"/>
      <c r="AB5526"/>
    </row>
    <row r="5527" spans="1:28" s="37" customFormat="1" x14ac:dyDescent="0.15">
      <c r="A5527" s="70"/>
      <c r="B5527" s="118"/>
      <c r="C5527" s="121"/>
      <c r="D5527" s="121"/>
      <c r="E5527" s="121"/>
      <c r="F5527" s="121"/>
      <c r="G5527" s="121"/>
      <c r="H5527" s="93"/>
      <c r="I5527" s="85"/>
      <c r="J5527" s="122"/>
      <c r="K5527" s="150"/>
      <c r="L5527" s="60"/>
      <c r="M5527" s="49"/>
      <c r="Q5527" s="3"/>
      <c r="R5527" s="3"/>
      <c r="S5527" s="3"/>
      <c r="T5527" s="3"/>
      <c r="U5527" s="3"/>
      <c r="V5527" s="3"/>
      <c r="W5527" s="3"/>
      <c r="X5527" s="3"/>
      <c r="Y5527" s="3"/>
      <c r="Z5527" s="4"/>
      <c r="AA5527"/>
      <c r="AB5527"/>
    </row>
    <row r="5528" spans="1:28" s="37" customFormat="1" ht="16" x14ac:dyDescent="0.2">
      <c r="A5528" s="70"/>
      <c r="B5528" s="118"/>
      <c r="C5528" s="121"/>
      <c r="D5528" s="121"/>
      <c r="E5528" s="121"/>
      <c r="F5528" s="121"/>
      <c r="G5528" s="121"/>
      <c r="H5528" s="93"/>
      <c r="I5528" s="85"/>
      <c r="J5528" s="122"/>
      <c r="K5528" s="150"/>
      <c r="L5528" s="60"/>
      <c r="M5528" s="49"/>
      <c r="N5528" s="48"/>
      <c r="Q5528" s="3"/>
      <c r="R5528" s="3"/>
      <c r="S5528" s="3"/>
      <c r="T5528" s="3"/>
      <c r="U5528" s="3"/>
      <c r="V5528" s="3"/>
      <c r="W5528" s="3"/>
      <c r="X5528" s="3"/>
      <c r="Y5528" s="3"/>
      <c r="Z5528" s="4"/>
      <c r="AA5528"/>
      <c r="AB5528"/>
    </row>
    <row r="5529" spans="1:28" s="37" customFormat="1" x14ac:dyDescent="0.15">
      <c r="A5529" s="70"/>
      <c r="B5529" s="118"/>
      <c r="C5529" s="121"/>
      <c r="D5529" s="121"/>
      <c r="E5529" s="121"/>
      <c r="F5529" s="121"/>
      <c r="G5529" s="121"/>
      <c r="H5529" s="93"/>
      <c r="I5529" s="85"/>
      <c r="J5529" s="122"/>
      <c r="K5529" s="150"/>
      <c r="L5529" s="69"/>
      <c r="M5529" s="49"/>
      <c r="Q5529" s="3"/>
      <c r="R5529" s="3"/>
      <c r="S5529" s="3"/>
      <c r="T5529" s="3"/>
      <c r="U5529" s="3"/>
      <c r="V5529" s="3"/>
      <c r="W5529" s="3"/>
      <c r="X5529" s="3"/>
      <c r="Y5529" s="3"/>
      <c r="Z5529" s="4"/>
      <c r="AA5529"/>
      <c r="AB5529"/>
    </row>
    <row r="5530" spans="1:28" s="37" customFormat="1" x14ac:dyDescent="0.15">
      <c r="A5530" s="70"/>
      <c r="B5530" s="118"/>
      <c r="C5530" s="121"/>
      <c r="D5530" s="121"/>
      <c r="E5530" s="121"/>
      <c r="F5530" s="121"/>
      <c r="G5530" s="121"/>
      <c r="H5530" s="93"/>
      <c r="I5530" s="85"/>
      <c r="J5530" s="122"/>
      <c r="K5530" s="150"/>
      <c r="L5530" s="69"/>
      <c r="M5530" s="49"/>
      <c r="Q5530" s="3"/>
      <c r="R5530" s="3"/>
      <c r="S5530" s="3"/>
      <c r="T5530" s="3"/>
      <c r="U5530" s="3"/>
      <c r="V5530" s="3"/>
      <c r="W5530" s="3"/>
      <c r="X5530" s="3"/>
      <c r="Y5530" s="3"/>
      <c r="Z5530" s="4"/>
      <c r="AA5530"/>
      <c r="AB5530"/>
    </row>
    <row r="5531" spans="1:28" s="37" customFormat="1" x14ac:dyDescent="0.15">
      <c r="A5531" s="70"/>
      <c r="B5531" s="118"/>
      <c r="C5531" s="121"/>
      <c r="D5531" s="121"/>
      <c r="E5531" s="121"/>
      <c r="F5531" s="121"/>
      <c r="G5531" s="121"/>
      <c r="H5531" s="93"/>
      <c r="I5531" s="85"/>
      <c r="J5531" s="122"/>
      <c r="K5531" s="150"/>
      <c r="L5531" s="69"/>
      <c r="M5531" s="49"/>
      <c r="Q5531" s="3"/>
      <c r="R5531" s="3"/>
      <c r="S5531" s="3"/>
      <c r="T5531" s="3"/>
      <c r="U5531" s="3"/>
      <c r="V5531" s="3"/>
      <c r="W5531" s="3"/>
      <c r="X5531" s="3"/>
      <c r="Y5531" s="3"/>
      <c r="Z5531" s="4"/>
      <c r="AA5531"/>
      <c r="AB5531"/>
    </row>
    <row r="5532" spans="1:28" s="37" customFormat="1" x14ac:dyDescent="0.15">
      <c r="A5532" s="70"/>
      <c r="B5532" s="118"/>
      <c r="C5532" s="121"/>
      <c r="D5532" s="121"/>
      <c r="E5532" s="121"/>
      <c r="F5532" s="121"/>
      <c r="G5532" s="121"/>
      <c r="H5532" s="93"/>
      <c r="I5532" s="85"/>
      <c r="J5532" s="122"/>
      <c r="K5532" s="150"/>
      <c r="L5532" s="60"/>
      <c r="M5532" s="50"/>
      <c r="O5532" s="51"/>
      <c r="Q5532" s="3"/>
      <c r="R5532" s="3"/>
      <c r="S5532" s="3"/>
      <c r="T5532" s="3"/>
      <c r="U5532" s="3"/>
      <c r="V5532" s="3"/>
      <c r="W5532" s="3"/>
      <c r="X5532" s="3"/>
      <c r="Y5532" s="3"/>
      <c r="Z5532" s="4"/>
      <c r="AA5532"/>
      <c r="AB5532"/>
    </row>
    <row r="5533" spans="1:28" s="37" customFormat="1" x14ac:dyDescent="0.15">
      <c r="A5533" s="70"/>
      <c r="B5533" s="118"/>
      <c r="C5533" s="121"/>
      <c r="D5533" s="121"/>
      <c r="E5533" s="121"/>
      <c r="F5533" s="121"/>
      <c r="G5533" s="121"/>
      <c r="H5533" s="93"/>
      <c r="I5533" s="85"/>
      <c r="J5533" s="122"/>
      <c r="K5533" s="150"/>
      <c r="L5533" s="69"/>
      <c r="M5533" s="50"/>
      <c r="Q5533" s="3"/>
      <c r="R5533" s="3"/>
      <c r="S5533" s="3"/>
      <c r="T5533" s="3"/>
      <c r="U5533" s="3"/>
      <c r="V5533" s="3"/>
      <c r="W5533" s="3"/>
      <c r="X5533" s="3"/>
      <c r="Y5533" s="3"/>
      <c r="Z5533" s="4"/>
      <c r="AA5533"/>
      <c r="AB5533"/>
    </row>
    <row r="5534" spans="1:28" s="37" customFormat="1" x14ac:dyDescent="0.15">
      <c r="A5534" s="70"/>
      <c r="B5534" s="118"/>
      <c r="C5534" s="121"/>
      <c r="D5534" s="121"/>
      <c r="E5534" s="121"/>
      <c r="F5534" s="121"/>
      <c r="G5534" s="121"/>
      <c r="H5534" s="93"/>
      <c r="I5534" s="85"/>
      <c r="J5534" s="122"/>
      <c r="K5534" s="150"/>
      <c r="L5534" s="60"/>
      <c r="M5534" s="50"/>
      <c r="Q5534" s="3"/>
      <c r="R5534" s="3"/>
      <c r="S5534" s="3"/>
      <c r="T5534" s="3"/>
      <c r="U5534" s="3"/>
      <c r="V5534" s="3"/>
      <c r="W5534" s="3"/>
      <c r="X5534" s="3"/>
      <c r="Y5534" s="3"/>
      <c r="Z5534" s="4"/>
      <c r="AA5534"/>
      <c r="AB5534"/>
    </row>
    <row r="5535" spans="1:28" s="37" customFormat="1" x14ac:dyDescent="0.15">
      <c r="A5535" s="70"/>
      <c r="B5535" s="118"/>
      <c r="C5535" s="121"/>
      <c r="D5535" s="121"/>
      <c r="E5535" s="121"/>
      <c r="F5535" s="121"/>
      <c r="G5535" s="121"/>
      <c r="H5535" s="93"/>
      <c r="I5535" s="85"/>
      <c r="J5535" s="122"/>
      <c r="K5535" s="150"/>
      <c r="L5535" s="69"/>
      <c r="M5535" s="50"/>
      <c r="Q5535" s="3"/>
      <c r="R5535" s="3"/>
      <c r="S5535" s="3"/>
      <c r="T5535" s="3"/>
      <c r="U5535" s="3"/>
      <c r="V5535" s="3"/>
      <c r="W5535" s="3"/>
      <c r="X5535" s="3"/>
      <c r="Y5535" s="3"/>
      <c r="Z5535" s="4"/>
      <c r="AA5535"/>
      <c r="AB5535"/>
    </row>
    <row r="5536" spans="1:28" s="37" customFormat="1" x14ac:dyDescent="0.15">
      <c r="A5536" s="70"/>
      <c r="B5536" s="118"/>
      <c r="C5536" s="121"/>
      <c r="D5536" s="121"/>
      <c r="E5536" s="121"/>
      <c r="F5536" s="121"/>
      <c r="G5536" s="121"/>
      <c r="H5536" s="93"/>
      <c r="I5536" s="85"/>
      <c r="J5536" s="122"/>
      <c r="K5536" s="150"/>
      <c r="L5536" s="69"/>
      <c r="M5536" s="50"/>
      <c r="Q5536" s="3"/>
      <c r="R5536" s="3"/>
      <c r="S5536" s="3"/>
      <c r="T5536" s="3"/>
      <c r="U5536" s="3"/>
      <c r="V5536" s="3"/>
      <c r="W5536" s="3"/>
      <c r="X5536" s="3"/>
      <c r="Y5536" s="3"/>
      <c r="Z5536" s="4"/>
      <c r="AA5536"/>
      <c r="AB5536"/>
    </row>
    <row r="5537" spans="1:28" s="37" customFormat="1" x14ac:dyDescent="0.15">
      <c r="A5537" s="70"/>
      <c r="B5537" s="118"/>
      <c r="C5537" s="121"/>
      <c r="D5537" s="121"/>
      <c r="E5537" s="121"/>
      <c r="F5537" s="121"/>
      <c r="G5537" s="121"/>
      <c r="H5537" s="93"/>
      <c r="I5537" s="85"/>
      <c r="J5537" s="122"/>
      <c r="K5537" s="150"/>
      <c r="L5537" s="69"/>
      <c r="M5537" s="50"/>
      <c r="Q5537" s="3"/>
      <c r="R5537" s="3"/>
      <c r="S5537" s="3"/>
      <c r="T5537" s="3"/>
      <c r="U5537" s="3"/>
      <c r="V5537" s="3"/>
      <c r="W5537" s="3"/>
      <c r="X5537" s="3"/>
      <c r="Y5537" s="3"/>
      <c r="Z5537" s="4"/>
      <c r="AA5537"/>
      <c r="AB5537"/>
    </row>
    <row r="5538" spans="1:28" s="37" customFormat="1" x14ac:dyDescent="0.15">
      <c r="A5538" s="70"/>
      <c r="B5538" s="118"/>
      <c r="C5538" s="121"/>
      <c r="D5538" s="121"/>
      <c r="E5538" s="121"/>
      <c r="F5538" s="121"/>
      <c r="G5538" s="121"/>
      <c r="H5538" s="93"/>
      <c r="I5538" s="85"/>
      <c r="J5538" s="122"/>
      <c r="K5538" s="150"/>
      <c r="L5538" s="69"/>
      <c r="M5538" s="50"/>
      <c r="Q5538" s="3"/>
      <c r="R5538" s="3"/>
      <c r="S5538" s="3"/>
      <c r="T5538" s="3"/>
      <c r="U5538" s="3"/>
      <c r="V5538" s="3"/>
      <c r="W5538" s="3"/>
      <c r="X5538" s="3"/>
      <c r="Y5538" s="3"/>
      <c r="Z5538" s="4"/>
      <c r="AA5538"/>
      <c r="AB5538"/>
    </row>
    <row r="5539" spans="1:28" s="37" customFormat="1" x14ac:dyDescent="0.15">
      <c r="A5539" s="70"/>
      <c r="B5539" s="118"/>
      <c r="C5539" s="121"/>
      <c r="D5539" s="121"/>
      <c r="E5539" s="121"/>
      <c r="F5539" s="121"/>
      <c r="G5539" s="121"/>
      <c r="H5539" s="93"/>
      <c r="I5539" s="85"/>
      <c r="J5539" s="122"/>
      <c r="K5539" s="150"/>
      <c r="L5539" s="69"/>
      <c r="M5539" s="50"/>
      <c r="Q5539" s="3"/>
      <c r="R5539" s="3"/>
      <c r="S5539" s="3"/>
      <c r="T5539" s="3"/>
      <c r="U5539" s="3"/>
      <c r="V5539" s="3"/>
      <c r="W5539" s="3"/>
      <c r="X5539" s="3"/>
      <c r="Y5539" s="3"/>
      <c r="Z5539" s="4"/>
      <c r="AA5539"/>
      <c r="AB5539"/>
    </row>
    <row r="5540" spans="1:28" s="37" customFormat="1" x14ac:dyDescent="0.15">
      <c r="A5540" s="70"/>
      <c r="B5540" s="118"/>
      <c r="C5540" s="121"/>
      <c r="D5540" s="121"/>
      <c r="E5540" s="121"/>
      <c r="F5540" s="121"/>
      <c r="G5540" s="121"/>
      <c r="H5540" s="93"/>
      <c r="I5540" s="85"/>
      <c r="J5540" s="122"/>
      <c r="K5540" s="150"/>
      <c r="L5540" s="69"/>
      <c r="M5540" s="50"/>
      <c r="Q5540" s="3"/>
      <c r="R5540" s="3"/>
      <c r="S5540" s="3"/>
      <c r="T5540" s="3"/>
      <c r="U5540" s="3"/>
      <c r="V5540" s="3"/>
      <c r="W5540" s="3"/>
      <c r="X5540" s="3"/>
      <c r="Y5540" s="3"/>
      <c r="Z5540" s="4"/>
      <c r="AA5540"/>
      <c r="AB5540"/>
    </row>
    <row r="5541" spans="1:28" s="37" customFormat="1" x14ac:dyDescent="0.15">
      <c r="A5541" s="70"/>
      <c r="B5541" s="118"/>
      <c r="C5541" s="121"/>
      <c r="D5541" s="121"/>
      <c r="E5541" s="121"/>
      <c r="F5541" s="121"/>
      <c r="G5541" s="121"/>
      <c r="H5541" s="93"/>
      <c r="I5541" s="85"/>
      <c r="J5541" s="122"/>
      <c r="K5541" s="150"/>
      <c r="L5541" s="60"/>
      <c r="M5541" s="50"/>
      <c r="Q5541" s="3"/>
      <c r="R5541" s="3"/>
      <c r="S5541" s="3"/>
      <c r="T5541" s="3"/>
      <c r="U5541" s="3"/>
      <c r="V5541" s="3"/>
      <c r="W5541" s="3"/>
      <c r="X5541" s="3"/>
      <c r="Y5541" s="3"/>
      <c r="Z5541" s="4"/>
      <c r="AA5541"/>
      <c r="AB5541"/>
    </row>
    <row r="5542" spans="1:28" s="37" customFormat="1" x14ac:dyDescent="0.15">
      <c r="A5542" s="73"/>
      <c r="B5542" s="118"/>
      <c r="C5542" s="121"/>
      <c r="D5542" s="121"/>
      <c r="E5542" s="121"/>
      <c r="F5542" s="121"/>
      <c r="G5542" s="121"/>
      <c r="H5542" s="93"/>
      <c r="I5542" s="85"/>
      <c r="J5542" s="122"/>
      <c r="K5542" s="150"/>
      <c r="L5542" s="69"/>
      <c r="M5542" s="50"/>
      <c r="Q5542" s="3"/>
      <c r="R5542" s="3"/>
      <c r="S5542" s="3"/>
      <c r="T5542" s="3"/>
      <c r="U5542" s="3"/>
      <c r="V5542" s="3"/>
      <c r="W5542" s="3"/>
      <c r="X5542" s="3"/>
      <c r="Y5542" s="3"/>
      <c r="Z5542" s="4"/>
      <c r="AA5542"/>
      <c r="AB5542"/>
    </row>
    <row r="5543" spans="1:28" s="37" customFormat="1" x14ac:dyDescent="0.15">
      <c r="A5543" s="70"/>
      <c r="B5543" s="118"/>
      <c r="C5543" s="121"/>
      <c r="D5543" s="121"/>
      <c r="E5543" s="121"/>
      <c r="F5543" s="121"/>
      <c r="G5543" s="121"/>
      <c r="H5543" s="93"/>
      <c r="I5543" s="85"/>
      <c r="J5543" s="122"/>
      <c r="K5543" s="150"/>
      <c r="L5543" s="69"/>
      <c r="M5543" s="50"/>
      <c r="Q5543" s="3"/>
      <c r="R5543" s="3"/>
      <c r="S5543" s="3"/>
      <c r="T5543" s="3"/>
      <c r="U5543" s="3"/>
      <c r="V5543" s="3"/>
      <c r="W5543" s="3"/>
      <c r="X5543" s="3"/>
      <c r="Y5543" s="3"/>
      <c r="Z5543" s="4"/>
      <c r="AA5543"/>
      <c r="AB5543"/>
    </row>
    <row r="5544" spans="1:28" s="37" customFormat="1" x14ac:dyDescent="0.15">
      <c r="A5544" s="70"/>
      <c r="B5544" s="118"/>
      <c r="C5544" s="121"/>
      <c r="D5544" s="121"/>
      <c r="E5544" s="121"/>
      <c r="F5544" s="121"/>
      <c r="G5544" s="121"/>
      <c r="H5544" s="93"/>
      <c r="I5544" s="85"/>
      <c r="J5544" s="122"/>
      <c r="K5544" s="150"/>
      <c r="L5544" s="69"/>
      <c r="M5544" s="50"/>
      <c r="Q5544" s="3"/>
      <c r="R5544" s="3"/>
      <c r="S5544" s="3"/>
      <c r="T5544" s="3"/>
      <c r="U5544" s="3"/>
      <c r="V5544" s="3"/>
      <c r="W5544" s="3"/>
      <c r="X5544" s="3"/>
      <c r="Y5544" s="3"/>
      <c r="Z5544" s="4"/>
      <c r="AA5544"/>
      <c r="AB5544"/>
    </row>
    <row r="5545" spans="1:28" s="37" customFormat="1" x14ac:dyDescent="0.15">
      <c r="A5545" s="73"/>
      <c r="B5545" s="118"/>
      <c r="C5545" s="121"/>
      <c r="D5545" s="121"/>
      <c r="E5545" s="121"/>
      <c r="F5545" s="121"/>
      <c r="G5545" s="121"/>
      <c r="H5545" s="93"/>
      <c r="I5545" s="85"/>
      <c r="J5545" s="122"/>
      <c r="K5545" s="150"/>
      <c r="L5545" s="69"/>
      <c r="M5545" s="50"/>
      <c r="Q5545" s="3"/>
      <c r="R5545" s="3"/>
      <c r="S5545" s="3"/>
      <c r="T5545" s="3"/>
      <c r="U5545" s="3"/>
      <c r="V5545" s="3"/>
      <c r="W5545" s="3"/>
      <c r="X5545" s="3"/>
      <c r="Y5545" s="3"/>
      <c r="Z5545" s="4"/>
      <c r="AA5545"/>
      <c r="AB5545"/>
    </row>
    <row r="5546" spans="1:28" s="37" customFormat="1" x14ac:dyDescent="0.15">
      <c r="A5546" s="70"/>
      <c r="B5546" s="118"/>
      <c r="C5546" s="121"/>
      <c r="D5546" s="121"/>
      <c r="E5546" s="121"/>
      <c r="F5546" s="121"/>
      <c r="G5546" s="121"/>
      <c r="H5546" s="93"/>
      <c r="I5546" s="85"/>
      <c r="J5546" s="122"/>
      <c r="K5546" s="150"/>
      <c r="L5546" s="69"/>
      <c r="M5546" s="50"/>
      <c r="Q5546" s="3"/>
      <c r="R5546" s="3"/>
      <c r="S5546" s="3"/>
      <c r="T5546" s="3"/>
      <c r="U5546" s="3"/>
      <c r="V5546" s="3"/>
      <c r="W5546" s="3"/>
      <c r="X5546" s="3"/>
      <c r="Y5546" s="3"/>
      <c r="Z5546" s="4"/>
      <c r="AA5546"/>
      <c r="AB5546"/>
    </row>
    <row r="5547" spans="1:28" s="37" customFormat="1" x14ac:dyDescent="0.15">
      <c r="A5547" s="73"/>
      <c r="B5547" s="118"/>
      <c r="C5547" s="121"/>
      <c r="D5547" s="121"/>
      <c r="E5547" s="121"/>
      <c r="F5547" s="121"/>
      <c r="G5547" s="121"/>
      <c r="H5547" s="93"/>
      <c r="I5547" s="85"/>
      <c r="J5547" s="122"/>
      <c r="K5547" s="150"/>
      <c r="L5547" s="69"/>
      <c r="M5547" s="50"/>
      <c r="Q5547" s="3"/>
      <c r="R5547" s="3"/>
      <c r="S5547" s="3"/>
      <c r="T5547" s="3"/>
      <c r="U5547" s="3"/>
      <c r="V5547" s="3"/>
      <c r="W5547" s="3"/>
      <c r="X5547" s="3"/>
      <c r="Y5547" s="3"/>
      <c r="Z5547" s="4"/>
      <c r="AA5547"/>
      <c r="AB5547"/>
    </row>
    <row r="5548" spans="1:28" s="37" customFormat="1" x14ac:dyDescent="0.15">
      <c r="A5548" s="70"/>
      <c r="B5548" s="118"/>
      <c r="C5548" s="121"/>
      <c r="D5548" s="121"/>
      <c r="E5548" s="121"/>
      <c r="F5548" s="121"/>
      <c r="G5548" s="121"/>
      <c r="H5548" s="93"/>
      <c r="I5548" s="85"/>
      <c r="J5548" s="122"/>
      <c r="K5548" s="150"/>
      <c r="L5548" s="69"/>
      <c r="M5548" s="50"/>
      <c r="Q5548" s="3"/>
      <c r="R5548" s="3"/>
      <c r="S5548" s="3"/>
      <c r="T5548" s="3"/>
      <c r="U5548" s="3"/>
      <c r="V5548" s="3"/>
      <c r="W5548" s="3"/>
      <c r="X5548" s="3"/>
      <c r="Y5548" s="3"/>
      <c r="Z5548" s="4"/>
      <c r="AA5548"/>
      <c r="AB5548"/>
    </row>
    <row r="5549" spans="1:28" s="37" customFormat="1" x14ac:dyDescent="0.15">
      <c r="A5549" s="70"/>
      <c r="B5549" s="118"/>
      <c r="C5549" s="121"/>
      <c r="D5549" s="121"/>
      <c r="E5549" s="121"/>
      <c r="F5549" s="121"/>
      <c r="G5549" s="121"/>
      <c r="H5549" s="93"/>
      <c r="I5549" s="85"/>
      <c r="J5549" s="122"/>
      <c r="K5549" s="150"/>
      <c r="L5549" s="69"/>
      <c r="M5549" s="50"/>
      <c r="Q5549" s="3"/>
      <c r="R5549" s="3"/>
      <c r="S5549" s="3"/>
      <c r="T5549" s="3"/>
      <c r="U5549" s="3"/>
      <c r="V5549" s="3"/>
      <c r="W5549" s="3"/>
      <c r="X5549" s="3"/>
      <c r="Y5549" s="3"/>
      <c r="Z5549" s="4"/>
      <c r="AA5549"/>
      <c r="AB5549"/>
    </row>
    <row r="5550" spans="1:28" s="37" customFormat="1" x14ac:dyDescent="0.15">
      <c r="A5550" s="70"/>
      <c r="B5550" s="118"/>
      <c r="C5550" s="121"/>
      <c r="D5550" s="121"/>
      <c r="E5550" s="121"/>
      <c r="F5550" s="121"/>
      <c r="G5550" s="121"/>
      <c r="H5550" s="93"/>
      <c r="I5550" s="85"/>
      <c r="J5550" s="122"/>
      <c r="K5550" s="150"/>
      <c r="L5550" s="69"/>
      <c r="M5550" s="50"/>
      <c r="Q5550" s="3"/>
      <c r="R5550" s="3"/>
      <c r="S5550" s="3"/>
      <c r="T5550" s="3"/>
      <c r="U5550" s="3"/>
      <c r="V5550" s="3"/>
      <c r="W5550" s="3"/>
      <c r="X5550" s="3"/>
      <c r="Y5550" s="3"/>
      <c r="Z5550" s="4"/>
      <c r="AA5550"/>
      <c r="AB5550"/>
    </row>
    <row r="5551" spans="1:28" s="37" customFormat="1" x14ac:dyDescent="0.15">
      <c r="A5551" s="70"/>
      <c r="B5551" s="118"/>
      <c r="C5551" s="121"/>
      <c r="D5551" s="121"/>
      <c r="E5551" s="121"/>
      <c r="F5551" s="121"/>
      <c r="G5551" s="121"/>
      <c r="H5551" s="93"/>
      <c r="I5551" s="85"/>
      <c r="J5551" s="122"/>
      <c r="K5551" s="150"/>
      <c r="L5551" s="69"/>
      <c r="M5551" s="50"/>
      <c r="Q5551" s="3"/>
      <c r="R5551" s="3"/>
      <c r="S5551" s="3"/>
      <c r="T5551" s="3"/>
      <c r="U5551" s="3"/>
      <c r="V5551" s="3"/>
      <c r="W5551" s="3"/>
      <c r="X5551" s="3"/>
      <c r="Y5551" s="3"/>
      <c r="Z5551" s="4"/>
      <c r="AA5551"/>
      <c r="AB5551"/>
    </row>
    <row r="5552" spans="1:28" s="37" customFormat="1" x14ac:dyDescent="0.15">
      <c r="A5552" s="70"/>
      <c r="B5552" s="118"/>
      <c r="C5552" s="121"/>
      <c r="D5552" s="121"/>
      <c r="E5552" s="121"/>
      <c r="F5552" s="121"/>
      <c r="G5552" s="121"/>
      <c r="H5552" s="93"/>
      <c r="I5552" s="85"/>
      <c r="J5552" s="122"/>
      <c r="K5552" s="150"/>
      <c r="L5552" s="69"/>
      <c r="M5552" s="50"/>
      <c r="Q5552" s="3"/>
      <c r="R5552" s="3"/>
      <c r="S5552" s="3"/>
      <c r="T5552" s="3"/>
      <c r="U5552" s="3"/>
      <c r="V5552" s="3"/>
      <c r="W5552" s="3"/>
      <c r="X5552" s="3"/>
      <c r="Y5552" s="3"/>
      <c r="Z5552" s="4"/>
      <c r="AA5552"/>
      <c r="AB5552"/>
    </row>
    <row r="5553" spans="1:28" s="37" customFormat="1" x14ac:dyDescent="0.15">
      <c r="A5553" s="70"/>
      <c r="B5553" s="118"/>
      <c r="C5553" s="121"/>
      <c r="D5553" s="121"/>
      <c r="E5553" s="121"/>
      <c r="F5553" s="121"/>
      <c r="G5553" s="121"/>
      <c r="H5553" s="93"/>
      <c r="I5553" s="85"/>
      <c r="J5553" s="122"/>
      <c r="K5553" s="150"/>
      <c r="L5553" s="69"/>
      <c r="M5553" s="50"/>
      <c r="Q5553" s="3"/>
      <c r="R5553" s="3"/>
      <c r="S5553" s="3"/>
      <c r="T5553" s="3"/>
      <c r="U5553" s="3"/>
      <c r="V5553" s="3"/>
      <c r="W5553" s="3"/>
      <c r="X5553" s="3"/>
      <c r="Y5553" s="3"/>
      <c r="Z5553" s="4"/>
      <c r="AA5553"/>
      <c r="AB5553"/>
    </row>
    <row r="5554" spans="1:28" s="37" customFormat="1" x14ac:dyDescent="0.15">
      <c r="A5554" s="70"/>
      <c r="B5554" s="118"/>
      <c r="C5554" s="121"/>
      <c r="D5554" s="121"/>
      <c r="E5554" s="121"/>
      <c r="F5554" s="121"/>
      <c r="G5554" s="121"/>
      <c r="H5554" s="93"/>
      <c r="I5554" s="85"/>
      <c r="J5554" s="122"/>
      <c r="K5554" s="150"/>
      <c r="L5554" s="69"/>
      <c r="M5554" s="50"/>
      <c r="Q5554" s="3"/>
      <c r="R5554" s="3"/>
      <c r="S5554" s="3"/>
      <c r="T5554" s="3"/>
      <c r="U5554" s="3"/>
      <c r="V5554" s="3"/>
      <c r="W5554" s="3"/>
      <c r="X5554" s="3"/>
      <c r="Y5554" s="3"/>
      <c r="Z5554" s="4"/>
      <c r="AA5554"/>
      <c r="AB5554"/>
    </row>
    <row r="5555" spans="1:28" s="37" customFormat="1" x14ac:dyDescent="0.15">
      <c r="A5555" s="70"/>
      <c r="B5555" s="117"/>
      <c r="C5555" s="121"/>
      <c r="D5555" s="121"/>
      <c r="E5555" s="121"/>
      <c r="F5555" s="121"/>
      <c r="G5555" s="121"/>
      <c r="H5555" s="93"/>
      <c r="I5555" s="85"/>
      <c r="J5555" s="122"/>
      <c r="K5555" s="150"/>
      <c r="L5555" s="60"/>
      <c r="M5555" s="33"/>
      <c r="Q5555" s="3"/>
      <c r="R5555" s="3"/>
      <c r="S5555" s="3"/>
      <c r="T5555" s="3"/>
      <c r="U5555" s="3"/>
      <c r="V5555" s="3"/>
      <c r="W5555" s="3"/>
      <c r="X5555" s="3"/>
      <c r="Y5555" s="3"/>
      <c r="Z5555" s="4"/>
      <c r="AA5555"/>
      <c r="AB5555"/>
    </row>
    <row r="5556" spans="1:28" s="37" customFormat="1" x14ac:dyDescent="0.15">
      <c r="A5556" s="70"/>
      <c r="B5556" s="118"/>
      <c r="C5556" s="121"/>
      <c r="D5556" s="121"/>
      <c r="E5556" s="121"/>
      <c r="F5556" s="121"/>
      <c r="G5556" s="121"/>
      <c r="H5556" s="93"/>
      <c r="I5556" s="85"/>
      <c r="J5556" s="122"/>
      <c r="K5556" s="150"/>
      <c r="L5556" s="60"/>
      <c r="M5556" s="50"/>
      <c r="Q5556" s="3"/>
      <c r="R5556" s="3"/>
      <c r="S5556" s="3"/>
      <c r="T5556" s="3"/>
      <c r="U5556" s="3"/>
      <c r="V5556" s="3"/>
      <c r="W5556" s="3"/>
      <c r="X5556" s="3"/>
      <c r="Y5556" s="3"/>
      <c r="Z5556" s="4"/>
      <c r="AA5556"/>
      <c r="AB5556"/>
    </row>
    <row r="5557" spans="1:28" s="37" customFormat="1" x14ac:dyDescent="0.15">
      <c r="A5557" s="70"/>
      <c r="B5557" s="118"/>
      <c r="C5557" s="121"/>
      <c r="D5557" s="121"/>
      <c r="E5557" s="121"/>
      <c r="F5557" s="121"/>
      <c r="G5557" s="121"/>
      <c r="H5557" s="93"/>
      <c r="I5557" s="85"/>
      <c r="J5557" s="122"/>
      <c r="K5557" s="150"/>
      <c r="L5557" s="60"/>
      <c r="M5557" s="50"/>
      <c r="Q5557" s="3"/>
      <c r="R5557" s="3"/>
      <c r="S5557" s="3"/>
      <c r="T5557" s="3"/>
      <c r="U5557" s="3"/>
      <c r="V5557" s="3"/>
      <c r="W5557" s="3"/>
      <c r="X5557" s="3"/>
      <c r="Y5557" s="3"/>
      <c r="Z5557" s="4"/>
      <c r="AA5557"/>
      <c r="AB5557"/>
    </row>
    <row r="5558" spans="1:28" s="37" customFormat="1" x14ac:dyDescent="0.15">
      <c r="A5558" s="70"/>
      <c r="B5558" s="118"/>
      <c r="C5558" s="121"/>
      <c r="D5558" s="121"/>
      <c r="E5558" s="121"/>
      <c r="F5558" s="121"/>
      <c r="G5558" s="121"/>
      <c r="H5558" s="93"/>
      <c r="I5558" s="85"/>
      <c r="J5558" s="122"/>
      <c r="K5558" s="150"/>
      <c r="L5558" s="69"/>
      <c r="M5558" s="50"/>
      <c r="Q5558" s="3"/>
      <c r="R5558" s="3"/>
      <c r="S5558" s="3"/>
      <c r="T5558" s="3"/>
      <c r="U5558" s="3"/>
      <c r="V5558" s="3"/>
      <c r="W5558" s="3"/>
      <c r="X5558" s="3"/>
      <c r="Y5558" s="3"/>
      <c r="Z5558" s="4"/>
      <c r="AA5558"/>
      <c r="AB5558"/>
    </row>
    <row r="5559" spans="1:28" s="37" customFormat="1" x14ac:dyDescent="0.15">
      <c r="A5559" s="70"/>
      <c r="B5559" s="117"/>
      <c r="C5559" s="121"/>
      <c r="D5559" s="121"/>
      <c r="E5559" s="121"/>
      <c r="F5559" s="121"/>
      <c r="G5559" s="121"/>
      <c r="H5559" s="93"/>
      <c r="I5559" s="85"/>
      <c r="J5559" s="122"/>
      <c r="K5559" s="150"/>
      <c r="L5559" s="60"/>
      <c r="M5559" s="33"/>
      <c r="Q5559" s="3"/>
      <c r="R5559" s="3"/>
      <c r="S5559" s="3"/>
      <c r="T5559" s="3"/>
      <c r="U5559" s="3"/>
      <c r="V5559" s="3"/>
      <c r="W5559" s="3"/>
      <c r="X5559" s="3"/>
      <c r="Y5559" s="3"/>
      <c r="Z5559" s="4"/>
      <c r="AA5559"/>
      <c r="AB5559"/>
    </row>
    <row r="5560" spans="1:28" s="37" customFormat="1" ht="16" x14ac:dyDescent="0.2">
      <c r="A5560" s="70"/>
      <c r="B5560" s="118"/>
      <c r="C5560" s="121"/>
      <c r="D5560" s="121"/>
      <c r="E5560" s="121"/>
      <c r="F5560" s="121"/>
      <c r="G5560" s="121"/>
      <c r="H5560" s="93"/>
      <c r="I5560" s="85"/>
      <c r="J5560" s="122"/>
      <c r="K5560" s="150"/>
      <c r="L5560" s="69"/>
      <c r="M5560" s="50"/>
      <c r="N5560" s="48"/>
      <c r="Q5560" s="3"/>
      <c r="R5560" s="3"/>
      <c r="S5560" s="3"/>
      <c r="T5560" s="3"/>
      <c r="U5560" s="3"/>
      <c r="V5560" s="3"/>
      <c r="W5560" s="3"/>
      <c r="X5560" s="3"/>
      <c r="Y5560" s="3"/>
      <c r="Z5560" s="4"/>
      <c r="AA5560"/>
      <c r="AB5560"/>
    </row>
    <row r="5561" spans="1:28" s="37" customFormat="1" x14ac:dyDescent="0.15">
      <c r="A5561" s="70"/>
      <c r="B5561" s="118"/>
      <c r="C5561" s="121"/>
      <c r="D5561" s="121"/>
      <c r="E5561" s="121"/>
      <c r="F5561" s="121"/>
      <c r="G5561" s="121"/>
      <c r="H5561" s="93"/>
      <c r="I5561" s="85"/>
      <c r="J5561" s="122"/>
      <c r="K5561" s="150"/>
      <c r="L5561" s="69"/>
      <c r="M5561" s="50"/>
      <c r="Q5561" s="3"/>
      <c r="R5561" s="3"/>
      <c r="S5561" s="3"/>
      <c r="T5561" s="3"/>
      <c r="U5561" s="3"/>
      <c r="V5561" s="3"/>
      <c r="W5561" s="3"/>
      <c r="X5561" s="3"/>
      <c r="Y5561" s="3"/>
      <c r="Z5561" s="4"/>
      <c r="AA5561"/>
      <c r="AB5561"/>
    </row>
    <row r="5562" spans="1:28" s="37" customFormat="1" x14ac:dyDescent="0.15">
      <c r="A5562" s="70"/>
      <c r="B5562" s="118"/>
      <c r="C5562" s="121"/>
      <c r="D5562" s="121"/>
      <c r="E5562" s="121"/>
      <c r="F5562" s="121"/>
      <c r="G5562" s="121"/>
      <c r="H5562" s="93"/>
      <c r="I5562" s="85"/>
      <c r="J5562" s="122"/>
      <c r="K5562" s="150"/>
      <c r="L5562" s="69"/>
      <c r="M5562" s="50"/>
      <c r="Q5562" s="3"/>
      <c r="R5562" s="3"/>
      <c r="S5562" s="3"/>
      <c r="T5562" s="3"/>
      <c r="U5562" s="3"/>
      <c r="V5562" s="3"/>
      <c r="W5562" s="3"/>
      <c r="X5562" s="3"/>
      <c r="Y5562" s="3"/>
      <c r="Z5562" s="4"/>
      <c r="AA5562"/>
      <c r="AB5562"/>
    </row>
    <row r="5563" spans="1:28" s="37" customFormat="1" x14ac:dyDescent="0.15">
      <c r="A5563" s="70"/>
      <c r="B5563" s="118"/>
      <c r="C5563" s="121"/>
      <c r="D5563" s="121"/>
      <c r="E5563" s="121"/>
      <c r="F5563" s="121"/>
      <c r="G5563" s="121"/>
      <c r="H5563" s="93"/>
      <c r="I5563" s="85"/>
      <c r="J5563" s="122"/>
      <c r="K5563" s="150"/>
      <c r="L5563" s="69"/>
      <c r="M5563" s="50"/>
      <c r="Q5563" s="3"/>
      <c r="R5563" s="3"/>
      <c r="S5563" s="3"/>
      <c r="T5563" s="3"/>
      <c r="U5563" s="3"/>
      <c r="V5563" s="3"/>
      <c r="W5563" s="3"/>
      <c r="X5563" s="3"/>
      <c r="Y5563" s="3"/>
      <c r="Z5563" s="4"/>
      <c r="AA5563"/>
      <c r="AB5563"/>
    </row>
    <row r="5564" spans="1:28" s="37" customFormat="1" x14ac:dyDescent="0.15">
      <c r="A5564" s="73"/>
      <c r="B5564" s="118"/>
      <c r="C5564" s="121"/>
      <c r="D5564" s="121"/>
      <c r="E5564" s="121"/>
      <c r="F5564" s="121"/>
      <c r="G5564" s="121"/>
      <c r="H5564" s="93"/>
      <c r="I5564" s="85"/>
      <c r="J5564" s="122"/>
      <c r="K5564" s="150"/>
      <c r="L5564" s="69"/>
      <c r="M5564" s="50"/>
      <c r="Q5564" s="3"/>
      <c r="R5564" s="3"/>
      <c r="S5564" s="3"/>
      <c r="T5564" s="3"/>
      <c r="U5564" s="3"/>
      <c r="V5564" s="3"/>
      <c r="W5564" s="3"/>
      <c r="X5564" s="3"/>
      <c r="Y5564" s="3"/>
      <c r="Z5564" s="4"/>
      <c r="AA5564"/>
      <c r="AB5564"/>
    </row>
    <row r="5565" spans="1:28" s="37" customFormat="1" x14ac:dyDescent="0.15">
      <c r="A5565" s="70"/>
      <c r="B5565" s="118"/>
      <c r="C5565" s="121"/>
      <c r="D5565" s="121"/>
      <c r="E5565" s="121"/>
      <c r="F5565" s="121"/>
      <c r="G5565" s="121"/>
      <c r="H5565" s="93"/>
      <c r="I5565" s="85"/>
      <c r="J5565" s="122"/>
      <c r="K5565" s="150"/>
      <c r="L5565" s="69"/>
      <c r="M5565" s="50"/>
      <c r="Q5565" s="3"/>
      <c r="R5565" s="3"/>
      <c r="S5565" s="3"/>
      <c r="T5565" s="3"/>
      <c r="U5565" s="3"/>
      <c r="V5565" s="3"/>
      <c r="W5565" s="3"/>
      <c r="X5565" s="3"/>
      <c r="Y5565" s="3"/>
      <c r="Z5565" s="4"/>
      <c r="AA5565"/>
      <c r="AB5565"/>
    </row>
    <row r="5566" spans="1:28" s="37" customFormat="1" x14ac:dyDescent="0.15">
      <c r="A5566" s="70"/>
      <c r="B5566" s="118"/>
      <c r="C5566" s="121"/>
      <c r="D5566" s="121"/>
      <c r="E5566" s="121"/>
      <c r="F5566" s="121"/>
      <c r="G5566" s="121"/>
      <c r="H5566" s="93"/>
      <c r="I5566" s="85"/>
      <c r="J5566" s="122"/>
      <c r="K5566" s="150"/>
      <c r="L5566" s="69"/>
      <c r="M5566" s="50"/>
      <c r="Q5566" s="3"/>
      <c r="R5566" s="3"/>
      <c r="S5566" s="3"/>
      <c r="T5566" s="3"/>
      <c r="U5566" s="3"/>
      <c r="V5566" s="3"/>
      <c r="W5566" s="3"/>
      <c r="X5566" s="3"/>
      <c r="Y5566" s="3"/>
      <c r="Z5566" s="4"/>
      <c r="AA5566"/>
      <c r="AB5566"/>
    </row>
    <row r="5567" spans="1:28" s="37" customFormat="1" x14ac:dyDescent="0.15">
      <c r="A5567" s="70"/>
      <c r="B5567" s="118"/>
      <c r="C5567" s="121"/>
      <c r="D5567" s="121"/>
      <c r="E5567" s="121"/>
      <c r="F5567" s="121"/>
      <c r="G5567" s="121"/>
      <c r="H5567" s="93"/>
      <c r="I5567" s="85"/>
      <c r="J5567" s="122"/>
      <c r="K5567" s="150"/>
      <c r="L5567" s="69"/>
      <c r="M5567" s="50"/>
      <c r="Q5567" s="3"/>
      <c r="R5567" s="3"/>
      <c r="S5567" s="3"/>
      <c r="T5567" s="3"/>
      <c r="U5567" s="3"/>
      <c r="V5567" s="3"/>
      <c r="W5567" s="3"/>
      <c r="X5567" s="3"/>
      <c r="Y5567" s="3"/>
      <c r="Z5567" s="4"/>
      <c r="AA5567"/>
      <c r="AB5567"/>
    </row>
    <row r="5568" spans="1:28" s="37" customFormat="1" x14ac:dyDescent="0.15">
      <c r="A5568" s="70"/>
      <c r="B5568" s="118"/>
      <c r="C5568" s="121"/>
      <c r="D5568" s="121"/>
      <c r="E5568" s="121"/>
      <c r="F5568" s="121"/>
      <c r="G5568" s="121"/>
      <c r="H5568" s="93"/>
      <c r="I5568" s="85"/>
      <c r="J5568" s="122"/>
      <c r="K5568" s="150"/>
      <c r="L5568" s="69"/>
      <c r="M5568" s="50"/>
      <c r="Q5568" s="3"/>
      <c r="R5568" s="3"/>
      <c r="S5568" s="3"/>
      <c r="T5568" s="3"/>
      <c r="U5568" s="3"/>
      <c r="V5568" s="3"/>
      <c r="W5568" s="3"/>
      <c r="X5568" s="3"/>
      <c r="Y5568" s="3"/>
      <c r="Z5568" s="4"/>
      <c r="AA5568"/>
      <c r="AB5568"/>
    </row>
    <row r="5569" spans="1:28" s="37" customFormat="1" x14ac:dyDescent="0.15">
      <c r="A5569" s="70"/>
      <c r="B5569" s="118"/>
      <c r="C5569" s="121"/>
      <c r="D5569" s="121"/>
      <c r="E5569" s="121"/>
      <c r="F5569" s="121"/>
      <c r="G5569" s="121"/>
      <c r="H5569" s="93"/>
      <c r="I5569" s="85"/>
      <c r="J5569" s="122"/>
      <c r="K5569" s="150"/>
      <c r="L5569" s="69"/>
      <c r="M5569" s="50"/>
      <c r="Q5569" s="3"/>
      <c r="R5569" s="3"/>
      <c r="S5569" s="3"/>
      <c r="T5569" s="3"/>
      <c r="U5569" s="3"/>
      <c r="V5569" s="3"/>
      <c r="W5569" s="3"/>
      <c r="X5569" s="3"/>
      <c r="Y5569" s="3"/>
      <c r="Z5569" s="4"/>
      <c r="AA5569"/>
      <c r="AB5569"/>
    </row>
    <row r="5570" spans="1:28" s="37" customFormat="1" x14ac:dyDescent="0.15">
      <c r="A5570" s="70"/>
      <c r="B5570" s="118"/>
      <c r="C5570" s="121"/>
      <c r="D5570" s="121"/>
      <c r="E5570" s="121"/>
      <c r="F5570" s="121"/>
      <c r="G5570" s="121"/>
      <c r="H5570" s="93"/>
      <c r="I5570" s="85"/>
      <c r="J5570" s="122"/>
      <c r="K5570" s="150"/>
      <c r="L5570" s="69"/>
      <c r="M5570" s="50"/>
      <c r="Q5570" s="3"/>
      <c r="R5570" s="3"/>
      <c r="S5570" s="3"/>
      <c r="T5570" s="3"/>
      <c r="U5570" s="3"/>
      <c r="V5570" s="3"/>
      <c r="W5570" s="3"/>
      <c r="X5570" s="3"/>
      <c r="Y5570" s="3"/>
      <c r="Z5570" s="4"/>
      <c r="AA5570"/>
      <c r="AB5570"/>
    </row>
    <row r="5571" spans="1:28" s="37" customFormat="1" x14ac:dyDescent="0.15">
      <c r="A5571" s="70"/>
      <c r="B5571" s="118"/>
      <c r="C5571" s="121"/>
      <c r="D5571" s="121"/>
      <c r="E5571" s="121"/>
      <c r="F5571" s="121"/>
      <c r="G5571" s="121"/>
      <c r="H5571" s="93"/>
      <c r="I5571" s="85"/>
      <c r="J5571" s="122"/>
      <c r="K5571" s="150"/>
      <c r="L5571" s="69"/>
      <c r="M5571" s="50"/>
      <c r="Q5571" s="3"/>
      <c r="R5571" s="3"/>
      <c r="S5571" s="3"/>
      <c r="T5571" s="3"/>
      <c r="U5571" s="3"/>
      <c r="V5571" s="3"/>
      <c r="W5571" s="3"/>
      <c r="X5571" s="3"/>
      <c r="Y5571" s="3"/>
      <c r="Z5571" s="4"/>
      <c r="AA5571"/>
      <c r="AB5571"/>
    </row>
    <row r="5572" spans="1:28" s="37" customFormat="1" x14ac:dyDescent="0.15">
      <c r="A5572" s="70"/>
      <c r="B5572" s="118"/>
      <c r="C5572" s="121"/>
      <c r="D5572" s="121"/>
      <c r="E5572" s="121"/>
      <c r="F5572" s="121"/>
      <c r="G5572" s="121"/>
      <c r="H5572" s="93"/>
      <c r="I5572" s="85"/>
      <c r="J5572" s="122"/>
      <c r="K5572" s="150"/>
      <c r="L5572" s="69"/>
      <c r="M5572" s="50"/>
      <c r="Q5572" s="3"/>
      <c r="R5572" s="3"/>
      <c r="S5572" s="3"/>
      <c r="T5572" s="3"/>
      <c r="U5572" s="3"/>
      <c r="V5572" s="3"/>
      <c r="W5572" s="3"/>
      <c r="X5572" s="3"/>
      <c r="Y5572" s="3"/>
      <c r="Z5572" s="4"/>
      <c r="AA5572"/>
      <c r="AB5572"/>
    </row>
    <row r="5573" spans="1:28" s="37" customFormat="1" x14ac:dyDescent="0.15">
      <c r="A5573" s="73"/>
      <c r="B5573" s="118"/>
      <c r="C5573" s="121"/>
      <c r="D5573" s="121"/>
      <c r="E5573" s="121"/>
      <c r="F5573" s="121"/>
      <c r="G5573" s="121"/>
      <c r="H5573" s="93"/>
      <c r="I5573" s="85"/>
      <c r="J5573" s="122"/>
      <c r="K5573" s="150"/>
      <c r="L5573" s="69"/>
      <c r="M5573" s="50"/>
      <c r="Q5573" s="3"/>
      <c r="R5573" s="3"/>
      <c r="S5573" s="3"/>
      <c r="T5573" s="3"/>
      <c r="U5573" s="3"/>
      <c r="V5573" s="3"/>
      <c r="W5573" s="3"/>
      <c r="X5573" s="3"/>
      <c r="Y5573" s="3"/>
      <c r="Z5573" s="4"/>
      <c r="AA5573"/>
      <c r="AB5573"/>
    </row>
    <row r="5574" spans="1:28" s="37" customFormat="1" x14ac:dyDescent="0.15">
      <c r="A5574" s="70"/>
      <c r="B5574" s="118"/>
      <c r="C5574" s="121"/>
      <c r="D5574" s="121"/>
      <c r="E5574" s="121"/>
      <c r="F5574" s="121"/>
      <c r="G5574" s="121"/>
      <c r="H5574" s="93"/>
      <c r="I5574" s="85"/>
      <c r="J5574" s="122"/>
      <c r="K5574" s="150"/>
      <c r="L5574" s="69"/>
      <c r="M5574" s="50"/>
      <c r="Q5574" s="3"/>
      <c r="R5574" s="3"/>
      <c r="S5574" s="3"/>
      <c r="T5574" s="3"/>
      <c r="U5574" s="3"/>
      <c r="V5574" s="3"/>
      <c r="W5574" s="3"/>
      <c r="X5574" s="3"/>
      <c r="Y5574" s="3"/>
      <c r="Z5574" s="4"/>
      <c r="AA5574"/>
      <c r="AB5574"/>
    </row>
    <row r="5575" spans="1:28" s="37" customFormat="1" x14ac:dyDescent="0.15">
      <c r="A5575" s="70"/>
      <c r="B5575" s="118"/>
      <c r="C5575" s="121"/>
      <c r="D5575" s="121"/>
      <c r="E5575" s="121"/>
      <c r="F5575" s="121"/>
      <c r="G5575" s="121"/>
      <c r="H5575" s="93"/>
      <c r="I5575" s="85"/>
      <c r="J5575" s="122"/>
      <c r="K5575" s="150"/>
      <c r="L5575" s="69"/>
      <c r="M5575" s="50"/>
      <c r="Q5575" s="3"/>
      <c r="R5575" s="3"/>
      <c r="S5575" s="3"/>
      <c r="T5575" s="3"/>
      <c r="U5575" s="3"/>
      <c r="V5575" s="3"/>
      <c r="W5575" s="3"/>
      <c r="X5575" s="3"/>
      <c r="Y5575" s="3"/>
      <c r="Z5575" s="4"/>
      <c r="AA5575"/>
      <c r="AB5575"/>
    </row>
    <row r="5576" spans="1:28" s="37" customFormat="1" x14ac:dyDescent="0.15">
      <c r="A5576" s="73"/>
      <c r="B5576" s="118"/>
      <c r="C5576" s="121"/>
      <c r="D5576" s="121"/>
      <c r="E5576" s="121"/>
      <c r="F5576" s="121"/>
      <c r="G5576" s="121"/>
      <c r="H5576" s="93"/>
      <c r="I5576" s="85"/>
      <c r="J5576" s="122"/>
      <c r="K5576" s="150"/>
      <c r="L5576" s="69"/>
      <c r="M5576" s="50"/>
      <c r="O5576" s="51"/>
      <c r="Q5576" s="3"/>
      <c r="R5576" s="3"/>
      <c r="S5576" s="3"/>
      <c r="T5576" s="3"/>
      <c r="U5576" s="3"/>
      <c r="V5576" s="3"/>
      <c r="W5576" s="3"/>
      <c r="X5576" s="3"/>
      <c r="Y5576" s="3"/>
      <c r="Z5576" s="4"/>
      <c r="AA5576"/>
      <c r="AB5576"/>
    </row>
    <row r="5577" spans="1:28" s="37" customFormat="1" x14ac:dyDescent="0.15">
      <c r="A5577" s="70"/>
      <c r="B5577" s="118"/>
      <c r="C5577" s="121"/>
      <c r="D5577" s="121"/>
      <c r="E5577" s="121"/>
      <c r="F5577" s="121"/>
      <c r="G5577" s="121"/>
      <c r="H5577" s="93"/>
      <c r="I5577" s="85"/>
      <c r="J5577" s="122"/>
      <c r="K5577" s="150"/>
      <c r="L5577" s="69"/>
      <c r="M5577" s="50"/>
      <c r="O5577" s="51"/>
      <c r="Q5577" s="3"/>
      <c r="R5577" s="3"/>
      <c r="S5577" s="3"/>
      <c r="T5577" s="3"/>
      <c r="U5577" s="3"/>
      <c r="V5577" s="3"/>
      <c r="W5577" s="3"/>
      <c r="X5577" s="3"/>
      <c r="Y5577" s="3"/>
      <c r="Z5577" s="4"/>
      <c r="AA5577"/>
      <c r="AB5577"/>
    </row>
    <row r="5578" spans="1:28" s="37" customFormat="1" x14ac:dyDescent="0.15">
      <c r="A5578" s="70"/>
      <c r="B5578" s="118"/>
      <c r="C5578" s="121"/>
      <c r="D5578" s="121"/>
      <c r="E5578" s="121"/>
      <c r="F5578" s="121"/>
      <c r="G5578" s="121"/>
      <c r="H5578" s="93"/>
      <c r="I5578" s="85"/>
      <c r="J5578" s="122"/>
      <c r="K5578" s="150"/>
      <c r="L5578" s="69"/>
      <c r="M5578" s="50"/>
      <c r="O5578" s="51"/>
      <c r="Q5578" s="3"/>
      <c r="R5578" s="3"/>
      <c r="S5578" s="3"/>
      <c r="T5578" s="3"/>
      <c r="U5578" s="3"/>
      <c r="V5578" s="3"/>
      <c r="W5578" s="3"/>
      <c r="X5578" s="3"/>
      <c r="Y5578" s="3"/>
      <c r="Z5578" s="4"/>
      <c r="AA5578"/>
      <c r="AB5578"/>
    </row>
    <row r="5579" spans="1:28" s="37" customFormat="1" x14ac:dyDescent="0.15">
      <c r="A5579" s="70"/>
      <c r="B5579" s="118"/>
      <c r="C5579" s="121"/>
      <c r="D5579" s="121"/>
      <c r="E5579" s="121"/>
      <c r="F5579" s="121"/>
      <c r="G5579" s="121"/>
      <c r="H5579" s="93"/>
      <c r="I5579" s="85"/>
      <c r="J5579" s="122"/>
      <c r="K5579" s="150"/>
      <c r="L5579" s="69"/>
      <c r="M5579" s="50"/>
      <c r="O5579" s="51"/>
      <c r="Q5579" s="3"/>
      <c r="R5579" s="3"/>
      <c r="S5579" s="3"/>
      <c r="T5579" s="3"/>
      <c r="U5579" s="3"/>
      <c r="V5579" s="3"/>
      <c r="W5579" s="3"/>
      <c r="X5579" s="3"/>
      <c r="Y5579" s="3"/>
      <c r="Z5579" s="4"/>
      <c r="AA5579"/>
      <c r="AB5579"/>
    </row>
    <row r="5580" spans="1:28" s="37" customFormat="1" x14ac:dyDescent="0.15">
      <c r="A5580" s="70"/>
      <c r="B5580" s="118"/>
      <c r="C5580" s="121"/>
      <c r="D5580" s="121"/>
      <c r="E5580" s="121"/>
      <c r="F5580" s="121"/>
      <c r="G5580" s="121"/>
      <c r="H5580" s="93"/>
      <c r="I5580" s="85"/>
      <c r="J5580" s="122"/>
      <c r="K5580" s="150"/>
      <c r="L5580" s="69"/>
      <c r="M5580" s="50"/>
      <c r="O5580" s="51"/>
      <c r="Q5580" s="3"/>
      <c r="R5580" s="3"/>
      <c r="S5580" s="3"/>
      <c r="T5580" s="3"/>
      <c r="U5580" s="3"/>
      <c r="V5580" s="3"/>
      <c r="W5580" s="3"/>
      <c r="X5580" s="3"/>
      <c r="Y5580" s="3"/>
      <c r="Z5580" s="4"/>
      <c r="AA5580"/>
      <c r="AB5580"/>
    </row>
    <row r="5581" spans="1:28" s="37" customFormat="1" x14ac:dyDescent="0.15">
      <c r="A5581" s="70"/>
      <c r="B5581" s="118"/>
      <c r="C5581" s="121"/>
      <c r="D5581" s="121"/>
      <c r="E5581" s="121"/>
      <c r="F5581" s="121"/>
      <c r="G5581" s="121"/>
      <c r="H5581" s="93"/>
      <c r="I5581" s="85"/>
      <c r="J5581" s="122"/>
      <c r="K5581" s="150"/>
      <c r="L5581" s="69"/>
      <c r="M5581" s="50"/>
      <c r="O5581" s="51"/>
      <c r="Q5581" s="3"/>
      <c r="R5581" s="3"/>
      <c r="S5581" s="3"/>
      <c r="T5581" s="3"/>
      <c r="U5581" s="3"/>
      <c r="V5581" s="3"/>
      <c r="W5581" s="3"/>
      <c r="X5581" s="3"/>
      <c r="Y5581" s="3"/>
      <c r="Z5581" s="4"/>
      <c r="AA5581"/>
      <c r="AB5581"/>
    </row>
    <row r="5582" spans="1:28" s="37" customFormat="1" x14ac:dyDescent="0.15">
      <c r="A5582" s="70"/>
      <c r="B5582" s="118"/>
      <c r="C5582" s="121"/>
      <c r="D5582" s="121"/>
      <c r="E5582" s="121"/>
      <c r="F5582" s="121"/>
      <c r="G5582" s="121"/>
      <c r="H5582" s="93"/>
      <c r="I5582" s="85"/>
      <c r="J5582" s="122"/>
      <c r="K5582" s="150"/>
      <c r="L5582" s="69"/>
      <c r="M5582" s="50"/>
      <c r="O5582" s="51"/>
      <c r="Q5582" s="3"/>
      <c r="R5582" s="3"/>
      <c r="S5582" s="3"/>
      <c r="T5582" s="3"/>
      <c r="U5582" s="3"/>
      <c r="V5582" s="3"/>
      <c r="W5582" s="3"/>
      <c r="X5582" s="3"/>
      <c r="Y5582" s="3"/>
      <c r="Z5582" s="4"/>
      <c r="AA5582"/>
      <c r="AB5582"/>
    </row>
    <row r="5583" spans="1:28" s="37" customFormat="1" x14ac:dyDescent="0.15">
      <c r="A5583" s="73"/>
      <c r="B5583" s="118"/>
      <c r="C5583" s="121"/>
      <c r="D5583" s="121"/>
      <c r="E5583" s="121"/>
      <c r="F5583" s="121"/>
      <c r="G5583" s="121"/>
      <c r="H5583" s="93"/>
      <c r="I5583" s="85"/>
      <c r="J5583" s="122"/>
      <c r="K5583" s="150"/>
      <c r="L5583" s="69"/>
      <c r="M5583" s="50"/>
      <c r="O5583" s="51"/>
      <c r="Q5583" s="3"/>
      <c r="R5583" s="3"/>
      <c r="S5583" s="3"/>
      <c r="T5583" s="3"/>
      <c r="U5583" s="3"/>
      <c r="V5583" s="3"/>
      <c r="W5583" s="3"/>
      <c r="X5583" s="3"/>
      <c r="Y5583" s="3"/>
      <c r="Z5583" s="4"/>
      <c r="AA5583"/>
      <c r="AB5583"/>
    </row>
    <row r="5584" spans="1:28" s="37" customFormat="1" x14ac:dyDescent="0.15">
      <c r="A5584" s="70"/>
      <c r="B5584" s="118"/>
      <c r="C5584" s="121"/>
      <c r="D5584" s="121"/>
      <c r="E5584" s="121"/>
      <c r="F5584" s="121"/>
      <c r="G5584" s="121"/>
      <c r="H5584" s="93"/>
      <c r="I5584" s="85"/>
      <c r="J5584" s="122"/>
      <c r="K5584" s="150"/>
      <c r="L5584" s="69"/>
      <c r="M5584" s="50"/>
      <c r="Q5584" s="3"/>
      <c r="R5584" s="3"/>
      <c r="S5584" s="3"/>
      <c r="T5584" s="3"/>
      <c r="U5584" s="3"/>
      <c r="V5584" s="3"/>
      <c r="W5584" s="3"/>
      <c r="X5584" s="3"/>
      <c r="Y5584" s="3"/>
      <c r="Z5584" s="4"/>
      <c r="AA5584"/>
      <c r="AB5584"/>
    </row>
    <row r="5585" spans="1:28" s="37" customFormat="1" x14ac:dyDescent="0.15">
      <c r="A5585" s="70"/>
      <c r="B5585" s="118"/>
      <c r="C5585" s="121"/>
      <c r="D5585" s="121"/>
      <c r="E5585" s="121"/>
      <c r="F5585" s="121"/>
      <c r="G5585" s="121"/>
      <c r="H5585" s="93"/>
      <c r="I5585" s="85"/>
      <c r="J5585" s="122"/>
      <c r="K5585" s="150"/>
      <c r="L5585" s="60"/>
      <c r="M5585" s="50"/>
      <c r="Q5585" s="3"/>
      <c r="R5585" s="3"/>
      <c r="S5585" s="3"/>
      <c r="T5585" s="3"/>
      <c r="U5585" s="3"/>
      <c r="V5585" s="3"/>
      <c r="W5585" s="3"/>
      <c r="X5585" s="3"/>
      <c r="Y5585" s="3"/>
      <c r="Z5585" s="4"/>
      <c r="AA5585"/>
      <c r="AB5585"/>
    </row>
    <row r="5586" spans="1:28" s="37" customFormat="1" x14ac:dyDescent="0.15">
      <c r="A5586" s="70"/>
      <c r="B5586" s="118"/>
      <c r="C5586" s="121"/>
      <c r="D5586" s="121"/>
      <c r="E5586" s="121"/>
      <c r="F5586" s="121"/>
      <c r="G5586" s="121"/>
      <c r="H5586" s="93"/>
      <c r="I5586" s="85"/>
      <c r="J5586" s="122"/>
      <c r="K5586" s="150"/>
      <c r="L5586" s="69"/>
      <c r="M5586" s="50"/>
      <c r="Q5586" s="3"/>
      <c r="R5586" s="3"/>
      <c r="S5586" s="3"/>
      <c r="T5586" s="3"/>
      <c r="U5586" s="3"/>
      <c r="V5586" s="3"/>
      <c r="W5586" s="3"/>
      <c r="X5586" s="3"/>
      <c r="Y5586" s="3"/>
      <c r="Z5586" s="4"/>
      <c r="AA5586"/>
      <c r="AB5586"/>
    </row>
    <row r="5587" spans="1:28" s="37" customFormat="1" x14ac:dyDescent="0.15">
      <c r="A5587" s="70"/>
      <c r="B5587" s="118"/>
      <c r="C5587" s="121"/>
      <c r="D5587" s="121"/>
      <c r="E5587" s="121"/>
      <c r="F5587" s="121"/>
      <c r="G5587" s="121"/>
      <c r="H5587" s="93"/>
      <c r="I5587" s="85"/>
      <c r="J5587" s="122"/>
      <c r="K5587" s="150"/>
      <c r="L5587" s="69"/>
      <c r="M5587" s="50"/>
      <c r="Q5587" s="3"/>
      <c r="R5587" s="3"/>
      <c r="S5587" s="3"/>
      <c r="T5587" s="3"/>
      <c r="U5587" s="3"/>
      <c r="V5587" s="3"/>
      <c r="W5587" s="3"/>
      <c r="X5587" s="3"/>
      <c r="Y5587" s="3"/>
      <c r="Z5587" s="4"/>
      <c r="AA5587"/>
      <c r="AB5587"/>
    </row>
    <row r="5588" spans="1:28" s="37" customFormat="1" x14ac:dyDescent="0.15">
      <c r="A5588" s="70"/>
      <c r="B5588" s="118"/>
      <c r="C5588" s="121"/>
      <c r="D5588" s="121"/>
      <c r="E5588" s="121"/>
      <c r="F5588" s="121"/>
      <c r="G5588" s="121"/>
      <c r="H5588" s="93"/>
      <c r="I5588" s="85"/>
      <c r="J5588" s="122"/>
      <c r="K5588" s="150"/>
      <c r="L5588" s="69"/>
      <c r="M5588" s="50"/>
      <c r="O5588" s="51"/>
      <c r="Q5588" s="3"/>
      <c r="R5588" s="3"/>
      <c r="S5588" s="3"/>
      <c r="T5588" s="3"/>
      <c r="U5588" s="3"/>
      <c r="V5588" s="3"/>
      <c r="W5588" s="3"/>
      <c r="X5588" s="3"/>
      <c r="Y5588" s="3"/>
      <c r="Z5588" s="4"/>
      <c r="AA5588"/>
      <c r="AB5588"/>
    </row>
    <row r="5589" spans="1:28" s="37" customFormat="1" x14ac:dyDescent="0.15">
      <c r="A5589" s="70"/>
      <c r="B5589" s="118"/>
      <c r="C5589" s="121"/>
      <c r="D5589" s="121"/>
      <c r="E5589" s="121"/>
      <c r="F5589" s="121"/>
      <c r="G5589" s="121"/>
      <c r="H5589" s="93"/>
      <c r="I5589" s="85"/>
      <c r="J5589" s="122"/>
      <c r="K5589" s="150"/>
      <c r="L5589" s="69"/>
      <c r="M5589" s="50"/>
      <c r="Q5589" s="3"/>
      <c r="R5589" s="3"/>
      <c r="S5589" s="3"/>
      <c r="T5589" s="3"/>
      <c r="U5589" s="3"/>
      <c r="V5589" s="3"/>
      <c r="W5589" s="3"/>
      <c r="X5589" s="3"/>
      <c r="Y5589" s="3"/>
      <c r="Z5589" s="4"/>
      <c r="AA5589"/>
      <c r="AB5589"/>
    </row>
    <row r="5590" spans="1:28" s="37" customFormat="1" x14ac:dyDescent="0.15">
      <c r="A5590" s="70"/>
      <c r="B5590" s="118"/>
      <c r="C5590" s="121"/>
      <c r="D5590" s="121"/>
      <c r="E5590" s="121"/>
      <c r="F5590" s="121"/>
      <c r="G5590" s="121"/>
      <c r="H5590" s="93"/>
      <c r="I5590" s="85"/>
      <c r="J5590" s="122"/>
      <c r="K5590" s="150"/>
      <c r="L5590" s="69"/>
      <c r="M5590" s="50"/>
      <c r="Q5590" s="3"/>
      <c r="R5590" s="3"/>
      <c r="S5590" s="3"/>
      <c r="T5590" s="3"/>
      <c r="U5590" s="3"/>
      <c r="V5590" s="3"/>
      <c r="W5590" s="3"/>
      <c r="X5590" s="3"/>
      <c r="Y5590" s="3"/>
      <c r="Z5590" s="4"/>
      <c r="AA5590"/>
      <c r="AB5590"/>
    </row>
    <row r="5591" spans="1:28" s="37" customFormat="1" x14ac:dyDescent="0.15">
      <c r="A5591" s="70"/>
      <c r="B5591" s="118"/>
      <c r="C5591" s="121"/>
      <c r="D5591" s="121"/>
      <c r="E5591" s="121"/>
      <c r="F5591" s="121"/>
      <c r="G5591" s="121"/>
      <c r="H5591" s="93"/>
      <c r="I5591" s="85"/>
      <c r="J5591" s="122"/>
      <c r="K5591" s="150"/>
      <c r="L5591" s="60"/>
      <c r="M5591" s="50"/>
      <c r="Q5591" s="3"/>
      <c r="R5591" s="3"/>
      <c r="S5591" s="3"/>
      <c r="T5591" s="3"/>
      <c r="U5591" s="3"/>
      <c r="V5591" s="3"/>
      <c r="W5591" s="3"/>
      <c r="X5591" s="3"/>
      <c r="Y5591" s="3"/>
      <c r="Z5591" s="4"/>
      <c r="AA5591"/>
      <c r="AB5591"/>
    </row>
    <row r="5592" spans="1:28" s="37" customFormat="1" x14ac:dyDescent="0.15">
      <c r="A5592" s="70"/>
      <c r="B5592" s="118"/>
      <c r="C5592" s="121"/>
      <c r="D5592" s="121"/>
      <c r="E5592" s="121"/>
      <c r="F5592" s="121"/>
      <c r="G5592" s="121"/>
      <c r="H5592" s="93"/>
      <c r="I5592" s="85"/>
      <c r="J5592" s="122"/>
      <c r="K5592" s="150"/>
      <c r="L5592" s="60"/>
      <c r="M5592" s="50"/>
      <c r="O5592" s="51"/>
      <c r="Q5592" s="3"/>
      <c r="R5592" s="3"/>
      <c r="S5592" s="3"/>
      <c r="T5592" s="3"/>
      <c r="U5592" s="3"/>
      <c r="V5592" s="3"/>
      <c r="W5592" s="3"/>
      <c r="X5592" s="3"/>
      <c r="Y5592" s="3"/>
      <c r="Z5592" s="4"/>
      <c r="AA5592"/>
      <c r="AB5592"/>
    </row>
    <row r="5593" spans="1:28" s="37" customFormat="1" x14ac:dyDescent="0.15">
      <c r="A5593" s="73"/>
      <c r="B5593" s="118"/>
      <c r="C5593" s="121"/>
      <c r="D5593" s="121"/>
      <c r="E5593" s="121"/>
      <c r="F5593" s="121"/>
      <c r="G5593" s="121"/>
      <c r="H5593" s="93"/>
      <c r="I5593" s="85"/>
      <c r="J5593" s="122"/>
      <c r="K5593" s="150"/>
      <c r="L5593" s="60"/>
      <c r="M5593" s="49"/>
      <c r="O5593" s="51"/>
      <c r="Q5593" s="3"/>
      <c r="R5593" s="3"/>
      <c r="S5593" s="3"/>
      <c r="T5593" s="3"/>
      <c r="U5593" s="3"/>
      <c r="V5593" s="3"/>
      <c r="W5593" s="3"/>
      <c r="X5593" s="3"/>
      <c r="Y5593" s="3"/>
      <c r="Z5593" s="4"/>
      <c r="AA5593"/>
      <c r="AB5593"/>
    </row>
    <row r="5594" spans="1:28" s="37" customFormat="1" x14ac:dyDescent="0.15">
      <c r="A5594" s="70"/>
      <c r="B5594" s="118"/>
      <c r="C5594" s="121"/>
      <c r="D5594" s="121"/>
      <c r="E5594" s="121"/>
      <c r="F5594" s="121"/>
      <c r="G5594" s="121"/>
      <c r="H5594" s="93"/>
      <c r="I5594" s="85"/>
      <c r="J5594" s="122"/>
      <c r="K5594" s="150"/>
      <c r="L5594" s="60"/>
      <c r="M5594" s="49"/>
      <c r="Q5594" s="3"/>
      <c r="R5594" s="3"/>
      <c r="S5594" s="3"/>
      <c r="T5594" s="3"/>
      <c r="U5594" s="3"/>
      <c r="V5594" s="3"/>
      <c r="W5594" s="3"/>
      <c r="X5594" s="3"/>
      <c r="Y5594" s="3"/>
      <c r="Z5594" s="4"/>
      <c r="AA5594"/>
      <c r="AB5594"/>
    </row>
    <row r="5595" spans="1:28" s="37" customFormat="1" x14ac:dyDescent="0.15">
      <c r="A5595" s="73"/>
      <c r="B5595" s="118"/>
      <c r="C5595" s="121"/>
      <c r="D5595" s="121"/>
      <c r="E5595" s="121"/>
      <c r="F5595" s="121"/>
      <c r="G5595" s="121"/>
      <c r="H5595" s="93"/>
      <c r="I5595" s="85"/>
      <c r="J5595" s="122"/>
      <c r="K5595" s="150"/>
      <c r="L5595" s="60"/>
      <c r="M5595" s="49"/>
      <c r="Q5595" s="3"/>
      <c r="R5595" s="3"/>
      <c r="S5595" s="3"/>
      <c r="T5595" s="3"/>
      <c r="U5595" s="3"/>
      <c r="V5595" s="3"/>
      <c r="W5595" s="3"/>
      <c r="X5595" s="3"/>
      <c r="Y5595" s="3"/>
      <c r="Z5595" s="4"/>
      <c r="AA5595"/>
      <c r="AB5595"/>
    </row>
    <row r="5596" spans="1:28" s="37" customFormat="1" x14ac:dyDescent="0.15">
      <c r="A5596" s="73"/>
      <c r="B5596" s="118"/>
      <c r="C5596" s="121"/>
      <c r="D5596" s="121"/>
      <c r="E5596" s="121"/>
      <c r="F5596" s="121"/>
      <c r="G5596" s="121"/>
      <c r="H5596" s="93"/>
      <c r="I5596" s="85"/>
      <c r="J5596" s="122"/>
      <c r="K5596" s="150"/>
      <c r="L5596" s="60"/>
      <c r="M5596" s="49"/>
      <c r="Q5596" s="3"/>
      <c r="R5596" s="3"/>
      <c r="S5596" s="3"/>
      <c r="T5596" s="3"/>
      <c r="U5596" s="3"/>
      <c r="V5596" s="3"/>
      <c r="W5596" s="3"/>
      <c r="X5596" s="3"/>
      <c r="Y5596" s="3"/>
      <c r="Z5596" s="4"/>
      <c r="AA5596"/>
      <c r="AB5596"/>
    </row>
    <row r="5597" spans="1:28" s="37" customFormat="1" x14ac:dyDescent="0.15">
      <c r="A5597" s="70"/>
      <c r="B5597" s="118"/>
      <c r="C5597" s="121"/>
      <c r="D5597" s="121"/>
      <c r="E5597" s="121"/>
      <c r="F5597" s="121"/>
      <c r="G5597" s="121"/>
      <c r="H5597" s="93"/>
      <c r="I5597" s="85"/>
      <c r="J5597" s="122"/>
      <c r="K5597" s="150"/>
      <c r="L5597" s="60"/>
      <c r="M5597" s="49"/>
      <c r="Q5597" s="3"/>
      <c r="R5597" s="3"/>
      <c r="S5597" s="3"/>
      <c r="T5597" s="3"/>
      <c r="U5597" s="3"/>
      <c r="V5597" s="3"/>
      <c r="W5597" s="3"/>
      <c r="X5597" s="3"/>
      <c r="Y5597" s="3"/>
      <c r="Z5597" s="4"/>
      <c r="AA5597"/>
      <c r="AB5597"/>
    </row>
    <row r="5598" spans="1:28" s="37" customFormat="1" x14ac:dyDescent="0.15">
      <c r="A5598" s="70"/>
      <c r="B5598" s="118"/>
      <c r="C5598" s="121"/>
      <c r="D5598" s="121"/>
      <c r="E5598" s="121"/>
      <c r="F5598" s="121"/>
      <c r="G5598" s="121"/>
      <c r="H5598" s="93"/>
      <c r="I5598" s="85"/>
      <c r="J5598" s="122"/>
      <c r="K5598" s="150"/>
      <c r="L5598" s="69"/>
      <c r="M5598" s="49"/>
      <c r="Q5598" s="3"/>
      <c r="R5598" s="3"/>
      <c r="S5598" s="3"/>
      <c r="T5598" s="3"/>
      <c r="U5598" s="3"/>
      <c r="V5598" s="3"/>
      <c r="W5598" s="3"/>
      <c r="X5598" s="3"/>
      <c r="Y5598" s="3"/>
      <c r="Z5598" s="4"/>
      <c r="AA5598"/>
      <c r="AB5598"/>
    </row>
    <row r="5599" spans="1:28" s="37" customFormat="1" x14ac:dyDescent="0.15">
      <c r="A5599" s="70"/>
      <c r="B5599" s="118"/>
      <c r="C5599" s="121"/>
      <c r="D5599" s="121"/>
      <c r="E5599" s="121"/>
      <c r="F5599" s="121"/>
      <c r="G5599" s="121"/>
      <c r="H5599" s="93"/>
      <c r="I5599" s="85"/>
      <c r="J5599" s="122"/>
      <c r="K5599" s="150"/>
      <c r="L5599" s="60"/>
      <c r="M5599" s="49"/>
      <c r="Q5599" s="3"/>
      <c r="R5599" s="3"/>
      <c r="S5599" s="3"/>
      <c r="T5599" s="3"/>
      <c r="U5599" s="3"/>
      <c r="V5599" s="3"/>
      <c r="W5599" s="3"/>
      <c r="X5599" s="3"/>
      <c r="Y5599" s="3"/>
      <c r="Z5599" s="4"/>
      <c r="AA5599"/>
      <c r="AB5599"/>
    </row>
    <row r="5600" spans="1:28" s="37" customFormat="1" x14ac:dyDescent="0.15">
      <c r="A5600" s="70"/>
      <c r="B5600" s="118"/>
      <c r="C5600" s="121"/>
      <c r="D5600" s="121"/>
      <c r="E5600" s="121"/>
      <c r="F5600" s="121"/>
      <c r="G5600" s="121"/>
      <c r="H5600" s="93"/>
      <c r="I5600" s="85"/>
      <c r="J5600" s="122"/>
      <c r="K5600" s="150"/>
      <c r="L5600" s="69"/>
      <c r="M5600" s="49"/>
      <c r="Q5600" s="3"/>
      <c r="R5600" s="3"/>
      <c r="S5600" s="3"/>
      <c r="T5600" s="3"/>
      <c r="U5600" s="3"/>
      <c r="V5600" s="3"/>
      <c r="W5600" s="3"/>
      <c r="X5600" s="3"/>
      <c r="Y5600" s="3"/>
      <c r="Z5600" s="4"/>
      <c r="AA5600"/>
      <c r="AB5600"/>
    </row>
    <row r="5601" spans="1:28" s="37" customFormat="1" x14ac:dyDescent="0.15">
      <c r="A5601" s="70"/>
      <c r="B5601" s="118"/>
      <c r="C5601" s="121"/>
      <c r="D5601" s="121"/>
      <c r="E5601" s="121"/>
      <c r="F5601" s="121"/>
      <c r="G5601" s="121"/>
      <c r="H5601" s="93"/>
      <c r="I5601" s="85"/>
      <c r="J5601" s="122"/>
      <c r="K5601" s="150"/>
      <c r="L5601" s="60"/>
      <c r="M5601" s="50"/>
      <c r="Q5601" s="3"/>
      <c r="R5601" s="3"/>
      <c r="S5601" s="3"/>
      <c r="T5601" s="3"/>
      <c r="U5601" s="3"/>
      <c r="V5601" s="3"/>
      <c r="W5601" s="3"/>
      <c r="X5601" s="3"/>
      <c r="Y5601" s="3"/>
      <c r="Z5601" s="4"/>
      <c r="AA5601"/>
      <c r="AB5601"/>
    </row>
    <row r="5602" spans="1:28" s="37" customFormat="1" x14ac:dyDescent="0.15">
      <c r="A5602" s="70"/>
      <c r="B5602" s="118"/>
      <c r="C5602" s="121"/>
      <c r="D5602" s="121"/>
      <c r="E5602" s="121"/>
      <c r="F5602" s="121"/>
      <c r="G5602" s="121"/>
      <c r="H5602" s="93"/>
      <c r="I5602" s="85"/>
      <c r="J5602" s="122"/>
      <c r="K5602" s="150"/>
      <c r="L5602" s="69"/>
      <c r="M5602" s="50"/>
      <c r="Q5602" s="3"/>
      <c r="R5602" s="3"/>
      <c r="S5602" s="3"/>
      <c r="T5602" s="3"/>
      <c r="U5602" s="3"/>
      <c r="V5602" s="3"/>
      <c r="W5602" s="3"/>
      <c r="X5602" s="3"/>
      <c r="Y5602" s="3"/>
      <c r="Z5602" s="4"/>
      <c r="AA5602"/>
      <c r="AB5602"/>
    </row>
    <row r="5603" spans="1:28" s="37" customFormat="1" x14ac:dyDescent="0.15">
      <c r="A5603" s="70"/>
      <c r="B5603" s="118"/>
      <c r="C5603" s="121"/>
      <c r="D5603" s="121"/>
      <c r="E5603" s="121"/>
      <c r="F5603" s="121"/>
      <c r="G5603" s="121"/>
      <c r="H5603" s="93"/>
      <c r="I5603" s="85"/>
      <c r="J5603" s="122"/>
      <c r="K5603" s="150"/>
      <c r="L5603" s="69"/>
      <c r="M5603" s="49"/>
      <c r="Q5603" s="3"/>
      <c r="R5603" s="3"/>
      <c r="S5603" s="3"/>
      <c r="T5603" s="3"/>
      <c r="U5603" s="3"/>
      <c r="V5603" s="3"/>
      <c r="W5603" s="3"/>
      <c r="X5603" s="3"/>
      <c r="Y5603" s="3"/>
      <c r="Z5603" s="4"/>
      <c r="AA5603"/>
      <c r="AB5603"/>
    </row>
    <row r="5604" spans="1:28" s="37" customFormat="1" x14ac:dyDescent="0.15">
      <c r="A5604" s="70"/>
      <c r="B5604" s="118"/>
      <c r="C5604" s="121"/>
      <c r="D5604" s="121"/>
      <c r="E5604" s="121"/>
      <c r="F5604" s="121"/>
      <c r="G5604" s="121"/>
      <c r="H5604" s="93"/>
      <c r="I5604" s="85"/>
      <c r="J5604" s="122"/>
      <c r="K5604" s="150"/>
      <c r="L5604" s="69"/>
      <c r="M5604" s="49"/>
      <c r="Q5604" s="3"/>
      <c r="R5604" s="3"/>
      <c r="S5604" s="3"/>
      <c r="T5604" s="3"/>
      <c r="U5604" s="3"/>
      <c r="V5604" s="3"/>
      <c r="W5604" s="3"/>
      <c r="X5604" s="3"/>
      <c r="Y5604" s="3"/>
      <c r="Z5604" s="4"/>
      <c r="AA5604"/>
      <c r="AB5604"/>
    </row>
    <row r="5605" spans="1:28" s="37" customFormat="1" x14ac:dyDescent="0.15">
      <c r="A5605" s="70"/>
      <c r="B5605" s="118"/>
      <c r="C5605" s="121"/>
      <c r="D5605" s="121"/>
      <c r="E5605" s="121"/>
      <c r="F5605" s="121"/>
      <c r="G5605" s="121"/>
      <c r="H5605" s="93"/>
      <c r="I5605" s="85"/>
      <c r="J5605" s="122"/>
      <c r="K5605" s="150"/>
      <c r="L5605" s="69"/>
      <c r="M5605" s="49"/>
      <c r="Q5605" s="3"/>
      <c r="R5605" s="3"/>
      <c r="S5605" s="3"/>
      <c r="T5605" s="3"/>
      <c r="U5605" s="3"/>
      <c r="V5605" s="3"/>
      <c r="W5605" s="3"/>
      <c r="X5605" s="3"/>
      <c r="Y5605" s="3"/>
      <c r="Z5605" s="4"/>
      <c r="AA5605"/>
      <c r="AB5605"/>
    </row>
    <row r="5606" spans="1:28" s="37" customFormat="1" x14ac:dyDescent="0.15">
      <c r="A5606" s="70"/>
      <c r="B5606" s="118"/>
      <c r="C5606" s="121"/>
      <c r="D5606" s="121"/>
      <c r="E5606" s="121"/>
      <c r="F5606" s="121"/>
      <c r="G5606" s="121"/>
      <c r="H5606" s="93"/>
      <c r="I5606" s="85"/>
      <c r="J5606" s="122"/>
      <c r="K5606" s="150"/>
      <c r="L5606" s="69"/>
      <c r="M5606" s="49"/>
      <c r="Q5606" s="3"/>
      <c r="R5606" s="3"/>
      <c r="S5606" s="3"/>
      <c r="T5606" s="3"/>
      <c r="U5606" s="3"/>
      <c r="V5606" s="3"/>
      <c r="W5606" s="3"/>
      <c r="X5606" s="3"/>
      <c r="Y5606" s="3"/>
      <c r="Z5606" s="4"/>
      <c r="AA5606"/>
      <c r="AB5606"/>
    </row>
    <row r="5607" spans="1:28" s="37" customFormat="1" x14ac:dyDescent="0.15">
      <c r="A5607" s="70"/>
      <c r="B5607" s="118"/>
      <c r="C5607" s="121"/>
      <c r="D5607" s="121"/>
      <c r="E5607" s="121"/>
      <c r="F5607" s="121"/>
      <c r="G5607" s="121"/>
      <c r="H5607" s="93"/>
      <c r="I5607" s="85"/>
      <c r="J5607" s="122"/>
      <c r="K5607" s="150"/>
      <c r="L5607" s="69"/>
      <c r="M5607" s="50"/>
      <c r="Q5607" s="3"/>
      <c r="R5607" s="3"/>
      <c r="S5607" s="3"/>
      <c r="T5607" s="3"/>
      <c r="U5607" s="3"/>
      <c r="V5607" s="3"/>
      <c r="W5607" s="3"/>
      <c r="X5607" s="3"/>
      <c r="Y5607" s="3"/>
      <c r="Z5607" s="4"/>
      <c r="AA5607"/>
      <c r="AB5607"/>
    </row>
    <row r="5608" spans="1:28" s="37" customFormat="1" x14ac:dyDescent="0.15">
      <c r="A5608" s="70"/>
      <c r="B5608" s="118"/>
      <c r="C5608" s="121"/>
      <c r="D5608" s="121"/>
      <c r="E5608" s="121"/>
      <c r="F5608" s="121"/>
      <c r="G5608" s="121"/>
      <c r="H5608" s="93"/>
      <c r="I5608" s="85"/>
      <c r="J5608" s="122"/>
      <c r="K5608" s="150"/>
      <c r="L5608" s="69"/>
      <c r="M5608" s="50"/>
      <c r="Q5608" s="3"/>
      <c r="R5608" s="3"/>
      <c r="S5608" s="3"/>
      <c r="T5608" s="3"/>
      <c r="U5608" s="3"/>
      <c r="V5608" s="3"/>
      <c r="W5608" s="3"/>
      <c r="X5608" s="3"/>
      <c r="Y5608" s="3"/>
      <c r="Z5608" s="4"/>
      <c r="AA5608"/>
      <c r="AB5608"/>
    </row>
    <row r="5609" spans="1:28" s="37" customFormat="1" x14ac:dyDescent="0.15">
      <c r="A5609" s="70"/>
      <c r="B5609" s="118"/>
      <c r="C5609" s="121"/>
      <c r="D5609" s="121"/>
      <c r="E5609" s="121"/>
      <c r="F5609" s="121"/>
      <c r="G5609" s="121"/>
      <c r="H5609" s="93"/>
      <c r="I5609" s="85"/>
      <c r="J5609" s="122"/>
      <c r="K5609" s="150"/>
      <c r="L5609" s="69"/>
      <c r="M5609" s="50"/>
      <c r="Q5609" s="3"/>
      <c r="R5609" s="3"/>
      <c r="S5609" s="3"/>
      <c r="T5609" s="3"/>
      <c r="U5609" s="3"/>
      <c r="V5609" s="3"/>
      <c r="W5609" s="3"/>
      <c r="X5609" s="3"/>
      <c r="Y5609" s="3"/>
      <c r="Z5609" s="4"/>
      <c r="AA5609"/>
      <c r="AB5609"/>
    </row>
    <row r="5610" spans="1:28" s="37" customFormat="1" x14ac:dyDescent="0.15">
      <c r="A5610" s="70"/>
      <c r="B5610" s="118"/>
      <c r="C5610" s="121"/>
      <c r="D5610" s="121"/>
      <c r="E5610" s="121"/>
      <c r="F5610" s="121"/>
      <c r="G5610" s="121"/>
      <c r="H5610" s="93"/>
      <c r="I5610" s="85"/>
      <c r="J5610" s="122"/>
      <c r="K5610" s="150"/>
      <c r="L5610" s="69"/>
      <c r="M5610" s="50"/>
      <c r="Q5610" s="3"/>
      <c r="R5610" s="3"/>
      <c r="S5610" s="3"/>
      <c r="T5610" s="3"/>
      <c r="U5610" s="3"/>
      <c r="V5610" s="3"/>
      <c r="W5610" s="3"/>
      <c r="X5610" s="3"/>
      <c r="Y5610" s="3"/>
      <c r="Z5610" s="4"/>
      <c r="AA5610"/>
      <c r="AB5610"/>
    </row>
    <row r="5611" spans="1:28" s="37" customFormat="1" x14ac:dyDescent="0.15">
      <c r="A5611" s="70"/>
      <c r="B5611" s="118"/>
      <c r="C5611" s="121"/>
      <c r="D5611" s="121"/>
      <c r="E5611" s="121"/>
      <c r="F5611" s="121"/>
      <c r="G5611" s="121"/>
      <c r="H5611" s="93"/>
      <c r="I5611" s="85"/>
      <c r="J5611" s="122"/>
      <c r="K5611" s="150"/>
      <c r="L5611" s="60"/>
      <c r="M5611" s="50"/>
      <c r="Q5611" s="3"/>
      <c r="R5611" s="3"/>
      <c r="S5611" s="3"/>
      <c r="T5611" s="3"/>
      <c r="U5611" s="3"/>
      <c r="V5611" s="3"/>
      <c r="W5611" s="3"/>
      <c r="X5611" s="3"/>
      <c r="Y5611" s="3"/>
      <c r="Z5611" s="4"/>
      <c r="AA5611"/>
      <c r="AB5611"/>
    </row>
    <row r="5612" spans="1:28" s="37" customFormat="1" x14ac:dyDescent="0.15">
      <c r="A5612" s="70"/>
      <c r="B5612" s="118"/>
      <c r="C5612" s="121"/>
      <c r="D5612" s="121"/>
      <c r="E5612" s="121"/>
      <c r="F5612" s="121"/>
      <c r="G5612" s="121"/>
      <c r="H5612" s="93"/>
      <c r="I5612" s="85"/>
      <c r="J5612" s="122"/>
      <c r="K5612" s="150"/>
      <c r="L5612" s="60"/>
      <c r="M5612" s="50"/>
      <c r="Q5612" s="3"/>
      <c r="R5612" s="3"/>
      <c r="S5612" s="3"/>
      <c r="T5612" s="3"/>
      <c r="U5612" s="3"/>
      <c r="V5612" s="3"/>
      <c r="W5612" s="3"/>
      <c r="X5612" s="3"/>
      <c r="Y5612" s="3"/>
      <c r="Z5612" s="4"/>
      <c r="AA5612"/>
      <c r="AB5612"/>
    </row>
    <row r="5613" spans="1:28" s="37" customFormat="1" x14ac:dyDescent="0.15">
      <c r="A5613" s="70"/>
      <c r="B5613" s="118"/>
      <c r="C5613" s="121"/>
      <c r="D5613" s="121"/>
      <c r="E5613" s="121"/>
      <c r="F5613" s="121"/>
      <c r="G5613" s="121"/>
      <c r="H5613" s="93"/>
      <c r="I5613" s="85"/>
      <c r="J5613" s="122"/>
      <c r="K5613" s="150"/>
      <c r="L5613" s="69"/>
      <c r="M5613" s="50"/>
      <c r="Q5613" s="3"/>
      <c r="R5613" s="3"/>
      <c r="S5613" s="3"/>
      <c r="T5613" s="3"/>
      <c r="U5613" s="3"/>
      <c r="V5613" s="3"/>
      <c r="W5613" s="3"/>
      <c r="X5613" s="3"/>
      <c r="Y5613" s="3"/>
      <c r="Z5613" s="4"/>
      <c r="AA5613"/>
      <c r="AB5613"/>
    </row>
    <row r="5614" spans="1:28" s="37" customFormat="1" x14ac:dyDescent="0.15">
      <c r="A5614" s="73"/>
      <c r="B5614" s="118"/>
      <c r="C5614" s="121"/>
      <c r="D5614" s="121"/>
      <c r="E5614" s="121"/>
      <c r="F5614" s="121"/>
      <c r="G5614" s="121"/>
      <c r="H5614" s="93"/>
      <c r="I5614" s="85"/>
      <c r="J5614" s="122"/>
      <c r="K5614" s="150"/>
      <c r="L5614" s="69"/>
      <c r="M5614" s="50"/>
      <c r="Q5614" s="3"/>
      <c r="R5614" s="3"/>
      <c r="S5614" s="3"/>
      <c r="T5614" s="3"/>
      <c r="U5614" s="3"/>
      <c r="V5614" s="3"/>
      <c r="W5614" s="3"/>
      <c r="X5614" s="3"/>
      <c r="Y5614" s="3"/>
      <c r="Z5614" s="4"/>
      <c r="AA5614"/>
      <c r="AB5614"/>
    </row>
    <row r="5615" spans="1:28" s="37" customFormat="1" x14ac:dyDescent="0.15">
      <c r="A5615" s="73"/>
      <c r="B5615" s="118"/>
      <c r="C5615" s="121"/>
      <c r="D5615" s="121"/>
      <c r="E5615" s="121"/>
      <c r="F5615" s="121"/>
      <c r="G5615" s="121"/>
      <c r="H5615" s="93"/>
      <c r="I5615" s="85"/>
      <c r="J5615" s="122"/>
      <c r="K5615" s="150"/>
      <c r="L5615" s="69"/>
      <c r="M5615" s="50"/>
      <c r="Q5615" s="3"/>
      <c r="R5615" s="3"/>
      <c r="S5615" s="3"/>
      <c r="T5615" s="3"/>
      <c r="U5615" s="3"/>
      <c r="V5615" s="3"/>
      <c r="W5615" s="3"/>
      <c r="X5615" s="3"/>
      <c r="Y5615" s="3"/>
      <c r="Z5615" s="4"/>
      <c r="AA5615"/>
      <c r="AB5615"/>
    </row>
    <row r="5616" spans="1:28" s="37" customFormat="1" x14ac:dyDescent="0.15">
      <c r="A5616" s="73"/>
      <c r="B5616" s="118"/>
      <c r="C5616" s="121"/>
      <c r="D5616" s="121"/>
      <c r="E5616" s="121"/>
      <c r="F5616" s="121"/>
      <c r="G5616" s="121"/>
      <c r="H5616" s="93"/>
      <c r="I5616" s="85"/>
      <c r="J5616" s="122"/>
      <c r="K5616" s="150"/>
      <c r="L5616" s="69"/>
      <c r="M5616" s="50"/>
      <c r="Q5616" s="3"/>
      <c r="R5616" s="3"/>
      <c r="S5616" s="3"/>
      <c r="T5616" s="3"/>
      <c r="U5616" s="3"/>
      <c r="V5616" s="3"/>
      <c r="W5616" s="3"/>
      <c r="X5616" s="3"/>
      <c r="Y5616" s="3"/>
      <c r="Z5616" s="4"/>
      <c r="AA5616"/>
      <c r="AB5616"/>
    </row>
    <row r="5617" spans="1:28" s="37" customFormat="1" x14ac:dyDescent="0.15">
      <c r="A5617" s="70"/>
      <c r="B5617" s="118"/>
      <c r="C5617" s="121"/>
      <c r="D5617" s="121"/>
      <c r="E5617" s="121"/>
      <c r="F5617" s="121"/>
      <c r="G5617" s="121"/>
      <c r="H5617" s="93"/>
      <c r="I5617" s="85"/>
      <c r="J5617" s="122"/>
      <c r="K5617" s="150"/>
      <c r="L5617" s="69"/>
      <c r="M5617" s="50"/>
      <c r="Q5617" s="3"/>
      <c r="R5617" s="3"/>
      <c r="S5617" s="3"/>
      <c r="T5617" s="3"/>
      <c r="U5617" s="3"/>
      <c r="V5617" s="3"/>
      <c r="W5617" s="3"/>
      <c r="X5617" s="3"/>
      <c r="Y5617" s="3"/>
      <c r="Z5617" s="4"/>
      <c r="AA5617"/>
      <c r="AB5617"/>
    </row>
    <row r="5618" spans="1:28" s="37" customFormat="1" x14ac:dyDescent="0.15">
      <c r="A5618" s="70"/>
      <c r="B5618" s="118"/>
      <c r="C5618" s="121"/>
      <c r="D5618" s="121"/>
      <c r="E5618" s="121"/>
      <c r="F5618" s="121"/>
      <c r="G5618" s="121"/>
      <c r="H5618" s="93"/>
      <c r="I5618" s="85"/>
      <c r="J5618" s="122"/>
      <c r="K5618" s="150"/>
      <c r="L5618" s="69"/>
      <c r="M5618" s="50"/>
      <c r="O5618" s="51"/>
      <c r="Q5618" s="3"/>
      <c r="R5618" s="3"/>
      <c r="S5618" s="3"/>
      <c r="T5618" s="3"/>
      <c r="U5618" s="3"/>
      <c r="V5618" s="3"/>
      <c r="W5618" s="3"/>
      <c r="X5618" s="3"/>
      <c r="Y5618" s="3"/>
      <c r="Z5618" s="4"/>
      <c r="AA5618"/>
      <c r="AB5618"/>
    </row>
    <row r="5619" spans="1:28" s="37" customFormat="1" x14ac:dyDescent="0.15">
      <c r="A5619" s="70"/>
      <c r="B5619" s="117"/>
      <c r="C5619" s="121"/>
      <c r="D5619" s="121"/>
      <c r="E5619" s="121"/>
      <c r="F5619" s="121"/>
      <c r="G5619" s="121"/>
      <c r="H5619" s="93"/>
      <c r="I5619" s="85"/>
      <c r="J5619" s="123"/>
      <c r="K5619" s="150"/>
      <c r="L5619" s="66"/>
      <c r="M5619" s="33"/>
      <c r="Q5619" s="3"/>
      <c r="R5619" s="3"/>
      <c r="S5619" s="3"/>
      <c r="T5619" s="3"/>
      <c r="U5619" s="3"/>
      <c r="V5619" s="3"/>
      <c r="W5619" s="3"/>
      <c r="X5619" s="3"/>
      <c r="Y5619" s="3"/>
      <c r="Z5619" s="4"/>
      <c r="AA5619"/>
      <c r="AB5619"/>
    </row>
    <row r="5620" spans="1:28" s="37" customFormat="1" x14ac:dyDescent="0.15">
      <c r="A5620" s="70"/>
      <c r="B5620" s="118"/>
      <c r="C5620" s="121"/>
      <c r="D5620" s="121"/>
      <c r="E5620" s="121"/>
      <c r="F5620" s="121"/>
      <c r="G5620" s="121"/>
      <c r="H5620" s="93"/>
      <c r="I5620" s="85"/>
      <c r="J5620" s="122"/>
      <c r="K5620" s="150"/>
      <c r="L5620" s="60"/>
      <c r="M5620" s="33"/>
      <c r="Q5620" s="3"/>
      <c r="R5620" s="3"/>
      <c r="S5620" s="3"/>
      <c r="T5620" s="3"/>
      <c r="U5620" s="3"/>
      <c r="V5620" s="3"/>
      <c r="W5620" s="3"/>
      <c r="X5620" s="3"/>
      <c r="Y5620" s="3"/>
      <c r="Z5620" s="4"/>
      <c r="AA5620"/>
      <c r="AB5620"/>
    </row>
    <row r="5621" spans="1:28" s="37" customFormat="1" x14ac:dyDescent="0.15">
      <c r="A5621" s="70"/>
      <c r="B5621" s="118"/>
      <c r="C5621" s="121"/>
      <c r="D5621" s="121"/>
      <c r="E5621" s="121"/>
      <c r="F5621" s="121"/>
      <c r="G5621" s="121"/>
      <c r="H5621" s="93"/>
      <c r="I5621" s="85"/>
      <c r="J5621" s="122"/>
      <c r="K5621" s="150"/>
      <c r="L5621" s="75"/>
      <c r="M5621" s="49"/>
      <c r="Q5621" s="3"/>
      <c r="R5621" s="3"/>
      <c r="S5621" s="3"/>
      <c r="T5621" s="3"/>
      <c r="U5621" s="3"/>
      <c r="V5621" s="3"/>
      <c r="W5621" s="3"/>
      <c r="X5621" s="3"/>
      <c r="Y5621" s="3"/>
      <c r="Z5621" s="4"/>
      <c r="AA5621"/>
      <c r="AB5621"/>
    </row>
    <row r="5622" spans="1:28" s="37" customFormat="1" x14ac:dyDescent="0.15">
      <c r="A5622" s="70"/>
      <c r="B5622" s="117"/>
      <c r="C5622" s="121"/>
      <c r="D5622" s="121"/>
      <c r="E5622" s="121"/>
      <c r="F5622" s="121"/>
      <c r="G5622" s="121"/>
      <c r="H5622" s="93"/>
      <c r="I5622" s="85"/>
      <c r="J5622" s="122"/>
      <c r="K5622" s="150"/>
      <c r="L5622" s="75"/>
      <c r="M5622" s="33"/>
      <c r="Q5622" s="3"/>
      <c r="R5622" s="3"/>
      <c r="S5622" s="3"/>
      <c r="T5622" s="3"/>
      <c r="U5622" s="3"/>
      <c r="V5622" s="3"/>
      <c r="W5622" s="3"/>
      <c r="X5622" s="3"/>
      <c r="Y5622" s="3"/>
      <c r="Z5622" s="4"/>
      <c r="AA5622"/>
      <c r="AB5622"/>
    </row>
    <row r="5623" spans="1:28" s="37" customFormat="1" x14ac:dyDescent="0.15">
      <c r="A5623" s="70"/>
      <c r="B5623" s="118"/>
      <c r="C5623" s="121"/>
      <c r="D5623" s="121"/>
      <c r="E5623" s="121"/>
      <c r="F5623" s="121"/>
      <c r="G5623" s="121"/>
      <c r="H5623" s="93"/>
      <c r="I5623" s="85"/>
      <c r="J5623" s="122"/>
      <c r="K5623" s="150"/>
      <c r="L5623" s="75"/>
      <c r="M5623" s="49"/>
      <c r="O5623" s="35"/>
      <c r="Q5623" s="3"/>
      <c r="R5623" s="3"/>
      <c r="S5623" s="3"/>
      <c r="T5623" s="3"/>
      <c r="U5623" s="3"/>
      <c r="V5623" s="3"/>
      <c r="W5623" s="3"/>
      <c r="X5623" s="3"/>
      <c r="Y5623" s="3"/>
      <c r="Z5623" s="4"/>
      <c r="AA5623"/>
      <c r="AB5623"/>
    </row>
    <row r="5624" spans="1:28" s="37" customFormat="1" x14ac:dyDescent="0.15">
      <c r="A5624" s="70"/>
      <c r="B5624" s="117"/>
      <c r="C5624" s="121"/>
      <c r="D5624" s="121"/>
      <c r="E5624" s="121"/>
      <c r="F5624" s="121"/>
      <c r="G5624" s="121"/>
      <c r="H5624" s="93"/>
      <c r="I5624" s="85"/>
      <c r="J5624" s="122"/>
      <c r="K5624" s="150"/>
      <c r="L5624" s="75"/>
      <c r="M5624" s="49"/>
      <c r="Q5624" s="3"/>
      <c r="R5624" s="3"/>
      <c r="S5624" s="3"/>
      <c r="T5624" s="3"/>
      <c r="U5624" s="3"/>
      <c r="V5624" s="3"/>
      <c r="W5624" s="3"/>
      <c r="X5624" s="3"/>
      <c r="Y5624" s="3"/>
      <c r="Z5624" s="4"/>
      <c r="AA5624"/>
      <c r="AB5624"/>
    </row>
    <row r="5625" spans="1:28" s="37" customFormat="1" x14ac:dyDescent="0.15">
      <c r="A5625" s="70"/>
      <c r="B5625" s="117"/>
      <c r="C5625" s="121"/>
      <c r="D5625" s="121"/>
      <c r="E5625" s="121"/>
      <c r="F5625" s="121"/>
      <c r="G5625" s="121"/>
      <c r="H5625" s="93"/>
      <c r="I5625" s="85"/>
      <c r="J5625" s="122"/>
      <c r="K5625" s="150"/>
      <c r="L5625" s="75"/>
      <c r="M5625" s="53"/>
      <c r="Q5625" s="3"/>
      <c r="R5625" s="3"/>
      <c r="S5625" s="3"/>
      <c r="T5625" s="3"/>
      <c r="U5625" s="3"/>
      <c r="V5625" s="3"/>
      <c r="W5625" s="3"/>
      <c r="X5625" s="3"/>
      <c r="Y5625" s="3"/>
      <c r="Z5625" s="4"/>
      <c r="AA5625"/>
      <c r="AB5625"/>
    </row>
    <row r="5626" spans="1:28" s="37" customFormat="1" x14ac:dyDescent="0.15">
      <c r="A5626" s="70"/>
      <c r="B5626" s="118"/>
      <c r="C5626" s="121"/>
      <c r="D5626" s="121"/>
      <c r="E5626" s="121"/>
      <c r="F5626" s="121"/>
      <c r="G5626" s="121"/>
      <c r="H5626" s="93"/>
      <c r="I5626" s="85"/>
      <c r="J5626" s="122"/>
      <c r="K5626" s="150"/>
      <c r="L5626" s="75"/>
      <c r="M5626" s="33"/>
      <c r="Q5626" s="3"/>
      <c r="R5626" s="3"/>
      <c r="S5626" s="3"/>
      <c r="T5626" s="3"/>
      <c r="U5626" s="3"/>
      <c r="V5626" s="3"/>
      <c r="W5626" s="3"/>
      <c r="X5626" s="3"/>
      <c r="Y5626" s="3"/>
      <c r="Z5626" s="4"/>
      <c r="AA5626"/>
      <c r="AB5626"/>
    </row>
    <row r="5627" spans="1:28" s="37" customFormat="1" x14ac:dyDescent="0.15">
      <c r="A5627" s="70"/>
      <c r="B5627" s="117"/>
      <c r="C5627" s="121"/>
      <c r="D5627" s="121"/>
      <c r="E5627" s="121"/>
      <c r="F5627" s="121"/>
      <c r="G5627" s="121"/>
      <c r="H5627" s="93"/>
      <c r="I5627" s="85"/>
      <c r="J5627" s="122"/>
      <c r="K5627" s="150"/>
      <c r="L5627" s="75"/>
      <c r="M5627" s="33"/>
      <c r="Q5627" s="3"/>
      <c r="R5627" s="3"/>
      <c r="S5627" s="3"/>
      <c r="T5627" s="3"/>
      <c r="U5627" s="3"/>
      <c r="V5627" s="3"/>
      <c r="W5627" s="3"/>
      <c r="X5627" s="3"/>
      <c r="Y5627" s="3"/>
      <c r="Z5627" s="4"/>
      <c r="AA5627"/>
      <c r="AB5627"/>
    </row>
    <row r="5628" spans="1:28" s="37" customFormat="1" x14ac:dyDescent="0.15">
      <c r="A5628" s="70"/>
      <c r="B5628" s="117"/>
      <c r="C5628" s="121"/>
      <c r="D5628" s="121"/>
      <c r="E5628" s="121"/>
      <c r="F5628" s="121"/>
      <c r="G5628" s="121"/>
      <c r="H5628" s="93"/>
      <c r="I5628" s="85"/>
      <c r="J5628" s="122"/>
      <c r="K5628" s="150"/>
      <c r="L5628" s="75"/>
      <c r="M5628" s="33"/>
      <c r="Q5628" s="3"/>
      <c r="R5628" s="3"/>
      <c r="S5628" s="3"/>
      <c r="T5628" s="3"/>
      <c r="U5628" s="3"/>
      <c r="V5628" s="3"/>
      <c r="W5628" s="3"/>
      <c r="X5628" s="3"/>
      <c r="Y5628" s="3"/>
      <c r="Z5628" s="4"/>
      <c r="AA5628"/>
      <c r="AB5628"/>
    </row>
    <row r="5629" spans="1:28" s="37" customFormat="1" x14ac:dyDescent="0.15">
      <c r="A5629" s="70"/>
      <c r="B5629" s="117"/>
      <c r="C5629" s="121"/>
      <c r="D5629" s="121"/>
      <c r="E5629" s="121"/>
      <c r="F5629" s="121"/>
      <c r="G5629" s="121"/>
      <c r="H5629" s="93"/>
      <c r="I5629" s="85"/>
      <c r="J5629" s="122"/>
      <c r="K5629" s="150"/>
      <c r="L5629" s="75"/>
      <c r="M5629" s="33"/>
      <c r="Q5629" s="3"/>
      <c r="R5629" s="3"/>
      <c r="S5629" s="3"/>
      <c r="T5629" s="3"/>
      <c r="U5629" s="3"/>
      <c r="V5629" s="3"/>
      <c r="W5629" s="3"/>
      <c r="X5629" s="3"/>
      <c r="Y5629" s="3"/>
      <c r="Z5629" s="4"/>
      <c r="AA5629"/>
      <c r="AB5629"/>
    </row>
    <row r="5630" spans="1:28" s="37" customFormat="1" x14ac:dyDescent="0.15">
      <c r="A5630" s="62"/>
      <c r="B5630" s="119"/>
      <c r="C5630" s="121"/>
      <c r="D5630" s="121"/>
      <c r="E5630" s="121"/>
      <c r="F5630" s="121"/>
      <c r="G5630" s="121"/>
      <c r="H5630" s="93"/>
      <c r="I5630" s="85"/>
      <c r="J5630" s="122"/>
      <c r="K5630" s="150"/>
      <c r="L5630" s="75"/>
      <c r="M5630" s="33"/>
      <c r="Q5630" s="3"/>
      <c r="R5630" s="3"/>
      <c r="S5630" s="3"/>
      <c r="T5630" s="3"/>
      <c r="U5630" s="3"/>
      <c r="V5630" s="3"/>
      <c r="W5630" s="3"/>
      <c r="X5630" s="3"/>
      <c r="Y5630" s="3"/>
      <c r="Z5630" s="4"/>
      <c r="AA5630"/>
      <c r="AB5630"/>
    </row>
    <row r="5631" spans="1:28" s="37" customFormat="1" x14ac:dyDescent="0.15">
      <c r="A5631" s="70"/>
      <c r="B5631" s="117"/>
      <c r="C5631" s="121"/>
      <c r="D5631" s="121"/>
      <c r="E5631" s="121"/>
      <c r="F5631" s="121"/>
      <c r="G5631" s="121"/>
      <c r="H5631" s="93"/>
      <c r="I5631" s="85"/>
      <c r="J5631" s="122"/>
      <c r="K5631" s="150"/>
      <c r="L5631" s="75"/>
      <c r="M5631" s="33"/>
      <c r="Q5631" s="3"/>
      <c r="R5631" s="3"/>
      <c r="S5631" s="3"/>
      <c r="T5631" s="3"/>
      <c r="U5631" s="3"/>
      <c r="V5631" s="3"/>
      <c r="W5631" s="3"/>
      <c r="X5631" s="3"/>
      <c r="Y5631" s="3"/>
      <c r="Z5631" s="4"/>
      <c r="AA5631"/>
      <c r="AB5631"/>
    </row>
    <row r="5632" spans="1:28" s="37" customFormat="1" x14ac:dyDescent="0.15">
      <c r="A5632" s="70"/>
      <c r="B5632" s="117"/>
      <c r="C5632" s="121"/>
      <c r="D5632" s="121"/>
      <c r="E5632" s="121"/>
      <c r="F5632" s="121"/>
      <c r="G5632" s="121"/>
      <c r="H5632" s="93"/>
      <c r="I5632" s="85"/>
      <c r="J5632" s="122"/>
      <c r="K5632" s="150"/>
      <c r="L5632" s="75"/>
      <c r="M5632" s="33"/>
      <c r="Q5632" s="3"/>
      <c r="R5632" s="3"/>
      <c r="S5632" s="3"/>
      <c r="T5632" s="3"/>
      <c r="U5632" s="3"/>
      <c r="V5632" s="3"/>
      <c r="W5632" s="3"/>
      <c r="X5632" s="3"/>
      <c r="Y5632" s="3"/>
      <c r="Z5632" s="4"/>
      <c r="AA5632"/>
      <c r="AB5632"/>
    </row>
    <row r="5633" spans="1:28" s="37" customFormat="1" x14ac:dyDescent="0.15">
      <c r="A5633" s="70"/>
      <c r="B5633" s="117"/>
      <c r="C5633" s="121"/>
      <c r="D5633" s="121"/>
      <c r="E5633" s="121"/>
      <c r="F5633" s="121"/>
      <c r="G5633" s="121"/>
      <c r="H5633" s="93"/>
      <c r="I5633" s="85"/>
      <c r="J5633" s="122"/>
      <c r="K5633" s="150"/>
      <c r="L5633" s="75"/>
      <c r="M5633" s="33"/>
      <c r="Q5633" s="3"/>
      <c r="R5633" s="3"/>
      <c r="S5633" s="3"/>
      <c r="T5633" s="3"/>
      <c r="U5633" s="3"/>
      <c r="V5633" s="3"/>
      <c r="W5633" s="3"/>
      <c r="X5633" s="3"/>
      <c r="Y5633" s="3"/>
      <c r="Z5633" s="4"/>
      <c r="AA5633"/>
      <c r="AB5633"/>
    </row>
    <row r="5634" spans="1:28" s="37" customFormat="1" x14ac:dyDescent="0.15">
      <c r="A5634" s="70"/>
      <c r="B5634" s="117"/>
      <c r="C5634" s="121"/>
      <c r="D5634" s="121"/>
      <c r="E5634" s="121"/>
      <c r="F5634" s="121"/>
      <c r="G5634" s="121"/>
      <c r="H5634" s="93"/>
      <c r="I5634" s="85"/>
      <c r="J5634" s="122"/>
      <c r="K5634" s="235"/>
      <c r="L5634" s="75"/>
      <c r="M5634" s="33"/>
      <c r="Q5634" s="3"/>
      <c r="R5634" s="3"/>
      <c r="S5634" s="3"/>
      <c r="T5634" s="3"/>
      <c r="U5634" s="3"/>
      <c r="V5634" s="3"/>
      <c r="W5634" s="3"/>
      <c r="X5634" s="3"/>
      <c r="Y5634" s="3"/>
      <c r="Z5634" s="4"/>
      <c r="AA5634"/>
      <c r="AB5634"/>
    </row>
    <row r="5635" spans="1:28" s="37" customFormat="1" x14ac:dyDescent="0.15">
      <c r="A5635" s="70"/>
      <c r="B5635" s="118"/>
      <c r="C5635" s="121"/>
      <c r="D5635" s="121"/>
      <c r="E5635" s="121"/>
      <c r="F5635" s="121"/>
      <c r="G5635" s="121"/>
      <c r="H5635" s="93"/>
      <c r="I5635" s="85"/>
      <c r="J5635" s="122"/>
      <c r="K5635" s="150"/>
      <c r="L5635" s="75"/>
      <c r="M5635" s="33"/>
      <c r="Q5635" s="3"/>
      <c r="R5635" s="3"/>
      <c r="S5635" s="3"/>
      <c r="T5635" s="3"/>
      <c r="U5635" s="3"/>
      <c r="V5635" s="3"/>
      <c r="W5635" s="3"/>
      <c r="X5635" s="3"/>
      <c r="Y5635" s="3"/>
      <c r="Z5635" s="4"/>
      <c r="AA5635"/>
      <c r="AB5635"/>
    </row>
    <row r="5636" spans="1:28" s="37" customFormat="1" x14ac:dyDescent="0.15">
      <c r="A5636" s="70"/>
      <c r="B5636" s="118"/>
      <c r="C5636" s="121"/>
      <c r="D5636" s="121"/>
      <c r="E5636" s="121"/>
      <c r="F5636" s="121"/>
      <c r="G5636" s="121"/>
      <c r="H5636" s="93"/>
      <c r="I5636" s="85"/>
      <c r="J5636" s="122"/>
      <c r="K5636" s="150"/>
      <c r="L5636" s="75"/>
      <c r="M5636" s="33"/>
      <c r="Q5636" s="3"/>
      <c r="R5636" s="3"/>
      <c r="S5636" s="3"/>
      <c r="T5636" s="3"/>
      <c r="U5636" s="3"/>
      <c r="V5636" s="3"/>
      <c r="W5636" s="3"/>
      <c r="X5636" s="3"/>
      <c r="Y5636" s="3"/>
      <c r="Z5636" s="4"/>
      <c r="AA5636"/>
      <c r="AB5636"/>
    </row>
    <row r="5637" spans="1:28" s="37" customFormat="1" x14ac:dyDescent="0.15">
      <c r="A5637" s="70"/>
      <c r="B5637" s="117"/>
      <c r="C5637" s="121"/>
      <c r="D5637" s="121"/>
      <c r="E5637" s="121"/>
      <c r="F5637" s="121"/>
      <c r="G5637" s="121"/>
      <c r="H5637" s="93"/>
      <c r="I5637" s="85"/>
      <c r="J5637" s="122"/>
      <c r="K5637" s="150"/>
      <c r="L5637" s="75"/>
      <c r="M5637" s="33"/>
      <c r="Q5637" s="3"/>
      <c r="R5637" s="3"/>
      <c r="S5637" s="3"/>
      <c r="T5637" s="3"/>
      <c r="U5637" s="3"/>
      <c r="V5637" s="3"/>
      <c r="W5637" s="3"/>
      <c r="X5637" s="3"/>
      <c r="Y5637" s="3"/>
      <c r="Z5637" s="4"/>
      <c r="AA5637"/>
      <c r="AB5637"/>
    </row>
    <row r="5638" spans="1:28" s="37" customFormat="1" x14ac:dyDescent="0.15">
      <c r="A5638" s="70"/>
      <c r="B5638" s="117"/>
      <c r="C5638" s="121"/>
      <c r="D5638" s="121"/>
      <c r="E5638" s="121"/>
      <c r="F5638" s="121"/>
      <c r="G5638" s="121"/>
      <c r="H5638" s="93"/>
      <c r="I5638" s="85"/>
      <c r="J5638" s="122"/>
      <c r="K5638" s="150"/>
      <c r="L5638" s="75"/>
      <c r="M5638" s="49"/>
      <c r="Q5638" s="3"/>
      <c r="R5638" s="3"/>
      <c r="S5638" s="3"/>
      <c r="T5638" s="3"/>
      <c r="U5638" s="3"/>
      <c r="V5638" s="3"/>
      <c r="W5638" s="3"/>
      <c r="X5638" s="3"/>
      <c r="Y5638" s="3"/>
      <c r="Z5638" s="4"/>
      <c r="AA5638"/>
      <c r="AB5638"/>
    </row>
    <row r="5639" spans="1:28" s="37" customFormat="1" x14ac:dyDescent="0.15">
      <c r="A5639" s="70"/>
      <c r="B5639" s="117"/>
      <c r="C5639" s="121"/>
      <c r="D5639" s="121"/>
      <c r="E5639" s="121"/>
      <c r="F5639" s="121"/>
      <c r="G5639" s="121"/>
      <c r="H5639" s="93"/>
      <c r="I5639" s="85"/>
      <c r="J5639" s="122"/>
      <c r="K5639" s="150"/>
      <c r="L5639" s="75"/>
      <c r="M5639" s="33"/>
      <c r="Q5639" s="3"/>
      <c r="R5639" s="3"/>
      <c r="S5639" s="3"/>
      <c r="T5639" s="3"/>
      <c r="U5639" s="3"/>
      <c r="V5639" s="3"/>
      <c r="W5639" s="3"/>
      <c r="X5639" s="3"/>
      <c r="Y5639" s="3"/>
      <c r="Z5639" s="4"/>
      <c r="AA5639"/>
      <c r="AB5639"/>
    </row>
    <row r="5640" spans="1:28" s="37" customFormat="1" ht="16" x14ac:dyDescent="0.2">
      <c r="A5640" s="70"/>
      <c r="B5640" s="117"/>
      <c r="C5640" s="121"/>
      <c r="D5640" s="121"/>
      <c r="E5640" s="121"/>
      <c r="F5640" s="121"/>
      <c r="G5640" s="121"/>
      <c r="H5640" s="93"/>
      <c r="I5640" s="85"/>
      <c r="J5640" s="122"/>
      <c r="K5640" s="150"/>
      <c r="L5640" s="75"/>
      <c r="M5640" s="47"/>
      <c r="Q5640" s="3"/>
      <c r="R5640" s="3"/>
      <c r="S5640" s="3"/>
      <c r="T5640" s="3"/>
      <c r="U5640" s="3"/>
      <c r="V5640" s="3"/>
      <c r="W5640" s="3"/>
      <c r="X5640" s="3"/>
      <c r="Y5640" s="3"/>
      <c r="Z5640" s="4"/>
      <c r="AA5640"/>
      <c r="AB5640"/>
    </row>
    <row r="5641" spans="1:28" s="37" customFormat="1" x14ac:dyDescent="0.15">
      <c r="A5641" s="70"/>
      <c r="B5641" s="117"/>
      <c r="C5641" s="121"/>
      <c r="D5641" s="121"/>
      <c r="E5641" s="121"/>
      <c r="F5641" s="121"/>
      <c r="G5641" s="121"/>
      <c r="H5641" s="93"/>
      <c r="I5641" s="85"/>
      <c r="J5641" s="122"/>
      <c r="K5641" s="150"/>
      <c r="L5641" s="75"/>
      <c r="M5641" s="33"/>
      <c r="Q5641" s="3"/>
      <c r="R5641" s="3"/>
      <c r="S5641" s="3"/>
      <c r="T5641" s="3"/>
      <c r="U5641" s="3"/>
      <c r="V5641" s="3"/>
      <c r="W5641" s="3"/>
      <c r="X5641" s="3"/>
      <c r="Y5641" s="3"/>
      <c r="Z5641" s="4"/>
      <c r="AA5641"/>
      <c r="AB5641"/>
    </row>
    <row r="5642" spans="1:28" s="37" customFormat="1" x14ac:dyDescent="0.15">
      <c r="A5642" s="70"/>
      <c r="B5642" s="118"/>
      <c r="C5642" s="121"/>
      <c r="D5642" s="121"/>
      <c r="E5642" s="121"/>
      <c r="F5642" s="121"/>
      <c r="G5642" s="121"/>
      <c r="H5642" s="93"/>
      <c r="I5642" s="85"/>
      <c r="J5642" s="122"/>
      <c r="K5642" s="150"/>
      <c r="L5642" s="75"/>
      <c r="M5642" s="49"/>
      <c r="Q5642" s="3"/>
      <c r="R5642" s="3"/>
      <c r="S5642" s="3"/>
      <c r="T5642" s="3"/>
      <c r="U5642" s="3"/>
      <c r="V5642" s="3"/>
      <c r="W5642" s="3"/>
      <c r="X5642" s="3"/>
      <c r="Y5642" s="3"/>
      <c r="Z5642" s="4"/>
      <c r="AA5642"/>
      <c r="AB5642"/>
    </row>
    <row r="5643" spans="1:28" s="37" customFormat="1" x14ac:dyDescent="0.15">
      <c r="A5643" s="70"/>
      <c r="B5643" s="118"/>
      <c r="C5643" s="121"/>
      <c r="D5643" s="121"/>
      <c r="E5643" s="121"/>
      <c r="F5643" s="121"/>
      <c r="G5643" s="121"/>
      <c r="H5643" s="93"/>
      <c r="I5643" s="85"/>
      <c r="J5643" s="122"/>
      <c r="K5643" s="150"/>
      <c r="L5643" s="75"/>
      <c r="M5643" s="49"/>
      <c r="Q5643" s="3"/>
      <c r="R5643" s="3"/>
      <c r="S5643" s="3"/>
      <c r="T5643" s="3"/>
      <c r="U5643" s="3"/>
      <c r="V5643" s="3"/>
      <c r="W5643" s="3"/>
      <c r="X5643" s="3"/>
      <c r="Y5643" s="3"/>
      <c r="Z5643" s="4"/>
      <c r="AA5643"/>
      <c r="AB5643"/>
    </row>
    <row r="5644" spans="1:28" s="37" customFormat="1" x14ac:dyDescent="0.15">
      <c r="A5644" s="70"/>
      <c r="B5644" s="118"/>
      <c r="C5644" s="121"/>
      <c r="D5644" s="121"/>
      <c r="E5644" s="121"/>
      <c r="F5644" s="121"/>
      <c r="G5644" s="121"/>
      <c r="H5644" s="93"/>
      <c r="I5644" s="85"/>
      <c r="J5644" s="122"/>
      <c r="K5644" s="150"/>
      <c r="L5644" s="75"/>
      <c r="M5644" s="33"/>
      <c r="Q5644" s="3"/>
      <c r="R5644" s="3"/>
      <c r="S5644" s="3"/>
      <c r="T5644" s="3"/>
      <c r="U5644" s="3"/>
      <c r="V5644" s="3"/>
      <c r="W5644" s="3"/>
      <c r="X5644" s="3"/>
      <c r="Y5644" s="3"/>
      <c r="Z5644" s="4"/>
      <c r="AA5644"/>
      <c r="AB5644"/>
    </row>
    <row r="5645" spans="1:28" s="37" customFormat="1" x14ac:dyDescent="0.15">
      <c r="A5645" s="70"/>
      <c r="B5645" s="118"/>
      <c r="C5645" s="121"/>
      <c r="D5645" s="121"/>
      <c r="E5645" s="121"/>
      <c r="F5645" s="121"/>
      <c r="G5645" s="121"/>
      <c r="H5645" s="93"/>
      <c r="I5645" s="85"/>
      <c r="J5645" s="122"/>
      <c r="K5645" s="150"/>
      <c r="L5645" s="75"/>
      <c r="M5645" s="49"/>
      <c r="Q5645" s="3"/>
      <c r="R5645" s="3"/>
      <c r="S5645" s="3"/>
      <c r="T5645" s="3"/>
      <c r="U5645" s="3"/>
      <c r="V5645" s="3"/>
      <c r="W5645" s="3"/>
      <c r="X5645" s="3"/>
      <c r="Y5645" s="3"/>
      <c r="Z5645" s="4"/>
      <c r="AA5645"/>
      <c r="AB5645"/>
    </row>
    <row r="5646" spans="1:28" s="37" customFormat="1" x14ac:dyDescent="0.15">
      <c r="A5646" s="70"/>
      <c r="B5646" s="118"/>
      <c r="C5646" s="121"/>
      <c r="D5646" s="121"/>
      <c r="E5646" s="121"/>
      <c r="F5646" s="121"/>
      <c r="G5646" s="121"/>
      <c r="H5646" s="93"/>
      <c r="I5646" s="85"/>
      <c r="J5646" s="122"/>
      <c r="K5646" s="150"/>
      <c r="L5646" s="75"/>
      <c r="M5646" s="50"/>
      <c r="Q5646" s="3"/>
      <c r="R5646" s="3"/>
      <c r="S5646" s="3"/>
      <c r="T5646" s="3"/>
      <c r="U5646" s="3"/>
      <c r="V5646" s="3"/>
      <c r="W5646" s="3"/>
      <c r="X5646" s="3"/>
      <c r="Y5646" s="3"/>
      <c r="Z5646" s="4"/>
      <c r="AA5646"/>
      <c r="AB5646"/>
    </row>
    <row r="5647" spans="1:28" s="37" customFormat="1" x14ac:dyDescent="0.15">
      <c r="A5647" s="70"/>
      <c r="B5647" s="118"/>
      <c r="C5647" s="121"/>
      <c r="D5647" s="121"/>
      <c r="E5647" s="121"/>
      <c r="F5647" s="121"/>
      <c r="G5647" s="121"/>
      <c r="H5647" s="93"/>
      <c r="I5647" s="85"/>
      <c r="J5647" s="122"/>
      <c r="K5647" s="150"/>
      <c r="L5647" s="75"/>
      <c r="M5647" s="49"/>
      <c r="Q5647" s="3"/>
      <c r="R5647" s="3"/>
      <c r="S5647" s="3"/>
      <c r="T5647" s="3"/>
      <c r="U5647" s="3"/>
      <c r="V5647" s="3"/>
      <c r="W5647" s="3"/>
      <c r="X5647" s="3"/>
      <c r="Y5647" s="3"/>
      <c r="Z5647" s="4"/>
      <c r="AA5647"/>
      <c r="AB5647"/>
    </row>
    <row r="5648" spans="1:28" s="37" customFormat="1" x14ac:dyDescent="0.15">
      <c r="A5648" s="86"/>
      <c r="B5648" s="230"/>
      <c r="C5648" s="231"/>
      <c r="D5648" s="232"/>
      <c r="E5648" s="232"/>
      <c r="F5648" s="232"/>
      <c r="G5648" s="232"/>
      <c r="H5648" s="87"/>
      <c r="I5648" s="85"/>
      <c r="J5648" s="233"/>
      <c r="K5648" s="234"/>
      <c r="L5648" s="77"/>
      <c r="M5648" s="49"/>
      <c r="Q5648" s="3"/>
      <c r="R5648" s="3"/>
      <c r="S5648" s="3"/>
      <c r="T5648" s="3"/>
      <c r="U5648" s="3"/>
      <c r="V5648" s="3"/>
      <c r="W5648" s="3"/>
      <c r="X5648" s="3"/>
      <c r="Y5648" s="3"/>
      <c r="Z5648" s="4"/>
      <c r="AA5648"/>
      <c r="AB5648"/>
    </row>
    <row r="5649" spans="1:28" s="37" customFormat="1" x14ac:dyDescent="0.15">
      <c r="A5649" s="86"/>
      <c r="B5649" s="230"/>
      <c r="C5649" s="231"/>
      <c r="D5649" s="232"/>
      <c r="E5649" s="232"/>
      <c r="F5649" s="232"/>
      <c r="G5649" s="232"/>
      <c r="H5649" s="87"/>
      <c r="I5649" s="85"/>
      <c r="J5649" s="233"/>
      <c r="K5649" s="234"/>
      <c r="L5649" s="77"/>
      <c r="M5649" s="49"/>
      <c r="Q5649" s="3"/>
      <c r="R5649" s="3"/>
      <c r="S5649" s="3"/>
      <c r="T5649" s="3"/>
      <c r="U5649" s="3"/>
      <c r="V5649" s="3"/>
      <c r="W5649" s="3"/>
      <c r="X5649" s="3"/>
      <c r="Y5649" s="3"/>
      <c r="Z5649" s="4"/>
      <c r="AA5649"/>
      <c r="AB5649"/>
    </row>
    <row r="5650" spans="1:28" s="37" customFormat="1" x14ac:dyDescent="0.15">
      <c r="A5650" s="86"/>
      <c r="B5650" s="230"/>
      <c r="C5650" s="231"/>
      <c r="D5650" s="232"/>
      <c r="E5650" s="232"/>
      <c r="F5650" s="232"/>
      <c r="G5650" s="232"/>
      <c r="H5650" s="87"/>
      <c r="I5650" s="85"/>
      <c r="J5650" s="233"/>
      <c r="K5650" s="234"/>
      <c r="L5650" s="77"/>
      <c r="M5650" s="49"/>
      <c r="Q5650" s="3"/>
      <c r="R5650" s="3"/>
      <c r="S5650" s="3"/>
      <c r="T5650" s="3"/>
      <c r="U5650" s="3"/>
      <c r="V5650" s="3"/>
      <c r="W5650" s="3"/>
      <c r="X5650" s="3"/>
      <c r="Y5650" s="3"/>
      <c r="Z5650" s="4"/>
      <c r="AA5650"/>
      <c r="AB5650"/>
    </row>
    <row r="5651" spans="1:28" s="37" customFormat="1" x14ac:dyDescent="0.15">
      <c r="A5651" s="86"/>
      <c r="B5651" s="230"/>
      <c r="C5651" s="231"/>
      <c r="D5651" s="232"/>
      <c r="E5651" s="232"/>
      <c r="F5651" s="232"/>
      <c r="G5651" s="232"/>
      <c r="H5651" s="87"/>
      <c r="I5651" s="85"/>
      <c r="J5651" s="233"/>
      <c r="K5651" s="234"/>
      <c r="L5651" s="77"/>
      <c r="M5651" s="49"/>
      <c r="Q5651" s="3"/>
      <c r="R5651" s="3"/>
      <c r="S5651" s="3"/>
      <c r="T5651" s="3"/>
      <c r="U5651" s="3"/>
      <c r="V5651" s="3"/>
      <c r="W5651" s="3"/>
      <c r="X5651" s="3"/>
      <c r="Y5651" s="3"/>
      <c r="Z5651" s="4"/>
      <c r="AA5651"/>
      <c r="AB5651"/>
    </row>
    <row r="5652" spans="1:28" s="37" customFormat="1" x14ac:dyDescent="0.15">
      <c r="A5652" s="86"/>
      <c r="B5652" s="230"/>
      <c r="C5652" s="231"/>
      <c r="D5652" s="232"/>
      <c r="E5652" s="232"/>
      <c r="F5652" s="232"/>
      <c r="G5652" s="232"/>
      <c r="H5652" s="87"/>
      <c r="I5652" s="85"/>
      <c r="J5652" s="233"/>
      <c r="K5652" s="234"/>
      <c r="L5652" s="77"/>
      <c r="M5652" s="49"/>
      <c r="Q5652" s="3"/>
      <c r="R5652" s="3"/>
      <c r="S5652" s="3"/>
      <c r="T5652" s="3"/>
      <c r="U5652" s="3"/>
      <c r="V5652" s="3"/>
      <c r="W5652" s="3"/>
      <c r="X5652" s="3"/>
      <c r="Y5652" s="3"/>
      <c r="Z5652" s="4"/>
      <c r="AA5652"/>
      <c r="AB5652"/>
    </row>
    <row r="5653" spans="1:28" s="37" customFormat="1" x14ac:dyDescent="0.15">
      <c r="A5653" s="86"/>
      <c r="B5653" s="230"/>
      <c r="C5653" s="231"/>
      <c r="D5653" s="232"/>
      <c r="E5653" s="232"/>
      <c r="F5653" s="232"/>
      <c r="G5653" s="232"/>
      <c r="H5653" s="87"/>
      <c r="I5653" s="85"/>
      <c r="J5653" s="233"/>
      <c r="K5653" s="234"/>
      <c r="L5653" s="77"/>
      <c r="M5653" s="49"/>
      <c r="Q5653" s="3"/>
      <c r="R5653" s="3"/>
      <c r="S5653" s="3"/>
      <c r="T5653" s="3"/>
      <c r="U5653" s="3"/>
      <c r="V5653" s="3"/>
      <c r="W5653" s="3"/>
      <c r="X5653" s="3"/>
      <c r="Y5653" s="3"/>
      <c r="Z5653" s="4"/>
      <c r="AA5653"/>
      <c r="AB5653"/>
    </row>
    <row r="5654" spans="1:28" s="37" customFormat="1" x14ac:dyDescent="0.15">
      <c r="A5654" s="86"/>
      <c r="B5654" s="230"/>
      <c r="C5654" s="231"/>
      <c r="D5654" s="232"/>
      <c r="E5654" s="232"/>
      <c r="F5654" s="232"/>
      <c r="G5654" s="232"/>
      <c r="H5654" s="87"/>
      <c r="I5654" s="85"/>
      <c r="J5654" s="233"/>
      <c r="K5654" s="234"/>
      <c r="L5654" s="77"/>
      <c r="M5654" s="49"/>
      <c r="Q5654" s="3"/>
      <c r="R5654" s="3"/>
      <c r="S5654" s="3"/>
      <c r="T5654" s="3"/>
      <c r="U5654" s="3"/>
      <c r="V5654" s="3"/>
      <c r="W5654" s="3"/>
      <c r="X5654" s="3"/>
      <c r="Y5654" s="3"/>
      <c r="Z5654" s="4"/>
      <c r="AA5654"/>
      <c r="AB5654"/>
    </row>
    <row r="5655" spans="1:28" s="37" customFormat="1" x14ac:dyDescent="0.15">
      <c r="A5655" s="86"/>
      <c r="B5655" s="230"/>
      <c r="C5655" s="231"/>
      <c r="D5655" s="232"/>
      <c r="E5655" s="232"/>
      <c r="F5655" s="232"/>
      <c r="G5655" s="232"/>
      <c r="H5655" s="87"/>
      <c r="I5655" s="85"/>
      <c r="J5655" s="233"/>
      <c r="K5655" s="234"/>
      <c r="L5655" s="77"/>
      <c r="M5655" s="49"/>
      <c r="Q5655" s="3"/>
      <c r="R5655" s="3"/>
      <c r="S5655" s="3"/>
      <c r="T5655" s="3"/>
      <c r="U5655" s="3"/>
      <c r="V5655" s="3"/>
      <c r="W5655" s="3"/>
      <c r="X5655" s="3"/>
      <c r="Y5655" s="3"/>
      <c r="Z5655" s="4"/>
      <c r="AA5655"/>
      <c r="AB5655"/>
    </row>
    <row r="5656" spans="1:28" s="37" customFormat="1" x14ac:dyDescent="0.15">
      <c r="A5656" s="86"/>
      <c r="B5656" s="230"/>
      <c r="C5656" s="231"/>
      <c r="D5656" s="232"/>
      <c r="E5656" s="232"/>
      <c r="F5656" s="232"/>
      <c r="G5656" s="232"/>
      <c r="H5656" s="87"/>
      <c r="I5656" s="85"/>
      <c r="J5656" s="233"/>
      <c r="K5656" s="234"/>
      <c r="L5656" s="77"/>
      <c r="M5656" s="49"/>
      <c r="Q5656" s="3"/>
      <c r="R5656" s="3"/>
      <c r="S5656" s="3"/>
      <c r="T5656" s="3"/>
      <c r="U5656" s="3"/>
      <c r="V5656" s="3"/>
      <c r="W5656" s="3"/>
      <c r="X5656" s="3"/>
      <c r="Y5656" s="3"/>
      <c r="Z5656" s="4"/>
      <c r="AA5656"/>
      <c r="AB5656"/>
    </row>
    <row r="5657" spans="1:28" s="37" customFormat="1" x14ac:dyDescent="0.15">
      <c r="A5657" s="86"/>
      <c r="B5657" s="230"/>
      <c r="C5657" s="231"/>
      <c r="D5657" s="232"/>
      <c r="E5657" s="232"/>
      <c r="F5657" s="232"/>
      <c r="G5657" s="232"/>
      <c r="H5657" s="87"/>
      <c r="I5657" s="85"/>
      <c r="J5657" s="233"/>
      <c r="K5657" s="234"/>
      <c r="L5657" s="77"/>
      <c r="M5657" s="49"/>
      <c r="Q5657" s="3"/>
      <c r="R5657" s="3"/>
      <c r="S5657" s="3"/>
      <c r="T5657" s="3"/>
      <c r="U5657" s="3"/>
      <c r="V5657" s="3"/>
      <c r="W5657" s="3"/>
      <c r="X5657" s="3"/>
      <c r="Y5657" s="3"/>
      <c r="Z5657" s="4"/>
      <c r="AA5657"/>
      <c r="AB5657"/>
    </row>
    <row r="5658" spans="1:28" s="37" customFormat="1" x14ac:dyDescent="0.15">
      <c r="A5658" s="86"/>
      <c r="B5658" s="230"/>
      <c r="C5658" s="231"/>
      <c r="D5658" s="232"/>
      <c r="E5658" s="232"/>
      <c r="F5658" s="232"/>
      <c r="G5658" s="232"/>
      <c r="H5658" s="87"/>
      <c r="I5658" s="85"/>
      <c r="J5658" s="233"/>
      <c r="K5658" s="234"/>
      <c r="L5658" s="77"/>
      <c r="M5658" s="49"/>
      <c r="Q5658" s="3"/>
      <c r="R5658" s="3"/>
      <c r="S5658" s="3"/>
      <c r="T5658" s="3"/>
      <c r="U5658" s="3"/>
      <c r="V5658" s="3"/>
      <c r="W5658" s="3"/>
      <c r="X5658" s="3"/>
      <c r="Y5658" s="3"/>
      <c r="Z5658" s="4"/>
      <c r="AA5658"/>
      <c r="AB5658"/>
    </row>
    <row r="5659" spans="1:28" s="37" customFormat="1" x14ac:dyDescent="0.15">
      <c r="A5659" s="86"/>
      <c r="B5659" s="230"/>
      <c r="C5659" s="231"/>
      <c r="D5659" s="232"/>
      <c r="E5659" s="232"/>
      <c r="F5659" s="232"/>
      <c r="G5659" s="232"/>
      <c r="H5659" s="87"/>
      <c r="I5659" s="85"/>
      <c r="J5659" s="233"/>
      <c r="K5659" s="234"/>
      <c r="L5659" s="77"/>
      <c r="M5659" s="50"/>
      <c r="Q5659" s="3"/>
      <c r="R5659" s="3"/>
      <c r="S5659" s="3"/>
      <c r="T5659" s="3"/>
      <c r="U5659" s="3"/>
      <c r="V5659" s="3"/>
      <c r="W5659" s="3"/>
      <c r="X5659" s="3"/>
      <c r="Y5659" s="3"/>
      <c r="Z5659" s="4"/>
      <c r="AA5659"/>
      <c r="AB5659"/>
    </row>
    <row r="5660" spans="1:28" s="37" customFormat="1" x14ac:dyDescent="0.15">
      <c r="A5660" s="86"/>
      <c r="B5660" s="230"/>
      <c r="C5660" s="231"/>
      <c r="D5660" s="232"/>
      <c r="E5660" s="232"/>
      <c r="F5660" s="232"/>
      <c r="G5660" s="232"/>
      <c r="H5660" s="87"/>
      <c r="I5660" s="85"/>
      <c r="J5660" s="233"/>
      <c r="K5660" s="234"/>
      <c r="L5660" s="77"/>
      <c r="M5660" s="50"/>
      <c r="Q5660" s="3"/>
      <c r="R5660" s="3"/>
      <c r="S5660" s="3"/>
      <c r="T5660" s="3"/>
      <c r="U5660" s="3"/>
      <c r="V5660" s="3"/>
      <c r="W5660" s="3"/>
      <c r="X5660" s="3"/>
      <c r="Y5660" s="3"/>
      <c r="Z5660" s="4"/>
      <c r="AA5660"/>
      <c r="AB5660"/>
    </row>
    <row r="5661" spans="1:28" s="37" customFormat="1" x14ac:dyDescent="0.15">
      <c r="A5661" s="86"/>
      <c r="B5661" s="230"/>
      <c r="C5661" s="231"/>
      <c r="D5661" s="232"/>
      <c r="E5661" s="232"/>
      <c r="F5661" s="232"/>
      <c r="G5661" s="232"/>
      <c r="H5661" s="87"/>
      <c r="I5661" s="85"/>
      <c r="J5661" s="233"/>
      <c r="K5661" s="234"/>
      <c r="L5661" s="77"/>
      <c r="M5661" s="50"/>
      <c r="Q5661" s="3"/>
      <c r="R5661" s="3"/>
      <c r="S5661" s="3"/>
      <c r="T5661" s="3"/>
      <c r="U5661" s="3"/>
      <c r="V5661" s="3"/>
      <c r="W5661" s="3"/>
      <c r="X5661" s="3"/>
      <c r="Y5661" s="3"/>
      <c r="Z5661" s="4"/>
      <c r="AA5661"/>
      <c r="AB5661"/>
    </row>
    <row r="5662" spans="1:28" s="37" customFormat="1" x14ac:dyDescent="0.15">
      <c r="A5662" s="86"/>
      <c r="B5662" s="230"/>
      <c r="C5662" s="231"/>
      <c r="D5662" s="232"/>
      <c r="E5662" s="232"/>
      <c r="F5662" s="232"/>
      <c r="G5662" s="232"/>
      <c r="H5662" s="87"/>
      <c r="I5662" s="85"/>
      <c r="J5662" s="233"/>
      <c r="K5662" s="234"/>
      <c r="L5662" s="77"/>
      <c r="M5662" s="49"/>
      <c r="Q5662" s="3"/>
      <c r="R5662" s="3"/>
      <c r="S5662" s="3"/>
      <c r="T5662" s="3"/>
      <c r="U5662" s="3"/>
      <c r="V5662" s="3"/>
      <c r="W5662" s="3"/>
      <c r="X5662" s="3"/>
      <c r="Y5662" s="3"/>
      <c r="Z5662" s="4"/>
      <c r="AA5662"/>
      <c r="AB5662"/>
    </row>
    <row r="5663" spans="1:28" s="37" customFormat="1" x14ac:dyDescent="0.15">
      <c r="A5663" s="86"/>
      <c r="B5663" s="230"/>
      <c r="C5663" s="231"/>
      <c r="D5663" s="232"/>
      <c r="E5663" s="232"/>
      <c r="F5663" s="232"/>
      <c r="G5663" s="232"/>
      <c r="H5663" s="87"/>
      <c r="I5663" s="85"/>
      <c r="J5663" s="233"/>
      <c r="K5663" s="234"/>
      <c r="L5663" s="77"/>
      <c r="M5663" s="49"/>
      <c r="Q5663" s="3"/>
      <c r="R5663" s="3"/>
      <c r="S5663" s="3"/>
      <c r="T5663" s="3"/>
      <c r="U5663" s="3"/>
      <c r="V5663" s="3"/>
      <c r="W5663" s="3"/>
      <c r="X5663" s="3"/>
      <c r="Y5663" s="3"/>
      <c r="Z5663" s="4"/>
      <c r="AA5663"/>
      <c r="AB5663"/>
    </row>
    <row r="5664" spans="1:28" s="37" customFormat="1" x14ac:dyDescent="0.15">
      <c r="A5664" s="86"/>
      <c r="B5664" s="230"/>
      <c r="C5664" s="231"/>
      <c r="D5664" s="232"/>
      <c r="E5664" s="232"/>
      <c r="F5664" s="232"/>
      <c r="G5664" s="232"/>
      <c r="H5664" s="87"/>
      <c r="I5664" s="85"/>
      <c r="J5664" s="233"/>
      <c r="K5664" s="234"/>
      <c r="L5664" s="77"/>
      <c r="M5664" s="49"/>
      <c r="Q5664" s="3"/>
      <c r="R5664" s="3"/>
      <c r="S5664" s="3"/>
      <c r="T5664" s="3"/>
      <c r="U5664" s="3"/>
      <c r="V5664" s="3"/>
      <c r="W5664" s="3"/>
      <c r="X5664" s="3"/>
      <c r="Y5664" s="3"/>
      <c r="Z5664" s="4"/>
      <c r="AA5664"/>
      <c r="AB5664"/>
    </row>
    <row r="5665" spans="1:28" s="37" customFormat="1" x14ac:dyDescent="0.15">
      <c r="A5665" s="86"/>
      <c r="B5665" s="230"/>
      <c r="C5665" s="231"/>
      <c r="D5665" s="232"/>
      <c r="E5665" s="232"/>
      <c r="F5665" s="232"/>
      <c r="G5665" s="232"/>
      <c r="H5665" s="87"/>
      <c r="I5665" s="85"/>
      <c r="J5665" s="233"/>
      <c r="K5665" s="234"/>
      <c r="L5665" s="77"/>
      <c r="M5665" s="49"/>
      <c r="Q5665" s="3"/>
      <c r="R5665" s="3"/>
      <c r="S5665" s="3"/>
      <c r="T5665" s="3"/>
      <c r="U5665" s="3"/>
      <c r="V5665" s="3"/>
      <c r="W5665" s="3"/>
      <c r="X5665" s="3"/>
      <c r="Y5665" s="3"/>
      <c r="Z5665" s="4"/>
      <c r="AA5665"/>
      <c r="AB5665"/>
    </row>
    <row r="5666" spans="1:28" s="37" customFormat="1" x14ac:dyDescent="0.15">
      <c r="A5666" s="86"/>
      <c r="B5666" s="230"/>
      <c r="C5666" s="231"/>
      <c r="D5666" s="232"/>
      <c r="E5666" s="232"/>
      <c r="F5666" s="232"/>
      <c r="G5666" s="232"/>
      <c r="H5666" s="87"/>
      <c r="I5666" s="85"/>
      <c r="J5666" s="233"/>
      <c r="K5666" s="234"/>
      <c r="L5666" s="77"/>
      <c r="M5666" s="49"/>
      <c r="Q5666" s="3"/>
      <c r="R5666" s="3"/>
      <c r="S5666" s="3"/>
      <c r="T5666" s="3"/>
      <c r="U5666" s="3"/>
      <c r="V5666" s="3"/>
      <c r="W5666" s="3"/>
      <c r="X5666" s="3"/>
      <c r="Y5666" s="3"/>
      <c r="Z5666" s="4"/>
      <c r="AA5666"/>
      <c r="AB5666"/>
    </row>
    <row r="5667" spans="1:28" s="37" customFormat="1" x14ac:dyDescent="0.15">
      <c r="A5667" s="86"/>
      <c r="B5667" s="230"/>
      <c r="C5667" s="231"/>
      <c r="D5667" s="232"/>
      <c r="E5667" s="232"/>
      <c r="F5667" s="232"/>
      <c r="G5667" s="232"/>
      <c r="H5667" s="87"/>
      <c r="I5667" s="85"/>
      <c r="J5667" s="233"/>
      <c r="K5667" s="234"/>
      <c r="L5667" s="77"/>
      <c r="M5667" s="49"/>
      <c r="Q5667" s="3"/>
      <c r="R5667" s="3"/>
      <c r="S5667" s="3"/>
      <c r="T5667" s="3"/>
      <c r="U5667" s="3"/>
      <c r="V5667" s="3"/>
      <c r="W5667" s="3"/>
      <c r="X5667" s="3"/>
      <c r="Y5667" s="3"/>
      <c r="Z5667" s="4"/>
      <c r="AA5667"/>
      <c r="AB5667"/>
    </row>
    <row r="5668" spans="1:28" s="37" customFormat="1" x14ac:dyDescent="0.15">
      <c r="A5668" s="86"/>
      <c r="B5668" s="230"/>
      <c r="C5668" s="231"/>
      <c r="D5668" s="232"/>
      <c r="E5668" s="232"/>
      <c r="F5668" s="232"/>
      <c r="G5668" s="232"/>
      <c r="H5668" s="87"/>
      <c r="I5668" s="85"/>
      <c r="J5668" s="233"/>
      <c r="K5668" s="234"/>
      <c r="L5668" s="77"/>
      <c r="M5668" s="50"/>
      <c r="Q5668" s="3"/>
      <c r="R5668" s="3"/>
      <c r="S5668" s="3"/>
      <c r="T5668" s="3"/>
      <c r="U5668" s="3"/>
      <c r="V5668" s="3"/>
      <c r="W5668" s="3"/>
      <c r="X5668" s="3"/>
      <c r="Y5668" s="3"/>
      <c r="Z5668" s="4"/>
      <c r="AA5668"/>
      <c r="AB5668"/>
    </row>
    <row r="5669" spans="1:28" s="37" customFormat="1" x14ac:dyDescent="0.15">
      <c r="A5669" s="86"/>
      <c r="B5669" s="230"/>
      <c r="C5669" s="231"/>
      <c r="D5669" s="232"/>
      <c r="E5669" s="232"/>
      <c r="F5669" s="232"/>
      <c r="G5669" s="232"/>
      <c r="H5669" s="87"/>
      <c r="I5669" s="85"/>
      <c r="J5669" s="233"/>
      <c r="K5669" s="234"/>
      <c r="L5669" s="77"/>
      <c r="M5669" s="50"/>
      <c r="Q5669" s="3"/>
      <c r="R5669" s="3"/>
      <c r="S5669" s="3"/>
      <c r="T5669" s="3"/>
      <c r="U5669" s="3"/>
      <c r="V5669" s="3"/>
      <c r="W5669" s="3"/>
      <c r="X5669" s="3"/>
      <c r="Y5669" s="3"/>
      <c r="Z5669" s="4"/>
      <c r="AA5669"/>
      <c r="AB5669"/>
    </row>
    <row r="5670" spans="1:28" s="37" customFormat="1" x14ac:dyDescent="0.15">
      <c r="A5670" s="86"/>
      <c r="B5670" s="230"/>
      <c r="C5670" s="231"/>
      <c r="D5670" s="232"/>
      <c r="E5670" s="232"/>
      <c r="F5670" s="232"/>
      <c r="G5670" s="232"/>
      <c r="H5670" s="87"/>
      <c r="I5670" s="85"/>
      <c r="J5670" s="233"/>
      <c r="K5670" s="234"/>
      <c r="L5670" s="77"/>
      <c r="M5670" s="50"/>
      <c r="Q5670" s="3"/>
      <c r="R5670" s="3"/>
      <c r="S5670" s="3"/>
      <c r="T5670" s="3"/>
      <c r="U5670" s="3"/>
      <c r="V5670" s="3"/>
      <c r="W5670" s="3"/>
      <c r="X5670" s="3"/>
      <c r="Y5670" s="3"/>
      <c r="Z5670" s="4"/>
      <c r="AA5670"/>
      <c r="AB5670"/>
    </row>
    <row r="5671" spans="1:28" s="37" customFormat="1" x14ac:dyDescent="0.15">
      <c r="A5671" s="86"/>
      <c r="B5671" s="230"/>
      <c r="C5671" s="231"/>
      <c r="D5671" s="232"/>
      <c r="E5671" s="232"/>
      <c r="F5671" s="232"/>
      <c r="G5671" s="232"/>
      <c r="H5671" s="87"/>
      <c r="I5671" s="85"/>
      <c r="J5671" s="233"/>
      <c r="K5671" s="234"/>
      <c r="L5671" s="77"/>
      <c r="M5671" s="50"/>
      <c r="Q5671" s="3"/>
      <c r="R5671" s="3"/>
      <c r="S5671" s="3"/>
      <c r="T5671" s="3"/>
      <c r="U5671" s="3"/>
      <c r="V5671" s="3"/>
      <c r="W5671" s="3"/>
      <c r="X5671" s="3"/>
      <c r="Y5671" s="3"/>
      <c r="Z5671" s="4"/>
      <c r="AA5671"/>
      <c r="AB5671"/>
    </row>
    <row r="5672" spans="1:28" s="37" customFormat="1" x14ac:dyDescent="0.15">
      <c r="A5672" s="86"/>
      <c r="B5672" s="230"/>
      <c r="C5672" s="231"/>
      <c r="D5672" s="232"/>
      <c r="E5672" s="232"/>
      <c r="F5672" s="232"/>
      <c r="G5672" s="232"/>
      <c r="H5672" s="87"/>
      <c r="I5672" s="85"/>
      <c r="J5672" s="233"/>
      <c r="K5672" s="234"/>
      <c r="L5672" s="77"/>
      <c r="M5672" s="50"/>
      <c r="Q5672" s="3"/>
      <c r="R5672" s="3"/>
      <c r="S5672" s="3"/>
      <c r="T5672" s="3"/>
      <c r="U5672" s="3"/>
      <c r="V5672" s="3"/>
      <c r="W5672" s="3"/>
      <c r="X5672" s="3"/>
      <c r="Y5672" s="3"/>
      <c r="Z5672" s="4"/>
      <c r="AA5672"/>
      <c r="AB5672"/>
    </row>
    <row r="5673" spans="1:28" s="37" customFormat="1" x14ac:dyDescent="0.15">
      <c r="A5673" s="86"/>
      <c r="B5673" s="230"/>
      <c r="C5673" s="231"/>
      <c r="D5673" s="232"/>
      <c r="E5673" s="232"/>
      <c r="F5673" s="232"/>
      <c r="G5673" s="232"/>
      <c r="H5673" s="87"/>
      <c r="I5673" s="85"/>
      <c r="J5673" s="233"/>
      <c r="K5673" s="234"/>
      <c r="L5673" s="77"/>
      <c r="M5673" s="49"/>
      <c r="Q5673" s="3"/>
      <c r="R5673" s="3"/>
      <c r="S5673" s="3"/>
      <c r="T5673" s="3"/>
      <c r="U5673" s="3"/>
      <c r="V5673" s="3"/>
      <c r="W5673" s="3"/>
      <c r="X5673" s="3"/>
      <c r="Y5673" s="3"/>
      <c r="Z5673" s="4"/>
      <c r="AA5673"/>
      <c r="AB5673"/>
    </row>
    <row r="5674" spans="1:28" s="37" customFormat="1" x14ac:dyDescent="0.15">
      <c r="A5674" s="86"/>
      <c r="B5674" s="230"/>
      <c r="C5674" s="231"/>
      <c r="D5674" s="232"/>
      <c r="E5674" s="232"/>
      <c r="F5674" s="232"/>
      <c r="G5674" s="232"/>
      <c r="H5674" s="87"/>
      <c r="I5674" s="85"/>
      <c r="J5674" s="233"/>
      <c r="K5674" s="234"/>
      <c r="L5674" s="77"/>
      <c r="M5674" s="50"/>
      <c r="Q5674" s="3"/>
      <c r="R5674" s="3"/>
      <c r="S5674" s="3"/>
      <c r="T5674" s="3"/>
      <c r="U5674" s="3"/>
      <c r="V5674" s="3"/>
      <c r="W5674" s="3"/>
      <c r="X5674" s="3"/>
      <c r="Y5674" s="3"/>
      <c r="Z5674" s="4"/>
      <c r="AA5674"/>
      <c r="AB5674"/>
    </row>
    <row r="5675" spans="1:28" s="37" customFormat="1" x14ac:dyDescent="0.15">
      <c r="A5675" s="86"/>
      <c r="B5675" s="230"/>
      <c r="C5675" s="231"/>
      <c r="D5675" s="232"/>
      <c r="E5675" s="232"/>
      <c r="F5675" s="232"/>
      <c r="G5675" s="232"/>
      <c r="H5675" s="87"/>
      <c r="I5675" s="85"/>
      <c r="J5675" s="233"/>
      <c r="K5675" s="234"/>
      <c r="L5675" s="77"/>
      <c r="M5675" s="50"/>
      <c r="O5675" s="51"/>
      <c r="Q5675" s="3"/>
      <c r="R5675" s="3"/>
      <c r="S5675" s="3"/>
      <c r="T5675" s="3"/>
      <c r="U5675" s="3"/>
      <c r="V5675" s="3"/>
      <c r="W5675" s="3"/>
      <c r="X5675" s="3"/>
      <c r="Y5675" s="3"/>
      <c r="Z5675" s="4"/>
      <c r="AA5675"/>
      <c r="AB5675"/>
    </row>
    <row r="5676" spans="1:28" s="37" customFormat="1" x14ac:dyDescent="0.15">
      <c r="A5676" s="86"/>
      <c r="B5676" s="230"/>
      <c r="C5676" s="231"/>
      <c r="D5676" s="232"/>
      <c r="E5676" s="232"/>
      <c r="F5676" s="232"/>
      <c r="G5676" s="232"/>
      <c r="H5676" s="87"/>
      <c r="I5676" s="85"/>
      <c r="J5676" s="233"/>
      <c r="K5676" s="234"/>
      <c r="L5676" s="77"/>
      <c r="M5676" s="50"/>
      <c r="Q5676" s="3"/>
      <c r="R5676" s="3"/>
      <c r="S5676" s="3"/>
      <c r="T5676" s="3"/>
      <c r="U5676" s="3"/>
      <c r="V5676" s="3"/>
      <c r="W5676" s="3"/>
      <c r="X5676" s="3"/>
      <c r="Y5676" s="3"/>
      <c r="Z5676" s="4"/>
      <c r="AA5676"/>
      <c r="AB5676"/>
    </row>
    <row r="5677" spans="1:28" s="37" customFormat="1" x14ac:dyDescent="0.15">
      <c r="A5677" s="86"/>
      <c r="B5677" s="230"/>
      <c r="C5677" s="231"/>
      <c r="D5677" s="232"/>
      <c r="E5677" s="232"/>
      <c r="F5677" s="232"/>
      <c r="G5677" s="232"/>
      <c r="H5677" s="87"/>
      <c r="I5677" s="85"/>
      <c r="J5677" s="233"/>
      <c r="K5677" s="234"/>
      <c r="L5677" s="77"/>
      <c r="M5677" s="50"/>
      <c r="Q5677" s="3"/>
      <c r="R5677" s="3"/>
      <c r="S5677" s="3"/>
      <c r="T5677" s="3"/>
      <c r="U5677" s="3"/>
      <c r="V5677" s="3"/>
      <c r="W5677" s="3"/>
      <c r="X5677" s="3"/>
      <c r="Y5677" s="3"/>
      <c r="Z5677" s="4"/>
      <c r="AA5677"/>
      <c r="AB5677"/>
    </row>
    <row r="5678" spans="1:28" s="37" customFormat="1" x14ac:dyDescent="0.15">
      <c r="A5678" s="86"/>
      <c r="B5678" s="230"/>
      <c r="C5678" s="231"/>
      <c r="D5678" s="232"/>
      <c r="E5678" s="232"/>
      <c r="F5678" s="232"/>
      <c r="G5678" s="232"/>
      <c r="H5678" s="87"/>
      <c r="I5678" s="85"/>
      <c r="J5678" s="233"/>
      <c r="K5678" s="234"/>
      <c r="L5678" s="77"/>
      <c r="M5678" s="49"/>
      <c r="Q5678" s="3"/>
      <c r="R5678" s="3"/>
      <c r="S5678" s="3"/>
      <c r="T5678" s="3"/>
      <c r="U5678" s="3"/>
      <c r="V5678" s="3"/>
      <c r="W5678" s="3"/>
      <c r="X5678" s="3"/>
      <c r="Y5678" s="3"/>
      <c r="Z5678" s="4"/>
      <c r="AA5678"/>
      <c r="AB5678"/>
    </row>
    <row r="5679" spans="1:28" s="37" customFormat="1" x14ac:dyDescent="0.15">
      <c r="A5679" s="86"/>
      <c r="B5679" s="230"/>
      <c r="C5679" s="231"/>
      <c r="D5679" s="232"/>
      <c r="E5679" s="232"/>
      <c r="F5679" s="232"/>
      <c r="G5679" s="232"/>
      <c r="H5679" s="87"/>
      <c r="I5679" s="85"/>
      <c r="J5679" s="233"/>
      <c r="K5679" s="234"/>
      <c r="L5679" s="77"/>
      <c r="M5679" s="49"/>
      <c r="Q5679" s="3"/>
      <c r="R5679" s="3"/>
      <c r="S5679" s="3"/>
      <c r="T5679" s="3"/>
      <c r="U5679" s="3"/>
      <c r="V5679" s="3"/>
      <c r="W5679" s="3"/>
      <c r="X5679" s="3"/>
      <c r="Y5679" s="3"/>
      <c r="Z5679" s="4"/>
      <c r="AA5679"/>
      <c r="AB5679"/>
    </row>
    <row r="5680" spans="1:28" s="37" customFormat="1" x14ac:dyDescent="0.15">
      <c r="A5680" s="86"/>
      <c r="B5680" s="230"/>
      <c r="C5680" s="231"/>
      <c r="D5680" s="232"/>
      <c r="E5680" s="232"/>
      <c r="F5680" s="232"/>
      <c r="G5680" s="232"/>
      <c r="H5680" s="87"/>
      <c r="I5680" s="85"/>
      <c r="J5680" s="233"/>
      <c r="K5680" s="234"/>
      <c r="L5680" s="77"/>
      <c r="M5680" s="49"/>
      <c r="Q5680" s="3"/>
      <c r="R5680" s="3"/>
      <c r="S5680" s="3"/>
      <c r="T5680" s="3"/>
      <c r="U5680" s="3"/>
      <c r="V5680" s="3"/>
      <c r="W5680" s="3"/>
      <c r="X5680" s="3"/>
      <c r="Y5680" s="3"/>
      <c r="Z5680" s="4"/>
      <c r="AA5680"/>
      <c r="AB5680"/>
    </row>
    <row r="5681" spans="1:28" s="37" customFormat="1" x14ac:dyDescent="0.15">
      <c r="A5681" s="86"/>
      <c r="B5681" s="230"/>
      <c r="C5681" s="231"/>
      <c r="D5681" s="232"/>
      <c r="E5681" s="232"/>
      <c r="F5681" s="232"/>
      <c r="G5681" s="232"/>
      <c r="H5681" s="87"/>
      <c r="I5681" s="85"/>
      <c r="J5681" s="233"/>
      <c r="K5681" s="234"/>
      <c r="L5681" s="77"/>
      <c r="M5681" s="50"/>
      <c r="Q5681" s="3"/>
      <c r="R5681" s="3"/>
      <c r="S5681" s="3"/>
      <c r="T5681" s="3"/>
      <c r="U5681" s="3"/>
      <c r="V5681" s="3"/>
      <c r="W5681" s="3"/>
      <c r="X5681" s="3"/>
      <c r="Y5681" s="3"/>
      <c r="Z5681" s="4"/>
      <c r="AA5681"/>
      <c r="AB5681"/>
    </row>
    <row r="5682" spans="1:28" s="37" customFormat="1" x14ac:dyDescent="0.15">
      <c r="A5682" s="86"/>
      <c r="B5682" s="230"/>
      <c r="C5682" s="231"/>
      <c r="D5682" s="232"/>
      <c r="E5682" s="232"/>
      <c r="F5682" s="232"/>
      <c r="G5682" s="232"/>
      <c r="H5682" s="87"/>
      <c r="I5682" s="85"/>
      <c r="J5682" s="233"/>
      <c r="K5682" s="234"/>
      <c r="L5682" s="77"/>
      <c r="M5682" s="49"/>
      <c r="Q5682" s="3"/>
      <c r="R5682" s="3"/>
      <c r="S5682" s="3"/>
      <c r="T5682" s="3"/>
      <c r="U5682" s="3"/>
      <c r="V5682" s="3"/>
      <c r="W5682" s="3"/>
      <c r="X5682" s="3"/>
      <c r="Y5682" s="3"/>
      <c r="Z5682" s="4"/>
      <c r="AA5682"/>
      <c r="AB5682"/>
    </row>
    <row r="5683" spans="1:28" s="37" customFormat="1" x14ac:dyDescent="0.15">
      <c r="A5683" s="86"/>
      <c r="B5683" s="230"/>
      <c r="C5683" s="231"/>
      <c r="D5683" s="232"/>
      <c r="E5683" s="232"/>
      <c r="F5683" s="232"/>
      <c r="G5683" s="232"/>
      <c r="H5683" s="87"/>
      <c r="I5683" s="85"/>
      <c r="J5683" s="233"/>
      <c r="K5683" s="234"/>
      <c r="L5683" s="77"/>
      <c r="M5683" s="49"/>
      <c r="Q5683" s="3"/>
      <c r="R5683" s="3"/>
      <c r="S5683" s="3"/>
      <c r="T5683" s="3"/>
      <c r="U5683" s="3"/>
      <c r="V5683" s="3"/>
      <c r="W5683" s="3"/>
      <c r="X5683" s="3"/>
      <c r="Y5683" s="3"/>
      <c r="Z5683" s="4"/>
      <c r="AA5683"/>
      <c r="AB5683"/>
    </row>
    <row r="5684" spans="1:28" s="37" customFormat="1" x14ac:dyDescent="0.15">
      <c r="A5684" s="86"/>
      <c r="B5684" s="230"/>
      <c r="C5684" s="231"/>
      <c r="D5684" s="232"/>
      <c r="E5684" s="232"/>
      <c r="F5684" s="232"/>
      <c r="G5684" s="232"/>
      <c r="H5684" s="87"/>
      <c r="I5684" s="85"/>
      <c r="J5684" s="233"/>
      <c r="K5684" s="234"/>
      <c r="L5684" s="77"/>
      <c r="M5684" s="49"/>
      <c r="Q5684" s="3"/>
      <c r="R5684" s="3"/>
      <c r="S5684" s="3"/>
      <c r="T5684" s="3"/>
      <c r="U5684" s="3"/>
      <c r="V5684" s="3"/>
      <c r="W5684" s="3"/>
      <c r="X5684" s="3"/>
      <c r="Y5684" s="3"/>
      <c r="Z5684" s="4"/>
      <c r="AA5684"/>
      <c r="AB5684"/>
    </row>
    <row r="5685" spans="1:28" s="37" customFormat="1" x14ac:dyDescent="0.15">
      <c r="A5685" s="86"/>
      <c r="B5685" s="230"/>
      <c r="C5685" s="231"/>
      <c r="D5685" s="232"/>
      <c r="E5685" s="232"/>
      <c r="F5685" s="232"/>
      <c r="G5685" s="232"/>
      <c r="H5685" s="87"/>
      <c r="I5685" s="85"/>
      <c r="J5685" s="233"/>
      <c r="K5685" s="234"/>
      <c r="L5685" s="77"/>
      <c r="M5685" s="49"/>
      <c r="Q5685" s="3"/>
      <c r="R5685" s="3"/>
      <c r="S5685" s="3"/>
      <c r="T5685" s="3"/>
      <c r="U5685" s="3"/>
      <c r="V5685" s="3"/>
      <c r="W5685" s="3"/>
      <c r="X5685" s="3"/>
      <c r="Y5685" s="3"/>
      <c r="Z5685" s="4"/>
      <c r="AA5685"/>
      <c r="AB5685"/>
    </row>
    <row r="5686" spans="1:28" s="37" customFormat="1" x14ac:dyDescent="0.15">
      <c r="A5686" s="86"/>
      <c r="B5686" s="230"/>
      <c r="C5686" s="231"/>
      <c r="D5686" s="232"/>
      <c r="E5686" s="232"/>
      <c r="F5686" s="232"/>
      <c r="G5686" s="232"/>
      <c r="H5686" s="87"/>
      <c r="I5686" s="85"/>
      <c r="J5686" s="233"/>
      <c r="K5686" s="234"/>
      <c r="L5686" s="77"/>
      <c r="M5686" s="50"/>
      <c r="Q5686" s="3"/>
      <c r="R5686" s="3"/>
      <c r="S5686" s="3"/>
      <c r="T5686" s="3"/>
      <c r="U5686" s="3"/>
      <c r="V5686" s="3"/>
      <c r="W5686" s="3"/>
      <c r="X5686" s="3"/>
      <c r="Y5686" s="3"/>
      <c r="Z5686" s="4"/>
      <c r="AA5686"/>
      <c r="AB5686"/>
    </row>
    <row r="5687" spans="1:28" s="37" customFormat="1" x14ac:dyDescent="0.15">
      <c r="A5687" s="86"/>
      <c r="B5687" s="230"/>
      <c r="C5687" s="231"/>
      <c r="D5687" s="232"/>
      <c r="E5687" s="232"/>
      <c r="F5687" s="232"/>
      <c r="G5687" s="232"/>
      <c r="H5687" s="87"/>
      <c r="I5687" s="85"/>
      <c r="J5687" s="233"/>
      <c r="K5687" s="234"/>
      <c r="L5687" s="77"/>
      <c r="M5687" s="50"/>
      <c r="Q5687" s="3"/>
      <c r="R5687" s="3"/>
      <c r="S5687" s="3"/>
      <c r="T5687" s="3"/>
      <c r="U5687" s="3"/>
      <c r="V5687" s="3"/>
      <c r="W5687" s="3"/>
      <c r="X5687" s="3"/>
      <c r="Y5687" s="3"/>
      <c r="Z5687" s="4"/>
      <c r="AA5687"/>
      <c r="AB5687"/>
    </row>
    <row r="5688" spans="1:28" s="37" customFormat="1" x14ac:dyDescent="0.15">
      <c r="A5688" s="73"/>
      <c r="B5688" s="118"/>
      <c r="C5688" s="121"/>
      <c r="D5688" s="121"/>
      <c r="E5688" s="121"/>
      <c r="F5688" s="121"/>
      <c r="G5688" s="121"/>
      <c r="H5688" s="93"/>
      <c r="I5688" s="85"/>
      <c r="J5688" s="122"/>
      <c r="K5688" s="150"/>
      <c r="L5688" s="75"/>
      <c r="M5688" s="50"/>
      <c r="Q5688" s="3"/>
      <c r="R5688" s="3"/>
      <c r="S5688" s="3"/>
      <c r="T5688" s="3"/>
      <c r="U5688" s="3"/>
      <c r="V5688" s="3"/>
      <c r="W5688" s="3"/>
      <c r="X5688" s="3"/>
      <c r="Y5688" s="3"/>
      <c r="Z5688" s="4"/>
      <c r="AA5688"/>
      <c r="AB5688"/>
    </row>
    <row r="5689" spans="1:28" s="37" customFormat="1" x14ac:dyDescent="0.15">
      <c r="A5689" s="70"/>
      <c r="B5689" s="118"/>
      <c r="C5689" s="121"/>
      <c r="D5689" s="121"/>
      <c r="E5689" s="121"/>
      <c r="F5689" s="121"/>
      <c r="G5689" s="121"/>
      <c r="H5689" s="93"/>
      <c r="I5689" s="85"/>
      <c r="J5689" s="122"/>
      <c r="K5689" s="150"/>
      <c r="L5689" s="75"/>
      <c r="M5689" s="49"/>
      <c r="Q5689" s="3"/>
      <c r="R5689" s="3"/>
      <c r="S5689" s="3"/>
      <c r="T5689" s="3"/>
      <c r="U5689" s="3"/>
      <c r="V5689" s="3"/>
      <c r="W5689" s="3"/>
      <c r="X5689" s="3"/>
      <c r="Y5689" s="3"/>
      <c r="Z5689" s="4"/>
      <c r="AA5689"/>
      <c r="AB5689"/>
    </row>
    <row r="5690" spans="1:28" s="37" customFormat="1" x14ac:dyDescent="0.15">
      <c r="A5690" s="70"/>
      <c r="B5690" s="118"/>
      <c r="C5690" s="121"/>
      <c r="D5690" s="121"/>
      <c r="E5690" s="121"/>
      <c r="F5690" s="121"/>
      <c r="G5690" s="121"/>
      <c r="H5690" s="93"/>
      <c r="I5690" s="85"/>
      <c r="J5690" s="122"/>
      <c r="K5690" s="150"/>
      <c r="L5690" s="75"/>
      <c r="M5690" s="49"/>
      <c r="Q5690" s="3"/>
      <c r="R5690" s="3"/>
      <c r="S5690" s="3"/>
      <c r="T5690" s="3"/>
      <c r="U5690" s="3"/>
      <c r="V5690" s="3"/>
      <c r="W5690" s="3"/>
      <c r="X5690" s="3"/>
      <c r="Y5690" s="3"/>
      <c r="Z5690" s="4"/>
      <c r="AA5690"/>
      <c r="AB5690"/>
    </row>
    <row r="5691" spans="1:28" s="37" customFormat="1" x14ac:dyDescent="0.15">
      <c r="A5691" s="70"/>
      <c r="B5691" s="118"/>
      <c r="C5691" s="121"/>
      <c r="D5691" s="121"/>
      <c r="E5691" s="121"/>
      <c r="F5691" s="121"/>
      <c r="G5691" s="121"/>
      <c r="H5691" s="93"/>
      <c r="I5691" s="85"/>
      <c r="J5691" s="122"/>
      <c r="K5691" s="150"/>
      <c r="L5691" s="75"/>
      <c r="M5691" s="50"/>
      <c r="Q5691" s="3"/>
      <c r="R5691" s="3"/>
      <c r="S5691" s="3"/>
      <c r="T5691" s="3"/>
      <c r="U5691" s="3"/>
      <c r="V5691" s="3"/>
      <c r="W5691" s="3"/>
      <c r="X5691" s="3"/>
      <c r="Y5691" s="3"/>
      <c r="Z5691" s="4"/>
      <c r="AA5691"/>
      <c r="AB5691"/>
    </row>
    <row r="5692" spans="1:28" s="37" customFormat="1" x14ac:dyDescent="0.15">
      <c r="A5692" s="70"/>
      <c r="B5692" s="118"/>
      <c r="C5692" s="121"/>
      <c r="D5692" s="121"/>
      <c r="E5692" s="121"/>
      <c r="F5692" s="121"/>
      <c r="G5692" s="121"/>
      <c r="H5692" s="93"/>
      <c r="I5692" s="85"/>
      <c r="J5692" s="122"/>
      <c r="K5692" s="150"/>
      <c r="L5692" s="75"/>
      <c r="M5692" s="49"/>
      <c r="Q5692" s="3"/>
      <c r="R5692" s="3"/>
      <c r="S5692" s="3"/>
      <c r="T5692" s="3"/>
      <c r="U5692" s="3"/>
      <c r="V5692" s="3"/>
      <c r="W5692" s="3"/>
      <c r="X5692" s="3"/>
      <c r="Y5692" s="3"/>
      <c r="Z5692" s="4"/>
      <c r="AA5692"/>
      <c r="AB5692"/>
    </row>
    <row r="5693" spans="1:28" s="37" customFormat="1" x14ac:dyDescent="0.15">
      <c r="A5693" s="70"/>
      <c r="B5693" s="118"/>
      <c r="C5693" s="121"/>
      <c r="D5693" s="121"/>
      <c r="E5693" s="121"/>
      <c r="F5693" s="121"/>
      <c r="G5693" s="121"/>
      <c r="H5693" s="93"/>
      <c r="I5693" s="85"/>
      <c r="J5693" s="122"/>
      <c r="K5693" s="150"/>
      <c r="L5693" s="75"/>
      <c r="M5693" s="49"/>
      <c r="Q5693" s="3"/>
      <c r="R5693" s="3"/>
      <c r="S5693" s="3"/>
      <c r="T5693" s="3"/>
      <c r="U5693" s="3"/>
      <c r="V5693" s="3"/>
      <c r="W5693" s="3"/>
      <c r="X5693" s="3"/>
      <c r="Y5693" s="3"/>
      <c r="Z5693" s="4"/>
      <c r="AA5693"/>
      <c r="AB5693"/>
    </row>
    <row r="5694" spans="1:28" s="37" customFormat="1" x14ac:dyDescent="0.15">
      <c r="A5694" s="70"/>
      <c r="B5694" s="118"/>
      <c r="C5694" s="121"/>
      <c r="D5694" s="121"/>
      <c r="E5694" s="121"/>
      <c r="F5694" s="121"/>
      <c r="G5694" s="121"/>
      <c r="H5694" s="93"/>
      <c r="I5694" s="85"/>
      <c r="J5694" s="122"/>
      <c r="K5694" s="150"/>
      <c r="L5694" s="75"/>
      <c r="M5694" s="49"/>
      <c r="Q5694" s="3"/>
      <c r="R5694" s="3"/>
      <c r="S5694" s="3"/>
      <c r="T5694" s="3"/>
      <c r="U5694" s="3"/>
      <c r="V5694" s="3"/>
      <c r="W5694" s="3"/>
      <c r="X5694" s="3"/>
      <c r="Y5694" s="3"/>
      <c r="Z5694" s="4"/>
      <c r="AA5694"/>
      <c r="AB5694"/>
    </row>
    <row r="5695" spans="1:28" s="37" customFormat="1" x14ac:dyDescent="0.15">
      <c r="A5695" s="70"/>
      <c r="B5695" s="118"/>
      <c r="C5695" s="121"/>
      <c r="D5695" s="121"/>
      <c r="E5695" s="121"/>
      <c r="F5695" s="121"/>
      <c r="G5695" s="121"/>
      <c r="H5695" s="93"/>
      <c r="I5695" s="85"/>
      <c r="J5695" s="122"/>
      <c r="K5695" s="150"/>
      <c r="L5695" s="75"/>
      <c r="M5695" s="50"/>
      <c r="Q5695" s="3"/>
      <c r="R5695" s="3"/>
      <c r="S5695" s="3"/>
      <c r="T5695" s="3"/>
      <c r="U5695" s="3"/>
      <c r="V5695" s="3"/>
      <c r="W5695" s="3"/>
      <c r="X5695" s="3"/>
      <c r="Y5695" s="3"/>
      <c r="Z5695" s="4"/>
      <c r="AA5695"/>
      <c r="AB5695"/>
    </row>
    <row r="5696" spans="1:28" s="37" customFormat="1" x14ac:dyDescent="0.15">
      <c r="A5696" s="70"/>
      <c r="B5696" s="118"/>
      <c r="C5696" s="121"/>
      <c r="D5696" s="121"/>
      <c r="E5696" s="121"/>
      <c r="F5696" s="121"/>
      <c r="G5696" s="121"/>
      <c r="H5696" s="93"/>
      <c r="I5696" s="85"/>
      <c r="J5696" s="122"/>
      <c r="K5696" s="150"/>
      <c r="L5696" s="75"/>
      <c r="M5696" s="50"/>
      <c r="Q5696" s="3"/>
      <c r="R5696" s="3"/>
      <c r="S5696" s="3"/>
      <c r="T5696" s="3"/>
      <c r="U5696" s="3"/>
      <c r="V5696" s="3"/>
      <c r="W5696" s="3"/>
      <c r="X5696" s="3"/>
      <c r="Y5696" s="3"/>
      <c r="Z5696" s="4"/>
      <c r="AA5696"/>
      <c r="AB5696"/>
    </row>
    <row r="5697" spans="1:28" s="37" customFormat="1" x14ac:dyDescent="0.15">
      <c r="A5697" s="70"/>
      <c r="B5697" s="118"/>
      <c r="C5697" s="121"/>
      <c r="D5697" s="121"/>
      <c r="E5697" s="121"/>
      <c r="F5697" s="121"/>
      <c r="G5697" s="121"/>
      <c r="H5697" s="93"/>
      <c r="I5697" s="85"/>
      <c r="J5697" s="122"/>
      <c r="K5697" s="150"/>
      <c r="L5697" s="75"/>
      <c r="M5697" s="50"/>
      <c r="Q5697" s="3"/>
      <c r="R5697" s="3"/>
      <c r="S5697" s="3"/>
      <c r="T5697" s="3"/>
      <c r="U5697" s="3"/>
      <c r="V5697" s="3"/>
      <c r="W5697" s="3"/>
      <c r="X5697" s="3"/>
      <c r="Y5697" s="3"/>
      <c r="Z5697" s="4"/>
      <c r="AA5697"/>
      <c r="AB5697"/>
    </row>
    <row r="5698" spans="1:28" s="37" customFormat="1" x14ac:dyDescent="0.15">
      <c r="A5698" s="70"/>
      <c r="B5698" s="118"/>
      <c r="C5698" s="121"/>
      <c r="D5698" s="121"/>
      <c r="E5698" s="121"/>
      <c r="F5698" s="121"/>
      <c r="G5698" s="121"/>
      <c r="H5698" s="93"/>
      <c r="I5698" s="85"/>
      <c r="J5698" s="122"/>
      <c r="K5698" s="150"/>
      <c r="L5698" s="75"/>
      <c r="M5698" s="50"/>
      <c r="Q5698" s="3"/>
      <c r="R5698" s="3"/>
      <c r="S5698" s="3"/>
      <c r="T5698" s="3"/>
      <c r="U5698" s="3"/>
      <c r="V5698" s="3"/>
      <c r="W5698" s="3"/>
      <c r="X5698" s="3"/>
      <c r="Y5698" s="3"/>
      <c r="Z5698" s="4"/>
      <c r="AA5698"/>
      <c r="AB5698"/>
    </row>
    <row r="5699" spans="1:28" s="37" customFormat="1" x14ac:dyDescent="0.15">
      <c r="A5699" s="70"/>
      <c r="B5699" s="118"/>
      <c r="C5699" s="121"/>
      <c r="D5699" s="121"/>
      <c r="E5699" s="121"/>
      <c r="F5699" s="121"/>
      <c r="G5699" s="121"/>
      <c r="H5699" s="93"/>
      <c r="I5699" s="85"/>
      <c r="J5699" s="122"/>
      <c r="K5699" s="150"/>
      <c r="L5699" s="75"/>
      <c r="M5699" s="50"/>
      <c r="Q5699" s="3"/>
      <c r="R5699" s="3"/>
      <c r="S5699" s="3"/>
      <c r="T5699" s="3"/>
      <c r="U5699" s="3"/>
      <c r="V5699" s="3"/>
      <c r="W5699" s="3"/>
      <c r="X5699" s="3"/>
      <c r="Y5699" s="3"/>
      <c r="Z5699" s="4"/>
      <c r="AA5699"/>
      <c r="AB5699"/>
    </row>
    <row r="5700" spans="1:28" s="37" customFormat="1" x14ac:dyDescent="0.15">
      <c r="A5700" s="70"/>
      <c r="B5700" s="118"/>
      <c r="C5700" s="121"/>
      <c r="D5700" s="121"/>
      <c r="E5700" s="121"/>
      <c r="F5700" s="121"/>
      <c r="G5700" s="121"/>
      <c r="H5700" s="93"/>
      <c r="I5700" s="85"/>
      <c r="J5700" s="122"/>
      <c r="K5700" s="150"/>
      <c r="L5700" s="75"/>
      <c r="M5700" s="50"/>
      <c r="Q5700" s="3"/>
      <c r="R5700" s="3"/>
      <c r="S5700" s="3"/>
      <c r="T5700" s="3"/>
      <c r="U5700" s="3"/>
      <c r="V5700" s="3"/>
      <c r="W5700" s="3"/>
      <c r="X5700" s="3"/>
      <c r="Y5700" s="3"/>
      <c r="Z5700" s="4"/>
      <c r="AA5700"/>
      <c r="AB5700"/>
    </row>
    <row r="5701" spans="1:28" s="37" customFormat="1" x14ac:dyDescent="0.15">
      <c r="A5701" s="70"/>
      <c r="B5701" s="118"/>
      <c r="C5701" s="121"/>
      <c r="D5701" s="121"/>
      <c r="E5701" s="121"/>
      <c r="F5701" s="121"/>
      <c r="G5701" s="121"/>
      <c r="H5701" s="93"/>
      <c r="I5701" s="85"/>
      <c r="J5701" s="122"/>
      <c r="K5701" s="150"/>
      <c r="L5701" s="75"/>
      <c r="M5701" s="50"/>
      <c r="Q5701" s="3"/>
      <c r="R5701" s="3"/>
      <c r="S5701" s="3"/>
      <c r="T5701" s="3"/>
      <c r="U5701" s="3"/>
      <c r="V5701" s="3"/>
      <c r="W5701" s="3"/>
      <c r="X5701" s="3"/>
      <c r="Y5701" s="3"/>
      <c r="Z5701" s="4"/>
      <c r="AA5701"/>
      <c r="AB5701"/>
    </row>
    <row r="5702" spans="1:28" s="37" customFormat="1" x14ac:dyDescent="0.15">
      <c r="A5702" s="70"/>
      <c r="B5702" s="118"/>
      <c r="C5702" s="121"/>
      <c r="D5702" s="121"/>
      <c r="E5702" s="121"/>
      <c r="F5702" s="121"/>
      <c r="G5702" s="121"/>
      <c r="H5702" s="93"/>
      <c r="I5702" s="85"/>
      <c r="J5702" s="122"/>
      <c r="K5702" s="150"/>
      <c r="L5702" s="75"/>
      <c r="M5702" s="50"/>
      <c r="Q5702" s="3"/>
      <c r="R5702" s="3"/>
      <c r="S5702" s="3"/>
      <c r="T5702" s="3"/>
      <c r="U5702" s="3"/>
      <c r="V5702" s="3"/>
      <c r="W5702" s="3"/>
      <c r="X5702" s="3"/>
      <c r="Y5702" s="3"/>
      <c r="Z5702" s="4"/>
      <c r="AA5702"/>
      <c r="AB5702"/>
    </row>
    <row r="5703" spans="1:28" s="37" customFormat="1" x14ac:dyDescent="0.15">
      <c r="A5703" s="70"/>
      <c r="B5703" s="118"/>
      <c r="C5703" s="121"/>
      <c r="D5703" s="121"/>
      <c r="E5703" s="121"/>
      <c r="F5703" s="121"/>
      <c r="G5703" s="121"/>
      <c r="H5703" s="93"/>
      <c r="I5703" s="85"/>
      <c r="J5703" s="122"/>
      <c r="K5703" s="150"/>
      <c r="L5703" s="75"/>
      <c r="M5703" s="50"/>
      <c r="Q5703" s="3"/>
      <c r="R5703" s="3"/>
      <c r="S5703" s="3"/>
      <c r="T5703" s="3"/>
      <c r="U5703" s="3"/>
      <c r="V5703" s="3"/>
      <c r="W5703" s="3"/>
      <c r="X5703" s="3"/>
      <c r="Y5703" s="3"/>
      <c r="Z5703" s="4"/>
      <c r="AA5703"/>
      <c r="AB5703"/>
    </row>
    <row r="5704" spans="1:28" s="37" customFormat="1" x14ac:dyDescent="0.15">
      <c r="A5704" s="73"/>
      <c r="B5704" s="118"/>
      <c r="C5704" s="121"/>
      <c r="D5704" s="121"/>
      <c r="E5704" s="121"/>
      <c r="F5704" s="121"/>
      <c r="G5704" s="121"/>
      <c r="H5704" s="93"/>
      <c r="I5704" s="85"/>
      <c r="J5704" s="122"/>
      <c r="K5704" s="150"/>
      <c r="L5704" s="75"/>
      <c r="M5704" s="50"/>
      <c r="Q5704" s="3"/>
      <c r="R5704" s="3"/>
      <c r="S5704" s="3"/>
      <c r="T5704" s="3"/>
      <c r="U5704" s="3"/>
      <c r="V5704" s="3"/>
      <c r="W5704" s="3"/>
      <c r="X5704" s="3"/>
      <c r="Y5704" s="3"/>
      <c r="Z5704" s="4"/>
      <c r="AA5704"/>
      <c r="AB5704"/>
    </row>
    <row r="5705" spans="1:28" s="37" customFormat="1" x14ac:dyDescent="0.15">
      <c r="A5705" s="70"/>
      <c r="B5705" s="118"/>
      <c r="C5705" s="121"/>
      <c r="D5705" s="121"/>
      <c r="E5705" s="121"/>
      <c r="F5705" s="121"/>
      <c r="G5705" s="121"/>
      <c r="H5705" s="93"/>
      <c r="I5705" s="85"/>
      <c r="J5705" s="122"/>
      <c r="K5705" s="150"/>
      <c r="L5705" s="75"/>
      <c r="M5705" s="50"/>
      <c r="Q5705" s="3"/>
      <c r="R5705" s="3"/>
      <c r="S5705" s="3"/>
      <c r="T5705" s="3"/>
      <c r="U5705" s="3"/>
      <c r="V5705" s="3"/>
      <c r="W5705" s="3"/>
      <c r="X5705" s="3"/>
      <c r="Y5705" s="3"/>
      <c r="Z5705" s="4"/>
      <c r="AA5705"/>
      <c r="AB5705"/>
    </row>
    <row r="5706" spans="1:28" s="37" customFormat="1" x14ac:dyDescent="0.15">
      <c r="A5706" s="70"/>
      <c r="B5706" s="118"/>
      <c r="C5706" s="121"/>
      <c r="D5706" s="121"/>
      <c r="E5706" s="121"/>
      <c r="F5706" s="121"/>
      <c r="G5706" s="121"/>
      <c r="H5706" s="93"/>
      <c r="I5706" s="85"/>
      <c r="J5706" s="85"/>
      <c r="K5706" s="150"/>
      <c r="L5706" s="75"/>
      <c r="M5706" s="50"/>
      <c r="Q5706" s="3"/>
      <c r="R5706" s="3"/>
      <c r="S5706" s="3"/>
      <c r="T5706" s="3"/>
      <c r="U5706" s="3"/>
      <c r="V5706" s="3"/>
      <c r="W5706" s="3"/>
      <c r="X5706" s="3"/>
      <c r="Y5706" s="3"/>
      <c r="Z5706" s="4"/>
      <c r="AA5706"/>
      <c r="AB5706"/>
    </row>
    <row r="5707" spans="1:28" s="37" customFormat="1" x14ac:dyDescent="0.15">
      <c r="A5707" s="70"/>
      <c r="B5707" s="118"/>
      <c r="C5707" s="121"/>
      <c r="D5707" s="121"/>
      <c r="E5707" s="121"/>
      <c r="F5707" s="121"/>
      <c r="G5707" s="121"/>
      <c r="H5707" s="93"/>
      <c r="I5707" s="85"/>
      <c r="J5707" s="85"/>
      <c r="K5707" s="150"/>
      <c r="L5707" s="75"/>
      <c r="M5707" s="50"/>
      <c r="O5707" s="51"/>
      <c r="Q5707" s="3"/>
      <c r="R5707" s="3"/>
      <c r="S5707" s="3"/>
      <c r="T5707" s="3"/>
      <c r="U5707" s="3"/>
      <c r="V5707" s="3"/>
      <c r="W5707" s="3"/>
      <c r="X5707" s="3"/>
      <c r="Y5707" s="3"/>
      <c r="Z5707" s="4"/>
      <c r="AA5707"/>
      <c r="AB5707"/>
    </row>
    <row r="5708" spans="1:28" s="37" customFormat="1" x14ac:dyDescent="0.15">
      <c r="A5708" s="70"/>
      <c r="B5708" s="118"/>
      <c r="C5708" s="121"/>
      <c r="D5708" s="121"/>
      <c r="E5708" s="121"/>
      <c r="F5708" s="121"/>
      <c r="G5708" s="121"/>
      <c r="H5708" s="93"/>
      <c r="I5708" s="85"/>
      <c r="J5708" s="85"/>
      <c r="K5708" s="150"/>
      <c r="L5708" s="76"/>
      <c r="M5708" s="50"/>
      <c r="Q5708" s="3"/>
      <c r="R5708" s="3"/>
      <c r="S5708" s="3"/>
      <c r="T5708" s="3"/>
      <c r="U5708" s="3"/>
      <c r="V5708" s="3"/>
      <c r="W5708" s="3"/>
      <c r="X5708" s="3"/>
      <c r="Y5708" s="3"/>
      <c r="Z5708" s="4"/>
      <c r="AA5708"/>
      <c r="AB5708"/>
    </row>
    <row r="5709" spans="1:28" s="37" customFormat="1" x14ac:dyDescent="0.15">
      <c r="A5709" s="70"/>
      <c r="B5709" s="118"/>
      <c r="C5709" s="121"/>
      <c r="D5709" s="121"/>
      <c r="E5709" s="121"/>
      <c r="F5709" s="121"/>
      <c r="G5709" s="121"/>
      <c r="H5709" s="93"/>
      <c r="I5709" s="85"/>
      <c r="J5709" s="85"/>
      <c r="K5709" s="150"/>
      <c r="L5709" s="76"/>
      <c r="M5709" s="50"/>
      <c r="Q5709" s="3"/>
      <c r="R5709" s="3"/>
      <c r="S5709" s="3"/>
      <c r="T5709" s="3"/>
      <c r="U5709" s="3"/>
      <c r="V5709" s="3"/>
      <c r="W5709" s="3"/>
      <c r="X5709" s="3"/>
      <c r="Y5709" s="3"/>
      <c r="Z5709" s="4"/>
      <c r="AA5709"/>
      <c r="AB5709"/>
    </row>
    <row r="5710" spans="1:28" s="37" customFormat="1" x14ac:dyDescent="0.15">
      <c r="A5710" s="70"/>
      <c r="B5710" s="118"/>
      <c r="C5710" s="121"/>
      <c r="D5710" s="121"/>
      <c r="E5710" s="121"/>
      <c r="F5710" s="121"/>
      <c r="G5710" s="121"/>
      <c r="H5710" s="93"/>
      <c r="I5710" s="85"/>
      <c r="J5710" s="85"/>
      <c r="K5710" s="150"/>
      <c r="L5710" s="75"/>
      <c r="M5710" s="50"/>
      <c r="Q5710" s="3"/>
      <c r="R5710" s="3"/>
      <c r="S5710" s="3"/>
      <c r="T5710" s="3"/>
      <c r="U5710" s="3"/>
      <c r="V5710" s="3"/>
      <c r="W5710" s="3"/>
      <c r="X5710" s="3"/>
      <c r="Y5710" s="3"/>
      <c r="Z5710" s="4"/>
      <c r="AA5710"/>
      <c r="AB5710"/>
    </row>
    <row r="5711" spans="1:28" s="37" customFormat="1" x14ac:dyDescent="0.15">
      <c r="A5711" s="70"/>
      <c r="B5711" s="118"/>
      <c r="C5711" s="121"/>
      <c r="D5711" s="121"/>
      <c r="E5711" s="121"/>
      <c r="F5711" s="121"/>
      <c r="G5711" s="121"/>
      <c r="H5711" s="93"/>
      <c r="I5711" s="85"/>
      <c r="J5711" s="85"/>
      <c r="K5711" s="150"/>
      <c r="L5711" s="76"/>
      <c r="M5711" s="50"/>
      <c r="Q5711" s="3"/>
      <c r="R5711" s="3"/>
      <c r="S5711" s="3"/>
      <c r="T5711" s="3"/>
      <c r="U5711" s="3"/>
      <c r="V5711" s="3"/>
      <c r="W5711" s="3"/>
      <c r="X5711" s="3"/>
      <c r="Y5711" s="3"/>
      <c r="Z5711" s="4"/>
      <c r="AA5711"/>
      <c r="AB5711"/>
    </row>
    <row r="5712" spans="1:28" s="37" customFormat="1" x14ac:dyDescent="0.15">
      <c r="A5712" s="70"/>
      <c r="B5712" s="118"/>
      <c r="C5712" s="121"/>
      <c r="D5712" s="121"/>
      <c r="E5712" s="121"/>
      <c r="F5712" s="121"/>
      <c r="G5712" s="121"/>
      <c r="H5712" s="93"/>
      <c r="I5712" s="85"/>
      <c r="J5712" s="85"/>
      <c r="K5712" s="150"/>
      <c r="L5712" s="76"/>
      <c r="M5712" s="50"/>
      <c r="Q5712" s="3"/>
      <c r="R5712" s="3"/>
      <c r="S5712" s="3"/>
      <c r="T5712" s="3"/>
      <c r="U5712" s="3"/>
      <c r="V5712" s="3"/>
      <c r="W5712" s="3"/>
      <c r="X5712" s="3"/>
      <c r="Y5712" s="3"/>
      <c r="Z5712" s="4"/>
      <c r="AA5712"/>
      <c r="AB5712"/>
    </row>
    <row r="5713" spans="1:28" s="37" customFormat="1" x14ac:dyDescent="0.15">
      <c r="A5713" s="70"/>
      <c r="B5713" s="118"/>
      <c r="C5713" s="121"/>
      <c r="D5713" s="121"/>
      <c r="E5713" s="121"/>
      <c r="F5713" s="121"/>
      <c r="G5713" s="121"/>
      <c r="H5713" s="93"/>
      <c r="I5713" s="85"/>
      <c r="J5713" s="85"/>
      <c r="K5713" s="150"/>
      <c r="L5713" s="75"/>
      <c r="M5713" s="50"/>
      <c r="Q5713" s="3"/>
      <c r="R5713" s="3"/>
      <c r="S5713" s="3"/>
      <c r="T5713" s="3"/>
      <c r="U5713" s="3"/>
      <c r="V5713" s="3"/>
      <c r="W5713" s="3"/>
      <c r="X5713" s="3"/>
      <c r="Y5713" s="3"/>
      <c r="Z5713" s="4"/>
      <c r="AA5713"/>
      <c r="AB5713"/>
    </row>
    <row r="5714" spans="1:28" s="37" customFormat="1" x14ac:dyDescent="0.15">
      <c r="A5714" s="70"/>
      <c r="B5714" s="118"/>
      <c r="C5714" s="121"/>
      <c r="D5714" s="121"/>
      <c r="E5714" s="121"/>
      <c r="F5714" s="121"/>
      <c r="G5714" s="121"/>
      <c r="H5714" s="93"/>
      <c r="I5714" s="85"/>
      <c r="J5714" s="85"/>
      <c r="K5714" s="150"/>
      <c r="L5714" s="75"/>
      <c r="M5714" s="50"/>
      <c r="Q5714" s="3"/>
      <c r="R5714" s="3"/>
      <c r="S5714" s="3"/>
      <c r="T5714" s="3"/>
      <c r="U5714" s="3"/>
      <c r="V5714" s="3"/>
      <c r="W5714" s="3"/>
      <c r="X5714" s="3"/>
      <c r="Y5714" s="3"/>
      <c r="Z5714" s="4"/>
      <c r="AA5714"/>
      <c r="AB5714"/>
    </row>
    <row r="5715" spans="1:28" s="37" customFormat="1" x14ac:dyDescent="0.15">
      <c r="A5715" s="73"/>
      <c r="B5715" s="118"/>
      <c r="C5715" s="121"/>
      <c r="D5715" s="121"/>
      <c r="E5715" s="121"/>
      <c r="F5715" s="121"/>
      <c r="G5715" s="121"/>
      <c r="H5715" s="93"/>
      <c r="I5715" s="85"/>
      <c r="J5715" s="85"/>
      <c r="K5715" s="150"/>
      <c r="L5715" s="75"/>
      <c r="M5715" s="50"/>
      <c r="O5715" s="51"/>
      <c r="Q5715" s="3"/>
      <c r="R5715" s="3"/>
      <c r="S5715" s="3"/>
      <c r="T5715" s="3"/>
      <c r="U5715" s="3"/>
      <c r="V5715" s="3"/>
      <c r="W5715" s="3"/>
      <c r="X5715" s="3"/>
      <c r="Y5715" s="3"/>
      <c r="Z5715" s="4"/>
      <c r="AA5715"/>
      <c r="AB5715"/>
    </row>
    <row r="5716" spans="1:28" s="37" customFormat="1" x14ac:dyDescent="0.15">
      <c r="A5716" s="70"/>
      <c r="B5716" s="118"/>
      <c r="C5716" s="121"/>
      <c r="D5716" s="121"/>
      <c r="E5716" s="121"/>
      <c r="F5716" s="121"/>
      <c r="G5716" s="121"/>
      <c r="H5716" s="93"/>
      <c r="I5716" s="85"/>
      <c r="J5716" s="95"/>
      <c r="K5716" s="150"/>
      <c r="L5716" s="76"/>
      <c r="M5716" s="50"/>
      <c r="Q5716" s="3"/>
      <c r="R5716" s="3"/>
      <c r="S5716" s="3"/>
      <c r="T5716" s="3"/>
      <c r="U5716" s="3"/>
      <c r="V5716" s="3"/>
      <c r="W5716" s="3"/>
      <c r="X5716" s="3"/>
      <c r="Y5716" s="3"/>
      <c r="Z5716" s="4"/>
      <c r="AA5716"/>
      <c r="AB5716"/>
    </row>
    <row r="5717" spans="1:28" s="37" customFormat="1" x14ac:dyDescent="0.15">
      <c r="A5717" s="70"/>
      <c r="B5717" s="118"/>
      <c r="C5717" s="121"/>
      <c r="D5717" s="121"/>
      <c r="E5717" s="121"/>
      <c r="F5717" s="121"/>
      <c r="G5717" s="121"/>
      <c r="H5717" s="93"/>
      <c r="I5717" s="85"/>
      <c r="J5717" s="85"/>
      <c r="K5717" s="150"/>
      <c r="L5717" s="76"/>
      <c r="M5717" s="50"/>
      <c r="O5717" s="51"/>
      <c r="Q5717" s="3"/>
      <c r="R5717" s="3"/>
      <c r="S5717" s="3"/>
      <c r="T5717" s="3"/>
      <c r="U5717" s="3"/>
      <c r="V5717" s="3"/>
      <c r="W5717" s="3"/>
      <c r="X5717" s="3"/>
      <c r="Y5717" s="3"/>
      <c r="Z5717" s="4"/>
      <c r="AA5717"/>
      <c r="AB5717"/>
    </row>
    <row r="5718" spans="1:28" s="37" customFormat="1" x14ac:dyDescent="0.15">
      <c r="A5718" s="70"/>
      <c r="B5718" s="118"/>
      <c r="C5718" s="121"/>
      <c r="D5718" s="121"/>
      <c r="E5718" s="121"/>
      <c r="F5718" s="121"/>
      <c r="G5718" s="121"/>
      <c r="H5718" s="93"/>
      <c r="I5718" s="85"/>
      <c r="J5718" s="85"/>
      <c r="K5718" s="150"/>
      <c r="L5718" s="75"/>
      <c r="M5718" s="50"/>
      <c r="Q5718" s="3"/>
      <c r="R5718" s="3"/>
      <c r="S5718" s="3"/>
      <c r="T5718" s="3"/>
      <c r="U5718" s="3"/>
      <c r="V5718" s="3"/>
      <c r="W5718" s="3"/>
      <c r="X5718" s="3"/>
      <c r="Y5718" s="3"/>
      <c r="Z5718" s="4"/>
      <c r="AA5718"/>
      <c r="AB5718"/>
    </row>
    <row r="5719" spans="1:28" s="37" customFormat="1" x14ac:dyDescent="0.15">
      <c r="A5719" s="70"/>
      <c r="B5719" s="118"/>
      <c r="C5719" s="121"/>
      <c r="D5719" s="121"/>
      <c r="E5719" s="121"/>
      <c r="F5719" s="121"/>
      <c r="G5719" s="121"/>
      <c r="H5719" s="93"/>
      <c r="I5719" s="85"/>
      <c r="J5719" s="85"/>
      <c r="K5719" s="150"/>
      <c r="L5719" s="75"/>
      <c r="M5719" s="50"/>
      <c r="Q5719" s="3"/>
      <c r="R5719" s="3"/>
      <c r="S5719" s="3"/>
      <c r="T5719" s="3"/>
      <c r="U5719" s="3"/>
      <c r="V5719" s="3"/>
      <c r="W5719" s="3"/>
      <c r="X5719" s="3"/>
      <c r="Y5719" s="3"/>
      <c r="Z5719" s="4"/>
      <c r="AA5719"/>
      <c r="AB5719"/>
    </row>
    <row r="5720" spans="1:28" s="37" customFormat="1" x14ac:dyDescent="0.15">
      <c r="A5720" s="70"/>
      <c r="B5720" s="118"/>
      <c r="C5720" s="121"/>
      <c r="D5720" s="121"/>
      <c r="E5720" s="121"/>
      <c r="F5720" s="121"/>
      <c r="G5720" s="121"/>
      <c r="H5720" s="93"/>
      <c r="I5720" s="85"/>
      <c r="J5720" s="85"/>
      <c r="K5720" s="150"/>
      <c r="L5720" s="75"/>
      <c r="M5720" s="50"/>
      <c r="Q5720" s="3"/>
      <c r="R5720" s="3"/>
      <c r="S5720" s="3"/>
      <c r="T5720" s="3"/>
      <c r="U5720" s="3"/>
      <c r="V5720" s="3"/>
      <c r="W5720" s="3"/>
      <c r="X5720" s="3"/>
      <c r="Y5720" s="3"/>
      <c r="Z5720" s="4"/>
      <c r="AA5720"/>
      <c r="AB5720"/>
    </row>
    <row r="5721" spans="1:28" s="37" customFormat="1" x14ac:dyDescent="0.15">
      <c r="A5721" s="73"/>
      <c r="B5721" s="118"/>
      <c r="C5721" s="121"/>
      <c r="D5721" s="121"/>
      <c r="E5721" s="121"/>
      <c r="F5721" s="121"/>
      <c r="G5721" s="121"/>
      <c r="H5721" s="93"/>
      <c r="I5721" s="85"/>
      <c r="J5721" s="85"/>
      <c r="K5721" s="150"/>
      <c r="L5721" s="75"/>
      <c r="M5721" s="50"/>
      <c r="Q5721" s="3"/>
      <c r="R5721" s="3"/>
      <c r="S5721" s="3"/>
      <c r="T5721" s="3"/>
      <c r="U5721" s="3"/>
      <c r="V5721" s="3"/>
      <c r="W5721" s="3"/>
      <c r="X5721" s="3"/>
      <c r="Y5721" s="3"/>
      <c r="Z5721" s="4"/>
      <c r="AA5721"/>
      <c r="AB5721"/>
    </row>
    <row r="5722" spans="1:28" s="37" customFormat="1" x14ac:dyDescent="0.15">
      <c r="A5722" s="70"/>
      <c r="B5722" s="118"/>
      <c r="C5722" s="121"/>
      <c r="D5722" s="121"/>
      <c r="E5722" s="121"/>
      <c r="F5722" s="121"/>
      <c r="G5722" s="121"/>
      <c r="H5722" s="93"/>
      <c r="I5722" s="85"/>
      <c r="J5722" s="85"/>
      <c r="K5722" s="150"/>
      <c r="L5722" s="75"/>
      <c r="M5722" s="50"/>
      <c r="Q5722" s="3"/>
      <c r="R5722" s="3"/>
      <c r="S5722" s="3"/>
      <c r="T5722" s="3"/>
      <c r="U5722" s="3"/>
      <c r="V5722" s="3"/>
      <c r="W5722" s="3"/>
      <c r="X5722" s="3"/>
      <c r="Y5722" s="3"/>
      <c r="Z5722" s="4"/>
      <c r="AA5722"/>
      <c r="AB5722"/>
    </row>
    <row r="5723" spans="1:28" s="37" customFormat="1" x14ac:dyDescent="0.15">
      <c r="A5723" s="70"/>
      <c r="B5723" s="118"/>
      <c r="C5723" s="121"/>
      <c r="D5723" s="121"/>
      <c r="E5723" s="121"/>
      <c r="F5723" s="121"/>
      <c r="G5723" s="121"/>
      <c r="H5723" s="93"/>
      <c r="I5723" s="85"/>
      <c r="J5723" s="122"/>
      <c r="K5723" s="150"/>
      <c r="L5723" s="75"/>
      <c r="M5723" s="50"/>
      <c r="Q5723" s="3"/>
      <c r="R5723" s="3"/>
      <c r="S5723" s="3"/>
      <c r="T5723" s="3"/>
      <c r="U5723" s="3"/>
      <c r="V5723" s="3"/>
      <c r="W5723" s="3"/>
      <c r="X5723" s="3"/>
      <c r="Y5723" s="3"/>
      <c r="Z5723" s="4"/>
      <c r="AA5723"/>
      <c r="AB5723"/>
    </row>
  </sheetData>
  <dataConsolidate/>
  <mergeCells count="1">
    <mergeCell ref="A2:J2"/>
  </mergeCells>
  <pageMargins left="0.5" right="0.5" top="0.75" bottom="0.5" header="0.5" footer="0.5"/>
  <pageSetup scale="75" fitToHeight="400" orientation="landscape" horizontalDpi="4294967292" verticalDpi="4294967292"/>
  <headerFooter alignWithMargins="0">
    <oddHeader>&amp;F&amp;RPage &amp;P</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5758"/>
  <sheetViews>
    <sheetView topLeftCell="A74" workbookViewId="0">
      <selection activeCell="C79" sqref="C79"/>
    </sheetView>
  </sheetViews>
  <sheetFormatPr baseColWidth="10" defaultColWidth="11.5" defaultRowHeight="13" x14ac:dyDescent="0.15"/>
  <cols>
    <col min="1" max="1" width="9.1640625" style="171" customWidth="1"/>
    <col min="2" max="2" width="23.33203125" style="126" customWidth="1"/>
    <col min="3" max="3" width="10.83203125" style="127" customWidth="1"/>
    <col min="4" max="5" width="13.6640625" style="127" customWidth="1"/>
    <col min="6" max="6" width="15.33203125" style="127" customWidth="1"/>
    <col min="7" max="7" width="14.83203125" style="127" customWidth="1"/>
    <col min="8" max="8" width="17.1640625" style="126" customWidth="1"/>
    <col min="9" max="9" width="9" style="94" bestFit="1" customWidth="1"/>
    <col min="10" max="10" width="18.5" style="94" customWidth="1"/>
    <col min="11" max="11" width="22.1640625" style="138" customWidth="1"/>
    <col min="12" max="12" width="9.1640625" style="71" customWidth="1"/>
    <col min="13" max="13" width="9" style="49" customWidth="1"/>
    <col min="14" max="14" width="12.5" style="37" customWidth="1"/>
    <col min="15" max="16" width="9" style="37" customWidth="1"/>
    <col min="17" max="25" width="8.83203125" style="3" customWidth="1"/>
    <col min="26" max="26" width="10.83203125" style="4" customWidth="1"/>
  </cols>
  <sheetData>
    <row r="1" spans="1:28" s="26" customFormat="1" ht="20" customHeight="1" x14ac:dyDescent="0.2">
      <c r="A1" s="223" t="s">
        <v>122</v>
      </c>
      <c r="B1" s="78"/>
      <c r="C1" s="79"/>
      <c r="D1" s="79"/>
      <c r="E1" s="79"/>
      <c r="F1" s="79"/>
      <c r="G1" s="79"/>
      <c r="H1" s="78"/>
      <c r="I1" s="80"/>
      <c r="J1" s="80"/>
      <c r="K1" s="129"/>
      <c r="L1" s="59"/>
      <c r="M1" s="45"/>
      <c r="N1" s="45"/>
      <c r="O1" s="45"/>
      <c r="P1" s="45"/>
      <c r="Q1" s="27"/>
      <c r="R1" s="27"/>
      <c r="S1" s="27"/>
      <c r="T1" s="27"/>
      <c r="U1" s="27"/>
      <c r="V1" s="27"/>
      <c r="W1" s="27"/>
      <c r="X1" s="27"/>
      <c r="Y1" s="27"/>
      <c r="Z1" s="27"/>
    </row>
    <row r="2" spans="1:28" s="5" customFormat="1" ht="55" customHeight="1" x14ac:dyDescent="0.15">
      <c r="A2" s="310" t="s">
        <v>8050</v>
      </c>
      <c r="B2" s="310"/>
      <c r="C2" s="310"/>
      <c r="D2" s="310"/>
      <c r="E2" s="310"/>
      <c r="F2" s="310"/>
      <c r="G2" s="310"/>
      <c r="H2" s="310"/>
      <c r="I2" s="310"/>
      <c r="J2" s="310"/>
      <c r="K2" s="130"/>
      <c r="L2" s="60"/>
      <c r="M2" s="46"/>
      <c r="N2" s="46"/>
      <c r="O2" s="46"/>
      <c r="P2" s="46"/>
      <c r="Q2" s="7"/>
      <c r="R2" s="7"/>
      <c r="S2" s="7"/>
      <c r="T2" s="7"/>
      <c r="U2" s="7"/>
      <c r="V2" s="7"/>
      <c r="W2" s="7"/>
      <c r="X2" s="7"/>
      <c r="Y2" s="7"/>
      <c r="Z2" s="7"/>
    </row>
    <row r="3" spans="1:28" s="44" customFormat="1" ht="68" x14ac:dyDescent="0.15">
      <c r="A3" s="163" t="s">
        <v>3407</v>
      </c>
      <c r="B3" s="39" t="s">
        <v>4858</v>
      </c>
      <c r="C3" s="40" t="s">
        <v>4250</v>
      </c>
      <c r="D3" s="40" t="s">
        <v>4041</v>
      </c>
      <c r="E3" s="40" t="s">
        <v>4904</v>
      </c>
      <c r="F3" s="40" t="s">
        <v>3409</v>
      </c>
      <c r="G3" s="40" t="s">
        <v>4299</v>
      </c>
      <c r="H3" s="174"/>
      <c r="I3" s="41" t="s">
        <v>3174</v>
      </c>
      <c r="J3" s="42" t="s">
        <v>3419</v>
      </c>
      <c r="K3" s="39" t="s">
        <v>3634</v>
      </c>
      <c r="L3" s="38" t="s">
        <v>5012</v>
      </c>
      <c r="M3" s="39" t="s">
        <v>6711</v>
      </c>
      <c r="N3" s="39" t="s">
        <v>7507</v>
      </c>
      <c r="O3" s="58" t="s">
        <v>7507</v>
      </c>
      <c r="P3" s="58" t="s">
        <v>7914</v>
      </c>
      <c r="Q3" s="58" t="s">
        <v>7915</v>
      </c>
      <c r="R3" s="58" t="s">
        <v>7916</v>
      </c>
      <c r="S3" s="43"/>
      <c r="T3" s="43"/>
      <c r="U3" s="43"/>
      <c r="V3" s="43"/>
      <c r="W3" s="43"/>
      <c r="X3" s="43"/>
      <c r="Y3" s="43"/>
      <c r="Z3" s="43"/>
    </row>
    <row r="4" spans="1:28" ht="14" x14ac:dyDescent="0.15">
      <c r="A4" s="70" t="s">
        <v>3635</v>
      </c>
      <c r="B4" s="82"/>
      <c r="C4" s="70" t="s">
        <v>3636</v>
      </c>
      <c r="D4" s="70" t="s">
        <v>2837</v>
      </c>
      <c r="E4" s="70" t="s">
        <v>3022</v>
      </c>
      <c r="F4" s="70" t="s">
        <v>3023</v>
      </c>
      <c r="G4" s="70" t="s">
        <v>3176</v>
      </c>
      <c r="H4" s="93"/>
      <c r="I4" s="85">
        <f t="shared" ref="I4:I21" si="0">LOG(J4)</f>
        <v>4.6635400000000011</v>
      </c>
      <c r="J4" s="85">
        <v>46082.921067455376</v>
      </c>
      <c r="K4" s="131" t="s">
        <v>3177</v>
      </c>
      <c r="L4" s="60">
        <v>60</v>
      </c>
    </row>
    <row r="5" spans="1:28" s="246" customFormat="1" x14ac:dyDescent="0.15">
      <c r="A5" s="236" t="s">
        <v>3635</v>
      </c>
      <c r="B5" s="237"/>
      <c r="C5" s="238" t="s">
        <v>4905</v>
      </c>
      <c r="D5" s="236" t="s">
        <v>2837</v>
      </c>
      <c r="E5" s="236" t="s">
        <v>3022</v>
      </c>
      <c r="F5" s="236" t="s">
        <v>2237</v>
      </c>
      <c r="G5" s="236" t="s">
        <v>4194</v>
      </c>
      <c r="H5" s="237"/>
      <c r="I5" s="239">
        <f t="shared" si="0"/>
        <v>4.1760912590556813</v>
      </c>
      <c r="J5" s="240">
        <v>15000</v>
      </c>
      <c r="K5" s="241"/>
      <c r="L5" s="242" t="s">
        <v>4813</v>
      </c>
      <c r="M5" s="243"/>
      <c r="N5" s="244"/>
      <c r="O5" s="244"/>
      <c r="P5" s="244"/>
      <c r="Q5" s="245"/>
      <c r="R5" s="245"/>
      <c r="S5" s="3"/>
      <c r="T5" s="3"/>
      <c r="U5" s="3"/>
      <c r="V5" s="3"/>
      <c r="W5" s="3"/>
      <c r="X5" s="3"/>
      <c r="Y5" s="3"/>
      <c r="Z5" s="4"/>
      <c r="AA5"/>
      <c r="AB5"/>
    </row>
    <row r="6" spans="1:28" s="246" customFormat="1" x14ac:dyDescent="0.15">
      <c r="A6" s="236" t="s">
        <v>3635</v>
      </c>
      <c r="B6" s="237"/>
      <c r="C6" s="238" t="s">
        <v>4905</v>
      </c>
      <c r="D6" s="236" t="s">
        <v>2837</v>
      </c>
      <c r="E6" s="236" t="s">
        <v>3022</v>
      </c>
      <c r="F6" s="236" t="s">
        <v>2237</v>
      </c>
      <c r="G6" s="236" t="s">
        <v>2913</v>
      </c>
      <c r="H6" s="237"/>
      <c r="I6" s="239">
        <f t="shared" si="0"/>
        <v>4</v>
      </c>
      <c r="J6" s="240">
        <v>10000</v>
      </c>
      <c r="K6" s="241"/>
      <c r="L6" s="242" t="s">
        <v>7069</v>
      </c>
      <c r="M6" s="243"/>
      <c r="N6" s="244"/>
      <c r="O6" s="244"/>
      <c r="P6" s="244"/>
      <c r="Q6" s="245"/>
      <c r="R6" s="245"/>
      <c r="S6" s="3"/>
      <c r="T6" s="3"/>
      <c r="U6" s="3"/>
      <c r="V6" s="3"/>
      <c r="W6" s="3"/>
      <c r="X6" s="3"/>
      <c r="Y6" s="3"/>
      <c r="Z6" s="4"/>
      <c r="AA6"/>
      <c r="AB6"/>
    </row>
    <row r="7" spans="1:28" s="246" customFormat="1" x14ac:dyDescent="0.15">
      <c r="A7" s="236" t="s">
        <v>3635</v>
      </c>
      <c r="B7" s="237"/>
      <c r="C7" s="238" t="s">
        <v>4905</v>
      </c>
      <c r="D7" s="236" t="s">
        <v>2837</v>
      </c>
      <c r="E7" s="236" t="s">
        <v>3022</v>
      </c>
      <c r="F7" s="236" t="s">
        <v>7114</v>
      </c>
      <c r="G7" s="236" t="s">
        <v>7067</v>
      </c>
      <c r="H7" s="237"/>
      <c r="I7" s="239">
        <f t="shared" si="0"/>
        <v>4.7075701760979367</v>
      </c>
      <c r="J7" s="240">
        <v>51000</v>
      </c>
      <c r="K7" s="241"/>
      <c r="L7" s="242">
        <v>27</v>
      </c>
      <c r="M7" s="243"/>
      <c r="N7" s="244"/>
      <c r="O7" s="244"/>
      <c r="P7" s="244"/>
      <c r="Q7" s="245"/>
      <c r="R7" s="245"/>
      <c r="S7" s="3"/>
      <c r="T7" s="3"/>
      <c r="U7" s="3"/>
      <c r="V7" s="3"/>
      <c r="W7" s="3"/>
      <c r="X7" s="3"/>
      <c r="Y7" s="3"/>
      <c r="Z7" s="4"/>
      <c r="AA7"/>
      <c r="AB7"/>
    </row>
    <row r="8" spans="1:28" s="246" customFormat="1" x14ac:dyDescent="0.15">
      <c r="A8" s="236" t="s">
        <v>3635</v>
      </c>
      <c r="B8" s="237"/>
      <c r="C8" s="238" t="s">
        <v>4905</v>
      </c>
      <c r="D8" s="236" t="s">
        <v>2837</v>
      </c>
      <c r="E8" s="236" t="s">
        <v>3022</v>
      </c>
      <c r="F8" s="236" t="s">
        <v>7114</v>
      </c>
      <c r="G8" s="236" t="s">
        <v>7115</v>
      </c>
      <c r="H8" s="237"/>
      <c r="I8" s="239">
        <f t="shared" si="0"/>
        <v>4.7403626894942441</v>
      </c>
      <c r="J8" s="240">
        <v>55000</v>
      </c>
      <c r="K8" s="241"/>
      <c r="L8" s="247">
        <v>27</v>
      </c>
      <c r="M8" s="243"/>
      <c r="N8" s="244"/>
      <c r="O8" s="244"/>
      <c r="P8" s="244"/>
      <c r="Q8" s="245"/>
      <c r="R8" s="245"/>
      <c r="S8" s="3"/>
      <c r="T8" s="3"/>
      <c r="U8" s="3"/>
      <c r="V8" s="3"/>
      <c r="W8" s="3"/>
      <c r="X8" s="3"/>
      <c r="Y8" s="3"/>
      <c r="Z8" s="4"/>
      <c r="AA8"/>
      <c r="AB8"/>
    </row>
    <row r="9" spans="1:28" s="246" customFormat="1" x14ac:dyDescent="0.15">
      <c r="A9" s="236" t="s">
        <v>3635</v>
      </c>
      <c r="B9" s="237"/>
      <c r="C9" s="238" t="s">
        <v>4905</v>
      </c>
      <c r="D9" s="236" t="s">
        <v>2837</v>
      </c>
      <c r="E9" s="236" t="s">
        <v>3022</v>
      </c>
      <c r="F9" s="236" t="s">
        <v>4814</v>
      </c>
      <c r="G9" s="236" t="s">
        <v>4815</v>
      </c>
      <c r="H9" s="237"/>
      <c r="I9" s="239">
        <f t="shared" si="0"/>
        <v>4.7781512503836439</v>
      </c>
      <c r="J9" s="240">
        <v>60000</v>
      </c>
      <c r="K9" s="241"/>
      <c r="L9" s="247" t="s">
        <v>2095</v>
      </c>
      <c r="M9" s="243"/>
      <c r="N9" s="244"/>
      <c r="O9" s="244"/>
      <c r="P9" s="244"/>
      <c r="Q9" s="245"/>
      <c r="R9" s="245"/>
      <c r="S9" s="3"/>
      <c r="T9" s="3"/>
      <c r="U9" s="3"/>
      <c r="V9" s="3"/>
      <c r="W9" s="3"/>
      <c r="X9" s="3"/>
      <c r="Y9" s="3"/>
      <c r="Z9" s="4"/>
      <c r="AA9"/>
      <c r="AB9"/>
    </row>
    <row r="10" spans="1:28" ht="14" x14ac:dyDescent="0.15">
      <c r="A10" s="70" t="s">
        <v>2633</v>
      </c>
      <c r="B10" s="82"/>
      <c r="C10" s="70" t="s">
        <v>3636</v>
      </c>
      <c r="D10" s="70" t="s">
        <v>2837</v>
      </c>
      <c r="E10" s="70" t="s">
        <v>3178</v>
      </c>
      <c r="F10" s="70" t="s">
        <v>3179</v>
      </c>
      <c r="G10" s="70" t="s">
        <v>3180</v>
      </c>
      <c r="H10" s="93"/>
      <c r="I10" s="85">
        <f t="shared" si="0"/>
        <v>4.8451000000000004</v>
      </c>
      <c r="J10" s="85">
        <v>70000.315913089813</v>
      </c>
      <c r="K10" s="131" t="s">
        <v>6522</v>
      </c>
      <c r="L10" s="60">
        <v>60</v>
      </c>
      <c r="M10" s="49" t="s">
        <v>6809</v>
      </c>
    </row>
    <row r="11" spans="1:28" ht="28" x14ac:dyDescent="0.15">
      <c r="A11" s="70" t="s">
        <v>2633</v>
      </c>
      <c r="B11" s="82"/>
      <c r="C11" s="70" t="s">
        <v>3636</v>
      </c>
      <c r="D11" s="70" t="s">
        <v>2837</v>
      </c>
      <c r="E11" s="70" t="s">
        <v>3178</v>
      </c>
      <c r="F11" s="70" t="s">
        <v>3181</v>
      </c>
      <c r="G11" s="70" t="s">
        <v>3182</v>
      </c>
      <c r="H11" s="93"/>
      <c r="I11" s="85">
        <f t="shared" si="0"/>
        <v>4.7201600000000008</v>
      </c>
      <c r="J11" s="85">
        <v>52500.084208338223</v>
      </c>
      <c r="K11" s="131" t="s">
        <v>7885</v>
      </c>
      <c r="L11" s="60" t="s">
        <v>2686</v>
      </c>
      <c r="M11" s="49" t="s">
        <v>6392</v>
      </c>
    </row>
    <row r="12" spans="1:28" ht="42" x14ac:dyDescent="0.15">
      <c r="A12" s="70" t="s">
        <v>2633</v>
      </c>
      <c r="B12" s="82"/>
      <c r="C12" s="70" t="s">
        <v>3636</v>
      </c>
      <c r="D12" s="70" t="s">
        <v>2837</v>
      </c>
      <c r="E12" s="70" t="s">
        <v>3178</v>
      </c>
      <c r="F12" s="70" t="s">
        <v>3450</v>
      </c>
      <c r="G12" s="70" t="s">
        <v>3860</v>
      </c>
      <c r="H12" s="93"/>
      <c r="I12" s="85">
        <f t="shared" si="0"/>
        <v>5.2329999999999997</v>
      </c>
      <c r="J12" s="85">
        <v>171001.53150902878</v>
      </c>
      <c r="K12" s="131" t="s">
        <v>6726</v>
      </c>
      <c r="L12" s="60" t="s">
        <v>2686</v>
      </c>
      <c r="M12" s="49" t="s">
        <v>6392</v>
      </c>
    </row>
    <row r="13" spans="1:28" ht="14" x14ac:dyDescent="0.15">
      <c r="A13" s="70" t="s">
        <v>2633</v>
      </c>
      <c r="B13" s="82"/>
      <c r="C13" s="70" t="s">
        <v>3636</v>
      </c>
      <c r="D13" s="70" t="s">
        <v>2837</v>
      </c>
      <c r="E13" s="70" t="s">
        <v>3178</v>
      </c>
      <c r="F13" s="70" t="s">
        <v>3861</v>
      </c>
      <c r="G13" s="70" t="s">
        <v>3862</v>
      </c>
      <c r="H13" s="93"/>
      <c r="I13" s="85">
        <f t="shared" si="0"/>
        <v>4.4479300000000004</v>
      </c>
      <c r="J13" s="85">
        <v>28049.814919141725</v>
      </c>
      <c r="K13" s="131" t="s">
        <v>6818</v>
      </c>
      <c r="L13" s="60">
        <v>60</v>
      </c>
      <c r="M13" s="49" t="s">
        <v>6728</v>
      </c>
    </row>
    <row r="14" spans="1:28" ht="14" x14ac:dyDescent="0.15">
      <c r="A14" s="70" t="s">
        <v>2633</v>
      </c>
      <c r="B14" s="82"/>
      <c r="C14" s="70" t="s">
        <v>3636</v>
      </c>
      <c r="D14" s="70" t="s">
        <v>2837</v>
      </c>
      <c r="E14" s="70" t="s">
        <v>3178</v>
      </c>
      <c r="F14" s="70" t="s">
        <v>3454</v>
      </c>
      <c r="G14" s="70" t="s">
        <v>3191</v>
      </c>
      <c r="H14" s="93"/>
      <c r="I14" s="85">
        <f t="shared" si="0"/>
        <v>4.6812412373755876</v>
      </c>
      <c r="J14" s="85">
        <v>48000</v>
      </c>
      <c r="K14" s="131" t="s">
        <v>6817</v>
      </c>
      <c r="L14" s="60">
        <v>75</v>
      </c>
      <c r="M14" s="49" t="s">
        <v>6728</v>
      </c>
    </row>
    <row r="15" spans="1:28" x14ac:dyDescent="0.15">
      <c r="A15" s="236" t="s">
        <v>2633</v>
      </c>
      <c r="B15" s="237"/>
      <c r="C15" s="238" t="s">
        <v>4905</v>
      </c>
      <c r="D15" s="236" t="s">
        <v>2837</v>
      </c>
      <c r="E15" s="236" t="s">
        <v>3178</v>
      </c>
      <c r="F15" s="236" t="s">
        <v>3192</v>
      </c>
      <c r="G15" s="236" t="s">
        <v>3608</v>
      </c>
      <c r="H15" s="237"/>
      <c r="I15" s="239">
        <f t="shared" si="0"/>
        <v>4.6020599913279625</v>
      </c>
      <c r="J15" s="240">
        <v>40000</v>
      </c>
      <c r="K15" s="241"/>
      <c r="L15" s="242">
        <v>2</v>
      </c>
      <c r="M15" s="243"/>
      <c r="N15" s="244"/>
      <c r="O15" s="244"/>
      <c r="P15" s="244"/>
      <c r="Q15" s="245"/>
      <c r="R15" s="245"/>
    </row>
    <row r="16" spans="1:28" x14ac:dyDescent="0.15">
      <c r="A16" s="236" t="s">
        <v>2633</v>
      </c>
      <c r="B16" s="237"/>
      <c r="C16" s="238" t="s">
        <v>4905</v>
      </c>
      <c r="D16" s="236" t="s">
        <v>2837</v>
      </c>
      <c r="E16" s="236" t="s">
        <v>3178</v>
      </c>
      <c r="F16" s="236" t="s">
        <v>3192</v>
      </c>
      <c r="G16" s="236" t="s">
        <v>6911</v>
      </c>
      <c r="H16" s="237"/>
      <c r="I16" s="239">
        <f t="shared" si="0"/>
        <v>4.5314789170422554</v>
      </c>
      <c r="J16" s="240">
        <v>34000</v>
      </c>
      <c r="K16" s="241"/>
      <c r="L16" s="242">
        <v>1</v>
      </c>
      <c r="M16" s="243"/>
      <c r="N16" s="244"/>
      <c r="O16" s="244"/>
      <c r="P16" s="244"/>
      <c r="Q16" s="245"/>
      <c r="R16" s="245"/>
    </row>
    <row r="17" spans="1:28" ht="28" x14ac:dyDescent="0.15">
      <c r="A17" s="70" t="s">
        <v>2633</v>
      </c>
      <c r="B17" s="82"/>
      <c r="C17" s="70" t="s">
        <v>3636</v>
      </c>
      <c r="D17" s="70" t="s">
        <v>2837</v>
      </c>
      <c r="E17" s="70" t="s">
        <v>3178</v>
      </c>
      <c r="F17" s="70" t="s">
        <v>3192</v>
      </c>
      <c r="G17" s="70" t="s">
        <v>2996</v>
      </c>
      <c r="H17" s="93"/>
      <c r="I17" s="85">
        <f t="shared" si="0"/>
        <v>4.4983105537896009</v>
      </c>
      <c r="J17" s="85">
        <f>AVERAGE(32000, 31000)</f>
        <v>31500</v>
      </c>
      <c r="K17" s="131" t="s">
        <v>6819</v>
      </c>
      <c r="L17" s="60">
        <v>236</v>
      </c>
      <c r="M17" s="49" t="s">
        <v>6392</v>
      </c>
      <c r="P17" s="49"/>
    </row>
    <row r="18" spans="1:28" ht="14" x14ac:dyDescent="0.15">
      <c r="A18" s="70" t="s">
        <v>2479</v>
      </c>
      <c r="B18" s="82"/>
      <c r="C18" s="70" t="s">
        <v>3636</v>
      </c>
      <c r="D18" s="70" t="s">
        <v>2837</v>
      </c>
      <c r="E18" s="73" t="s">
        <v>3178</v>
      </c>
      <c r="F18" s="70" t="s">
        <v>6301</v>
      </c>
      <c r="G18" s="70" t="s">
        <v>6302</v>
      </c>
      <c r="H18" s="93"/>
      <c r="I18" s="85">
        <f t="shared" si="0"/>
        <v>4.5740312677277188</v>
      </c>
      <c r="J18" s="85">
        <v>37500</v>
      </c>
      <c r="K18" s="131" t="s">
        <v>6485</v>
      </c>
      <c r="L18" s="60">
        <v>68</v>
      </c>
      <c r="M18" s="49" t="s">
        <v>6728</v>
      </c>
    </row>
    <row r="19" spans="1:28" ht="14" x14ac:dyDescent="0.15">
      <c r="A19" s="70" t="s">
        <v>3635</v>
      </c>
      <c r="B19" s="82"/>
      <c r="C19" s="70" t="s">
        <v>3636</v>
      </c>
      <c r="D19" s="70" t="s">
        <v>2837</v>
      </c>
      <c r="E19" s="70" t="s">
        <v>3178</v>
      </c>
      <c r="F19" s="70" t="s">
        <v>7191</v>
      </c>
      <c r="G19" s="70" t="s">
        <v>7192</v>
      </c>
      <c r="H19" s="93"/>
      <c r="I19" s="85">
        <f t="shared" si="0"/>
        <v>5.7628700000000013</v>
      </c>
      <c r="J19" s="85">
        <v>579255.2784790505</v>
      </c>
      <c r="K19" s="131" t="s">
        <v>3177</v>
      </c>
      <c r="L19" s="63">
        <v>60</v>
      </c>
      <c r="M19" s="49" t="s">
        <v>6392</v>
      </c>
    </row>
    <row r="20" spans="1:28" ht="14" x14ac:dyDescent="0.15">
      <c r="A20" s="70" t="s">
        <v>2479</v>
      </c>
      <c r="B20" s="82"/>
      <c r="C20" s="70" t="s">
        <v>3636</v>
      </c>
      <c r="D20" s="70" t="s">
        <v>2837</v>
      </c>
      <c r="E20" s="70" t="s">
        <v>3178</v>
      </c>
      <c r="F20" s="70" t="s">
        <v>7191</v>
      </c>
      <c r="G20" s="70" t="s">
        <v>7806</v>
      </c>
      <c r="H20" s="93"/>
      <c r="I20" s="85">
        <f t="shared" si="0"/>
        <v>5.6989700043360187</v>
      </c>
      <c r="J20" s="85">
        <v>500000</v>
      </c>
      <c r="K20" s="131" t="s">
        <v>6485</v>
      </c>
      <c r="L20" s="60">
        <v>68</v>
      </c>
      <c r="M20" s="49" t="s">
        <v>6390</v>
      </c>
    </row>
    <row r="21" spans="1:28" x14ac:dyDescent="0.15">
      <c r="A21" s="236" t="s">
        <v>3635</v>
      </c>
      <c r="B21" s="237"/>
      <c r="C21" s="238" t="s">
        <v>4905</v>
      </c>
      <c r="D21" s="236" t="s">
        <v>2837</v>
      </c>
      <c r="E21" s="236" t="s">
        <v>3178</v>
      </c>
      <c r="F21" s="236" t="s">
        <v>7191</v>
      </c>
      <c r="G21" s="236" t="s">
        <v>4283</v>
      </c>
      <c r="H21" s="237"/>
      <c r="I21" s="239">
        <f t="shared" si="0"/>
        <v>5.9542425094393252</v>
      </c>
      <c r="J21" s="240">
        <v>900000</v>
      </c>
      <c r="K21" s="241"/>
      <c r="L21" s="247">
        <v>58</v>
      </c>
      <c r="M21" s="243"/>
      <c r="N21" s="244"/>
      <c r="O21" s="244"/>
      <c r="P21" s="244"/>
      <c r="Q21" s="245"/>
      <c r="R21" s="245"/>
    </row>
    <row r="22" spans="1:28" ht="14" x14ac:dyDescent="0.15">
      <c r="A22" s="236" t="s">
        <v>2479</v>
      </c>
      <c r="B22" s="237" t="s">
        <v>7680</v>
      </c>
      <c r="C22" s="238" t="s">
        <v>4905</v>
      </c>
      <c r="D22" s="236" t="s">
        <v>2837</v>
      </c>
      <c r="E22" s="236" t="s">
        <v>3178</v>
      </c>
      <c r="F22" s="236" t="s">
        <v>7191</v>
      </c>
      <c r="G22" s="236" t="s">
        <v>2127</v>
      </c>
      <c r="H22" s="237"/>
      <c r="I22" s="239">
        <v>5.7190000000000003</v>
      </c>
      <c r="J22" s="240">
        <v>523600.43658575101</v>
      </c>
      <c r="K22" s="241"/>
      <c r="L22" s="247">
        <v>165</v>
      </c>
      <c r="M22" s="243"/>
      <c r="N22" s="244"/>
      <c r="O22" s="244"/>
      <c r="P22" s="244"/>
      <c r="Q22" s="245"/>
      <c r="R22" s="245"/>
    </row>
    <row r="23" spans="1:28" x14ac:dyDescent="0.15">
      <c r="A23" s="236" t="s">
        <v>3635</v>
      </c>
      <c r="B23" s="237"/>
      <c r="C23" s="238" t="s">
        <v>4905</v>
      </c>
      <c r="D23" s="236" t="s">
        <v>2837</v>
      </c>
      <c r="E23" s="236" t="s">
        <v>3178</v>
      </c>
      <c r="F23" s="236" t="s">
        <v>7191</v>
      </c>
      <c r="G23" s="236" t="s">
        <v>2127</v>
      </c>
      <c r="H23" s="237"/>
      <c r="I23" s="239">
        <f t="shared" ref="I23:I37" si="1">LOG(J23)</f>
        <v>5.9542425094393252</v>
      </c>
      <c r="J23" s="240">
        <v>900000</v>
      </c>
      <c r="K23" s="241"/>
      <c r="L23" s="247" t="s">
        <v>1140</v>
      </c>
      <c r="M23" s="243"/>
      <c r="N23" s="244"/>
      <c r="O23" s="244"/>
      <c r="P23" s="244"/>
      <c r="Q23" s="245"/>
      <c r="R23" s="245"/>
    </row>
    <row r="24" spans="1:28" s="189" customFormat="1" x14ac:dyDescent="0.15">
      <c r="A24" s="236" t="s">
        <v>3635</v>
      </c>
      <c r="B24" s="237"/>
      <c r="C24" s="238" t="s">
        <v>4905</v>
      </c>
      <c r="D24" s="236" t="s">
        <v>2837</v>
      </c>
      <c r="E24" s="236" t="s">
        <v>3178</v>
      </c>
      <c r="F24" s="236" t="s">
        <v>7153</v>
      </c>
      <c r="G24" s="236" t="s">
        <v>4383</v>
      </c>
      <c r="H24" s="237"/>
      <c r="I24" s="239">
        <f t="shared" si="1"/>
        <v>5.4771212547196626</v>
      </c>
      <c r="J24" s="240">
        <v>300000</v>
      </c>
      <c r="K24" s="241"/>
      <c r="L24" s="247" t="s">
        <v>4812</v>
      </c>
      <c r="M24" s="243"/>
      <c r="N24" s="244"/>
      <c r="O24" s="244"/>
      <c r="P24" s="244"/>
      <c r="Q24" s="245"/>
      <c r="R24" s="245"/>
      <c r="S24" s="3"/>
      <c r="T24" s="3"/>
      <c r="U24" s="3"/>
      <c r="V24" s="3"/>
      <c r="W24" s="3"/>
      <c r="X24" s="3"/>
      <c r="Y24" s="3"/>
      <c r="Z24" s="4"/>
      <c r="AA24"/>
      <c r="AB24"/>
    </row>
    <row r="25" spans="1:28" s="189" customFormat="1" ht="28" x14ac:dyDescent="0.15">
      <c r="A25" s="70" t="s">
        <v>2479</v>
      </c>
      <c r="B25" s="82"/>
      <c r="C25" s="70" t="s">
        <v>3636</v>
      </c>
      <c r="D25" s="70" t="s">
        <v>2837</v>
      </c>
      <c r="E25" s="70" t="s">
        <v>3178</v>
      </c>
      <c r="F25" s="70" t="s">
        <v>3885</v>
      </c>
      <c r="G25" s="70" t="s">
        <v>7417</v>
      </c>
      <c r="H25" s="93"/>
      <c r="I25" s="85">
        <f t="shared" si="1"/>
        <v>5.9030899869919438</v>
      </c>
      <c r="J25" s="85">
        <v>800000</v>
      </c>
      <c r="K25" s="131" t="s">
        <v>6629</v>
      </c>
      <c r="L25" s="60">
        <v>68</v>
      </c>
      <c r="M25" s="33" t="s">
        <v>6728</v>
      </c>
      <c r="N25" s="37"/>
      <c r="O25" s="37"/>
      <c r="P25" s="37"/>
      <c r="Q25" s="3"/>
      <c r="R25" s="3"/>
      <c r="S25" s="3"/>
      <c r="T25" s="3"/>
      <c r="U25" s="3"/>
      <c r="V25" s="3"/>
      <c r="W25" s="3"/>
      <c r="X25" s="3"/>
      <c r="Y25" s="3"/>
      <c r="Z25" s="4"/>
      <c r="AA25"/>
      <c r="AB25"/>
    </row>
    <row r="26" spans="1:28" ht="42" x14ac:dyDescent="0.15">
      <c r="A26" s="70" t="s">
        <v>2479</v>
      </c>
      <c r="B26" s="82"/>
      <c r="C26" s="70" t="s">
        <v>3636</v>
      </c>
      <c r="D26" s="70" t="s">
        <v>2837</v>
      </c>
      <c r="E26" s="70" t="s">
        <v>3178</v>
      </c>
      <c r="F26" s="70" t="s">
        <v>3885</v>
      </c>
      <c r="G26" s="70" t="s">
        <v>7809</v>
      </c>
      <c r="H26" s="93"/>
      <c r="I26" s="85">
        <f t="shared" si="1"/>
        <v>5.5224442335063202</v>
      </c>
      <c r="J26" s="85">
        <v>333000</v>
      </c>
      <c r="K26" s="131" t="s">
        <v>1335</v>
      </c>
      <c r="L26" s="60">
        <v>68</v>
      </c>
      <c r="M26" s="33" t="s">
        <v>6728</v>
      </c>
    </row>
    <row r="27" spans="1:28" x14ac:dyDescent="0.15">
      <c r="A27" s="236" t="s">
        <v>3635</v>
      </c>
      <c r="B27" s="237"/>
      <c r="C27" s="238" t="s">
        <v>4905</v>
      </c>
      <c r="D27" s="236" t="s">
        <v>2837</v>
      </c>
      <c r="E27" s="236" t="s">
        <v>3178</v>
      </c>
      <c r="F27" s="236" t="s">
        <v>3885</v>
      </c>
      <c r="G27" s="236" t="s">
        <v>7809</v>
      </c>
      <c r="H27" s="237"/>
      <c r="I27" s="239">
        <f t="shared" si="1"/>
        <v>5.6989700043360187</v>
      </c>
      <c r="J27" s="240">
        <v>500000</v>
      </c>
      <c r="K27" s="241"/>
      <c r="L27" s="247" t="s">
        <v>4062</v>
      </c>
      <c r="M27" s="243"/>
      <c r="N27" s="244"/>
      <c r="O27" s="244"/>
      <c r="P27" s="244"/>
      <c r="Q27" s="245"/>
      <c r="R27" s="245"/>
    </row>
    <row r="28" spans="1:28" ht="42" x14ac:dyDescent="0.15">
      <c r="A28" s="91" t="s">
        <v>2479</v>
      </c>
      <c r="B28" s="90"/>
      <c r="C28" s="91" t="s">
        <v>3636</v>
      </c>
      <c r="D28" s="91" t="s">
        <v>2837</v>
      </c>
      <c r="E28" s="91" t="s">
        <v>3178</v>
      </c>
      <c r="F28" s="91" t="s">
        <v>3885</v>
      </c>
      <c r="G28" s="91" t="s">
        <v>7202</v>
      </c>
      <c r="H28" s="176"/>
      <c r="I28" s="85">
        <f t="shared" si="1"/>
        <v>5.8450980400142569</v>
      </c>
      <c r="J28" s="92">
        <v>700000</v>
      </c>
      <c r="K28" s="131" t="s">
        <v>1335</v>
      </c>
      <c r="L28" s="65">
        <v>75</v>
      </c>
      <c r="M28" s="33" t="s">
        <v>6390</v>
      </c>
    </row>
    <row r="29" spans="1:28" ht="16" x14ac:dyDescent="0.2">
      <c r="A29" s="70" t="s">
        <v>2481</v>
      </c>
      <c r="B29" s="82" t="s">
        <v>2018</v>
      </c>
      <c r="C29" s="70" t="s">
        <v>3636</v>
      </c>
      <c r="D29" s="70" t="s">
        <v>2837</v>
      </c>
      <c r="E29" s="70" t="s">
        <v>3178</v>
      </c>
      <c r="F29" s="70" t="s">
        <v>3885</v>
      </c>
      <c r="G29" s="70" t="s">
        <v>7202</v>
      </c>
      <c r="H29" s="93"/>
      <c r="I29" s="85">
        <f t="shared" si="1"/>
        <v>5.8450980400142569</v>
      </c>
      <c r="J29" s="85">
        <v>700000</v>
      </c>
      <c r="K29" s="131"/>
      <c r="L29" s="63" t="s">
        <v>1353</v>
      </c>
      <c r="M29" s="33"/>
      <c r="N29" s="48"/>
    </row>
    <row r="30" spans="1:28" ht="14" x14ac:dyDescent="0.15">
      <c r="A30" s="164" t="s">
        <v>2538</v>
      </c>
      <c r="B30" s="90"/>
      <c r="C30" s="70" t="s">
        <v>4772</v>
      </c>
      <c r="D30" s="91" t="s">
        <v>2837</v>
      </c>
      <c r="E30" s="91" t="s">
        <v>3178</v>
      </c>
      <c r="F30" s="91" t="s">
        <v>3885</v>
      </c>
      <c r="G30" s="91" t="s">
        <v>7202</v>
      </c>
      <c r="H30" s="176"/>
      <c r="I30" s="85">
        <f t="shared" si="1"/>
        <v>5.6766936096248664</v>
      </c>
      <c r="J30" s="92">
        <v>475000</v>
      </c>
      <c r="K30" s="133" t="s">
        <v>3347</v>
      </c>
      <c r="L30" s="65">
        <v>59</v>
      </c>
    </row>
    <row r="31" spans="1:28" ht="28" x14ac:dyDescent="0.15">
      <c r="A31" s="70" t="s">
        <v>2479</v>
      </c>
      <c r="B31" s="82"/>
      <c r="C31" s="70" t="s">
        <v>3636</v>
      </c>
      <c r="D31" s="70" t="s">
        <v>2837</v>
      </c>
      <c r="E31" s="70" t="s">
        <v>3178</v>
      </c>
      <c r="F31" s="70" t="s">
        <v>3885</v>
      </c>
      <c r="G31" s="70" t="s">
        <v>5719</v>
      </c>
      <c r="H31" s="93"/>
      <c r="I31" s="85">
        <f t="shared" si="1"/>
        <v>5.9030899869919438</v>
      </c>
      <c r="J31" s="85">
        <v>800000</v>
      </c>
      <c r="K31" s="134" t="s">
        <v>6710</v>
      </c>
      <c r="L31" s="60">
        <v>136</v>
      </c>
      <c r="M31" s="33" t="s">
        <v>6809</v>
      </c>
    </row>
    <row r="32" spans="1:28" s="189" customFormat="1" ht="14" x14ac:dyDescent="0.15">
      <c r="A32" s="70" t="s">
        <v>2633</v>
      </c>
      <c r="B32" s="82"/>
      <c r="C32" s="70" t="s">
        <v>3636</v>
      </c>
      <c r="D32" s="70" t="s">
        <v>2837</v>
      </c>
      <c r="E32" s="70" t="s">
        <v>3178</v>
      </c>
      <c r="F32" s="70" t="s">
        <v>3885</v>
      </c>
      <c r="G32" s="70" t="s">
        <v>7810</v>
      </c>
      <c r="H32" s="93"/>
      <c r="I32" s="85">
        <f t="shared" si="1"/>
        <v>5.9542425094393252</v>
      </c>
      <c r="J32" s="85">
        <v>900000</v>
      </c>
      <c r="K32" s="131" t="s">
        <v>6485</v>
      </c>
      <c r="L32" s="60">
        <v>-999</v>
      </c>
      <c r="M32" s="33"/>
      <c r="N32" s="37"/>
      <c r="O32" s="37"/>
      <c r="P32" s="37"/>
      <c r="Q32" s="3"/>
      <c r="R32" s="3"/>
      <c r="S32" s="3"/>
      <c r="T32" s="3"/>
      <c r="U32" s="3"/>
      <c r="V32" s="3"/>
      <c r="W32" s="3"/>
      <c r="X32" s="3"/>
      <c r="Y32" s="3"/>
      <c r="Z32" s="4"/>
      <c r="AA32"/>
      <c r="AB32"/>
    </row>
    <row r="33" spans="1:28" ht="14" x14ac:dyDescent="0.15">
      <c r="A33" s="70" t="s">
        <v>2479</v>
      </c>
      <c r="B33" s="82"/>
      <c r="C33" s="70" t="s">
        <v>44</v>
      </c>
      <c r="D33" s="70" t="s">
        <v>2837</v>
      </c>
      <c r="E33" s="70" t="s">
        <v>3178</v>
      </c>
      <c r="F33" s="70" t="s">
        <v>3885</v>
      </c>
      <c r="G33" s="70" t="s">
        <v>7810</v>
      </c>
      <c r="H33" s="93"/>
      <c r="I33" s="85">
        <f t="shared" si="1"/>
        <v>5.9542425094393252</v>
      </c>
      <c r="J33" s="85">
        <v>900000</v>
      </c>
      <c r="K33" s="131" t="s">
        <v>1305</v>
      </c>
      <c r="L33" s="60">
        <v>114</v>
      </c>
    </row>
    <row r="34" spans="1:28" ht="14" x14ac:dyDescent="0.15">
      <c r="A34" s="70" t="s">
        <v>2479</v>
      </c>
      <c r="B34" s="82"/>
      <c r="C34" s="70" t="s">
        <v>3636</v>
      </c>
      <c r="D34" s="70" t="s">
        <v>2837</v>
      </c>
      <c r="E34" s="70" t="s">
        <v>3178</v>
      </c>
      <c r="F34" s="70" t="s">
        <v>5407</v>
      </c>
      <c r="G34" s="70" t="s">
        <v>5408</v>
      </c>
      <c r="H34" s="93"/>
      <c r="I34" s="85">
        <f t="shared" si="1"/>
        <v>5.2278867046136739</v>
      </c>
      <c r="J34" s="85">
        <v>169000</v>
      </c>
      <c r="K34" s="131" t="s">
        <v>6485</v>
      </c>
      <c r="L34" s="63">
        <v>68</v>
      </c>
      <c r="M34" s="49" t="s">
        <v>6392</v>
      </c>
    </row>
    <row r="35" spans="1:28" ht="70" x14ac:dyDescent="0.2">
      <c r="A35" s="70" t="s">
        <v>2479</v>
      </c>
      <c r="B35" s="82"/>
      <c r="C35" s="70" t="s">
        <v>3636</v>
      </c>
      <c r="D35" s="70" t="s">
        <v>2837</v>
      </c>
      <c r="E35" s="70" t="s">
        <v>3178</v>
      </c>
      <c r="F35" s="70" t="s">
        <v>7189</v>
      </c>
      <c r="G35" s="70" t="s">
        <v>7190</v>
      </c>
      <c r="H35" s="93"/>
      <c r="I35" s="85">
        <f t="shared" si="1"/>
        <v>4.5740312677277188</v>
      </c>
      <c r="J35" s="85">
        <f>AVERAGE(25000, 50000)</f>
        <v>37500</v>
      </c>
      <c r="K35" s="131" t="s">
        <v>1399</v>
      </c>
      <c r="L35" s="60">
        <v>111</v>
      </c>
      <c r="M35" s="47" t="s">
        <v>6390</v>
      </c>
    </row>
    <row r="36" spans="1:28" ht="16" x14ac:dyDescent="0.2">
      <c r="A36" s="164" t="s">
        <v>2538</v>
      </c>
      <c r="B36" s="90"/>
      <c r="C36" s="70" t="s">
        <v>4772</v>
      </c>
      <c r="D36" s="91" t="s">
        <v>2837</v>
      </c>
      <c r="E36" s="91" t="s">
        <v>3178</v>
      </c>
      <c r="F36" s="91" t="s">
        <v>7189</v>
      </c>
      <c r="G36" s="91" t="s">
        <v>7190</v>
      </c>
      <c r="H36" s="176"/>
      <c r="I36" s="85">
        <f t="shared" si="1"/>
        <v>5.9164539485499255</v>
      </c>
      <c r="J36" s="92">
        <v>825000</v>
      </c>
      <c r="K36" s="133" t="s">
        <v>3347</v>
      </c>
      <c r="L36" s="64">
        <v>59</v>
      </c>
      <c r="M36" s="47"/>
    </row>
    <row r="37" spans="1:28" ht="28" x14ac:dyDescent="0.15">
      <c r="A37" s="70" t="s">
        <v>2481</v>
      </c>
      <c r="B37" s="93" t="s">
        <v>2428</v>
      </c>
      <c r="C37" s="70" t="s">
        <v>3636</v>
      </c>
      <c r="D37" s="70" t="s">
        <v>2837</v>
      </c>
      <c r="E37" s="70" t="s">
        <v>3178</v>
      </c>
      <c r="F37" s="70" t="s">
        <v>7189</v>
      </c>
      <c r="G37" s="70" t="s">
        <v>5850</v>
      </c>
      <c r="H37" s="93"/>
      <c r="I37" s="85">
        <f t="shared" si="1"/>
        <v>5.4771212547196626</v>
      </c>
      <c r="J37" s="85">
        <v>300000</v>
      </c>
      <c r="K37" s="131" t="s">
        <v>6629</v>
      </c>
      <c r="L37" s="63">
        <v>136</v>
      </c>
      <c r="M37" s="33" t="s">
        <v>6390</v>
      </c>
      <c r="Q37" s="12"/>
      <c r="R37" s="12"/>
    </row>
    <row r="38" spans="1:28" s="13" customFormat="1" ht="14" x14ac:dyDescent="0.15">
      <c r="A38" s="70" t="s">
        <v>2479</v>
      </c>
      <c r="B38" s="93" t="s">
        <v>5851</v>
      </c>
      <c r="C38" s="70" t="s">
        <v>3636</v>
      </c>
      <c r="D38" s="70" t="s">
        <v>2837</v>
      </c>
      <c r="E38" s="70" t="s">
        <v>3178</v>
      </c>
      <c r="F38" s="70" t="s">
        <v>7189</v>
      </c>
      <c r="G38" s="70" t="s">
        <v>5682</v>
      </c>
      <c r="H38" s="93"/>
      <c r="I38" s="85">
        <v>-999</v>
      </c>
      <c r="J38" s="85">
        <v>-999</v>
      </c>
      <c r="K38" s="131" t="s">
        <v>3177</v>
      </c>
      <c r="L38" s="60">
        <v>-999</v>
      </c>
      <c r="M38" s="33"/>
      <c r="N38" s="37"/>
      <c r="O38" s="37"/>
      <c r="P38" s="37"/>
      <c r="Q38" s="3"/>
      <c r="R38" s="3"/>
      <c r="S38" s="3"/>
      <c r="T38" s="3"/>
      <c r="U38" s="3"/>
      <c r="V38" s="3"/>
      <c r="W38" s="3"/>
      <c r="X38" s="3"/>
      <c r="Y38" s="3"/>
      <c r="Z38" s="4"/>
      <c r="AA38"/>
      <c r="AB38"/>
    </row>
    <row r="39" spans="1:28" s="13" customFormat="1" ht="70" x14ac:dyDescent="0.15">
      <c r="A39" s="70" t="s">
        <v>2481</v>
      </c>
      <c r="B39" s="93" t="s">
        <v>5852</v>
      </c>
      <c r="C39" s="70" t="s">
        <v>3636</v>
      </c>
      <c r="D39" s="70" t="s">
        <v>2837</v>
      </c>
      <c r="E39" s="70" t="s">
        <v>3178</v>
      </c>
      <c r="F39" s="70" t="s">
        <v>7189</v>
      </c>
      <c r="G39" s="70" t="s">
        <v>5683</v>
      </c>
      <c r="H39" s="93"/>
      <c r="I39" s="85">
        <f t="shared" ref="I39:I70" si="2">LOG(J39)</f>
        <v>5.3679767852945943</v>
      </c>
      <c r="J39" s="85">
        <f>AVERAGE(180000, 220000, 300000)</f>
        <v>233333.33333333334</v>
      </c>
      <c r="K39" s="131" t="s">
        <v>6629</v>
      </c>
      <c r="L39" s="60">
        <v>92</v>
      </c>
      <c r="M39" s="33" t="s">
        <v>6809</v>
      </c>
      <c r="N39" s="32" t="s">
        <v>6706</v>
      </c>
      <c r="O39" s="37"/>
      <c r="P39" s="37"/>
      <c r="Q39" s="12"/>
      <c r="R39" s="12"/>
      <c r="S39" s="3"/>
      <c r="T39" s="3"/>
      <c r="U39" s="3"/>
      <c r="V39" s="3"/>
      <c r="W39" s="3"/>
      <c r="X39" s="3"/>
      <c r="Y39" s="3"/>
      <c r="Z39" s="4"/>
      <c r="AA39"/>
      <c r="AB39"/>
    </row>
    <row r="40" spans="1:28" ht="28" x14ac:dyDescent="0.15">
      <c r="A40" s="70" t="s">
        <v>2481</v>
      </c>
      <c r="B40" s="93" t="s">
        <v>2428</v>
      </c>
      <c r="C40" s="70" t="s">
        <v>3636</v>
      </c>
      <c r="D40" s="70" t="s">
        <v>2837</v>
      </c>
      <c r="E40" s="70" t="s">
        <v>3178</v>
      </c>
      <c r="F40" s="70" t="s">
        <v>7189</v>
      </c>
      <c r="G40" s="70" t="s">
        <v>5725</v>
      </c>
      <c r="H40" s="93"/>
      <c r="I40" s="85">
        <f t="shared" si="2"/>
        <v>5.1760912590556813</v>
      </c>
      <c r="J40" s="85">
        <v>150000</v>
      </c>
      <c r="K40" s="131" t="s">
        <v>6629</v>
      </c>
      <c r="L40" s="60">
        <v>136</v>
      </c>
      <c r="M40" s="33" t="s">
        <v>6390</v>
      </c>
    </row>
    <row r="41" spans="1:28" s="11" customFormat="1" ht="56" x14ac:dyDescent="0.15">
      <c r="A41" s="70" t="s">
        <v>2479</v>
      </c>
      <c r="B41" s="82"/>
      <c r="C41" s="70" t="s">
        <v>3636</v>
      </c>
      <c r="D41" s="70" t="s">
        <v>2837</v>
      </c>
      <c r="E41" s="70" t="s">
        <v>3178</v>
      </c>
      <c r="F41" s="70" t="s">
        <v>5409</v>
      </c>
      <c r="G41" s="70" t="s">
        <v>5410</v>
      </c>
      <c r="H41" s="93"/>
      <c r="I41" s="85">
        <f t="shared" si="2"/>
        <v>5.480006942957151</v>
      </c>
      <c r="J41" s="85">
        <v>302000</v>
      </c>
      <c r="K41" s="131" t="s">
        <v>1227</v>
      </c>
      <c r="L41" s="63">
        <v>68</v>
      </c>
      <c r="M41" s="49" t="s">
        <v>6728</v>
      </c>
      <c r="N41" s="37"/>
      <c r="O41" s="37"/>
      <c r="P41" s="37"/>
      <c r="Q41" s="3"/>
      <c r="R41" s="3"/>
      <c r="S41" s="3"/>
      <c r="T41" s="3"/>
      <c r="U41" s="3"/>
      <c r="V41" s="3"/>
      <c r="W41" s="3"/>
      <c r="X41" s="3"/>
      <c r="Y41" s="3"/>
      <c r="Z41" s="4"/>
      <c r="AA41"/>
      <c r="AB41"/>
    </row>
    <row r="42" spans="1:28" s="13" customFormat="1" ht="28" x14ac:dyDescent="0.2">
      <c r="A42" s="70" t="s">
        <v>2479</v>
      </c>
      <c r="B42" s="82"/>
      <c r="C42" s="70" t="s">
        <v>3636</v>
      </c>
      <c r="D42" s="70" t="s">
        <v>2837</v>
      </c>
      <c r="E42" s="70" t="s">
        <v>3178</v>
      </c>
      <c r="F42" s="70" t="s">
        <v>2997</v>
      </c>
      <c r="G42" s="70" t="s">
        <v>5411</v>
      </c>
      <c r="H42" s="93"/>
      <c r="I42" s="85">
        <f t="shared" si="2"/>
        <v>4.7403626894942441</v>
      </c>
      <c r="J42" s="85">
        <v>55000</v>
      </c>
      <c r="K42" s="131" t="s">
        <v>1132</v>
      </c>
      <c r="L42" s="60">
        <v>68</v>
      </c>
      <c r="M42" s="47" t="s">
        <v>6390</v>
      </c>
      <c r="N42" s="37"/>
      <c r="O42" s="37"/>
      <c r="P42" s="37"/>
      <c r="Q42" s="3"/>
      <c r="R42" s="3"/>
      <c r="S42" s="3"/>
      <c r="T42" s="3"/>
      <c r="U42" s="3"/>
      <c r="V42" s="3"/>
      <c r="W42" s="3"/>
      <c r="X42" s="3"/>
      <c r="Y42" s="3"/>
      <c r="Z42" s="4"/>
      <c r="AA42"/>
      <c r="AB42"/>
    </row>
    <row r="43" spans="1:28" ht="14" x14ac:dyDescent="0.15">
      <c r="A43" s="70" t="s">
        <v>2479</v>
      </c>
      <c r="B43" s="82"/>
      <c r="C43" s="70" t="s">
        <v>3636</v>
      </c>
      <c r="D43" s="70" t="s">
        <v>2837</v>
      </c>
      <c r="E43" s="70" t="s">
        <v>3178</v>
      </c>
      <c r="F43" s="70" t="s">
        <v>2997</v>
      </c>
      <c r="G43" s="70" t="s">
        <v>5347</v>
      </c>
      <c r="H43" s="93"/>
      <c r="I43" s="85">
        <f t="shared" si="2"/>
        <v>4.6989700043360187</v>
      </c>
      <c r="J43" s="85">
        <v>50000</v>
      </c>
      <c r="K43" s="131" t="s">
        <v>5966</v>
      </c>
      <c r="L43" s="60">
        <v>68</v>
      </c>
      <c r="M43" s="49" t="s">
        <v>6728</v>
      </c>
    </row>
    <row r="44" spans="1:28" ht="41" customHeight="1" x14ac:dyDescent="0.15">
      <c r="A44" s="70" t="s">
        <v>2479</v>
      </c>
      <c r="B44" s="82"/>
      <c r="C44" s="70" t="s">
        <v>3636</v>
      </c>
      <c r="D44" s="70" t="s">
        <v>2837</v>
      </c>
      <c r="E44" s="70" t="s">
        <v>3178</v>
      </c>
      <c r="F44" s="70" t="s">
        <v>2997</v>
      </c>
      <c r="G44" s="70" t="s">
        <v>5348</v>
      </c>
      <c r="H44" s="93"/>
      <c r="I44" s="85">
        <f t="shared" si="2"/>
        <v>4.6127838567197355</v>
      </c>
      <c r="J44" s="85">
        <v>41000</v>
      </c>
      <c r="K44" s="131" t="s">
        <v>1413</v>
      </c>
      <c r="L44" s="60">
        <v>68</v>
      </c>
      <c r="M44" s="49" t="s">
        <v>6390</v>
      </c>
      <c r="Q44" s="12"/>
      <c r="R44" s="12"/>
    </row>
    <row r="45" spans="1:28" s="13" customFormat="1" ht="56" x14ac:dyDescent="0.2">
      <c r="A45" s="70" t="s">
        <v>2479</v>
      </c>
      <c r="B45" s="82"/>
      <c r="C45" s="70" t="s">
        <v>3636</v>
      </c>
      <c r="D45" s="70" t="s">
        <v>2837</v>
      </c>
      <c r="E45" s="70" t="s">
        <v>3178</v>
      </c>
      <c r="F45" s="70" t="s">
        <v>2997</v>
      </c>
      <c r="G45" s="70" t="s">
        <v>3884</v>
      </c>
      <c r="H45" s="93"/>
      <c r="I45" s="85">
        <f t="shared" si="2"/>
        <v>4.8750612633917001</v>
      </c>
      <c r="J45" s="85">
        <f>AVERAGE(97500, 52500)</f>
        <v>75000</v>
      </c>
      <c r="K45" s="131" t="s">
        <v>1416</v>
      </c>
      <c r="L45" s="60">
        <v>111</v>
      </c>
      <c r="M45" s="47" t="s">
        <v>6728</v>
      </c>
      <c r="N45" s="37"/>
      <c r="O45" s="37"/>
      <c r="P45" s="37"/>
      <c r="Q45" s="3"/>
      <c r="R45" s="3"/>
      <c r="S45" s="3"/>
      <c r="T45" s="3"/>
      <c r="U45" s="3"/>
      <c r="V45" s="3"/>
      <c r="W45" s="3"/>
      <c r="X45" s="3"/>
      <c r="Y45" s="3"/>
      <c r="Z45" s="4"/>
      <c r="AA45"/>
      <c r="AB45"/>
    </row>
    <row r="46" spans="1:28" ht="16" x14ac:dyDescent="0.2">
      <c r="A46" s="91" t="s">
        <v>2538</v>
      </c>
      <c r="B46" s="90"/>
      <c r="C46" s="70" t="s">
        <v>4772</v>
      </c>
      <c r="D46" s="91" t="s">
        <v>2837</v>
      </c>
      <c r="E46" s="91" t="s">
        <v>3178</v>
      </c>
      <c r="F46" s="91" t="s">
        <v>2997</v>
      </c>
      <c r="G46" s="91" t="s">
        <v>3884</v>
      </c>
      <c r="H46" s="176"/>
      <c r="I46" s="85">
        <f t="shared" si="2"/>
        <v>4.5250448070368456</v>
      </c>
      <c r="J46" s="92">
        <v>33500</v>
      </c>
      <c r="K46" s="133" t="s">
        <v>3347</v>
      </c>
      <c r="L46" s="64">
        <v>59</v>
      </c>
      <c r="M46" s="47"/>
    </row>
    <row r="47" spans="1:28" ht="31" customHeight="1" x14ac:dyDescent="0.15">
      <c r="A47" s="70" t="s">
        <v>2633</v>
      </c>
      <c r="B47" s="82"/>
      <c r="C47" s="70" t="s">
        <v>3636</v>
      </c>
      <c r="D47" s="70" t="s">
        <v>2837</v>
      </c>
      <c r="E47" s="70" t="s">
        <v>3178</v>
      </c>
      <c r="F47" s="70" t="s">
        <v>2997</v>
      </c>
      <c r="G47" s="70" t="s">
        <v>2998</v>
      </c>
      <c r="H47" s="93"/>
      <c r="I47" s="85">
        <f t="shared" si="2"/>
        <v>5.0043200000000008</v>
      </c>
      <c r="J47" s="85">
        <v>100999.68051211064</v>
      </c>
      <c r="K47" s="131" t="s">
        <v>3177</v>
      </c>
      <c r="L47" s="60">
        <v>65</v>
      </c>
    </row>
    <row r="48" spans="1:28" ht="24" customHeight="1" x14ac:dyDescent="0.15">
      <c r="A48" s="70" t="s">
        <v>2479</v>
      </c>
      <c r="B48" s="82"/>
      <c r="C48" s="70" t="s">
        <v>3636</v>
      </c>
      <c r="D48" s="70" t="s">
        <v>2837</v>
      </c>
      <c r="E48" s="70" t="s">
        <v>3178</v>
      </c>
      <c r="F48" s="70" t="s">
        <v>2997</v>
      </c>
      <c r="G48" s="70" t="s">
        <v>2998</v>
      </c>
      <c r="H48" s="93"/>
      <c r="I48" s="85">
        <f t="shared" si="2"/>
        <v>4.8409420802430994</v>
      </c>
      <c r="J48" s="85">
        <f>AVERAGE(26000, 92000, 90000)</f>
        <v>69333.333333333328</v>
      </c>
      <c r="K48" s="131" t="s">
        <v>3177</v>
      </c>
      <c r="L48" s="60" t="s">
        <v>1612</v>
      </c>
      <c r="M48" s="33"/>
    </row>
    <row r="49" spans="1:28" ht="42" x14ac:dyDescent="0.15">
      <c r="A49" s="70" t="s">
        <v>2633</v>
      </c>
      <c r="B49" s="82"/>
      <c r="C49" s="70" t="s">
        <v>3636</v>
      </c>
      <c r="D49" s="70" t="s">
        <v>2837</v>
      </c>
      <c r="E49" s="70" t="s">
        <v>3178</v>
      </c>
      <c r="F49" s="70" t="s">
        <v>2997</v>
      </c>
      <c r="G49" s="70" t="s">
        <v>7976</v>
      </c>
      <c r="H49" s="93"/>
      <c r="I49" s="85">
        <f t="shared" si="2"/>
        <v>4.897625334934645</v>
      </c>
      <c r="J49" s="85">
        <v>78999.680512110644</v>
      </c>
      <c r="K49" s="131" t="s">
        <v>6741</v>
      </c>
      <c r="L49" s="60">
        <v>70</v>
      </c>
      <c r="M49" s="49" t="s">
        <v>6390</v>
      </c>
    </row>
    <row r="50" spans="1:28" ht="70" x14ac:dyDescent="0.15">
      <c r="A50" s="70" t="s">
        <v>2479</v>
      </c>
      <c r="B50" s="82"/>
      <c r="C50" s="70" t="s">
        <v>3636</v>
      </c>
      <c r="D50" s="70" t="s">
        <v>2837</v>
      </c>
      <c r="E50" s="70" t="s">
        <v>3178</v>
      </c>
      <c r="F50" s="70" t="s">
        <v>2997</v>
      </c>
      <c r="G50" s="70" t="s">
        <v>7976</v>
      </c>
      <c r="H50" s="93"/>
      <c r="I50" s="85">
        <f t="shared" si="2"/>
        <v>4.6651117370750512</v>
      </c>
      <c r="J50" s="85">
        <f>AVERAGE(60000, 32500)</f>
        <v>46250</v>
      </c>
      <c r="K50" s="131" t="s">
        <v>6741</v>
      </c>
      <c r="L50" s="60">
        <v>136</v>
      </c>
      <c r="M50" s="33" t="s">
        <v>6390</v>
      </c>
      <c r="O50" s="37" t="s">
        <v>1373</v>
      </c>
    </row>
    <row r="51" spans="1:28" ht="34" x14ac:dyDescent="0.2">
      <c r="A51" s="70" t="s">
        <v>2479</v>
      </c>
      <c r="B51" s="82" t="s">
        <v>5853</v>
      </c>
      <c r="C51" s="70" t="s">
        <v>3636</v>
      </c>
      <c r="D51" s="70" t="s">
        <v>2837</v>
      </c>
      <c r="E51" s="70" t="s">
        <v>3178</v>
      </c>
      <c r="F51" s="70" t="s">
        <v>2997</v>
      </c>
      <c r="G51" s="70" t="s">
        <v>7785</v>
      </c>
      <c r="H51" s="93"/>
      <c r="I51" s="85">
        <f t="shared" si="2"/>
        <v>4.6989700043360187</v>
      </c>
      <c r="J51" s="85">
        <v>50000</v>
      </c>
      <c r="K51" s="131" t="s">
        <v>6592</v>
      </c>
      <c r="L51" s="60">
        <v>134</v>
      </c>
      <c r="M51" s="33" t="s">
        <v>6392</v>
      </c>
      <c r="N51" s="47" t="s">
        <v>6645</v>
      </c>
      <c r="Q51" s="12"/>
      <c r="R51" s="12"/>
    </row>
    <row r="52" spans="1:28" ht="14" x14ac:dyDescent="0.15">
      <c r="A52" s="70" t="s">
        <v>2479</v>
      </c>
      <c r="B52" s="82"/>
      <c r="C52" s="70" t="s">
        <v>3636</v>
      </c>
      <c r="D52" s="70" t="s">
        <v>2837</v>
      </c>
      <c r="E52" s="70" t="s">
        <v>3178</v>
      </c>
      <c r="F52" s="70" t="s">
        <v>2997</v>
      </c>
      <c r="G52" s="70" t="s">
        <v>7949</v>
      </c>
      <c r="H52" s="93"/>
      <c r="I52" s="85">
        <f t="shared" si="2"/>
        <v>5.1139433523068369</v>
      </c>
      <c r="J52" s="85">
        <v>130000</v>
      </c>
      <c r="K52" s="131" t="s">
        <v>3177</v>
      </c>
      <c r="L52" s="63">
        <v>104</v>
      </c>
    </row>
    <row r="53" spans="1:28" ht="28" x14ac:dyDescent="0.15">
      <c r="A53" s="70" t="s">
        <v>2633</v>
      </c>
      <c r="B53" s="82"/>
      <c r="C53" s="70" t="s">
        <v>3636</v>
      </c>
      <c r="D53" s="70" t="s">
        <v>2837</v>
      </c>
      <c r="E53" s="70" t="s">
        <v>3178</v>
      </c>
      <c r="F53" s="70" t="s">
        <v>2997</v>
      </c>
      <c r="G53" s="70" t="s">
        <v>4973</v>
      </c>
      <c r="H53" s="93"/>
      <c r="I53" s="85">
        <f t="shared" si="2"/>
        <v>5</v>
      </c>
      <c r="J53" s="85">
        <v>100000</v>
      </c>
      <c r="K53" s="131" t="s">
        <v>6853</v>
      </c>
      <c r="L53" s="60">
        <v>-999</v>
      </c>
      <c r="M53" s="49" t="s">
        <v>6809</v>
      </c>
    </row>
    <row r="54" spans="1:28" ht="14" x14ac:dyDescent="0.15">
      <c r="A54" s="70" t="s">
        <v>2633</v>
      </c>
      <c r="B54" s="82"/>
      <c r="C54" s="70" t="s">
        <v>3636</v>
      </c>
      <c r="D54" s="70" t="s">
        <v>2837</v>
      </c>
      <c r="E54" s="70" t="s">
        <v>3178</v>
      </c>
      <c r="F54" s="70" t="s">
        <v>2999</v>
      </c>
      <c r="G54" s="70" t="s">
        <v>3000</v>
      </c>
      <c r="H54" s="93"/>
      <c r="I54" s="85">
        <f t="shared" si="2"/>
        <v>3.9661400000000011</v>
      </c>
      <c r="J54" s="85">
        <v>9249.9630946172765</v>
      </c>
      <c r="K54" s="131" t="s">
        <v>6817</v>
      </c>
      <c r="L54" s="60" t="s">
        <v>2686</v>
      </c>
      <c r="M54" s="49" t="s">
        <v>6390</v>
      </c>
    </row>
    <row r="55" spans="1:28" ht="14" x14ac:dyDescent="0.15">
      <c r="A55" s="70" t="s">
        <v>2633</v>
      </c>
      <c r="B55" s="82"/>
      <c r="C55" s="70" t="s">
        <v>3636</v>
      </c>
      <c r="D55" s="70" t="s">
        <v>2837</v>
      </c>
      <c r="E55" s="70" t="s">
        <v>3178</v>
      </c>
      <c r="F55" s="70" t="s">
        <v>2999</v>
      </c>
      <c r="G55" s="70" t="s">
        <v>3448</v>
      </c>
      <c r="H55" s="93"/>
      <c r="I55" s="85">
        <f t="shared" si="2"/>
        <v>4.26126</v>
      </c>
      <c r="J55" s="85">
        <v>18249.879447489526</v>
      </c>
      <c r="K55" s="131" t="s">
        <v>6817</v>
      </c>
      <c r="L55" s="60" t="s">
        <v>2686</v>
      </c>
      <c r="M55" s="49" t="s">
        <v>6392</v>
      </c>
    </row>
    <row r="56" spans="1:28" ht="14" x14ac:dyDescent="0.15">
      <c r="A56" s="70" t="s">
        <v>2633</v>
      </c>
      <c r="B56" s="82"/>
      <c r="C56" s="70" t="s">
        <v>3636</v>
      </c>
      <c r="D56" s="70" t="s">
        <v>2837</v>
      </c>
      <c r="E56" s="70" t="s">
        <v>3178</v>
      </c>
      <c r="F56" s="70" t="s">
        <v>2999</v>
      </c>
      <c r="G56" s="70" t="s">
        <v>3449</v>
      </c>
      <c r="H56" s="93"/>
      <c r="I56" s="85">
        <f t="shared" si="2"/>
        <v>4.3010300000000008</v>
      </c>
      <c r="J56" s="85">
        <v>20000.000199681075</v>
      </c>
      <c r="K56" s="131" t="s">
        <v>6817</v>
      </c>
      <c r="L56" s="60">
        <v>60</v>
      </c>
      <c r="M56" s="49" t="s">
        <v>6392</v>
      </c>
    </row>
    <row r="57" spans="1:28" ht="14" x14ac:dyDescent="0.15">
      <c r="A57" s="70" t="s">
        <v>2633</v>
      </c>
      <c r="B57" s="82"/>
      <c r="C57" s="70" t="s">
        <v>3636</v>
      </c>
      <c r="D57" s="70" t="s">
        <v>2837</v>
      </c>
      <c r="E57" s="70" t="s">
        <v>3178</v>
      </c>
      <c r="F57" s="70" t="s">
        <v>2999</v>
      </c>
      <c r="G57" s="70" t="s">
        <v>4118</v>
      </c>
      <c r="H57" s="93"/>
      <c r="I57" s="85">
        <f t="shared" si="2"/>
        <v>4.1613700000000007</v>
      </c>
      <c r="J57" s="85">
        <v>14500.066700500938</v>
      </c>
      <c r="K57" s="131" t="s">
        <v>6817</v>
      </c>
      <c r="L57" s="60" t="s">
        <v>2686</v>
      </c>
      <c r="M57" s="49" t="s">
        <v>6392</v>
      </c>
    </row>
    <row r="58" spans="1:28" ht="14" x14ac:dyDescent="0.15">
      <c r="A58" s="70" t="s">
        <v>2633</v>
      </c>
      <c r="B58" s="82"/>
      <c r="C58" s="70" t="s">
        <v>3636</v>
      </c>
      <c r="D58" s="70" t="s">
        <v>2837</v>
      </c>
      <c r="E58" s="70" t="s">
        <v>3178</v>
      </c>
      <c r="F58" s="70" t="s">
        <v>2999</v>
      </c>
      <c r="G58" s="70" t="s">
        <v>3863</v>
      </c>
      <c r="H58" s="93"/>
      <c r="I58" s="85">
        <f t="shared" si="2"/>
        <v>4.8451000000000004</v>
      </c>
      <c r="J58" s="85">
        <v>70000.315913089813</v>
      </c>
      <c r="K58" s="131" t="s">
        <v>6817</v>
      </c>
      <c r="L58" s="60">
        <v>65</v>
      </c>
      <c r="M58" s="49" t="s">
        <v>6728</v>
      </c>
    </row>
    <row r="59" spans="1:28" ht="14" x14ac:dyDescent="0.15">
      <c r="A59" s="70" t="s">
        <v>2633</v>
      </c>
      <c r="B59" s="82"/>
      <c r="C59" s="70" t="s">
        <v>3636</v>
      </c>
      <c r="D59" s="70" t="s">
        <v>2837</v>
      </c>
      <c r="E59" s="70" t="s">
        <v>3178</v>
      </c>
      <c r="F59" s="70" t="s">
        <v>2999</v>
      </c>
      <c r="G59" s="70" t="s">
        <v>3864</v>
      </c>
      <c r="H59" s="93"/>
      <c r="I59" s="85">
        <f t="shared" si="2"/>
        <v>4.1038000000000006</v>
      </c>
      <c r="J59" s="85">
        <v>12699.891189181128</v>
      </c>
      <c r="K59" s="131" t="s">
        <v>6817</v>
      </c>
      <c r="L59" s="60">
        <v>60</v>
      </c>
      <c r="M59" s="49" t="s">
        <v>6392</v>
      </c>
    </row>
    <row r="60" spans="1:28" ht="14" x14ac:dyDescent="0.15">
      <c r="A60" s="70" t="s">
        <v>2633</v>
      </c>
      <c r="B60" s="82"/>
      <c r="C60" s="70" t="s">
        <v>3636</v>
      </c>
      <c r="D60" s="70" t="s">
        <v>2837</v>
      </c>
      <c r="E60" s="70" t="s">
        <v>3178</v>
      </c>
      <c r="F60" s="70" t="s">
        <v>2999</v>
      </c>
      <c r="G60" s="70" t="s">
        <v>3865</v>
      </c>
      <c r="H60" s="93"/>
      <c r="I60" s="85">
        <f t="shared" si="2"/>
        <v>4.0791800000000009</v>
      </c>
      <c r="J60" s="85">
        <v>11999.965570481174</v>
      </c>
      <c r="K60" s="131" t="s">
        <v>6522</v>
      </c>
      <c r="L60" s="60" t="s">
        <v>2686</v>
      </c>
      <c r="M60" s="49" t="s">
        <v>6392</v>
      </c>
    </row>
    <row r="61" spans="1:28" ht="14" x14ac:dyDescent="0.15">
      <c r="A61" s="70" t="s">
        <v>2633</v>
      </c>
      <c r="B61" s="82"/>
      <c r="C61" s="70" t="s">
        <v>3636</v>
      </c>
      <c r="D61" s="70" t="s">
        <v>2837</v>
      </c>
      <c r="E61" s="70" t="s">
        <v>3178</v>
      </c>
      <c r="F61" s="70" t="s">
        <v>2999</v>
      </c>
      <c r="G61" s="70" t="s">
        <v>3866</v>
      </c>
      <c r="H61" s="93"/>
      <c r="I61" s="85">
        <f t="shared" si="2"/>
        <v>3.7958799999999999</v>
      </c>
      <c r="J61" s="85">
        <v>6249.9997503986979</v>
      </c>
      <c r="K61" s="131" t="s">
        <v>3177</v>
      </c>
      <c r="L61" s="60">
        <v>60</v>
      </c>
    </row>
    <row r="62" spans="1:28" ht="14" x14ac:dyDescent="0.15">
      <c r="A62" s="70" t="s">
        <v>2633</v>
      </c>
      <c r="B62" s="82"/>
      <c r="C62" s="70" t="s">
        <v>3636</v>
      </c>
      <c r="D62" s="70" t="s">
        <v>2837</v>
      </c>
      <c r="E62" s="70" t="s">
        <v>3178</v>
      </c>
      <c r="F62" s="70" t="s">
        <v>2999</v>
      </c>
      <c r="G62" s="70" t="s">
        <v>3455</v>
      </c>
      <c r="H62" s="93"/>
      <c r="I62" s="85">
        <f t="shared" si="2"/>
        <v>4.0791800000000009</v>
      </c>
      <c r="J62" s="85">
        <v>11999.965570481174</v>
      </c>
      <c r="K62" s="131" t="s">
        <v>6817</v>
      </c>
      <c r="L62" s="60">
        <v>60</v>
      </c>
      <c r="M62" s="49" t="s">
        <v>6392</v>
      </c>
    </row>
    <row r="63" spans="1:28" s="189" customFormat="1" ht="14" x14ac:dyDescent="0.15">
      <c r="A63" s="70" t="s">
        <v>2633</v>
      </c>
      <c r="B63" s="82"/>
      <c r="C63" s="70" t="s">
        <v>3636</v>
      </c>
      <c r="D63" s="70" t="s">
        <v>2837</v>
      </c>
      <c r="E63" s="70" t="s">
        <v>3178</v>
      </c>
      <c r="F63" s="70" t="s">
        <v>2999</v>
      </c>
      <c r="G63" s="70" t="s">
        <v>3656</v>
      </c>
      <c r="H63" s="93"/>
      <c r="I63" s="85">
        <f t="shared" si="2"/>
        <v>4.3096300000000012</v>
      </c>
      <c r="J63" s="85">
        <v>20399.992135549033</v>
      </c>
      <c r="K63" s="131" t="s">
        <v>6522</v>
      </c>
      <c r="L63" s="60">
        <v>60</v>
      </c>
      <c r="M63" s="49" t="s">
        <v>6392</v>
      </c>
      <c r="N63" s="37"/>
      <c r="O63" s="37"/>
      <c r="P63" s="37"/>
      <c r="Q63" s="3"/>
      <c r="R63" s="3"/>
      <c r="S63" s="3"/>
      <c r="T63" s="3"/>
      <c r="U63" s="3"/>
      <c r="V63" s="3"/>
      <c r="W63" s="3"/>
      <c r="X63" s="3"/>
      <c r="Y63" s="3"/>
      <c r="Z63" s="4"/>
      <c r="AA63"/>
      <c r="AB63"/>
    </row>
    <row r="64" spans="1:28" s="189" customFormat="1" ht="14" x14ac:dyDescent="0.15">
      <c r="A64" s="70" t="s">
        <v>2633</v>
      </c>
      <c r="B64" s="82"/>
      <c r="C64" s="70" t="s">
        <v>3636</v>
      </c>
      <c r="D64" s="70" t="s">
        <v>2837</v>
      </c>
      <c r="E64" s="70" t="s">
        <v>3178</v>
      </c>
      <c r="F64" s="70" t="s">
        <v>2999</v>
      </c>
      <c r="G64" s="70" t="s">
        <v>3657</v>
      </c>
      <c r="H64" s="93"/>
      <c r="I64" s="85">
        <f t="shared" si="2"/>
        <v>4.1430100000000003</v>
      </c>
      <c r="J64" s="85">
        <v>13899.846364239125</v>
      </c>
      <c r="K64" s="131" t="s">
        <v>6817</v>
      </c>
      <c r="L64" s="60">
        <v>60</v>
      </c>
      <c r="M64" s="49" t="s">
        <v>6392</v>
      </c>
      <c r="N64" s="37"/>
      <c r="O64" s="37"/>
      <c r="P64" s="37"/>
      <c r="Q64" s="3"/>
      <c r="R64" s="3"/>
      <c r="S64" s="3"/>
      <c r="T64" s="3"/>
      <c r="U64" s="3"/>
      <c r="V64" s="3"/>
      <c r="W64" s="3"/>
      <c r="X64" s="3"/>
      <c r="Y64" s="3"/>
      <c r="Z64" s="4"/>
      <c r="AA64"/>
      <c r="AB64"/>
    </row>
    <row r="65" spans="1:28" ht="14" x14ac:dyDescent="0.15">
      <c r="A65" s="70" t="s">
        <v>2633</v>
      </c>
      <c r="B65" s="82"/>
      <c r="C65" s="70" t="s">
        <v>3636</v>
      </c>
      <c r="D65" s="70" t="s">
        <v>2837</v>
      </c>
      <c r="E65" s="70" t="s">
        <v>3178</v>
      </c>
      <c r="F65" s="70" t="s">
        <v>2999</v>
      </c>
      <c r="G65" s="70" t="s">
        <v>3658</v>
      </c>
      <c r="H65" s="93"/>
      <c r="I65" s="85">
        <f t="shared" si="2"/>
        <v>4.3010300000000008</v>
      </c>
      <c r="J65" s="85">
        <v>20000.000199681075</v>
      </c>
      <c r="K65" s="131" t="s">
        <v>6817</v>
      </c>
      <c r="L65" s="60" t="s">
        <v>2686</v>
      </c>
      <c r="M65" s="49" t="s">
        <v>6392</v>
      </c>
    </row>
    <row r="66" spans="1:28" ht="14" x14ac:dyDescent="0.15">
      <c r="A66" s="70" t="s">
        <v>2633</v>
      </c>
      <c r="B66" s="82"/>
      <c r="C66" s="70" t="s">
        <v>3636</v>
      </c>
      <c r="D66" s="70" t="s">
        <v>2837</v>
      </c>
      <c r="E66" s="70" t="s">
        <v>3178</v>
      </c>
      <c r="F66" s="70" t="s">
        <v>2999</v>
      </c>
      <c r="G66" s="70" t="s">
        <v>3420</v>
      </c>
      <c r="H66" s="93"/>
      <c r="I66" s="85">
        <f t="shared" si="2"/>
        <v>4.1760900000000003</v>
      </c>
      <c r="J66" s="85">
        <v>14999.956513820405</v>
      </c>
      <c r="K66" s="131" t="s">
        <v>3177</v>
      </c>
      <c r="L66" s="60">
        <v>60</v>
      </c>
    </row>
    <row r="67" spans="1:28" ht="14" x14ac:dyDescent="0.15">
      <c r="A67" s="70" t="s">
        <v>2633</v>
      </c>
      <c r="B67" s="82"/>
      <c r="C67" s="70" t="s">
        <v>3636</v>
      </c>
      <c r="D67" s="70" t="s">
        <v>2837</v>
      </c>
      <c r="E67" s="70" t="s">
        <v>3178</v>
      </c>
      <c r="F67" s="70" t="s">
        <v>2999</v>
      </c>
      <c r="G67" s="70" t="s">
        <v>3894</v>
      </c>
      <c r="H67" s="93"/>
      <c r="I67" s="85">
        <f t="shared" si="2"/>
        <v>4.0791800000000009</v>
      </c>
      <c r="J67" s="85">
        <v>11999.965570481174</v>
      </c>
      <c r="K67" s="131" t="s">
        <v>6522</v>
      </c>
      <c r="L67" s="60" t="s">
        <v>2686</v>
      </c>
      <c r="M67" s="49" t="s">
        <v>6392</v>
      </c>
    </row>
    <row r="68" spans="1:28" ht="14" x14ac:dyDescent="0.15">
      <c r="A68" s="70" t="s">
        <v>2633</v>
      </c>
      <c r="B68" s="82"/>
      <c r="C68" s="70" t="s">
        <v>3636</v>
      </c>
      <c r="D68" s="70" t="s">
        <v>2837</v>
      </c>
      <c r="E68" s="70" t="s">
        <v>3178</v>
      </c>
      <c r="F68" s="70" t="s">
        <v>2999</v>
      </c>
      <c r="G68" s="70" t="s">
        <v>3895</v>
      </c>
      <c r="H68" s="93"/>
      <c r="I68" s="85">
        <f t="shared" si="2"/>
        <v>4.8603399999999999</v>
      </c>
      <c r="J68" s="85">
        <v>72500.332778657481</v>
      </c>
      <c r="K68" s="131" t="s">
        <v>6817</v>
      </c>
      <c r="L68" s="60">
        <v>60</v>
      </c>
      <c r="M68" s="49" t="s">
        <v>6392</v>
      </c>
    </row>
    <row r="69" spans="1:28" ht="28" x14ac:dyDescent="0.15">
      <c r="A69" s="70" t="s">
        <v>2633</v>
      </c>
      <c r="B69" s="82"/>
      <c r="C69" s="70" t="s">
        <v>3636</v>
      </c>
      <c r="D69" s="70" t="s">
        <v>2837</v>
      </c>
      <c r="E69" s="70" t="s">
        <v>3178</v>
      </c>
      <c r="F69" s="70" t="s">
        <v>2999</v>
      </c>
      <c r="G69" s="70" t="s">
        <v>3896</v>
      </c>
      <c r="H69" s="93"/>
      <c r="I69" s="85">
        <f t="shared" si="2"/>
        <v>4.748190000000001</v>
      </c>
      <c r="J69" s="85">
        <v>56000.254407800254</v>
      </c>
      <c r="K69" s="131" t="s">
        <v>6853</v>
      </c>
      <c r="L69" s="60" t="s">
        <v>2686</v>
      </c>
      <c r="M69" s="49" t="s">
        <v>6392</v>
      </c>
    </row>
    <row r="70" spans="1:28" ht="14" x14ac:dyDescent="0.15">
      <c r="A70" s="70" t="s">
        <v>2633</v>
      </c>
      <c r="B70" s="93" t="s">
        <v>5854</v>
      </c>
      <c r="C70" s="70" t="s">
        <v>3636</v>
      </c>
      <c r="D70" s="70" t="s">
        <v>2837</v>
      </c>
      <c r="E70" s="70" t="s">
        <v>3178</v>
      </c>
      <c r="F70" s="70" t="s">
        <v>2999</v>
      </c>
      <c r="G70" s="70" t="s">
        <v>5948</v>
      </c>
      <c r="H70" s="93"/>
      <c r="I70" s="94">
        <f t="shared" si="2"/>
        <v>4.2304489213782741</v>
      </c>
      <c r="J70" s="85">
        <f>AVERAGE(15000,19000)</f>
        <v>17000</v>
      </c>
      <c r="K70" s="131" t="s">
        <v>6817</v>
      </c>
      <c r="L70" s="60">
        <v>164</v>
      </c>
      <c r="M70" s="33" t="s">
        <v>6392</v>
      </c>
    </row>
    <row r="71" spans="1:28" ht="14" x14ac:dyDescent="0.15">
      <c r="A71" s="70" t="s">
        <v>2633</v>
      </c>
      <c r="B71" s="82"/>
      <c r="C71" s="70" t="s">
        <v>3636</v>
      </c>
      <c r="D71" s="70" t="s">
        <v>2837</v>
      </c>
      <c r="E71" s="70" t="s">
        <v>3178</v>
      </c>
      <c r="F71" s="70" t="s">
        <v>2999</v>
      </c>
      <c r="G71" s="70" t="s">
        <v>3897</v>
      </c>
      <c r="H71" s="93"/>
      <c r="I71" s="85">
        <f t="shared" ref="I71:I102" si="3">LOG(J71)</f>
        <v>4.2430400000000006</v>
      </c>
      <c r="J71" s="85">
        <v>17500.078628829033</v>
      </c>
      <c r="K71" s="131" t="s">
        <v>6817</v>
      </c>
      <c r="L71" s="60">
        <v>65</v>
      </c>
      <c r="M71" s="49" t="s">
        <v>6728</v>
      </c>
    </row>
    <row r="72" spans="1:28" s="13" customFormat="1" ht="14" x14ac:dyDescent="0.15">
      <c r="A72" s="70" t="s">
        <v>2633</v>
      </c>
      <c r="B72" s="82"/>
      <c r="C72" s="70" t="s">
        <v>3636</v>
      </c>
      <c r="D72" s="70" t="s">
        <v>2837</v>
      </c>
      <c r="E72" s="70" t="s">
        <v>3178</v>
      </c>
      <c r="F72" s="70" t="s">
        <v>4434</v>
      </c>
      <c r="G72" s="70" t="s">
        <v>6952</v>
      </c>
      <c r="H72" s="93"/>
      <c r="I72" s="85">
        <f t="shared" si="3"/>
        <v>5.2552700000000012</v>
      </c>
      <c r="J72" s="85">
        <v>179998.96172455972</v>
      </c>
      <c r="K72" s="131" t="s">
        <v>6709</v>
      </c>
      <c r="L72" s="60">
        <v>60</v>
      </c>
      <c r="M72" s="49" t="s">
        <v>6392</v>
      </c>
      <c r="N72" s="37"/>
      <c r="O72" s="37"/>
      <c r="P72" s="37"/>
      <c r="Q72" s="3"/>
      <c r="R72" s="3"/>
      <c r="S72" s="3"/>
      <c r="T72" s="3"/>
      <c r="U72" s="3"/>
      <c r="V72" s="3"/>
      <c r="W72" s="3"/>
      <c r="X72" s="3"/>
      <c r="Y72" s="3"/>
      <c r="Z72" s="4"/>
      <c r="AA72"/>
      <c r="AB72"/>
    </row>
    <row r="73" spans="1:28" ht="28" x14ac:dyDescent="0.15">
      <c r="A73" s="70" t="s">
        <v>2633</v>
      </c>
      <c r="B73" s="82"/>
      <c r="C73" s="70" t="s">
        <v>3636</v>
      </c>
      <c r="D73" s="70" t="s">
        <v>2837</v>
      </c>
      <c r="E73" s="70" t="s">
        <v>3178</v>
      </c>
      <c r="F73" s="70" t="s">
        <v>4434</v>
      </c>
      <c r="G73" s="70" t="s">
        <v>6953</v>
      </c>
      <c r="H73" s="93"/>
      <c r="I73" s="85">
        <f t="shared" si="3"/>
        <v>5.2552700000000012</v>
      </c>
      <c r="J73" s="85">
        <v>179998.96172455972</v>
      </c>
      <c r="K73" s="131" t="s">
        <v>6710</v>
      </c>
      <c r="L73" s="60" t="s">
        <v>2686</v>
      </c>
      <c r="M73" s="49" t="s">
        <v>6392</v>
      </c>
      <c r="Q73" s="12"/>
      <c r="R73" s="12"/>
    </row>
    <row r="74" spans="1:28" s="13" customFormat="1" ht="42" x14ac:dyDescent="0.15">
      <c r="A74" s="70" t="s">
        <v>2633</v>
      </c>
      <c r="B74" s="82"/>
      <c r="C74" s="70" t="s">
        <v>3636</v>
      </c>
      <c r="D74" s="70" t="s">
        <v>2837</v>
      </c>
      <c r="E74" s="70" t="s">
        <v>3178</v>
      </c>
      <c r="F74" s="70" t="s">
        <v>6964</v>
      </c>
      <c r="G74" s="70" t="s">
        <v>6965</v>
      </c>
      <c r="H74" s="93"/>
      <c r="I74" s="85">
        <f t="shared" si="3"/>
        <v>4.9030900000000006</v>
      </c>
      <c r="J74" s="85">
        <v>80000.00239617264</v>
      </c>
      <c r="K74" s="131" t="s">
        <v>6726</v>
      </c>
      <c r="L74" s="60" t="s">
        <v>2686</v>
      </c>
      <c r="M74" s="49" t="s">
        <v>6809</v>
      </c>
      <c r="N74" s="37"/>
      <c r="O74" s="37"/>
      <c r="P74" s="37"/>
      <c r="Q74" s="3"/>
      <c r="R74" s="3"/>
      <c r="S74" s="3"/>
      <c r="T74" s="3"/>
      <c r="U74" s="3"/>
      <c r="V74" s="3"/>
      <c r="W74" s="3"/>
      <c r="X74" s="3"/>
      <c r="Y74" s="3"/>
      <c r="Z74" s="4"/>
      <c r="AA74"/>
      <c r="AB74"/>
    </row>
    <row r="75" spans="1:28" ht="56" x14ac:dyDescent="0.15">
      <c r="A75" s="70" t="s">
        <v>2633</v>
      </c>
      <c r="B75" s="82"/>
      <c r="C75" s="70" t="s">
        <v>3636</v>
      </c>
      <c r="D75" s="70" t="s">
        <v>2837</v>
      </c>
      <c r="E75" s="70" t="s">
        <v>3178</v>
      </c>
      <c r="F75" s="70" t="s">
        <v>6964</v>
      </c>
      <c r="G75" s="70" t="s">
        <v>4438</v>
      </c>
      <c r="H75" s="93"/>
      <c r="I75" s="85">
        <f t="shared" si="3"/>
        <v>5.1335400000000009</v>
      </c>
      <c r="J75" s="85">
        <v>136000.34184601295</v>
      </c>
      <c r="K75" s="131" t="s">
        <v>7291</v>
      </c>
      <c r="L75" s="60" t="s">
        <v>2686</v>
      </c>
      <c r="M75" s="49" t="s">
        <v>6392</v>
      </c>
    </row>
    <row r="76" spans="1:28" ht="28" x14ac:dyDescent="0.15">
      <c r="A76" s="70" t="s">
        <v>2633</v>
      </c>
      <c r="B76" s="82"/>
      <c r="C76" s="70" t="s">
        <v>3636</v>
      </c>
      <c r="D76" s="70" t="s">
        <v>2837</v>
      </c>
      <c r="E76" s="70" t="s">
        <v>3178</v>
      </c>
      <c r="F76" s="70" t="s">
        <v>6964</v>
      </c>
      <c r="G76" s="70" t="s">
        <v>1911</v>
      </c>
      <c r="H76" s="93"/>
      <c r="I76" s="85">
        <f t="shared" si="3"/>
        <v>5.008600171761918</v>
      </c>
      <c r="J76" s="85">
        <v>102000</v>
      </c>
      <c r="K76" s="131" t="s">
        <v>7292</v>
      </c>
      <c r="L76" s="66">
        <v>75</v>
      </c>
      <c r="M76" s="49" t="s">
        <v>6392</v>
      </c>
      <c r="Q76" s="12"/>
      <c r="R76" s="12"/>
    </row>
    <row r="77" spans="1:28" ht="14" x14ac:dyDescent="0.15">
      <c r="A77" s="70" t="s">
        <v>2633</v>
      </c>
      <c r="B77" s="82"/>
      <c r="C77" s="70" t="s">
        <v>3636</v>
      </c>
      <c r="D77" s="70" t="s">
        <v>2837</v>
      </c>
      <c r="E77" s="70" t="s">
        <v>3178</v>
      </c>
      <c r="F77" s="70" t="s">
        <v>1912</v>
      </c>
      <c r="G77" s="70" t="s">
        <v>1913</v>
      </c>
      <c r="H77" s="93"/>
      <c r="I77" s="85">
        <f t="shared" si="3"/>
        <v>4.010720000000001</v>
      </c>
      <c r="J77" s="85">
        <v>10249.908771372877</v>
      </c>
      <c r="K77" s="131" t="s">
        <v>6391</v>
      </c>
      <c r="L77" s="60">
        <v>65</v>
      </c>
      <c r="M77" s="49" t="s">
        <v>6728</v>
      </c>
    </row>
    <row r="78" spans="1:28" x14ac:dyDescent="0.15">
      <c r="A78" s="236" t="s">
        <v>3635</v>
      </c>
      <c r="B78" s="237"/>
      <c r="C78" s="238" t="s">
        <v>4905</v>
      </c>
      <c r="D78" s="236" t="s">
        <v>2837</v>
      </c>
      <c r="E78" s="236" t="s">
        <v>3178</v>
      </c>
      <c r="F78" s="236" t="s">
        <v>4063</v>
      </c>
      <c r="G78" s="236" t="s">
        <v>4811</v>
      </c>
      <c r="H78" s="237"/>
      <c r="I78" s="239">
        <f t="shared" si="3"/>
        <v>5.653212513775344</v>
      </c>
      <c r="J78" s="240">
        <v>450000</v>
      </c>
      <c r="K78" s="241"/>
      <c r="L78" s="247" t="s">
        <v>1772</v>
      </c>
      <c r="M78" s="243"/>
      <c r="N78" s="244"/>
      <c r="O78" s="244"/>
      <c r="P78" s="244"/>
      <c r="Q78" s="245"/>
      <c r="R78" s="245"/>
    </row>
    <row r="79" spans="1:28" ht="14" x14ac:dyDescent="0.15">
      <c r="A79" s="190" t="s">
        <v>2633</v>
      </c>
      <c r="B79" s="191"/>
      <c r="C79" s="192" t="s">
        <v>3750</v>
      </c>
      <c r="D79" s="190" t="s">
        <v>2837</v>
      </c>
      <c r="E79" s="190" t="s">
        <v>3178</v>
      </c>
      <c r="F79" s="190" t="s">
        <v>87</v>
      </c>
      <c r="G79" s="190" t="s">
        <v>3524</v>
      </c>
      <c r="H79" s="191" t="s">
        <v>88</v>
      </c>
      <c r="I79" s="183">
        <f t="shared" si="3"/>
        <v>4.6020599913279625</v>
      </c>
      <c r="J79" s="193">
        <v>40000</v>
      </c>
      <c r="K79" s="194" t="s">
        <v>80</v>
      </c>
      <c r="L79" s="195" t="s">
        <v>3529</v>
      </c>
      <c r="M79" s="186" t="s">
        <v>6653</v>
      </c>
      <c r="N79" s="186"/>
      <c r="O79" s="186"/>
      <c r="P79" s="186"/>
      <c r="Q79" s="187"/>
      <c r="R79" s="187"/>
    </row>
    <row r="80" spans="1:28" ht="42" x14ac:dyDescent="0.15">
      <c r="A80" s="70" t="s">
        <v>2479</v>
      </c>
      <c r="B80" s="93" t="s">
        <v>5855</v>
      </c>
      <c r="C80" s="70" t="s">
        <v>3750</v>
      </c>
      <c r="D80" s="70" t="s">
        <v>2837</v>
      </c>
      <c r="E80" s="70" t="s">
        <v>3178</v>
      </c>
      <c r="F80" s="70" t="s">
        <v>1914</v>
      </c>
      <c r="G80" s="70" t="s">
        <v>5543</v>
      </c>
      <c r="H80" s="93" t="s">
        <v>86</v>
      </c>
      <c r="I80" s="85">
        <f t="shared" si="3"/>
        <v>4.0791812460476251</v>
      </c>
      <c r="J80" s="85">
        <v>12000</v>
      </c>
      <c r="K80" s="131" t="s">
        <v>1511</v>
      </c>
      <c r="L80" s="60">
        <v>143</v>
      </c>
      <c r="M80" s="33" t="s">
        <v>6653</v>
      </c>
    </row>
    <row r="81" spans="1:28" x14ac:dyDescent="0.15">
      <c r="A81" s="236" t="s">
        <v>2633</v>
      </c>
      <c r="B81" s="237"/>
      <c r="C81" s="238" t="s">
        <v>4905</v>
      </c>
      <c r="D81" s="236" t="s">
        <v>2837</v>
      </c>
      <c r="E81" s="236" t="s">
        <v>3178</v>
      </c>
      <c r="F81" s="236" t="s">
        <v>1914</v>
      </c>
      <c r="G81" s="236" t="s">
        <v>6913</v>
      </c>
      <c r="H81" s="237"/>
      <c r="I81" s="239">
        <f t="shared" si="3"/>
        <v>4.648360010980932</v>
      </c>
      <c r="J81" s="240">
        <v>44500</v>
      </c>
      <c r="K81" s="241"/>
      <c r="L81" s="242" t="s">
        <v>3749</v>
      </c>
      <c r="M81" s="243"/>
      <c r="N81" s="244"/>
      <c r="O81" s="244"/>
      <c r="P81" s="244"/>
      <c r="Q81" s="245"/>
      <c r="R81" s="245"/>
    </row>
    <row r="82" spans="1:28" ht="14" x14ac:dyDescent="0.15">
      <c r="A82" s="70" t="s">
        <v>2479</v>
      </c>
      <c r="B82" s="93" t="s">
        <v>5856</v>
      </c>
      <c r="C82" s="70" t="s">
        <v>3636</v>
      </c>
      <c r="D82" s="70" t="s">
        <v>2837</v>
      </c>
      <c r="E82" s="70" t="s">
        <v>3178</v>
      </c>
      <c r="F82" s="70" t="s">
        <v>1914</v>
      </c>
      <c r="G82" s="70" t="s">
        <v>5544</v>
      </c>
      <c r="H82" s="93"/>
      <c r="I82" s="85">
        <f t="shared" si="3"/>
        <v>4.2768446111454983</v>
      </c>
      <c r="J82" s="85">
        <f>AVERAGE((50*454), (35*454), (40*454))</f>
        <v>18916.666666666668</v>
      </c>
      <c r="K82" s="131" t="s">
        <v>6817</v>
      </c>
      <c r="L82" s="60">
        <v>133</v>
      </c>
      <c r="M82" s="33" t="s">
        <v>6392</v>
      </c>
    </row>
    <row r="83" spans="1:28" ht="42" x14ac:dyDescent="0.15">
      <c r="A83" s="180" t="s">
        <v>2479</v>
      </c>
      <c r="B83" s="182" t="s">
        <v>5857</v>
      </c>
      <c r="C83" s="180" t="s">
        <v>3750</v>
      </c>
      <c r="D83" s="180" t="s">
        <v>2837</v>
      </c>
      <c r="E83" s="180" t="s">
        <v>3178</v>
      </c>
      <c r="F83" s="180" t="s">
        <v>1914</v>
      </c>
      <c r="G83" s="180" t="s">
        <v>5532</v>
      </c>
      <c r="H83" s="182" t="s">
        <v>52</v>
      </c>
      <c r="I83" s="183">
        <f t="shared" si="3"/>
        <v>4.685741738602264</v>
      </c>
      <c r="J83" s="183">
        <f>AVERAGE(12000, 85000)</f>
        <v>48500</v>
      </c>
      <c r="K83" s="184" t="s">
        <v>53</v>
      </c>
      <c r="L83" s="185">
        <v>56</v>
      </c>
      <c r="M83" s="186" t="s">
        <v>6653</v>
      </c>
      <c r="N83" s="186" t="s">
        <v>1229</v>
      </c>
      <c r="O83" s="186"/>
      <c r="P83" s="186"/>
      <c r="Q83" s="187"/>
      <c r="R83" s="187"/>
    </row>
    <row r="84" spans="1:28" ht="14" x14ac:dyDescent="0.15">
      <c r="A84" s="70" t="s">
        <v>2633</v>
      </c>
      <c r="B84" s="82"/>
      <c r="C84" s="70" t="s">
        <v>3636</v>
      </c>
      <c r="D84" s="70" t="s">
        <v>2837</v>
      </c>
      <c r="E84" s="70" t="s">
        <v>3178</v>
      </c>
      <c r="F84" s="70" t="s">
        <v>1914</v>
      </c>
      <c r="G84" s="70" t="s">
        <v>4561</v>
      </c>
      <c r="H84" s="93"/>
      <c r="I84" s="85">
        <f t="shared" si="3"/>
        <v>4.3979400086720375</v>
      </c>
      <c r="J84" s="85">
        <v>25000</v>
      </c>
      <c r="K84" s="131" t="s">
        <v>6817</v>
      </c>
      <c r="L84" s="67">
        <v>-999</v>
      </c>
      <c r="M84" s="49" t="s">
        <v>6390</v>
      </c>
    </row>
    <row r="85" spans="1:28" ht="14" x14ac:dyDescent="0.15">
      <c r="A85" s="70" t="s">
        <v>2633</v>
      </c>
      <c r="B85" s="82"/>
      <c r="C85" s="70" t="s">
        <v>3636</v>
      </c>
      <c r="D85" s="70" t="s">
        <v>2837</v>
      </c>
      <c r="E85" s="70" t="s">
        <v>3178</v>
      </c>
      <c r="F85" s="70" t="s">
        <v>1914</v>
      </c>
      <c r="G85" s="70" t="s">
        <v>4708</v>
      </c>
      <c r="H85" s="93"/>
      <c r="I85" s="85">
        <f t="shared" si="3"/>
        <v>4.8633199999999999</v>
      </c>
      <c r="J85" s="85">
        <v>72999.519247620075</v>
      </c>
      <c r="K85" s="131" t="s">
        <v>6817</v>
      </c>
      <c r="L85" s="60">
        <v>60</v>
      </c>
      <c r="M85" s="49" t="s">
        <v>6390</v>
      </c>
    </row>
    <row r="86" spans="1:28" ht="14" x14ac:dyDescent="0.15">
      <c r="A86" s="70" t="s">
        <v>2633</v>
      </c>
      <c r="B86" s="82"/>
      <c r="C86" s="70" t="s">
        <v>3636</v>
      </c>
      <c r="D86" s="70" t="s">
        <v>2837</v>
      </c>
      <c r="E86" s="70" t="s">
        <v>3178</v>
      </c>
      <c r="F86" s="70" t="s">
        <v>1914</v>
      </c>
      <c r="G86" s="70" t="s">
        <v>1907</v>
      </c>
      <c r="H86" s="93"/>
      <c r="I86" s="85">
        <f t="shared" si="3"/>
        <v>4.3617299999999997</v>
      </c>
      <c r="J86" s="85">
        <v>23000.114603619051</v>
      </c>
      <c r="K86" s="131" t="s">
        <v>6817</v>
      </c>
      <c r="L86" s="60">
        <v>65</v>
      </c>
      <c r="M86" s="49" t="s">
        <v>6728</v>
      </c>
      <c r="P86" s="49"/>
      <c r="S86" s="245"/>
      <c r="T86" s="245"/>
      <c r="U86" s="245"/>
      <c r="V86" s="245"/>
      <c r="W86" s="245"/>
      <c r="X86" s="245"/>
      <c r="Y86" s="245"/>
      <c r="Z86" s="246"/>
      <c r="AA86" s="246"/>
      <c r="AB86" s="246"/>
    </row>
    <row r="87" spans="1:28" ht="14" x14ac:dyDescent="0.15">
      <c r="A87" s="70" t="s">
        <v>2479</v>
      </c>
      <c r="B87" s="82" t="s">
        <v>7561</v>
      </c>
      <c r="C87" s="70" t="s">
        <v>3636</v>
      </c>
      <c r="D87" s="70" t="s">
        <v>2837</v>
      </c>
      <c r="E87" s="70" t="s">
        <v>3178</v>
      </c>
      <c r="F87" s="70" t="s">
        <v>1914</v>
      </c>
      <c r="G87" s="70" t="s">
        <v>1907</v>
      </c>
      <c r="H87" s="93"/>
      <c r="I87" s="85">
        <f t="shared" si="3"/>
        <v>4.3617299999999997</v>
      </c>
      <c r="J87" s="85">
        <v>23000.114603619051</v>
      </c>
      <c r="K87" s="131" t="s">
        <v>6817</v>
      </c>
      <c r="L87" s="60">
        <v>65</v>
      </c>
      <c r="M87" s="49" t="s">
        <v>6728</v>
      </c>
      <c r="P87" s="49"/>
      <c r="S87" s="245"/>
      <c r="T87" s="245"/>
      <c r="U87" s="245"/>
      <c r="V87" s="245"/>
      <c r="W87" s="245"/>
      <c r="X87" s="245"/>
      <c r="Y87" s="245"/>
      <c r="Z87" s="246"/>
      <c r="AA87" s="246"/>
      <c r="AB87" s="246"/>
    </row>
    <row r="88" spans="1:28" ht="28" x14ac:dyDescent="0.15">
      <c r="A88" s="70" t="s">
        <v>2633</v>
      </c>
      <c r="B88" s="82"/>
      <c r="C88" s="70" t="s">
        <v>3636</v>
      </c>
      <c r="D88" s="70" t="s">
        <v>2837</v>
      </c>
      <c r="E88" s="70" t="s">
        <v>3178</v>
      </c>
      <c r="F88" s="70" t="s">
        <v>1914</v>
      </c>
      <c r="G88" s="70" t="s">
        <v>7014</v>
      </c>
      <c r="H88" s="93"/>
      <c r="I88" s="85">
        <f t="shared" si="3"/>
        <v>4.3521800000000006</v>
      </c>
      <c r="J88" s="85">
        <v>22499.869541650296</v>
      </c>
      <c r="K88" s="131" t="s">
        <v>6835</v>
      </c>
      <c r="L88" s="60">
        <v>65</v>
      </c>
      <c r="M88" s="49" t="s">
        <v>6392</v>
      </c>
      <c r="S88" s="245"/>
      <c r="T88" s="245"/>
      <c r="U88" s="245"/>
      <c r="V88" s="245"/>
      <c r="W88" s="245"/>
      <c r="X88" s="245"/>
      <c r="Y88" s="245"/>
      <c r="Z88" s="246"/>
      <c r="AA88" s="246"/>
      <c r="AB88" s="246"/>
    </row>
    <row r="89" spans="1:28" ht="28" x14ac:dyDescent="0.2">
      <c r="A89" s="70" t="s">
        <v>2479</v>
      </c>
      <c r="B89" s="82"/>
      <c r="C89" s="70" t="s">
        <v>3636</v>
      </c>
      <c r="D89" s="70" t="s">
        <v>2837</v>
      </c>
      <c r="E89" s="70" t="s">
        <v>3178</v>
      </c>
      <c r="F89" s="70" t="s">
        <v>1914</v>
      </c>
      <c r="G89" s="70" t="s">
        <v>7014</v>
      </c>
      <c r="H89" s="93"/>
      <c r="I89" s="85">
        <f t="shared" si="3"/>
        <v>4.3617278360175931</v>
      </c>
      <c r="J89" s="85">
        <v>23000</v>
      </c>
      <c r="K89" s="131" t="s">
        <v>1374</v>
      </c>
      <c r="L89" s="60">
        <v>115</v>
      </c>
      <c r="M89" s="49" t="s">
        <v>6392</v>
      </c>
      <c r="N89" s="48"/>
      <c r="S89" s="245"/>
      <c r="T89" s="245"/>
      <c r="U89" s="245"/>
      <c r="V89" s="245"/>
      <c r="W89" s="245"/>
      <c r="X89" s="245"/>
      <c r="Y89" s="245"/>
      <c r="Z89" s="246"/>
      <c r="AA89" s="246"/>
      <c r="AB89" s="246"/>
    </row>
    <row r="90" spans="1:28" ht="17" x14ac:dyDescent="0.2">
      <c r="A90" s="70" t="s">
        <v>2633</v>
      </c>
      <c r="B90" s="82"/>
      <c r="C90" s="70" t="s">
        <v>3636</v>
      </c>
      <c r="D90" s="70" t="s">
        <v>2837</v>
      </c>
      <c r="E90" s="70" t="s">
        <v>3178</v>
      </c>
      <c r="F90" s="70" t="s">
        <v>1914</v>
      </c>
      <c r="G90" s="70" t="s">
        <v>7015</v>
      </c>
      <c r="H90" s="93"/>
      <c r="I90" s="85">
        <f t="shared" si="3"/>
        <v>4.7403600000000008</v>
      </c>
      <c r="J90" s="85">
        <v>54999.659397640258</v>
      </c>
      <c r="K90" s="131" t="s">
        <v>6817</v>
      </c>
      <c r="L90" s="60" t="s">
        <v>2686</v>
      </c>
      <c r="M90" s="47" t="s">
        <v>6392</v>
      </c>
      <c r="S90" s="245"/>
      <c r="T90" s="245"/>
      <c r="U90" s="245"/>
      <c r="V90" s="245"/>
      <c r="W90" s="245"/>
      <c r="X90" s="245"/>
      <c r="Y90" s="245"/>
      <c r="Z90" s="246"/>
      <c r="AA90" s="246"/>
      <c r="AB90" s="246"/>
    </row>
    <row r="91" spans="1:28" ht="14" x14ac:dyDescent="0.15">
      <c r="A91" s="70" t="s">
        <v>2633</v>
      </c>
      <c r="B91" s="82"/>
      <c r="C91" s="70" t="s">
        <v>3636</v>
      </c>
      <c r="D91" s="70" t="s">
        <v>2837</v>
      </c>
      <c r="E91" s="70" t="s">
        <v>3178</v>
      </c>
      <c r="F91" s="70" t="s">
        <v>1914</v>
      </c>
      <c r="G91" s="70" t="s">
        <v>5533</v>
      </c>
      <c r="H91" s="93"/>
      <c r="I91" s="85">
        <f t="shared" si="3"/>
        <v>4.3463529744506388</v>
      </c>
      <c r="J91" s="85">
        <v>22200</v>
      </c>
      <c r="K91" s="131" t="s">
        <v>6080</v>
      </c>
      <c r="L91" s="60">
        <v>75</v>
      </c>
      <c r="M91" s="49" t="s">
        <v>6390</v>
      </c>
    </row>
    <row r="92" spans="1:28" ht="14" x14ac:dyDescent="0.15">
      <c r="A92" s="70" t="s">
        <v>2633</v>
      </c>
      <c r="B92" s="82"/>
      <c r="C92" s="73" t="s">
        <v>3636</v>
      </c>
      <c r="D92" s="73" t="s">
        <v>2837</v>
      </c>
      <c r="E92" s="70" t="s">
        <v>3178</v>
      </c>
      <c r="F92" s="73" t="s">
        <v>1914</v>
      </c>
      <c r="G92" s="73" t="s">
        <v>1918</v>
      </c>
      <c r="H92" s="108"/>
      <c r="I92" s="85">
        <f t="shared" si="3"/>
        <v>4.4313599999999997</v>
      </c>
      <c r="J92" s="95">
        <v>26999.76598401209</v>
      </c>
      <c r="K92" s="131" t="s">
        <v>6817</v>
      </c>
      <c r="L92" s="60">
        <v>60</v>
      </c>
      <c r="M92" s="49" t="s">
        <v>6728</v>
      </c>
      <c r="S92" s="187"/>
      <c r="T92" s="187"/>
      <c r="U92" s="187"/>
      <c r="V92" s="187"/>
      <c r="W92" s="187"/>
      <c r="X92" s="187"/>
      <c r="Y92" s="187"/>
      <c r="Z92" s="188"/>
      <c r="AA92" s="189"/>
      <c r="AB92" s="189"/>
    </row>
    <row r="93" spans="1:28" ht="28" x14ac:dyDescent="0.15">
      <c r="A93" s="70" t="s">
        <v>2479</v>
      </c>
      <c r="B93" s="93" t="s">
        <v>2417</v>
      </c>
      <c r="C93" s="70" t="s">
        <v>3636</v>
      </c>
      <c r="D93" s="70" t="s">
        <v>2837</v>
      </c>
      <c r="E93" s="70" t="s">
        <v>3178</v>
      </c>
      <c r="F93" s="70" t="s">
        <v>1914</v>
      </c>
      <c r="G93" s="70" t="s">
        <v>5534</v>
      </c>
      <c r="H93" s="93"/>
      <c r="I93" s="85">
        <f t="shared" si="3"/>
        <v>4.204119982655925</v>
      </c>
      <c r="J93" s="85">
        <v>16000</v>
      </c>
      <c r="K93" s="131" t="s">
        <v>3177</v>
      </c>
      <c r="L93" s="60">
        <v>143</v>
      </c>
      <c r="M93" s="49" t="s">
        <v>6748</v>
      </c>
      <c r="S93" s="245"/>
      <c r="T93" s="245"/>
      <c r="U93" s="245"/>
      <c r="V93" s="245"/>
      <c r="W93" s="245"/>
      <c r="X93" s="245"/>
      <c r="Y93" s="245"/>
      <c r="Z93" s="246"/>
      <c r="AA93" s="244"/>
      <c r="AB93" s="244"/>
    </row>
    <row r="94" spans="1:28" ht="14" x14ac:dyDescent="0.15">
      <c r="A94" s="70" t="s">
        <v>2633</v>
      </c>
      <c r="B94" s="82"/>
      <c r="C94" s="70" t="s">
        <v>3636</v>
      </c>
      <c r="D94" s="70" t="s">
        <v>2837</v>
      </c>
      <c r="E94" s="70" t="s">
        <v>3178</v>
      </c>
      <c r="F94" s="70" t="s">
        <v>1914</v>
      </c>
      <c r="G94" s="70" t="s">
        <v>4558</v>
      </c>
      <c r="H94" s="93"/>
      <c r="I94" s="85">
        <f t="shared" si="3"/>
        <v>4.6020599999999998</v>
      </c>
      <c r="J94" s="85">
        <v>40000.000798724192</v>
      </c>
      <c r="K94" s="131" t="s">
        <v>6817</v>
      </c>
      <c r="L94" s="60" t="s">
        <v>2686</v>
      </c>
      <c r="M94" s="49" t="s">
        <v>6728</v>
      </c>
    </row>
    <row r="95" spans="1:28" ht="14" x14ac:dyDescent="0.15">
      <c r="A95" s="70" t="s">
        <v>2633</v>
      </c>
      <c r="B95" s="82"/>
      <c r="C95" s="70" t="s">
        <v>3636</v>
      </c>
      <c r="D95" s="70" t="s">
        <v>2837</v>
      </c>
      <c r="E95" s="70" t="s">
        <v>3178</v>
      </c>
      <c r="F95" s="70" t="s">
        <v>1914</v>
      </c>
      <c r="G95" s="70" t="s">
        <v>4559</v>
      </c>
      <c r="H95" s="93"/>
      <c r="I95" s="85">
        <f t="shared" si="3"/>
        <v>4.3010300000000008</v>
      </c>
      <c r="J95" s="85">
        <v>20000.000199681075</v>
      </c>
      <c r="K95" s="131" t="s">
        <v>6391</v>
      </c>
      <c r="L95" s="60">
        <v>65</v>
      </c>
      <c r="M95" s="49" t="s">
        <v>6728</v>
      </c>
      <c r="S95" s="245"/>
      <c r="T95" s="245"/>
      <c r="U95" s="245"/>
      <c r="V95" s="245"/>
      <c r="W95" s="245"/>
      <c r="X95" s="245"/>
      <c r="Y95" s="245"/>
      <c r="Z95" s="246"/>
      <c r="AA95" s="243"/>
      <c r="AB95" s="243"/>
    </row>
    <row r="96" spans="1:28" ht="70" x14ac:dyDescent="0.15">
      <c r="A96" s="70" t="s">
        <v>2479</v>
      </c>
      <c r="B96" s="82"/>
      <c r="C96" s="70" t="s">
        <v>3636</v>
      </c>
      <c r="D96" s="70" t="s">
        <v>2837</v>
      </c>
      <c r="E96" s="70" t="s">
        <v>3178</v>
      </c>
      <c r="F96" s="70" t="s">
        <v>1914</v>
      </c>
      <c r="G96" s="70" t="s">
        <v>5535</v>
      </c>
      <c r="H96" s="93"/>
      <c r="I96" s="85">
        <f t="shared" si="3"/>
        <v>4.4548448600085102</v>
      </c>
      <c r="J96" s="85">
        <f>AVERAGE(25500, 31500)</f>
        <v>28500</v>
      </c>
      <c r="K96" s="131" t="s">
        <v>6817</v>
      </c>
      <c r="L96" s="60">
        <v>91</v>
      </c>
      <c r="M96" s="49" t="s">
        <v>6392</v>
      </c>
      <c r="N96" s="32" t="s">
        <v>6707</v>
      </c>
    </row>
    <row r="97" spans="1:28" ht="14" x14ac:dyDescent="0.15">
      <c r="A97" s="70" t="s">
        <v>2633</v>
      </c>
      <c r="B97" s="82"/>
      <c r="C97" s="70" t="s">
        <v>3636</v>
      </c>
      <c r="D97" s="70" t="s">
        <v>2837</v>
      </c>
      <c r="E97" s="70" t="s">
        <v>3178</v>
      </c>
      <c r="F97" s="70" t="s">
        <v>1914</v>
      </c>
      <c r="G97" s="70" t="s">
        <v>4560</v>
      </c>
      <c r="H97" s="93"/>
      <c r="I97" s="85">
        <f t="shared" si="3"/>
        <v>4.31175</v>
      </c>
      <c r="J97" s="85">
        <v>20499.817747416979</v>
      </c>
      <c r="K97" s="131" t="s">
        <v>6522</v>
      </c>
      <c r="L97" s="60" t="s">
        <v>2686</v>
      </c>
      <c r="M97" s="49" t="s">
        <v>6392</v>
      </c>
    </row>
    <row r="98" spans="1:28" ht="14" x14ac:dyDescent="0.15">
      <c r="A98" s="70" t="s">
        <v>2479</v>
      </c>
      <c r="B98" s="93" t="s">
        <v>2418</v>
      </c>
      <c r="C98" s="70" t="s">
        <v>3636</v>
      </c>
      <c r="D98" s="70" t="s">
        <v>2837</v>
      </c>
      <c r="E98" s="70" t="s">
        <v>3178</v>
      </c>
      <c r="F98" s="70" t="s">
        <v>5203</v>
      </c>
      <c r="G98" s="70" t="s">
        <v>7783</v>
      </c>
      <c r="H98" s="93"/>
      <c r="I98" s="85">
        <f t="shared" si="3"/>
        <v>4.8750612633917001</v>
      </c>
      <c r="J98" s="85">
        <v>75000</v>
      </c>
      <c r="K98" s="131" t="s">
        <v>6817</v>
      </c>
      <c r="L98" s="60">
        <v>136</v>
      </c>
      <c r="M98" s="31" t="s">
        <v>6390</v>
      </c>
      <c r="S98" s="245"/>
      <c r="T98" s="245"/>
      <c r="U98" s="245"/>
      <c r="V98" s="245"/>
      <c r="W98" s="245"/>
      <c r="X98" s="245"/>
      <c r="Y98" s="245"/>
      <c r="Z98" s="246"/>
      <c r="AA98" s="244"/>
      <c r="AB98" s="244"/>
    </row>
    <row r="99" spans="1:28" ht="56" x14ac:dyDescent="0.2">
      <c r="A99" s="70" t="s">
        <v>2479</v>
      </c>
      <c r="B99" s="93" t="s">
        <v>2248</v>
      </c>
      <c r="C99" s="70" t="s">
        <v>3636</v>
      </c>
      <c r="D99" s="70" t="s">
        <v>2837</v>
      </c>
      <c r="E99" s="70" t="s">
        <v>3178</v>
      </c>
      <c r="F99" s="70" t="s">
        <v>5203</v>
      </c>
      <c r="G99" s="70" t="s">
        <v>7784</v>
      </c>
      <c r="H99" s="93"/>
      <c r="I99" s="85">
        <f t="shared" si="3"/>
        <v>4.3617278360175931</v>
      </c>
      <c r="J99" s="85">
        <v>23000</v>
      </c>
      <c r="K99" s="131" t="s">
        <v>4256</v>
      </c>
      <c r="L99" s="60">
        <v>136</v>
      </c>
      <c r="M99" s="47" t="s">
        <v>6390</v>
      </c>
      <c r="N99" s="32" t="s">
        <v>1327</v>
      </c>
    </row>
    <row r="100" spans="1:28" ht="42" x14ac:dyDescent="0.15">
      <c r="A100" s="70" t="s">
        <v>2479</v>
      </c>
      <c r="B100" s="82"/>
      <c r="C100" s="70" t="s">
        <v>3636</v>
      </c>
      <c r="D100" s="70" t="s">
        <v>2837</v>
      </c>
      <c r="E100" s="70" t="s">
        <v>3178</v>
      </c>
      <c r="F100" s="70" t="s">
        <v>5203</v>
      </c>
      <c r="G100" s="70" t="s">
        <v>6097</v>
      </c>
      <c r="H100" s="93"/>
      <c r="I100" s="85">
        <f t="shared" si="3"/>
        <v>4.5465426634781307</v>
      </c>
      <c r="J100" s="85">
        <v>35200</v>
      </c>
      <c r="K100" s="131" t="s">
        <v>1413</v>
      </c>
      <c r="L100" s="60">
        <v>68</v>
      </c>
      <c r="M100" s="33" t="s">
        <v>6728</v>
      </c>
    </row>
    <row r="101" spans="1:28" ht="14" x14ac:dyDescent="0.15">
      <c r="A101" s="70" t="s">
        <v>2633</v>
      </c>
      <c r="B101" s="82"/>
      <c r="C101" s="70" t="s">
        <v>3636</v>
      </c>
      <c r="D101" s="70" t="s">
        <v>2837</v>
      </c>
      <c r="E101" s="70" t="s">
        <v>3178</v>
      </c>
      <c r="F101" s="70" t="s">
        <v>4562</v>
      </c>
      <c r="G101" s="70" t="s">
        <v>2143</v>
      </c>
      <c r="H101" s="93"/>
      <c r="I101" s="85">
        <f t="shared" si="3"/>
        <v>5.4313600000000006</v>
      </c>
      <c r="J101" s="85">
        <v>269997.65984012122</v>
      </c>
      <c r="K101" s="131" t="s">
        <v>6817</v>
      </c>
      <c r="L101" s="60" t="s">
        <v>2686</v>
      </c>
      <c r="M101" s="49" t="s">
        <v>6392</v>
      </c>
    </row>
    <row r="102" spans="1:28" ht="14" x14ac:dyDescent="0.15">
      <c r="A102" s="86" t="s">
        <v>2633</v>
      </c>
      <c r="B102" s="87"/>
      <c r="C102" s="88" t="s">
        <v>3750</v>
      </c>
      <c r="D102" s="86" t="s">
        <v>2837</v>
      </c>
      <c r="E102" s="86" t="s">
        <v>3178</v>
      </c>
      <c r="F102" s="86" t="s">
        <v>4562</v>
      </c>
      <c r="G102" s="86" t="s">
        <v>6112</v>
      </c>
      <c r="H102" s="87" t="s">
        <v>89</v>
      </c>
      <c r="I102" s="85">
        <f t="shared" si="3"/>
        <v>5.1760912590556813</v>
      </c>
      <c r="J102" s="89">
        <v>150000</v>
      </c>
      <c r="K102" s="132" t="s">
        <v>6522</v>
      </c>
      <c r="L102" s="68" t="s">
        <v>6928</v>
      </c>
      <c r="M102" s="49" t="s">
        <v>6653</v>
      </c>
      <c r="P102" s="49"/>
    </row>
    <row r="103" spans="1:28" ht="14" x14ac:dyDescent="0.15">
      <c r="A103" s="70" t="s">
        <v>2633</v>
      </c>
      <c r="B103" s="82"/>
      <c r="C103" s="70" t="s">
        <v>3636</v>
      </c>
      <c r="D103" s="70" t="s">
        <v>2837</v>
      </c>
      <c r="E103" s="70" t="s">
        <v>3178</v>
      </c>
      <c r="F103" s="70" t="s">
        <v>4562</v>
      </c>
      <c r="G103" s="70" t="s">
        <v>3656</v>
      </c>
      <c r="H103" s="93"/>
      <c r="I103" s="85">
        <f t="shared" ref="I103:I134" si="4">LOG(J103)</f>
        <v>5.356980000000001</v>
      </c>
      <c r="J103" s="85">
        <v>227499.26610759203</v>
      </c>
      <c r="K103" s="131" t="s">
        <v>6817</v>
      </c>
      <c r="L103" s="60" t="s">
        <v>2686</v>
      </c>
      <c r="M103" s="49" t="s">
        <v>6392</v>
      </c>
    </row>
    <row r="104" spans="1:28" ht="14" x14ac:dyDescent="0.15">
      <c r="A104" s="73" t="s">
        <v>2633</v>
      </c>
      <c r="B104" s="82"/>
      <c r="C104" s="70" t="s">
        <v>3636</v>
      </c>
      <c r="D104" s="70" t="s">
        <v>2837</v>
      </c>
      <c r="E104" s="70" t="s">
        <v>3178</v>
      </c>
      <c r="F104" s="70" t="s">
        <v>2144</v>
      </c>
      <c r="G104" s="70" t="s">
        <v>6981</v>
      </c>
      <c r="H104" s="93"/>
      <c r="I104" s="85">
        <f t="shared" si="4"/>
        <v>5.3222200000000006</v>
      </c>
      <c r="J104" s="85">
        <v>210000.34102666145</v>
      </c>
      <c r="K104" s="131" t="s">
        <v>6817</v>
      </c>
      <c r="L104" s="60" t="s">
        <v>2686</v>
      </c>
      <c r="M104" s="49" t="s">
        <v>6392</v>
      </c>
    </row>
    <row r="105" spans="1:28" ht="14" x14ac:dyDescent="0.15">
      <c r="A105" s="70" t="s">
        <v>2633</v>
      </c>
      <c r="B105" s="82"/>
      <c r="C105" s="70" t="s">
        <v>3636</v>
      </c>
      <c r="D105" s="70" t="s">
        <v>2837</v>
      </c>
      <c r="E105" s="70" t="s">
        <v>3178</v>
      </c>
      <c r="F105" s="70" t="s">
        <v>2144</v>
      </c>
      <c r="G105" s="70" t="s">
        <v>6982</v>
      </c>
      <c r="H105" s="93"/>
      <c r="I105" s="85">
        <f t="shared" si="4"/>
        <v>4.8948700000000009</v>
      </c>
      <c r="J105" s="85">
        <v>78500.062044325954</v>
      </c>
      <c r="K105" s="131" t="s">
        <v>6818</v>
      </c>
      <c r="L105" s="60" t="s">
        <v>2686</v>
      </c>
      <c r="M105" s="49" t="s">
        <v>6392</v>
      </c>
      <c r="O105" s="49"/>
    </row>
    <row r="106" spans="1:28" ht="14" x14ac:dyDescent="0.15">
      <c r="A106" s="70" t="s">
        <v>2633</v>
      </c>
      <c r="B106" s="82"/>
      <c r="C106" s="70" t="s">
        <v>3636</v>
      </c>
      <c r="D106" s="70" t="s">
        <v>2837</v>
      </c>
      <c r="E106" s="70" t="s">
        <v>3178</v>
      </c>
      <c r="F106" s="70" t="s">
        <v>2144</v>
      </c>
      <c r="G106" s="70" t="s">
        <v>4718</v>
      </c>
      <c r="H106" s="93"/>
      <c r="I106" s="85">
        <f t="shared" si="4"/>
        <v>5.04434</v>
      </c>
      <c r="J106" s="85">
        <v>110749.04756364247</v>
      </c>
      <c r="K106" s="131" t="s">
        <v>6817</v>
      </c>
      <c r="L106" s="63">
        <v>60</v>
      </c>
      <c r="M106" s="49" t="s">
        <v>6392</v>
      </c>
      <c r="P106" s="49"/>
      <c r="S106" s="245"/>
      <c r="T106" s="245"/>
      <c r="U106" s="245"/>
      <c r="V106" s="245"/>
      <c r="W106" s="245"/>
      <c r="X106" s="245"/>
      <c r="Y106" s="245"/>
      <c r="Z106" s="246"/>
      <c r="AA106" s="244"/>
      <c r="AB106" s="244"/>
    </row>
    <row r="107" spans="1:28" ht="28" x14ac:dyDescent="0.15">
      <c r="A107" s="70" t="s">
        <v>2633</v>
      </c>
      <c r="B107" s="82"/>
      <c r="C107" s="70" t="s">
        <v>3636</v>
      </c>
      <c r="D107" s="70" t="s">
        <v>2837</v>
      </c>
      <c r="E107" s="70" t="s">
        <v>3178</v>
      </c>
      <c r="F107" s="70" t="s">
        <v>2144</v>
      </c>
      <c r="G107" s="70" t="s">
        <v>4719</v>
      </c>
      <c r="H107" s="93"/>
      <c r="I107" s="85">
        <f t="shared" si="4"/>
        <v>4.9420100000000007</v>
      </c>
      <c r="J107" s="85">
        <v>87500.392270536715</v>
      </c>
      <c r="K107" s="131" t="s">
        <v>6460</v>
      </c>
      <c r="L107" s="60">
        <v>65</v>
      </c>
      <c r="M107" s="49" t="s">
        <v>6392</v>
      </c>
    </row>
    <row r="108" spans="1:28" ht="14" x14ac:dyDescent="0.15">
      <c r="A108" s="70" t="s">
        <v>2633</v>
      </c>
      <c r="B108" s="82"/>
      <c r="C108" s="70" t="s">
        <v>3636</v>
      </c>
      <c r="D108" s="70" t="s">
        <v>2837</v>
      </c>
      <c r="E108" s="70" t="s">
        <v>3178</v>
      </c>
      <c r="F108" s="70" t="s">
        <v>2144</v>
      </c>
      <c r="G108" s="70" t="s">
        <v>4720</v>
      </c>
      <c r="H108" s="93"/>
      <c r="I108" s="85">
        <f t="shared" si="4"/>
        <v>4.8543099999999999</v>
      </c>
      <c r="J108" s="85">
        <v>71500.651660392279</v>
      </c>
      <c r="K108" s="131" t="s">
        <v>6080</v>
      </c>
      <c r="L108" s="60" t="s">
        <v>2686</v>
      </c>
      <c r="M108" s="49" t="s">
        <v>6392</v>
      </c>
    </row>
    <row r="109" spans="1:28" ht="14" x14ac:dyDescent="0.15">
      <c r="A109" s="73" t="s">
        <v>2633</v>
      </c>
      <c r="B109" s="82"/>
      <c r="C109" s="70" t="s">
        <v>3636</v>
      </c>
      <c r="D109" s="70" t="s">
        <v>2837</v>
      </c>
      <c r="E109" s="70" t="s">
        <v>3178</v>
      </c>
      <c r="F109" s="70" t="s">
        <v>4721</v>
      </c>
      <c r="G109" s="70" t="s">
        <v>3710</v>
      </c>
      <c r="H109" s="93"/>
      <c r="I109" s="85">
        <f t="shared" si="4"/>
        <v>4.5797800000000013</v>
      </c>
      <c r="J109" s="85">
        <v>37999.685303685583</v>
      </c>
      <c r="K109" s="131" t="s">
        <v>6817</v>
      </c>
      <c r="L109" s="60" t="s">
        <v>2686</v>
      </c>
      <c r="M109" s="49" t="s">
        <v>6392</v>
      </c>
      <c r="O109" s="49"/>
    </row>
    <row r="110" spans="1:28" ht="14" x14ac:dyDescent="0.15">
      <c r="A110" s="70" t="s">
        <v>2633</v>
      </c>
      <c r="B110" s="82"/>
      <c r="C110" s="70" t="s">
        <v>3636</v>
      </c>
      <c r="D110" s="70" t="s">
        <v>2837</v>
      </c>
      <c r="E110" s="70" t="s">
        <v>3178</v>
      </c>
      <c r="F110" s="70" t="s">
        <v>3711</v>
      </c>
      <c r="G110" s="70" t="s">
        <v>3714</v>
      </c>
      <c r="H110" s="93"/>
      <c r="I110" s="85">
        <f t="shared" si="4"/>
        <v>3.8750599999999999</v>
      </c>
      <c r="J110" s="85">
        <v>7499.9781820300241</v>
      </c>
      <c r="K110" s="131" t="s">
        <v>3177</v>
      </c>
      <c r="L110" s="60" t="s">
        <v>2686</v>
      </c>
    </row>
    <row r="111" spans="1:28" ht="14" x14ac:dyDescent="0.15">
      <c r="A111" s="70" t="s">
        <v>2633</v>
      </c>
      <c r="B111" s="82"/>
      <c r="C111" s="70" t="s">
        <v>3636</v>
      </c>
      <c r="D111" s="70" t="s">
        <v>2837</v>
      </c>
      <c r="E111" s="70" t="s">
        <v>3178</v>
      </c>
      <c r="F111" s="70" t="s">
        <v>3711</v>
      </c>
      <c r="G111" s="70" t="s">
        <v>3715</v>
      </c>
      <c r="H111" s="93"/>
      <c r="I111" s="85">
        <f t="shared" si="4"/>
        <v>3.7242800000000007</v>
      </c>
      <c r="J111" s="85">
        <v>5300.0504063966555</v>
      </c>
      <c r="K111" s="131" t="s">
        <v>3177</v>
      </c>
      <c r="L111" s="60" t="s">
        <v>2686</v>
      </c>
    </row>
    <row r="112" spans="1:28" ht="14" x14ac:dyDescent="0.15">
      <c r="A112" s="70" t="s">
        <v>2633</v>
      </c>
      <c r="B112" s="93" t="s">
        <v>2497</v>
      </c>
      <c r="C112" s="70" t="s">
        <v>3636</v>
      </c>
      <c r="D112" s="70" t="s">
        <v>2837</v>
      </c>
      <c r="E112" s="70" t="s">
        <v>3178</v>
      </c>
      <c r="F112" s="70" t="s">
        <v>3711</v>
      </c>
      <c r="G112" s="70" t="s">
        <v>5536</v>
      </c>
      <c r="H112" s="93"/>
      <c r="I112" s="85">
        <f t="shared" si="4"/>
        <v>3.3979400086720375</v>
      </c>
      <c r="J112" s="85">
        <v>2500</v>
      </c>
      <c r="K112" s="131" t="s">
        <v>6817</v>
      </c>
      <c r="L112" s="60">
        <v>70</v>
      </c>
      <c r="M112" s="49" t="s">
        <v>6728</v>
      </c>
    </row>
    <row r="113" spans="1:28" ht="14" x14ac:dyDescent="0.15">
      <c r="A113" s="70" t="s">
        <v>2633</v>
      </c>
      <c r="B113" s="82"/>
      <c r="C113" s="70" t="s">
        <v>3636</v>
      </c>
      <c r="D113" s="70" t="s">
        <v>2837</v>
      </c>
      <c r="E113" s="70" t="s">
        <v>3178</v>
      </c>
      <c r="F113" s="70" t="s">
        <v>3711</v>
      </c>
      <c r="G113" s="70" t="s">
        <v>3662</v>
      </c>
      <c r="H113" s="93"/>
      <c r="I113" s="85">
        <f t="shared" si="4"/>
        <v>3.5118800000000006</v>
      </c>
      <c r="J113" s="85">
        <v>3249.9748485428022</v>
      </c>
      <c r="K113" s="131" t="s">
        <v>3177</v>
      </c>
      <c r="L113" s="60">
        <v>65</v>
      </c>
    </row>
    <row r="114" spans="1:28" x14ac:dyDescent="0.15">
      <c r="A114" s="236" t="s">
        <v>2633</v>
      </c>
      <c r="B114" s="237"/>
      <c r="C114" s="238" t="s">
        <v>4905</v>
      </c>
      <c r="D114" s="236" t="s">
        <v>2837</v>
      </c>
      <c r="E114" s="236" t="s">
        <v>3178</v>
      </c>
      <c r="F114" s="236" t="s">
        <v>6929</v>
      </c>
      <c r="G114" s="236" t="s">
        <v>2127</v>
      </c>
      <c r="H114" s="237"/>
      <c r="I114" s="239">
        <f t="shared" si="4"/>
        <v>5.3010299956639813</v>
      </c>
      <c r="J114" s="240">
        <v>200000</v>
      </c>
      <c r="K114" s="241"/>
      <c r="L114" s="247">
        <v>2</v>
      </c>
      <c r="M114" s="243"/>
      <c r="N114" s="244"/>
      <c r="O114" s="244"/>
      <c r="P114" s="244"/>
      <c r="Q114" s="245"/>
      <c r="R114" s="245"/>
    </row>
    <row r="115" spans="1:28" ht="14" x14ac:dyDescent="0.15">
      <c r="A115" s="70" t="s">
        <v>2479</v>
      </c>
      <c r="B115" s="82" t="s">
        <v>2498</v>
      </c>
      <c r="C115" s="70" t="s">
        <v>3636</v>
      </c>
      <c r="D115" s="70" t="s">
        <v>2837</v>
      </c>
      <c r="E115" s="70" t="s">
        <v>3178</v>
      </c>
      <c r="F115" s="70" t="s">
        <v>6098</v>
      </c>
      <c r="G115" s="70" t="s">
        <v>2164</v>
      </c>
      <c r="H115" s="93"/>
      <c r="I115" s="85">
        <f t="shared" si="4"/>
        <v>4.439135242368847</v>
      </c>
      <c r="J115" s="85">
        <f>AVERAGE(24993, 29982)</f>
        <v>27487.5</v>
      </c>
      <c r="K115" s="131" t="s">
        <v>6817</v>
      </c>
      <c r="L115" s="60">
        <v>215</v>
      </c>
      <c r="M115" s="49" t="s">
        <v>6728</v>
      </c>
      <c r="N115" s="35"/>
    </row>
    <row r="116" spans="1:28" ht="28" x14ac:dyDescent="0.2">
      <c r="A116" s="70" t="s">
        <v>2479</v>
      </c>
      <c r="B116" s="82" t="s">
        <v>2020</v>
      </c>
      <c r="C116" s="70" t="s">
        <v>3636</v>
      </c>
      <c r="D116" s="70" t="s">
        <v>2837</v>
      </c>
      <c r="E116" s="70" t="s">
        <v>3178</v>
      </c>
      <c r="F116" s="70" t="s">
        <v>6098</v>
      </c>
      <c r="G116" s="70" t="s">
        <v>2086</v>
      </c>
      <c r="H116" s="93"/>
      <c r="I116" s="85">
        <f t="shared" si="4"/>
        <v>4.4313637641589869</v>
      </c>
      <c r="J116" s="85">
        <f>AVERAGE(22000, 32000)</f>
        <v>27000</v>
      </c>
      <c r="K116" s="131" t="s">
        <v>1132</v>
      </c>
      <c r="L116" s="60">
        <v>144</v>
      </c>
      <c r="M116" s="49" t="s">
        <v>6728</v>
      </c>
      <c r="N116" s="48"/>
    </row>
    <row r="117" spans="1:28" ht="14" x14ac:dyDescent="0.15">
      <c r="A117" s="70" t="s">
        <v>2481</v>
      </c>
      <c r="B117" s="82" t="s">
        <v>5797</v>
      </c>
      <c r="C117" s="70" t="s">
        <v>3636</v>
      </c>
      <c r="D117" s="70" t="s">
        <v>2837</v>
      </c>
      <c r="E117" s="70" t="s">
        <v>3178</v>
      </c>
      <c r="F117" s="70" t="s">
        <v>6098</v>
      </c>
      <c r="G117" s="70" t="s">
        <v>5581</v>
      </c>
      <c r="H117" s="93"/>
      <c r="I117" s="85">
        <f t="shared" si="4"/>
        <v>4.5700757053216039</v>
      </c>
      <c r="J117" s="85">
        <f>AVERAGE(35890, 38430)</f>
        <v>37160</v>
      </c>
      <c r="K117" s="131" t="s">
        <v>6630</v>
      </c>
      <c r="L117" s="60">
        <v>233</v>
      </c>
      <c r="M117" s="33" t="s">
        <v>6392</v>
      </c>
    </row>
    <row r="118" spans="1:28" ht="17" x14ac:dyDescent="0.2">
      <c r="A118" s="70" t="s">
        <v>2479</v>
      </c>
      <c r="B118" s="82"/>
      <c r="C118" s="70" t="s">
        <v>3636</v>
      </c>
      <c r="D118" s="70" t="s">
        <v>2837</v>
      </c>
      <c r="E118" s="70" t="s">
        <v>3178</v>
      </c>
      <c r="F118" s="70" t="s">
        <v>6098</v>
      </c>
      <c r="G118" s="70" t="s">
        <v>6099</v>
      </c>
      <c r="H118" s="93"/>
      <c r="I118" s="85">
        <f t="shared" si="4"/>
        <v>4.4548448600085102</v>
      </c>
      <c r="J118" s="85">
        <v>28500</v>
      </c>
      <c r="K118" s="131" t="s">
        <v>6820</v>
      </c>
      <c r="L118" s="63">
        <v>68</v>
      </c>
      <c r="M118" s="47" t="s">
        <v>6392</v>
      </c>
    </row>
    <row r="119" spans="1:28" ht="17" x14ac:dyDescent="0.2">
      <c r="A119" s="70" t="s">
        <v>2479</v>
      </c>
      <c r="B119" s="82"/>
      <c r="C119" s="70" t="s">
        <v>3636</v>
      </c>
      <c r="D119" s="70" t="s">
        <v>2837</v>
      </c>
      <c r="E119" s="70" t="s">
        <v>3178</v>
      </c>
      <c r="F119" s="70" t="s">
        <v>6098</v>
      </c>
      <c r="G119" s="70" t="s">
        <v>6100</v>
      </c>
      <c r="H119" s="93"/>
      <c r="I119" s="85">
        <f t="shared" si="4"/>
        <v>4.9420080530223132</v>
      </c>
      <c r="J119" s="85">
        <v>87500</v>
      </c>
      <c r="K119" s="131" t="s">
        <v>6817</v>
      </c>
      <c r="L119" s="60">
        <v>68</v>
      </c>
      <c r="M119" s="47" t="s">
        <v>6728</v>
      </c>
    </row>
    <row r="120" spans="1:28" ht="28" x14ac:dyDescent="0.15">
      <c r="A120" s="70" t="s">
        <v>2481</v>
      </c>
      <c r="B120" s="93" t="s">
        <v>2021</v>
      </c>
      <c r="C120" s="70" t="s">
        <v>3636</v>
      </c>
      <c r="D120" s="70" t="s">
        <v>2837</v>
      </c>
      <c r="E120" s="70" t="s">
        <v>3178</v>
      </c>
      <c r="F120" s="70" t="s">
        <v>6098</v>
      </c>
      <c r="G120" s="70" t="s">
        <v>5582</v>
      </c>
      <c r="H120" s="93"/>
      <c r="I120" s="85">
        <f t="shared" si="4"/>
        <v>4.3222192947339195</v>
      </c>
      <c r="J120" s="85">
        <f>AVERAGE(25000, 18000, 20000)</f>
        <v>21000</v>
      </c>
      <c r="K120" s="131" t="s">
        <v>1132</v>
      </c>
      <c r="L120" s="60" t="s">
        <v>1790</v>
      </c>
      <c r="M120" s="33" t="s">
        <v>6728</v>
      </c>
    </row>
    <row r="121" spans="1:28" ht="14" x14ac:dyDescent="0.15">
      <c r="A121" s="70" t="s">
        <v>2633</v>
      </c>
      <c r="B121" s="82"/>
      <c r="C121" s="70" t="s">
        <v>3636</v>
      </c>
      <c r="D121" s="70" t="s">
        <v>2837</v>
      </c>
      <c r="E121" s="70" t="s">
        <v>3178</v>
      </c>
      <c r="F121" s="70" t="s">
        <v>4592</v>
      </c>
      <c r="G121" s="70" t="s">
        <v>6955</v>
      </c>
      <c r="H121" s="93"/>
      <c r="I121" s="85">
        <f t="shared" si="4"/>
        <v>3.4771200000000007</v>
      </c>
      <c r="J121" s="85">
        <v>2999.9913327161544</v>
      </c>
      <c r="K121" s="131" t="s">
        <v>6817</v>
      </c>
      <c r="L121" s="60">
        <v>60</v>
      </c>
      <c r="M121" s="49" t="s">
        <v>6392</v>
      </c>
      <c r="S121" s="14"/>
      <c r="T121" s="14"/>
      <c r="U121" s="14"/>
      <c r="V121" s="14"/>
      <c r="W121" s="14"/>
      <c r="X121" s="14"/>
      <c r="Y121" s="14"/>
      <c r="Z121" s="17"/>
      <c r="AA121" s="15"/>
      <c r="AB121" s="15"/>
    </row>
    <row r="122" spans="1:28" ht="14" x14ac:dyDescent="0.15">
      <c r="A122" s="70" t="s">
        <v>2633</v>
      </c>
      <c r="B122" s="82"/>
      <c r="C122" s="70" t="s">
        <v>3636</v>
      </c>
      <c r="D122" s="70" t="s">
        <v>2837</v>
      </c>
      <c r="E122" s="70" t="s">
        <v>3178</v>
      </c>
      <c r="F122" s="70" t="s">
        <v>4592</v>
      </c>
      <c r="G122" s="70" t="s">
        <v>6966</v>
      </c>
      <c r="H122" s="93"/>
      <c r="I122" s="85">
        <f t="shared" si="4"/>
        <v>3.81291</v>
      </c>
      <c r="J122" s="85">
        <v>6499.9497619814347</v>
      </c>
      <c r="K122" s="131" t="s">
        <v>6391</v>
      </c>
      <c r="L122" s="60" t="s">
        <v>2686</v>
      </c>
      <c r="M122" s="49" t="s">
        <v>6392</v>
      </c>
      <c r="S122" s="14"/>
      <c r="T122" s="14"/>
      <c r="U122" s="14"/>
      <c r="V122" s="14"/>
      <c r="W122" s="14"/>
      <c r="X122" s="14"/>
      <c r="Y122" s="14"/>
      <c r="Z122" s="17"/>
      <c r="AA122" s="15"/>
      <c r="AB122" s="15"/>
    </row>
    <row r="123" spans="1:28" ht="14" x14ac:dyDescent="0.15">
      <c r="A123" s="70" t="s">
        <v>2633</v>
      </c>
      <c r="B123" s="82"/>
      <c r="C123" s="70" t="s">
        <v>3636</v>
      </c>
      <c r="D123" s="70" t="s">
        <v>2837</v>
      </c>
      <c r="E123" s="70" t="s">
        <v>3178</v>
      </c>
      <c r="F123" s="70" t="s">
        <v>4592</v>
      </c>
      <c r="G123" s="70" t="s">
        <v>6967</v>
      </c>
      <c r="H123" s="93"/>
      <c r="I123" s="85">
        <f t="shared" si="4"/>
        <v>3.6020600000000003</v>
      </c>
      <c r="J123" s="85">
        <v>4000.0000798724222</v>
      </c>
      <c r="K123" s="131" t="s">
        <v>6817</v>
      </c>
      <c r="L123" s="63">
        <v>60</v>
      </c>
      <c r="M123" s="49" t="s">
        <v>6392</v>
      </c>
    </row>
    <row r="124" spans="1:28" ht="14" x14ac:dyDescent="0.15">
      <c r="A124" s="70" t="s">
        <v>3635</v>
      </c>
      <c r="B124" s="82"/>
      <c r="C124" s="70" t="s">
        <v>3636</v>
      </c>
      <c r="D124" s="70" t="s">
        <v>2837</v>
      </c>
      <c r="E124" s="70" t="s">
        <v>3178</v>
      </c>
      <c r="F124" s="70" t="s">
        <v>7193</v>
      </c>
      <c r="G124" s="70" t="s">
        <v>7194</v>
      </c>
      <c r="H124" s="93"/>
      <c r="I124" s="85">
        <f t="shared" si="4"/>
        <v>4.8603399999999999</v>
      </c>
      <c r="J124" s="85">
        <v>72500.332778657481</v>
      </c>
      <c r="K124" s="131" t="s">
        <v>3177</v>
      </c>
      <c r="L124" s="63">
        <v>60</v>
      </c>
    </row>
    <row r="125" spans="1:28" x14ac:dyDescent="0.15">
      <c r="A125" s="236" t="s">
        <v>3635</v>
      </c>
      <c r="B125" s="237"/>
      <c r="C125" s="238" t="s">
        <v>4905</v>
      </c>
      <c r="D125" s="236" t="s">
        <v>2837</v>
      </c>
      <c r="E125" s="236" t="s">
        <v>3178</v>
      </c>
      <c r="F125" s="236" t="s">
        <v>7193</v>
      </c>
      <c r="G125" s="236" t="s">
        <v>6149</v>
      </c>
      <c r="H125" s="237"/>
      <c r="I125" s="239">
        <f t="shared" si="4"/>
        <v>4.8750612633917001</v>
      </c>
      <c r="J125" s="240">
        <v>75000</v>
      </c>
      <c r="K125" s="241"/>
      <c r="L125" s="247" t="s">
        <v>1076</v>
      </c>
      <c r="M125" s="243"/>
      <c r="N125" s="244"/>
      <c r="O125" s="244"/>
      <c r="P125" s="244"/>
      <c r="Q125" s="245"/>
      <c r="R125" s="245"/>
    </row>
    <row r="126" spans="1:28" ht="28" x14ac:dyDescent="0.15">
      <c r="A126" s="70" t="s">
        <v>2633</v>
      </c>
      <c r="B126" s="82"/>
      <c r="C126" s="70" t="s">
        <v>3636</v>
      </c>
      <c r="D126" s="70" t="s">
        <v>2837</v>
      </c>
      <c r="E126" s="70" t="s">
        <v>3178</v>
      </c>
      <c r="F126" s="70" t="s">
        <v>6956</v>
      </c>
      <c r="G126" s="70" t="s">
        <v>7171</v>
      </c>
      <c r="H126" s="93"/>
      <c r="I126" s="85">
        <f t="shared" si="4"/>
        <v>4.1139400000000013</v>
      </c>
      <c r="J126" s="85">
        <v>12999.899653754575</v>
      </c>
      <c r="K126" s="131" t="s">
        <v>6758</v>
      </c>
      <c r="L126" s="60" t="s">
        <v>2686</v>
      </c>
      <c r="M126" s="49" t="s">
        <v>6392</v>
      </c>
    </row>
    <row r="127" spans="1:28" ht="14" x14ac:dyDescent="0.15">
      <c r="A127" s="70" t="s">
        <v>2633</v>
      </c>
      <c r="B127" s="82"/>
      <c r="C127" s="70" t="s">
        <v>3636</v>
      </c>
      <c r="D127" s="70" t="s">
        <v>2837</v>
      </c>
      <c r="E127" s="70" t="s">
        <v>3178</v>
      </c>
      <c r="F127" s="70" t="s">
        <v>7172</v>
      </c>
      <c r="G127" s="70" t="s">
        <v>7173</v>
      </c>
      <c r="H127" s="93"/>
      <c r="I127" s="85">
        <f t="shared" si="4"/>
        <v>5.3010299999999999</v>
      </c>
      <c r="J127" s="85">
        <v>200000.00199681061</v>
      </c>
      <c r="K127" s="131" t="s">
        <v>6817</v>
      </c>
      <c r="L127" s="60">
        <v>60</v>
      </c>
      <c r="M127" s="49" t="s">
        <v>6748</v>
      </c>
    </row>
    <row r="128" spans="1:28" ht="14" x14ac:dyDescent="0.15">
      <c r="A128" s="70" t="s">
        <v>2479</v>
      </c>
      <c r="B128" s="82"/>
      <c r="C128" s="70" t="s">
        <v>3636</v>
      </c>
      <c r="D128" s="70" t="s">
        <v>2837</v>
      </c>
      <c r="E128" s="70" t="s">
        <v>3178</v>
      </c>
      <c r="F128" s="70" t="s">
        <v>7172</v>
      </c>
      <c r="G128" s="70" t="s">
        <v>7173</v>
      </c>
      <c r="H128" s="93"/>
      <c r="I128" s="85">
        <f t="shared" si="4"/>
        <v>5.3010299999999999</v>
      </c>
      <c r="J128" s="85">
        <v>200000.00199681061</v>
      </c>
      <c r="K128" s="131" t="s">
        <v>6817</v>
      </c>
      <c r="L128" s="60">
        <v>60</v>
      </c>
      <c r="M128" s="49" t="s">
        <v>6748</v>
      </c>
    </row>
    <row r="129" spans="1:18" ht="28" x14ac:dyDescent="0.15">
      <c r="A129" s="73" t="s">
        <v>2633</v>
      </c>
      <c r="B129" s="82"/>
      <c r="C129" s="70" t="s">
        <v>3636</v>
      </c>
      <c r="D129" s="70" t="s">
        <v>2837</v>
      </c>
      <c r="E129" s="70" t="s">
        <v>3178</v>
      </c>
      <c r="F129" s="70" t="s">
        <v>7172</v>
      </c>
      <c r="G129" s="70" t="s">
        <v>7014</v>
      </c>
      <c r="H129" s="93"/>
      <c r="I129" s="85">
        <f t="shared" si="4"/>
        <v>5.2278900000000013</v>
      </c>
      <c r="J129" s="85">
        <v>169001.2823612215</v>
      </c>
      <c r="K129" s="131" t="s">
        <v>6759</v>
      </c>
      <c r="L129" s="60" t="s">
        <v>2686</v>
      </c>
      <c r="M129" s="49" t="s">
        <v>6392</v>
      </c>
    </row>
    <row r="130" spans="1:18" ht="28" x14ac:dyDescent="0.2">
      <c r="A130" s="70" t="s">
        <v>2479</v>
      </c>
      <c r="B130" s="82"/>
      <c r="C130" s="70" t="s">
        <v>3636</v>
      </c>
      <c r="D130" s="70" t="s">
        <v>2837</v>
      </c>
      <c r="E130" s="70" t="s">
        <v>3178</v>
      </c>
      <c r="F130" s="70" t="s">
        <v>7172</v>
      </c>
      <c r="G130" s="70" t="s">
        <v>6101</v>
      </c>
      <c r="H130" s="93"/>
      <c r="I130" s="85">
        <f t="shared" si="4"/>
        <v>4.9429995933660402</v>
      </c>
      <c r="J130" s="85">
        <v>87700</v>
      </c>
      <c r="K130" s="131" t="s">
        <v>7673</v>
      </c>
      <c r="L130" s="60">
        <v>68</v>
      </c>
      <c r="M130" s="47" t="s">
        <v>6390</v>
      </c>
    </row>
    <row r="131" spans="1:18" ht="14" x14ac:dyDescent="0.15">
      <c r="A131" s="73" t="s">
        <v>2633</v>
      </c>
      <c r="B131" s="82"/>
      <c r="C131" s="70" t="s">
        <v>3636</v>
      </c>
      <c r="D131" s="70" t="s">
        <v>2837</v>
      </c>
      <c r="E131" s="70" t="s">
        <v>3178</v>
      </c>
      <c r="F131" s="70" t="s">
        <v>7174</v>
      </c>
      <c r="G131" s="70" t="s">
        <v>7175</v>
      </c>
      <c r="H131" s="93"/>
      <c r="I131" s="85">
        <f t="shared" si="4"/>
        <v>4.2367900000000001</v>
      </c>
      <c r="J131" s="85">
        <v>17250.035771133316</v>
      </c>
      <c r="K131" s="131" t="s">
        <v>6817</v>
      </c>
      <c r="L131" s="63" t="s">
        <v>2686</v>
      </c>
      <c r="M131" s="49" t="s">
        <v>6392</v>
      </c>
    </row>
    <row r="132" spans="1:18" ht="16" x14ac:dyDescent="0.2">
      <c r="A132" s="70" t="s">
        <v>2479</v>
      </c>
      <c r="B132" s="82"/>
      <c r="C132" s="70" t="s">
        <v>3636</v>
      </c>
      <c r="D132" s="70" t="s">
        <v>2837</v>
      </c>
      <c r="E132" s="70" t="s">
        <v>3178</v>
      </c>
      <c r="F132" s="70" t="s">
        <v>7195</v>
      </c>
      <c r="G132" s="70" t="s">
        <v>6966</v>
      </c>
      <c r="H132" s="93"/>
      <c r="I132" s="85">
        <f t="shared" si="4"/>
        <v>5.4948500216800937</v>
      </c>
      <c r="J132" s="85">
        <f>AVERAGE(225000, 400000)</f>
        <v>312500</v>
      </c>
      <c r="K132" s="135"/>
      <c r="L132" s="60">
        <v>111</v>
      </c>
      <c r="M132" s="33"/>
      <c r="N132" s="48"/>
    </row>
    <row r="133" spans="1:18" x14ac:dyDescent="0.15">
      <c r="A133" s="70" t="s">
        <v>3635</v>
      </c>
      <c r="B133" s="82"/>
      <c r="C133" s="70" t="s">
        <v>3636</v>
      </c>
      <c r="D133" s="70" t="s">
        <v>2837</v>
      </c>
      <c r="E133" s="70" t="s">
        <v>3178</v>
      </c>
      <c r="F133" s="70" t="s">
        <v>7195</v>
      </c>
      <c r="G133" s="70" t="s">
        <v>6966</v>
      </c>
      <c r="H133" s="93"/>
      <c r="I133" s="85">
        <f t="shared" si="4"/>
        <v>5.5664400000000009</v>
      </c>
      <c r="J133" s="85">
        <v>368502.12788516423</v>
      </c>
      <c r="K133" s="135"/>
      <c r="L133" s="60">
        <v>60</v>
      </c>
    </row>
    <row r="134" spans="1:18" ht="56" x14ac:dyDescent="0.2">
      <c r="A134" s="70" t="s">
        <v>2479</v>
      </c>
      <c r="B134" s="96"/>
      <c r="C134" s="70" t="s">
        <v>3636</v>
      </c>
      <c r="D134" s="70" t="s">
        <v>2837</v>
      </c>
      <c r="E134" s="70" t="s">
        <v>3178</v>
      </c>
      <c r="F134" s="70" t="s">
        <v>3938</v>
      </c>
      <c r="G134" s="70" t="s">
        <v>7786</v>
      </c>
      <c r="H134" s="93"/>
      <c r="I134" s="85">
        <f t="shared" si="4"/>
        <v>5.2552725051033065</v>
      </c>
      <c r="J134" s="85">
        <v>180000</v>
      </c>
      <c r="K134" s="131" t="s">
        <v>1188</v>
      </c>
      <c r="L134" s="60">
        <v>68</v>
      </c>
      <c r="M134" s="47" t="s">
        <v>6728</v>
      </c>
    </row>
    <row r="135" spans="1:18" ht="16" x14ac:dyDescent="0.2">
      <c r="A135" s="70" t="s">
        <v>2479</v>
      </c>
      <c r="B135" s="82"/>
      <c r="C135" s="70" t="s">
        <v>3636</v>
      </c>
      <c r="D135" s="70" t="s">
        <v>2837</v>
      </c>
      <c r="E135" s="70" t="s">
        <v>3178</v>
      </c>
      <c r="F135" s="70" t="s">
        <v>3938</v>
      </c>
      <c r="G135" s="70" t="s">
        <v>5512</v>
      </c>
      <c r="H135" s="93"/>
      <c r="I135" s="85">
        <f t="shared" ref="I135:I158" si="5">LOG(J135)</f>
        <v>4.6989700043360187</v>
      </c>
      <c r="J135" s="85">
        <v>50000</v>
      </c>
      <c r="K135" s="131" t="s">
        <v>6485</v>
      </c>
      <c r="L135" s="60">
        <v>68</v>
      </c>
      <c r="M135" s="47"/>
    </row>
    <row r="136" spans="1:18" ht="42" x14ac:dyDescent="0.2">
      <c r="A136" s="70" t="s">
        <v>3635</v>
      </c>
      <c r="B136" s="82"/>
      <c r="C136" s="70" t="s">
        <v>3636</v>
      </c>
      <c r="D136" s="70" t="s">
        <v>2837</v>
      </c>
      <c r="E136" s="70" t="s">
        <v>3178</v>
      </c>
      <c r="F136" s="70" t="s">
        <v>3938</v>
      </c>
      <c r="G136" s="70" t="s">
        <v>3939</v>
      </c>
      <c r="H136" s="93"/>
      <c r="I136" s="85">
        <f t="shared" si="5"/>
        <v>4.8730000000000011</v>
      </c>
      <c r="J136" s="85">
        <v>74644.875841006782</v>
      </c>
      <c r="K136" s="131" t="s">
        <v>6724</v>
      </c>
      <c r="L136" s="63">
        <v>60</v>
      </c>
      <c r="M136" s="47" t="s">
        <v>6392</v>
      </c>
    </row>
    <row r="137" spans="1:18" ht="14" x14ac:dyDescent="0.15">
      <c r="A137" s="70" t="s">
        <v>3635</v>
      </c>
      <c r="B137" s="82"/>
      <c r="C137" s="70" t="s">
        <v>3636</v>
      </c>
      <c r="D137" s="70" t="s">
        <v>2837</v>
      </c>
      <c r="E137" s="70" t="s">
        <v>3178</v>
      </c>
      <c r="F137" s="70" t="s">
        <v>3938</v>
      </c>
      <c r="G137" s="70" t="s">
        <v>7197</v>
      </c>
      <c r="H137" s="93"/>
      <c r="I137" s="85">
        <f t="shared" si="5"/>
        <v>4.745470000000001</v>
      </c>
      <c r="J137" s="85">
        <v>55650.619084470993</v>
      </c>
      <c r="K137" s="131" t="s">
        <v>3177</v>
      </c>
      <c r="L137" s="60">
        <v>60</v>
      </c>
    </row>
    <row r="138" spans="1:18" ht="29" x14ac:dyDescent="0.2">
      <c r="A138" s="70" t="s">
        <v>2479</v>
      </c>
      <c r="B138" s="93" t="s">
        <v>2885</v>
      </c>
      <c r="C138" s="70" t="s">
        <v>3636</v>
      </c>
      <c r="D138" s="70" t="s">
        <v>2837</v>
      </c>
      <c r="E138" s="70" t="s">
        <v>3178</v>
      </c>
      <c r="F138" s="70" t="s">
        <v>3938</v>
      </c>
      <c r="G138" s="70" t="s">
        <v>5583</v>
      </c>
      <c r="H138" s="93"/>
      <c r="I138" s="85">
        <f t="shared" si="5"/>
        <v>4.9542425094393252</v>
      </c>
      <c r="J138" s="85">
        <v>90000</v>
      </c>
      <c r="K138" s="131" t="s">
        <v>6758</v>
      </c>
      <c r="L138" s="60">
        <v>135</v>
      </c>
      <c r="M138" s="47" t="s">
        <v>6392</v>
      </c>
      <c r="N138" s="32" t="s">
        <v>1325</v>
      </c>
    </row>
    <row r="139" spans="1:18" ht="42" x14ac:dyDescent="0.15">
      <c r="A139" s="70" t="s">
        <v>2479</v>
      </c>
      <c r="B139" s="93" t="s">
        <v>7395</v>
      </c>
      <c r="C139" s="70" t="s">
        <v>3636</v>
      </c>
      <c r="D139" s="70" t="s">
        <v>2837</v>
      </c>
      <c r="E139" s="70" t="s">
        <v>3178</v>
      </c>
      <c r="F139" s="70" t="s">
        <v>3938</v>
      </c>
      <c r="G139" s="70" t="s">
        <v>5510</v>
      </c>
      <c r="H139" s="93"/>
      <c r="I139" s="85">
        <f t="shared" si="5"/>
        <v>4.7781512503836439</v>
      </c>
      <c r="J139" s="85">
        <v>60000</v>
      </c>
      <c r="K139" s="131" t="s">
        <v>3177</v>
      </c>
      <c r="L139" s="60">
        <v>56</v>
      </c>
      <c r="M139" s="33"/>
    </row>
    <row r="140" spans="1:18" ht="28" x14ac:dyDescent="0.2">
      <c r="A140" s="70" t="s">
        <v>2479</v>
      </c>
      <c r="B140" s="82"/>
      <c r="C140" s="70" t="s">
        <v>3636</v>
      </c>
      <c r="D140" s="70" t="s">
        <v>2837</v>
      </c>
      <c r="E140" s="70" t="s">
        <v>3178</v>
      </c>
      <c r="F140" s="70" t="s">
        <v>5749</v>
      </c>
      <c r="G140" s="70" t="s">
        <v>5577</v>
      </c>
      <c r="H140" s="93"/>
      <c r="I140" s="85">
        <f t="shared" si="5"/>
        <v>4.4393326938302629</v>
      </c>
      <c r="J140" s="85">
        <v>27500</v>
      </c>
      <c r="K140" s="131" t="s">
        <v>6759</v>
      </c>
      <c r="L140" s="60">
        <v>68</v>
      </c>
      <c r="M140" s="47" t="s">
        <v>6390</v>
      </c>
    </row>
    <row r="141" spans="1:18" ht="14" x14ac:dyDescent="0.15">
      <c r="A141" s="70" t="s">
        <v>2633</v>
      </c>
      <c r="B141" s="82"/>
      <c r="C141" s="70" t="s">
        <v>3636</v>
      </c>
      <c r="D141" s="70" t="s">
        <v>2837</v>
      </c>
      <c r="E141" s="70" t="s">
        <v>3178</v>
      </c>
      <c r="F141" s="70" t="s">
        <v>7176</v>
      </c>
      <c r="G141" s="70" t="s">
        <v>6957</v>
      </c>
      <c r="H141" s="93"/>
      <c r="I141" s="85">
        <f t="shared" si="5"/>
        <v>4.3010300000000008</v>
      </c>
      <c r="J141" s="85">
        <v>20000.000199681075</v>
      </c>
      <c r="K141" s="131" t="s">
        <v>6522</v>
      </c>
      <c r="L141" s="60">
        <v>60</v>
      </c>
      <c r="M141" s="49" t="s">
        <v>6392</v>
      </c>
    </row>
    <row r="142" spans="1:18" x14ac:dyDescent="0.15">
      <c r="A142" s="236" t="s">
        <v>2633</v>
      </c>
      <c r="B142" s="237"/>
      <c r="C142" s="238" t="s">
        <v>4905</v>
      </c>
      <c r="D142" s="236" t="s">
        <v>2837</v>
      </c>
      <c r="E142" s="236" t="s">
        <v>3178</v>
      </c>
      <c r="F142" s="236" t="s">
        <v>7083</v>
      </c>
      <c r="G142" s="236" t="s">
        <v>2128</v>
      </c>
      <c r="H142" s="237"/>
      <c r="I142" s="239">
        <f t="shared" si="5"/>
        <v>6</v>
      </c>
      <c r="J142" s="240">
        <v>1000000</v>
      </c>
      <c r="K142" s="241"/>
      <c r="L142" s="242" t="s">
        <v>1984</v>
      </c>
      <c r="M142" s="243"/>
      <c r="N142" s="244"/>
      <c r="O142" s="244"/>
      <c r="P142" s="244"/>
      <c r="Q142" s="245"/>
      <c r="R142" s="245"/>
    </row>
    <row r="143" spans="1:18" ht="70" x14ac:dyDescent="0.15">
      <c r="A143" s="70" t="s">
        <v>2479</v>
      </c>
      <c r="B143" s="93" t="s">
        <v>4838</v>
      </c>
      <c r="C143" s="70" t="s">
        <v>3636</v>
      </c>
      <c r="D143" s="70" t="s">
        <v>2837</v>
      </c>
      <c r="E143" s="70" t="s">
        <v>3178</v>
      </c>
      <c r="F143" s="70" t="s">
        <v>5537</v>
      </c>
      <c r="G143" s="70" t="s">
        <v>5538</v>
      </c>
      <c r="H143" s="93"/>
      <c r="I143" s="85">
        <f t="shared" si="5"/>
        <v>4.4432629874586951</v>
      </c>
      <c r="J143" s="85">
        <f>AVERAGE(24000, 31500)</f>
        <v>27750</v>
      </c>
      <c r="K143" s="131" t="s">
        <v>1551</v>
      </c>
      <c r="L143" s="60">
        <v>95</v>
      </c>
      <c r="M143" s="49" t="s">
        <v>6392</v>
      </c>
      <c r="N143" s="32" t="s">
        <v>6671</v>
      </c>
    </row>
    <row r="144" spans="1:18" ht="14" x14ac:dyDescent="0.15">
      <c r="A144" s="70" t="s">
        <v>2479</v>
      </c>
      <c r="B144" s="93" t="s">
        <v>7317</v>
      </c>
      <c r="C144" s="70" t="s">
        <v>3636</v>
      </c>
      <c r="D144" s="70" t="s">
        <v>2837</v>
      </c>
      <c r="E144" s="70" t="s">
        <v>3178</v>
      </c>
      <c r="F144" s="70" t="s">
        <v>5537</v>
      </c>
      <c r="G144" s="70" t="s">
        <v>5527</v>
      </c>
      <c r="H144" s="93"/>
      <c r="I144" s="85">
        <f t="shared" si="5"/>
        <v>4.3010299956639813</v>
      </c>
      <c r="J144" s="85">
        <v>20000</v>
      </c>
      <c r="K144" s="131" t="s">
        <v>1551</v>
      </c>
      <c r="L144" s="60">
        <v>136</v>
      </c>
      <c r="M144" s="49" t="s">
        <v>6392</v>
      </c>
    </row>
    <row r="145" spans="1:28" ht="42" x14ac:dyDescent="0.2">
      <c r="A145" s="70" t="s">
        <v>2479</v>
      </c>
      <c r="B145" s="93" t="s">
        <v>7242</v>
      </c>
      <c r="C145" s="70" t="s">
        <v>3636</v>
      </c>
      <c r="D145" s="70" t="s">
        <v>2837</v>
      </c>
      <c r="E145" s="70" t="s">
        <v>3178</v>
      </c>
      <c r="F145" s="70" t="s">
        <v>5537</v>
      </c>
      <c r="G145" s="70" t="s">
        <v>5718</v>
      </c>
      <c r="H145" s="93"/>
      <c r="I145" s="85">
        <f t="shared" si="5"/>
        <v>4.4393326938302629</v>
      </c>
      <c r="J145" s="85">
        <f>AVERAGE(20000, 35000)</f>
        <v>27500</v>
      </c>
      <c r="K145" s="131" t="s">
        <v>1386</v>
      </c>
      <c r="L145" s="60">
        <v>141</v>
      </c>
      <c r="M145" s="47" t="s">
        <v>6809</v>
      </c>
      <c r="S145" s="12"/>
      <c r="T145" s="12"/>
      <c r="U145" s="12"/>
      <c r="V145" s="12"/>
      <c r="W145" s="12"/>
      <c r="X145" s="12"/>
      <c r="Y145" s="12"/>
      <c r="Z145" s="16"/>
      <c r="AA145" s="13"/>
      <c r="AB145" s="13"/>
    </row>
    <row r="146" spans="1:28" ht="17" x14ac:dyDescent="0.2">
      <c r="A146" s="70" t="s">
        <v>2479</v>
      </c>
      <c r="B146" s="82"/>
      <c r="C146" s="70" t="s">
        <v>3636</v>
      </c>
      <c r="D146" s="70" t="s">
        <v>2837</v>
      </c>
      <c r="E146" s="70" t="s">
        <v>3178</v>
      </c>
      <c r="F146" s="70" t="s">
        <v>5578</v>
      </c>
      <c r="G146" s="70" t="s">
        <v>5579</v>
      </c>
      <c r="H146" s="93"/>
      <c r="I146" s="85">
        <f t="shared" si="5"/>
        <v>4.653212513775344</v>
      </c>
      <c r="J146" s="85">
        <v>45000</v>
      </c>
      <c r="K146" s="131" t="s">
        <v>6817</v>
      </c>
      <c r="L146" s="60">
        <v>68</v>
      </c>
      <c r="M146" s="47" t="s">
        <v>6392</v>
      </c>
    </row>
    <row r="147" spans="1:28" ht="56" x14ac:dyDescent="0.15">
      <c r="A147" s="70" t="s">
        <v>2479</v>
      </c>
      <c r="B147" s="93" t="s">
        <v>1902</v>
      </c>
      <c r="C147" s="70" t="s">
        <v>3636</v>
      </c>
      <c r="D147" s="70" t="s">
        <v>2837</v>
      </c>
      <c r="E147" s="70" t="s">
        <v>3178</v>
      </c>
      <c r="F147" s="70" t="s">
        <v>5578</v>
      </c>
      <c r="G147" s="70" t="s">
        <v>5344</v>
      </c>
      <c r="H147" s="93"/>
      <c r="I147" s="85">
        <f t="shared" si="5"/>
        <v>4.4661258704181996</v>
      </c>
      <c r="J147" s="85">
        <f>AVERAGE(33500, 25000)</f>
        <v>29250</v>
      </c>
      <c r="K147" s="131" t="s">
        <v>6522</v>
      </c>
      <c r="L147" s="60">
        <v>80</v>
      </c>
      <c r="M147" s="33" t="s">
        <v>6390</v>
      </c>
      <c r="N147" s="32" t="s">
        <v>8011</v>
      </c>
    </row>
    <row r="148" spans="1:28" ht="14" x14ac:dyDescent="0.15">
      <c r="A148" s="70" t="s">
        <v>2633</v>
      </c>
      <c r="B148" s="82"/>
      <c r="C148" s="70" t="s">
        <v>3636</v>
      </c>
      <c r="D148" s="70" t="s">
        <v>2837</v>
      </c>
      <c r="E148" s="70" t="s">
        <v>3178</v>
      </c>
      <c r="F148" s="70" t="s">
        <v>6968</v>
      </c>
      <c r="G148" s="70" t="s">
        <v>3447</v>
      </c>
      <c r="H148" s="93"/>
      <c r="I148" s="85">
        <f t="shared" si="5"/>
        <v>4.0211900000000007</v>
      </c>
      <c r="J148" s="85">
        <v>10500.016946500356</v>
      </c>
      <c r="K148" s="131" t="s">
        <v>3177</v>
      </c>
      <c r="L148" s="60" t="s">
        <v>2686</v>
      </c>
    </row>
    <row r="149" spans="1:28" ht="14" x14ac:dyDescent="0.15">
      <c r="A149" s="70" t="s">
        <v>2633</v>
      </c>
      <c r="B149" s="82"/>
      <c r="C149" s="70" t="s">
        <v>3636</v>
      </c>
      <c r="D149" s="70" t="s">
        <v>2837</v>
      </c>
      <c r="E149" s="70" t="s">
        <v>3178</v>
      </c>
      <c r="F149" s="70" t="s">
        <v>6968</v>
      </c>
      <c r="G149" s="70" t="s">
        <v>4451</v>
      </c>
      <c r="H149" s="93"/>
      <c r="I149" s="85">
        <f t="shared" si="5"/>
        <v>4.010720000000001</v>
      </c>
      <c r="J149" s="85">
        <v>10249.908771372877</v>
      </c>
      <c r="K149" s="131" t="s">
        <v>6816</v>
      </c>
      <c r="L149" s="60">
        <v>60</v>
      </c>
      <c r="M149" s="49" t="s">
        <v>6392</v>
      </c>
    </row>
    <row r="150" spans="1:28" ht="14" x14ac:dyDescent="0.15">
      <c r="A150" s="73" t="s">
        <v>2633</v>
      </c>
      <c r="B150" s="82"/>
      <c r="C150" s="70" t="s">
        <v>3636</v>
      </c>
      <c r="D150" s="70" t="s">
        <v>2837</v>
      </c>
      <c r="E150" s="70" t="s">
        <v>3178</v>
      </c>
      <c r="F150" s="70" t="s">
        <v>6968</v>
      </c>
      <c r="G150" s="70" t="s">
        <v>6958</v>
      </c>
      <c r="H150" s="93"/>
      <c r="I150" s="85">
        <f t="shared" si="5"/>
        <v>3.9777200000000006</v>
      </c>
      <c r="J150" s="85">
        <v>9499.9211362259666</v>
      </c>
      <c r="K150" s="131" t="s">
        <v>6817</v>
      </c>
      <c r="L150" s="63" t="s">
        <v>2686</v>
      </c>
      <c r="M150" s="49" t="s">
        <v>6392</v>
      </c>
    </row>
    <row r="151" spans="1:28" s="246" customFormat="1" ht="14" x14ac:dyDescent="0.15">
      <c r="A151" s="70" t="s">
        <v>2633</v>
      </c>
      <c r="B151" s="82"/>
      <c r="C151" s="70" t="s">
        <v>3636</v>
      </c>
      <c r="D151" s="70" t="s">
        <v>2837</v>
      </c>
      <c r="E151" s="70" t="s">
        <v>3178</v>
      </c>
      <c r="F151" s="70" t="s">
        <v>6960</v>
      </c>
      <c r="G151" s="70" t="s">
        <v>7184</v>
      </c>
      <c r="H151" s="93"/>
      <c r="I151" s="85">
        <f t="shared" si="5"/>
        <v>4.7634300000000005</v>
      </c>
      <c r="J151" s="85">
        <v>58000.267960159108</v>
      </c>
      <c r="K151" s="131" t="s">
        <v>6391</v>
      </c>
      <c r="L151" s="60" t="s">
        <v>2686</v>
      </c>
      <c r="M151" s="49" t="s">
        <v>6392</v>
      </c>
      <c r="N151" s="37"/>
      <c r="O151" s="37"/>
      <c r="P151" s="37"/>
      <c r="Q151" s="3"/>
      <c r="R151" s="3"/>
      <c r="S151" s="3"/>
      <c r="T151" s="3"/>
      <c r="U151" s="3"/>
      <c r="V151" s="3"/>
      <c r="W151" s="3"/>
      <c r="X151" s="3"/>
      <c r="Y151" s="3"/>
      <c r="Z151" s="4"/>
      <c r="AA151"/>
      <c r="AB151"/>
    </row>
    <row r="152" spans="1:28" s="246" customFormat="1" ht="14" x14ac:dyDescent="0.15">
      <c r="A152" s="70" t="s">
        <v>2633</v>
      </c>
      <c r="B152" s="82"/>
      <c r="C152" s="70" t="s">
        <v>3636</v>
      </c>
      <c r="D152" s="70" t="s">
        <v>2837</v>
      </c>
      <c r="E152" s="70" t="s">
        <v>3178</v>
      </c>
      <c r="F152" s="70" t="s">
        <v>6960</v>
      </c>
      <c r="G152" s="70" t="s">
        <v>2183</v>
      </c>
      <c r="H152" s="93"/>
      <c r="I152" s="85">
        <f t="shared" si="5"/>
        <v>4.4698200000000003</v>
      </c>
      <c r="J152" s="85">
        <v>29499.863062460532</v>
      </c>
      <c r="K152" s="131" t="s">
        <v>7661</v>
      </c>
      <c r="L152" s="63" t="s">
        <v>2686</v>
      </c>
      <c r="M152" s="49" t="s">
        <v>6392</v>
      </c>
      <c r="N152" s="37"/>
      <c r="O152" s="37"/>
      <c r="P152" s="49"/>
      <c r="Q152" s="3"/>
      <c r="R152" s="3"/>
      <c r="S152" s="3"/>
      <c r="T152" s="3"/>
      <c r="U152" s="3"/>
      <c r="V152" s="3"/>
      <c r="W152" s="3"/>
      <c r="X152" s="3"/>
      <c r="Y152" s="3"/>
      <c r="Z152" s="4"/>
      <c r="AA152"/>
      <c r="AB152"/>
    </row>
    <row r="153" spans="1:28" s="246" customFormat="1" ht="14" x14ac:dyDescent="0.15">
      <c r="A153" s="70" t="s">
        <v>2633</v>
      </c>
      <c r="B153" s="82"/>
      <c r="C153" s="73" t="s">
        <v>3636</v>
      </c>
      <c r="D153" s="73" t="s">
        <v>2837</v>
      </c>
      <c r="E153" s="73" t="s">
        <v>3178</v>
      </c>
      <c r="F153" s="73" t="s">
        <v>6960</v>
      </c>
      <c r="G153" s="73" t="s">
        <v>7187</v>
      </c>
      <c r="H153" s="108"/>
      <c r="I153" s="85">
        <f t="shared" si="5"/>
        <v>4.6439500000000011</v>
      </c>
      <c r="J153" s="95">
        <v>44050.414567309555</v>
      </c>
      <c r="K153" s="131" t="s">
        <v>6817</v>
      </c>
      <c r="L153" s="60" t="s">
        <v>2686</v>
      </c>
      <c r="M153" s="49" t="s">
        <v>6392</v>
      </c>
      <c r="N153" s="37"/>
      <c r="O153" s="37"/>
      <c r="P153" s="37"/>
      <c r="Q153" s="3"/>
      <c r="R153" s="3"/>
      <c r="S153" s="3"/>
      <c r="T153" s="3"/>
      <c r="U153" s="3"/>
      <c r="V153" s="3"/>
      <c r="W153" s="3"/>
      <c r="X153" s="3"/>
      <c r="Y153" s="3"/>
      <c r="Z153" s="4"/>
      <c r="AA153"/>
      <c r="AB153"/>
    </row>
    <row r="154" spans="1:28" s="246" customFormat="1" ht="14" x14ac:dyDescent="0.15">
      <c r="A154" s="70" t="s">
        <v>2479</v>
      </c>
      <c r="B154" s="93" t="s">
        <v>5031</v>
      </c>
      <c r="C154" s="70" t="s">
        <v>3636</v>
      </c>
      <c r="D154" s="70" t="s">
        <v>2837</v>
      </c>
      <c r="E154" s="70" t="s">
        <v>3178</v>
      </c>
      <c r="F154" s="70" t="s">
        <v>5567</v>
      </c>
      <c r="G154" s="70" t="s">
        <v>7785</v>
      </c>
      <c r="H154" s="93"/>
      <c r="I154" s="85">
        <f t="shared" si="5"/>
        <v>4.4771212547196626</v>
      </c>
      <c r="J154" s="85">
        <v>30000</v>
      </c>
      <c r="K154" s="131" t="s">
        <v>3177</v>
      </c>
      <c r="L154" s="60">
        <v>141</v>
      </c>
      <c r="M154" s="33" t="s">
        <v>6392</v>
      </c>
      <c r="N154" s="37"/>
      <c r="O154" s="37"/>
      <c r="P154" s="37"/>
      <c r="Q154"/>
      <c r="R154"/>
      <c r="S154" s="3"/>
      <c r="T154" s="3"/>
      <c r="U154" s="3"/>
      <c r="V154" s="3"/>
      <c r="W154" s="3"/>
      <c r="X154" s="3"/>
      <c r="Y154" s="3"/>
      <c r="Z154" s="4"/>
      <c r="AA154"/>
      <c r="AB154"/>
    </row>
    <row r="155" spans="1:28" s="246" customFormat="1" ht="16" x14ac:dyDescent="0.2">
      <c r="A155" s="70" t="s">
        <v>2479</v>
      </c>
      <c r="B155" s="82"/>
      <c r="C155" s="70" t="s">
        <v>3636</v>
      </c>
      <c r="D155" s="70" t="s">
        <v>2837</v>
      </c>
      <c r="E155" s="70" t="s">
        <v>3178</v>
      </c>
      <c r="F155" s="70" t="s">
        <v>5567</v>
      </c>
      <c r="G155" s="70" t="s">
        <v>5571</v>
      </c>
      <c r="H155" s="93"/>
      <c r="I155" s="85">
        <f t="shared" si="5"/>
        <v>4.4166405073382808</v>
      </c>
      <c r="J155" s="85">
        <v>26100</v>
      </c>
      <c r="K155" s="131" t="s">
        <v>6485</v>
      </c>
      <c r="L155" s="60">
        <v>68</v>
      </c>
      <c r="M155" s="47"/>
      <c r="N155" s="37"/>
      <c r="O155" s="37"/>
      <c r="P155" s="37"/>
      <c r="Q155"/>
      <c r="R155"/>
      <c r="S155" s="3"/>
      <c r="T155" s="3"/>
      <c r="U155" s="3"/>
      <c r="V155" s="3"/>
      <c r="W155" s="3"/>
      <c r="X155" s="3"/>
      <c r="Y155" s="3"/>
      <c r="Z155" s="4"/>
      <c r="AA155"/>
      <c r="AB155"/>
    </row>
    <row r="156" spans="1:28" s="246" customFormat="1" x14ac:dyDescent="0.15">
      <c r="A156" s="236" t="s">
        <v>3635</v>
      </c>
      <c r="B156" s="237"/>
      <c r="C156" s="238" t="s">
        <v>4905</v>
      </c>
      <c r="D156" s="236" t="s">
        <v>2837</v>
      </c>
      <c r="E156" s="236" t="s">
        <v>3178</v>
      </c>
      <c r="F156" s="236" t="s">
        <v>5897</v>
      </c>
      <c r="G156" s="236" t="s">
        <v>7120</v>
      </c>
      <c r="H156" s="237"/>
      <c r="I156" s="239">
        <f t="shared" si="5"/>
        <v>4.6989700043360187</v>
      </c>
      <c r="J156" s="240">
        <v>50000</v>
      </c>
      <c r="K156" s="241"/>
      <c r="L156" s="247" t="s">
        <v>1041</v>
      </c>
      <c r="M156" s="243"/>
      <c r="N156" s="244"/>
      <c r="O156" s="244"/>
      <c r="P156" s="244"/>
      <c r="Q156" s="245"/>
      <c r="R156" s="245"/>
      <c r="S156" s="3"/>
      <c r="T156" s="3"/>
      <c r="U156" s="3"/>
      <c r="V156" s="3"/>
      <c r="W156" s="3"/>
      <c r="X156" s="3"/>
      <c r="Y156" s="3"/>
      <c r="Z156" s="4"/>
      <c r="AA156"/>
      <c r="AB156"/>
    </row>
    <row r="157" spans="1:28" s="246" customFormat="1" ht="42" x14ac:dyDescent="0.2">
      <c r="A157" s="70" t="s">
        <v>2479</v>
      </c>
      <c r="B157" s="82"/>
      <c r="C157" s="70" t="s">
        <v>3636</v>
      </c>
      <c r="D157" s="70" t="s">
        <v>2837</v>
      </c>
      <c r="E157" s="70" t="s">
        <v>3178</v>
      </c>
      <c r="F157" s="70" t="s">
        <v>5897</v>
      </c>
      <c r="G157" s="70" t="s">
        <v>4700</v>
      </c>
      <c r="H157" s="93"/>
      <c r="I157" s="85">
        <f t="shared" si="5"/>
        <v>4.4623979978989565</v>
      </c>
      <c r="J157" s="85">
        <v>29000</v>
      </c>
      <c r="K157" s="131" t="s">
        <v>1333</v>
      </c>
      <c r="L157" s="60">
        <v>68</v>
      </c>
      <c r="M157" s="47" t="s">
        <v>6809</v>
      </c>
      <c r="N157" s="37"/>
      <c r="O157" s="37"/>
      <c r="P157" s="37"/>
      <c r="Q157" s="3"/>
      <c r="R157" s="3"/>
      <c r="S157" s="3"/>
      <c r="T157" s="3"/>
      <c r="U157" s="3"/>
      <c r="V157" s="3"/>
      <c r="W157" s="3"/>
      <c r="X157" s="3"/>
      <c r="Y157" s="3"/>
      <c r="Z157" s="4"/>
      <c r="AA157"/>
      <c r="AB157"/>
    </row>
    <row r="158" spans="1:28" s="246" customFormat="1" ht="14" x14ac:dyDescent="0.15">
      <c r="A158" s="73" t="s">
        <v>2633</v>
      </c>
      <c r="B158" s="82"/>
      <c r="C158" s="70" t="s">
        <v>3636</v>
      </c>
      <c r="D158" s="70" t="s">
        <v>2837</v>
      </c>
      <c r="E158" s="70" t="s">
        <v>3178</v>
      </c>
      <c r="F158" s="70" t="s">
        <v>7412</v>
      </c>
      <c r="G158" s="70" t="s">
        <v>4603</v>
      </c>
      <c r="H158" s="93"/>
      <c r="I158" s="85">
        <f t="shared" si="5"/>
        <v>5.2342600000000008</v>
      </c>
      <c r="J158" s="85">
        <v>171498.37131800401</v>
      </c>
      <c r="K158" s="131" t="s">
        <v>6817</v>
      </c>
      <c r="L158" s="60">
        <v>60</v>
      </c>
      <c r="M158" s="49" t="s">
        <v>6392</v>
      </c>
      <c r="N158" s="37"/>
      <c r="O158" s="37"/>
      <c r="P158" s="37"/>
      <c r="Q158" s="3"/>
      <c r="R158" s="3"/>
      <c r="S158" s="3"/>
      <c r="T158" s="3"/>
      <c r="U158" s="3"/>
      <c r="V158" s="3"/>
      <c r="W158" s="3"/>
      <c r="X158" s="3"/>
      <c r="Y158" s="3"/>
      <c r="Z158" s="4"/>
      <c r="AA158"/>
      <c r="AB158"/>
    </row>
    <row r="159" spans="1:28" s="246" customFormat="1" ht="14" x14ac:dyDescent="0.15">
      <c r="A159" s="248" t="s">
        <v>2479</v>
      </c>
      <c r="B159" s="249" t="s">
        <v>7693</v>
      </c>
      <c r="C159" s="248" t="s">
        <v>4905</v>
      </c>
      <c r="D159" s="248" t="s">
        <v>2837</v>
      </c>
      <c r="E159" s="248" t="s">
        <v>3178</v>
      </c>
      <c r="F159" s="248" t="s">
        <v>7694</v>
      </c>
      <c r="G159" s="248" t="s">
        <v>7695</v>
      </c>
      <c r="H159" s="249"/>
      <c r="I159" s="239">
        <v>5.8979999999999997</v>
      </c>
      <c r="J159" s="239">
        <v>790678.62799982505</v>
      </c>
      <c r="K159" s="250"/>
      <c r="L159" s="251">
        <v>165</v>
      </c>
      <c r="M159" s="252"/>
      <c r="N159" s="244"/>
      <c r="O159" s="244"/>
      <c r="P159" s="244"/>
      <c r="Q159" s="245"/>
      <c r="R159" s="245"/>
      <c r="S159" s="3"/>
      <c r="T159" s="3"/>
      <c r="U159" s="3"/>
      <c r="V159" s="3"/>
      <c r="W159" s="3"/>
      <c r="X159" s="3"/>
      <c r="Y159" s="3"/>
      <c r="Z159" s="4"/>
      <c r="AA159"/>
      <c r="AB159"/>
    </row>
    <row r="160" spans="1:28" s="246" customFormat="1" ht="14" x14ac:dyDescent="0.15">
      <c r="A160" s="70" t="s">
        <v>2633</v>
      </c>
      <c r="B160" s="82"/>
      <c r="C160" s="70" t="s">
        <v>3636</v>
      </c>
      <c r="D160" s="70" t="s">
        <v>2837</v>
      </c>
      <c r="E160" s="70" t="s">
        <v>3178</v>
      </c>
      <c r="F160" s="70" t="s">
        <v>3707</v>
      </c>
      <c r="G160" s="70" t="s">
        <v>3708</v>
      </c>
      <c r="H160" s="93"/>
      <c r="I160" s="85">
        <f t="shared" ref="I160:I177" si="6">LOG(J160)</f>
        <v>4.2900300000000007</v>
      </c>
      <c r="J160" s="85">
        <v>19499.792949034705</v>
      </c>
      <c r="K160" s="131" t="s">
        <v>3177</v>
      </c>
      <c r="L160" s="60" t="s">
        <v>2686</v>
      </c>
      <c r="M160" s="49"/>
      <c r="N160" s="37"/>
      <c r="O160" s="37"/>
      <c r="P160" s="37"/>
      <c r="Q160" s="3"/>
      <c r="R160" s="3"/>
      <c r="S160" s="3"/>
      <c r="T160" s="3"/>
      <c r="U160" s="3"/>
      <c r="V160" s="3"/>
      <c r="W160" s="3"/>
      <c r="X160" s="3"/>
      <c r="Y160" s="3"/>
      <c r="Z160" s="4"/>
      <c r="AA160"/>
      <c r="AB160"/>
    </row>
    <row r="161" spans="1:28" s="244" customFormat="1" x14ac:dyDescent="0.15">
      <c r="A161" s="236" t="s">
        <v>3635</v>
      </c>
      <c r="B161" s="237"/>
      <c r="C161" s="238" t="s">
        <v>4905</v>
      </c>
      <c r="D161" s="236" t="s">
        <v>2837</v>
      </c>
      <c r="E161" s="236" t="s">
        <v>3178</v>
      </c>
      <c r="F161" s="236" t="s">
        <v>7122</v>
      </c>
      <c r="G161" s="236" t="s">
        <v>7079</v>
      </c>
      <c r="H161" s="237"/>
      <c r="I161" s="239">
        <f t="shared" si="6"/>
        <v>5.6020599913279625</v>
      </c>
      <c r="J161" s="240">
        <v>400000</v>
      </c>
      <c r="K161" s="241"/>
      <c r="L161" s="247" t="s">
        <v>922</v>
      </c>
      <c r="M161" s="243"/>
      <c r="Q161" s="245"/>
      <c r="R161" s="245"/>
      <c r="S161" s="3"/>
      <c r="T161" s="3"/>
      <c r="U161" s="3"/>
      <c r="V161" s="3"/>
      <c r="W161" s="3"/>
      <c r="X161" s="3"/>
      <c r="Y161" s="3"/>
      <c r="Z161" s="4"/>
      <c r="AA161"/>
      <c r="AB161"/>
    </row>
    <row r="162" spans="1:28" s="244" customFormat="1" ht="42" x14ac:dyDescent="0.15">
      <c r="A162" s="70" t="s">
        <v>2633</v>
      </c>
      <c r="B162" s="82"/>
      <c r="C162" s="70" t="s">
        <v>3636</v>
      </c>
      <c r="D162" s="70" t="s">
        <v>2837</v>
      </c>
      <c r="E162" s="70" t="s">
        <v>3178</v>
      </c>
      <c r="F162" s="70" t="s">
        <v>4120</v>
      </c>
      <c r="G162" s="70" t="s">
        <v>6270</v>
      </c>
      <c r="H162" s="93"/>
      <c r="I162" s="85">
        <f t="shared" si="6"/>
        <v>5.7634299999999996</v>
      </c>
      <c r="J162" s="85">
        <v>580002.67960159073</v>
      </c>
      <c r="K162" s="131" t="s">
        <v>6478</v>
      </c>
      <c r="L162" s="60" t="s">
        <v>2686</v>
      </c>
      <c r="M162" s="49" t="s">
        <v>6392</v>
      </c>
      <c r="N162" s="37"/>
      <c r="O162" s="37"/>
      <c r="P162" s="37"/>
      <c r="Q162" s="3"/>
      <c r="R162" s="3"/>
      <c r="S162" s="3"/>
      <c r="T162" s="3"/>
      <c r="U162" s="3"/>
      <c r="V162" s="3"/>
      <c r="W162" s="3"/>
      <c r="X162" s="3"/>
      <c r="Y162" s="3"/>
      <c r="Z162" s="4"/>
      <c r="AA162"/>
      <c r="AB162"/>
    </row>
    <row r="163" spans="1:28" s="244" customFormat="1" ht="14" x14ac:dyDescent="0.15">
      <c r="A163" s="70" t="s">
        <v>2633</v>
      </c>
      <c r="B163" s="82"/>
      <c r="C163" s="70" t="s">
        <v>3636</v>
      </c>
      <c r="D163" s="70" t="s">
        <v>2837</v>
      </c>
      <c r="E163" s="70" t="s">
        <v>3178</v>
      </c>
      <c r="F163" s="70" t="s">
        <v>3235</v>
      </c>
      <c r="G163" s="70" t="s">
        <v>2897</v>
      </c>
      <c r="H163" s="93"/>
      <c r="I163" s="85">
        <f t="shared" si="6"/>
        <v>5.8325089127062366</v>
      </c>
      <c r="J163" s="85">
        <v>680000</v>
      </c>
      <c r="K163" s="131" t="s">
        <v>6485</v>
      </c>
      <c r="L163" s="63">
        <v>68</v>
      </c>
      <c r="M163" s="49" t="s">
        <v>6392</v>
      </c>
      <c r="N163" s="37"/>
      <c r="O163" s="37"/>
      <c r="P163" s="37"/>
      <c r="Q163" s="3"/>
      <c r="R163" s="3"/>
      <c r="S163" s="3"/>
      <c r="T163" s="3"/>
      <c r="U163" s="3"/>
      <c r="V163" s="3"/>
      <c r="W163" s="3"/>
      <c r="X163" s="3"/>
      <c r="Y163" s="3"/>
      <c r="Z163" s="4"/>
      <c r="AA163"/>
      <c r="AB163"/>
    </row>
    <row r="164" spans="1:28" s="244" customFormat="1" ht="14" x14ac:dyDescent="0.15">
      <c r="A164" s="70" t="s">
        <v>2633</v>
      </c>
      <c r="B164" s="82"/>
      <c r="C164" s="70" t="s">
        <v>3636</v>
      </c>
      <c r="D164" s="70" t="s">
        <v>2837</v>
      </c>
      <c r="E164" s="70" t="s">
        <v>3178</v>
      </c>
      <c r="F164" s="70" t="s">
        <v>3235</v>
      </c>
      <c r="G164" s="70" t="s">
        <v>3718</v>
      </c>
      <c r="H164" s="93"/>
      <c r="I164" s="85">
        <f t="shared" si="6"/>
        <v>5.7558700000000007</v>
      </c>
      <c r="J164" s="85">
        <v>569993.62709414295</v>
      </c>
      <c r="K164" s="131" t="s">
        <v>3177</v>
      </c>
      <c r="L164" s="60" t="s">
        <v>2686</v>
      </c>
      <c r="M164" s="49"/>
      <c r="N164" s="37"/>
      <c r="O164" s="37"/>
      <c r="P164" s="37"/>
      <c r="Q164" s="3"/>
      <c r="R164" s="3"/>
      <c r="S164" s="3"/>
      <c r="T164" s="3"/>
      <c r="U164" s="3"/>
      <c r="V164" s="3"/>
      <c r="W164" s="3"/>
      <c r="X164" s="3"/>
      <c r="Y164" s="3"/>
      <c r="Z164" s="4"/>
      <c r="AA164"/>
      <c r="AB164"/>
    </row>
    <row r="165" spans="1:28" s="244" customFormat="1" ht="17" x14ac:dyDescent="0.2">
      <c r="A165" s="70" t="s">
        <v>2479</v>
      </c>
      <c r="B165" s="82"/>
      <c r="C165" s="70" t="s">
        <v>3636</v>
      </c>
      <c r="D165" s="70" t="s">
        <v>2837</v>
      </c>
      <c r="E165" s="70" t="s">
        <v>3178</v>
      </c>
      <c r="F165" s="70" t="s">
        <v>7439</v>
      </c>
      <c r="G165" s="70" t="s">
        <v>5240</v>
      </c>
      <c r="H165" s="93"/>
      <c r="I165" s="85">
        <f t="shared" si="6"/>
        <v>4.2787536009528289</v>
      </c>
      <c r="J165" s="85">
        <v>19000</v>
      </c>
      <c r="K165" s="134" t="s">
        <v>6817</v>
      </c>
      <c r="L165" s="63">
        <v>68</v>
      </c>
      <c r="M165" s="47" t="s">
        <v>6728</v>
      </c>
      <c r="N165" s="37"/>
      <c r="O165" s="37"/>
      <c r="P165" s="37"/>
      <c r="Q165" s="3"/>
      <c r="R165" s="3"/>
      <c r="S165" s="3"/>
      <c r="T165" s="3"/>
      <c r="U165" s="3"/>
      <c r="V165" s="3"/>
      <c r="W165" s="3"/>
      <c r="X165" s="3"/>
      <c r="Y165" s="3"/>
      <c r="Z165" s="4"/>
      <c r="AA165"/>
      <c r="AB165"/>
    </row>
    <row r="166" spans="1:28" ht="14" x14ac:dyDescent="0.15">
      <c r="A166" s="70" t="s">
        <v>2633</v>
      </c>
      <c r="B166" s="82"/>
      <c r="C166" s="73" t="s">
        <v>3636</v>
      </c>
      <c r="D166" s="73" t="s">
        <v>2837</v>
      </c>
      <c r="E166" s="70" t="s">
        <v>3178</v>
      </c>
      <c r="F166" s="73" t="s">
        <v>3719</v>
      </c>
      <c r="G166" s="73" t="s">
        <v>3720</v>
      </c>
      <c r="H166" s="108"/>
      <c r="I166" s="85">
        <f t="shared" si="6"/>
        <v>4.9375200000000001</v>
      </c>
      <c r="J166" s="85">
        <v>86600.420340917175</v>
      </c>
      <c r="K166" s="131" t="s">
        <v>3177</v>
      </c>
      <c r="L166" s="60">
        <v>60</v>
      </c>
      <c r="M166" s="49" t="s">
        <v>6392</v>
      </c>
    </row>
    <row r="167" spans="1:28" ht="14" x14ac:dyDescent="0.15">
      <c r="A167" s="70" t="s">
        <v>2633</v>
      </c>
      <c r="B167" s="82"/>
      <c r="C167" s="70" t="s">
        <v>3636</v>
      </c>
      <c r="D167" s="70" t="s">
        <v>2837</v>
      </c>
      <c r="E167" s="70" t="s">
        <v>3178</v>
      </c>
      <c r="F167" s="70" t="s">
        <v>3719</v>
      </c>
      <c r="G167" s="70" t="s">
        <v>3702</v>
      </c>
      <c r="H167" s="93"/>
      <c r="I167" s="85">
        <f t="shared" si="6"/>
        <v>5.3324400000000001</v>
      </c>
      <c r="J167" s="85">
        <v>215000.76242905634</v>
      </c>
      <c r="K167" s="131" t="s">
        <v>6816</v>
      </c>
      <c r="L167" s="60">
        <v>65</v>
      </c>
      <c r="M167" s="49" t="s">
        <v>6390</v>
      </c>
      <c r="S167" s="245"/>
      <c r="T167" s="245"/>
      <c r="U167" s="245"/>
      <c r="V167" s="245"/>
      <c r="W167" s="245"/>
      <c r="X167" s="245"/>
      <c r="Y167" s="245"/>
      <c r="Z167" s="246"/>
      <c r="AA167" s="246"/>
      <c r="AB167" s="246"/>
    </row>
    <row r="168" spans="1:28" ht="14" x14ac:dyDescent="0.15">
      <c r="A168" s="70" t="s">
        <v>2633</v>
      </c>
      <c r="B168" s="82"/>
      <c r="C168" s="70" t="s">
        <v>3636</v>
      </c>
      <c r="D168" s="70" t="s">
        <v>2837</v>
      </c>
      <c r="E168" s="70" t="s">
        <v>3178</v>
      </c>
      <c r="F168" s="70" t="s">
        <v>3719</v>
      </c>
      <c r="G168" s="70" t="s">
        <v>3236</v>
      </c>
      <c r="H168" s="93"/>
      <c r="I168" s="85">
        <f t="shared" si="6"/>
        <v>5.5171999999999999</v>
      </c>
      <c r="J168" s="85">
        <v>329003.10752470582</v>
      </c>
      <c r="K168" s="131" t="s">
        <v>6817</v>
      </c>
      <c r="L168" s="60">
        <v>60</v>
      </c>
      <c r="M168" s="49" t="s">
        <v>6392</v>
      </c>
      <c r="S168" s="245"/>
      <c r="T168" s="245"/>
      <c r="U168" s="245"/>
      <c r="V168" s="245"/>
      <c r="W168" s="245"/>
      <c r="X168" s="245"/>
      <c r="Y168" s="245"/>
      <c r="Z168" s="246"/>
      <c r="AA168" s="246"/>
      <c r="AB168" s="246"/>
    </row>
    <row r="169" spans="1:28" ht="28" x14ac:dyDescent="0.15">
      <c r="A169" s="70" t="s">
        <v>2633</v>
      </c>
      <c r="B169" s="82"/>
      <c r="C169" s="70" t="s">
        <v>3636</v>
      </c>
      <c r="D169" s="70" t="s">
        <v>2837</v>
      </c>
      <c r="E169" s="70" t="s">
        <v>3178</v>
      </c>
      <c r="F169" s="70" t="s">
        <v>3719</v>
      </c>
      <c r="G169" s="70" t="s">
        <v>3237</v>
      </c>
      <c r="H169" s="93"/>
      <c r="I169" s="85">
        <f t="shared" si="6"/>
        <v>4.9115600000000006</v>
      </c>
      <c r="J169" s="85">
        <v>81575.548013253661</v>
      </c>
      <c r="K169" s="131" t="s">
        <v>6412</v>
      </c>
      <c r="L169" s="60" t="s">
        <v>2686</v>
      </c>
      <c r="M169" s="49" t="s">
        <v>6392</v>
      </c>
    </row>
    <row r="170" spans="1:28" ht="14" x14ac:dyDescent="0.15">
      <c r="A170" s="70" t="s">
        <v>2633</v>
      </c>
      <c r="B170" s="82"/>
      <c r="C170" s="70" t="s">
        <v>3636</v>
      </c>
      <c r="D170" s="70" t="s">
        <v>2837</v>
      </c>
      <c r="E170" s="70" t="s">
        <v>3178</v>
      </c>
      <c r="F170" s="70" t="s">
        <v>3719</v>
      </c>
      <c r="G170" s="70" t="s">
        <v>4315</v>
      </c>
      <c r="H170" s="93"/>
      <c r="I170" s="85">
        <f t="shared" si="6"/>
        <v>4.6359899999999996</v>
      </c>
      <c r="J170" s="85">
        <v>43250.387215066643</v>
      </c>
      <c r="K170" s="131" t="s">
        <v>3177</v>
      </c>
      <c r="L170" s="60" t="s">
        <v>2686</v>
      </c>
    </row>
    <row r="171" spans="1:28" ht="14" x14ac:dyDescent="0.15">
      <c r="A171" s="70" t="s">
        <v>2633</v>
      </c>
      <c r="B171" s="82"/>
      <c r="C171" s="70" t="s">
        <v>3636</v>
      </c>
      <c r="D171" s="70" t="s">
        <v>2837</v>
      </c>
      <c r="E171" s="70" t="s">
        <v>3178</v>
      </c>
      <c r="F171" s="70" t="s">
        <v>3719</v>
      </c>
      <c r="G171" s="70" t="s">
        <v>3882</v>
      </c>
      <c r="H171" s="93"/>
      <c r="I171" s="85">
        <f t="shared" si="6"/>
        <v>4.8920899999999996</v>
      </c>
      <c r="J171" s="85">
        <v>77999.173353634396</v>
      </c>
      <c r="K171" s="131" t="s">
        <v>6817</v>
      </c>
      <c r="L171" s="60" t="s">
        <v>2686</v>
      </c>
      <c r="M171" s="49" t="s">
        <v>6392</v>
      </c>
    </row>
    <row r="172" spans="1:28" ht="14" x14ac:dyDescent="0.15">
      <c r="A172" s="73" t="s">
        <v>2633</v>
      </c>
      <c r="B172" s="82"/>
      <c r="C172" s="70" t="s">
        <v>3636</v>
      </c>
      <c r="D172" s="70" t="s">
        <v>2837</v>
      </c>
      <c r="E172" s="70" t="s">
        <v>3178</v>
      </c>
      <c r="F172" s="70" t="s">
        <v>3719</v>
      </c>
      <c r="G172" s="70" t="s">
        <v>3883</v>
      </c>
      <c r="H172" s="93"/>
      <c r="I172" s="85">
        <f t="shared" si="6"/>
        <v>5.3293999999999997</v>
      </c>
      <c r="J172" s="85">
        <v>213501.04251272275</v>
      </c>
      <c r="K172" s="131" t="s">
        <v>3177</v>
      </c>
      <c r="L172" s="60" t="s">
        <v>2686</v>
      </c>
      <c r="M172" s="49" t="s">
        <v>6392</v>
      </c>
    </row>
    <row r="173" spans="1:28" x14ac:dyDescent="0.15">
      <c r="A173" s="236" t="s">
        <v>3635</v>
      </c>
      <c r="B173" s="237"/>
      <c r="C173" s="238" t="s">
        <v>4905</v>
      </c>
      <c r="D173" s="236" t="s">
        <v>2837</v>
      </c>
      <c r="E173" s="236" t="s">
        <v>7198</v>
      </c>
      <c r="F173" s="236" t="s">
        <v>7080</v>
      </c>
      <c r="G173" s="236" t="s">
        <v>4056</v>
      </c>
      <c r="H173" s="237"/>
      <c r="I173" s="239">
        <f t="shared" si="6"/>
        <v>6.0413926851582254</v>
      </c>
      <c r="J173" s="240">
        <v>1100000</v>
      </c>
      <c r="K173" s="241"/>
      <c r="L173" s="247" t="s">
        <v>974</v>
      </c>
      <c r="M173" s="243"/>
      <c r="N173" s="244"/>
      <c r="O173" s="244"/>
      <c r="P173" s="244"/>
      <c r="Q173" s="245"/>
      <c r="R173" s="245"/>
      <c r="S173" s="245"/>
      <c r="T173" s="245"/>
      <c r="U173" s="245"/>
      <c r="V173" s="245"/>
      <c r="W173" s="245"/>
      <c r="X173" s="245"/>
      <c r="Y173" s="245"/>
      <c r="Z173" s="246"/>
      <c r="AA173" s="244"/>
      <c r="AB173" s="244"/>
    </row>
    <row r="174" spans="1:28" x14ac:dyDescent="0.15">
      <c r="A174" s="236" t="s">
        <v>3635</v>
      </c>
      <c r="B174" s="237"/>
      <c r="C174" s="238" t="s">
        <v>4905</v>
      </c>
      <c r="D174" s="236" t="s">
        <v>2837</v>
      </c>
      <c r="E174" s="236" t="s">
        <v>7198</v>
      </c>
      <c r="F174" s="236" t="s">
        <v>7080</v>
      </c>
      <c r="G174" s="236" t="s">
        <v>4055</v>
      </c>
      <c r="H174" s="237"/>
      <c r="I174" s="239">
        <f t="shared" si="6"/>
        <v>5.8450980400142569</v>
      </c>
      <c r="J174" s="240">
        <v>700000</v>
      </c>
      <c r="K174" s="241"/>
      <c r="L174" s="242">
        <v>25</v>
      </c>
      <c r="M174" s="243"/>
      <c r="N174" s="244"/>
      <c r="O174" s="244"/>
      <c r="P174" s="244"/>
      <c r="Q174" s="245"/>
      <c r="R174" s="245"/>
    </row>
    <row r="175" spans="1:28" ht="42" x14ac:dyDescent="0.15">
      <c r="A175" s="70" t="s">
        <v>2479</v>
      </c>
      <c r="B175" s="82"/>
      <c r="C175" s="70" t="s">
        <v>3636</v>
      </c>
      <c r="D175" s="70" t="s">
        <v>2837</v>
      </c>
      <c r="E175" s="70" t="s">
        <v>7198</v>
      </c>
      <c r="F175" s="70" t="s">
        <v>7199</v>
      </c>
      <c r="G175" s="70" t="s">
        <v>5241</v>
      </c>
      <c r="H175" s="93"/>
      <c r="I175" s="85">
        <f t="shared" si="6"/>
        <v>5.8388490907372557</v>
      </c>
      <c r="J175" s="85">
        <v>690000</v>
      </c>
      <c r="K175" s="131" t="s">
        <v>1317</v>
      </c>
      <c r="L175" s="60">
        <v>-999</v>
      </c>
      <c r="M175" s="33" t="s">
        <v>6809</v>
      </c>
      <c r="N175" s="32" t="s">
        <v>6485</v>
      </c>
    </row>
    <row r="176" spans="1:28" x14ac:dyDescent="0.15">
      <c r="A176" s="91" t="s">
        <v>2479</v>
      </c>
      <c r="B176" s="90"/>
      <c r="C176" s="91" t="s">
        <v>3636</v>
      </c>
      <c r="D176" s="91" t="s">
        <v>2837</v>
      </c>
      <c r="E176" s="91" t="s">
        <v>7198</v>
      </c>
      <c r="F176" s="91" t="s">
        <v>7199</v>
      </c>
      <c r="G176" s="91" t="s">
        <v>7200</v>
      </c>
      <c r="H176" s="176"/>
      <c r="I176" s="85">
        <f t="shared" si="6"/>
        <v>5.6042260530844699</v>
      </c>
      <c r="J176" s="92">
        <v>402000</v>
      </c>
      <c r="K176" s="133"/>
      <c r="L176" s="64">
        <v>75</v>
      </c>
    </row>
    <row r="177" spans="1:28" ht="14" x14ac:dyDescent="0.15">
      <c r="A177" s="91" t="s">
        <v>2538</v>
      </c>
      <c r="B177" s="90"/>
      <c r="C177" s="70" t="s">
        <v>4772</v>
      </c>
      <c r="D177" s="91" t="s">
        <v>2837</v>
      </c>
      <c r="E177" s="91" t="s">
        <v>7198</v>
      </c>
      <c r="F177" s="91" t="s">
        <v>7199</v>
      </c>
      <c r="G177" s="91" t="s">
        <v>7200</v>
      </c>
      <c r="H177" s="176"/>
      <c r="I177" s="85">
        <f t="shared" si="6"/>
        <v>5.9030899869919438</v>
      </c>
      <c r="J177" s="92">
        <v>800000</v>
      </c>
      <c r="K177" s="133" t="s">
        <v>3347</v>
      </c>
      <c r="L177" s="64">
        <v>59</v>
      </c>
    </row>
    <row r="178" spans="1:28" ht="14" x14ac:dyDescent="0.15">
      <c r="A178" s="253" t="s">
        <v>2479</v>
      </c>
      <c r="B178" s="254" t="s">
        <v>7682</v>
      </c>
      <c r="C178" s="253" t="s">
        <v>4905</v>
      </c>
      <c r="D178" s="253" t="s">
        <v>2837</v>
      </c>
      <c r="E178" s="253" t="s">
        <v>7198</v>
      </c>
      <c r="F178" s="253" t="s">
        <v>7199</v>
      </c>
      <c r="G178" s="253" t="s">
        <v>7681</v>
      </c>
      <c r="H178" s="254"/>
      <c r="I178" s="239">
        <v>5.74</v>
      </c>
      <c r="J178" s="255">
        <v>549540.87385762495</v>
      </c>
      <c r="K178" s="256"/>
      <c r="L178" s="257">
        <v>165</v>
      </c>
      <c r="M178" s="243"/>
      <c r="N178" s="244"/>
      <c r="O178" s="244"/>
      <c r="P178" s="244"/>
      <c r="Q178" s="245"/>
      <c r="R178" s="245"/>
    </row>
    <row r="179" spans="1:28" s="244" customFormat="1" x14ac:dyDescent="0.15">
      <c r="A179" s="236" t="s">
        <v>2633</v>
      </c>
      <c r="B179" s="237"/>
      <c r="C179" s="238" t="s">
        <v>4905</v>
      </c>
      <c r="D179" s="236" t="s">
        <v>2837</v>
      </c>
      <c r="E179" s="236" t="s">
        <v>7198</v>
      </c>
      <c r="F179" s="236" t="s">
        <v>7199</v>
      </c>
      <c r="G179" s="236" t="s">
        <v>4669</v>
      </c>
      <c r="H179" s="237"/>
      <c r="I179" s="239">
        <f t="shared" ref="I179:I210" si="7">LOG(J179)</f>
        <v>5.6989700043360187</v>
      </c>
      <c r="J179" s="240">
        <v>500000</v>
      </c>
      <c r="K179" s="241"/>
      <c r="L179" s="247">
        <v>1</v>
      </c>
      <c r="M179" s="243"/>
      <c r="Q179" s="245"/>
      <c r="R179" s="245"/>
      <c r="S179" s="3"/>
      <c r="T179" s="3"/>
      <c r="U179" s="3"/>
      <c r="V179" s="3"/>
      <c r="W179" s="3"/>
      <c r="X179" s="3"/>
      <c r="Y179" s="3"/>
      <c r="Z179" s="4"/>
      <c r="AA179"/>
      <c r="AB179"/>
    </row>
    <row r="180" spans="1:28" s="244" customFormat="1" x14ac:dyDescent="0.15">
      <c r="A180" s="236" t="s">
        <v>7029</v>
      </c>
      <c r="B180" s="237"/>
      <c r="C180" s="238" t="s">
        <v>4905</v>
      </c>
      <c r="D180" s="236" t="s">
        <v>2837</v>
      </c>
      <c r="E180" s="236" t="s">
        <v>7198</v>
      </c>
      <c r="F180" s="236" t="s">
        <v>2313</v>
      </c>
      <c r="G180" s="236" t="s">
        <v>2314</v>
      </c>
      <c r="H180" s="237"/>
      <c r="I180" s="239">
        <f t="shared" si="7"/>
        <v>5.1760912590556813</v>
      </c>
      <c r="J180" s="240">
        <v>150000</v>
      </c>
      <c r="K180" s="241"/>
      <c r="L180" s="247" t="s">
        <v>1783</v>
      </c>
      <c r="M180" s="252"/>
      <c r="Q180" s="245"/>
      <c r="R180" s="245"/>
      <c r="S180" s="3"/>
      <c r="T180" s="3"/>
      <c r="U180" s="3"/>
      <c r="V180" s="3"/>
      <c r="W180" s="3"/>
      <c r="X180" s="3"/>
      <c r="Y180" s="3"/>
      <c r="Z180" s="4"/>
      <c r="AA180"/>
      <c r="AB180"/>
    </row>
    <row r="181" spans="1:28" s="244" customFormat="1" x14ac:dyDescent="0.15">
      <c r="A181" s="236" t="s">
        <v>3635</v>
      </c>
      <c r="B181" s="237"/>
      <c r="C181" s="238" t="s">
        <v>4905</v>
      </c>
      <c r="D181" s="236" t="s">
        <v>2837</v>
      </c>
      <c r="E181" s="236" t="s">
        <v>7198</v>
      </c>
      <c r="F181" s="236" t="s">
        <v>4064</v>
      </c>
      <c r="G181" s="236" t="s">
        <v>3412</v>
      </c>
      <c r="H181" s="237"/>
      <c r="I181" s="239">
        <f t="shared" si="7"/>
        <v>5.0413926851582254</v>
      </c>
      <c r="J181" s="240">
        <v>110000</v>
      </c>
      <c r="K181" s="241"/>
      <c r="L181" s="247" t="s">
        <v>1777</v>
      </c>
      <c r="M181" s="243"/>
      <c r="Q181" s="245"/>
      <c r="R181" s="245"/>
      <c r="S181" s="3"/>
      <c r="T181" s="3"/>
      <c r="U181" s="3"/>
      <c r="V181" s="3"/>
      <c r="W181" s="3"/>
      <c r="X181" s="3"/>
      <c r="Y181" s="3"/>
      <c r="Z181" s="4"/>
      <c r="AA181"/>
      <c r="AB181"/>
    </row>
    <row r="182" spans="1:28" s="244" customFormat="1" x14ac:dyDescent="0.15">
      <c r="A182" s="236" t="s">
        <v>7029</v>
      </c>
      <c r="B182" s="237"/>
      <c r="C182" s="238" t="s">
        <v>4905</v>
      </c>
      <c r="D182" s="236" t="s">
        <v>2837</v>
      </c>
      <c r="E182" s="236" t="s">
        <v>7198</v>
      </c>
      <c r="F182" s="236" t="s">
        <v>4064</v>
      </c>
      <c r="G182" s="236" t="s">
        <v>2315</v>
      </c>
      <c r="H182" s="237"/>
      <c r="I182" s="239">
        <f t="shared" si="7"/>
        <v>6</v>
      </c>
      <c r="J182" s="240">
        <v>1000000</v>
      </c>
      <c r="K182" s="241"/>
      <c r="L182" s="247" t="s">
        <v>1125</v>
      </c>
      <c r="M182" s="252"/>
      <c r="Q182" s="245"/>
      <c r="R182" s="245"/>
      <c r="S182" s="3"/>
      <c r="T182" s="3"/>
      <c r="U182" s="3"/>
      <c r="V182" s="3"/>
      <c r="W182" s="3"/>
      <c r="X182" s="3"/>
      <c r="Y182" s="3"/>
      <c r="Z182" s="4"/>
      <c r="AA182"/>
      <c r="AB182"/>
    </row>
    <row r="183" spans="1:28" s="244" customFormat="1" ht="28" x14ac:dyDescent="0.15">
      <c r="A183" s="70" t="s">
        <v>7029</v>
      </c>
      <c r="B183" s="82" t="s">
        <v>2486</v>
      </c>
      <c r="C183" s="70" t="s">
        <v>3636</v>
      </c>
      <c r="D183" s="70" t="s">
        <v>2837</v>
      </c>
      <c r="E183" s="70" t="s">
        <v>7198</v>
      </c>
      <c r="F183" s="70" t="s">
        <v>3982</v>
      </c>
      <c r="G183" s="70" t="s">
        <v>7897</v>
      </c>
      <c r="H183" s="93"/>
      <c r="I183" s="85">
        <f t="shared" si="7"/>
        <v>5.153814864344529</v>
      </c>
      <c r="J183" s="85">
        <f>AVERAGE(130000, 155000)</f>
        <v>142500</v>
      </c>
      <c r="K183" s="131" t="s">
        <v>1326</v>
      </c>
      <c r="L183" s="60" t="s">
        <v>1387</v>
      </c>
      <c r="M183" s="33"/>
      <c r="N183" s="37"/>
      <c r="O183" s="37"/>
      <c r="P183" s="37"/>
      <c r="Q183" s="3"/>
      <c r="R183" s="3"/>
      <c r="S183" s="3"/>
      <c r="T183" s="3"/>
      <c r="U183" s="3"/>
      <c r="V183" s="3"/>
      <c r="W183" s="3"/>
      <c r="X183" s="3"/>
      <c r="Y183" s="3"/>
      <c r="Z183" s="4"/>
      <c r="AA183"/>
      <c r="AB183"/>
    </row>
    <row r="184" spans="1:28" s="244" customFormat="1" ht="14" x14ac:dyDescent="0.15">
      <c r="A184" s="70" t="s">
        <v>7029</v>
      </c>
      <c r="B184" s="82"/>
      <c r="C184" s="70" t="s">
        <v>3636</v>
      </c>
      <c r="D184" s="70" t="s">
        <v>2837</v>
      </c>
      <c r="E184" s="70" t="s">
        <v>7198</v>
      </c>
      <c r="F184" s="70" t="s">
        <v>3982</v>
      </c>
      <c r="G184" s="70" t="s">
        <v>3688</v>
      </c>
      <c r="H184" s="93"/>
      <c r="I184" s="85">
        <f t="shared" si="7"/>
        <v>5.0791812460476251</v>
      </c>
      <c r="J184" s="85">
        <v>120000</v>
      </c>
      <c r="K184" s="131" t="s">
        <v>3177</v>
      </c>
      <c r="L184" s="69">
        <v>61</v>
      </c>
      <c r="M184" s="50"/>
      <c r="N184" s="37"/>
      <c r="O184" s="37"/>
      <c r="P184" s="37"/>
      <c r="Q184" s="3"/>
      <c r="R184" s="3"/>
      <c r="S184" s="3"/>
      <c r="T184" s="3"/>
      <c r="U184" s="3"/>
      <c r="V184" s="3"/>
      <c r="W184" s="3"/>
      <c r="X184" s="3"/>
      <c r="Y184" s="3"/>
      <c r="Z184" s="4"/>
      <c r="AA184"/>
      <c r="AB184"/>
    </row>
    <row r="185" spans="1:28" s="244" customFormat="1" ht="14" x14ac:dyDescent="0.15">
      <c r="A185" s="70" t="s">
        <v>7029</v>
      </c>
      <c r="B185" s="82"/>
      <c r="C185" s="70" t="s">
        <v>3636</v>
      </c>
      <c r="D185" s="70" t="s">
        <v>2837</v>
      </c>
      <c r="E185" s="70" t="s">
        <v>7198</v>
      </c>
      <c r="F185" s="70" t="s">
        <v>3982</v>
      </c>
      <c r="G185" s="70" t="s">
        <v>5569</v>
      </c>
      <c r="H185" s="93"/>
      <c r="I185" s="85">
        <f t="shared" si="7"/>
        <v>4.7781512503836439</v>
      </c>
      <c r="J185" s="85">
        <v>60000</v>
      </c>
      <c r="K185" s="131" t="s">
        <v>6485</v>
      </c>
      <c r="L185" s="63">
        <v>68</v>
      </c>
      <c r="M185" s="49"/>
      <c r="N185" s="37"/>
      <c r="O185" s="37"/>
      <c r="P185" s="37"/>
      <c r="Q185" s="3"/>
      <c r="R185" s="3"/>
      <c r="S185" s="3"/>
      <c r="T185" s="3"/>
      <c r="U185" s="3"/>
      <c r="V185" s="3"/>
      <c r="W185" s="3"/>
      <c r="X185" s="3"/>
      <c r="Y185" s="3"/>
      <c r="Z185" s="4"/>
      <c r="AA185"/>
      <c r="AB185"/>
    </row>
    <row r="186" spans="1:28" s="244" customFormat="1" x14ac:dyDescent="0.15">
      <c r="A186" s="236" t="s">
        <v>3635</v>
      </c>
      <c r="B186" s="237"/>
      <c r="C186" s="238" t="s">
        <v>4905</v>
      </c>
      <c r="D186" s="236" t="s">
        <v>2837</v>
      </c>
      <c r="E186" s="236" t="s">
        <v>7198</v>
      </c>
      <c r="F186" s="236" t="s">
        <v>4090</v>
      </c>
      <c r="G186" s="236" t="s">
        <v>2566</v>
      </c>
      <c r="H186" s="237"/>
      <c r="I186" s="239">
        <f t="shared" si="7"/>
        <v>4.9030899869919438</v>
      </c>
      <c r="J186" s="240">
        <v>80000</v>
      </c>
      <c r="K186" s="241"/>
      <c r="L186" s="242" t="s">
        <v>1785</v>
      </c>
      <c r="M186" s="243"/>
      <c r="Q186" s="245"/>
      <c r="R186" s="245"/>
      <c r="S186" s="3"/>
      <c r="T186" s="3"/>
      <c r="U186" s="3"/>
      <c r="V186" s="3"/>
      <c r="W186" s="3"/>
      <c r="X186" s="3"/>
      <c r="Y186" s="3"/>
      <c r="Z186" s="4"/>
      <c r="AA186"/>
      <c r="AB186"/>
    </row>
    <row r="187" spans="1:28" s="244" customFormat="1" x14ac:dyDescent="0.15">
      <c r="A187" s="236" t="s">
        <v>7029</v>
      </c>
      <c r="B187" s="237"/>
      <c r="C187" s="238" t="s">
        <v>4905</v>
      </c>
      <c r="D187" s="236" t="s">
        <v>2837</v>
      </c>
      <c r="E187" s="236" t="s">
        <v>7198</v>
      </c>
      <c r="F187" s="236" t="s">
        <v>4090</v>
      </c>
      <c r="G187" s="236" t="s">
        <v>7120</v>
      </c>
      <c r="H187" s="237"/>
      <c r="I187" s="239">
        <f t="shared" si="7"/>
        <v>6</v>
      </c>
      <c r="J187" s="240">
        <v>1000000</v>
      </c>
      <c r="K187" s="241"/>
      <c r="L187" s="247">
        <v>40</v>
      </c>
      <c r="M187" s="252"/>
      <c r="Q187" s="245"/>
      <c r="R187" s="245"/>
      <c r="S187" s="3"/>
      <c r="T187" s="3"/>
      <c r="U187" s="3"/>
      <c r="V187" s="3"/>
      <c r="W187" s="3"/>
      <c r="X187" s="3"/>
      <c r="Y187" s="3"/>
      <c r="Z187" s="4"/>
      <c r="AA187"/>
      <c r="AB187"/>
    </row>
    <row r="188" spans="1:28" ht="14" x14ac:dyDescent="0.15">
      <c r="A188" s="70" t="s">
        <v>7029</v>
      </c>
      <c r="B188" s="82"/>
      <c r="C188" s="70" t="s">
        <v>3636</v>
      </c>
      <c r="D188" s="70" t="s">
        <v>2837</v>
      </c>
      <c r="E188" s="70" t="s">
        <v>7198</v>
      </c>
      <c r="F188" s="70" t="s">
        <v>3689</v>
      </c>
      <c r="G188" s="70" t="s">
        <v>3687</v>
      </c>
      <c r="H188" s="93"/>
      <c r="I188" s="85">
        <f t="shared" si="7"/>
        <v>4.6766899999999998</v>
      </c>
      <c r="J188" s="85">
        <v>47499.605206891225</v>
      </c>
      <c r="K188" s="131" t="s">
        <v>3177</v>
      </c>
      <c r="L188" s="60">
        <v>60</v>
      </c>
      <c r="M188" s="49" t="s">
        <v>6392</v>
      </c>
    </row>
    <row r="189" spans="1:28" x14ac:dyDescent="0.15">
      <c r="A189" s="236" t="s">
        <v>7029</v>
      </c>
      <c r="B189" s="237"/>
      <c r="C189" s="238" t="s">
        <v>4905</v>
      </c>
      <c r="D189" s="236" t="s">
        <v>2837</v>
      </c>
      <c r="E189" s="236" t="s">
        <v>3724</v>
      </c>
      <c r="F189" s="236" t="s">
        <v>2316</v>
      </c>
      <c r="G189" s="236" t="s">
        <v>7120</v>
      </c>
      <c r="H189" s="237"/>
      <c r="I189" s="239">
        <f t="shared" si="7"/>
        <v>4.7781512503836439</v>
      </c>
      <c r="J189" s="240">
        <v>60000</v>
      </c>
      <c r="K189" s="241"/>
      <c r="L189" s="242" t="s">
        <v>1040</v>
      </c>
      <c r="M189" s="252"/>
      <c r="N189" s="244"/>
      <c r="O189" s="244"/>
      <c r="P189" s="244"/>
      <c r="Q189" s="245"/>
      <c r="R189" s="245"/>
    </row>
    <row r="190" spans="1:28" ht="16" x14ac:dyDescent="0.2">
      <c r="A190" s="70" t="s">
        <v>2479</v>
      </c>
      <c r="B190" s="82"/>
      <c r="C190" s="70" t="s">
        <v>3636</v>
      </c>
      <c r="D190" s="70" t="s">
        <v>2837</v>
      </c>
      <c r="E190" s="70" t="s">
        <v>3724</v>
      </c>
      <c r="F190" s="70" t="s">
        <v>4136</v>
      </c>
      <c r="G190" s="70" t="s">
        <v>4151</v>
      </c>
      <c r="H190" s="93"/>
      <c r="I190" s="85">
        <f t="shared" si="7"/>
        <v>5.5502283530550942</v>
      </c>
      <c r="J190" s="85">
        <f>AVERAGE(385000, 325000)</f>
        <v>355000</v>
      </c>
      <c r="K190" s="131" t="s">
        <v>3177</v>
      </c>
      <c r="L190" s="63">
        <v>111</v>
      </c>
      <c r="M190" s="47"/>
    </row>
    <row r="191" spans="1:28" ht="16" x14ac:dyDescent="0.2">
      <c r="A191" s="70" t="s">
        <v>3635</v>
      </c>
      <c r="B191" s="82"/>
      <c r="C191" s="70" t="s">
        <v>3636</v>
      </c>
      <c r="D191" s="70" t="s">
        <v>2837</v>
      </c>
      <c r="E191" s="70" t="s">
        <v>3724</v>
      </c>
      <c r="F191" s="70" t="s">
        <v>4136</v>
      </c>
      <c r="G191" s="70" t="s">
        <v>4151</v>
      </c>
      <c r="H191" s="93"/>
      <c r="I191" s="85">
        <f t="shared" si="7"/>
        <v>5.5550900000000007</v>
      </c>
      <c r="J191" s="85">
        <v>358996.32269922015</v>
      </c>
      <c r="K191" s="131" t="s">
        <v>3177</v>
      </c>
      <c r="L191" s="60">
        <v>60</v>
      </c>
      <c r="M191" s="47"/>
    </row>
    <row r="192" spans="1:28" x14ac:dyDescent="0.15">
      <c r="A192" s="236" t="s">
        <v>3635</v>
      </c>
      <c r="B192" s="237"/>
      <c r="C192" s="238" t="s">
        <v>4905</v>
      </c>
      <c r="D192" s="236" t="s">
        <v>2837</v>
      </c>
      <c r="E192" s="236" t="s">
        <v>3724</v>
      </c>
      <c r="F192" s="236" t="s">
        <v>4136</v>
      </c>
      <c r="G192" s="236" t="s">
        <v>4283</v>
      </c>
      <c r="H192" s="237"/>
      <c r="I192" s="239">
        <f t="shared" si="7"/>
        <v>5.9294189257142929</v>
      </c>
      <c r="J192" s="240">
        <v>850000</v>
      </c>
      <c r="K192" s="241"/>
      <c r="L192" s="247" t="s">
        <v>1041</v>
      </c>
      <c r="M192" s="243"/>
      <c r="N192" s="244"/>
      <c r="O192" s="244"/>
      <c r="P192" s="244"/>
      <c r="Q192" s="245"/>
      <c r="R192" s="245"/>
    </row>
    <row r="193" spans="1:28" x14ac:dyDescent="0.15">
      <c r="A193" s="91" t="s">
        <v>2479</v>
      </c>
      <c r="B193" s="90"/>
      <c r="C193" s="91" t="s">
        <v>3636</v>
      </c>
      <c r="D193" s="91" t="s">
        <v>2837</v>
      </c>
      <c r="E193" s="91" t="s">
        <v>3724</v>
      </c>
      <c r="F193" s="91" t="s">
        <v>3683</v>
      </c>
      <c r="G193" s="91" t="s">
        <v>3727</v>
      </c>
      <c r="H193" s="176"/>
      <c r="I193" s="85">
        <f t="shared" si="7"/>
        <v>4.8450980400142569</v>
      </c>
      <c r="J193" s="92">
        <v>70000</v>
      </c>
      <c r="K193" s="133"/>
      <c r="L193" s="64">
        <v>75</v>
      </c>
    </row>
    <row r="194" spans="1:28" ht="14" x14ac:dyDescent="0.15">
      <c r="A194" s="70" t="s">
        <v>2481</v>
      </c>
      <c r="B194" s="82" t="s">
        <v>2330</v>
      </c>
      <c r="C194" s="70" t="s">
        <v>3636</v>
      </c>
      <c r="D194" s="70" t="s">
        <v>2837</v>
      </c>
      <c r="E194" s="70" t="s">
        <v>3724</v>
      </c>
      <c r="F194" s="70" t="s">
        <v>3683</v>
      </c>
      <c r="G194" s="70" t="s">
        <v>3727</v>
      </c>
      <c r="H194" s="93"/>
      <c r="I194" s="85">
        <f t="shared" si="7"/>
        <v>4.7948054605505002</v>
      </c>
      <c r="J194" s="85">
        <f>AVERAGE((454*162), (454*166), (454*112), (454*109.3))</f>
        <v>62345.55</v>
      </c>
      <c r="K194" s="131"/>
      <c r="L194" s="63">
        <v>132</v>
      </c>
      <c r="M194" s="33"/>
    </row>
    <row r="195" spans="1:28" ht="14" x14ac:dyDescent="0.15">
      <c r="A195" s="169" t="s">
        <v>2538</v>
      </c>
      <c r="B195" s="90"/>
      <c r="C195" s="73" t="s">
        <v>4772</v>
      </c>
      <c r="D195" s="164" t="s">
        <v>2837</v>
      </c>
      <c r="E195" s="91" t="s">
        <v>3724</v>
      </c>
      <c r="F195" s="164" t="s">
        <v>3683</v>
      </c>
      <c r="G195" s="164" t="s">
        <v>3727</v>
      </c>
      <c r="H195" s="196"/>
      <c r="I195" s="85">
        <f t="shared" si="7"/>
        <v>4.8419848045901137</v>
      </c>
      <c r="J195" s="92">
        <v>69500</v>
      </c>
      <c r="K195" s="133" t="s">
        <v>3347</v>
      </c>
      <c r="L195" s="65">
        <v>59</v>
      </c>
      <c r="S195" s="245"/>
      <c r="T195" s="245"/>
      <c r="U195" s="245"/>
      <c r="V195" s="245"/>
      <c r="W195" s="245"/>
      <c r="X195" s="245"/>
      <c r="Y195" s="245"/>
      <c r="Z195" s="246"/>
      <c r="AA195" s="243"/>
      <c r="AB195" s="243"/>
    </row>
    <row r="196" spans="1:28" ht="28" x14ac:dyDescent="0.15">
      <c r="A196" s="62" t="s">
        <v>2481</v>
      </c>
      <c r="B196" s="97" t="s">
        <v>5852</v>
      </c>
      <c r="C196" s="70" t="s">
        <v>3636</v>
      </c>
      <c r="D196" s="70" t="s">
        <v>2837</v>
      </c>
      <c r="E196" s="70" t="s">
        <v>3724</v>
      </c>
      <c r="F196" s="70" t="s">
        <v>3683</v>
      </c>
      <c r="G196" s="70" t="s">
        <v>5248</v>
      </c>
      <c r="H196" s="93"/>
      <c r="I196" s="85">
        <f t="shared" si="7"/>
        <v>4.6074550232146683</v>
      </c>
      <c r="J196" s="85">
        <f>AVERAGE(36000, 45000)</f>
        <v>40500</v>
      </c>
      <c r="K196" s="131" t="s">
        <v>6665</v>
      </c>
      <c r="L196" s="60">
        <v>141</v>
      </c>
      <c r="M196" s="33" t="s">
        <v>6392</v>
      </c>
    </row>
    <row r="197" spans="1:28" ht="28" x14ac:dyDescent="0.15">
      <c r="A197" s="70" t="s">
        <v>2481</v>
      </c>
      <c r="B197" s="82" t="s">
        <v>2487</v>
      </c>
      <c r="C197" s="70" t="s">
        <v>3636</v>
      </c>
      <c r="D197" s="70" t="s">
        <v>2837</v>
      </c>
      <c r="E197" s="70" t="s">
        <v>3724</v>
      </c>
      <c r="F197" s="70" t="s">
        <v>3683</v>
      </c>
      <c r="G197" s="70" t="s">
        <v>4464</v>
      </c>
      <c r="H197" s="93"/>
      <c r="I197" s="85">
        <f t="shared" si="7"/>
        <v>4.7403626894942441</v>
      </c>
      <c r="J197" s="85">
        <v>55000</v>
      </c>
      <c r="K197" s="131" t="s">
        <v>6665</v>
      </c>
      <c r="L197" s="60">
        <v>147</v>
      </c>
      <c r="M197" s="33" t="s">
        <v>6390</v>
      </c>
    </row>
    <row r="198" spans="1:28" ht="16" x14ac:dyDescent="0.2">
      <c r="A198" s="70" t="s">
        <v>2479</v>
      </c>
      <c r="B198" s="82"/>
      <c r="C198" s="70" t="s">
        <v>3636</v>
      </c>
      <c r="D198" s="70" t="s">
        <v>2837</v>
      </c>
      <c r="E198" s="70" t="s">
        <v>3724</v>
      </c>
      <c r="F198" s="70" t="s">
        <v>3683</v>
      </c>
      <c r="G198" s="70" t="s">
        <v>3684</v>
      </c>
      <c r="H198" s="93"/>
      <c r="I198" s="85">
        <f t="shared" si="7"/>
        <v>4.5440680443502757</v>
      </c>
      <c r="J198" s="85">
        <v>35000</v>
      </c>
      <c r="K198" s="131"/>
      <c r="L198" s="60" t="s">
        <v>1610</v>
      </c>
      <c r="M198" s="47"/>
    </row>
    <row r="199" spans="1:28" ht="16" x14ac:dyDescent="0.2">
      <c r="A199" s="70" t="s">
        <v>2481</v>
      </c>
      <c r="B199" s="82" t="s">
        <v>2330</v>
      </c>
      <c r="C199" s="70" t="s">
        <v>3636</v>
      </c>
      <c r="D199" s="70" t="s">
        <v>2837</v>
      </c>
      <c r="E199" s="70" t="s">
        <v>3724</v>
      </c>
      <c r="F199" s="70" t="s">
        <v>3683</v>
      </c>
      <c r="G199" s="70" t="s">
        <v>3684</v>
      </c>
      <c r="H199" s="93"/>
      <c r="I199" s="85">
        <f t="shared" si="7"/>
        <v>4.5218634818832513</v>
      </c>
      <c r="J199" s="85">
        <f>AVERAGE((454*88), (454*98), (454*48), (454*59))</f>
        <v>33255.5</v>
      </c>
      <c r="K199" s="131"/>
      <c r="L199" s="63">
        <v>132</v>
      </c>
      <c r="M199" s="47"/>
    </row>
    <row r="200" spans="1:28" ht="16" x14ac:dyDescent="0.2">
      <c r="A200" s="91" t="s">
        <v>2538</v>
      </c>
      <c r="B200" s="90"/>
      <c r="C200" s="70" t="s">
        <v>4772</v>
      </c>
      <c r="D200" s="91" t="s">
        <v>2837</v>
      </c>
      <c r="E200" s="91" t="s">
        <v>3724</v>
      </c>
      <c r="F200" s="91" t="s">
        <v>3683</v>
      </c>
      <c r="G200" s="91" t="s">
        <v>3684</v>
      </c>
      <c r="H200" s="176"/>
      <c r="I200" s="85">
        <f t="shared" si="7"/>
        <v>4.5440680443502757</v>
      </c>
      <c r="J200" s="92">
        <v>35000</v>
      </c>
      <c r="K200" s="133" t="s">
        <v>3347</v>
      </c>
      <c r="L200" s="65">
        <v>59</v>
      </c>
      <c r="M200" s="47"/>
    </row>
    <row r="201" spans="1:28" ht="28" x14ac:dyDescent="0.2">
      <c r="A201" s="70" t="s">
        <v>7029</v>
      </c>
      <c r="B201" s="82"/>
      <c r="C201" s="70" t="s">
        <v>3636</v>
      </c>
      <c r="D201" s="70" t="s">
        <v>2837</v>
      </c>
      <c r="E201" s="70" t="s">
        <v>3724</v>
      </c>
      <c r="F201" s="70" t="s">
        <v>3496</v>
      </c>
      <c r="G201" s="70" t="s">
        <v>4207</v>
      </c>
      <c r="H201" s="93"/>
      <c r="I201" s="85">
        <f t="shared" si="7"/>
        <v>4.937850000000001</v>
      </c>
      <c r="J201" s="85">
        <v>86666.248943968283</v>
      </c>
      <c r="K201" s="131" t="s">
        <v>6737</v>
      </c>
      <c r="L201" s="60">
        <v>60</v>
      </c>
      <c r="M201" s="47" t="s">
        <v>6728</v>
      </c>
    </row>
    <row r="202" spans="1:28" s="222" customFormat="1" ht="14" x14ac:dyDescent="0.15">
      <c r="A202" s="70" t="s">
        <v>2479</v>
      </c>
      <c r="B202" s="82"/>
      <c r="C202" s="70" t="s">
        <v>3636</v>
      </c>
      <c r="D202" s="70" t="s">
        <v>2837</v>
      </c>
      <c r="E202" s="70" t="s">
        <v>3724</v>
      </c>
      <c r="F202" s="70" t="s">
        <v>5765</v>
      </c>
      <c r="G202" s="70" t="s">
        <v>6957</v>
      </c>
      <c r="H202" s="93"/>
      <c r="I202" s="85">
        <f t="shared" si="7"/>
        <v>4.3521825181113627</v>
      </c>
      <c r="J202" s="85">
        <v>22500</v>
      </c>
      <c r="K202" s="131" t="s">
        <v>6485</v>
      </c>
      <c r="L202" s="60">
        <v>68</v>
      </c>
      <c r="M202" s="49"/>
      <c r="N202" s="37"/>
      <c r="O202" s="37"/>
      <c r="P202" s="37"/>
      <c r="Q202" s="3"/>
      <c r="R202" s="3"/>
      <c r="S202" s="3"/>
      <c r="T202" s="3"/>
      <c r="U202" s="3"/>
      <c r="V202" s="3"/>
      <c r="W202" s="3"/>
      <c r="X202" s="3"/>
      <c r="Y202" s="3"/>
      <c r="Z202" s="4"/>
      <c r="AA202"/>
      <c r="AB202"/>
    </row>
    <row r="203" spans="1:28" ht="14" x14ac:dyDescent="0.15">
      <c r="A203" s="83" t="s">
        <v>2479</v>
      </c>
      <c r="B203" s="82"/>
      <c r="C203" s="70" t="s">
        <v>3636</v>
      </c>
      <c r="D203" s="70" t="s">
        <v>2837</v>
      </c>
      <c r="E203" s="70" t="s">
        <v>3724</v>
      </c>
      <c r="F203" s="70" t="s">
        <v>5765</v>
      </c>
      <c r="G203" s="70" t="s">
        <v>1911</v>
      </c>
      <c r="H203" s="93"/>
      <c r="I203" s="85">
        <f t="shared" si="7"/>
        <v>4.641</v>
      </c>
      <c r="J203" s="85">
        <v>43752.210515825202</v>
      </c>
      <c r="K203" s="131" t="s">
        <v>3177</v>
      </c>
      <c r="L203" s="60">
        <v>165</v>
      </c>
      <c r="M203" s="33"/>
    </row>
    <row r="204" spans="1:28" x14ac:dyDescent="0.15">
      <c r="A204" s="236" t="s">
        <v>3635</v>
      </c>
      <c r="B204" s="237"/>
      <c r="C204" s="238" t="s">
        <v>4905</v>
      </c>
      <c r="D204" s="236" t="s">
        <v>2837</v>
      </c>
      <c r="E204" s="236" t="s">
        <v>3724</v>
      </c>
      <c r="F204" s="236" t="s">
        <v>2415</v>
      </c>
      <c r="G204" s="236" t="s">
        <v>5423</v>
      </c>
      <c r="H204" s="237"/>
      <c r="I204" s="239">
        <f t="shared" si="7"/>
        <v>5.8007170782823847</v>
      </c>
      <c r="J204" s="240">
        <v>632000</v>
      </c>
      <c r="K204" s="241"/>
      <c r="L204" s="247" t="s">
        <v>4812</v>
      </c>
      <c r="M204" s="243"/>
      <c r="N204" s="244"/>
      <c r="O204" s="244"/>
      <c r="P204" s="244"/>
      <c r="Q204" s="245"/>
      <c r="R204" s="245"/>
    </row>
    <row r="205" spans="1:28" ht="28" x14ac:dyDescent="0.15">
      <c r="A205" s="70" t="s">
        <v>2479</v>
      </c>
      <c r="B205" s="82"/>
      <c r="C205" s="70" t="s">
        <v>3636</v>
      </c>
      <c r="D205" s="70" t="s">
        <v>2837</v>
      </c>
      <c r="E205" s="70" t="s">
        <v>3724</v>
      </c>
      <c r="F205" s="70" t="s">
        <v>3725</v>
      </c>
      <c r="G205" s="70" t="s">
        <v>5766</v>
      </c>
      <c r="H205" s="93"/>
      <c r="I205" s="85">
        <f t="shared" si="7"/>
        <v>5.0969100130080562</v>
      </c>
      <c r="J205" s="85">
        <v>125000</v>
      </c>
      <c r="K205" s="131" t="s">
        <v>1231</v>
      </c>
      <c r="L205" s="63">
        <v>68</v>
      </c>
      <c r="M205" s="49" t="s">
        <v>6728</v>
      </c>
    </row>
    <row r="206" spans="1:28" ht="14" x14ac:dyDescent="0.15">
      <c r="A206" s="62" t="s">
        <v>2481</v>
      </c>
      <c r="B206" s="97" t="s">
        <v>5852</v>
      </c>
      <c r="C206" s="70" t="s">
        <v>3636</v>
      </c>
      <c r="D206" s="70" t="s">
        <v>2837</v>
      </c>
      <c r="E206" s="70" t="s">
        <v>3724</v>
      </c>
      <c r="F206" s="70" t="s">
        <v>3725</v>
      </c>
      <c r="G206" s="70" t="s">
        <v>5249</v>
      </c>
      <c r="H206" s="93"/>
      <c r="I206" s="85">
        <f t="shared" si="7"/>
        <v>4.6766936096248664</v>
      </c>
      <c r="J206" s="85">
        <f>AVERAGE(36000, 59000)</f>
        <v>47500</v>
      </c>
      <c r="K206" s="131" t="s">
        <v>3177</v>
      </c>
      <c r="L206" s="60">
        <v>202</v>
      </c>
      <c r="M206" s="33" t="s">
        <v>6390</v>
      </c>
    </row>
    <row r="207" spans="1:28" ht="14" x14ac:dyDescent="0.15">
      <c r="A207" s="70" t="s">
        <v>2479</v>
      </c>
      <c r="B207" s="82"/>
      <c r="C207" s="70" t="s">
        <v>3636</v>
      </c>
      <c r="D207" s="70" t="s">
        <v>2837</v>
      </c>
      <c r="E207" s="70" t="s">
        <v>3724</v>
      </c>
      <c r="F207" s="70" t="s">
        <v>3725</v>
      </c>
      <c r="G207" s="70" t="s">
        <v>5882</v>
      </c>
      <c r="H207" s="93"/>
      <c r="I207" s="85">
        <f t="shared" si="7"/>
        <v>5.1553360374650614</v>
      </c>
      <c r="J207" s="85">
        <v>143000</v>
      </c>
      <c r="K207" s="131" t="s">
        <v>6817</v>
      </c>
      <c r="L207" s="63">
        <v>68</v>
      </c>
      <c r="M207" s="49" t="s">
        <v>6728</v>
      </c>
    </row>
    <row r="208" spans="1:28" ht="14" x14ac:dyDescent="0.15">
      <c r="A208" s="70" t="s">
        <v>2633</v>
      </c>
      <c r="B208" s="82"/>
      <c r="C208" s="70" t="s">
        <v>3636</v>
      </c>
      <c r="D208" s="70" t="s">
        <v>2837</v>
      </c>
      <c r="E208" s="70" t="s">
        <v>3724</v>
      </c>
      <c r="F208" s="70" t="s">
        <v>3725</v>
      </c>
      <c r="G208" s="70" t="s">
        <v>3682</v>
      </c>
      <c r="H208" s="93"/>
      <c r="I208" s="85">
        <f t="shared" si="7"/>
        <v>5.1938200000000005</v>
      </c>
      <c r="J208" s="85">
        <v>156249.99063995146</v>
      </c>
      <c r="K208" s="131" t="s">
        <v>3177</v>
      </c>
      <c r="L208" s="60">
        <v>65</v>
      </c>
    </row>
    <row r="209" spans="1:28" ht="14" x14ac:dyDescent="0.15">
      <c r="A209" s="70" t="s">
        <v>2479</v>
      </c>
      <c r="B209" s="82"/>
      <c r="C209" s="70" t="s">
        <v>3636</v>
      </c>
      <c r="D209" s="70" t="s">
        <v>2837</v>
      </c>
      <c r="E209" s="70" t="s">
        <v>3724</v>
      </c>
      <c r="F209" s="70" t="s">
        <v>3725</v>
      </c>
      <c r="G209" s="70" t="s">
        <v>3682</v>
      </c>
      <c r="H209" s="93"/>
      <c r="I209" s="85">
        <f t="shared" si="7"/>
        <v>5.2215772307066661</v>
      </c>
      <c r="J209" s="85">
        <f>AVERAGE(150000, 175000, 120000, 170000, 127500, 190000, 250000, 150000)</f>
        <v>166562.5</v>
      </c>
      <c r="K209" s="131" t="s">
        <v>3177</v>
      </c>
      <c r="L209" s="60" t="s">
        <v>5709</v>
      </c>
      <c r="M209" s="33"/>
    </row>
    <row r="210" spans="1:28" x14ac:dyDescent="0.15">
      <c r="A210" s="91" t="s">
        <v>3635</v>
      </c>
      <c r="B210" s="90"/>
      <c r="C210" s="91" t="s">
        <v>3636</v>
      </c>
      <c r="D210" s="91" t="s">
        <v>2837</v>
      </c>
      <c r="E210" s="91" t="s">
        <v>3724</v>
      </c>
      <c r="F210" s="91" t="s">
        <v>3725</v>
      </c>
      <c r="G210" s="91" t="s">
        <v>3682</v>
      </c>
      <c r="H210" s="176"/>
      <c r="I210" s="85">
        <f t="shared" si="7"/>
        <v>5.3379600000000007</v>
      </c>
      <c r="J210" s="92">
        <v>217750.92071073258</v>
      </c>
      <c r="K210" s="137"/>
      <c r="L210" s="65">
        <v>60</v>
      </c>
    </row>
    <row r="211" spans="1:28" ht="14" x14ac:dyDescent="0.15">
      <c r="A211" s="91" t="s">
        <v>2538</v>
      </c>
      <c r="B211" s="90"/>
      <c r="C211" s="70" t="s">
        <v>4772</v>
      </c>
      <c r="D211" s="91" t="s">
        <v>2837</v>
      </c>
      <c r="E211" s="91" t="s">
        <v>3724</v>
      </c>
      <c r="F211" s="91" t="s">
        <v>3725</v>
      </c>
      <c r="G211" s="91" t="s">
        <v>3682</v>
      </c>
      <c r="H211" s="176"/>
      <c r="I211" s="85">
        <f t="shared" ref="I211:I238" si="8">LOG(J211)</f>
        <v>5.0773679052841567</v>
      </c>
      <c r="J211" s="92">
        <v>119500</v>
      </c>
      <c r="K211" s="133" t="s">
        <v>3347</v>
      </c>
      <c r="L211" s="64">
        <v>59</v>
      </c>
    </row>
    <row r="212" spans="1:28" ht="14" x14ac:dyDescent="0.15">
      <c r="A212" s="70" t="s">
        <v>2479</v>
      </c>
      <c r="B212" s="82"/>
      <c r="C212" s="70" t="s">
        <v>3636</v>
      </c>
      <c r="D212" s="70" t="s">
        <v>2837</v>
      </c>
      <c r="E212" s="70" t="s">
        <v>3724</v>
      </c>
      <c r="F212" s="70" t="s">
        <v>3725</v>
      </c>
      <c r="G212" s="70" t="s">
        <v>5767</v>
      </c>
      <c r="H212" s="93"/>
      <c r="I212" s="85">
        <f t="shared" si="8"/>
        <v>4.8633228601204559</v>
      </c>
      <c r="J212" s="85">
        <v>73000</v>
      </c>
      <c r="K212" s="131" t="s">
        <v>6817</v>
      </c>
      <c r="L212" s="60">
        <v>68</v>
      </c>
      <c r="M212" s="33" t="s">
        <v>6728</v>
      </c>
    </row>
    <row r="213" spans="1:28" s="222" customFormat="1" ht="14" x14ac:dyDescent="0.15">
      <c r="A213" s="62" t="s">
        <v>2481</v>
      </c>
      <c r="B213" s="97" t="s">
        <v>5852</v>
      </c>
      <c r="C213" s="70" t="s">
        <v>3636</v>
      </c>
      <c r="D213" s="70" t="s">
        <v>2837</v>
      </c>
      <c r="E213" s="70" t="s">
        <v>3724</v>
      </c>
      <c r="F213" s="70" t="s">
        <v>3725</v>
      </c>
      <c r="G213" s="70" t="s">
        <v>5250</v>
      </c>
      <c r="H213" s="93"/>
      <c r="I213" s="85">
        <f t="shared" si="8"/>
        <v>4.6989700043360187</v>
      </c>
      <c r="J213" s="85">
        <v>50000</v>
      </c>
      <c r="K213" s="131" t="s">
        <v>6522</v>
      </c>
      <c r="L213" s="60">
        <v>136</v>
      </c>
      <c r="M213" s="33" t="s">
        <v>6727</v>
      </c>
      <c r="N213" s="37"/>
      <c r="O213" s="37"/>
      <c r="P213" s="37"/>
      <c r="Q213" s="3"/>
      <c r="R213" s="3"/>
      <c r="S213" s="3"/>
      <c r="T213" s="3"/>
      <c r="U213" s="3"/>
      <c r="V213" s="3"/>
      <c r="W213" s="3"/>
      <c r="X213" s="3"/>
      <c r="Y213" s="3"/>
      <c r="Z213" s="4"/>
      <c r="AA213"/>
      <c r="AB213"/>
    </row>
    <row r="214" spans="1:28" ht="14" x14ac:dyDescent="0.15">
      <c r="A214" s="70" t="s">
        <v>2479</v>
      </c>
      <c r="B214" s="82"/>
      <c r="C214" s="70" t="s">
        <v>3636</v>
      </c>
      <c r="D214" s="70" t="s">
        <v>2837</v>
      </c>
      <c r="E214" s="70" t="s">
        <v>3724</v>
      </c>
      <c r="F214" s="70" t="s">
        <v>3725</v>
      </c>
      <c r="G214" s="70" t="s">
        <v>5768</v>
      </c>
      <c r="H214" s="93"/>
      <c r="I214" s="85">
        <f t="shared" si="8"/>
        <v>4.7242758696007892</v>
      </c>
      <c r="J214" s="85">
        <v>53000</v>
      </c>
      <c r="K214" s="131" t="s">
        <v>6485</v>
      </c>
      <c r="L214" s="60">
        <v>68</v>
      </c>
    </row>
    <row r="215" spans="1:28" ht="42" x14ac:dyDescent="0.15">
      <c r="A215" s="70" t="s">
        <v>2479</v>
      </c>
      <c r="B215" s="82" t="s">
        <v>47</v>
      </c>
      <c r="C215" s="70" t="s">
        <v>3750</v>
      </c>
      <c r="D215" s="70" t="s">
        <v>2837</v>
      </c>
      <c r="E215" s="70" t="s">
        <v>3724</v>
      </c>
      <c r="F215" s="70" t="s">
        <v>3725</v>
      </c>
      <c r="G215" s="70" t="s">
        <v>5251</v>
      </c>
      <c r="H215" s="93" t="s">
        <v>90</v>
      </c>
      <c r="I215" s="85">
        <f t="shared" si="8"/>
        <v>5.0413926851582254</v>
      </c>
      <c r="J215" s="85">
        <v>110000</v>
      </c>
      <c r="K215" s="131" t="s">
        <v>6522</v>
      </c>
      <c r="L215" s="261" t="s">
        <v>171</v>
      </c>
      <c r="M215" s="49" t="s">
        <v>6653</v>
      </c>
      <c r="N215" s="32" t="s">
        <v>1388</v>
      </c>
    </row>
    <row r="216" spans="1:28" ht="14" x14ac:dyDescent="0.15">
      <c r="A216" s="70" t="s">
        <v>2481</v>
      </c>
      <c r="B216" s="82" t="s">
        <v>2018</v>
      </c>
      <c r="C216" s="70" t="s">
        <v>3636</v>
      </c>
      <c r="D216" s="70" t="s">
        <v>2837</v>
      </c>
      <c r="E216" s="70" t="s">
        <v>3724</v>
      </c>
      <c r="F216" s="70" t="s">
        <v>3725</v>
      </c>
      <c r="G216" s="70" t="s">
        <v>3728</v>
      </c>
      <c r="H216" s="93"/>
      <c r="I216" s="85">
        <f t="shared" si="8"/>
        <v>4.7993405494535821</v>
      </c>
      <c r="J216" s="85">
        <v>63000</v>
      </c>
      <c r="K216" s="131"/>
      <c r="L216" s="60" t="s">
        <v>1611</v>
      </c>
      <c r="M216" s="33"/>
    </row>
    <row r="217" spans="1:28" ht="14" x14ac:dyDescent="0.15">
      <c r="A217" s="91" t="s">
        <v>2538</v>
      </c>
      <c r="B217" s="90"/>
      <c r="C217" s="70" t="s">
        <v>4772</v>
      </c>
      <c r="D217" s="91" t="s">
        <v>2837</v>
      </c>
      <c r="E217" s="91" t="s">
        <v>3724</v>
      </c>
      <c r="F217" s="91" t="s">
        <v>3725</v>
      </c>
      <c r="G217" s="91" t="s">
        <v>3728</v>
      </c>
      <c r="H217" s="176"/>
      <c r="I217" s="85">
        <f t="shared" si="8"/>
        <v>4.7993405494535821</v>
      </c>
      <c r="J217" s="92">
        <v>63000</v>
      </c>
      <c r="K217" s="133" t="s">
        <v>3347</v>
      </c>
      <c r="L217" s="65">
        <v>59</v>
      </c>
    </row>
    <row r="218" spans="1:28" x14ac:dyDescent="0.15">
      <c r="A218" s="83" t="s">
        <v>2479</v>
      </c>
      <c r="B218" s="82"/>
      <c r="C218" s="83" t="s">
        <v>3636</v>
      </c>
      <c r="D218" s="83" t="s">
        <v>2837</v>
      </c>
      <c r="E218" s="83" t="s">
        <v>3724</v>
      </c>
      <c r="F218" s="83" t="s">
        <v>3725</v>
      </c>
      <c r="G218" s="83" t="s">
        <v>3471</v>
      </c>
      <c r="H218" s="82"/>
      <c r="I218" s="85">
        <f t="shared" si="8"/>
        <v>5.3255567100511332</v>
      </c>
      <c r="J218" s="84">
        <f>AVERAGE(169000, (454*560))</f>
        <v>211620</v>
      </c>
      <c r="K218" s="136"/>
      <c r="L218" s="69" t="s">
        <v>1613</v>
      </c>
      <c r="M218" s="31"/>
    </row>
    <row r="219" spans="1:28" ht="14" x14ac:dyDescent="0.15">
      <c r="A219" s="70" t="s">
        <v>2481</v>
      </c>
      <c r="B219" s="82" t="s">
        <v>2330</v>
      </c>
      <c r="C219" s="70" t="s">
        <v>3636</v>
      </c>
      <c r="D219" s="70" t="s">
        <v>2837</v>
      </c>
      <c r="E219" s="70" t="s">
        <v>3724</v>
      </c>
      <c r="F219" s="70" t="s">
        <v>3725</v>
      </c>
      <c r="G219" s="70" t="s">
        <v>3471</v>
      </c>
      <c r="H219" s="93"/>
      <c r="I219" s="85">
        <f t="shared" si="8"/>
        <v>5.2052404634022116</v>
      </c>
      <c r="J219" s="85">
        <f>AVERAGE((454*475), (454*300), (454*285))</f>
        <v>160413.33333333334</v>
      </c>
      <c r="K219" s="131"/>
      <c r="L219" s="60">
        <v>132</v>
      </c>
      <c r="M219" s="33"/>
    </row>
    <row r="220" spans="1:28" ht="14" x14ac:dyDescent="0.15">
      <c r="A220" s="70" t="s">
        <v>2481</v>
      </c>
      <c r="B220" s="82" t="s">
        <v>2018</v>
      </c>
      <c r="C220" s="70" t="s">
        <v>3636</v>
      </c>
      <c r="D220" s="70" t="s">
        <v>2837</v>
      </c>
      <c r="E220" s="70" t="s">
        <v>3724</v>
      </c>
      <c r="F220" s="70" t="s">
        <v>3725</v>
      </c>
      <c r="G220" s="70" t="s">
        <v>3471</v>
      </c>
      <c r="H220" s="93"/>
      <c r="I220" s="85">
        <f t="shared" si="8"/>
        <v>5.2278867046136739</v>
      </c>
      <c r="J220" s="85">
        <v>169000</v>
      </c>
      <c r="K220" s="131"/>
      <c r="L220" s="60" t="s">
        <v>1611</v>
      </c>
      <c r="M220" s="33"/>
    </row>
    <row r="221" spans="1:28" ht="14" x14ac:dyDescent="0.15">
      <c r="A221" s="164" t="s">
        <v>2538</v>
      </c>
      <c r="B221" s="90"/>
      <c r="C221" s="70" t="s">
        <v>4772</v>
      </c>
      <c r="D221" s="91" t="s">
        <v>2837</v>
      </c>
      <c r="E221" s="91" t="s">
        <v>3724</v>
      </c>
      <c r="F221" s="91" t="s">
        <v>3725</v>
      </c>
      <c r="G221" s="91" t="s">
        <v>3471</v>
      </c>
      <c r="H221" s="176"/>
      <c r="I221" s="85">
        <f t="shared" si="8"/>
        <v>5.2278867046136739</v>
      </c>
      <c r="J221" s="92">
        <v>169000</v>
      </c>
      <c r="K221" s="133" t="s">
        <v>3347</v>
      </c>
      <c r="L221" s="64">
        <v>59</v>
      </c>
    </row>
    <row r="222" spans="1:28" x14ac:dyDescent="0.15">
      <c r="A222" s="236" t="s">
        <v>7029</v>
      </c>
      <c r="B222" s="237"/>
      <c r="C222" s="238" t="s">
        <v>4905</v>
      </c>
      <c r="D222" s="236" t="s">
        <v>2837</v>
      </c>
      <c r="E222" s="236" t="s">
        <v>3724</v>
      </c>
      <c r="F222" s="236" t="s">
        <v>2317</v>
      </c>
      <c r="G222" s="236" t="s">
        <v>7120</v>
      </c>
      <c r="H222" s="237"/>
      <c r="I222" s="239">
        <f t="shared" si="8"/>
        <v>4.7781512503836439</v>
      </c>
      <c r="J222" s="240">
        <v>60000</v>
      </c>
      <c r="K222" s="241"/>
      <c r="L222" s="247" t="s">
        <v>1040</v>
      </c>
      <c r="M222" s="252"/>
      <c r="N222" s="244"/>
      <c r="O222" s="244"/>
      <c r="P222" s="244"/>
      <c r="Q222" s="245"/>
      <c r="R222" s="245"/>
    </row>
    <row r="223" spans="1:28" x14ac:dyDescent="0.15">
      <c r="A223" s="70" t="s">
        <v>2479</v>
      </c>
      <c r="B223" s="82"/>
      <c r="C223" s="70" t="s">
        <v>3636</v>
      </c>
      <c r="D223" s="70" t="s">
        <v>2837</v>
      </c>
      <c r="E223" s="70" t="s">
        <v>3724</v>
      </c>
      <c r="F223" s="70" t="s">
        <v>3685</v>
      </c>
      <c r="G223" s="70" t="s">
        <v>4708</v>
      </c>
      <c r="H223" s="93"/>
      <c r="I223" s="85">
        <f t="shared" si="8"/>
        <v>4.7501225267834002</v>
      </c>
      <c r="J223" s="85">
        <f>AVERAGE(72500, 40000)</f>
        <v>56250</v>
      </c>
      <c r="K223" s="131"/>
      <c r="L223" s="63">
        <v>111</v>
      </c>
      <c r="M223" s="33"/>
    </row>
    <row r="224" spans="1:28" ht="14" x14ac:dyDescent="0.15">
      <c r="A224" s="91" t="s">
        <v>2538</v>
      </c>
      <c r="B224" s="90"/>
      <c r="C224" s="70" t="s">
        <v>4772</v>
      </c>
      <c r="D224" s="91" t="s">
        <v>2837</v>
      </c>
      <c r="E224" s="91" t="s">
        <v>3724</v>
      </c>
      <c r="F224" s="91" t="s">
        <v>3685</v>
      </c>
      <c r="G224" s="91" t="s">
        <v>4708</v>
      </c>
      <c r="H224" s="176"/>
      <c r="I224" s="85">
        <f t="shared" si="8"/>
        <v>4.685741738602264</v>
      </c>
      <c r="J224" s="92">
        <v>48500</v>
      </c>
      <c r="K224" s="133" t="s">
        <v>3347</v>
      </c>
      <c r="L224" s="64">
        <v>59</v>
      </c>
    </row>
    <row r="225" spans="1:28" ht="14" x14ac:dyDescent="0.15">
      <c r="A225" s="70" t="s">
        <v>2479</v>
      </c>
      <c r="B225" s="82"/>
      <c r="C225" s="70" t="s">
        <v>3636</v>
      </c>
      <c r="D225" s="70" t="s">
        <v>2837</v>
      </c>
      <c r="E225" s="70" t="s">
        <v>3724</v>
      </c>
      <c r="F225" s="70" t="s">
        <v>3685</v>
      </c>
      <c r="G225" s="70" t="s">
        <v>5684</v>
      </c>
      <c r="H225" s="93"/>
      <c r="I225" s="85">
        <f t="shared" si="8"/>
        <v>4.860338006570994</v>
      </c>
      <c r="J225" s="85">
        <f>AVERAGE(50000, 95000)</f>
        <v>72500</v>
      </c>
      <c r="K225" s="131" t="s">
        <v>3177</v>
      </c>
      <c r="L225" s="60" t="s">
        <v>207</v>
      </c>
      <c r="M225" s="33"/>
    </row>
    <row r="226" spans="1:28" ht="14" x14ac:dyDescent="0.15">
      <c r="A226" s="166" t="s">
        <v>2479</v>
      </c>
      <c r="B226" s="82"/>
      <c r="C226" s="70" t="s">
        <v>3636</v>
      </c>
      <c r="D226" s="70" t="s">
        <v>2837</v>
      </c>
      <c r="E226" s="70" t="s">
        <v>3724</v>
      </c>
      <c r="F226" s="70" t="s">
        <v>5884</v>
      </c>
      <c r="G226" s="70" t="s">
        <v>4908</v>
      </c>
      <c r="H226" s="93"/>
      <c r="I226" s="85">
        <f t="shared" si="8"/>
        <v>4.5250448070368456</v>
      </c>
      <c r="J226" s="85">
        <v>33500</v>
      </c>
      <c r="K226" s="131" t="s">
        <v>6522</v>
      </c>
      <c r="L226" s="60">
        <v>68</v>
      </c>
      <c r="M226" s="33" t="s">
        <v>6727</v>
      </c>
    </row>
    <row r="227" spans="1:28" ht="14" x14ac:dyDescent="0.15">
      <c r="A227" s="70" t="s">
        <v>2479</v>
      </c>
      <c r="B227" s="82"/>
      <c r="C227" s="70" t="s">
        <v>3636</v>
      </c>
      <c r="D227" s="70" t="s">
        <v>2837</v>
      </c>
      <c r="E227" s="70" t="s">
        <v>3724</v>
      </c>
      <c r="F227" s="70" t="s">
        <v>4909</v>
      </c>
      <c r="G227" s="70" t="s">
        <v>4910</v>
      </c>
      <c r="H227" s="93"/>
      <c r="I227" s="85">
        <f t="shared" si="8"/>
        <v>5.173186268412274</v>
      </c>
      <c r="J227" s="85">
        <v>149000</v>
      </c>
      <c r="K227" s="131" t="s">
        <v>6485</v>
      </c>
      <c r="L227" s="60">
        <v>68</v>
      </c>
      <c r="M227" s="33" t="s">
        <v>6809</v>
      </c>
      <c r="S227" s="245"/>
      <c r="T227" s="245"/>
      <c r="U227" s="245"/>
      <c r="V227" s="245"/>
      <c r="W227" s="245"/>
      <c r="X227" s="245"/>
      <c r="Y227" s="245"/>
      <c r="Z227" s="246"/>
      <c r="AA227" s="244"/>
      <c r="AB227" s="244"/>
    </row>
    <row r="228" spans="1:28" ht="42" x14ac:dyDescent="0.2">
      <c r="A228" s="70" t="s">
        <v>7029</v>
      </c>
      <c r="B228" s="82"/>
      <c r="C228" s="70" t="s">
        <v>3636</v>
      </c>
      <c r="D228" s="70" t="s">
        <v>2837</v>
      </c>
      <c r="E228" s="70" t="s">
        <v>3724</v>
      </c>
      <c r="F228" s="70" t="s">
        <v>3499</v>
      </c>
      <c r="G228" s="70" t="s">
        <v>4181</v>
      </c>
      <c r="H228" s="93"/>
      <c r="I228" s="85">
        <f t="shared" si="8"/>
        <v>4.8363200000000006</v>
      </c>
      <c r="J228" s="85">
        <v>68599.349897000575</v>
      </c>
      <c r="K228" s="131" t="s">
        <v>7741</v>
      </c>
      <c r="L228" s="69">
        <v>61</v>
      </c>
      <c r="M228" s="47" t="s">
        <v>6727</v>
      </c>
      <c r="S228" s="245"/>
      <c r="T228" s="245"/>
      <c r="U228" s="245"/>
      <c r="V228" s="245"/>
      <c r="W228" s="245"/>
      <c r="X228" s="245"/>
      <c r="Y228" s="245"/>
      <c r="Z228" s="246"/>
      <c r="AA228" s="244"/>
      <c r="AB228" s="244"/>
    </row>
    <row r="229" spans="1:28" ht="42" x14ac:dyDescent="0.15">
      <c r="A229" s="73" t="s">
        <v>7029</v>
      </c>
      <c r="B229" s="82"/>
      <c r="C229" s="70" t="s">
        <v>3636</v>
      </c>
      <c r="D229" s="70" t="s">
        <v>2837</v>
      </c>
      <c r="E229" s="70" t="s">
        <v>3724</v>
      </c>
      <c r="F229" s="70" t="s">
        <v>3499</v>
      </c>
      <c r="G229" s="70" t="s">
        <v>3498</v>
      </c>
      <c r="H229" s="93"/>
      <c r="I229" s="85">
        <f t="shared" si="8"/>
        <v>4.8451000000000004</v>
      </c>
      <c r="J229" s="85">
        <v>70000.315913089813</v>
      </c>
      <c r="K229" s="131" t="s">
        <v>7741</v>
      </c>
      <c r="L229" s="69">
        <v>61</v>
      </c>
      <c r="M229" s="49" t="s">
        <v>6390</v>
      </c>
    </row>
    <row r="230" spans="1:28" ht="14" x14ac:dyDescent="0.15">
      <c r="A230" s="70" t="s">
        <v>2479</v>
      </c>
      <c r="B230" s="82"/>
      <c r="C230" s="70" t="s">
        <v>3636</v>
      </c>
      <c r="D230" s="70" t="s">
        <v>2837</v>
      </c>
      <c r="E230" s="70" t="s">
        <v>3724</v>
      </c>
      <c r="F230" s="70" t="s">
        <v>4990</v>
      </c>
      <c r="G230" s="70" t="s">
        <v>5570</v>
      </c>
      <c r="H230" s="93"/>
      <c r="I230" s="85">
        <f t="shared" si="8"/>
        <v>4.1461280356782382</v>
      </c>
      <c r="J230" s="85">
        <v>14000</v>
      </c>
      <c r="K230" s="131" t="s">
        <v>6485</v>
      </c>
      <c r="L230" s="60">
        <v>68</v>
      </c>
      <c r="M230" s="49" t="s">
        <v>6392</v>
      </c>
      <c r="O230" s="33"/>
    </row>
    <row r="231" spans="1:28" ht="14" x14ac:dyDescent="0.15">
      <c r="A231" s="70" t="s">
        <v>3635</v>
      </c>
      <c r="B231" s="82"/>
      <c r="C231" s="70" t="s">
        <v>3636</v>
      </c>
      <c r="D231" s="70" t="s">
        <v>2837</v>
      </c>
      <c r="E231" s="70" t="s">
        <v>3724</v>
      </c>
      <c r="F231" s="70" t="s">
        <v>4152</v>
      </c>
      <c r="G231" s="70" t="s">
        <v>3176</v>
      </c>
      <c r="H231" s="93"/>
      <c r="I231" s="85">
        <f t="shared" si="8"/>
        <v>4.3579300000000005</v>
      </c>
      <c r="J231" s="85">
        <v>22799.7455390334</v>
      </c>
      <c r="K231" s="131" t="s">
        <v>3177</v>
      </c>
      <c r="L231" s="60">
        <v>60</v>
      </c>
      <c r="M231" s="49" t="s">
        <v>6727</v>
      </c>
    </row>
    <row r="232" spans="1:28" ht="14" x14ac:dyDescent="0.15">
      <c r="A232" s="70" t="s">
        <v>7029</v>
      </c>
      <c r="B232" s="82"/>
      <c r="C232" s="70" t="s">
        <v>3636</v>
      </c>
      <c r="D232" s="70" t="s">
        <v>2837</v>
      </c>
      <c r="E232" s="70" t="s">
        <v>3724</v>
      </c>
      <c r="F232" s="70" t="s">
        <v>4152</v>
      </c>
      <c r="G232" s="70" t="s">
        <v>3176</v>
      </c>
      <c r="H232" s="93"/>
      <c r="I232" s="85">
        <f t="shared" si="8"/>
        <v>4.3579300000000005</v>
      </c>
      <c r="J232" s="85">
        <v>22799.7455390334</v>
      </c>
      <c r="K232" s="131" t="s">
        <v>3177</v>
      </c>
      <c r="L232" s="63">
        <v>60</v>
      </c>
      <c r="M232" s="50" t="s">
        <v>6727</v>
      </c>
    </row>
    <row r="233" spans="1:28" ht="14" x14ac:dyDescent="0.15">
      <c r="A233" s="70" t="s">
        <v>7029</v>
      </c>
      <c r="B233" s="82"/>
      <c r="C233" s="70" t="s">
        <v>3636</v>
      </c>
      <c r="D233" s="70" t="s">
        <v>2837</v>
      </c>
      <c r="E233" s="70" t="s">
        <v>3724</v>
      </c>
      <c r="F233" s="70" t="s">
        <v>4152</v>
      </c>
      <c r="G233" s="70" t="s">
        <v>3742</v>
      </c>
      <c r="H233" s="93"/>
      <c r="I233" s="85">
        <f t="shared" si="8"/>
        <v>4.2174800000000001</v>
      </c>
      <c r="J233" s="95">
        <v>16499.850149526093</v>
      </c>
      <c r="K233" s="131" t="s">
        <v>3177</v>
      </c>
      <c r="L233" s="69">
        <v>61</v>
      </c>
      <c r="M233" s="50"/>
    </row>
    <row r="234" spans="1:28" ht="14" x14ac:dyDescent="0.15">
      <c r="A234" s="70" t="s">
        <v>7029</v>
      </c>
      <c r="B234" s="82"/>
      <c r="C234" s="70" t="s">
        <v>3636</v>
      </c>
      <c r="D234" s="70" t="s">
        <v>2837</v>
      </c>
      <c r="E234" s="70" t="s">
        <v>3724</v>
      </c>
      <c r="F234" s="70" t="s">
        <v>4152</v>
      </c>
      <c r="G234" s="70" t="s">
        <v>3743</v>
      </c>
      <c r="H234" s="93"/>
      <c r="I234" s="85">
        <f t="shared" si="8"/>
        <v>4.2174800000000001</v>
      </c>
      <c r="J234" s="85">
        <v>16499.850149526093</v>
      </c>
      <c r="K234" s="131" t="s">
        <v>6522</v>
      </c>
      <c r="L234" s="69">
        <v>61</v>
      </c>
      <c r="M234" s="49" t="s">
        <v>6727</v>
      </c>
    </row>
    <row r="235" spans="1:28" ht="14" x14ac:dyDescent="0.15">
      <c r="A235" s="70" t="s">
        <v>7029</v>
      </c>
      <c r="B235" s="82"/>
      <c r="C235" s="70" t="s">
        <v>3636</v>
      </c>
      <c r="D235" s="70" t="s">
        <v>2837</v>
      </c>
      <c r="E235" s="70" t="s">
        <v>3724</v>
      </c>
      <c r="F235" s="70" t="s">
        <v>4152</v>
      </c>
      <c r="G235" s="70" t="s">
        <v>3323</v>
      </c>
      <c r="H235" s="93"/>
      <c r="I235" s="85">
        <f t="shared" si="8"/>
        <v>4.2121899999999997</v>
      </c>
      <c r="J235" s="85">
        <v>16300.089912086862</v>
      </c>
      <c r="K235" s="131" t="s">
        <v>3177</v>
      </c>
      <c r="L235" s="69">
        <v>61</v>
      </c>
      <c r="M235" s="50" t="s">
        <v>6727</v>
      </c>
    </row>
    <row r="236" spans="1:28" ht="14" x14ac:dyDescent="0.15">
      <c r="A236" s="73" t="s">
        <v>7029</v>
      </c>
      <c r="B236" s="82"/>
      <c r="C236" s="70" t="s">
        <v>3636</v>
      </c>
      <c r="D236" s="70" t="s">
        <v>2837</v>
      </c>
      <c r="E236" s="70" t="s">
        <v>3724</v>
      </c>
      <c r="F236" s="70" t="s">
        <v>4152</v>
      </c>
      <c r="G236" s="70" t="s">
        <v>3324</v>
      </c>
      <c r="H236" s="93"/>
      <c r="I236" s="85">
        <f t="shared" si="8"/>
        <v>4.2174800000000001</v>
      </c>
      <c r="J236" s="85">
        <v>16499.850149526093</v>
      </c>
      <c r="K236" s="131" t="s">
        <v>3177</v>
      </c>
      <c r="L236" s="69">
        <v>61</v>
      </c>
      <c r="M236" s="50" t="s">
        <v>6727</v>
      </c>
    </row>
    <row r="237" spans="1:28" ht="14" x14ac:dyDescent="0.15">
      <c r="A237" s="70" t="s">
        <v>7029</v>
      </c>
      <c r="B237" s="82"/>
      <c r="C237" s="70" t="s">
        <v>3636</v>
      </c>
      <c r="D237" s="70" t="s">
        <v>2837</v>
      </c>
      <c r="E237" s="70" t="s">
        <v>3724</v>
      </c>
      <c r="F237" s="70" t="s">
        <v>4152</v>
      </c>
      <c r="G237" s="70" t="s">
        <v>3524</v>
      </c>
      <c r="H237" s="93"/>
      <c r="I237" s="85">
        <f t="shared" si="8"/>
        <v>4.4149700000000003</v>
      </c>
      <c r="J237" s="85">
        <v>25999.799567092476</v>
      </c>
      <c r="K237" s="131" t="s">
        <v>3177</v>
      </c>
      <c r="L237" s="60">
        <v>60</v>
      </c>
      <c r="M237" s="50" t="s">
        <v>6392</v>
      </c>
    </row>
    <row r="238" spans="1:28" x14ac:dyDescent="0.15">
      <c r="A238" s="236" t="s">
        <v>2633</v>
      </c>
      <c r="B238" s="237"/>
      <c r="C238" s="238" t="s">
        <v>4905</v>
      </c>
      <c r="D238" s="236" t="s">
        <v>2837</v>
      </c>
      <c r="E238" s="236" t="s">
        <v>3724</v>
      </c>
      <c r="F238" s="236" t="s">
        <v>2370</v>
      </c>
      <c r="G238" s="236" t="s">
        <v>2371</v>
      </c>
      <c r="H238" s="237"/>
      <c r="I238" s="239">
        <f t="shared" si="8"/>
        <v>5.9030899869919438</v>
      </c>
      <c r="J238" s="240">
        <v>800000</v>
      </c>
      <c r="K238" s="241"/>
      <c r="L238" s="247">
        <v>1</v>
      </c>
      <c r="M238" s="243"/>
      <c r="N238" s="244"/>
      <c r="O238" s="244"/>
      <c r="P238" s="244"/>
      <c r="Q238" s="245"/>
      <c r="R238" s="245"/>
    </row>
    <row r="239" spans="1:28" ht="14" x14ac:dyDescent="0.15">
      <c r="A239" s="236" t="s">
        <v>2479</v>
      </c>
      <c r="B239" s="237" t="s">
        <v>7680</v>
      </c>
      <c r="C239" s="238" t="s">
        <v>4905</v>
      </c>
      <c r="D239" s="236" t="s">
        <v>2837</v>
      </c>
      <c r="E239" s="236" t="s">
        <v>3724</v>
      </c>
      <c r="F239" s="236" t="s">
        <v>2370</v>
      </c>
      <c r="G239" s="236" t="s">
        <v>4074</v>
      </c>
      <c r="H239" s="237"/>
      <c r="I239" s="239">
        <v>5.8449999999999998</v>
      </c>
      <c r="J239" s="240">
        <v>699841.99600227305</v>
      </c>
      <c r="K239" s="241"/>
      <c r="L239" s="247" t="s">
        <v>7745</v>
      </c>
      <c r="M239" s="243"/>
      <c r="N239" s="244"/>
      <c r="O239" s="244"/>
      <c r="P239" s="244"/>
      <c r="Q239" s="245"/>
      <c r="R239" s="245"/>
    </row>
    <row r="240" spans="1:28" x14ac:dyDescent="0.15">
      <c r="A240" s="236" t="s">
        <v>7029</v>
      </c>
      <c r="B240" s="237"/>
      <c r="C240" s="238" t="s">
        <v>4905</v>
      </c>
      <c r="D240" s="236" t="s">
        <v>2837</v>
      </c>
      <c r="E240" s="236" t="s">
        <v>3724</v>
      </c>
      <c r="F240" s="236" t="s">
        <v>2346</v>
      </c>
      <c r="G240" s="236" t="s">
        <v>5761</v>
      </c>
      <c r="H240" s="237"/>
      <c r="I240" s="239">
        <f t="shared" ref="I240:I283" si="9">LOG(J240)</f>
        <v>4.6989700043360187</v>
      </c>
      <c r="J240" s="240">
        <v>50000</v>
      </c>
      <c r="K240" s="241"/>
      <c r="L240" s="242" t="s">
        <v>1783</v>
      </c>
      <c r="M240" s="252"/>
      <c r="N240" s="244"/>
      <c r="O240" s="244"/>
      <c r="P240" s="244"/>
      <c r="Q240" s="245"/>
      <c r="R240" s="245"/>
    </row>
    <row r="241" spans="1:28" x14ac:dyDescent="0.15">
      <c r="A241" s="236" t="s">
        <v>7029</v>
      </c>
      <c r="B241" s="237"/>
      <c r="C241" s="238" t="s">
        <v>4905</v>
      </c>
      <c r="D241" s="236" t="s">
        <v>2837</v>
      </c>
      <c r="E241" s="236" t="s">
        <v>3724</v>
      </c>
      <c r="F241" s="236" t="s">
        <v>2346</v>
      </c>
      <c r="G241" s="236" t="s">
        <v>2411</v>
      </c>
      <c r="H241" s="237"/>
      <c r="I241" s="239">
        <f t="shared" si="9"/>
        <v>4.6989700043360187</v>
      </c>
      <c r="J241" s="240">
        <v>50000</v>
      </c>
      <c r="K241" s="241"/>
      <c r="L241" s="247">
        <v>39</v>
      </c>
      <c r="M241" s="252"/>
      <c r="N241" s="244"/>
      <c r="O241" s="244"/>
      <c r="P241" s="244"/>
      <c r="Q241" s="245"/>
      <c r="R241" s="245"/>
    </row>
    <row r="242" spans="1:28" ht="16" x14ac:dyDescent="0.2">
      <c r="A242" s="70" t="s">
        <v>2481</v>
      </c>
      <c r="B242" s="93" t="s">
        <v>2018</v>
      </c>
      <c r="C242" s="70" t="s">
        <v>3636</v>
      </c>
      <c r="D242" s="70" t="s">
        <v>2837</v>
      </c>
      <c r="E242" s="70" t="s">
        <v>3724</v>
      </c>
      <c r="F242" s="70" t="s">
        <v>5712</v>
      </c>
      <c r="G242" s="70" t="s">
        <v>5849</v>
      </c>
      <c r="H242" s="93"/>
      <c r="I242" s="85">
        <f t="shared" si="9"/>
        <v>4.1931245983544612</v>
      </c>
      <c r="J242" s="85">
        <f>AVERAGE(13500, 17700)</f>
        <v>15600</v>
      </c>
      <c r="K242" s="131" t="s">
        <v>3177</v>
      </c>
      <c r="L242" s="60">
        <v>118</v>
      </c>
      <c r="M242" s="33"/>
      <c r="N242" s="48"/>
    </row>
    <row r="243" spans="1:28" s="243" customFormat="1" ht="14" x14ac:dyDescent="0.15">
      <c r="A243" s="70" t="s">
        <v>2479</v>
      </c>
      <c r="B243" s="93" t="s">
        <v>2488</v>
      </c>
      <c r="C243" s="70" t="s">
        <v>3636</v>
      </c>
      <c r="D243" s="70" t="s">
        <v>2837</v>
      </c>
      <c r="E243" s="70" t="s">
        <v>3724</v>
      </c>
      <c r="F243" s="70" t="s">
        <v>5712</v>
      </c>
      <c r="G243" s="70" t="s">
        <v>7764</v>
      </c>
      <c r="H243" s="93"/>
      <c r="I243" s="85">
        <f t="shared" si="9"/>
        <v>4.5579999999999998</v>
      </c>
      <c r="J243" s="95">
        <v>36140.986263961298</v>
      </c>
      <c r="K243" s="131" t="s">
        <v>6522</v>
      </c>
      <c r="L243" s="60">
        <v>165</v>
      </c>
      <c r="M243" s="33" t="s">
        <v>6728</v>
      </c>
      <c r="N243" s="37"/>
      <c r="O243" s="37"/>
      <c r="P243" s="37"/>
      <c r="Q243" s="3"/>
      <c r="R243" s="3"/>
      <c r="S243" s="3"/>
      <c r="T243" s="3"/>
      <c r="U243" s="3"/>
      <c r="V243" s="3"/>
      <c r="W243" s="3"/>
      <c r="X243" s="3"/>
      <c r="Y243" s="3"/>
      <c r="Z243" s="4"/>
      <c r="AA243"/>
      <c r="AB243"/>
    </row>
    <row r="244" spans="1:28" s="243" customFormat="1" ht="28" x14ac:dyDescent="0.2">
      <c r="A244" s="70" t="s">
        <v>2479</v>
      </c>
      <c r="B244" s="93" t="s">
        <v>2068</v>
      </c>
      <c r="C244" s="70" t="s">
        <v>3636</v>
      </c>
      <c r="D244" s="70" t="s">
        <v>2837</v>
      </c>
      <c r="E244" s="70" t="s">
        <v>3724</v>
      </c>
      <c r="F244" s="70" t="s">
        <v>5712</v>
      </c>
      <c r="G244" s="70" t="s">
        <v>7765</v>
      </c>
      <c r="H244" s="93"/>
      <c r="I244" s="85">
        <f t="shared" si="9"/>
        <v>4.3424226808222066</v>
      </c>
      <c r="J244" s="85">
        <v>22000</v>
      </c>
      <c r="K244" s="131" t="s">
        <v>3177</v>
      </c>
      <c r="L244" s="60" t="s">
        <v>7641</v>
      </c>
      <c r="M244" s="33" t="s">
        <v>6727</v>
      </c>
      <c r="N244" s="48"/>
      <c r="O244" s="37"/>
      <c r="P244" s="37"/>
      <c r="Q244" s="3"/>
      <c r="R244" s="3"/>
      <c r="S244" s="3"/>
      <c r="T244" s="3"/>
      <c r="U244" s="3"/>
      <c r="V244" s="3"/>
      <c r="W244" s="3"/>
      <c r="X244" s="3"/>
      <c r="Y244" s="3"/>
      <c r="Z244" s="4"/>
      <c r="AA244"/>
      <c r="AB244"/>
    </row>
    <row r="245" spans="1:28" s="243" customFormat="1" ht="14" x14ac:dyDescent="0.15">
      <c r="A245" s="70" t="s">
        <v>2479</v>
      </c>
      <c r="B245" s="93" t="s">
        <v>2069</v>
      </c>
      <c r="C245" s="70" t="s">
        <v>3636</v>
      </c>
      <c r="D245" s="70" t="s">
        <v>2837</v>
      </c>
      <c r="E245" s="70" t="s">
        <v>3724</v>
      </c>
      <c r="F245" s="70" t="s">
        <v>5712</v>
      </c>
      <c r="G245" s="70" t="s">
        <v>5312</v>
      </c>
      <c r="H245" s="93"/>
      <c r="I245" s="85">
        <f t="shared" si="9"/>
        <v>4.2990000000000004</v>
      </c>
      <c r="J245" s="85">
        <v>19906.733389871901</v>
      </c>
      <c r="K245" s="131" t="s">
        <v>6522</v>
      </c>
      <c r="L245" s="60">
        <v>165</v>
      </c>
      <c r="M245" s="33" t="s">
        <v>6727</v>
      </c>
      <c r="N245" s="37"/>
      <c r="O245" s="37"/>
      <c r="P245" s="37"/>
      <c r="Q245" s="3"/>
      <c r="R245" s="3"/>
      <c r="S245" s="245"/>
      <c r="T245" s="245"/>
      <c r="U245" s="245"/>
      <c r="V245" s="245"/>
      <c r="W245" s="245"/>
      <c r="X245" s="245"/>
      <c r="Y245" s="245"/>
      <c r="Z245" s="246"/>
      <c r="AA245" s="246"/>
      <c r="AB245" s="246"/>
    </row>
    <row r="246" spans="1:28" s="243" customFormat="1" ht="14" x14ac:dyDescent="0.15">
      <c r="A246" s="70" t="s">
        <v>2479</v>
      </c>
      <c r="B246" s="82"/>
      <c r="C246" s="70" t="s">
        <v>3636</v>
      </c>
      <c r="D246" s="70" t="s">
        <v>2837</v>
      </c>
      <c r="E246" s="70" t="s">
        <v>3724</v>
      </c>
      <c r="F246" s="70" t="s">
        <v>5712</v>
      </c>
      <c r="G246" s="70" t="s">
        <v>6540</v>
      </c>
      <c r="H246" s="93"/>
      <c r="I246" s="85">
        <f t="shared" si="9"/>
        <v>4.1461280356782382</v>
      </c>
      <c r="J246" s="85">
        <v>14000</v>
      </c>
      <c r="K246" s="131" t="s">
        <v>6485</v>
      </c>
      <c r="L246" s="60">
        <v>68</v>
      </c>
      <c r="M246" s="49"/>
      <c r="N246" s="37"/>
      <c r="O246" s="37"/>
      <c r="P246" s="37"/>
      <c r="Q246" s="3"/>
      <c r="R246" s="3"/>
      <c r="S246" s="245"/>
      <c r="T246" s="245"/>
      <c r="U246" s="245"/>
      <c r="V246" s="245"/>
      <c r="W246" s="245"/>
      <c r="X246" s="245"/>
      <c r="Y246" s="245"/>
      <c r="Z246" s="246"/>
      <c r="AA246" s="246"/>
      <c r="AB246" s="246"/>
    </row>
    <row r="247" spans="1:28" s="243" customFormat="1" ht="14" x14ac:dyDescent="0.15">
      <c r="A247" s="70" t="s">
        <v>2481</v>
      </c>
      <c r="B247" s="82" t="s">
        <v>2018</v>
      </c>
      <c r="C247" s="70" t="s">
        <v>3636</v>
      </c>
      <c r="D247" s="70" t="s">
        <v>2837</v>
      </c>
      <c r="E247" s="70" t="s">
        <v>3724</v>
      </c>
      <c r="F247" s="70" t="s">
        <v>5712</v>
      </c>
      <c r="G247" s="70" t="s">
        <v>6540</v>
      </c>
      <c r="H247" s="93"/>
      <c r="I247" s="85">
        <f t="shared" si="9"/>
        <v>4.1461280356782382</v>
      </c>
      <c r="J247" s="85">
        <v>14000</v>
      </c>
      <c r="K247" s="131" t="s">
        <v>6485</v>
      </c>
      <c r="L247" s="60" t="s">
        <v>5705</v>
      </c>
      <c r="M247" s="33"/>
      <c r="N247" s="37"/>
      <c r="O247" s="37"/>
      <c r="P247" s="37"/>
      <c r="Q247" s="3"/>
      <c r="R247" s="3"/>
      <c r="S247" s="245"/>
      <c r="T247" s="245"/>
      <c r="U247" s="245"/>
      <c r="V247" s="245"/>
      <c r="W247" s="245"/>
      <c r="X247" s="245"/>
      <c r="Y247" s="245"/>
      <c r="Z247" s="246"/>
      <c r="AA247" s="246"/>
      <c r="AB247" s="246"/>
    </row>
    <row r="248" spans="1:28" s="243" customFormat="1" ht="14" x14ac:dyDescent="0.15">
      <c r="A248" s="70" t="s">
        <v>2481</v>
      </c>
      <c r="B248" s="82" t="s">
        <v>2330</v>
      </c>
      <c r="C248" s="70" t="s">
        <v>3636</v>
      </c>
      <c r="D248" s="70" t="s">
        <v>2837</v>
      </c>
      <c r="E248" s="70" t="s">
        <v>3724</v>
      </c>
      <c r="F248" s="70" t="s">
        <v>5712</v>
      </c>
      <c r="G248" s="70" t="s">
        <v>6540</v>
      </c>
      <c r="H248" s="93"/>
      <c r="I248" s="85">
        <f t="shared" si="9"/>
        <v>4.2961686482991883</v>
      </c>
      <c r="J248" s="85">
        <f>AVERAGE((454*44), (454*56), (454*34.75), (454*39.5))</f>
        <v>19777.375</v>
      </c>
      <c r="K248" s="131"/>
      <c r="L248" s="63">
        <v>132</v>
      </c>
      <c r="M248" s="33"/>
      <c r="N248" s="37"/>
      <c r="O248" s="37"/>
      <c r="P248" s="37"/>
      <c r="Q248" s="3"/>
      <c r="R248" s="3"/>
      <c r="S248" s="245"/>
      <c r="T248" s="245"/>
      <c r="U248" s="245"/>
      <c r="V248" s="245"/>
      <c r="W248" s="245"/>
      <c r="X248" s="245"/>
      <c r="Y248" s="245"/>
      <c r="Z248" s="246"/>
      <c r="AA248" s="246"/>
      <c r="AB248" s="246"/>
    </row>
    <row r="249" spans="1:28" s="243" customFormat="1" ht="34" x14ac:dyDescent="0.2">
      <c r="A249" s="70" t="s">
        <v>2479</v>
      </c>
      <c r="B249" s="93" t="s">
        <v>1902</v>
      </c>
      <c r="C249" s="70" t="s">
        <v>3636</v>
      </c>
      <c r="D249" s="70" t="s">
        <v>2837</v>
      </c>
      <c r="E249" s="70" t="s">
        <v>3724</v>
      </c>
      <c r="F249" s="70" t="s">
        <v>5712</v>
      </c>
      <c r="G249" s="70" t="s">
        <v>5542</v>
      </c>
      <c r="H249" s="93"/>
      <c r="I249" s="85">
        <f t="shared" si="9"/>
        <v>4.1303337684950066</v>
      </c>
      <c r="J249" s="85">
        <f>13.5*1000</f>
        <v>13500</v>
      </c>
      <c r="K249" s="131" t="s">
        <v>3177</v>
      </c>
      <c r="L249" s="60">
        <v>134</v>
      </c>
      <c r="M249" s="47" t="s">
        <v>7609</v>
      </c>
      <c r="N249" s="50"/>
      <c r="O249" s="37"/>
      <c r="P249" s="37"/>
      <c r="Q249" s="3"/>
      <c r="R249" s="3"/>
      <c r="S249" s="245"/>
      <c r="T249" s="245"/>
      <c r="U249" s="245"/>
      <c r="V249" s="245"/>
      <c r="W249" s="245"/>
      <c r="X249" s="245"/>
      <c r="Y249" s="245"/>
      <c r="Z249" s="246"/>
      <c r="AA249" s="246"/>
      <c r="AB249" s="246"/>
    </row>
    <row r="250" spans="1:28" s="243" customFormat="1" ht="14" x14ac:dyDescent="0.15">
      <c r="A250" s="70" t="s">
        <v>2481</v>
      </c>
      <c r="B250" s="93" t="s">
        <v>1856</v>
      </c>
      <c r="C250" s="70" t="s">
        <v>3636</v>
      </c>
      <c r="D250" s="70" t="s">
        <v>2837</v>
      </c>
      <c r="E250" s="70" t="s">
        <v>3724</v>
      </c>
      <c r="F250" s="70" t="s">
        <v>5712</v>
      </c>
      <c r="G250" s="70" t="s">
        <v>5542</v>
      </c>
      <c r="H250" s="93"/>
      <c r="I250" s="85">
        <f t="shared" si="9"/>
        <v>4.1303337684950066</v>
      </c>
      <c r="J250" s="85">
        <f>AVERAGE(11000, 16000)</f>
        <v>13500</v>
      </c>
      <c r="K250" s="131" t="s">
        <v>3177</v>
      </c>
      <c r="L250" s="60">
        <v>136</v>
      </c>
      <c r="M250" s="33"/>
      <c r="N250" s="37"/>
      <c r="O250" s="37"/>
      <c r="P250" s="37"/>
      <c r="Q250" s="3"/>
      <c r="R250" s="3"/>
      <c r="S250" s="3"/>
      <c r="T250" s="3"/>
      <c r="U250" s="3"/>
      <c r="V250" s="3"/>
      <c r="W250" s="3"/>
      <c r="X250" s="3"/>
      <c r="Y250" s="3"/>
      <c r="Z250" s="4"/>
      <c r="AA250"/>
      <c r="AB250"/>
    </row>
    <row r="251" spans="1:28" s="243" customFormat="1" x14ac:dyDescent="0.15">
      <c r="A251" s="236" t="s">
        <v>3635</v>
      </c>
      <c r="B251" s="237"/>
      <c r="C251" s="238" t="s">
        <v>4905</v>
      </c>
      <c r="D251" s="236" t="s">
        <v>2837</v>
      </c>
      <c r="E251" s="236" t="s">
        <v>3724</v>
      </c>
      <c r="F251" s="236" t="s">
        <v>2245</v>
      </c>
      <c r="G251" s="236" t="s">
        <v>2246</v>
      </c>
      <c r="H251" s="237"/>
      <c r="I251" s="239">
        <f t="shared" si="9"/>
        <v>5.3979400086720375</v>
      </c>
      <c r="J251" s="240">
        <v>250000</v>
      </c>
      <c r="K251" s="241"/>
      <c r="L251" s="247" t="s">
        <v>1774</v>
      </c>
      <c r="N251" s="244"/>
      <c r="O251" s="244"/>
      <c r="P251" s="244"/>
      <c r="Q251" s="245"/>
      <c r="R251" s="245"/>
      <c r="S251" s="3"/>
      <c r="T251" s="3"/>
      <c r="U251" s="3"/>
      <c r="V251" s="3"/>
      <c r="W251" s="3"/>
      <c r="X251" s="3"/>
      <c r="Y251" s="3"/>
      <c r="Z251" s="4"/>
      <c r="AA251"/>
      <c r="AB251"/>
    </row>
    <row r="252" spans="1:28" s="243" customFormat="1" ht="14" x14ac:dyDescent="0.15">
      <c r="A252" s="70" t="s">
        <v>3635</v>
      </c>
      <c r="B252" s="82"/>
      <c r="C252" s="70" t="s">
        <v>3636</v>
      </c>
      <c r="D252" s="70" t="s">
        <v>2837</v>
      </c>
      <c r="E252" s="70" t="s">
        <v>3724</v>
      </c>
      <c r="F252" s="70" t="s">
        <v>4153</v>
      </c>
      <c r="G252" s="70" t="s">
        <v>4154</v>
      </c>
      <c r="H252" s="93"/>
      <c r="I252" s="85">
        <f t="shared" si="9"/>
        <v>4.7340999999999998</v>
      </c>
      <c r="J252" s="85">
        <v>54212.570508795718</v>
      </c>
      <c r="K252" s="131" t="s">
        <v>3177</v>
      </c>
      <c r="L252" s="63">
        <v>60</v>
      </c>
      <c r="M252" s="49"/>
      <c r="N252" s="37"/>
      <c r="O252" s="37"/>
      <c r="P252" s="37"/>
      <c r="Q252" s="3"/>
      <c r="R252" s="3"/>
      <c r="S252" s="3"/>
      <c r="T252" s="3"/>
      <c r="U252" s="3"/>
      <c r="V252" s="3"/>
      <c r="W252" s="3"/>
      <c r="X252" s="3"/>
      <c r="Y252" s="3"/>
      <c r="Z252" s="4"/>
      <c r="AA252"/>
      <c r="AB252"/>
    </row>
    <row r="253" spans="1:28" s="243" customFormat="1" ht="14" x14ac:dyDescent="0.15">
      <c r="A253" s="70" t="s">
        <v>3635</v>
      </c>
      <c r="B253" s="82"/>
      <c r="C253" s="70" t="s">
        <v>3636</v>
      </c>
      <c r="D253" s="70" t="s">
        <v>2837</v>
      </c>
      <c r="E253" s="70" t="s">
        <v>3724</v>
      </c>
      <c r="F253" s="70" t="s">
        <v>4153</v>
      </c>
      <c r="G253" s="70" t="s">
        <v>3932</v>
      </c>
      <c r="H253" s="93"/>
      <c r="I253" s="85">
        <f t="shared" si="9"/>
        <v>4.7443600000000012</v>
      </c>
      <c r="J253" s="85">
        <v>55508.564980303127</v>
      </c>
      <c r="K253" s="131" t="s">
        <v>3177</v>
      </c>
      <c r="L253" s="63">
        <v>60</v>
      </c>
      <c r="M253" s="49"/>
      <c r="N253" s="37"/>
      <c r="O253" s="37"/>
      <c r="P253" s="37"/>
      <c r="Q253" s="3"/>
      <c r="R253" s="3"/>
      <c r="S253" s="3"/>
      <c r="T253" s="3"/>
      <c r="U253" s="3"/>
      <c r="V253" s="3"/>
      <c r="W253" s="3"/>
      <c r="X253" s="3"/>
      <c r="Y253" s="3"/>
      <c r="Z253" s="4"/>
      <c r="AA253"/>
      <c r="AB253"/>
    </row>
    <row r="254" spans="1:28" ht="14" x14ac:dyDescent="0.15">
      <c r="A254" s="70" t="s">
        <v>7029</v>
      </c>
      <c r="B254" s="82"/>
      <c r="C254" s="70" t="s">
        <v>3636</v>
      </c>
      <c r="D254" s="70" t="s">
        <v>2837</v>
      </c>
      <c r="E254" s="70" t="s">
        <v>3724</v>
      </c>
      <c r="F254" s="70" t="s">
        <v>4153</v>
      </c>
      <c r="G254" s="70" t="s">
        <v>3932</v>
      </c>
      <c r="H254" s="93"/>
      <c r="I254" s="85">
        <f t="shared" si="9"/>
        <v>4.7443600000000012</v>
      </c>
      <c r="J254" s="85">
        <v>55508.564980303127</v>
      </c>
      <c r="K254" s="131" t="s">
        <v>3177</v>
      </c>
      <c r="L254" s="60">
        <v>60</v>
      </c>
    </row>
    <row r="255" spans="1:28" ht="42" x14ac:dyDescent="0.15">
      <c r="A255" s="70" t="s">
        <v>7029</v>
      </c>
      <c r="B255" s="82"/>
      <c r="C255" s="70" t="s">
        <v>3636</v>
      </c>
      <c r="D255" s="70" t="s">
        <v>2837</v>
      </c>
      <c r="E255" s="70" t="s">
        <v>3724</v>
      </c>
      <c r="F255" s="70" t="s">
        <v>3755</v>
      </c>
      <c r="G255" s="70" t="s">
        <v>3756</v>
      </c>
      <c r="H255" s="93"/>
      <c r="I255" s="85">
        <f t="shared" si="9"/>
        <v>4.6020599999999998</v>
      </c>
      <c r="J255" s="85">
        <v>40000.000798724192</v>
      </c>
      <c r="K255" s="131" t="s">
        <v>6729</v>
      </c>
      <c r="L255" s="60">
        <v>60</v>
      </c>
      <c r="M255" s="49" t="s">
        <v>6725</v>
      </c>
      <c r="S255" s="245"/>
      <c r="T255" s="245"/>
      <c r="U255" s="245"/>
      <c r="V255" s="245"/>
      <c r="W255" s="245"/>
      <c r="X255" s="245"/>
      <c r="Y255" s="245"/>
      <c r="Z255" s="246"/>
      <c r="AA255" s="246"/>
      <c r="AB255" s="246"/>
    </row>
    <row r="256" spans="1:28" x14ac:dyDescent="0.15">
      <c r="A256" s="236" t="s">
        <v>7029</v>
      </c>
      <c r="B256" s="237"/>
      <c r="C256" s="238" t="s">
        <v>4905</v>
      </c>
      <c r="D256" s="236" t="s">
        <v>2837</v>
      </c>
      <c r="E256" s="236" t="s">
        <v>3724</v>
      </c>
      <c r="F256" s="236" t="s">
        <v>2172</v>
      </c>
      <c r="G256" s="236" t="s">
        <v>7120</v>
      </c>
      <c r="H256" s="237"/>
      <c r="I256" s="239">
        <f t="shared" si="9"/>
        <v>5.4771212547196626</v>
      </c>
      <c r="J256" s="240">
        <v>300000</v>
      </c>
      <c r="K256" s="241"/>
      <c r="L256" s="247" t="s">
        <v>1040</v>
      </c>
      <c r="M256" s="252"/>
      <c r="N256" s="244"/>
      <c r="O256" s="244"/>
      <c r="P256" s="244"/>
      <c r="Q256" s="245"/>
      <c r="R256" s="245"/>
      <c r="S256" s="245"/>
      <c r="T256" s="245"/>
      <c r="U256" s="245"/>
      <c r="V256" s="245"/>
      <c r="W256" s="245"/>
      <c r="X256" s="245"/>
      <c r="Y256" s="245"/>
      <c r="Z256" s="246"/>
      <c r="AA256" s="246"/>
      <c r="AB256" s="246"/>
    </row>
    <row r="257" spans="1:28" ht="28" x14ac:dyDescent="0.15">
      <c r="A257" s="70" t="s">
        <v>7029</v>
      </c>
      <c r="B257" s="82"/>
      <c r="C257" s="70" t="s">
        <v>3636</v>
      </c>
      <c r="D257" s="70" t="s">
        <v>2837</v>
      </c>
      <c r="E257" s="70" t="s">
        <v>3724</v>
      </c>
      <c r="F257" s="70" t="s">
        <v>3330</v>
      </c>
      <c r="G257" s="70" t="s">
        <v>2918</v>
      </c>
      <c r="H257" s="93"/>
      <c r="I257" s="85">
        <f t="shared" si="9"/>
        <v>3.9822700000000006</v>
      </c>
      <c r="J257" s="85">
        <v>9599.9727439248272</v>
      </c>
      <c r="K257" s="131" t="s">
        <v>6658</v>
      </c>
      <c r="L257" s="69">
        <v>61</v>
      </c>
      <c r="M257" s="49" t="s">
        <v>6392</v>
      </c>
      <c r="S257" s="245"/>
      <c r="T257" s="245"/>
      <c r="U257" s="245"/>
      <c r="V257" s="245"/>
      <c r="W257" s="245"/>
      <c r="X257" s="245"/>
      <c r="Y257" s="245"/>
      <c r="Z257" s="246"/>
      <c r="AA257" s="246"/>
      <c r="AB257" s="246"/>
    </row>
    <row r="258" spans="1:28" ht="14" x14ac:dyDescent="0.15">
      <c r="A258" s="70" t="s">
        <v>7029</v>
      </c>
      <c r="B258" s="82"/>
      <c r="C258" s="70" t="s">
        <v>3636</v>
      </c>
      <c r="D258" s="70" t="s">
        <v>2837</v>
      </c>
      <c r="E258" s="70" t="s">
        <v>3724</v>
      </c>
      <c r="F258" s="70" t="s">
        <v>3330</v>
      </c>
      <c r="G258" s="70" t="s">
        <v>4191</v>
      </c>
      <c r="H258" s="93"/>
      <c r="I258" s="85">
        <f t="shared" si="9"/>
        <v>3.9890000000000003</v>
      </c>
      <c r="J258" s="85">
        <v>9749.8963771738727</v>
      </c>
      <c r="K258" s="131" t="s">
        <v>6670</v>
      </c>
      <c r="L258" s="69">
        <v>61</v>
      </c>
      <c r="M258" s="49" t="s">
        <v>6728</v>
      </c>
      <c r="S258" s="245"/>
      <c r="T258" s="245"/>
      <c r="U258" s="245"/>
      <c r="V258" s="245"/>
      <c r="W258" s="245"/>
      <c r="X258" s="245"/>
      <c r="Y258" s="245"/>
      <c r="Z258" s="246"/>
      <c r="AA258" s="246"/>
      <c r="AB258" s="246"/>
    </row>
    <row r="259" spans="1:28" ht="14" x14ac:dyDescent="0.15">
      <c r="A259" s="70" t="s">
        <v>3635</v>
      </c>
      <c r="B259" s="82"/>
      <c r="C259" s="70" t="s">
        <v>3636</v>
      </c>
      <c r="D259" s="70" t="s">
        <v>2837</v>
      </c>
      <c r="E259" s="70" t="s">
        <v>3724</v>
      </c>
      <c r="F259" s="70" t="s">
        <v>3933</v>
      </c>
      <c r="G259" s="70" t="s">
        <v>3495</v>
      </c>
      <c r="H259" s="93"/>
      <c r="I259" s="85">
        <f t="shared" si="9"/>
        <v>4.9346699999999997</v>
      </c>
      <c r="J259" s="85">
        <v>86033.977192547318</v>
      </c>
      <c r="K259" s="131" t="s">
        <v>3177</v>
      </c>
      <c r="L259" s="60">
        <v>60</v>
      </c>
      <c r="S259" s="245"/>
      <c r="T259" s="245"/>
      <c r="U259" s="245"/>
      <c r="V259" s="245"/>
      <c r="W259" s="245"/>
      <c r="X259" s="245"/>
      <c r="Y259" s="245"/>
      <c r="Z259" s="246"/>
      <c r="AA259" s="246"/>
      <c r="AB259" s="246"/>
    </row>
    <row r="260" spans="1:28" x14ac:dyDescent="0.15">
      <c r="A260" s="236" t="s">
        <v>3635</v>
      </c>
      <c r="B260" s="237"/>
      <c r="C260" s="238" t="s">
        <v>4905</v>
      </c>
      <c r="D260" s="236" t="s">
        <v>2837</v>
      </c>
      <c r="E260" s="236" t="s">
        <v>3724</v>
      </c>
      <c r="F260" s="236" t="s">
        <v>7000</v>
      </c>
      <c r="G260" s="236" t="s">
        <v>7001</v>
      </c>
      <c r="H260" s="237"/>
      <c r="I260" s="239">
        <f t="shared" si="9"/>
        <v>5.1972805581256196</v>
      </c>
      <c r="J260" s="240">
        <v>157500</v>
      </c>
      <c r="K260" s="241"/>
      <c r="L260" s="247">
        <v>1</v>
      </c>
      <c r="M260" s="243"/>
      <c r="N260" s="244"/>
      <c r="O260" s="244"/>
      <c r="P260" s="244"/>
      <c r="Q260" s="245"/>
      <c r="R260" s="245"/>
      <c r="S260" s="245"/>
      <c r="T260" s="245"/>
      <c r="U260" s="245"/>
      <c r="V260" s="245"/>
      <c r="W260" s="245"/>
      <c r="X260" s="245"/>
      <c r="Y260" s="245"/>
      <c r="Z260" s="246"/>
      <c r="AA260" s="246"/>
      <c r="AB260" s="246"/>
    </row>
    <row r="261" spans="1:28" ht="14" x14ac:dyDescent="0.15">
      <c r="A261" s="70" t="s">
        <v>2633</v>
      </c>
      <c r="B261" s="82"/>
      <c r="C261" s="70" t="s">
        <v>3636</v>
      </c>
      <c r="D261" s="70" t="s">
        <v>2837</v>
      </c>
      <c r="E261" s="70" t="s">
        <v>3543</v>
      </c>
      <c r="F261" s="70" t="s">
        <v>3544</v>
      </c>
      <c r="G261" s="70" t="s">
        <v>3545</v>
      </c>
      <c r="H261" s="93"/>
      <c r="I261" s="85">
        <f t="shared" si="9"/>
        <v>5.9542400000000013</v>
      </c>
      <c r="J261" s="85">
        <v>899994.79963720404</v>
      </c>
      <c r="K261" s="131" t="s">
        <v>6391</v>
      </c>
      <c r="L261" s="63" t="s">
        <v>2686</v>
      </c>
      <c r="M261" s="49" t="s">
        <v>6392</v>
      </c>
      <c r="S261" s="245"/>
      <c r="T261" s="245"/>
      <c r="U261" s="245"/>
      <c r="V261" s="245"/>
      <c r="W261" s="245"/>
      <c r="X261" s="245"/>
      <c r="Y261" s="245"/>
      <c r="Z261" s="246"/>
      <c r="AA261" s="246"/>
      <c r="AB261" s="246"/>
    </row>
    <row r="262" spans="1:28" x14ac:dyDescent="0.15">
      <c r="A262" s="236" t="s">
        <v>2633</v>
      </c>
      <c r="B262" s="237"/>
      <c r="C262" s="238" t="s">
        <v>4905</v>
      </c>
      <c r="D262" s="236" t="s">
        <v>2837</v>
      </c>
      <c r="E262" s="236" t="s">
        <v>3543</v>
      </c>
      <c r="F262" s="236" t="s">
        <v>3544</v>
      </c>
      <c r="G262" s="236" t="s">
        <v>3605</v>
      </c>
      <c r="H262" s="237"/>
      <c r="I262" s="239">
        <f t="shared" si="9"/>
        <v>5.9294189257142929</v>
      </c>
      <c r="J262" s="240">
        <v>850000</v>
      </c>
      <c r="K262" s="241"/>
      <c r="L262" s="247">
        <v>6</v>
      </c>
      <c r="M262" s="243"/>
      <c r="N262" s="244"/>
      <c r="O262" s="244"/>
      <c r="P262" s="244"/>
      <c r="Q262" s="245"/>
      <c r="R262" s="245"/>
      <c r="S262" s="245"/>
      <c r="T262" s="245"/>
      <c r="U262" s="245"/>
      <c r="V262" s="245"/>
      <c r="W262" s="245"/>
      <c r="X262" s="245"/>
      <c r="Y262" s="245"/>
      <c r="Z262" s="246"/>
      <c r="AA262" s="246"/>
      <c r="AB262" s="246"/>
    </row>
    <row r="263" spans="1:28" s="244" customFormat="1" ht="14" x14ac:dyDescent="0.15">
      <c r="A263" s="70" t="s">
        <v>2633</v>
      </c>
      <c r="B263" s="82"/>
      <c r="C263" s="70" t="s">
        <v>3636</v>
      </c>
      <c r="D263" s="70" t="s">
        <v>2837</v>
      </c>
      <c r="E263" s="70" t="s">
        <v>3543</v>
      </c>
      <c r="F263" s="70" t="s">
        <v>3296</v>
      </c>
      <c r="G263" s="70" t="s">
        <v>3537</v>
      </c>
      <c r="H263" s="93"/>
      <c r="I263" s="85">
        <f t="shared" si="9"/>
        <v>5.3617300000000006</v>
      </c>
      <c r="J263" s="85">
        <v>230001.14603619074</v>
      </c>
      <c r="K263" s="131" t="s">
        <v>6817</v>
      </c>
      <c r="L263" s="60" t="s">
        <v>2686</v>
      </c>
      <c r="M263" s="49" t="s">
        <v>6392</v>
      </c>
      <c r="N263" s="37"/>
      <c r="O263" s="37"/>
      <c r="P263" s="37"/>
      <c r="Q263" s="3"/>
      <c r="R263" s="3"/>
      <c r="S263" s="245"/>
      <c r="T263" s="245"/>
      <c r="U263" s="245"/>
      <c r="V263" s="245"/>
      <c r="W263" s="245"/>
      <c r="X263" s="245"/>
      <c r="Y263" s="245"/>
      <c r="Z263" s="246"/>
    </row>
    <row r="264" spans="1:28" ht="14" x14ac:dyDescent="0.15">
      <c r="A264" s="70" t="s">
        <v>2633</v>
      </c>
      <c r="B264" s="82"/>
      <c r="C264" s="70" t="s">
        <v>3636</v>
      </c>
      <c r="D264" s="70" t="s">
        <v>2837</v>
      </c>
      <c r="E264" s="70" t="s">
        <v>3538</v>
      </c>
      <c r="F264" s="70" t="s">
        <v>3539</v>
      </c>
      <c r="G264" s="70" t="s">
        <v>3540</v>
      </c>
      <c r="H264" s="93"/>
      <c r="I264" s="85">
        <f t="shared" si="9"/>
        <v>5.3710700000000005</v>
      </c>
      <c r="J264" s="85">
        <v>235001.15674363667</v>
      </c>
      <c r="K264" s="131" t="s">
        <v>6817</v>
      </c>
      <c r="L264" s="60">
        <v>60</v>
      </c>
      <c r="M264" s="49" t="s">
        <v>6728</v>
      </c>
      <c r="S264" s="245"/>
      <c r="T264" s="245"/>
      <c r="U264" s="245"/>
      <c r="V264" s="245"/>
      <c r="W264" s="245"/>
      <c r="X264" s="245"/>
      <c r="Y264" s="245"/>
      <c r="Z264" s="246"/>
      <c r="AA264" s="244"/>
      <c r="AB264" s="244"/>
    </row>
    <row r="265" spans="1:28" ht="28" x14ac:dyDescent="0.15">
      <c r="A265" s="70" t="s">
        <v>2481</v>
      </c>
      <c r="B265" s="93" t="s">
        <v>2480</v>
      </c>
      <c r="C265" s="70" t="s">
        <v>3750</v>
      </c>
      <c r="D265" s="70" t="s">
        <v>2837</v>
      </c>
      <c r="E265" s="70" t="s">
        <v>3538</v>
      </c>
      <c r="F265" s="70" t="s">
        <v>3539</v>
      </c>
      <c r="G265" s="70" t="s">
        <v>7845</v>
      </c>
      <c r="H265" s="93" t="s">
        <v>91</v>
      </c>
      <c r="I265" s="85">
        <f t="shared" si="9"/>
        <v>5.6989999999999998</v>
      </c>
      <c r="J265" s="85">
        <v>500034.53497697797</v>
      </c>
      <c r="K265" s="131" t="s">
        <v>5963</v>
      </c>
      <c r="L265" s="60">
        <v>165</v>
      </c>
      <c r="M265" s="37" t="s">
        <v>6653</v>
      </c>
      <c r="S265" s="245"/>
      <c r="T265" s="245"/>
      <c r="U265" s="245"/>
      <c r="V265" s="245"/>
      <c r="W265" s="245"/>
      <c r="X265" s="245"/>
      <c r="Y265" s="245"/>
      <c r="Z265" s="246"/>
      <c r="AA265" s="244"/>
      <c r="AB265" s="244"/>
    </row>
    <row r="266" spans="1:28" s="244" customFormat="1" ht="14" x14ac:dyDescent="0.15">
      <c r="A266" s="70" t="s">
        <v>2633</v>
      </c>
      <c r="B266" s="82"/>
      <c r="C266" s="70" t="s">
        <v>3636</v>
      </c>
      <c r="D266" s="70" t="s">
        <v>2837</v>
      </c>
      <c r="E266" s="70" t="s">
        <v>3538</v>
      </c>
      <c r="F266" s="70" t="s">
        <v>3541</v>
      </c>
      <c r="G266" s="70" t="s">
        <v>3542</v>
      </c>
      <c r="H266" s="93"/>
      <c r="I266" s="85">
        <f t="shared" si="9"/>
        <v>6.1515199999999997</v>
      </c>
      <c r="J266" s="85">
        <v>1417489.98776606</v>
      </c>
      <c r="K266" s="131" t="s">
        <v>3177</v>
      </c>
      <c r="L266" s="60" t="s">
        <v>2686</v>
      </c>
      <c r="M266" s="49"/>
      <c r="N266" s="37"/>
      <c r="O266" s="37"/>
      <c r="P266" s="37"/>
      <c r="Q266" s="3"/>
      <c r="R266" s="3"/>
      <c r="S266" s="245"/>
      <c r="T266" s="245"/>
      <c r="U266" s="245"/>
      <c r="V266" s="245"/>
      <c r="W266" s="245"/>
      <c r="X266" s="245"/>
      <c r="Y266" s="245"/>
      <c r="Z266" s="246"/>
    </row>
    <row r="267" spans="1:28" s="244" customFormat="1" ht="56" x14ac:dyDescent="0.15">
      <c r="A267" s="248" t="s">
        <v>2481</v>
      </c>
      <c r="B267" s="249" t="s">
        <v>2480</v>
      </c>
      <c r="C267" s="238" t="s">
        <v>4905</v>
      </c>
      <c r="D267" s="248" t="s">
        <v>2837</v>
      </c>
      <c r="E267" s="248" t="s">
        <v>3538</v>
      </c>
      <c r="F267" s="248" t="s">
        <v>3541</v>
      </c>
      <c r="G267" s="248" t="s">
        <v>5962</v>
      </c>
      <c r="H267" s="249"/>
      <c r="I267" s="239">
        <f t="shared" si="9"/>
        <v>5.9754287416287593</v>
      </c>
      <c r="J267" s="259">
        <f>(2/3)*(1417489.99)</f>
        <v>944993.32666666666</v>
      </c>
      <c r="K267" s="250" t="s">
        <v>1414</v>
      </c>
      <c r="L267" s="247">
        <v>150</v>
      </c>
      <c r="Q267" s="245"/>
      <c r="R267" s="245"/>
      <c r="S267" s="3"/>
      <c r="T267" s="3"/>
      <c r="U267" s="3"/>
      <c r="V267" s="3"/>
      <c r="W267" s="3"/>
      <c r="X267" s="3"/>
      <c r="Y267" s="3"/>
      <c r="Z267" s="4"/>
      <c r="AA267"/>
      <c r="AB267"/>
    </row>
    <row r="268" spans="1:28" ht="28" x14ac:dyDescent="0.15">
      <c r="A268" s="258" t="s">
        <v>2481</v>
      </c>
      <c r="B268" s="249" t="s">
        <v>2480</v>
      </c>
      <c r="C268" s="238" t="s">
        <v>4905</v>
      </c>
      <c r="D268" s="248" t="s">
        <v>2837</v>
      </c>
      <c r="E268" s="248" t="s">
        <v>3538</v>
      </c>
      <c r="F268" s="248" t="s">
        <v>3541</v>
      </c>
      <c r="G268" s="248" t="s">
        <v>7896</v>
      </c>
      <c r="H268" s="249"/>
      <c r="I268" s="239">
        <f t="shared" si="9"/>
        <v>5.6989999999999998</v>
      </c>
      <c r="J268" s="239">
        <v>500034.53497697797</v>
      </c>
      <c r="K268" s="250" t="s">
        <v>1398</v>
      </c>
      <c r="L268" s="247" t="s">
        <v>7879</v>
      </c>
      <c r="M268" s="244" t="s">
        <v>6653</v>
      </c>
      <c r="N268" s="244"/>
      <c r="O268" s="244"/>
      <c r="P268" s="244"/>
      <c r="Q268" s="245"/>
      <c r="R268" s="245"/>
    </row>
    <row r="269" spans="1:28" ht="28" x14ac:dyDescent="0.15">
      <c r="A269" s="70" t="s">
        <v>2479</v>
      </c>
      <c r="B269" s="93" t="s">
        <v>4485</v>
      </c>
      <c r="C269" s="70" t="s">
        <v>3636</v>
      </c>
      <c r="D269" s="70" t="s">
        <v>2837</v>
      </c>
      <c r="E269" s="70" t="s">
        <v>3162</v>
      </c>
      <c r="F269" s="70" t="s">
        <v>6541</v>
      </c>
      <c r="G269" s="70" t="s">
        <v>5247</v>
      </c>
      <c r="H269" s="93"/>
      <c r="I269" s="85">
        <f t="shared" si="9"/>
        <v>3.9542425094393248</v>
      </c>
      <c r="J269" s="85">
        <v>9000</v>
      </c>
      <c r="K269" s="131" t="s">
        <v>3177</v>
      </c>
      <c r="L269" s="60">
        <v>172</v>
      </c>
      <c r="M269" s="33" t="s">
        <v>6392</v>
      </c>
    </row>
    <row r="270" spans="1:28" ht="56" x14ac:dyDescent="0.15">
      <c r="A270" s="70" t="s">
        <v>2479</v>
      </c>
      <c r="B270" s="93" t="s">
        <v>2597</v>
      </c>
      <c r="C270" s="70" t="s">
        <v>3636</v>
      </c>
      <c r="D270" s="70" t="s">
        <v>2837</v>
      </c>
      <c r="E270" s="70" t="s">
        <v>3162</v>
      </c>
      <c r="F270" s="70" t="s">
        <v>6541</v>
      </c>
      <c r="G270" s="70" t="s">
        <v>4095</v>
      </c>
      <c r="H270" s="93"/>
      <c r="I270" s="85">
        <f t="shared" si="9"/>
        <v>4.1613680022349753</v>
      </c>
      <c r="J270" s="85">
        <f>AVERAGE(11000, 18000)</f>
        <v>14500</v>
      </c>
      <c r="K270" s="131" t="s">
        <v>3177</v>
      </c>
      <c r="L270" s="60">
        <v>147</v>
      </c>
      <c r="M270" s="31" t="s">
        <v>6392</v>
      </c>
    </row>
    <row r="271" spans="1:28" ht="28" x14ac:dyDescent="0.15">
      <c r="A271" s="70" t="s">
        <v>2479</v>
      </c>
      <c r="B271" s="93" t="s">
        <v>1968</v>
      </c>
      <c r="C271" s="70" t="s">
        <v>3636</v>
      </c>
      <c r="D271" s="70" t="s">
        <v>2837</v>
      </c>
      <c r="E271" s="70" t="s">
        <v>3162</v>
      </c>
      <c r="F271" s="70" t="s">
        <v>6541</v>
      </c>
      <c r="G271" s="70" t="s">
        <v>4664</v>
      </c>
      <c r="H271" s="93"/>
      <c r="I271" s="85">
        <f t="shared" si="9"/>
        <v>1.0969100130080565</v>
      </c>
      <c r="J271" s="85">
        <f>AVERAGE(10,15)</f>
        <v>12.5</v>
      </c>
      <c r="K271" s="131" t="s">
        <v>3177</v>
      </c>
      <c r="L271" s="60" t="s">
        <v>168</v>
      </c>
      <c r="M271" s="31" t="s">
        <v>6392</v>
      </c>
    </row>
    <row r="272" spans="1:28" ht="14" x14ac:dyDescent="0.15">
      <c r="A272" s="70" t="s">
        <v>2479</v>
      </c>
      <c r="B272" s="82"/>
      <c r="C272" s="70" t="s">
        <v>3636</v>
      </c>
      <c r="D272" s="70" t="s">
        <v>2837</v>
      </c>
      <c r="E272" s="70" t="s">
        <v>3162</v>
      </c>
      <c r="F272" s="70" t="s">
        <v>6541</v>
      </c>
      <c r="G272" s="70" t="s">
        <v>5887</v>
      </c>
      <c r="H272" s="93"/>
      <c r="I272" s="85">
        <f t="shared" si="9"/>
        <v>4.1139433523068369</v>
      </c>
      <c r="J272" s="85">
        <v>13000</v>
      </c>
      <c r="K272" s="131" t="s">
        <v>6522</v>
      </c>
      <c r="L272" s="60">
        <v>68</v>
      </c>
      <c r="M272" s="33" t="s">
        <v>6728</v>
      </c>
      <c r="O272" s="33"/>
    </row>
    <row r="273" spans="1:28" ht="28" x14ac:dyDescent="0.15">
      <c r="A273" s="70" t="s">
        <v>2481</v>
      </c>
      <c r="B273" s="93" t="s">
        <v>2428</v>
      </c>
      <c r="C273" s="70" t="s">
        <v>3636</v>
      </c>
      <c r="D273" s="70" t="s">
        <v>2837</v>
      </c>
      <c r="E273" s="70" t="s">
        <v>3088</v>
      </c>
      <c r="F273" s="70" t="s">
        <v>5886</v>
      </c>
      <c r="G273" s="70" t="s">
        <v>5575</v>
      </c>
      <c r="H273" s="93"/>
      <c r="I273" s="85">
        <f t="shared" si="9"/>
        <v>5</v>
      </c>
      <c r="J273" s="85">
        <v>100000</v>
      </c>
      <c r="K273" s="131" t="s">
        <v>6629</v>
      </c>
      <c r="L273" s="60">
        <v>68</v>
      </c>
      <c r="M273" s="49" t="s">
        <v>6728</v>
      </c>
      <c r="S273" s="245"/>
      <c r="T273" s="245"/>
      <c r="U273" s="245"/>
      <c r="V273" s="245"/>
      <c r="W273" s="245"/>
      <c r="X273" s="245"/>
      <c r="Y273" s="245"/>
      <c r="Z273" s="246"/>
      <c r="AA273" s="243"/>
      <c r="AB273" s="243"/>
    </row>
    <row r="274" spans="1:28" ht="14" x14ac:dyDescent="0.15">
      <c r="A274" s="70" t="s">
        <v>2633</v>
      </c>
      <c r="B274" s="82"/>
      <c r="C274" s="70" t="s">
        <v>3636</v>
      </c>
      <c r="D274" s="70" t="s">
        <v>2837</v>
      </c>
      <c r="E274" s="70" t="s">
        <v>3088</v>
      </c>
      <c r="F274" s="70" t="s">
        <v>2899</v>
      </c>
      <c r="G274" s="70" t="s">
        <v>3299</v>
      </c>
      <c r="H274" s="93"/>
      <c r="I274" s="85">
        <f t="shared" si="9"/>
        <v>5.2753113545418113</v>
      </c>
      <c r="J274" s="85">
        <f>AVERAGE(145000, 275000, 130000, 204000)</f>
        <v>188500</v>
      </c>
      <c r="K274" s="131" t="s">
        <v>3177</v>
      </c>
      <c r="L274" s="60">
        <v>116</v>
      </c>
      <c r="S274" s="245"/>
      <c r="T274" s="245"/>
      <c r="U274" s="245"/>
      <c r="V274" s="245"/>
      <c r="W274" s="245"/>
      <c r="X274" s="245"/>
      <c r="Y274" s="245"/>
      <c r="Z274" s="246"/>
      <c r="AA274" s="243"/>
      <c r="AB274" s="243"/>
    </row>
    <row r="275" spans="1:28" x14ac:dyDescent="0.15">
      <c r="A275" s="236" t="s">
        <v>2633</v>
      </c>
      <c r="B275" s="237"/>
      <c r="C275" s="238" t="s">
        <v>4905</v>
      </c>
      <c r="D275" s="236" t="s">
        <v>2837</v>
      </c>
      <c r="E275" s="236" t="s">
        <v>3088</v>
      </c>
      <c r="F275" s="236" t="s">
        <v>2372</v>
      </c>
      <c r="G275" s="236" t="s">
        <v>2953</v>
      </c>
      <c r="H275" s="237"/>
      <c r="I275" s="239">
        <f t="shared" si="9"/>
        <v>5.1522883443830567</v>
      </c>
      <c r="J275" s="240">
        <v>142000</v>
      </c>
      <c r="K275" s="241"/>
      <c r="L275" s="247">
        <v>2</v>
      </c>
      <c r="M275" s="243"/>
      <c r="N275" s="244"/>
      <c r="O275" s="244"/>
      <c r="P275" s="244"/>
      <c r="Q275" s="245"/>
      <c r="R275" s="245"/>
      <c r="S275" s="245"/>
      <c r="T275" s="245"/>
      <c r="U275" s="245"/>
      <c r="V275" s="245"/>
      <c r="W275" s="245"/>
      <c r="X275" s="245"/>
      <c r="Y275" s="245"/>
      <c r="Z275" s="246"/>
      <c r="AA275" s="243"/>
      <c r="AB275" s="243"/>
    </row>
    <row r="276" spans="1:28" ht="14" x14ac:dyDescent="0.15">
      <c r="A276" s="70" t="s">
        <v>2633</v>
      </c>
      <c r="B276" s="82"/>
      <c r="C276" s="70" t="s">
        <v>3636</v>
      </c>
      <c r="D276" s="70" t="s">
        <v>2837</v>
      </c>
      <c r="E276" s="70" t="s">
        <v>3088</v>
      </c>
      <c r="F276" s="70" t="s">
        <v>3300</v>
      </c>
      <c r="G276" s="70" t="s">
        <v>3301</v>
      </c>
      <c r="H276" s="93"/>
      <c r="I276" s="85">
        <f t="shared" si="9"/>
        <v>4.8512599999999999</v>
      </c>
      <c r="J276" s="85">
        <v>71000.269957767028</v>
      </c>
      <c r="K276" s="131" t="s">
        <v>3177</v>
      </c>
      <c r="L276" s="60" t="s">
        <v>2686</v>
      </c>
      <c r="S276" s="245"/>
      <c r="T276" s="245"/>
      <c r="U276" s="245"/>
      <c r="V276" s="245"/>
      <c r="W276" s="245"/>
      <c r="X276" s="245"/>
      <c r="Y276" s="245"/>
      <c r="Z276" s="246"/>
      <c r="AA276" s="243"/>
      <c r="AB276" s="243"/>
    </row>
    <row r="277" spans="1:28" ht="42" x14ac:dyDescent="0.15">
      <c r="A277" s="73" t="s">
        <v>2633</v>
      </c>
      <c r="B277" s="93" t="s">
        <v>4551</v>
      </c>
      <c r="C277" s="70" t="s">
        <v>3636</v>
      </c>
      <c r="D277" s="70" t="s">
        <v>2837</v>
      </c>
      <c r="E277" s="70" t="s">
        <v>3088</v>
      </c>
      <c r="F277" s="70" t="s">
        <v>3300</v>
      </c>
      <c r="G277" s="70" t="s">
        <v>6975</v>
      </c>
      <c r="H277" s="93"/>
      <c r="I277" s="85">
        <f t="shared" si="9"/>
        <v>4.9164539485499255</v>
      </c>
      <c r="J277" s="85">
        <f>AVERAGE(60000, 105000)</f>
        <v>82500</v>
      </c>
      <c r="K277" s="131" t="s">
        <v>6690</v>
      </c>
      <c r="L277" s="63">
        <v>70</v>
      </c>
      <c r="M277" s="35"/>
    </row>
    <row r="278" spans="1:28" ht="42" x14ac:dyDescent="0.15">
      <c r="A278" s="70" t="s">
        <v>2633</v>
      </c>
      <c r="B278" s="93" t="s">
        <v>7233</v>
      </c>
      <c r="C278" s="70" t="s">
        <v>3636</v>
      </c>
      <c r="D278" s="70" t="s">
        <v>2837</v>
      </c>
      <c r="E278" s="70" t="s">
        <v>3088</v>
      </c>
      <c r="F278" s="70" t="s">
        <v>3302</v>
      </c>
      <c r="G278" s="70" t="s">
        <v>5630</v>
      </c>
      <c r="H278" s="93"/>
      <c r="I278" s="85">
        <f t="shared" si="9"/>
        <v>4.989004615698537</v>
      </c>
      <c r="J278" s="85">
        <f>AVERAGE(45000, 150000)</f>
        <v>97500</v>
      </c>
      <c r="K278" s="131" t="s">
        <v>3177</v>
      </c>
      <c r="L278" s="60">
        <v>70</v>
      </c>
    </row>
    <row r="279" spans="1:28" ht="84" x14ac:dyDescent="0.15">
      <c r="A279" s="70" t="s">
        <v>2481</v>
      </c>
      <c r="B279" s="93" t="s">
        <v>2480</v>
      </c>
      <c r="C279" s="70" t="s">
        <v>3636</v>
      </c>
      <c r="D279" s="70" t="s">
        <v>2837</v>
      </c>
      <c r="E279" s="70" t="s">
        <v>3088</v>
      </c>
      <c r="F279" s="70" t="s">
        <v>3302</v>
      </c>
      <c r="G279" s="70" t="s">
        <v>5630</v>
      </c>
      <c r="H279" s="93"/>
      <c r="I279" s="85">
        <f t="shared" si="9"/>
        <v>1.7958800173440752</v>
      </c>
      <c r="J279" s="85">
        <v>62.5</v>
      </c>
      <c r="L279" s="60">
        <v>150</v>
      </c>
      <c r="M279" s="37"/>
      <c r="N279" s="32" t="s">
        <v>7282</v>
      </c>
      <c r="S279" s="245"/>
      <c r="T279" s="245"/>
      <c r="U279" s="245"/>
      <c r="V279" s="245"/>
      <c r="W279" s="245"/>
      <c r="X279" s="245"/>
      <c r="Y279" s="245"/>
      <c r="Z279" s="246"/>
      <c r="AA279" s="244"/>
      <c r="AB279" s="244"/>
    </row>
    <row r="280" spans="1:28" ht="14" x14ac:dyDescent="0.15">
      <c r="A280" s="70" t="s">
        <v>2633</v>
      </c>
      <c r="B280" s="82"/>
      <c r="C280" s="70" t="s">
        <v>3636</v>
      </c>
      <c r="D280" s="70" t="s">
        <v>2837</v>
      </c>
      <c r="E280" s="70" t="s">
        <v>3088</v>
      </c>
      <c r="F280" s="70" t="s">
        <v>3302</v>
      </c>
      <c r="G280" s="70" t="s">
        <v>3303</v>
      </c>
      <c r="H280" s="93"/>
      <c r="I280" s="85">
        <f t="shared" si="9"/>
        <v>4.8451000000000004</v>
      </c>
      <c r="J280" s="85">
        <v>70000.315913089813</v>
      </c>
      <c r="K280" s="131" t="s">
        <v>3177</v>
      </c>
      <c r="L280" s="60" t="s">
        <v>2686</v>
      </c>
      <c r="S280" s="245"/>
      <c r="T280" s="245"/>
      <c r="U280" s="245"/>
      <c r="V280" s="245"/>
      <c r="W280" s="245"/>
      <c r="X280" s="245"/>
      <c r="Y280" s="245"/>
      <c r="Z280" s="246"/>
      <c r="AA280" s="244"/>
      <c r="AB280" s="244"/>
    </row>
    <row r="281" spans="1:28" ht="14" x14ac:dyDescent="0.15">
      <c r="A281" s="70" t="s">
        <v>2479</v>
      </c>
      <c r="B281" s="93" t="s">
        <v>2367</v>
      </c>
      <c r="C281" s="70" t="s">
        <v>3636</v>
      </c>
      <c r="D281" s="70" t="s">
        <v>2837</v>
      </c>
      <c r="E281" s="70" t="s">
        <v>3088</v>
      </c>
      <c r="F281" s="70" t="s">
        <v>3304</v>
      </c>
      <c r="G281" s="70" t="s">
        <v>6011</v>
      </c>
      <c r="H281" s="93"/>
      <c r="I281" s="85">
        <f t="shared" si="9"/>
        <v>4.9852767431792939</v>
      </c>
      <c r="J281" s="85">
        <f>AVERAGE(57000, 83000, 150000)</f>
        <v>96666.666666666672</v>
      </c>
      <c r="K281" s="131" t="s">
        <v>3177</v>
      </c>
      <c r="L281" s="60" t="s">
        <v>1474</v>
      </c>
      <c r="M281" s="33"/>
    </row>
    <row r="282" spans="1:28" ht="14" x14ac:dyDescent="0.15">
      <c r="A282" s="70" t="s">
        <v>2481</v>
      </c>
      <c r="B282" s="93" t="s">
        <v>5852</v>
      </c>
      <c r="C282" s="70" t="s">
        <v>3636</v>
      </c>
      <c r="D282" s="70" t="s">
        <v>2837</v>
      </c>
      <c r="E282" s="70" t="s">
        <v>3088</v>
      </c>
      <c r="F282" s="70" t="s">
        <v>3304</v>
      </c>
      <c r="G282" s="70" t="s">
        <v>6011</v>
      </c>
      <c r="H282" s="93"/>
      <c r="I282" s="85">
        <f t="shared" si="9"/>
        <v>4.9852767431792939</v>
      </c>
      <c r="J282" s="85">
        <f>AVERAGE(57000, 83000, 150000)</f>
        <v>96666.666666666672</v>
      </c>
      <c r="K282" s="131" t="s">
        <v>3177</v>
      </c>
      <c r="L282" s="60" t="s">
        <v>1474</v>
      </c>
      <c r="M282" s="33"/>
    </row>
    <row r="283" spans="1:28" ht="14" x14ac:dyDescent="0.15">
      <c r="A283" s="70" t="s">
        <v>2481</v>
      </c>
      <c r="B283" s="93" t="s">
        <v>7383</v>
      </c>
      <c r="C283" s="70" t="s">
        <v>3636</v>
      </c>
      <c r="D283" s="70" t="s">
        <v>2837</v>
      </c>
      <c r="E283" s="70" t="s">
        <v>3088</v>
      </c>
      <c r="F283" s="70" t="s">
        <v>3304</v>
      </c>
      <c r="G283" s="70" t="s">
        <v>6011</v>
      </c>
      <c r="H283" s="93"/>
      <c r="I283" s="85">
        <f t="shared" si="9"/>
        <v>4.9852767431792939</v>
      </c>
      <c r="J283" s="85">
        <f>AVERAGE(57000, 83000, 150000)</f>
        <v>96666.666666666672</v>
      </c>
      <c r="K283" s="131" t="s">
        <v>3177</v>
      </c>
      <c r="L283" s="60" t="s">
        <v>1474</v>
      </c>
      <c r="M283" s="33"/>
    </row>
    <row r="284" spans="1:28" ht="28" x14ac:dyDescent="0.15">
      <c r="A284" s="70" t="s">
        <v>2479</v>
      </c>
      <c r="B284" s="93" t="s">
        <v>7384</v>
      </c>
      <c r="C284" s="70" t="s">
        <v>3636</v>
      </c>
      <c r="D284" s="70" t="s">
        <v>2837</v>
      </c>
      <c r="E284" s="70" t="s">
        <v>3088</v>
      </c>
      <c r="F284" s="70" t="s">
        <v>3304</v>
      </c>
      <c r="G284" s="70" t="s">
        <v>6407</v>
      </c>
      <c r="H284" s="93"/>
      <c r="I284" s="85">
        <v>-999</v>
      </c>
      <c r="J284" s="85">
        <v>-999</v>
      </c>
      <c r="K284" s="131" t="s">
        <v>3177</v>
      </c>
      <c r="L284" s="63">
        <v>-999</v>
      </c>
      <c r="M284" s="33" t="s">
        <v>6727</v>
      </c>
      <c r="N284" s="37" t="s">
        <v>1507</v>
      </c>
    </row>
    <row r="285" spans="1:28" ht="42" x14ac:dyDescent="0.15">
      <c r="A285" s="70" t="s">
        <v>2481</v>
      </c>
      <c r="B285" s="93" t="s">
        <v>5852</v>
      </c>
      <c r="C285" s="70" t="s">
        <v>3636</v>
      </c>
      <c r="D285" s="70" t="s">
        <v>2837</v>
      </c>
      <c r="E285" s="70" t="s">
        <v>3088</v>
      </c>
      <c r="F285" s="70" t="s">
        <v>3304</v>
      </c>
      <c r="G285" s="70" t="s">
        <v>6241</v>
      </c>
      <c r="H285" s="93"/>
      <c r="I285" s="85">
        <v>-999</v>
      </c>
      <c r="J285" s="85">
        <v>-999</v>
      </c>
      <c r="K285" s="131" t="s">
        <v>4359</v>
      </c>
      <c r="L285" s="63">
        <v>-999</v>
      </c>
      <c r="M285" s="33" t="s">
        <v>6809</v>
      </c>
      <c r="S285" s="245"/>
      <c r="T285" s="245"/>
      <c r="U285" s="245"/>
      <c r="V285" s="245"/>
      <c r="W285" s="245"/>
      <c r="X285" s="245"/>
      <c r="Y285" s="245"/>
      <c r="Z285" s="246"/>
      <c r="AA285" s="244"/>
      <c r="AB285" s="244"/>
    </row>
    <row r="286" spans="1:28" ht="14" x14ac:dyDescent="0.15">
      <c r="A286" s="70" t="s">
        <v>2481</v>
      </c>
      <c r="B286" s="93" t="s">
        <v>2487</v>
      </c>
      <c r="C286" s="70" t="s">
        <v>3636</v>
      </c>
      <c r="D286" s="70" t="s">
        <v>2837</v>
      </c>
      <c r="E286" s="70" t="s">
        <v>3088</v>
      </c>
      <c r="F286" s="70" t="s">
        <v>3304</v>
      </c>
      <c r="G286" s="70" t="s">
        <v>6242</v>
      </c>
      <c r="H286" s="93"/>
      <c r="I286" s="85">
        <f>LOG(J286)</f>
        <v>4.7403626894942441</v>
      </c>
      <c r="J286" s="85">
        <f>AVERAGE(40000, 70000)</f>
        <v>55000</v>
      </c>
      <c r="K286" s="131" t="s">
        <v>3177</v>
      </c>
      <c r="L286" s="60" t="s">
        <v>7664</v>
      </c>
      <c r="M286" s="33"/>
      <c r="S286" s="245"/>
      <c r="T286" s="245"/>
      <c r="U286" s="245"/>
      <c r="V286" s="245"/>
      <c r="W286" s="245"/>
      <c r="X286" s="245"/>
      <c r="Y286" s="245"/>
      <c r="Z286" s="246"/>
      <c r="AA286" s="244"/>
      <c r="AB286" s="244"/>
    </row>
    <row r="287" spans="1:28" ht="14" x14ac:dyDescent="0.15">
      <c r="A287" s="70" t="s">
        <v>2481</v>
      </c>
      <c r="B287" s="93" t="s">
        <v>5005</v>
      </c>
      <c r="C287" s="70" t="s">
        <v>3636</v>
      </c>
      <c r="D287" s="70" t="s">
        <v>2837</v>
      </c>
      <c r="E287" s="70" t="s">
        <v>3088</v>
      </c>
      <c r="F287" s="70" t="s">
        <v>3304</v>
      </c>
      <c r="G287" s="70" t="s">
        <v>6243</v>
      </c>
      <c r="H287" s="93"/>
      <c r="I287" s="85">
        <v>-999</v>
      </c>
      <c r="J287" s="85">
        <v>-999</v>
      </c>
      <c r="K287" s="131" t="s">
        <v>3177</v>
      </c>
      <c r="L287" s="63">
        <v>-999</v>
      </c>
      <c r="M287" s="33"/>
      <c r="S287" s="245"/>
      <c r="T287" s="245"/>
      <c r="U287" s="245"/>
      <c r="V287" s="245"/>
      <c r="W287" s="245"/>
      <c r="X287" s="245"/>
      <c r="Y287" s="245"/>
      <c r="Z287" s="246"/>
      <c r="AA287" s="244"/>
      <c r="AB287" s="244"/>
    </row>
    <row r="288" spans="1:28" ht="56" x14ac:dyDescent="0.15">
      <c r="A288" s="70" t="s">
        <v>2481</v>
      </c>
      <c r="B288" s="93" t="s">
        <v>5852</v>
      </c>
      <c r="C288" s="70" t="s">
        <v>3636</v>
      </c>
      <c r="D288" s="70" t="s">
        <v>2837</v>
      </c>
      <c r="E288" s="70" t="s">
        <v>3088</v>
      </c>
      <c r="F288" s="70" t="s">
        <v>3304</v>
      </c>
      <c r="G288" s="70" t="s">
        <v>5729</v>
      </c>
      <c r="H288" s="93"/>
      <c r="I288" s="85">
        <v>-999</v>
      </c>
      <c r="J288" s="85">
        <v>-999</v>
      </c>
      <c r="K288" s="131" t="s">
        <v>4514</v>
      </c>
      <c r="L288" s="63">
        <v>-999</v>
      </c>
      <c r="M288" s="33" t="s">
        <v>6728</v>
      </c>
    </row>
    <row r="289" spans="1:28" ht="14" x14ac:dyDescent="0.15">
      <c r="A289" s="70" t="s">
        <v>2479</v>
      </c>
      <c r="B289" s="93" t="s">
        <v>7385</v>
      </c>
      <c r="C289" s="70" t="s">
        <v>3636</v>
      </c>
      <c r="D289" s="70" t="s">
        <v>2837</v>
      </c>
      <c r="E289" s="70" t="s">
        <v>3088</v>
      </c>
      <c r="F289" s="70" t="s">
        <v>3304</v>
      </c>
      <c r="G289" s="70" t="s">
        <v>2829</v>
      </c>
      <c r="H289" s="93"/>
      <c r="I289" s="85">
        <f>LOG(J289)</f>
        <v>3.8875047742353779</v>
      </c>
      <c r="J289" s="85">
        <f>17*454</f>
        <v>7718</v>
      </c>
      <c r="K289" s="131" t="s">
        <v>6817</v>
      </c>
      <c r="L289" s="60">
        <v>133</v>
      </c>
      <c r="M289" s="31" t="s">
        <v>6809</v>
      </c>
    </row>
    <row r="290" spans="1:28" x14ac:dyDescent="0.15">
      <c r="A290" s="70" t="s">
        <v>2479</v>
      </c>
      <c r="B290" s="82"/>
      <c r="C290" s="70" t="s">
        <v>3636</v>
      </c>
      <c r="D290" s="70" t="s">
        <v>2837</v>
      </c>
      <c r="E290" s="70" t="s">
        <v>3088</v>
      </c>
      <c r="F290" s="70" t="s">
        <v>3304</v>
      </c>
      <c r="G290" s="70" t="s">
        <v>3305</v>
      </c>
      <c r="H290" s="93"/>
      <c r="I290" s="85">
        <f>LOG(J290)</f>
        <v>5.0692451171051838</v>
      </c>
      <c r="J290" s="85">
        <f>AVERAGE(112500, 92500, 60000, 153000, 45000, 128000, 230000)</f>
        <v>117285.71428571429</v>
      </c>
      <c r="K290" s="131"/>
      <c r="L290" s="60" t="s">
        <v>1329</v>
      </c>
      <c r="M290" s="33"/>
    </row>
    <row r="291" spans="1:28" ht="14" x14ac:dyDescent="0.15">
      <c r="A291" s="70" t="s">
        <v>2481</v>
      </c>
      <c r="B291" s="82" t="s">
        <v>2330</v>
      </c>
      <c r="C291" s="70" t="s">
        <v>3636</v>
      </c>
      <c r="D291" s="70" t="s">
        <v>2837</v>
      </c>
      <c r="E291" s="70" t="s">
        <v>3088</v>
      </c>
      <c r="F291" s="70" t="s">
        <v>3304</v>
      </c>
      <c r="G291" s="70" t="s">
        <v>3305</v>
      </c>
      <c r="H291" s="93"/>
      <c r="I291" s="85">
        <f>LOG(J291)</f>
        <v>4.9284908437853101</v>
      </c>
      <c r="J291" s="85">
        <f>AVERAGE((454*222.3), (454*280), (454*119), (454*126))</f>
        <v>84818.55</v>
      </c>
      <c r="K291" s="131"/>
      <c r="L291" s="63">
        <v>132</v>
      </c>
      <c r="M291" s="33"/>
    </row>
    <row r="292" spans="1:28" ht="14" x14ac:dyDescent="0.15">
      <c r="A292" s="91" t="s">
        <v>2538</v>
      </c>
      <c r="B292" s="90"/>
      <c r="C292" s="70" t="s">
        <v>4772</v>
      </c>
      <c r="D292" s="91" t="s">
        <v>2837</v>
      </c>
      <c r="E292" s="91" t="s">
        <v>3088</v>
      </c>
      <c r="F292" s="91" t="s">
        <v>3304</v>
      </c>
      <c r="G292" s="91" t="s">
        <v>3305</v>
      </c>
      <c r="H292" s="176"/>
      <c r="I292" s="85">
        <f>LOG(J292)</f>
        <v>4.9357591037453119</v>
      </c>
      <c r="J292" s="92">
        <v>86250</v>
      </c>
      <c r="K292" s="133" t="s">
        <v>3347</v>
      </c>
      <c r="L292" s="64">
        <v>59</v>
      </c>
    </row>
    <row r="293" spans="1:28" s="244" customFormat="1" ht="14" x14ac:dyDescent="0.15">
      <c r="A293" s="70" t="s">
        <v>2481</v>
      </c>
      <c r="B293" s="93" t="s">
        <v>2487</v>
      </c>
      <c r="C293" s="70" t="s">
        <v>3636</v>
      </c>
      <c r="D293" s="70" t="s">
        <v>2837</v>
      </c>
      <c r="E293" s="70" t="s">
        <v>3088</v>
      </c>
      <c r="F293" s="70" t="s">
        <v>3304</v>
      </c>
      <c r="G293" s="70" t="s">
        <v>6056</v>
      </c>
      <c r="H293" s="93"/>
      <c r="I293" s="85">
        <v>-999</v>
      </c>
      <c r="J293" s="85">
        <v>-999</v>
      </c>
      <c r="K293" s="131" t="s">
        <v>3177</v>
      </c>
      <c r="L293" s="63">
        <v>-999</v>
      </c>
      <c r="M293" s="33"/>
      <c r="N293" s="37"/>
      <c r="O293" s="37"/>
      <c r="P293" s="37"/>
      <c r="Q293" s="3"/>
      <c r="R293" s="3"/>
      <c r="S293" s="3"/>
      <c r="T293" s="3"/>
      <c r="U293" s="3"/>
      <c r="V293" s="3"/>
      <c r="W293" s="3"/>
      <c r="X293" s="3"/>
      <c r="Y293" s="3"/>
      <c r="Z293" s="4"/>
      <c r="AA293"/>
      <c r="AB293"/>
    </row>
    <row r="294" spans="1:28" ht="14" x14ac:dyDescent="0.15">
      <c r="A294" s="70" t="s">
        <v>2481</v>
      </c>
      <c r="B294" s="93" t="s">
        <v>2426</v>
      </c>
      <c r="C294" s="70" t="s">
        <v>3636</v>
      </c>
      <c r="D294" s="70" t="s">
        <v>2837</v>
      </c>
      <c r="E294" s="70" t="s">
        <v>3088</v>
      </c>
      <c r="F294" s="70" t="s">
        <v>3304</v>
      </c>
      <c r="G294" s="70" t="s">
        <v>7895</v>
      </c>
      <c r="H294" s="93"/>
      <c r="I294" s="85">
        <f t="shared" ref="I294:I309" si="10">LOG(J294)</f>
        <v>4.9098233696509119</v>
      </c>
      <c r="J294" s="85">
        <f>AVERAGE(47500, 115000)</f>
        <v>81250</v>
      </c>
      <c r="K294" s="131" t="s">
        <v>3177</v>
      </c>
      <c r="L294" s="60">
        <v>136</v>
      </c>
      <c r="M294" s="33" t="s">
        <v>6390</v>
      </c>
    </row>
    <row r="295" spans="1:28" ht="28" x14ac:dyDescent="0.15">
      <c r="A295" s="70" t="s">
        <v>7029</v>
      </c>
      <c r="B295" s="82"/>
      <c r="C295" s="70" t="s">
        <v>3636</v>
      </c>
      <c r="D295" s="70" t="s">
        <v>2837</v>
      </c>
      <c r="E295" s="70" t="s">
        <v>4379</v>
      </c>
      <c r="F295" s="70" t="s">
        <v>4215</v>
      </c>
      <c r="G295" s="70" t="s">
        <v>4216</v>
      </c>
      <c r="H295" s="93"/>
      <c r="I295" s="85">
        <f t="shared" si="10"/>
        <v>4.5510400000000004</v>
      </c>
      <c r="J295" s="85">
        <v>35566.407493235864</v>
      </c>
      <c r="K295" s="131" t="s">
        <v>6676</v>
      </c>
      <c r="L295" s="63">
        <v>60</v>
      </c>
      <c r="M295" s="49" t="s">
        <v>6390</v>
      </c>
    </row>
    <row r="296" spans="1:28" x14ac:dyDescent="0.15">
      <c r="A296" s="236" t="s">
        <v>3635</v>
      </c>
      <c r="B296" s="237"/>
      <c r="C296" s="238" t="s">
        <v>4905</v>
      </c>
      <c r="D296" s="236" t="s">
        <v>2837</v>
      </c>
      <c r="E296" s="236" t="s">
        <v>4379</v>
      </c>
      <c r="F296" s="236" t="s">
        <v>7002</v>
      </c>
      <c r="G296" s="236" t="s">
        <v>4523</v>
      </c>
      <c r="H296" s="237"/>
      <c r="I296" s="239">
        <f t="shared" si="10"/>
        <v>4.8750612633917001</v>
      </c>
      <c r="J296" s="240">
        <v>75000</v>
      </c>
      <c r="K296" s="241"/>
      <c r="L296" s="242">
        <v>30</v>
      </c>
      <c r="M296" s="243"/>
      <c r="N296" s="244"/>
      <c r="O296" s="244"/>
      <c r="P296" s="244"/>
      <c r="Q296" s="245"/>
      <c r="R296" s="245"/>
    </row>
    <row r="297" spans="1:28" ht="14" x14ac:dyDescent="0.15">
      <c r="A297" s="70" t="s">
        <v>3635</v>
      </c>
      <c r="B297" s="82"/>
      <c r="C297" s="70" t="s">
        <v>3636</v>
      </c>
      <c r="D297" s="70" t="s">
        <v>2837</v>
      </c>
      <c r="E297" s="70" t="s">
        <v>4379</v>
      </c>
      <c r="F297" s="70" t="s">
        <v>3768</v>
      </c>
      <c r="G297" s="70" t="s">
        <v>3769</v>
      </c>
      <c r="H297" s="93"/>
      <c r="I297" s="85">
        <f t="shared" si="10"/>
        <v>4.327700000000001</v>
      </c>
      <c r="J297" s="85">
        <v>21266.694872358308</v>
      </c>
      <c r="K297" s="131" t="s">
        <v>3177</v>
      </c>
      <c r="L297" s="60">
        <v>60</v>
      </c>
    </row>
    <row r="298" spans="1:28" ht="14" x14ac:dyDescent="0.15">
      <c r="A298" s="70" t="s">
        <v>7029</v>
      </c>
      <c r="B298" s="82"/>
      <c r="C298" s="70" t="s">
        <v>3636</v>
      </c>
      <c r="D298" s="70" t="s">
        <v>2837</v>
      </c>
      <c r="E298" s="70" t="s">
        <v>4379</v>
      </c>
      <c r="F298" s="70" t="s">
        <v>3768</v>
      </c>
      <c r="G298" s="70" t="s">
        <v>3769</v>
      </c>
      <c r="H298" s="93"/>
      <c r="I298" s="85">
        <f t="shared" si="10"/>
        <v>4.327700000000001</v>
      </c>
      <c r="J298" s="85">
        <v>21266.694872358308</v>
      </c>
      <c r="K298" s="131" t="s">
        <v>3177</v>
      </c>
      <c r="L298" s="60">
        <v>60</v>
      </c>
    </row>
    <row r="299" spans="1:28" x14ac:dyDescent="0.15">
      <c r="A299" s="236" t="s">
        <v>3635</v>
      </c>
      <c r="B299" s="237"/>
      <c r="C299" s="238" t="s">
        <v>4905</v>
      </c>
      <c r="D299" s="236" t="s">
        <v>2837</v>
      </c>
      <c r="E299" s="236" t="s">
        <v>4379</v>
      </c>
      <c r="F299" s="236" t="s">
        <v>7003</v>
      </c>
      <c r="G299" s="236" t="s">
        <v>7004</v>
      </c>
      <c r="H299" s="237"/>
      <c r="I299" s="239">
        <f t="shared" si="10"/>
        <v>5.0413926851582254</v>
      </c>
      <c r="J299" s="240">
        <v>110000</v>
      </c>
      <c r="K299" s="241"/>
      <c r="L299" s="247" t="s">
        <v>1077</v>
      </c>
      <c r="M299" s="243"/>
      <c r="N299" s="244"/>
      <c r="O299" s="244"/>
      <c r="P299" s="244"/>
      <c r="Q299" s="245"/>
      <c r="R299" s="245"/>
    </row>
    <row r="300" spans="1:28" s="244" customFormat="1" x14ac:dyDescent="0.15">
      <c r="A300" s="236" t="s">
        <v>7029</v>
      </c>
      <c r="B300" s="237"/>
      <c r="C300" s="238" t="s">
        <v>4905</v>
      </c>
      <c r="D300" s="236" t="s">
        <v>2837</v>
      </c>
      <c r="E300" s="236" t="s">
        <v>4379</v>
      </c>
      <c r="F300" s="236" t="s">
        <v>7003</v>
      </c>
      <c r="G300" s="236" t="s">
        <v>7120</v>
      </c>
      <c r="H300" s="237"/>
      <c r="I300" s="239">
        <f t="shared" si="10"/>
        <v>4.6989700043360187</v>
      </c>
      <c r="J300" s="240">
        <v>50000</v>
      </c>
      <c r="K300" s="241"/>
      <c r="L300" s="242">
        <v>11</v>
      </c>
      <c r="M300" s="252"/>
      <c r="O300" s="260"/>
      <c r="Q300" s="245"/>
      <c r="R300" s="245"/>
      <c r="S300" s="3"/>
      <c r="T300" s="3"/>
      <c r="U300" s="3"/>
      <c r="V300" s="3"/>
      <c r="W300" s="3"/>
      <c r="X300" s="3"/>
      <c r="Y300" s="3"/>
      <c r="Z300" s="4"/>
      <c r="AA300"/>
      <c r="AB300"/>
    </row>
    <row r="301" spans="1:28" s="244" customFormat="1" ht="14" x14ac:dyDescent="0.15">
      <c r="A301" s="70" t="s">
        <v>3635</v>
      </c>
      <c r="B301" s="82"/>
      <c r="C301" s="70" t="s">
        <v>3636</v>
      </c>
      <c r="D301" s="70" t="s">
        <v>2837</v>
      </c>
      <c r="E301" s="70" t="s">
        <v>4379</v>
      </c>
      <c r="F301" s="70" t="s">
        <v>4380</v>
      </c>
      <c r="G301" s="70" t="s">
        <v>4381</v>
      </c>
      <c r="H301" s="93"/>
      <c r="I301" s="85">
        <f t="shared" si="10"/>
        <v>4.5083100000000007</v>
      </c>
      <c r="J301" s="85">
        <v>32233.688154104955</v>
      </c>
      <c r="K301" s="131" t="s">
        <v>3177</v>
      </c>
      <c r="L301" s="63">
        <v>60</v>
      </c>
      <c r="M301" s="49"/>
      <c r="N301" s="37"/>
      <c r="O301" s="37"/>
      <c r="P301" s="37"/>
      <c r="Q301" s="3"/>
      <c r="R301" s="3"/>
      <c r="S301" s="245"/>
      <c r="T301" s="245"/>
      <c r="U301" s="245"/>
      <c r="V301" s="245"/>
      <c r="W301" s="245"/>
      <c r="X301" s="245"/>
      <c r="Y301" s="245"/>
      <c r="Z301" s="246"/>
      <c r="AA301" s="243"/>
      <c r="AB301" s="243"/>
    </row>
    <row r="302" spans="1:28" s="244" customFormat="1" ht="14" x14ac:dyDescent="0.15">
      <c r="A302" s="70" t="s">
        <v>7029</v>
      </c>
      <c r="B302" s="82"/>
      <c r="C302" s="70" t="s">
        <v>3636</v>
      </c>
      <c r="D302" s="70" t="s">
        <v>2837</v>
      </c>
      <c r="E302" s="70" t="s">
        <v>4379</v>
      </c>
      <c r="F302" s="70" t="s">
        <v>4380</v>
      </c>
      <c r="G302" s="70" t="s">
        <v>4381</v>
      </c>
      <c r="H302" s="93"/>
      <c r="I302" s="85">
        <f t="shared" si="10"/>
        <v>4.5083100000000007</v>
      </c>
      <c r="J302" s="85">
        <v>32233.688154104955</v>
      </c>
      <c r="K302" s="131" t="s">
        <v>3177</v>
      </c>
      <c r="L302" s="63">
        <v>60</v>
      </c>
      <c r="M302" s="49"/>
      <c r="N302" s="37"/>
      <c r="O302" s="37"/>
      <c r="P302" s="37"/>
      <c r="Q302" s="3"/>
      <c r="R302" s="3"/>
      <c r="S302" s="245"/>
      <c r="T302" s="245"/>
      <c r="U302" s="245"/>
      <c r="V302" s="245"/>
      <c r="W302" s="245"/>
      <c r="X302" s="245"/>
      <c r="Y302" s="245"/>
      <c r="Z302" s="246"/>
      <c r="AA302" s="243"/>
      <c r="AB302" s="243"/>
    </row>
    <row r="303" spans="1:28" ht="14" x14ac:dyDescent="0.15">
      <c r="A303" s="70" t="s">
        <v>2633</v>
      </c>
      <c r="B303" s="82"/>
      <c r="C303" s="70" t="s">
        <v>3636</v>
      </c>
      <c r="D303" s="70" t="s">
        <v>2837</v>
      </c>
      <c r="E303" s="70" t="s">
        <v>3770</v>
      </c>
      <c r="F303" s="70" t="s">
        <v>3771</v>
      </c>
      <c r="G303" s="70" t="s">
        <v>3772</v>
      </c>
      <c r="H303" s="93"/>
      <c r="I303" s="85">
        <f t="shared" si="10"/>
        <v>4.0354299999999999</v>
      </c>
      <c r="J303" s="85">
        <v>10850.006540950035</v>
      </c>
      <c r="K303" s="131" t="s">
        <v>6817</v>
      </c>
      <c r="L303" s="60">
        <v>60</v>
      </c>
      <c r="M303" s="49" t="s">
        <v>6727</v>
      </c>
      <c r="S303" s="245"/>
      <c r="T303" s="245"/>
      <c r="U303" s="245"/>
      <c r="V303" s="245"/>
      <c r="W303" s="245"/>
      <c r="X303" s="245"/>
      <c r="Y303" s="245"/>
      <c r="Z303" s="246"/>
      <c r="AA303" s="243"/>
      <c r="AB303" s="243"/>
    </row>
    <row r="304" spans="1:28" ht="16" x14ac:dyDescent="0.2">
      <c r="A304" s="70" t="s">
        <v>2479</v>
      </c>
      <c r="B304" s="82"/>
      <c r="C304" s="70" t="s">
        <v>3636</v>
      </c>
      <c r="D304" s="70" t="s">
        <v>2837</v>
      </c>
      <c r="E304" s="70" t="s">
        <v>3770</v>
      </c>
      <c r="F304" s="70" t="s">
        <v>5576</v>
      </c>
      <c r="G304" s="70" t="s">
        <v>7993</v>
      </c>
      <c r="H304" s="93"/>
      <c r="I304" s="85">
        <f t="shared" si="10"/>
        <v>3.3891660843645326</v>
      </c>
      <c r="J304" s="85">
        <v>2450</v>
      </c>
      <c r="K304" s="131" t="s">
        <v>6485</v>
      </c>
      <c r="L304" s="60">
        <v>68</v>
      </c>
      <c r="M304" s="47"/>
      <c r="S304" s="245"/>
      <c r="T304" s="245"/>
      <c r="U304" s="245"/>
      <c r="V304" s="245"/>
      <c r="W304" s="245"/>
      <c r="X304" s="245"/>
      <c r="Y304" s="245"/>
      <c r="Z304" s="246"/>
      <c r="AA304" s="243"/>
      <c r="AB304" s="243"/>
    </row>
    <row r="305" spans="1:28" ht="16" x14ac:dyDescent="0.2">
      <c r="A305" s="70" t="s">
        <v>2481</v>
      </c>
      <c r="B305" s="82" t="s">
        <v>2330</v>
      </c>
      <c r="C305" s="70" t="s">
        <v>3636</v>
      </c>
      <c r="D305" s="70" t="s">
        <v>2837</v>
      </c>
      <c r="E305" s="70" t="s">
        <v>3770</v>
      </c>
      <c r="F305" s="70" t="s">
        <v>5576</v>
      </c>
      <c r="G305" s="70" t="s">
        <v>7993</v>
      </c>
      <c r="H305" s="93"/>
      <c r="I305" s="85">
        <f t="shared" si="10"/>
        <v>3.5348230096247288</v>
      </c>
      <c r="J305" s="85">
        <f>AVERAGE((454*6.375), (454*6.75), (454*8.4375), (454*8.625))</f>
        <v>3426.28125</v>
      </c>
      <c r="K305" s="131"/>
      <c r="L305" s="63">
        <v>132</v>
      </c>
      <c r="M305" s="47"/>
      <c r="S305" s="245"/>
      <c r="T305" s="245"/>
      <c r="U305" s="245"/>
      <c r="V305" s="245"/>
      <c r="W305" s="245"/>
      <c r="X305" s="245"/>
      <c r="Y305" s="245"/>
      <c r="Z305" s="246"/>
      <c r="AA305" s="243"/>
      <c r="AB305" s="243"/>
    </row>
    <row r="306" spans="1:28" ht="14" x14ac:dyDescent="0.15">
      <c r="A306" s="70" t="s">
        <v>2479</v>
      </c>
      <c r="B306" s="82"/>
      <c r="C306" s="70" t="s">
        <v>3636</v>
      </c>
      <c r="D306" s="70" t="s">
        <v>2837</v>
      </c>
      <c r="E306" s="70" t="s">
        <v>3770</v>
      </c>
      <c r="F306" s="70" t="s">
        <v>7994</v>
      </c>
      <c r="G306" s="70" t="s">
        <v>7202</v>
      </c>
      <c r="H306" s="93"/>
      <c r="I306" s="85">
        <f t="shared" si="10"/>
        <v>3.5185139398778875</v>
      </c>
      <c r="J306" s="85">
        <v>3300</v>
      </c>
      <c r="K306" s="131" t="s">
        <v>6485</v>
      </c>
      <c r="L306" s="60">
        <v>68</v>
      </c>
    </row>
    <row r="307" spans="1:28" ht="14" x14ac:dyDescent="0.15">
      <c r="A307" s="70" t="s">
        <v>2481</v>
      </c>
      <c r="B307" s="82" t="s">
        <v>2018</v>
      </c>
      <c r="C307" s="70" t="s">
        <v>3636</v>
      </c>
      <c r="D307" s="70" t="s">
        <v>2837</v>
      </c>
      <c r="E307" s="70" t="s">
        <v>3770</v>
      </c>
      <c r="F307" s="70" t="s">
        <v>7994</v>
      </c>
      <c r="G307" s="70" t="s">
        <v>7202</v>
      </c>
      <c r="H307" s="93"/>
      <c r="I307" s="85">
        <f t="shared" si="10"/>
        <v>3.3521825181113627</v>
      </c>
      <c r="J307" s="85">
        <f>AVERAGE(2000, 2500)</f>
        <v>2250</v>
      </c>
      <c r="K307" s="131"/>
      <c r="L307" s="60">
        <v>118</v>
      </c>
      <c r="M307" s="33"/>
    </row>
    <row r="308" spans="1:28" ht="14" x14ac:dyDescent="0.15">
      <c r="A308" s="70" t="s">
        <v>2479</v>
      </c>
      <c r="B308" s="82"/>
      <c r="C308" s="70" t="s">
        <v>3636</v>
      </c>
      <c r="D308" s="70" t="s">
        <v>2837</v>
      </c>
      <c r="E308" s="70" t="s">
        <v>3770</v>
      </c>
      <c r="F308" s="70" t="s">
        <v>7994</v>
      </c>
      <c r="G308" s="70" t="s">
        <v>5885</v>
      </c>
      <c r="H308" s="93"/>
      <c r="I308" s="85">
        <f t="shared" si="10"/>
        <v>3.7708520116421442</v>
      </c>
      <c r="J308" s="85">
        <v>5900</v>
      </c>
      <c r="K308" s="131" t="s">
        <v>6485</v>
      </c>
      <c r="L308" s="60">
        <v>68</v>
      </c>
    </row>
    <row r="309" spans="1:28" ht="14" x14ac:dyDescent="0.15">
      <c r="A309" s="70" t="s">
        <v>2481</v>
      </c>
      <c r="B309" s="82" t="s">
        <v>2018</v>
      </c>
      <c r="C309" s="70" t="s">
        <v>3636</v>
      </c>
      <c r="D309" s="70" t="s">
        <v>2837</v>
      </c>
      <c r="E309" s="70" t="s">
        <v>3770</v>
      </c>
      <c r="F309" s="70" t="s">
        <v>7994</v>
      </c>
      <c r="G309" s="70" t="s">
        <v>5885</v>
      </c>
      <c r="H309" s="93"/>
      <c r="I309" s="85">
        <f t="shared" si="10"/>
        <v>3.6020599913279625</v>
      </c>
      <c r="J309" s="85">
        <f>AVERAGE(3500, 4500)</f>
        <v>4000</v>
      </c>
      <c r="K309" s="131"/>
      <c r="L309" s="60">
        <v>118</v>
      </c>
      <c r="M309" s="33"/>
      <c r="S309" s="245"/>
      <c r="T309" s="245"/>
      <c r="U309" s="245"/>
      <c r="V309" s="245"/>
      <c r="W309" s="245"/>
      <c r="X309" s="245"/>
      <c r="Y309" s="245"/>
      <c r="Z309" s="246"/>
      <c r="AA309" s="244"/>
      <c r="AB309" s="244"/>
    </row>
    <row r="310" spans="1:28" x14ac:dyDescent="0.15">
      <c r="A310" s="70"/>
      <c r="B310" s="93"/>
      <c r="C310" s="88"/>
      <c r="D310" s="70"/>
      <c r="E310" s="70"/>
      <c r="F310" s="70"/>
      <c r="G310" s="70"/>
      <c r="H310" s="93"/>
      <c r="I310" s="85"/>
      <c r="J310" s="98"/>
      <c r="K310" s="131"/>
      <c r="L310" s="62"/>
      <c r="M310" s="35"/>
    </row>
    <row r="311" spans="1:28" x14ac:dyDescent="0.15">
      <c r="A311" s="70"/>
      <c r="B311" s="93"/>
      <c r="C311" s="88"/>
      <c r="D311" s="70"/>
      <c r="E311" s="62"/>
      <c r="F311" s="70"/>
      <c r="G311" s="70"/>
      <c r="H311" s="93"/>
      <c r="I311" s="85"/>
      <c r="J311" s="98"/>
      <c r="K311" s="131"/>
      <c r="L311" s="62"/>
      <c r="M311" s="35"/>
    </row>
    <row r="312" spans="1:28" x14ac:dyDescent="0.15">
      <c r="A312" s="70"/>
      <c r="B312" s="82"/>
      <c r="C312" s="70">
        <f>COUNTIF(C4:C309, "historical")</f>
        <v>6</v>
      </c>
      <c r="D312" s="70"/>
      <c r="E312" s="70"/>
      <c r="F312" s="70"/>
      <c r="G312" s="70"/>
      <c r="H312" s="93"/>
      <c r="I312" s="85"/>
      <c r="J312" s="85"/>
      <c r="K312" s="131"/>
      <c r="L312" s="63"/>
    </row>
    <row r="313" spans="1:28" x14ac:dyDescent="0.15">
      <c r="A313" s="70"/>
      <c r="B313" s="82"/>
      <c r="C313" s="70"/>
      <c r="D313" s="70"/>
      <c r="E313" s="70"/>
      <c r="F313" s="70"/>
      <c r="G313" s="70"/>
      <c r="H313" s="93"/>
      <c r="I313" s="85"/>
      <c r="J313" s="95"/>
      <c r="K313" s="131"/>
      <c r="L313" s="63"/>
    </row>
    <row r="314" spans="1:28" ht="16" x14ac:dyDescent="0.2">
      <c r="A314" s="70"/>
      <c r="B314" s="93"/>
      <c r="C314" s="70"/>
      <c r="D314" s="70"/>
      <c r="E314" s="70"/>
      <c r="F314" s="70"/>
      <c r="G314" s="70"/>
      <c r="H314" s="93"/>
      <c r="I314" s="85"/>
      <c r="J314" s="85"/>
      <c r="K314" s="131"/>
      <c r="L314" s="60"/>
      <c r="M314" s="47"/>
    </row>
    <row r="315" spans="1:28" x14ac:dyDescent="0.15">
      <c r="A315" s="180"/>
      <c r="B315" s="181"/>
      <c r="C315" s="180"/>
      <c r="D315" s="180"/>
      <c r="E315" s="180"/>
      <c r="F315" s="180"/>
      <c r="G315" s="180"/>
      <c r="H315" s="182"/>
      <c r="I315" s="183"/>
      <c r="J315" s="183"/>
      <c r="K315" s="184"/>
      <c r="L315" s="185"/>
      <c r="M315" s="186"/>
      <c r="N315" s="186"/>
      <c r="O315" s="186"/>
      <c r="P315" s="186"/>
      <c r="Q315" s="187"/>
      <c r="R315" s="187"/>
    </row>
    <row r="316" spans="1:28" x14ac:dyDescent="0.15">
      <c r="A316" s="73"/>
      <c r="B316" s="93"/>
      <c r="C316" s="70"/>
      <c r="D316" s="70"/>
      <c r="E316" s="70"/>
      <c r="F316" s="70"/>
      <c r="G316" s="70"/>
      <c r="H316" s="93"/>
      <c r="I316" s="85"/>
      <c r="J316" s="85"/>
      <c r="K316" s="131"/>
      <c r="L316" s="60"/>
      <c r="M316" s="33"/>
    </row>
    <row r="317" spans="1:28" x14ac:dyDescent="0.15">
      <c r="A317" s="70"/>
      <c r="B317" s="82"/>
      <c r="C317" s="70"/>
      <c r="D317" s="70"/>
      <c r="E317" s="70"/>
      <c r="F317" s="70"/>
      <c r="G317" s="70"/>
      <c r="H317" s="93"/>
      <c r="I317" s="85"/>
      <c r="J317" s="85"/>
      <c r="K317" s="131"/>
      <c r="L317" s="60"/>
      <c r="M317" s="33"/>
    </row>
    <row r="318" spans="1:28" x14ac:dyDescent="0.15">
      <c r="A318" s="166"/>
      <c r="B318" s="82"/>
      <c r="C318" s="70"/>
      <c r="D318" s="70"/>
      <c r="E318" s="70"/>
      <c r="F318" s="70"/>
      <c r="G318" s="70"/>
      <c r="H318" s="93"/>
      <c r="I318" s="85"/>
      <c r="J318" s="85"/>
      <c r="K318" s="131"/>
      <c r="L318" s="60"/>
    </row>
    <row r="319" spans="1:28" x14ac:dyDescent="0.15">
      <c r="A319" s="167"/>
      <c r="B319" s="87"/>
      <c r="C319" s="88"/>
      <c r="D319" s="86"/>
      <c r="E319" s="86"/>
      <c r="F319" s="86"/>
      <c r="G319" s="86"/>
      <c r="H319" s="87"/>
      <c r="I319" s="85"/>
      <c r="J319" s="89"/>
      <c r="K319" s="132"/>
      <c r="L319" s="61"/>
    </row>
    <row r="320" spans="1:28" x14ac:dyDescent="0.15">
      <c r="A320" s="228"/>
      <c r="B320" s="212"/>
      <c r="C320" s="213"/>
      <c r="D320" s="211"/>
      <c r="E320" s="211"/>
      <c r="F320" s="211"/>
      <c r="G320" s="211"/>
      <c r="H320" s="212"/>
      <c r="I320" s="214"/>
      <c r="J320" s="215"/>
      <c r="K320" s="216"/>
      <c r="L320" s="217"/>
      <c r="M320" s="218"/>
      <c r="N320" s="218"/>
      <c r="O320" s="218"/>
      <c r="P320" s="218"/>
      <c r="Q320" s="220"/>
      <c r="R320" s="220"/>
      <c r="S320" s="220"/>
      <c r="T320" s="220"/>
      <c r="U320" s="220"/>
      <c r="V320" s="220"/>
      <c r="W320" s="220"/>
      <c r="X320" s="220"/>
      <c r="Y320" s="220"/>
      <c r="Z320" s="221"/>
      <c r="AA320" s="222"/>
      <c r="AB320" s="222"/>
    </row>
    <row r="321" spans="1:15" x14ac:dyDescent="0.15">
      <c r="A321" s="167"/>
      <c r="B321" s="87"/>
      <c r="C321" s="88"/>
      <c r="D321" s="86"/>
      <c r="E321" s="86"/>
      <c r="F321" s="86"/>
      <c r="G321" s="86"/>
      <c r="H321" s="87"/>
      <c r="I321" s="85"/>
      <c r="J321" s="89"/>
      <c r="K321" s="132"/>
      <c r="L321" s="61"/>
    </row>
    <row r="322" spans="1:15" x14ac:dyDescent="0.15">
      <c r="A322" s="167"/>
      <c r="B322" s="87"/>
      <c r="C322" s="88"/>
      <c r="D322" s="86"/>
      <c r="E322" s="86"/>
      <c r="F322" s="86"/>
      <c r="G322" s="86"/>
      <c r="H322" s="87"/>
      <c r="I322" s="85"/>
      <c r="J322" s="89"/>
      <c r="K322" s="132"/>
      <c r="L322" s="61"/>
    </row>
    <row r="323" spans="1:15" x14ac:dyDescent="0.15">
      <c r="A323" s="167"/>
      <c r="B323" s="87"/>
      <c r="C323" s="88"/>
      <c r="D323" s="86"/>
      <c r="E323" s="86"/>
      <c r="F323" s="86"/>
      <c r="G323" s="86"/>
      <c r="H323" s="87"/>
      <c r="I323" s="85"/>
      <c r="J323" s="89"/>
      <c r="K323" s="132"/>
      <c r="L323" s="61"/>
    </row>
    <row r="324" spans="1:15" x14ac:dyDescent="0.15">
      <c r="A324" s="167"/>
      <c r="B324" s="87"/>
      <c r="C324" s="88"/>
      <c r="D324" s="86"/>
      <c r="E324" s="86"/>
      <c r="F324" s="86"/>
      <c r="G324" s="86"/>
      <c r="H324" s="87"/>
      <c r="I324" s="85"/>
      <c r="J324" s="89"/>
      <c r="K324" s="132"/>
      <c r="L324" s="61"/>
    </row>
    <row r="325" spans="1:15" x14ac:dyDescent="0.15">
      <c r="A325" s="167"/>
      <c r="B325" s="87"/>
      <c r="C325" s="88"/>
      <c r="D325" s="86"/>
      <c r="E325" s="86"/>
      <c r="F325" s="86"/>
      <c r="G325" s="86"/>
      <c r="H325" s="87"/>
      <c r="I325" s="85"/>
      <c r="J325" s="89"/>
      <c r="K325" s="132"/>
      <c r="L325" s="61"/>
    </row>
    <row r="326" spans="1:15" x14ac:dyDescent="0.15">
      <c r="A326" s="167"/>
      <c r="B326" s="87"/>
      <c r="C326" s="88"/>
      <c r="D326" s="86"/>
      <c r="E326" s="86"/>
      <c r="F326" s="86"/>
      <c r="G326" s="86"/>
      <c r="H326" s="87"/>
      <c r="I326" s="85"/>
      <c r="J326" s="89"/>
      <c r="K326" s="132"/>
      <c r="L326" s="61"/>
    </row>
    <row r="327" spans="1:15" x14ac:dyDescent="0.15">
      <c r="A327" s="167"/>
      <c r="B327" s="87"/>
      <c r="C327" s="88"/>
      <c r="D327" s="86"/>
      <c r="E327" s="86"/>
      <c r="F327" s="86"/>
      <c r="G327" s="86"/>
      <c r="H327" s="87"/>
      <c r="I327" s="85"/>
      <c r="J327" s="89"/>
      <c r="K327" s="132"/>
      <c r="L327" s="61"/>
    </row>
    <row r="328" spans="1:15" x14ac:dyDescent="0.15">
      <c r="A328" s="167"/>
      <c r="B328" s="87"/>
      <c r="C328" s="88"/>
      <c r="D328" s="86"/>
      <c r="E328" s="86"/>
      <c r="F328" s="86"/>
      <c r="G328" s="86"/>
      <c r="H328" s="87"/>
      <c r="I328" s="85"/>
      <c r="J328" s="89"/>
      <c r="K328" s="132"/>
      <c r="L328" s="61"/>
    </row>
    <row r="329" spans="1:15" x14ac:dyDescent="0.15">
      <c r="A329" s="167"/>
      <c r="B329" s="87"/>
      <c r="C329" s="88"/>
      <c r="D329" s="86"/>
      <c r="E329" s="86"/>
      <c r="F329" s="86"/>
      <c r="G329" s="86"/>
      <c r="H329" s="87"/>
      <c r="I329" s="85"/>
      <c r="J329" s="89"/>
      <c r="K329" s="132"/>
      <c r="L329" s="61"/>
    </row>
    <row r="330" spans="1:15" x14ac:dyDescent="0.15">
      <c r="A330" s="86"/>
      <c r="B330" s="87"/>
      <c r="C330" s="88"/>
      <c r="D330" s="86"/>
      <c r="E330" s="86"/>
      <c r="F330" s="86"/>
      <c r="G330" s="86"/>
      <c r="H330" s="87"/>
      <c r="I330" s="85"/>
      <c r="J330" s="89"/>
      <c r="K330" s="132"/>
      <c r="L330" s="61"/>
    </row>
    <row r="331" spans="1:15" x14ac:dyDescent="0.15">
      <c r="A331" s="167"/>
      <c r="B331" s="87"/>
      <c r="C331" s="88"/>
      <c r="D331" s="86"/>
      <c r="E331" s="86"/>
      <c r="F331" s="86"/>
      <c r="G331" s="86"/>
      <c r="H331" s="87"/>
      <c r="I331" s="85"/>
      <c r="J331" s="89"/>
      <c r="K331" s="132"/>
      <c r="L331" s="61"/>
      <c r="O331" s="36"/>
    </row>
    <row r="332" spans="1:15" x14ac:dyDescent="0.15">
      <c r="A332" s="167"/>
      <c r="B332" s="87"/>
      <c r="C332" s="88"/>
      <c r="D332" s="86"/>
      <c r="E332" s="86"/>
      <c r="F332" s="86"/>
      <c r="G332" s="86"/>
      <c r="H332" s="87"/>
      <c r="I332" s="85"/>
      <c r="J332" s="89"/>
      <c r="K332" s="132"/>
      <c r="L332" s="61"/>
      <c r="M332" s="50"/>
    </row>
    <row r="333" spans="1:15" x14ac:dyDescent="0.15">
      <c r="A333" s="167"/>
      <c r="B333" s="87"/>
      <c r="C333" s="88"/>
      <c r="D333" s="86"/>
      <c r="E333" s="86"/>
      <c r="F333" s="86"/>
      <c r="G333" s="86"/>
      <c r="H333" s="87"/>
      <c r="I333" s="85"/>
      <c r="J333" s="89"/>
      <c r="K333" s="132"/>
      <c r="L333" s="62"/>
      <c r="M333" s="50"/>
    </row>
    <row r="334" spans="1:15" x14ac:dyDescent="0.15">
      <c r="A334" s="167"/>
      <c r="B334" s="87"/>
      <c r="C334" s="88"/>
      <c r="D334" s="86"/>
      <c r="E334" s="86"/>
      <c r="F334" s="86"/>
      <c r="G334" s="86"/>
      <c r="H334" s="87"/>
      <c r="I334" s="85"/>
      <c r="J334" s="89"/>
      <c r="K334" s="132"/>
      <c r="L334" s="61"/>
      <c r="M334" s="50"/>
    </row>
    <row r="335" spans="1:15" x14ac:dyDescent="0.15">
      <c r="A335" s="167"/>
      <c r="B335" s="87"/>
      <c r="C335" s="88"/>
      <c r="D335" s="86"/>
      <c r="E335" s="86"/>
      <c r="F335" s="86"/>
      <c r="G335" s="86"/>
      <c r="H335" s="87"/>
      <c r="I335" s="85"/>
      <c r="J335" s="89"/>
      <c r="K335" s="132"/>
      <c r="L335" s="61"/>
    </row>
    <row r="336" spans="1:15" x14ac:dyDescent="0.15">
      <c r="A336" s="167"/>
      <c r="B336" s="87"/>
      <c r="C336" s="88"/>
      <c r="D336" s="86"/>
      <c r="E336" s="86"/>
      <c r="F336" s="86"/>
      <c r="G336" s="86"/>
      <c r="H336" s="87"/>
      <c r="I336" s="85"/>
      <c r="J336" s="89"/>
      <c r="K336" s="132"/>
      <c r="L336" s="62"/>
      <c r="M336" s="50"/>
    </row>
    <row r="337" spans="1:15" x14ac:dyDescent="0.15">
      <c r="A337" s="167"/>
      <c r="B337" s="87"/>
      <c r="C337" s="88"/>
      <c r="D337" s="86"/>
      <c r="E337" s="86"/>
      <c r="F337" s="86"/>
      <c r="G337" s="86"/>
      <c r="H337" s="87"/>
      <c r="I337" s="85"/>
      <c r="J337" s="89"/>
      <c r="K337" s="132"/>
      <c r="L337" s="61"/>
    </row>
    <row r="338" spans="1:15" x14ac:dyDescent="0.15">
      <c r="A338" s="167"/>
      <c r="B338" s="87"/>
      <c r="C338" s="88"/>
      <c r="D338" s="86"/>
      <c r="E338" s="86"/>
      <c r="F338" s="86"/>
      <c r="G338" s="86"/>
      <c r="H338" s="87"/>
      <c r="I338" s="85"/>
      <c r="J338" s="89"/>
      <c r="K338" s="132"/>
      <c r="L338" s="62"/>
    </row>
    <row r="339" spans="1:15" x14ac:dyDescent="0.15">
      <c r="A339" s="167"/>
      <c r="B339" s="87"/>
      <c r="C339" s="88"/>
      <c r="D339" s="86"/>
      <c r="E339" s="86"/>
      <c r="F339" s="86"/>
      <c r="G339" s="86"/>
      <c r="H339" s="87"/>
      <c r="I339" s="85"/>
      <c r="J339" s="89"/>
      <c r="K339" s="132"/>
      <c r="L339" s="62"/>
    </row>
    <row r="340" spans="1:15" x14ac:dyDescent="0.15">
      <c r="A340" s="167"/>
      <c r="B340" s="87"/>
      <c r="C340" s="88"/>
      <c r="D340" s="86"/>
      <c r="E340" s="86"/>
      <c r="F340" s="86"/>
      <c r="G340" s="86"/>
      <c r="H340" s="87"/>
      <c r="I340" s="85"/>
      <c r="J340" s="89"/>
      <c r="K340" s="132"/>
      <c r="L340" s="62"/>
    </row>
    <row r="341" spans="1:15" x14ac:dyDescent="0.15">
      <c r="A341" s="167"/>
      <c r="B341" s="87"/>
      <c r="C341" s="88"/>
      <c r="D341" s="86"/>
      <c r="E341" s="86"/>
      <c r="F341" s="86"/>
      <c r="G341" s="86"/>
      <c r="H341" s="87"/>
      <c r="I341" s="85"/>
      <c r="J341" s="89"/>
      <c r="K341" s="132"/>
      <c r="L341" s="61"/>
      <c r="M341" s="50"/>
    </row>
    <row r="342" spans="1:15" x14ac:dyDescent="0.15">
      <c r="A342" s="167"/>
      <c r="B342" s="87"/>
      <c r="C342" s="88"/>
      <c r="D342" s="86"/>
      <c r="E342" s="86"/>
      <c r="F342" s="86"/>
      <c r="G342" s="86"/>
      <c r="H342" s="87"/>
      <c r="I342" s="85"/>
      <c r="J342" s="89"/>
      <c r="K342" s="132"/>
      <c r="L342" s="62"/>
    </row>
    <row r="343" spans="1:15" x14ac:dyDescent="0.15">
      <c r="A343" s="167"/>
      <c r="B343" s="87"/>
      <c r="C343" s="88"/>
      <c r="D343" s="86"/>
      <c r="E343" s="86"/>
      <c r="F343" s="86"/>
      <c r="G343" s="86"/>
      <c r="H343" s="87"/>
      <c r="I343" s="85"/>
      <c r="J343" s="89"/>
      <c r="K343" s="132"/>
      <c r="L343" s="62"/>
    </row>
    <row r="344" spans="1:15" x14ac:dyDescent="0.15">
      <c r="A344" s="167"/>
      <c r="B344" s="87"/>
      <c r="C344" s="88"/>
      <c r="D344" s="86"/>
      <c r="E344" s="86"/>
      <c r="F344" s="86"/>
      <c r="G344" s="86"/>
      <c r="H344" s="87"/>
      <c r="I344" s="85"/>
      <c r="J344" s="89"/>
      <c r="K344" s="132"/>
      <c r="L344" s="62"/>
      <c r="M344" s="50"/>
      <c r="O344" s="51"/>
    </row>
    <row r="345" spans="1:15" x14ac:dyDescent="0.15">
      <c r="A345" s="166"/>
      <c r="B345" s="82"/>
      <c r="C345" s="70"/>
      <c r="D345" s="70"/>
      <c r="E345" s="70"/>
      <c r="F345" s="70"/>
      <c r="G345" s="70"/>
      <c r="H345" s="93"/>
      <c r="I345" s="85"/>
      <c r="J345" s="85"/>
      <c r="K345" s="131"/>
      <c r="L345" s="60"/>
      <c r="O345" s="49"/>
    </row>
    <row r="346" spans="1:15" x14ac:dyDescent="0.15">
      <c r="A346" s="166"/>
      <c r="B346" s="82"/>
      <c r="C346" s="70"/>
      <c r="D346" s="70"/>
      <c r="E346" s="70"/>
      <c r="F346" s="70"/>
      <c r="G346" s="70"/>
      <c r="H346" s="93"/>
      <c r="I346" s="85"/>
      <c r="J346" s="85"/>
      <c r="K346" s="131"/>
      <c r="L346" s="60"/>
    </row>
    <row r="347" spans="1:15" x14ac:dyDescent="0.15">
      <c r="A347" s="166"/>
      <c r="B347" s="82"/>
      <c r="C347" s="70"/>
      <c r="D347" s="70"/>
      <c r="E347" s="70"/>
      <c r="F347" s="70"/>
      <c r="G347" s="70"/>
      <c r="H347" s="93"/>
      <c r="I347" s="85"/>
      <c r="J347" s="85"/>
      <c r="K347" s="131"/>
      <c r="L347" s="60"/>
    </row>
    <row r="348" spans="1:15" x14ac:dyDescent="0.15">
      <c r="A348" s="166"/>
      <c r="B348" s="82"/>
      <c r="C348" s="70"/>
      <c r="D348" s="70"/>
      <c r="E348" s="70"/>
      <c r="F348" s="70"/>
      <c r="G348" s="70"/>
      <c r="H348" s="93"/>
      <c r="I348" s="85"/>
      <c r="J348" s="85"/>
      <c r="K348" s="131"/>
      <c r="L348" s="60"/>
    </row>
    <row r="349" spans="1:15" x14ac:dyDescent="0.15">
      <c r="A349" s="166"/>
      <c r="B349" s="82"/>
      <c r="C349" s="70"/>
      <c r="D349" s="70"/>
      <c r="E349" s="70"/>
      <c r="F349" s="70"/>
      <c r="G349" s="70"/>
      <c r="H349" s="93"/>
      <c r="I349" s="85"/>
      <c r="J349" s="85"/>
      <c r="K349" s="131"/>
      <c r="L349" s="60"/>
    </row>
    <row r="350" spans="1:15" x14ac:dyDescent="0.15">
      <c r="A350" s="166"/>
      <c r="B350" s="82"/>
      <c r="C350" s="70"/>
      <c r="D350" s="70"/>
      <c r="E350" s="70"/>
      <c r="F350" s="70"/>
      <c r="G350" s="70"/>
      <c r="H350" s="93"/>
      <c r="I350" s="85"/>
      <c r="J350" s="85"/>
      <c r="K350" s="131"/>
      <c r="L350" s="60"/>
    </row>
    <row r="351" spans="1:15" x14ac:dyDescent="0.15">
      <c r="A351" s="166"/>
      <c r="B351" s="82"/>
      <c r="C351" s="73"/>
      <c r="D351" s="73"/>
      <c r="E351" s="73"/>
      <c r="F351" s="73"/>
      <c r="G351" s="73"/>
      <c r="H351" s="108"/>
      <c r="I351" s="85"/>
      <c r="J351" s="85"/>
      <c r="K351" s="131"/>
      <c r="L351" s="66"/>
    </row>
    <row r="352" spans="1:15" x14ac:dyDescent="0.15">
      <c r="A352" s="166"/>
      <c r="B352" s="82"/>
      <c r="C352" s="70"/>
      <c r="D352" s="70"/>
      <c r="E352" s="70"/>
      <c r="F352" s="70"/>
      <c r="G352" s="70"/>
      <c r="H352" s="93"/>
      <c r="I352" s="85"/>
      <c r="J352" s="85"/>
      <c r="K352" s="131"/>
      <c r="L352" s="60"/>
    </row>
    <row r="353" spans="1:12" x14ac:dyDescent="0.15">
      <c r="A353" s="166"/>
      <c r="B353" s="82"/>
      <c r="C353" s="70"/>
      <c r="D353" s="70"/>
      <c r="E353" s="70"/>
      <c r="F353" s="70"/>
      <c r="G353" s="70"/>
      <c r="H353" s="93"/>
      <c r="I353" s="85"/>
      <c r="J353" s="85"/>
      <c r="K353" s="131"/>
      <c r="L353" s="60"/>
    </row>
    <row r="354" spans="1:12" x14ac:dyDescent="0.15">
      <c r="A354" s="166"/>
      <c r="B354" s="82"/>
      <c r="C354" s="70"/>
      <c r="D354" s="70"/>
      <c r="E354" s="70"/>
      <c r="F354" s="70"/>
      <c r="G354" s="70"/>
      <c r="H354" s="93"/>
      <c r="I354" s="85"/>
      <c r="J354" s="85"/>
      <c r="K354" s="131"/>
      <c r="L354" s="60"/>
    </row>
    <row r="355" spans="1:12" x14ac:dyDescent="0.15">
      <c r="A355" s="166"/>
      <c r="B355" s="82"/>
      <c r="C355" s="70"/>
      <c r="D355" s="70"/>
      <c r="E355" s="70"/>
      <c r="F355" s="70"/>
      <c r="G355" s="70"/>
      <c r="H355" s="93"/>
      <c r="I355" s="85"/>
      <c r="J355" s="85"/>
      <c r="K355" s="131"/>
      <c r="L355" s="63"/>
    </row>
    <row r="356" spans="1:12" x14ac:dyDescent="0.15">
      <c r="A356" s="166"/>
      <c r="B356" s="82"/>
      <c r="C356" s="70"/>
      <c r="D356" s="70"/>
      <c r="E356" s="70"/>
      <c r="F356" s="70"/>
      <c r="G356" s="70"/>
      <c r="H356" s="93"/>
      <c r="I356" s="85"/>
      <c r="J356" s="85"/>
      <c r="K356" s="131"/>
      <c r="L356" s="60"/>
    </row>
    <row r="357" spans="1:12" x14ac:dyDescent="0.15">
      <c r="A357" s="166"/>
      <c r="B357" s="82"/>
      <c r="C357" s="70"/>
      <c r="D357" s="70"/>
      <c r="E357" s="70"/>
      <c r="F357" s="70"/>
      <c r="G357" s="70"/>
      <c r="H357" s="93"/>
      <c r="I357" s="85"/>
      <c r="J357" s="85"/>
      <c r="K357" s="131"/>
      <c r="L357" s="60"/>
    </row>
    <row r="358" spans="1:12" x14ac:dyDescent="0.15">
      <c r="A358" s="166"/>
      <c r="B358" s="82"/>
      <c r="C358" s="70"/>
      <c r="D358" s="70"/>
      <c r="E358" s="70"/>
      <c r="F358" s="70"/>
      <c r="G358" s="70"/>
      <c r="H358" s="93"/>
      <c r="I358" s="85"/>
      <c r="J358" s="85"/>
      <c r="K358" s="131"/>
      <c r="L358" s="60"/>
    </row>
    <row r="359" spans="1:12" x14ac:dyDescent="0.15">
      <c r="A359" s="166"/>
      <c r="B359" s="82"/>
      <c r="C359" s="70"/>
      <c r="D359" s="70"/>
      <c r="E359" s="70"/>
      <c r="F359" s="70"/>
      <c r="G359" s="70"/>
      <c r="H359" s="93"/>
      <c r="I359" s="85"/>
      <c r="J359" s="85"/>
      <c r="K359" s="131"/>
      <c r="L359" s="60"/>
    </row>
    <row r="360" spans="1:12" x14ac:dyDescent="0.15">
      <c r="A360" s="166"/>
      <c r="B360" s="82"/>
      <c r="C360" s="70"/>
      <c r="D360" s="70"/>
      <c r="E360" s="70"/>
      <c r="F360" s="70"/>
      <c r="G360" s="70"/>
      <c r="H360" s="93"/>
      <c r="I360" s="85"/>
      <c r="J360" s="85"/>
      <c r="K360" s="131"/>
      <c r="L360" s="60"/>
    </row>
    <row r="361" spans="1:12" x14ac:dyDescent="0.15">
      <c r="A361" s="166"/>
      <c r="B361" s="82"/>
      <c r="C361" s="70"/>
      <c r="D361" s="70"/>
      <c r="E361" s="70"/>
      <c r="F361" s="70"/>
      <c r="G361" s="70"/>
      <c r="H361" s="93"/>
      <c r="I361" s="85"/>
      <c r="J361" s="85"/>
      <c r="K361" s="131"/>
      <c r="L361" s="60"/>
    </row>
    <row r="362" spans="1:12" x14ac:dyDescent="0.15">
      <c r="A362" s="166"/>
      <c r="B362" s="82"/>
      <c r="C362" s="70"/>
      <c r="D362" s="70"/>
      <c r="E362" s="70"/>
      <c r="F362" s="70"/>
      <c r="G362" s="70"/>
      <c r="H362" s="93"/>
      <c r="I362" s="85"/>
      <c r="J362" s="85"/>
      <c r="K362" s="131"/>
      <c r="L362" s="60"/>
    </row>
    <row r="363" spans="1:12" x14ac:dyDescent="0.15">
      <c r="A363" s="166"/>
      <c r="B363" s="82"/>
      <c r="C363" s="70"/>
      <c r="D363" s="70"/>
      <c r="E363" s="70"/>
      <c r="F363" s="70"/>
      <c r="G363" s="70"/>
      <c r="H363" s="93"/>
      <c r="I363" s="85"/>
      <c r="J363" s="85"/>
      <c r="K363" s="131"/>
      <c r="L363" s="60"/>
    </row>
    <row r="364" spans="1:12" x14ac:dyDescent="0.15">
      <c r="A364" s="166"/>
      <c r="B364" s="82"/>
      <c r="C364" s="70"/>
      <c r="D364" s="70"/>
      <c r="E364" s="70"/>
      <c r="F364" s="70"/>
      <c r="G364" s="70"/>
      <c r="H364" s="93"/>
      <c r="I364" s="85"/>
      <c r="J364" s="85"/>
      <c r="K364" s="131"/>
      <c r="L364" s="60"/>
    </row>
    <row r="365" spans="1:12" x14ac:dyDescent="0.15">
      <c r="A365" s="166"/>
      <c r="B365" s="82"/>
      <c r="C365" s="70"/>
      <c r="D365" s="70"/>
      <c r="E365" s="70"/>
      <c r="F365" s="70"/>
      <c r="G365" s="70"/>
      <c r="H365" s="93"/>
      <c r="I365" s="85"/>
      <c r="J365" s="85"/>
      <c r="K365" s="131"/>
      <c r="L365" s="60"/>
    </row>
    <row r="366" spans="1:12" x14ac:dyDescent="0.15">
      <c r="A366" s="166"/>
      <c r="B366" s="82"/>
      <c r="C366" s="70"/>
      <c r="D366" s="70"/>
      <c r="E366" s="70"/>
      <c r="F366" s="70"/>
      <c r="G366" s="70"/>
      <c r="H366" s="93"/>
      <c r="I366" s="85"/>
      <c r="J366" s="85"/>
      <c r="K366" s="131"/>
      <c r="L366" s="60"/>
    </row>
    <row r="367" spans="1:12" x14ac:dyDescent="0.15">
      <c r="A367" s="166"/>
      <c r="B367" s="82"/>
      <c r="C367" s="70"/>
      <c r="D367" s="70"/>
      <c r="E367" s="70"/>
      <c r="F367" s="70"/>
      <c r="G367" s="70"/>
      <c r="H367" s="93"/>
      <c r="I367" s="85"/>
      <c r="J367" s="85"/>
      <c r="K367" s="131"/>
      <c r="L367" s="60"/>
    </row>
    <row r="368" spans="1:12" x14ac:dyDescent="0.15">
      <c r="A368" s="166"/>
      <c r="B368" s="82"/>
      <c r="C368" s="70"/>
      <c r="D368" s="70"/>
      <c r="E368" s="70"/>
      <c r="F368" s="70"/>
      <c r="G368" s="70"/>
      <c r="H368" s="93"/>
      <c r="I368" s="85"/>
      <c r="J368" s="85"/>
      <c r="K368" s="131"/>
      <c r="L368" s="60"/>
    </row>
    <row r="369" spans="1:16" x14ac:dyDescent="0.15">
      <c r="A369" s="166"/>
      <c r="B369" s="82"/>
      <c r="C369" s="70"/>
      <c r="D369" s="70"/>
      <c r="E369" s="70"/>
      <c r="F369" s="70"/>
      <c r="G369" s="70"/>
      <c r="H369" s="93"/>
      <c r="I369" s="85"/>
      <c r="J369" s="85"/>
      <c r="K369" s="131"/>
      <c r="L369" s="60"/>
    </row>
    <row r="370" spans="1:16" x14ac:dyDescent="0.15">
      <c r="A370" s="166"/>
      <c r="B370" s="82"/>
      <c r="C370" s="70"/>
      <c r="D370" s="70"/>
      <c r="E370" s="70"/>
      <c r="F370" s="70"/>
      <c r="G370" s="70"/>
      <c r="H370" s="93"/>
      <c r="I370" s="85"/>
      <c r="J370" s="85"/>
      <c r="K370" s="131"/>
      <c r="L370" s="60"/>
    </row>
    <row r="371" spans="1:16" x14ac:dyDescent="0.15">
      <c r="A371" s="166"/>
      <c r="B371" s="82"/>
      <c r="C371" s="70"/>
      <c r="D371" s="70"/>
      <c r="E371" s="70"/>
      <c r="F371" s="70"/>
      <c r="G371" s="70"/>
      <c r="H371" s="93"/>
      <c r="I371" s="85"/>
      <c r="J371" s="85"/>
      <c r="K371" s="131"/>
      <c r="L371" s="60"/>
    </row>
    <row r="372" spans="1:16" x14ac:dyDescent="0.15">
      <c r="A372" s="166"/>
      <c r="B372" s="82"/>
      <c r="C372" s="70"/>
      <c r="D372" s="70"/>
      <c r="E372" s="70"/>
      <c r="F372" s="70"/>
      <c r="G372" s="70"/>
      <c r="H372" s="93"/>
      <c r="I372" s="85"/>
      <c r="J372" s="85"/>
      <c r="K372" s="131"/>
      <c r="L372" s="60"/>
    </row>
    <row r="373" spans="1:16" x14ac:dyDescent="0.15">
      <c r="A373" s="166"/>
      <c r="B373" s="82"/>
      <c r="C373" s="70"/>
      <c r="D373" s="70"/>
      <c r="E373" s="70"/>
      <c r="F373" s="70"/>
      <c r="G373" s="70"/>
      <c r="H373" s="93"/>
      <c r="I373" s="85"/>
      <c r="J373" s="85"/>
      <c r="K373" s="131"/>
      <c r="L373" s="60"/>
    </row>
    <row r="374" spans="1:16" x14ac:dyDescent="0.15">
      <c r="A374" s="166"/>
      <c r="B374" s="82"/>
      <c r="C374" s="70"/>
      <c r="D374" s="70"/>
      <c r="E374" s="70"/>
      <c r="F374" s="70"/>
      <c r="G374" s="70"/>
      <c r="H374" s="93"/>
      <c r="I374" s="85"/>
      <c r="J374" s="85"/>
      <c r="K374" s="131"/>
      <c r="L374" s="60"/>
    </row>
    <row r="375" spans="1:16" x14ac:dyDescent="0.15">
      <c r="A375" s="166"/>
      <c r="B375" s="82"/>
      <c r="C375" s="70"/>
      <c r="D375" s="70"/>
      <c r="E375" s="70"/>
      <c r="F375" s="70"/>
      <c r="G375" s="70"/>
      <c r="H375" s="93"/>
      <c r="I375" s="85"/>
      <c r="J375" s="85"/>
      <c r="K375" s="131"/>
      <c r="L375" s="60"/>
    </row>
    <row r="376" spans="1:16" x14ac:dyDescent="0.15">
      <c r="A376" s="166"/>
      <c r="B376" s="93"/>
      <c r="C376" s="70"/>
      <c r="D376" s="70"/>
      <c r="E376" s="70"/>
      <c r="F376" s="70"/>
      <c r="G376" s="70"/>
      <c r="H376" s="93"/>
      <c r="I376" s="85"/>
      <c r="J376" s="85"/>
      <c r="K376" s="131"/>
      <c r="L376" s="60"/>
      <c r="M376" s="33"/>
    </row>
    <row r="377" spans="1:16" x14ac:dyDescent="0.15">
      <c r="A377" s="166"/>
      <c r="B377" s="93"/>
      <c r="C377" s="70"/>
      <c r="D377" s="70"/>
      <c r="E377" s="70"/>
      <c r="F377" s="70"/>
      <c r="G377" s="70"/>
      <c r="H377" s="93"/>
      <c r="I377" s="85"/>
      <c r="J377" s="85"/>
      <c r="K377" s="131"/>
      <c r="L377" s="60"/>
      <c r="M377" s="33"/>
    </row>
    <row r="378" spans="1:16" x14ac:dyDescent="0.15">
      <c r="A378" s="166"/>
      <c r="B378" s="82"/>
      <c r="C378" s="70"/>
      <c r="D378" s="70"/>
      <c r="E378" s="70"/>
      <c r="F378" s="70"/>
      <c r="G378" s="70"/>
      <c r="H378" s="93"/>
      <c r="I378" s="85"/>
      <c r="J378" s="85"/>
      <c r="K378" s="131"/>
      <c r="L378" s="60"/>
    </row>
    <row r="379" spans="1:16" x14ac:dyDescent="0.15">
      <c r="A379" s="166"/>
      <c r="B379" s="82"/>
      <c r="C379" s="70"/>
      <c r="D379" s="70"/>
      <c r="E379" s="70"/>
      <c r="F379" s="70"/>
      <c r="G379" s="70"/>
      <c r="H379" s="93"/>
      <c r="I379" s="85"/>
      <c r="J379" s="85"/>
      <c r="K379" s="131"/>
      <c r="L379" s="60"/>
    </row>
    <row r="380" spans="1:16" x14ac:dyDescent="0.15">
      <c r="A380" s="166"/>
      <c r="B380" s="82"/>
      <c r="C380" s="70"/>
      <c r="D380" s="70"/>
      <c r="E380" s="70"/>
      <c r="F380" s="70"/>
      <c r="G380" s="70"/>
      <c r="H380" s="93"/>
      <c r="I380" s="85"/>
      <c r="J380" s="85"/>
      <c r="K380" s="131"/>
      <c r="L380" s="60"/>
    </row>
    <row r="381" spans="1:16" ht="16" x14ac:dyDescent="0.2">
      <c r="A381" s="166"/>
      <c r="B381" s="82"/>
      <c r="C381" s="70"/>
      <c r="D381" s="70"/>
      <c r="E381" s="70"/>
      <c r="F381" s="70"/>
      <c r="G381" s="70"/>
      <c r="H381" s="93"/>
      <c r="I381" s="85"/>
      <c r="J381" s="85"/>
      <c r="K381" s="131"/>
      <c r="L381" s="60"/>
      <c r="M381" s="47"/>
    </row>
    <row r="382" spans="1:16" x14ac:dyDescent="0.15">
      <c r="A382" s="166"/>
      <c r="B382" s="82"/>
      <c r="C382" s="73"/>
      <c r="D382" s="73"/>
      <c r="E382" s="73"/>
      <c r="F382" s="73"/>
      <c r="G382" s="73"/>
      <c r="H382" s="108"/>
      <c r="I382" s="85"/>
      <c r="J382" s="85"/>
      <c r="K382" s="131"/>
      <c r="L382" s="60"/>
    </row>
    <row r="383" spans="1:16" x14ac:dyDescent="0.15">
      <c r="A383" s="166"/>
      <c r="B383" s="82"/>
      <c r="C383" s="70"/>
      <c r="D383" s="70"/>
      <c r="E383" s="70"/>
      <c r="F383" s="70"/>
      <c r="G383" s="70"/>
      <c r="H383" s="93"/>
      <c r="I383" s="85"/>
      <c r="J383" s="85"/>
      <c r="K383" s="131"/>
      <c r="L383" s="60"/>
      <c r="P383" s="35"/>
    </row>
    <row r="384" spans="1:16" x14ac:dyDescent="0.15">
      <c r="A384" s="166"/>
      <c r="B384" s="82"/>
      <c r="C384" s="73"/>
      <c r="D384" s="73"/>
      <c r="E384" s="73"/>
      <c r="F384" s="73"/>
      <c r="G384" s="73"/>
      <c r="H384" s="108"/>
      <c r="I384" s="85"/>
      <c r="J384" s="95"/>
      <c r="K384" s="131"/>
      <c r="L384" s="60"/>
    </row>
    <row r="385" spans="1:16" x14ac:dyDescent="0.15">
      <c r="A385" s="166"/>
      <c r="B385" s="82"/>
      <c r="C385" s="70"/>
      <c r="D385" s="70"/>
      <c r="E385" s="70"/>
      <c r="F385" s="70"/>
      <c r="G385" s="70"/>
      <c r="H385" s="93"/>
      <c r="I385" s="85"/>
      <c r="J385" s="85"/>
      <c r="K385" s="131"/>
      <c r="L385" s="60"/>
    </row>
    <row r="386" spans="1:16" x14ac:dyDescent="0.15">
      <c r="A386" s="166"/>
      <c r="B386" s="82"/>
      <c r="C386" s="70"/>
      <c r="D386" s="70"/>
      <c r="E386" s="70"/>
      <c r="F386" s="70"/>
      <c r="G386" s="70"/>
      <c r="H386" s="93"/>
      <c r="I386" s="85"/>
      <c r="J386" s="85"/>
      <c r="K386" s="131"/>
      <c r="L386" s="60"/>
    </row>
    <row r="387" spans="1:16" x14ac:dyDescent="0.15">
      <c r="A387" s="166"/>
      <c r="B387" s="82"/>
      <c r="C387" s="70"/>
      <c r="D387" s="70"/>
      <c r="E387" s="70"/>
      <c r="F387" s="70"/>
      <c r="G387" s="70"/>
      <c r="H387" s="93"/>
      <c r="I387" s="85"/>
      <c r="J387" s="85"/>
      <c r="K387" s="131"/>
      <c r="L387" s="60"/>
    </row>
    <row r="388" spans="1:16" x14ac:dyDescent="0.15">
      <c r="A388" s="166"/>
      <c r="B388" s="82"/>
      <c r="C388" s="70"/>
      <c r="D388" s="70"/>
      <c r="E388" s="70"/>
      <c r="F388" s="70"/>
      <c r="G388" s="70"/>
      <c r="H388" s="93"/>
      <c r="I388" s="85"/>
      <c r="J388" s="85"/>
      <c r="K388" s="131"/>
      <c r="L388" s="60"/>
    </row>
    <row r="389" spans="1:16" x14ac:dyDescent="0.15">
      <c r="A389" s="166"/>
      <c r="B389" s="82"/>
      <c r="C389" s="70"/>
      <c r="D389" s="70"/>
      <c r="E389" s="70"/>
      <c r="F389" s="70"/>
      <c r="G389" s="70"/>
      <c r="H389" s="93"/>
      <c r="I389" s="85"/>
      <c r="J389" s="85"/>
      <c r="K389" s="131"/>
      <c r="L389" s="60"/>
    </row>
    <row r="390" spans="1:16" x14ac:dyDescent="0.15">
      <c r="A390" s="166"/>
      <c r="B390" s="82"/>
      <c r="C390" s="70"/>
      <c r="D390" s="70"/>
      <c r="E390" s="70"/>
      <c r="F390" s="70"/>
      <c r="G390" s="70"/>
      <c r="H390" s="93"/>
      <c r="I390" s="85"/>
      <c r="J390" s="85"/>
      <c r="K390" s="131"/>
      <c r="L390" s="60"/>
    </row>
    <row r="391" spans="1:16" x14ac:dyDescent="0.15">
      <c r="A391" s="166"/>
      <c r="B391" s="82"/>
      <c r="C391" s="70"/>
      <c r="D391" s="70"/>
      <c r="E391" s="70"/>
      <c r="F391" s="70"/>
      <c r="G391" s="70"/>
      <c r="H391" s="93"/>
      <c r="I391" s="85"/>
      <c r="J391" s="85"/>
      <c r="K391" s="131"/>
      <c r="L391" s="60"/>
    </row>
    <row r="392" spans="1:16" x14ac:dyDescent="0.15">
      <c r="A392" s="166"/>
      <c r="B392" s="82"/>
      <c r="C392" s="70"/>
      <c r="D392" s="70"/>
      <c r="E392" s="70"/>
      <c r="F392" s="70"/>
      <c r="G392" s="70"/>
      <c r="H392" s="93"/>
      <c r="I392" s="85"/>
      <c r="J392" s="85"/>
      <c r="K392" s="131"/>
      <c r="L392" s="60"/>
    </row>
    <row r="393" spans="1:16" x14ac:dyDescent="0.15">
      <c r="A393" s="166"/>
      <c r="B393" s="82"/>
      <c r="C393" s="70"/>
      <c r="D393" s="70"/>
      <c r="E393" s="70"/>
      <c r="F393" s="70"/>
      <c r="G393" s="70"/>
      <c r="H393" s="93"/>
      <c r="I393" s="85"/>
      <c r="J393" s="85"/>
      <c r="K393" s="131"/>
      <c r="L393" s="60"/>
      <c r="P393" s="35"/>
    </row>
    <row r="394" spans="1:16" x14ac:dyDescent="0.15">
      <c r="A394" s="166"/>
      <c r="B394" s="82"/>
      <c r="C394" s="70"/>
      <c r="D394" s="70"/>
      <c r="E394" s="70"/>
      <c r="F394" s="70"/>
      <c r="G394" s="70"/>
      <c r="H394" s="93"/>
      <c r="I394" s="85"/>
      <c r="J394" s="85"/>
      <c r="K394" s="131"/>
      <c r="L394" s="60"/>
    </row>
    <row r="395" spans="1:16" x14ac:dyDescent="0.15">
      <c r="A395" s="166"/>
      <c r="B395" s="82"/>
      <c r="C395" s="70"/>
      <c r="D395" s="70"/>
      <c r="E395" s="70"/>
      <c r="F395" s="70"/>
      <c r="G395" s="70"/>
      <c r="H395" s="93"/>
      <c r="I395" s="85"/>
      <c r="J395" s="85"/>
      <c r="K395" s="131"/>
      <c r="L395" s="60"/>
    </row>
    <row r="396" spans="1:16" x14ac:dyDescent="0.15">
      <c r="A396" s="166"/>
      <c r="B396" s="82"/>
      <c r="C396" s="70"/>
      <c r="D396" s="70"/>
      <c r="E396" s="70"/>
      <c r="F396" s="70"/>
      <c r="G396" s="70"/>
      <c r="H396" s="93"/>
      <c r="I396" s="85"/>
      <c r="J396" s="85"/>
      <c r="K396" s="131"/>
      <c r="L396" s="60"/>
    </row>
    <row r="397" spans="1:16" x14ac:dyDescent="0.15">
      <c r="A397" s="166"/>
      <c r="B397" s="82"/>
      <c r="C397" s="70"/>
      <c r="D397" s="70"/>
      <c r="E397" s="70"/>
      <c r="F397" s="70"/>
      <c r="G397" s="70"/>
      <c r="H397" s="93"/>
      <c r="I397" s="85"/>
      <c r="J397" s="85"/>
      <c r="K397" s="131"/>
      <c r="L397" s="60"/>
    </row>
    <row r="398" spans="1:16" x14ac:dyDescent="0.15">
      <c r="A398" s="166"/>
      <c r="B398" s="82"/>
      <c r="C398" s="70"/>
      <c r="D398" s="70"/>
      <c r="E398" s="70"/>
      <c r="F398" s="70"/>
      <c r="G398" s="70"/>
      <c r="H398" s="93"/>
      <c r="I398" s="85"/>
      <c r="J398" s="85"/>
      <c r="K398" s="131"/>
      <c r="L398" s="60"/>
    </row>
    <row r="399" spans="1:16" x14ac:dyDescent="0.15">
      <c r="A399" s="166"/>
      <c r="B399" s="82"/>
      <c r="C399" s="70"/>
      <c r="D399" s="70"/>
      <c r="E399" s="70"/>
      <c r="F399" s="70"/>
      <c r="G399" s="70"/>
      <c r="H399" s="93"/>
      <c r="I399" s="85"/>
      <c r="J399" s="85"/>
      <c r="K399" s="131"/>
      <c r="L399" s="60"/>
    </row>
    <row r="400" spans="1:16" x14ac:dyDescent="0.15">
      <c r="A400" s="166"/>
      <c r="B400" s="82"/>
      <c r="C400" s="70"/>
      <c r="D400" s="70"/>
      <c r="E400" s="70"/>
      <c r="F400" s="70"/>
      <c r="G400" s="70"/>
      <c r="H400" s="93"/>
      <c r="I400" s="85"/>
      <c r="J400" s="85"/>
      <c r="K400" s="131"/>
      <c r="L400" s="60"/>
    </row>
    <row r="401" spans="1:15" x14ac:dyDescent="0.15">
      <c r="A401" s="166"/>
      <c r="B401" s="82"/>
      <c r="C401" s="70"/>
      <c r="D401" s="70"/>
      <c r="E401" s="70"/>
      <c r="F401" s="70"/>
      <c r="G401" s="70"/>
      <c r="H401" s="93"/>
      <c r="I401" s="85"/>
      <c r="J401" s="85"/>
      <c r="K401" s="131"/>
      <c r="L401" s="60"/>
    </row>
    <row r="402" spans="1:15" x14ac:dyDescent="0.15">
      <c r="A402" s="166"/>
      <c r="B402" s="82"/>
      <c r="C402" s="70"/>
      <c r="D402" s="70"/>
      <c r="E402" s="70"/>
      <c r="F402" s="70"/>
      <c r="G402" s="70"/>
      <c r="H402" s="93"/>
      <c r="I402" s="85"/>
      <c r="J402" s="85"/>
      <c r="K402" s="131"/>
      <c r="L402" s="60"/>
    </row>
    <row r="403" spans="1:15" x14ac:dyDescent="0.15">
      <c r="A403" s="70"/>
      <c r="B403" s="82"/>
      <c r="C403" s="70"/>
      <c r="D403" s="70"/>
      <c r="E403" s="70"/>
      <c r="F403" s="70"/>
      <c r="G403" s="70"/>
      <c r="H403" s="93"/>
      <c r="I403" s="85"/>
      <c r="J403" s="85"/>
      <c r="K403" s="131"/>
      <c r="L403" s="60"/>
    </row>
    <row r="404" spans="1:15" x14ac:dyDescent="0.15">
      <c r="A404" s="70"/>
      <c r="B404" s="82"/>
      <c r="C404" s="70"/>
      <c r="D404" s="70"/>
      <c r="E404" s="70"/>
      <c r="F404" s="70"/>
      <c r="G404" s="70"/>
      <c r="H404" s="93"/>
      <c r="I404" s="85"/>
      <c r="J404" s="85"/>
      <c r="K404" s="131"/>
      <c r="L404" s="60"/>
    </row>
    <row r="405" spans="1:15" x14ac:dyDescent="0.15">
      <c r="A405" s="70"/>
      <c r="B405" s="82"/>
      <c r="C405" s="70"/>
      <c r="D405" s="70"/>
      <c r="E405" s="70"/>
      <c r="F405" s="70"/>
      <c r="G405" s="70"/>
      <c r="H405" s="93"/>
      <c r="I405" s="85"/>
      <c r="J405" s="85"/>
      <c r="K405" s="131"/>
      <c r="L405" s="60"/>
      <c r="O405" s="51"/>
    </row>
    <row r="406" spans="1:15" x14ac:dyDescent="0.15">
      <c r="A406" s="70"/>
      <c r="B406" s="82"/>
      <c r="C406" s="70"/>
      <c r="D406" s="70"/>
      <c r="E406" s="70"/>
      <c r="F406" s="70"/>
      <c r="G406" s="70"/>
      <c r="H406" s="93"/>
      <c r="I406" s="85"/>
      <c r="J406" s="85"/>
      <c r="K406" s="131"/>
      <c r="L406" s="60"/>
    </row>
    <row r="407" spans="1:15" x14ac:dyDescent="0.15">
      <c r="A407" s="73"/>
      <c r="B407" s="82"/>
      <c r="C407" s="70"/>
      <c r="D407" s="70"/>
      <c r="E407" s="70"/>
      <c r="F407" s="70"/>
      <c r="G407" s="70"/>
      <c r="H407" s="93"/>
      <c r="I407" s="85"/>
      <c r="J407" s="85"/>
      <c r="K407" s="131"/>
      <c r="L407" s="60"/>
    </row>
    <row r="408" spans="1:15" x14ac:dyDescent="0.15">
      <c r="A408" s="70"/>
      <c r="B408" s="82"/>
      <c r="C408" s="70"/>
      <c r="D408" s="70"/>
      <c r="E408" s="70"/>
      <c r="F408" s="70"/>
      <c r="G408" s="70"/>
      <c r="H408" s="93"/>
      <c r="I408" s="85"/>
      <c r="J408" s="85"/>
      <c r="K408" s="131"/>
      <c r="L408" s="60"/>
    </row>
    <row r="409" spans="1:15" x14ac:dyDescent="0.15">
      <c r="A409" s="70"/>
      <c r="B409" s="82"/>
      <c r="C409" s="70"/>
      <c r="D409" s="70"/>
      <c r="E409" s="70"/>
      <c r="F409" s="70"/>
      <c r="G409" s="70"/>
      <c r="H409" s="93"/>
      <c r="I409" s="85"/>
      <c r="J409" s="85"/>
      <c r="K409" s="131"/>
      <c r="L409" s="60"/>
    </row>
    <row r="410" spans="1:15" x14ac:dyDescent="0.15">
      <c r="A410" s="70"/>
      <c r="B410" s="82"/>
      <c r="C410" s="70"/>
      <c r="D410" s="70"/>
      <c r="E410" s="70"/>
      <c r="F410" s="70"/>
      <c r="G410" s="70"/>
      <c r="H410" s="93"/>
      <c r="I410" s="85"/>
      <c r="J410" s="85"/>
      <c r="K410" s="131"/>
      <c r="L410" s="60"/>
    </row>
    <row r="411" spans="1:15" x14ac:dyDescent="0.15">
      <c r="A411" s="70"/>
      <c r="B411" s="82"/>
      <c r="C411" s="70"/>
      <c r="D411" s="70"/>
      <c r="E411" s="70"/>
      <c r="F411" s="70"/>
      <c r="G411" s="70"/>
      <c r="H411" s="93"/>
      <c r="I411" s="85"/>
      <c r="J411" s="85"/>
      <c r="K411" s="131"/>
      <c r="L411" s="60"/>
    </row>
    <row r="412" spans="1:15" x14ac:dyDescent="0.15">
      <c r="A412" s="70"/>
      <c r="B412" s="82"/>
      <c r="C412" s="70"/>
      <c r="D412" s="70"/>
      <c r="E412" s="70"/>
      <c r="F412" s="70"/>
      <c r="G412" s="70"/>
      <c r="H412" s="93"/>
      <c r="I412" s="85"/>
      <c r="J412" s="85"/>
      <c r="K412" s="131"/>
      <c r="L412" s="66"/>
    </row>
    <row r="413" spans="1:15" x14ac:dyDescent="0.15">
      <c r="A413" s="73"/>
      <c r="B413" s="82"/>
      <c r="C413" s="70"/>
      <c r="D413" s="70"/>
      <c r="E413" s="70"/>
      <c r="F413" s="70"/>
      <c r="G413" s="70"/>
      <c r="H413" s="93"/>
      <c r="I413" s="85"/>
      <c r="J413" s="85"/>
      <c r="K413" s="131"/>
      <c r="L413" s="60"/>
    </row>
    <row r="414" spans="1:15" x14ac:dyDescent="0.15">
      <c r="A414" s="73"/>
      <c r="B414" s="82"/>
      <c r="C414" s="70"/>
      <c r="D414" s="70"/>
      <c r="E414" s="70"/>
      <c r="F414" s="70"/>
      <c r="G414" s="70"/>
      <c r="H414" s="93"/>
      <c r="I414" s="85"/>
      <c r="J414" s="85"/>
      <c r="K414" s="131"/>
      <c r="L414" s="63"/>
    </row>
    <row r="415" spans="1:15" x14ac:dyDescent="0.15">
      <c r="A415" s="166"/>
      <c r="B415" s="82"/>
      <c r="C415" s="70"/>
      <c r="D415" s="70"/>
      <c r="E415" s="70"/>
      <c r="F415" s="70"/>
      <c r="G415" s="70"/>
      <c r="H415" s="93"/>
      <c r="I415" s="85"/>
      <c r="J415" s="85"/>
      <c r="K415" s="131"/>
      <c r="L415" s="60"/>
    </row>
    <row r="416" spans="1:15" x14ac:dyDescent="0.15">
      <c r="A416" s="70"/>
      <c r="B416" s="82"/>
      <c r="C416" s="70"/>
      <c r="D416" s="70"/>
      <c r="E416" s="70"/>
      <c r="F416" s="70"/>
      <c r="G416" s="70"/>
      <c r="H416" s="93"/>
      <c r="I416" s="85"/>
      <c r="J416" s="85"/>
      <c r="K416" s="131"/>
      <c r="L416" s="60"/>
    </row>
    <row r="417" spans="1:13" x14ac:dyDescent="0.15">
      <c r="A417" s="70"/>
      <c r="B417" s="82"/>
      <c r="C417" s="70"/>
      <c r="D417" s="70"/>
      <c r="E417" s="70"/>
      <c r="F417" s="70"/>
      <c r="G417" s="70"/>
      <c r="H417" s="93"/>
      <c r="I417" s="85"/>
      <c r="J417" s="85"/>
      <c r="K417" s="131"/>
      <c r="L417" s="60"/>
    </row>
    <row r="418" spans="1:13" x14ac:dyDescent="0.15">
      <c r="A418" s="70"/>
      <c r="B418" s="82"/>
      <c r="C418" s="70"/>
      <c r="D418" s="70"/>
      <c r="E418" s="70"/>
      <c r="F418" s="70"/>
      <c r="G418" s="70"/>
      <c r="H418" s="93"/>
      <c r="I418" s="85"/>
      <c r="J418" s="85"/>
      <c r="K418" s="131"/>
      <c r="L418" s="60"/>
    </row>
    <row r="419" spans="1:13" x14ac:dyDescent="0.15">
      <c r="A419" s="70"/>
      <c r="B419" s="82"/>
      <c r="C419" s="70"/>
      <c r="D419" s="70"/>
      <c r="E419" s="70"/>
      <c r="F419" s="70"/>
      <c r="G419" s="70"/>
      <c r="H419" s="93"/>
      <c r="I419" s="85"/>
      <c r="J419" s="85"/>
      <c r="K419" s="131"/>
      <c r="L419" s="60"/>
    </row>
    <row r="420" spans="1:13" x14ac:dyDescent="0.15">
      <c r="A420" s="70"/>
      <c r="B420" s="82"/>
      <c r="C420" s="70"/>
      <c r="D420" s="70"/>
      <c r="E420" s="70"/>
      <c r="F420" s="70"/>
      <c r="G420" s="70"/>
      <c r="H420" s="93"/>
      <c r="I420" s="85"/>
      <c r="J420" s="85"/>
      <c r="K420" s="131"/>
      <c r="L420" s="60"/>
    </row>
    <row r="421" spans="1:13" x14ac:dyDescent="0.15">
      <c r="A421" s="166"/>
      <c r="B421" s="82"/>
      <c r="C421" s="70"/>
      <c r="D421" s="70"/>
      <c r="E421" s="70"/>
      <c r="F421" s="70"/>
      <c r="G421" s="70"/>
      <c r="H421" s="93"/>
      <c r="I421" s="85"/>
      <c r="J421" s="85"/>
      <c r="K421" s="131"/>
      <c r="L421" s="60"/>
    </row>
    <row r="422" spans="1:13" x14ac:dyDescent="0.15">
      <c r="A422" s="70"/>
      <c r="B422" s="82"/>
      <c r="C422" s="70"/>
      <c r="D422" s="70"/>
      <c r="E422" s="70"/>
      <c r="F422" s="70"/>
      <c r="G422" s="70"/>
      <c r="H422" s="93"/>
      <c r="I422" s="85"/>
      <c r="J422" s="85"/>
      <c r="K422" s="131"/>
      <c r="L422" s="60"/>
    </row>
    <row r="423" spans="1:13" x14ac:dyDescent="0.15">
      <c r="A423" s="70"/>
      <c r="B423" s="82"/>
      <c r="C423" s="70"/>
      <c r="D423" s="70"/>
      <c r="E423" s="70"/>
      <c r="F423" s="70"/>
      <c r="G423" s="70"/>
      <c r="H423" s="93"/>
      <c r="I423" s="85"/>
      <c r="J423" s="85"/>
      <c r="K423" s="131"/>
      <c r="L423" s="60"/>
    </row>
    <row r="424" spans="1:13" x14ac:dyDescent="0.15">
      <c r="A424" s="70"/>
      <c r="B424" s="82"/>
      <c r="C424" s="70"/>
      <c r="D424" s="70"/>
      <c r="E424" s="70"/>
      <c r="F424" s="70"/>
      <c r="G424" s="70"/>
      <c r="H424" s="93"/>
      <c r="I424" s="85"/>
      <c r="J424" s="85"/>
      <c r="K424" s="131"/>
      <c r="L424" s="60"/>
    </row>
    <row r="425" spans="1:13" x14ac:dyDescent="0.15">
      <c r="A425" s="70"/>
      <c r="B425" s="82"/>
      <c r="C425" s="70"/>
      <c r="D425" s="70"/>
      <c r="E425" s="70"/>
      <c r="F425" s="70"/>
      <c r="G425" s="70"/>
      <c r="H425" s="93"/>
      <c r="I425" s="85"/>
      <c r="J425" s="85"/>
      <c r="K425" s="131"/>
      <c r="L425" s="60"/>
    </row>
    <row r="426" spans="1:13" x14ac:dyDescent="0.15">
      <c r="A426" s="70"/>
      <c r="B426" s="82"/>
      <c r="C426" s="70"/>
      <c r="D426" s="70"/>
      <c r="E426" s="70"/>
      <c r="F426" s="70"/>
      <c r="G426" s="70"/>
      <c r="H426" s="93"/>
      <c r="I426" s="85"/>
      <c r="J426" s="85"/>
      <c r="K426" s="131"/>
      <c r="L426" s="60"/>
    </row>
    <row r="427" spans="1:13" x14ac:dyDescent="0.15">
      <c r="A427" s="70"/>
      <c r="B427" s="82"/>
      <c r="C427" s="70"/>
      <c r="D427" s="70"/>
      <c r="E427" s="70"/>
      <c r="F427" s="70"/>
      <c r="G427" s="70"/>
      <c r="H427" s="93"/>
      <c r="I427" s="85"/>
      <c r="J427" s="85"/>
      <c r="K427" s="131"/>
      <c r="L427" s="60"/>
    </row>
    <row r="428" spans="1:13" x14ac:dyDescent="0.15">
      <c r="A428" s="166"/>
      <c r="B428" s="82"/>
      <c r="C428" s="70"/>
      <c r="D428" s="70"/>
      <c r="E428" s="70"/>
      <c r="F428" s="70"/>
      <c r="G428" s="70"/>
      <c r="H428" s="93"/>
      <c r="I428" s="85"/>
      <c r="J428" s="85"/>
      <c r="K428" s="131"/>
      <c r="L428" s="60"/>
    </row>
    <row r="429" spans="1:13" x14ac:dyDescent="0.15">
      <c r="A429" s="70"/>
      <c r="B429" s="82"/>
      <c r="C429" s="70"/>
      <c r="D429" s="70"/>
      <c r="E429" s="70"/>
      <c r="F429" s="70"/>
      <c r="G429" s="70"/>
      <c r="H429" s="93"/>
      <c r="I429" s="85"/>
      <c r="J429" s="85"/>
      <c r="K429" s="131"/>
      <c r="L429" s="60"/>
      <c r="M429" s="33"/>
    </row>
    <row r="430" spans="1:13" x14ac:dyDescent="0.15">
      <c r="A430" s="70"/>
      <c r="B430" s="82"/>
      <c r="C430" s="70"/>
      <c r="D430" s="70"/>
      <c r="E430" s="70"/>
      <c r="F430" s="70"/>
      <c r="G430" s="70"/>
      <c r="H430" s="93"/>
      <c r="I430" s="85"/>
      <c r="J430" s="85"/>
      <c r="K430" s="131"/>
      <c r="L430" s="60"/>
      <c r="M430" s="33"/>
    </row>
    <row r="431" spans="1:13" x14ac:dyDescent="0.15">
      <c r="A431" s="70"/>
      <c r="B431" s="82"/>
      <c r="C431" s="70"/>
      <c r="D431" s="70"/>
      <c r="E431" s="70"/>
      <c r="F431" s="70"/>
      <c r="G431" s="70"/>
      <c r="H431" s="93"/>
      <c r="I431" s="85"/>
      <c r="J431" s="85"/>
      <c r="K431" s="134"/>
      <c r="L431" s="63"/>
      <c r="M431" s="33"/>
    </row>
    <row r="432" spans="1:13" x14ac:dyDescent="0.15">
      <c r="A432" s="70"/>
      <c r="B432" s="82"/>
      <c r="C432" s="70"/>
      <c r="D432" s="70"/>
      <c r="E432" s="70"/>
      <c r="F432" s="70"/>
      <c r="G432" s="70"/>
      <c r="H432" s="93"/>
      <c r="I432" s="85"/>
      <c r="J432" s="95"/>
      <c r="K432" s="139"/>
      <c r="L432" s="63"/>
      <c r="M432" s="33"/>
    </row>
    <row r="433" spans="1:15" x14ac:dyDescent="0.15">
      <c r="A433" s="70"/>
      <c r="B433" s="82"/>
      <c r="C433" s="70"/>
      <c r="D433" s="70"/>
      <c r="E433" s="70"/>
      <c r="F433" s="70"/>
      <c r="G433" s="70"/>
      <c r="H433" s="93"/>
      <c r="I433" s="85"/>
      <c r="J433" s="85"/>
      <c r="K433" s="131"/>
      <c r="L433" s="60"/>
    </row>
    <row r="434" spans="1:15" x14ac:dyDescent="0.15">
      <c r="A434" s="70"/>
      <c r="B434" s="82"/>
      <c r="C434" s="70"/>
      <c r="D434" s="70"/>
      <c r="E434" s="70"/>
      <c r="F434" s="70"/>
      <c r="G434" s="70"/>
      <c r="H434" s="93"/>
      <c r="I434" s="85"/>
      <c r="J434" s="85"/>
      <c r="K434" s="131"/>
      <c r="L434" s="60"/>
    </row>
    <row r="435" spans="1:15" x14ac:dyDescent="0.15">
      <c r="A435" s="70"/>
      <c r="B435" s="82"/>
      <c r="C435" s="70"/>
      <c r="D435" s="70"/>
      <c r="E435" s="70"/>
      <c r="F435" s="70"/>
      <c r="G435" s="70"/>
      <c r="H435" s="93"/>
      <c r="I435" s="85"/>
      <c r="J435" s="85"/>
      <c r="K435" s="131"/>
      <c r="L435" s="60"/>
    </row>
    <row r="436" spans="1:15" x14ac:dyDescent="0.15">
      <c r="A436" s="70"/>
      <c r="B436" s="82"/>
      <c r="C436" s="73"/>
      <c r="D436" s="73"/>
      <c r="E436" s="73"/>
      <c r="F436" s="73"/>
      <c r="G436" s="73"/>
      <c r="H436" s="108"/>
      <c r="I436" s="85"/>
      <c r="J436" s="85"/>
      <c r="K436" s="131"/>
      <c r="L436" s="66"/>
    </row>
    <row r="437" spans="1:15" x14ac:dyDescent="0.15">
      <c r="A437" s="70"/>
      <c r="B437" s="93"/>
      <c r="C437" s="70"/>
      <c r="D437" s="70"/>
      <c r="E437" s="70"/>
      <c r="F437" s="70"/>
      <c r="G437" s="70"/>
      <c r="H437" s="93"/>
      <c r="I437" s="85"/>
      <c r="J437" s="85"/>
      <c r="K437" s="131"/>
      <c r="L437" s="60"/>
      <c r="O437" s="33"/>
    </row>
    <row r="438" spans="1:15" x14ac:dyDescent="0.15">
      <c r="A438" s="70"/>
      <c r="B438" s="82"/>
      <c r="C438" s="70"/>
      <c r="D438" s="70"/>
      <c r="E438" s="70"/>
      <c r="F438" s="70"/>
      <c r="G438" s="70"/>
      <c r="H438" s="93"/>
      <c r="I438" s="85"/>
      <c r="J438" s="85"/>
      <c r="K438" s="131"/>
      <c r="L438" s="60"/>
      <c r="M438" s="33"/>
    </row>
    <row r="439" spans="1:15" x14ac:dyDescent="0.15">
      <c r="A439" s="70"/>
      <c r="B439" s="93"/>
      <c r="C439" s="70"/>
      <c r="D439" s="70"/>
      <c r="E439" s="70"/>
      <c r="F439" s="70"/>
      <c r="G439" s="70"/>
      <c r="H439" s="93"/>
      <c r="I439" s="85"/>
      <c r="J439" s="85"/>
      <c r="K439" s="131"/>
      <c r="L439" s="60"/>
      <c r="M439" s="33"/>
    </row>
    <row r="440" spans="1:15" x14ac:dyDescent="0.15">
      <c r="A440" s="70"/>
      <c r="B440" s="93"/>
      <c r="C440" s="70"/>
      <c r="D440" s="70"/>
      <c r="E440" s="70"/>
      <c r="F440" s="70"/>
      <c r="G440" s="70"/>
      <c r="H440" s="93"/>
      <c r="I440" s="85"/>
      <c r="J440" s="85"/>
      <c r="K440" s="131"/>
      <c r="L440" s="60"/>
      <c r="M440" s="33"/>
    </row>
    <row r="441" spans="1:15" x14ac:dyDescent="0.15">
      <c r="A441" s="70"/>
      <c r="B441" s="82"/>
      <c r="C441" s="70"/>
      <c r="D441" s="70"/>
      <c r="E441" s="70"/>
      <c r="F441" s="70"/>
      <c r="G441" s="70"/>
      <c r="H441" s="93"/>
      <c r="I441" s="85"/>
      <c r="J441" s="85"/>
      <c r="K441" s="131"/>
      <c r="L441" s="60"/>
      <c r="M441" s="33"/>
    </row>
    <row r="442" spans="1:15" x14ac:dyDescent="0.15">
      <c r="A442" s="70"/>
      <c r="B442" s="82"/>
      <c r="C442" s="70"/>
      <c r="D442" s="70"/>
      <c r="E442" s="70"/>
      <c r="F442" s="70"/>
      <c r="G442" s="70"/>
      <c r="H442" s="93"/>
      <c r="I442" s="85"/>
      <c r="J442" s="85"/>
      <c r="K442" s="131"/>
      <c r="L442" s="60"/>
      <c r="M442" s="33"/>
    </row>
    <row r="443" spans="1:15" x14ac:dyDescent="0.15">
      <c r="A443" s="70"/>
      <c r="B443" s="82"/>
      <c r="C443" s="70"/>
      <c r="D443" s="70"/>
      <c r="E443" s="70"/>
      <c r="F443" s="70"/>
      <c r="G443" s="70"/>
      <c r="H443" s="93"/>
      <c r="I443" s="85"/>
      <c r="J443" s="85"/>
      <c r="K443" s="131"/>
      <c r="L443" s="60"/>
      <c r="M443" s="33"/>
    </row>
    <row r="444" spans="1:15" ht="16" x14ac:dyDescent="0.2">
      <c r="A444" s="70"/>
      <c r="B444" s="96"/>
      <c r="C444" s="73"/>
      <c r="D444" s="73"/>
      <c r="E444" s="70"/>
      <c r="F444" s="73"/>
      <c r="G444" s="73"/>
      <c r="H444" s="108"/>
      <c r="I444" s="85"/>
      <c r="J444" s="95"/>
      <c r="K444" s="131"/>
      <c r="L444" s="60"/>
      <c r="M444" s="47"/>
    </row>
    <row r="445" spans="1:15" x14ac:dyDescent="0.15">
      <c r="A445" s="70"/>
      <c r="B445" s="82"/>
      <c r="C445" s="70"/>
      <c r="D445" s="70"/>
      <c r="E445" s="70"/>
      <c r="F445" s="70"/>
      <c r="G445" s="70"/>
      <c r="H445" s="93"/>
      <c r="I445" s="85"/>
      <c r="J445" s="85"/>
      <c r="K445" s="131"/>
      <c r="L445" s="60"/>
      <c r="M445" s="33"/>
    </row>
    <row r="446" spans="1:15" x14ac:dyDescent="0.15">
      <c r="A446" s="70"/>
      <c r="B446" s="93"/>
      <c r="C446" s="70"/>
      <c r="D446" s="70"/>
      <c r="E446" s="70"/>
      <c r="F446" s="70"/>
      <c r="G446" s="70"/>
      <c r="H446" s="93"/>
      <c r="I446" s="85"/>
      <c r="J446" s="85"/>
      <c r="K446" s="131"/>
      <c r="L446" s="60"/>
      <c r="M446" s="33"/>
    </row>
    <row r="447" spans="1:15" x14ac:dyDescent="0.15">
      <c r="A447" s="70"/>
      <c r="B447" s="96"/>
      <c r="C447" s="70"/>
      <c r="D447" s="70"/>
      <c r="E447" s="70"/>
      <c r="F447" s="70"/>
      <c r="G447" s="70"/>
      <c r="H447" s="93"/>
      <c r="I447" s="85"/>
      <c r="J447" s="85"/>
      <c r="K447" s="134"/>
      <c r="L447" s="63"/>
      <c r="M447" s="33"/>
    </row>
    <row r="448" spans="1:15" x14ac:dyDescent="0.15">
      <c r="A448" s="70"/>
      <c r="B448" s="82"/>
      <c r="C448" s="70"/>
      <c r="D448" s="70"/>
      <c r="E448" s="70"/>
      <c r="F448" s="70"/>
      <c r="G448" s="70"/>
      <c r="H448" s="93"/>
      <c r="I448" s="85"/>
      <c r="J448" s="85"/>
      <c r="K448" s="131"/>
      <c r="L448" s="60"/>
      <c r="M448" s="33"/>
    </row>
    <row r="449" spans="1:14" x14ac:dyDescent="0.15">
      <c r="A449" s="70"/>
      <c r="B449" s="82"/>
      <c r="C449" s="70"/>
      <c r="D449" s="70"/>
      <c r="E449" s="70"/>
      <c r="F449" s="70"/>
      <c r="G449" s="70"/>
      <c r="H449" s="93"/>
      <c r="I449" s="85"/>
      <c r="J449" s="85"/>
      <c r="K449" s="131"/>
      <c r="L449" s="60"/>
    </row>
    <row r="450" spans="1:14" ht="16" x14ac:dyDescent="0.2">
      <c r="A450" s="70"/>
      <c r="B450" s="82"/>
      <c r="C450" s="70"/>
      <c r="D450" s="70"/>
      <c r="E450" s="70"/>
      <c r="F450" s="70"/>
      <c r="G450" s="70"/>
      <c r="H450" s="93"/>
      <c r="I450" s="85"/>
      <c r="J450" s="85"/>
      <c r="K450" s="131"/>
      <c r="L450" s="60"/>
      <c r="M450" s="47"/>
    </row>
    <row r="451" spans="1:14" x14ac:dyDescent="0.15">
      <c r="A451" s="166"/>
      <c r="B451" s="82"/>
      <c r="C451" s="70"/>
      <c r="D451" s="70"/>
      <c r="E451" s="70"/>
      <c r="F451" s="70"/>
      <c r="G451" s="70"/>
      <c r="H451" s="93"/>
      <c r="I451" s="85"/>
      <c r="J451" s="85"/>
      <c r="K451" s="131"/>
      <c r="L451" s="60"/>
    </row>
    <row r="452" spans="1:14" x14ac:dyDescent="0.15">
      <c r="A452" s="70"/>
      <c r="B452" s="82"/>
      <c r="C452" s="70"/>
      <c r="D452" s="70"/>
      <c r="E452" s="73"/>
      <c r="F452" s="70"/>
      <c r="G452" s="70"/>
      <c r="H452" s="93"/>
      <c r="I452" s="85"/>
      <c r="J452" s="85"/>
      <c r="K452" s="131"/>
      <c r="L452" s="60"/>
    </row>
    <row r="453" spans="1:14" ht="16" x14ac:dyDescent="0.2">
      <c r="A453" s="70"/>
      <c r="B453" s="82"/>
      <c r="C453" s="70"/>
      <c r="D453" s="70"/>
      <c r="E453" s="70"/>
      <c r="F453" s="70"/>
      <c r="G453" s="70"/>
      <c r="H453" s="93"/>
      <c r="I453" s="85"/>
      <c r="J453" s="85"/>
      <c r="K453" s="131"/>
      <c r="L453" s="60"/>
      <c r="M453" s="33"/>
      <c r="N453" s="48"/>
    </row>
    <row r="454" spans="1:14" x14ac:dyDescent="0.15">
      <c r="A454" s="70"/>
      <c r="B454" s="82"/>
      <c r="C454" s="70"/>
      <c r="D454" s="70"/>
      <c r="E454" s="70"/>
      <c r="F454" s="70"/>
      <c r="G454" s="70"/>
      <c r="H454" s="93"/>
      <c r="I454" s="85"/>
      <c r="J454" s="85"/>
      <c r="K454" s="131"/>
      <c r="L454" s="60"/>
    </row>
    <row r="455" spans="1:14" x14ac:dyDescent="0.15">
      <c r="A455" s="70"/>
      <c r="B455" s="82"/>
      <c r="C455" s="70"/>
      <c r="D455" s="70"/>
      <c r="E455" s="70"/>
      <c r="F455" s="70"/>
      <c r="G455" s="70"/>
      <c r="H455" s="93"/>
      <c r="I455" s="85"/>
      <c r="J455" s="85"/>
      <c r="K455" s="131"/>
      <c r="L455" s="60"/>
      <c r="M455" s="33"/>
    </row>
    <row r="456" spans="1:14" x14ac:dyDescent="0.15">
      <c r="A456" s="70"/>
      <c r="B456" s="82"/>
      <c r="C456" s="70"/>
      <c r="D456" s="70"/>
      <c r="E456" s="70"/>
      <c r="F456" s="70"/>
      <c r="G456" s="70"/>
      <c r="H456" s="93"/>
      <c r="I456" s="85"/>
      <c r="J456" s="85"/>
      <c r="K456" s="131"/>
      <c r="L456" s="60"/>
    </row>
    <row r="457" spans="1:14" x14ac:dyDescent="0.15">
      <c r="A457" s="70"/>
      <c r="B457" s="82"/>
      <c r="C457" s="70"/>
      <c r="D457" s="70"/>
      <c r="E457" s="70"/>
      <c r="F457" s="70"/>
      <c r="G457" s="70"/>
      <c r="H457" s="93"/>
      <c r="I457" s="85"/>
      <c r="J457" s="85"/>
      <c r="K457" s="131"/>
      <c r="L457" s="60"/>
    </row>
    <row r="458" spans="1:14" ht="16" x14ac:dyDescent="0.2">
      <c r="A458" s="70"/>
      <c r="B458" s="82"/>
      <c r="C458" s="70"/>
      <c r="D458" s="70"/>
      <c r="E458" s="70"/>
      <c r="F458" s="70"/>
      <c r="G458" s="70"/>
      <c r="H458" s="93"/>
      <c r="I458" s="85"/>
      <c r="J458" s="85"/>
      <c r="K458" s="131"/>
      <c r="L458" s="60"/>
      <c r="M458" s="47"/>
    </row>
    <row r="459" spans="1:14" x14ac:dyDescent="0.15">
      <c r="A459" s="70"/>
      <c r="B459" s="82"/>
      <c r="C459" s="70"/>
      <c r="D459" s="70"/>
      <c r="E459" s="70"/>
      <c r="F459" s="70"/>
      <c r="G459" s="70"/>
      <c r="H459" s="93"/>
      <c r="I459" s="85"/>
      <c r="J459" s="85"/>
      <c r="K459" s="131"/>
      <c r="L459" s="60"/>
    </row>
    <row r="460" spans="1:14" ht="16" x14ac:dyDescent="0.2">
      <c r="A460" s="70"/>
      <c r="B460" s="93"/>
      <c r="C460" s="70"/>
      <c r="D460" s="70"/>
      <c r="E460" s="70"/>
      <c r="F460" s="70"/>
      <c r="G460" s="70"/>
      <c r="H460" s="93"/>
      <c r="I460" s="85"/>
      <c r="J460" s="85"/>
      <c r="K460" s="131"/>
      <c r="L460" s="60"/>
      <c r="M460" s="47"/>
      <c r="N460" s="48"/>
    </row>
    <row r="461" spans="1:14" x14ac:dyDescent="0.15">
      <c r="A461" s="70"/>
      <c r="B461" s="82"/>
      <c r="C461" s="70"/>
      <c r="D461" s="70"/>
      <c r="E461" s="70"/>
      <c r="F461" s="70"/>
      <c r="G461" s="70"/>
      <c r="H461" s="93"/>
      <c r="I461" s="85"/>
      <c r="J461" s="85"/>
      <c r="K461" s="131"/>
      <c r="L461" s="60"/>
    </row>
    <row r="462" spans="1:14" x14ac:dyDescent="0.15">
      <c r="A462" s="70"/>
      <c r="B462" s="82"/>
      <c r="C462" s="70"/>
      <c r="D462" s="70"/>
      <c r="E462" s="70"/>
      <c r="F462" s="70"/>
      <c r="G462" s="70"/>
      <c r="H462" s="93"/>
      <c r="I462" s="85"/>
      <c r="J462" s="85"/>
      <c r="K462" s="131"/>
      <c r="L462" s="60"/>
      <c r="M462" s="33"/>
    </row>
    <row r="463" spans="1:14" ht="16" x14ac:dyDescent="0.2">
      <c r="A463" s="70"/>
      <c r="B463" s="93"/>
      <c r="C463" s="70"/>
      <c r="D463" s="70"/>
      <c r="E463" s="70"/>
      <c r="F463" s="70"/>
      <c r="G463" s="70"/>
      <c r="H463" s="93"/>
      <c r="I463" s="85"/>
      <c r="J463" s="85"/>
      <c r="K463" s="131"/>
      <c r="L463" s="60"/>
      <c r="M463" s="47"/>
      <c r="N463" s="48"/>
    </row>
    <row r="464" spans="1:14" x14ac:dyDescent="0.15">
      <c r="A464" s="70"/>
      <c r="B464" s="82"/>
      <c r="C464" s="70"/>
      <c r="D464" s="70"/>
      <c r="E464" s="70"/>
      <c r="F464" s="70"/>
      <c r="G464" s="70"/>
      <c r="H464" s="93"/>
      <c r="I464" s="85"/>
      <c r="J464" s="85"/>
      <c r="K464" s="131"/>
      <c r="L464" s="60"/>
      <c r="M464" s="33"/>
    </row>
    <row r="465" spans="1:26" x14ac:dyDescent="0.15">
      <c r="A465" s="70"/>
      <c r="B465" s="93"/>
      <c r="C465" s="70"/>
      <c r="D465" s="70"/>
      <c r="E465" s="70"/>
      <c r="F465" s="70"/>
      <c r="G465" s="70"/>
      <c r="H465" s="93"/>
      <c r="I465" s="85"/>
      <c r="J465" s="85"/>
      <c r="K465" s="131"/>
      <c r="L465" s="60"/>
      <c r="M465" s="33"/>
    </row>
    <row r="466" spans="1:26" x14ac:dyDescent="0.15">
      <c r="A466" s="70"/>
      <c r="B466" s="82"/>
      <c r="C466" s="70"/>
      <c r="D466" s="70"/>
      <c r="E466" s="70"/>
      <c r="F466" s="70"/>
      <c r="G466" s="70"/>
      <c r="H466" s="93"/>
      <c r="I466" s="85"/>
      <c r="J466" s="85"/>
      <c r="K466" s="131"/>
      <c r="L466" s="60"/>
      <c r="M466" s="33"/>
    </row>
    <row r="467" spans="1:26" ht="16" x14ac:dyDescent="0.2">
      <c r="A467" s="70"/>
      <c r="B467" s="82"/>
      <c r="C467" s="70"/>
      <c r="D467" s="70"/>
      <c r="E467" s="70"/>
      <c r="F467" s="70"/>
      <c r="G467" s="70"/>
      <c r="H467" s="93"/>
      <c r="I467" s="85"/>
      <c r="J467" s="85"/>
      <c r="K467" s="131"/>
      <c r="L467" s="60"/>
      <c r="M467" s="47"/>
    </row>
    <row r="468" spans="1:26" x14ac:dyDescent="0.15">
      <c r="A468" s="70"/>
      <c r="B468" s="82"/>
      <c r="C468" s="70"/>
      <c r="D468" s="70"/>
      <c r="E468" s="70"/>
      <c r="F468" s="70"/>
      <c r="G468" s="70"/>
      <c r="H468" s="93"/>
      <c r="I468" s="85"/>
      <c r="J468" s="85"/>
      <c r="K468" s="131"/>
      <c r="L468" s="60"/>
      <c r="P468" s="35"/>
    </row>
    <row r="469" spans="1:26" x14ac:dyDescent="0.15">
      <c r="A469" s="70"/>
      <c r="B469" s="82"/>
      <c r="C469" s="70"/>
      <c r="D469" s="70"/>
      <c r="E469" s="70"/>
      <c r="F469" s="70"/>
      <c r="G469" s="70"/>
      <c r="H469" s="93"/>
      <c r="I469" s="85"/>
      <c r="J469" s="85"/>
      <c r="K469" s="131"/>
      <c r="L469" s="60"/>
      <c r="O469" s="33"/>
    </row>
    <row r="470" spans="1:26" x14ac:dyDescent="0.15">
      <c r="A470" s="70"/>
      <c r="B470" s="82"/>
      <c r="C470" s="70"/>
      <c r="D470" s="70"/>
      <c r="E470" s="70"/>
      <c r="F470" s="70"/>
      <c r="G470" s="70"/>
      <c r="H470" s="93"/>
      <c r="I470" s="85"/>
      <c r="J470" s="85"/>
      <c r="K470" s="131"/>
      <c r="L470" s="60"/>
      <c r="M470" s="32"/>
    </row>
    <row r="471" spans="1:26" x14ac:dyDescent="0.15">
      <c r="A471" s="70"/>
      <c r="B471" s="82"/>
      <c r="C471" s="70"/>
      <c r="D471" s="70"/>
      <c r="E471" s="70"/>
      <c r="F471" s="70"/>
      <c r="G471" s="70"/>
      <c r="H471" s="93"/>
      <c r="I471" s="85"/>
      <c r="J471" s="85"/>
      <c r="K471" s="131"/>
      <c r="L471" s="60"/>
      <c r="M471" s="33"/>
    </row>
    <row r="472" spans="1:26" ht="16" x14ac:dyDescent="0.2">
      <c r="A472" s="70"/>
      <c r="B472" s="82"/>
      <c r="C472" s="70"/>
      <c r="D472" s="70"/>
      <c r="E472" s="70"/>
      <c r="F472" s="70"/>
      <c r="G472" s="70"/>
      <c r="H472" s="93"/>
      <c r="I472" s="85"/>
      <c r="J472" s="85"/>
      <c r="K472" s="131"/>
      <c r="L472" s="60"/>
      <c r="M472" s="33"/>
      <c r="N472" s="48"/>
      <c r="S472"/>
      <c r="T472"/>
      <c r="U472"/>
      <c r="V472"/>
      <c r="W472"/>
      <c r="X472"/>
      <c r="Y472"/>
      <c r="Z472"/>
    </row>
    <row r="473" spans="1:26" x14ac:dyDescent="0.15">
      <c r="A473" s="70"/>
      <c r="B473" s="82"/>
      <c r="C473" s="70"/>
      <c r="D473" s="70"/>
      <c r="E473" s="70"/>
      <c r="F473" s="70"/>
      <c r="G473" s="70"/>
      <c r="H473" s="93"/>
      <c r="I473" s="85"/>
      <c r="J473" s="85"/>
      <c r="K473" s="131"/>
      <c r="L473" s="60"/>
      <c r="M473" s="33"/>
    </row>
    <row r="474" spans="1:26" ht="16" x14ac:dyDescent="0.2">
      <c r="A474" s="70"/>
      <c r="B474" s="82"/>
      <c r="C474" s="70"/>
      <c r="D474" s="70"/>
      <c r="E474" s="70"/>
      <c r="F474" s="70"/>
      <c r="G474" s="70"/>
      <c r="H474" s="93"/>
      <c r="I474" s="85"/>
      <c r="J474" s="85"/>
      <c r="K474" s="131"/>
      <c r="L474" s="60"/>
      <c r="N474" s="48"/>
    </row>
    <row r="475" spans="1:26" x14ac:dyDescent="0.15">
      <c r="A475" s="70"/>
      <c r="B475" s="82"/>
      <c r="C475" s="70"/>
      <c r="D475" s="70"/>
      <c r="E475" s="70"/>
      <c r="F475" s="70"/>
      <c r="G475" s="70"/>
      <c r="H475" s="93"/>
      <c r="I475" s="85"/>
      <c r="J475" s="85"/>
      <c r="K475" s="131"/>
      <c r="L475" s="60"/>
    </row>
    <row r="476" spans="1:26" x14ac:dyDescent="0.15">
      <c r="A476" s="70"/>
      <c r="B476" s="82"/>
      <c r="C476" s="70"/>
      <c r="D476" s="70"/>
      <c r="E476" s="70"/>
      <c r="F476" s="70"/>
      <c r="G476" s="70"/>
      <c r="H476" s="93"/>
      <c r="I476" s="85"/>
      <c r="J476" s="85"/>
      <c r="K476" s="131"/>
      <c r="L476" s="60"/>
    </row>
    <row r="477" spans="1:26" x14ac:dyDescent="0.15">
      <c r="A477" s="70"/>
      <c r="B477" s="93"/>
      <c r="C477" s="70"/>
      <c r="D477" s="70"/>
      <c r="E477" s="70"/>
      <c r="F477" s="70"/>
      <c r="G477" s="70"/>
      <c r="H477" s="93"/>
      <c r="I477" s="85"/>
      <c r="J477" s="85"/>
      <c r="K477" s="131"/>
      <c r="L477" s="60"/>
      <c r="M477" s="33"/>
    </row>
    <row r="478" spans="1:26" x14ac:dyDescent="0.15">
      <c r="A478" s="70"/>
      <c r="B478" s="82"/>
      <c r="C478" s="70"/>
      <c r="D478" s="70"/>
      <c r="E478" s="70"/>
      <c r="F478" s="70"/>
      <c r="G478" s="70"/>
      <c r="H478" s="93"/>
      <c r="I478" s="85"/>
      <c r="J478" s="85"/>
      <c r="K478" s="131"/>
      <c r="L478" s="60"/>
    </row>
    <row r="479" spans="1:26" x14ac:dyDescent="0.15">
      <c r="A479" s="70"/>
      <c r="B479" s="82"/>
      <c r="C479" s="70"/>
      <c r="D479" s="70"/>
      <c r="E479" s="70"/>
      <c r="F479" s="70"/>
      <c r="G479" s="70"/>
      <c r="H479" s="93"/>
      <c r="I479" s="85"/>
      <c r="J479" s="85"/>
      <c r="K479" s="131"/>
      <c r="L479" s="60"/>
    </row>
    <row r="480" spans="1:26" x14ac:dyDescent="0.15">
      <c r="A480" s="70"/>
      <c r="B480" s="82"/>
      <c r="C480" s="70"/>
      <c r="D480" s="70"/>
      <c r="E480" s="70"/>
      <c r="F480" s="70"/>
      <c r="G480" s="70"/>
      <c r="H480" s="93"/>
      <c r="I480" s="85"/>
      <c r="J480" s="85"/>
      <c r="K480" s="131"/>
      <c r="L480" s="60"/>
      <c r="M480" s="33"/>
    </row>
    <row r="481" spans="1:13" x14ac:dyDescent="0.15">
      <c r="A481" s="166"/>
      <c r="B481" s="82"/>
      <c r="C481" s="70"/>
      <c r="D481" s="70"/>
      <c r="E481" s="70"/>
      <c r="F481" s="70"/>
      <c r="G481" s="70"/>
      <c r="H481" s="93"/>
      <c r="I481" s="85"/>
      <c r="J481" s="85"/>
      <c r="K481" s="131"/>
      <c r="L481" s="60"/>
      <c r="M481" s="33"/>
    </row>
    <row r="482" spans="1:13" x14ac:dyDescent="0.15">
      <c r="A482" s="70"/>
      <c r="B482" s="82"/>
      <c r="C482" s="70"/>
      <c r="D482" s="70"/>
      <c r="E482" s="70"/>
      <c r="F482" s="70"/>
      <c r="G482" s="70"/>
      <c r="H482" s="93"/>
      <c r="I482" s="85"/>
      <c r="J482" s="85"/>
      <c r="K482" s="131"/>
      <c r="L482" s="60"/>
    </row>
    <row r="483" spans="1:13" x14ac:dyDescent="0.15">
      <c r="A483" s="70"/>
      <c r="B483" s="82"/>
      <c r="C483" s="70"/>
      <c r="D483" s="70"/>
      <c r="E483" s="70"/>
      <c r="F483" s="70"/>
      <c r="G483" s="70"/>
      <c r="H483" s="93"/>
      <c r="I483" s="85"/>
      <c r="J483" s="85"/>
      <c r="K483" s="131"/>
      <c r="L483" s="60"/>
    </row>
    <row r="484" spans="1:13" x14ac:dyDescent="0.15">
      <c r="A484" s="70"/>
      <c r="B484" s="82"/>
      <c r="C484" s="70"/>
      <c r="D484" s="70"/>
      <c r="E484" s="70"/>
      <c r="F484" s="70"/>
      <c r="G484" s="70"/>
      <c r="H484" s="93"/>
      <c r="I484" s="85"/>
      <c r="J484" s="85"/>
      <c r="K484" s="131"/>
      <c r="L484" s="60"/>
      <c r="M484" s="33"/>
    </row>
    <row r="485" spans="1:13" x14ac:dyDescent="0.15">
      <c r="A485" s="70"/>
      <c r="B485" s="82"/>
      <c r="C485" s="70"/>
      <c r="D485" s="70"/>
      <c r="E485" s="70"/>
      <c r="F485" s="70"/>
      <c r="G485" s="70"/>
      <c r="H485" s="93"/>
      <c r="I485" s="85"/>
      <c r="J485" s="85"/>
      <c r="K485" s="131"/>
      <c r="L485" s="60"/>
    </row>
    <row r="486" spans="1:13" x14ac:dyDescent="0.15">
      <c r="A486" s="70"/>
      <c r="B486" s="82"/>
      <c r="C486" s="70"/>
      <c r="D486" s="70"/>
      <c r="E486" s="70"/>
      <c r="F486" s="70"/>
      <c r="G486" s="70"/>
      <c r="H486" s="93"/>
      <c r="I486" s="85"/>
      <c r="J486" s="85"/>
      <c r="K486" s="131"/>
      <c r="L486" s="60"/>
      <c r="M486" s="33"/>
    </row>
    <row r="487" spans="1:13" ht="16" x14ac:dyDescent="0.2">
      <c r="A487" s="73"/>
      <c r="B487" s="82"/>
      <c r="C487" s="70"/>
      <c r="D487" s="70"/>
      <c r="E487" s="70"/>
      <c r="F487" s="70"/>
      <c r="G487" s="70"/>
      <c r="H487" s="93"/>
      <c r="I487" s="85"/>
      <c r="J487" s="85"/>
      <c r="K487" s="131"/>
      <c r="L487" s="60"/>
      <c r="M487" s="47"/>
    </row>
    <row r="488" spans="1:13" x14ac:dyDescent="0.15">
      <c r="A488" s="70"/>
      <c r="B488" s="82"/>
      <c r="C488" s="70"/>
      <c r="D488" s="70"/>
      <c r="E488" s="70"/>
      <c r="F488" s="70"/>
      <c r="G488" s="70"/>
      <c r="H488" s="93"/>
      <c r="I488" s="85"/>
      <c r="J488" s="85"/>
      <c r="K488" s="131"/>
      <c r="L488" s="60"/>
      <c r="M488" s="33"/>
    </row>
    <row r="489" spans="1:13" x14ac:dyDescent="0.15">
      <c r="A489" s="70"/>
      <c r="B489" s="82"/>
      <c r="C489" s="70"/>
      <c r="D489" s="70"/>
      <c r="E489" s="70"/>
      <c r="F489" s="70"/>
      <c r="G489" s="70"/>
      <c r="H489" s="93"/>
      <c r="I489" s="85"/>
      <c r="J489" s="85"/>
      <c r="K489" s="131"/>
      <c r="L489" s="60"/>
    </row>
    <row r="490" spans="1:13" x14ac:dyDescent="0.15">
      <c r="A490" s="70"/>
      <c r="B490" s="82"/>
      <c r="C490" s="70"/>
      <c r="D490" s="70"/>
      <c r="E490" s="70"/>
      <c r="F490" s="70"/>
      <c r="G490" s="70"/>
      <c r="H490" s="93"/>
      <c r="I490" s="85"/>
      <c r="J490" s="85"/>
      <c r="K490" s="131"/>
      <c r="L490" s="60"/>
      <c r="M490" s="33"/>
    </row>
    <row r="491" spans="1:13" ht="16" x14ac:dyDescent="0.2">
      <c r="A491" s="70"/>
      <c r="B491" s="82"/>
      <c r="C491" s="70"/>
      <c r="D491" s="70"/>
      <c r="E491" s="70"/>
      <c r="F491" s="70"/>
      <c r="G491" s="70"/>
      <c r="H491" s="93"/>
      <c r="I491" s="85"/>
      <c r="J491" s="85"/>
      <c r="K491" s="131"/>
      <c r="L491" s="60"/>
      <c r="M491" s="47"/>
    </row>
    <row r="492" spans="1:13" x14ac:dyDescent="0.15">
      <c r="A492" s="70"/>
      <c r="B492" s="82"/>
      <c r="C492" s="70"/>
      <c r="D492" s="70"/>
      <c r="E492" s="70"/>
      <c r="F492" s="70"/>
      <c r="G492" s="70"/>
      <c r="H492" s="93"/>
      <c r="I492" s="85"/>
      <c r="J492" s="85"/>
      <c r="K492" s="131"/>
      <c r="L492" s="60"/>
    </row>
    <row r="493" spans="1:13" x14ac:dyDescent="0.15">
      <c r="A493" s="70"/>
      <c r="B493" s="82"/>
      <c r="C493" s="70"/>
      <c r="D493" s="70"/>
      <c r="E493" s="70"/>
      <c r="F493" s="70"/>
      <c r="G493" s="70"/>
      <c r="H493" s="93"/>
      <c r="I493" s="85"/>
      <c r="J493" s="85"/>
      <c r="K493" s="131"/>
      <c r="L493" s="60"/>
      <c r="M493" s="33"/>
    </row>
    <row r="494" spans="1:13" x14ac:dyDescent="0.15">
      <c r="A494" s="70"/>
      <c r="B494" s="82"/>
      <c r="C494" s="73"/>
      <c r="D494" s="73"/>
      <c r="E494" s="70"/>
      <c r="F494" s="73"/>
      <c r="G494" s="73"/>
      <c r="H494" s="108"/>
      <c r="I494" s="85"/>
      <c r="J494" s="95"/>
      <c r="K494" s="131"/>
      <c r="L494" s="60"/>
      <c r="M494" s="33"/>
    </row>
    <row r="495" spans="1:13" ht="16" x14ac:dyDescent="0.2">
      <c r="A495" s="70"/>
      <c r="B495" s="82"/>
      <c r="C495" s="70"/>
      <c r="D495" s="70"/>
      <c r="E495" s="73"/>
      <c r="F495" s="70"/>
      <c r="G495" s="70"/>
      <c r="H495" s="93"/>
      <c r="I495" s="85"/>
      <c r="J495" s="85"/>
      <c r="K495" s="131"/>
      <c r="L495" s="60"/>
      <c r="M495" s="47"/>
    </row>
    <row r="496" spans="1:13" x14ac:dyDescent="0.15">
      <c r="A496" s="70"/>
      <c r="B496" s="82"/>
      <c r="C496" s="70"/>
      <c r="D496" s="70"/>
      <c r="E496" s="70"/>
      <c r="F496" s="70"/>
      <c r="G496" s="70"/>
      <c r="H496" s="93"/>
      <c r="I496" s="85"/>
      <c r="J496" s="85"/>
      <c r="K496" s="131"/>
      <c r="L496" s="60"/>
      <c r="M496" s="33"/>
    </row>
    <row r="497" spans="1:13" x14ac:dyDescent="0.15">
      <c r="A497" s="70"/>
      <c r="B497" s="82"/>
      <c r="C497" s="70"/>
      <c r="D497" s="70"/>
      <c r="E497" s="70"/>
      <c r="F497" s="70"/>
      <c r="G497" s="70"/>
      <c r="H497" s="93"/>
      <c r="I497" s="85"/>
      <c r="J497" s="99"/>
      <c r="K497" s="131"/>
      <c r="L497" s="60"/>
    </row>
    <row r="498" spans="1:13" x14ac:dyDescent="0.15">
      <c r="A498" s="73"/>
      <c r="B498" s="82"/>
      <c r="C498" s="70"/>
      <c r="D498" s="70"/>
      <c r="E498" s="70"/>
      <c r="F498" s="70"/>
      <c r="G498" s="70"/>
      <c r="H498" s="93"/>
      <c r="I498" s="85"/>
      <c r="J498" s="85"/>
      <c r="K498" s="131"/>
      <c r="L498" s="60"/>
    </row>
    <row r="499" spans="1:13" ht="16" x14ac:dyDescent="0.2">
      <c r="A499" s="70"/>
      <c r="B499" s="82"/>
      <c r="C499" s="70"/>
      <c r="D499" s="70"/>
      <c r="E499" s="70"/>
      <c r="F499" s="70"/>
      <c r="G499" s="70"/>
      <c r="H499" s="93"/>
      <c r="I499" s="85"/>
      <c r="J499" s="85"/>
      <c r="K499" s="131"/>
      <c r="L499" s="60"/>
      <c r="M499" s="47"/>
    </row>
    <row r="500" spans="1:13" ht="16" x14ac:dyDescent="0.2">
      <c r="A500" s="70"/>
      <c r="B500" s="82"/>
      <c r="C500" s="70"/>
      <c r="D500" s="70"/>
      <c r="E500" s="70"/>
      <c r="F500" s="70"/>
      <c r="G500" s="70"/>
      <c r="H500" s="93"/>
      <c r="I500" s="85"/>
      <c r="J500" s="85"/>
      <c r="K500" s="131"/>
      <c r="L500" s="60"/>
      <c r="M500" s="47"/>
    </row>
    <row r="501" spans="1:13" x14ac:dyDescent="0.15">
      <c r="A501" s="73"/>
      <c r="B501" s="82"/>
      <c r="C501" s="70"/>
      <c r="D501" s="70"/>
      <c r="E501" s="70"/>
      <c r="F501" s="70"/>
      <c r="G501" s="70"/>
      <c r="H501" s="93"/>
      <c r="I501" s="85"/>
      <c r="J501" s="85"/>
      <c r="K501" s="131"/>
      <c r="L501" s="60"/>
    </row>
    <row r="502" spans="1:13" x14ac:dyDescent="0.15">
      <c r="A502" s="70"/>
      <c r="B502" s="82"/>
      <c r="C502" s="70"/>
      <c r="D502" s="70"/>
      <c r="E502" s="70"/>
      <c r="F502" s="70"/>
      <c r="G502" s="70"/>
      <c r="H502" s="93"/>
      <c r="I502" s="85"/>
      <c r="J502" s="85"/>
      <c r="K502" s="131"/>
      <c r="L502" s="60"/>
    </row>
    <row r="503" spans="1:13" x14ac:dyDescent="0.15">
      <c r="A503" s="70"/>
      <c r="B503" s="82"/>
      <c r="C503" s="70"/>
      <c r="D503" s="70"/>
      <c r="E503" s="70"/>
      <c r="F503" s="70"/>
      <c r="G503" s="70"/>
      <c r="H503" s="93"/>
      <c r="I503" s="85"/>
      <c r="J503" s="85"/>
      <c r="K503" s="131"/>
      <c r="L503" s="60"/>
    </row>
    <row r="504" spans="1:13" x14ac:dyDescent="0.15">
      <c r="A504" s="70"/>
      <c r="B504" s="82"/>
      <c r="C504" s="70"/>
      <c r="D504" s="70"/>
      <c r="E504" s="70"/>
      <c r="F504" s="70"/>
      <c r="G504" s="70"/>
      <c r="H504" s="93"/>
      <c r="I504" s="85"/>
      <c r="J504" s="85"/>
      <c r="K504" s="131"/>
      <c r="L504" s="60"/>
    </row>
    <row r="505" spans="1:13" x14ac:dyDescent="0.15">
      <c r="A505" s="70"/>
      <c r="B505" s="82"/>
      <c r="C505" s="70"/>
      <c r="D505" s="70"/>
      <c r="E505" s="70"/>
      <c r="F505" s="70"/>
      <c r="G505" s="70"/>
      <c r="H505" s="93"/>
      <c r="I505" s="85"/>
      <c r="J505" s="85"/>
      <c r="K505" s="131"/>
      <c r="L505" s="60"/>
    </row>
    <row r="506" spans="1:13" x14ac:dyDescent="0.15">
      <c r="A506" s="70"/>
      <c r="B506" s="82"/>
      <c r="C506" s="70"/>
      <c r="D506" s="70"/>
      <c r="E506" s="70"/>
      <c r="F506" s="70"/>
      <c r="G506" s="70"/>
      <c r="H506" s="93"/>
      <c r="I506" s="85"/>
      <c r="J506" s="85"/>
      <c r="K506" s="131"/>
      <c r="L506" s="60"/>
    </row>
    <row r="507" spans="1:13" x14ac:dyDescent="0.15">
      <c r="A507" s="70"/>
      <c r="B507" s="93"/>
      <c r="C507" s="70"/>
      <c r="D507" s="70"/>
      <c r="E507" s="70"/>
      <c r="F507" s="70"/>
      <c r="G507" s="70"/>
      <c r="H507" s="93"/>
      <c r="I507" s="85"/>
      <c r="J507" s="85"/>
      <c r="K507" s="131"/>
      <c r="L507" s="60"/>
    </row>
    <row r="508" spans="1:13" ht="16" x14ac:dyDescent="0.2">
      <c r="A508" s="70"/>
      <c r="B508" s="82"/>
      <c r="C508" s="70"/>
      <c r="D508" s="70"/>
      <c r="E508" s="70"/>
      <c r="F508" s="70"/>
      <c r="G508" s="70"/>
      <c r="H508" s="93"/>
      <c r="I508" s="85"/>
      <c r="J508" s="85"/>
      <c r="K508" s="131"/>
      <c r="L508" s="60"/>
      <c r="M508" s="47"/>
    </row>
    <row r="509" spans="1:13" x14ac:dyDescent="0.15">
      <c r="A509" s="70"/>
      <c r="B509" s="82"/>
      <c r="C509" s="70"/>
      <c r="D509" s="70"/>
      <c r="E509" s="70"/>
      <c r="F509" s="70"/>
      <c r="G509" s="70"/>
      <c r="H509" s="93"/>
      <c r="I509" s="85"/>
      <c r="J509" s="85"/>
      <c r="K509" s="131"/>
      <c r="L509" s="60"/>
    </row>
    <row r="510" spans="1:13" x14ac:dyDescent="0.15">
      <c r="A510" s="70"/>
      <c r="B510" s="93"/>
      <c r="C510" s="70"/>
      <c r="D510" s="70"/>
      <c r="E510" s="70"/>
      <c r="F510" s="70"/>
      <c r="G510" s="70"/>
      <c r="H510" s="93"/>
      <c r="I510" s="85"/>
      <c r="J510" s="85"/>
      <c r="K510" s="131"/>
      <c r="L510" s="60"/>
      <c r="M510" s="33"/>
    </row>
    <row r="511" spans="1:13" x14ac:dyDescent="0.15">
      <c r="A511" s="73"/>
      <c r="B511" s="82"/>
      <c r="C511" s="70"/>
      <c r="D511" s="70"/>
      <c r="E511" s="70"/>
      <c r="F511" s="70"/>
      <c r="G511" s="70"/>
      <c r="H511" s="93"/>
      <c r="I511" s="85"/>
      <c r="J511" s="85"/>
      <c r="K511" s="131"/>
      <c r="L511" s="60"/>
      <c r="M511" s="33"/>
    </row>
    <row r="512" spans="1:13" x14ac:dyDescent="0.15">
      <c r="A512" s="73"/>
      <c r="B512" s="96"/>
      <c r="C512" s="70"/>
      <c r="D512" s="70"/>
      <c r="E512" s="70"/>
      <c r="F512" s="70"/>
      <c r="G512" s="70"/>
      <c r="H512" s="93"/>
      <c r="I512" s="85"/>
      <c r="J512" s="85"/>
      <c r="K512" s="131"/>
      <c r="L512" s="60"/>
      <c r="M512" s="33"/>
    </row>
    <row r="513" spans="1:15" x14ac:dyDescent="0.15">
      <c r="A513" s="70"/>
      <c r="B513" s="82"/>
      <c r="C513" s="70"/>
      <c r="D513" s="70"/>
      <c r="E513" s="70"/>
      <c r="F513" s="70"/>
      <c r="G513" s="70"/>
      <c r="H513" s="93"/>
      <c r="I513" s="85"/>
      <c r="J513" s="85"/>
      <c r="K513" s="131"/>
      <c r="L513" s="60"/>
      <c r="M513" s="33"/>
    </row>
    <row r="514" spans="1:15" ht="16" x14ac:dyDescent="0.2">
      <c r="A514" s="73"/>
      <c r="B514" s="82"/>
      <c r="C514" s="70"/>
      <c r="D514" s="70"/>
      <c r="E514" s="70"/>
      <c r="F514" s="70"/>
      <c r="G514" s="70"/>
      <c r="H514" s="93"/>
      <c r="I514" s="85"/>
      <c r="J514" s="85"/>
      <c r="K514" s="131"/>
      <c r="L514" s="60"/>
      <c r="M514" s="47"/>
    </row>
    <row r="515" spans="1:15" x14ac:dyDescent="0.15">
      <c r="A515" s="70"/>
      <c r="B515" s="82"/>
      <c r="C515" s="70"/>
      <c r="D515" s="70"/>
      <c r="E515" s="70"/>
      <c r="F515" s="70"/>
      <c r="G515" s="70"/>
      <c r="H515" s="93"/>
      <c r="I515" s="85"/>
      <c r="J515" s="85"/>
      <c r="K515" s="131"/>
      <c r="L515" s="60"/>
      <c r="M515" s="33"/>
    </row>
    <row r="516" spans="1:15" x14ac:dyDescent="0.15">
      <c r="A516" s="70"/>
      <c r="B516" s="82"/>
      <c r="C516" s="70"/>
      <c r="D516" s="70"/>
      <c r="E516" s="70"/>
      <c r="F516" s="70"/>
      <c r="G516" s="70"/>
      <c r="H516" s="93"/>
      <c r="I516" s="85"/>
      <c r="J516" s="85"/>
      <c r="K516" s="131"/>
      <c r="L516" s="60"/>
      <c r="M516" s="33"/>
    </row>
    <row r="517" spans="1:15" ht="16" x14ac:dyDescent="0.2">
      <c r="A517" s="70"/>
      <c r="B517" s="82"/>
      <c r="C517" s="70"/>
      <c r="D517" s="70"/>
      <c r="E517" s="70"/>
      <c r="F517" s="70"/>
      <c r="G517" s="70"/>
      <c r="H517" s="93"/>
      <c r="I517" s="85"/>
      <c r="J517" s="85"/>
      <c r="K517" s="131"/>
      <c r="L517" s="60"/>
      <c r="M517" s="33"/>
      <c r="N517" s="48"/>
    </row>
    <row r="518" spans="1:15" x14ac:dyDescent="0.15">
      <c r="A518" s="70"/>
      <c r="B518" s="82"/>
      <c r="C518" s="70"/>
      <c r="D518" s="70"/>
      <c r="E518" s="70"/>
      <c r="F518" s="70"/>
      <c r="G518" s="70"/>
      <c r="H518" s="93"/>
      <c r="I518" s="85"/>
      <c r="J518" s="85"/>
      <c r="K518" s="131"/>
      <c r="L518" s="60"/>
      <c r="O518" s="51"/>
    </row>
    <row r="519" spans="1:15" ht="16" x14ac:dyDescent="0.2">
      <c r="A519" s="70"/>
      <c r="B519" s="82"/>
      <c r="C519" s="70"/>
      <c r="D519" s="70"/>
      <c r="E519" s="70"/>
      <c r="F519" s="70"/>
      <c r="G519" s="70"/>
      <c r="H519" s="93"/>
      <c r="I519" s="85"/>
      <c r="J519" s="85"/>
      <c r="K519" s="131"/>
      <c r="L519" s="60"/>
      <c r="M519" s="47"/>
    </row>
    <row r="520" spans="1:15" x14ac:dyDescent="0.15">
      <c r="A520" s="70"/>
      <c r="B520" s="82"/>
      <c r="C520" s="70"/>
      <c r="D520" s="70"/>
      <c r="E520" s="70"/>
      <c r="F520" s="70"/>
      <c r="G520" s="70"/>
      <c r="H520" s="93"/>
      <c r="I520" s="85"/>
      <c r="J520" s="85"/>
      <c r="K520" s="131"/>
      <c r="L520" s="60"/>
    </row>
    <row r="521" spans="1:15" x14ac:dyDescent="0.15">
      <c r="A521" s="70"/>
      <c r="B521" s="93"/>
      <c r="C521" s="70"/>
      <c r="D521" s="70"/>
      <c r="E521" s="70"/>
      <c r="F521" s="70"/>
      <c r="G521" s="70"/>
      <c r="H521" s="93"/>
      <c r="I521" s="85"/>
      <c r="J521" s="85"/>
      <c r="K521" s="131"/>
      <c r="L521" s="60"/>
    </row>
    <row r="522" spans="1:15" x14ac:dyDescent="0.15">
      <c r="A522" s="70"/>
      <c r="B522" s="93"/>
      <c r="C522" s="70"/>
      <c r="D522" s="70"/>
      <c r="E522" s="70"/>
      <c r="F522" s="70"/>
      <c r="G522" s="70"/>
      <c r="H522" s="93"/>
      <c r="I522" s="85"/>
      <c r="J522" s="85"/>
      <c r="K522" s="131"/>
      <c r="L522" s="60"/>
    </row>
    <row r="523" spans="1:15" x14ac:dyDescent="0.15">
      <c r="A523" s="70"/>
      <c r="B523" s="82"/>
      <c r="C523" s="70"/>
      <c r="D523" s="70"/>
      <c r="E523" s="70"/>
      <c r="F523" s="70"/>
      <c r="G523" s="70"/>
      <c r="H523" s="93"/>
      <c r="I523" s="85"/>
      <c r="J523" s="85"/>
      <c r="K523" s="131"/>
      <c r="L523" s="60"/>
      <c r="M523" s="33"/>
    </row>
    <row r="524" spans="1:15" x14ac:dyDescent="0.15">
      <c r="A524" s="70"/>
      <c r="B524" s="93"/>
      <c r="C524" s="70"/>
      <c r="D524" s="70"/>
      <c r="E524" s="70"/>
      <c r="F524" s="70"/>
      <c r="G524" s="70"/>
      <c r="H524" s="93"/>
      <c r="I524" s="85"/>
      <c r="J524" s="85"/>
      <c r="K524" s="131"/>
      <c r="L524" s="60"/>
    </row>
    <row r="525" spans="1:15" x14ac:dyDescent="0.15">
      <c r="A525" s="70"/>
      <c r="B525" s="82"/>
      <c r="C525" s="70"/>
      <c r="D525" s="70"/>
      <c r="E525" s="70"/>
      <c r="F525" s="70"/>
      <c r="G525" s="70"/>
      <c r="H525" s="93"/>
      <c r="I525" s="85"/>
      <c r="J525" s="85"/>
      <c r="K525" s="131"/>
      <c r="L525" s="60"/>
    </row>
    <row r="526" spans="1:15" x14ac:dyDescent="0.15">
      <c r="A526" s="70"/>
      <c r="B526" s="93"/>
      <c r="C526" s="70"/>
      <c r="D526" s="70"/>
      <c r="E526" s="70"/>
      <c r="F526" s="70"/>
      <c r="G526" s="70"/>
      <c r="H526" s="93"/>
      <c r="I526" s="85"/>
      <c r="J526" s="85"/>
      <c r="K526" s="131"/>
      <c r="L526" s="60"/>
      <c r="O526" s="33"/>
    </row>
    <row r="527" spans="1:15" x14ac:dyDescent="0.15">
      <c r="A527" s="70"/>
      <c r="B527" s="82"/>
      <c r="C527" s="70"/>
      <c r="D527" s="70"/>
      <c r="E527" s="70"/>
      <c r="F527" s="70"/>
      <c r="G527" s="70"/>
      <c r="H527" s="93"/>
      <c r="I527" s="85"/>
      <c r="J527" s="85"/>
      <c r="K527" s="131"/>
      <c r="L527" s="60"/>
    </row>
    <row r="528" spans="1:15" x14ac:dyDescent="0.15">
      <c r="A528" s="70"/>
      <c r="B528" s="93"/>
      <c r="C528" s="70"/>
      <c r="D528" s="70"/>
      <c r="E528" s="70"/>
      <c r="F528" s="70"/>
      <c r="G528" s="70"/>
      <c r="H528" s="93"/>
      <c r="I528" s="85"/>
      <c r="J528" s="85"/>
      <c r="K528" s="131"/>
      <c r="L528" s="63"/>
      <c r="M528" s="33"/>
    </row>
    <row r="529" spans="1:14" ht="16" x14ac:dyDescent="0.2">
      <c r="A529" s="70"/>
      <c r="B529" s="93"/>
      <c r="C529" s="70"/>
      <c r="D529" s="70"/>
      <c r="E529" s="70"/>
      <c r="F529" s="70"/>
      <c r="G529" s="70"/>
      <c r="H529" s="93"/>
      <c r="I529" s="85"/>
      <c r="J529" s="85"/>
      <c r="K529" s="131"/>
      <c r="L529" s="60"/>
      <c r="M529" s="47"/>
    </row>
    <row r="530" spans="1:14" x14ac:dyDescent="0.15">
      <c r="A530" s="70"/>
      <c r="B530" s="82"/>
      <c r="C530" s="70"/>
      <c r="D530" s="70"/>
      <c r="E530" s="70"/>
      <c r="F530" s="70"/>
      <c r="G530" s="70"/>
      <c r="H530" s="93"/>
      <c r="I530" s="85"/>
      <c r="J530" s="85"/>
      <c r="K530" s="131"/>
      <c r="L530" s="60"/>
    </row>
    <row r="531" spans="1:14" x14ac:dyDescent="0.15">
      <c r="A531" s="70"/>
      <c r="B531" s="93"/>
      <c r="C531" s="70"/>
      <c r="D531" s="70"/>
      <c r="E531" s="70"/>
      <c r="F531" s="70"/>
      <c r="G531" s="70"/>
      <c r="H531" s="93"/>
      <c r="I531" s="85"/>
      <c r="J531" s="85"/>
      <c r="K531" s="131"/>
      <c r="L531" s="60"/>
      <c r="M531" s="33"/>
    </row>
    <row r="532" spans="1:14" x14ac:dyDescent="0.15">
      <c r="A532" s="70"/>
      <c r="B532" s="82"/>
      <c r="C532" s="70"/>
      <c r="D532" s="70"/>
      <c r="E532" s="70"/>
      <c r="F532" s="70"/>
      <c r="G532" s="70"/>
      <c r="H532" s="93"/>
      <c r="I532" s="85"/>
      <c r="J532" s="85"/>
      <c r="K532" s="131"/>
      <c r="L532" s="63"/>
    </row>
    <row r="533" spans="1:14" ht="16" x14ac:dyDescent="0.2">
      <c r="A533" s="70"/>
      <c r="B533" s="93"/>
      <c r="C533" s="73"/>
      <c r="D533" s="73"/>
      <c r="E533" s="73"/>
      <c r="F533" s="73"/>
      <c r="G533" s="73"/>
      <c r="H533" s="108"/>
      <c r="I533" s="85"/>
      <c r="J533" s="95"/>
      <c r="K533" s="131"/>
      <c r="L533" s="60"/>
      <c r="M533" s="47"/>
    </row>
    <row r="534" spans="1:14" x14ac:dyDescent="0.15">
      <c r="A534" s="70"/>
      <c r="B534" s="93"/>
      <c r="C534" s="73"/>
      <c r="D534" s="73"/>
      <c r="E534" s="70"/>
      <c r="F534" s="73"/>
      <c r="G534" s="73"/>
      <c r="H534" s="108"/>
      <c r="I534" s="85"/>
      <c r="J534" s="85"/>
      <c r="K534" s="131"/>
      <c r="L534" s="60"/>
      <c r="M534" s="33"/>
    </row>
    <row r="535" spans="1:14" x14ac:dyDescent="0.15">
      <c r="A535" s="70"/>
      <c r="B535" s="82"/>
      <c r="C535" s="70"/>
      <c r="D535" s="70"/>
      <c r="E535" s="70"/>
      <c r="F535" s="70"/>
      <c r="G535" s="70"/>
      <c r="H535" s="93"/>
      <c r="I535" s="85"/>
      <c r="J535" s="85"/>
      <c r="K535" s="131"/>
      <c r="L535" s="60"/>
      <c r="M535" s="33"/>
    </row>
    <row r="536" spans="1:14" x14ac:dyDescent="0.15">
      <c r="A536" s="70"/>
      <c r="B536" s="82"/>
      <c r="C536" s="70"/>
      <c r="D536" s="70"/>
      <c r="E536" s="70"/>
      <c r="F536" s="70"/>
      <c r="G536" s="70"/>
      <c r="H536" s="93"/>
      <c r="I536" s="85"/>
      <c r="J536" s="85"/>
      <c r="K536" s="131"/>
      <c r="L536" s="60"/>
      <c r="M536" s="33"/>
    </row>
    <row r="537" spans="1:14" x14ac:dyDescent="0.15">
      <c r="A537" s="70"/>
      <c r="B537" s="93"/>
      <c r="C537" s="70"/>
      <c r="D537" s="70"/>
      <c r="E537" s="70"/>
      <c r="F537" s="70"/>
      <c r="G537" s="70"/>
      <c r="H537" s="93"/>
      <c r="I537" s="85"/>
      <c r="J537" s="85"/>
      <c r="K537" s="131"/>
      <c r="L537" s="60"/>
      <c r="M537" s="33"/>
    </row>
    <row r="538" spans="1:14" ht="16" x14ac:dyDescent="0.2">
      <c r="A538" s="166"/>
      <c r="B538" s="82"/>
      <c r="C538" s="70"/>
      <c r="D538" s="70"/>
      <c r="E538" s="70"/>
      <c r="F538" s="70"/>
      <c r="G538" s="70"/>
      <c r="H538" s="93"/>
      <c r="I538" s="85"/>
      <c r="J538" s="85"/>
      <c r="K538" s="131"/>
      <c r="L538" s="60"/>
      <c r="M538" s="47"/>
    </row>
    <row r="539" spans="1:14" x14ac:dyDescent="0.15">
      <c r="A539" s="166"/>
      <c r="B539" s="82"/>
      <c r="C539" s="70"/>
      <c r="D539" s="70"/>
      <c r="E539" s="70"/>
      <c r="F539" s="70"/>
      <c r="G539" s="70"/>
      <c r="H539" s="93"/>
      <c r="I539" s="85"/>
      <c r="J539" s="85"/>
      <c r="K539" s="131"/>
      <c r="L539" s="60"/>
      <c r="M539" s="33"/>
    </row>
    <row r="540" spans="1:14" ht="16" x14ac:dyDescent="0.2">
      <c r="A540" s="166"/>
      <c r="B540" s="82"/>
      <c r="C540" s="70"/>
      <c r="D540" s="70"/>
      <c r="E540" s="70"/>
      <c r="F540" s="70"/>
      <c r="G540" s="70"/>
      <c r="H540" s="93"/>
      <c r="I540" s="85"/>
      <c r="J540" s="85"/>
      <c r="K540" s="131"/>
      <c r="L540" s="60"/>
      <c r="M540" s="33"/>
      <c r="N540" s="48"/>
    </row>
    <row r="541" spans="1:14" x14ac:dyDescent="0.15">
      <c r="A541" s="166"/>
      <c r="B541" s="82"/>
      <c r="C541" s="70"/>
      <c r="D541" s="70"/>
      <c r="E541" s="70"/>
      <c r="F541" s="70"/>
      <c r="G541" s="70"/>
      <c r="H541" s="93"/>
      <c r="I541" s="85"/>
      <c r="J541" s="85"/>
      <c r="K541" s="131"/>
      <c r="L541" s="60"/>
      <c r="M541" s="33"/>
    </row>
    <row r="542" spans="1:14" x14ac:dyDescent="0.15">
      <c r="A542" s="166"/>
      <c r="B542" s="82"/>
      <c r="C542" s="70"/>
      <c r="D542" s="70"/>
      <c r="E542" s="70"/>
      <c r="F542" s="70"/>
      <c r="G542" s="70"/>
      <c r="H542" s="93"/>
      <c r="I542" s="85"/>
      <c r="J542" s="85"/>
      <c r="K542" s="131"/>
      <c r="L542" s="60"/>
      <c r="M542" s="33"/>
    </row>
    <row r="543" spans="1:14" x14ac:dyDescent="0.15">
      <c r="A543" s="166"/>
      <c r="B543" s="82"/>
      <c r="C543" s="70"/>
      <c r="D543" s="70"/>
      <c r="E543" s="70"/>
      <c r="F543" s="70"/>
      <c r="G543" s="70"/>
      <c r="H543" s="93"/>
      <c r="I543" s="85"/>
      <c r="J543" s="85"/>
      <c r="K543" s="131"/>
      <c r="L543" s="60"/>
      <c r="M543" s="33"/>
    </row>
    <row r="544" spans="1:14" x14ac:dyDescent="0.15">
      <c r="A544" s="166"/>
      <c r="B544" s="82"/>
      <c r="C544" s="70"/>
      <c r="D544" s="70"/>
      <c r="E544" s="70"/>
      <c r="F544" s="70"/>
      <c r="G544" s="70"/>
      <c r="H544" s="93"/>
      <c r="I544" s="85"/>
      <c r="J544" s="85"/>
      <c r="K544" s="131"/>
      <c r="L544" s="60"/>
      <c r="M544" s="33"/>
    </row>
    <row r="545" spans="1:16" x14ac:dyDescent="0.15">
      <c r="A545" s="166"/>
      <c r="B545" s="93"/>
      <c r="C545" s="70"/>
      <c r="D545" s="70"/>
      <c r="E545" s="70"/>
      <c r="F545" s="70"/>
      <c r="G545" s="70"/>
      <c r="H545" s="93"/>
      <c r="I545" s="85"/>
      <c r="J545" s="85"/>
      <c r="K545" s="131"/>
      <c r="L545" s="60"/>
      <c r="M545" s="33"/>
    </row>
    <row r="546" spans="1:16" ht="16" x14ac:dyDescent="0.2">
      <c r="A546" s="166"/>
      <c r="B546" s="82"/>
      <c r="C546" s="70"/>
      <c r="D546" s="70"/>
      <c r="E546" s="70"/>
      <c r="F546" s="70"/>
      <c r="G546" s="70"/>
      <c r="H546" s="93"/>
      <c r="I546" s="85"/>
      <c r="J546" s="85"/>
      <c r="K546" s="131"/>
      <c r="L546" s="60"/>
      <c r="M546" s="47"/>
    </row>
    <row r="547" spans="1:16" ht="16" x14ac:dyDescent="0.2">
      <c r="A547" s="166"/>
      <c r="B547" s="82"/>
      <c r="C547" s="70"/>
      <c r="D547" s="70"/>
      <c r="E547" s="70"/>
      <c r="F547" s="70"/>
      <c r="G547" s="70"/>
      <c r="H547" s="93"/>
      <c r="I547" s="85"/>
      <c r="J547" s="85"/>
      <c r="K547" s="131"/>
      <c r="L547" s="60"/>
      <c r="M547" s="47"/>
    </row>
    <row r="548" spans="1:16" x14ac:dyDescent="0.15">
      <c r="A548" s="166"/>
      <c r="B548" s="93"/>
      <c r="C548" s="70"/>
      <c r="D548" s="70"/>
      <c r="E548" s="70"/>
      <c r="F548" s="70"/>
      <c r="G548" s="70"/>
      <c r="H548" s="93"/>
      <c r="I548" s="85"/>
      <c r="J548" s="85"/>
      <c r="K548" s="131"/>
      <c r="L548" s="60"/>
    </row>
    <row r="549" spans="1:16" x14ac:dyDescent="0.15">
      <c r="A549" s="166"/>
      <c r="B549" s="93"/>
      <c r="C549" s="70"/>
      <c r="D549" s="70"/>
      <c r="E549" s="70"/>
      <c r="F549" s="70"/>
      <c r="G549" s="70"/>
      <c r="H549" s="93"/>
      <c r="I549" s="85"/>
      <c r="J549" s="85"/>
      <c r="K549" s="141"/>
      <c r="L549" s="60"/>
      <c r="M549" s="37"/>
    </row>
    <row r="550" spans="1:16" x14ac:dyDescent="0.15">
      <c r="A550" s="166"/>
      <c r="B550" s="93"/>
      <c r="C550" s="70"/>
      <c r="D550" s="70"/>
      <c r="E550" s="70"/>
      <c r="F550" s="70"/>
      <c r="G550" s="70"/>
      <c r="H550" s="93"/>
      <c r="I550" s="85"/>
      <c r="J550" s="85"/>
      <c r="K550" s="141"/>
      <c r="L550" s="60"/>
      <c r="M550" s="37"/>
    </row>
    <row r="551" spans="1:16" x14ac:dyDescent="0.15">
      <c r="A551" s="166"/>
      <c r="B551" s="93"/>
      <c r="C551" s="70"/>
      <c r="D551" s="70"/>
      <c r="E551" s="70"/>
      <c r="F551" s="70"/>
      <c r="G551" s="70"/>
      <c r="H551" s="93"/>
      <c r="I551" s="85"/>
      <c r="J551" s="85"/>
      <c r="K551" s="141"/>
      <c r="L551" s="60"/>
      <c r="M551" s="37"/>
    </row>
    <row r="552" spans="1:16" x14ac:dyDescent="0.15">
      <c r="A552" s="166"/>
      <c r="B552" s="93"/>
      <c r="C552" s="70"/>
      <c r="D552" s="70"/>
      <c r="E552" s="70"/>
      <c r="F552" s="70"/>
      <c r="G552" s="70"/>
      <c r="H552" s="93"/>
      <c r="I552" s="85"/>
      <c r="J552" s="85"/>
      <c r="K552" s="131"/>
      <c r="L552" s="60"/>
      <c r="M552" s="33"/>
    </row>
    <row r="553" spans="1:16" x14ac:dyDescent="0.15">
      <c r="A553" s="70"/>
      <c r="B553" s="93"/>
      <c r="C553" s="70"/>
      <c r="D553" s="70"/>
      <c r="E553" s="70"/>
      <c r="F553" s="70"/>
      <c r="G553" s="70"/>
      <c r="H553" s="93"/>
      <c r="I553" s="85"/>
      <c r="J553" s="85"/>
      <c r="K553" s="131"/>
      <c r="L553" s="60"/>
      <c r="M553" s="33"/>
    </row>
    <row r="554" spans="1:16" ht="16" x14ac:dyDescent="0.2">
      <c r="A554" s="70"/>
      <c r="B554" s="93"/>
      <c r="C554" s="70"/>
      <c r="D554" s="70"/>
      <c r="E554" s="70"/>
      <c r="F554" s="70"/>
      <c r="G554" s="70"/>
      <c r="H554" s="93"/>
      <c r="I554" s="85"/>
      <c r="J554" s="85"/>
      <c r="K554" s="131"/>
      <c r="L554" s="60"/>
      <c r="M554" s="33"/>
      <c r="N554" s="48"/>
    </row>
    <row r="555" spans="1:16" x14ac:dyDescent="0.15">
      <c r="A555" s="70"/>
      <c r="B555" s="93"/>
      <c r="C555" s="70"/>
      <c r="D555" s="70"/>
      <c r="E555" s="70"/>
      <c r="F555" s="70"/>
      <c r="G555" s="70"/>
      <c r="H555" s="93"/>
      <c r="I555" s="85"/>
      <c r="J555" s="85"/>
      <c r="K555" s="131"/>
      <c r="L555" s="60"/>
      <c r="M555" s="33"/>
    </row>
    <row r="556" spans="1:16" ht="16" x14ac:dyDescent="0.2">
      <c r="A556" s="70"/>
      <c r="B556" s="93"/>
      <c r="C556" s="70"/>
      <c r="D556" s="70"/>
      <c r="E556" s="70"/>
      <c r="F556" s="70"/>
      <c r="G556" s="70"/>
      <c r="H556" s="93"/>
      <c r="I556" s="85"/>
      <c r="J556" s="85"/>
      <c r="K556" s="131"/>
      <c r="L556" s="60"/>
      <c r="M556" s="47"/>
    </row>
    <row r="557" spans="1:16" x14ac:dyDescent="0.15">
      <c r="A557" s="70"/>
      <c r="B557" s="93"/>
      <c r="C557" s="70"/>
      <c r="D557" s="70"/>
      <c r="E557" s="70"/>
      <c r="F557" s="70"/>
      <c r="G557" s="70"/>
      <c r="H557" s="93"/>
      <c r="I557" s="85"/>
      <c r="J557" s="85"/>
      <c r="K557" s="131"/>
      <c r="L557" s="60"/>
      <c r="M557" s="33"/>
      <c r="P557" s="33"/>
    </row>
    <row r="558" spans="1:16" x14ac:dyDescent="0.15">
      <c r="A558" s="70"/>
      <c r="B558" s="93"/>
      <c r="C558" s="70"/>
      <c r="D558" s="70"/>
      <c r="E558" s="70"/>
      <c r="F558" s="70"/>
      <c r="G558" s="70"/>
      <c r="H558" s="93"/>
      <c r="I558" s="85"/>
      <c r="J558" s="85"/>
      <c r="K558" s="131"/>
      <c r="L558" s="60"/>
      <c r="M558" s="33"/>
    </row>
    <row r="559" spans="1:16" x14ac:dyDescent="0.15">
      <c r="A559" s="70"/>
      <c r="B559" s="93"/>
      <c r="C559" s="70"/>
      <c r="D559" s="70"/>
      <c r="E559" s="73"/>
      <c r="F559" s="70"/>
      <c r="G559" s="70"/>
      <c r="H559" s="93"/>
      <c r="I559" s="85"/>
      <c r="J559" s="85"/>
      <c r="K559" s="131"/>
      <c r="L559" s="60"/>
      <c r="M559" s="33"/>
    </row>
    <row r="560" spans="1:16" x14ac:dyDescent="0.15">
      <c r="A560" s="70"/>
      <c r="B560" s="93"/>
      <c r="C560" s="70"/>
      <c r="D560" s="70"/>
      <c r="E560" s="70"/>
      <c r="F560" s="70"/>
      <c r="G560" s="70"/>
      <c r="H560" s="93"/>
      <c r="I560" s="85"/>
      <c r="J560" s="85"/>
      <c r="K560" s="131"/>
      <c r="L560" s="60"/>
      <c r="M560" s="33"/>
    </row>
    <row r="561" spans="1:13" x14ac:dyDescent="0.15">
      <c r="A561" s="70"/>
      <c r="B561" s="93"/>
      <c r="C561" s="70"/>
      <c r="D561" s="70"/>
      <c r="E561" s="70"/>
      <c r="F561" s="70"/>
      <c r="G561" s="70"/>
      <c r="H561" s="93"/>
      <c r="I561" s="85"/>
      <c r="J561" s="85"/>
      <c r="K561" s="131"/>
      <c r="L561" s="60"/>
    </row>
    <row r="562" spans="1:13" x14ac:dyDescent="0.15">
      <c r="A562" s="70"/>
      <c r="B562" s="93"/>
      <c r="C562" s="70"/>
      <c r="D562" s="70"/>
      <c r="E562" s="70"/>
      <c r="F562" s="70"/>
      <c r="G562" s="70"/>
      <c r="H562" s="93"/>
      <c r="I562" s="85"/>
      <c r="J562" s="85"/>
      <c r="K562" s="141"/>
      <c r="L562" s="60"/>
      <c r="M562" s="35"/>
    </row>
    <row r="563" spans="1:13" x14ac:dyDescent="0.15">
      <c r="A563" s="70"/>
      <c r="B563" s="82"/>
      <c r="C563" s="70"/>
      <c r="D563" s="70"/>
      <c r="E563" s="70"/>
      <c r="F563" s="70"/>
      <c r="G563" s="70"/>
      <c r="H563" s="93"/>
      <c r="I563" s="85"/>
      <c r="J563" s="85"/>
      <c r="K563" s="142"/>
      <c r="L563" s="60"/>
      <c r="M563" s="37"/>
    </row>
    <row r="564" spans="1:13" ht="16" x14ac:dyDescent="0.2">
      <c r="A564" s="70"/>
      <c r="B564" s="93"/>
      <c r="C564" s="70"/>
      <c r="D564" s="70"/>
      <c r="E564" s="70"/>
      <c r="F564" s="70"/>
      <c r="G564" s="70"/>
      <c r="H564" s="93"/>
      <c r="I564" s="85"/>
      <c r="J564" s="85"/>
      <c r="K564" s="131"/>
      <c r="L564" s="60"/>
      <c r="M564" s="47"/>
    </row>
    <row r="565" spans="1:13" x14ac:dyDescent="0.15">
      <c r="A565" s="70"/>
      <c r="B565" s="93"/>
      <c r="C565" s="70"/>
      <c r="D565" s="70"/>
      <c r="E565" s="70"/>
      <c r="F565" s="70"/>
      <c r="G565" s="70"/>
      <c r="H565" s="93"/>
      <c r="I565" s="85"/>
      <c r="J565" s="85"/>
      <c r="K565" s="131"/>
      <c r="L565" s="60"/>
      <c r="M565" s="33"/>
    </row>
    <row r="566" spans="1:13" x14ac:dyDescent="0.15">
      <c r="A566" s="70"/>
      <c r="B566" s="82"/>
      <c r="C566" s="70"/>
      <c r="D566" s="70"/>
      <c r="E566" s="70"/>
      <c r="F566" s="70"/>
      <c r="G566" s="70"/>
      <c r="H566" s="93"/>
      <c r="I566" s="85"/>
      <c r="J566" s="85"/>
      <c r="K566" s="131"/>
      <c r="L566" s="60"/>
      <c r="M566" s="33"/>
    </row>
    <row r="567" spans="1:13" x14ac:dyDescent="0.15">
      <c r="A567" s="83"/>
      <c r="B567" s="82"/>
      <c r="C567" s="83"/>
      <c r="D567" s="83"/>
      <c r="E567" s="83"/>
      <c r="F567" s="83"/>
      <c r="G567" s="83"/>
      <c r="H567" s="82"/>
      <c r="I567" s="85"/>
      <c r="J567" s="84"/>
      <c r="K567" s="131"/>
      <c r="L567" s="69"/>
      <c r="M567" s="31"/>
    </row>
    <row r="568" spans="1:13" x14ac:dyDescent="0.15">
      <c r="A568" s="70"/>
      <c r="B568" s="93"/>
      <c r="C568" s="70"/>
      <c r="D568" s="70"/>
      <c r="E568" s="70"/>
      <c r="F568" s="70"/>
      <c r="G568" s="70"/>
      <c r="H568" s="93"/>
      <c r="I568" s="85"/>
      <c r="J568" s="85"/>
      <c r="K568" s="131"/>
      <c r="L568" s="70"/>
      <c r="M568" s="33"/>
    </row>
    <row r="569" spans="1:13" x14ac:dyDescent="0.15">
      <c r="A569" s="70"/>
      <c r="B569" s="82"/>
      <c r="C569" s="70"/>
      <c r="D569" s="70"/>
      <c r="E569" s="70"/>
      <c r="F569" s="70"/>
      <c r="G569" s="70"/>
      <c r="H569" s="93"/>
      <c r="I569" s="85"/>
      <c r="J569" s="85"/>
      <c r="K569" s="131"/>
      <c r="L569" s="60"/>
      <c r="M569" s="33"/>
    </row>
    <row r="570" spans="1:13" x14ac:dyDescent="0.15">
      <c r="A570" s="70"/>
      <c r="B570" s="93"/>
      <c r="C570" s="70"/>
      <c r="D570" s="70"/>
      <c r="E570" s="70"/>
      <c r="F570" s="70"/>
      <c r="G570" s="70"/>
      <c r="H570" s="93"/>
      <c r="I570" s="85"/>
      <c r="J570" s="85"/>
      <c r="K570" s="131"/>
      <c r="L570" s="60"/>
      <c r="M570" s="33"/>
    </row>
    <row r="571" spans="1:13" x14ac:dyDescent="0.15">
      <c r="A571" s="70"/>
      <c r="B571" s="82"/>
      <c r="C571" s="70"/>
      <c r="D571" s="70"/>
      <c r="E571" s="70"/>
      <c r="F571" s="70"/>
      <c r="G571" s="70"/>
      <c r="H571" s="93"/>
      <c r="I571" s="85"/>
      <c r="J571" s="85"/>
      <c r="K571" s="131"/>
      <c r="L571" s="60"/>
      <c r="M571" s="33"/>
    </row>
    <row r="572" spans="1:13" x14ac:dyDescent="0.15">
      <c r="A572" s="166"/>
      <c r="B572" s="93"/>
      <c r="C572" s="70"/>
      <c r="D572" s="70"/>
      <c r="E572" s="70"/>
      <c r="F572" s="70"/>
      <c r="G572" s="70"/>
      <c r="H572" s="93"/>
      <c r="I572" s="85"/>
      <c r="J572" s="85"/>
      <c r="K572" s="131"/>
      <c r="L572" s="60"/>
      <c r="M572" s="33"/>
    </row>
    <row r="573" spans="1:13" ht="16" x14ac:dyDescent="0.2">
      <c r="A573" s="166"/>
      <c r="B573" s="93"/>
      <c r="C573" s="73"/>
      <c r="D573" s="73"/>
      <c r="E573" s="70"/>
      <c r="F573" s="73"/>
      <c r="G573" s="73"/>
      <c r="H573" s="108"/>
      <c r="I573" s="85"/>
      <c r="J573" s="85"/>
      <c r="K573" s="131"/>
      <c r="L573" s="70"/>
      <c r="M573" s="47"/>
    </row>
    <row r="574" spans="1:13" x14ac:dyDescent="0.15">
      <c r="A574" s="166"/>
      <c r="B574" s="82"/>
      <c r="C574" s="70"/>
      <c r="D574" s="70"/>
      <c r="E574" s="70"/>
      <c r="F574" s="70"/>
      <c r="G574" s="70"/>
      <c r="H574" s="93"/>
      <c r="I574" s="85"/>
      <c r="J574" s="85"/>
      <c r="K574" s="131"/>
      <c r="L574" s="60"/>
      <c r="M574" s="33"/>
    </row>
    <row r="575" spans="1:13" x14ac:dyDescent="0.15">
      <c r="A575" s="166"/>
      <c r="B575" s="82"/>
      <c r="C575" s="70"/>
      <c r="D575" s="70"/>
      <c r="E575" s="73"/>
      <c r="F575" s="70"/>
      <c r="G575" s="70"/>
      <c r="H575" s="93"/>
      <c r="I575" s="85"/>
      <c r="J575" s="85"/>
      <c r="K575" s="131"/>
      <c r="L575" s="60"/>
      <c r="M575" s="33"/>
    </row>
    <row r="576" spans="1:13" x14ac:dyDescent="0.15">
      <c r="A576" s="166"/>
      <c r="B576" s="82"/>
      <c r="C576" s="70"/>
      <c r="D576" s="70"/>
      <c r="E576" s="70"/>
      <c r="F576" s="70"/>
      <c r="G576" s="70"/>
      <c r="H576" s="93"/>
      <c r="I576" s="85"/>
      <c r="J576" s="85"/>
      <c r="K576" s="131"/>
      <c r="L576" s="60"/>
      <c r="M576" s="33"/>
    </row>
    <row r="577" spans="1:14" x14ac:dyDescent="0.15">
      <c r="A577" s="166"/>
      <c r="B577" s="93"/>
      <c r="C577" s="70"/>
      <c r="D577" s="70"/>
      <c r="E577" s="70"/>
      <c r="F577" s="70"/>
      <c r="G577" s="70"/>
      <c r="H577" s="93"/>
      <c r="I577" s="85"/>
      <c r="J577" s="85"/>
      <c r="K577" s="131"/>
      <c r="L577" s="70"/>
      <c r="M577" s="33"/>
    </row>
    <row r="578" spans="1:14" x14ac:dyDescent="0.15">
      <c r="A578" s="166"/>
      <c r="B578" s="82"/>
      <c r="C578" s="70"/>
      <c r="D578" s="70"/>
      <c r="E578" s="70"/>
      <c r="F578" s="70"/>
      <c r="G578" s="70"/>
      <c r="H578" s="93"/>
      <c r="I578" s="85"/>
      <c r="J578" s="85"/>
      <c r="K578" s="131"/>
      <c r="L578" s="60"/>
      <c r="M578" s="32"/>
      <c r="N578" s="32"/>
    </row>
    <row r="579" spans="1:14" x14ac:dyDescent="0.15">
      <c r="A579" s="166"/>
      <c r="B579" s="93"/>
      <c r="C579" s="70"/>
      <c r="D579" s="70"/>
      <c r="E579" s="70"/>
      <c r="F579" s="70"/>
      <c r="G579" s="70"/>
      <c r="H579" s="93"/>
      <c r="I579" s="85"/>
      <c r="J579" s="85"/>
      <c r="K579" s="131"/>
      <c r="L579" s="60"/>
      <c r="M579" s="33"/>
    </row>
    <row r="580" spans="1:14" x14ac:dyDescent="0.15">
      <c r="A580" s="166"/>
      <c r="B580" s="93"/>
      <c r="C580" s="70"/>
      <c r="D580" s="70"/>
      <c r="E580" s="70"/>
      <c r="F580" s="70"/>
      <c r="G580" s="70"/>
      <c r="H580" s="93"/>
      <c r="I580" s="85"/>
      <c r="J580" s="85"/>
      <c r="K580" s="131"/>
      <c r="L580" s="60"/>
      <c r="M580" s="33"/>
    </row>
    <row r="581" spans="1:14" x14ac:dyDescent="0.15">
      <c r="A581" s="166"/>
      <c r="B581" s="93"/>
      <c r="C581" s="70"/>
      <c r="D581" s="70"/>
      <c r="E581" s="70"/>
      <c r="F581" s="70"/>
      <c r="G581" s="70"/>
      <c r="H581" s="93"/>
      <c r="I581" s="85"/>
      <c r="J581" s="85"/>
      <c r="K581" s="131"/>
      <c r="L581" s="60"/>
      <c r="M581" s="33"/>
    </row>
    <row r="582" spans="1:14" x14ac:dyDescent="0.15">
      <c r="A582" s="166"/>
      <c r="B582" s="93"/>
      <c r="C582" s="70"/>
      <c r="D582" s="70"/>
      <c r="E582" s="70"/>
      <c r="F582" s="70"/>
      <c r="G582" s="70"/>
      <c r="H582" s="93"/>
      <c r="I582" s="85"/>
      <c r="J582" s="85"/>
      <c r="K582" s="131"/>
      <c r="L582" s="60"/>
      <c r="M582" s="33"/>
    </row>
    <row r="583" spans="1:14" x14ac:dyDescent="0.15">
      <c r="A583" s="166"/>
      <c r="B583" s="96"/>
      <c r="C583" s="70"/>
      <c r="D583" s="70"/>
      <c r="E583" s="70"/>
      <c r="F583" s="70"/>
      <c r="G583" s="70"/>
      <c r="H583" s="93"/>
      <c r="I583" s="85"/>
      <c r="J583" s="85"/>
      <c r="K583" s="131"/>
      <c r="L583" s="60"/>
      <c r="M583" s="33"/>
    </row>
    <row r="584" spans="1:14" x14ac:dyDescent="0.15">
      <c r="A584" s="166"/>
      <c r="B584" s="82"/>
      <c r="C584" s="70"/>
      <c r="D584" s="70"/>
      <c r="E584" s="70"/>
      <c r="F584" s="70"/>
      <c r="G584" s="70"/>
      <c r="H584" s="93"/>
      <c r="I584" s="85"/>
      <c r="J584" s="85"/>
      <c r="K584" s="131"/>
      <c r="L584" s="60"/>
      <c r="M584" s="33"/>
    </row>
    <row r="585" spans="1:14" x14ac:dyDescent="0.15">
      <c r="A585" s="166"/>
      <c r="B585" s="93"/>
      <c r="C585" s="70"/>
      <c r="D585" s="70"/>
      <c r="E585" s="70"/>
      <c r="F585" s="70"/>
      <c r="G585" s="70"/>
      <c r="H585" s="93"/>
      <c r="I585" s="85"/>
      <c r="J585" s="85"/>
      <c r="K585" s="131"/>
      <c r="L585" s="60"/>
      <c r="M585" s="33"/>
    </row>
    <row r="586" spans="1:14" x14ac:dyDescent="0.15">
      <c r="A586" s="166"/>
      <c r="B586" s="82"/>
      <c r="C586" s="70"/>
      <c r="D586" s="70"/>
      <c r="E586" s="70"/>
      <c r="F586" s="70"/>
      <c r="G586" s="70"/>
      <c r="H586" s="93"/>
      <c r="I586" s="85"/>
      <c r="J586" s="85"/>
      <c r="K586" s="134"/>
      <c r="L586" s="63"/>
      <c r="M586" s="33"/>
    </row>
    <row r="587" spans="1:14" ht="16" x14ac:dyDescent="0.2">
      <c r="A587" s="166"/>
      <c r="B587" s="82"/>
      <c r="C587" s="70"/>
      <c r="D587" s="70"/>
      <c r="E587" s="70"/>
      <c r="F587" s="70"/>
      <c r="G587" s="70"/>
      <c r="H587" s="93"/>
      <c r="I587" s="85"/>
      <c r="J587" s="85"/>
      <c r="K587" s="131"/>
      <c r="L587" s="60"/>
      <c r="M587" s="47"/>
    </row>
    <row r="588" spans="1:14" x14ac:dyDescent="0.15">
      <c r="A588" s="166"/>
      <c r="B588" s="82"/>
      <c r="C588" s="70"/>
      <c r="D588" s="70"/>
      <c r="E588" s="70"/>
      <c r="F588" s="70"/>
      <c r="G588" s="70"/>
      <c r="H588" s="93"/>
      <c r="I588" s="85"/>
      <c r="J588" s="85"/>
      <c r="K588" s="131"/>
      <c r="L588" s="60"/>
      <c r="M588" s="33"/>
    </row>
    <row r="589" spans="1:14" ht="16" x14ac:dyDescent="0.2">
      <c r="A589" s="166"/>
      <c r="B589" s="82"/>
      <c r="C589" s="73"/>
      <c r="D589" s="73"/>
      <c r="E589" s="73"/>
      <c r="F589" s="70"/>
      <c r="G589" s="70"/>
      <c r="H589" s="93"/>
      <c r="I589" s="85"/>
      <c r="J589" s="85"/>
      <c r="K589" s="131"/>
      <c r="L589" s="60"/>
      <c r="M589" s="47"/>
      <c r="N589" s="48"/>
    </row>
    <row r="590" spans="1:14" x14ac:dyDescent="0.15">
      <c r="A590" s="166"/>
      <c r="B590" s="93"/>
      <c r="C590" s="70"/>
      <c r="D590" s="70"/>
      <c r="E590" s="70"/>
      <c r="F590" s="70"/>
      <c r="G590" s="70"/>
      <c r="H590" s="93"/>
      <c r="I590" s="85"/>
      <c r="J590" s="85"/>
      <c r="K590" s="135"/>
      <c r="L590" s="60"/>
      <c r="M590" s="37"/>
    </row>
    <row r="591" spans="1:14" ht="16" x14ac:dyDescent="0.2">
      <c r="A591" s="166"/>
      <c r="B591" s="93"/>
      <c r="C591" s="70"/>
      <c r="D591" s="70"/>
      <c r="E591" s="70"/>
      <c r="F591" s="70"/>
      <c r="G591" s="70"/>
      <c r="H591" s="93"/>
      <c r="I591" s="85"/>
      <c r="J591" s="85"/>
      <c r="K591" s="131"/>
      <c r="L591" s="60"/>
      <c r="M591" s="47"/>
    </row>
    <row r="592" spans="1:14" x14ac:dyDescent="0.15">
      <c r="A592" s="166"/>
      <c r="B592" s="93"/>
      <c r="C592" s="70"/>
      <c r="D592" s="70"/>
      <c r="E592" s="70"/>
      <c r="F592" s="70"/>
      <c r="G592" s="70"/>
      <c r="H592" s="93"/>
      <c r="I592" s="85"/>
      <c r="J592" s="85"/>
      <c r="K592" s="135"/>
      <c r="L592" s="60"/>
      <c r="M592" s="37"/>
    </row>
    <row r="593" spans="1:15" x14ac:dyDescent="0.15">
      <c r="A593" s="166"/>
      <c r="B593" s="93"/>
      <c r="C593" s="70"/>
      <c r="D593" s="70"/>
      <c r="E593" s="70"/>
      <c r="F593" s="70"/>
      <c r="G593" s="70"/>
      <c r="H593" s="93"/>
      <c r="I593" s="85"/>
      <c r="J593" s="85"/>
      <c r="K593" s="131"/>
      <c r="L593" s="60"/>
      <c r="M593" s="37"/>
    </row>
    <row r="594" spans="1:15" x14ac:dyDescent="0.15">
      <c r="A594" s="166"/>
      <c r="B594" s="93"/>
      <c r="C594" s="70"/>
      <c r="D594" s="70"/>
      <c r="E594" s="70"/>
      <c r="F594" s="70"/>
      <c r="G594" s="70"/>
      <c r="H594" s="93"/>
      <c r="I594" s="85"/>
      <c r="J594" s="85"/>
      <c r="K594" s="131"/>
      <c r="L594" s="60"/>
    </row>
    <row r="595" spans="1:15" x14ac:dyDescent="0.15">
      <c r="A595" s="166"/>
      <c r="B595" s="93"/>
      <c r="C595" s="70"/>
      <c r="D595" s="70"/>
      <c r="E595" s="70"/>
      <c r="F595" s="70"/>
      <c r="G595" s="70"/>
      <c r="H595" s="93"/>
      <c r="I595" s="85"/>
      <c r="J595" s="85"/>
      <c r="K595" s="131"/>
      <c r="L595" s="70"/>
      <c r="M595" s="33"/>
    </row>
    <row r="596" spans="1:15" x14ac:dyDescent="0.15">
      <c r="A596" s="166"/>
      <c r="B596" s="93"/>
      <c r="C596" s="70"/>
      <c r="D596" s="70"/>
      <c r="E596" s="70"/>
      <c r="F596" s="70"/>
      <c r="G596" s="70"/>
      <c r="H596" s="93"/>
      <c r="I596" s="85"/>
      <c r="J596" s="85"/>
      <c r="K596" s="131"/>
      <c r="L596" s="70"/>
    </row>
    <row r="597" spans="1:15" x14ac:dyDescent="0.15">
      <c r="A597" s="70"/>
      <c r="B597" s="82"/>
      <c r="C597" s="70"/>
      <c r="D597" s="70"/>
      <c r="E597" s="70"/>
      <c r="F597" s="70"/>
      <c r="G597" s="70"/>
      <c r="H597" s="93"/>
      <c r="I597" s="85"/>
      <c r="J597" s="85"/>
      <c r="K597" s="131"/>
      <c r="L597" s="60"/>
      <c r="M597" s="33"/>
    </row>
    <row r="598" spans="1:15" x14ac:dyDescent="0.15">
      <c r="A598" s="166"/>
      <c r="B598" s="82"/>
      <c r="C598" s="70"/>
      <c r="D598" s="70"/>
      <c r="E598" s="70"/>
      <c r="F598" s="70"/>
      <c r="G598" s="70"/>
      <c r="H598" s="93"/>
      <c r="I598" s="85"/>
      <c r="J598" s="85"/>
      <c r="K598" s="131"/>
      <c r="L598" s="60"/>
      <c r="M598" s="33"/>
    </row>
    <row r="599" spans="1:15" x14ac:dyDescent="0.15">
      <c r="A599" s="166"/>
      <c r="B599" s="93"/>
      <c r="C599" s="70"/>
      <c r="D599" s="70"/>
      <c r="E599" s="70"/>
      <c r="F599" s="70"/>
      <c r="G599" s="70"/>
      <c r="H599" s="93"/>
      <c r="I599" s="85"/>
      <c r="J599" s="85"/>
      <c r="K599" s="131"/>
      <c r="L599" s="60"/>
      <c r="M599" s="33"/>
    </row>
    <row r="600" spans="1:15" x14ac:dyDescent="0.15">
      <c r="A600" s="166"/>
      <c r="B600" s="82"/>
      <c r="C600" s="70"/>
      <c r="D600" s="70"/>
      <c r="E600" s="70"/>
      <c r="F600" s="70"/>
      <c r="G600" s="70"/>
      <c r="H600" s="93"/>
      <c r="I600" s="85"/>
      <c r="J600" s="85"/>
      <c r="K600" s="131"/>
      <c r="L600" s="60"/>
      <c r="M600" s="33"/>
    </row>
    <row r="601" spans="1:15" x14ac:dyDescent="0.15">
      <c r="A601" s="166"/>
      <c r="B601" s="82"/>
      <c r="C601" s="70"/>
      <c r="D601" s="70"/>
      <c r="E601" s="70"/>
      <c r="F601" s="70"/>
      <c r="G601" s="70"/>
      <c r="H601" s="93"/>
      <c r="I601" s="85"/>
      <c r="J601" s="85"/>
      <c r="K601" s="131"/>
      <c r="L601" s="60"/>
      <c r="M601" s="33"/>
    </row>
    <row r="602" spans="1:15" x14ac:dyDescent="0.15">
      <c r="A602" s="166"/>
      <c r="B602" s="82"/>
      <c r="C602" s="70"/>
      <c r="D602" s="70"/>
      <c r="E602" s="70"/>
      <c r="F602" s="70"/>
      <c r="G602" s="70"/>
      <c r="H602" s="93"/>
      <c r="I602" s="85"/>
      <c r="J602" s="85"/>
      <c r="K602" s="131"/>
      <c r="L602" s="60"/>
      <c r="M602" s="33"/>
    </row>
    <row r="603" spans="1:15" x14ac:dyDescent="0.15">
      <c r="A603" s="166"/>
      <c r="B603" s="93"/>
      <c r="C603" s="70"/>
      <c r="D603" s="70"/>
      <c r="E603" s="70"/>
      <c r="F603" s="70"/>
      <c r="G603" s="70"/>
      <c r="H603" s="93"/>
      <c r="I603" s="85"/>
      <c r="J603" s="85"/>
      <c r="K603" s="131"/>
      <c r="L603" s="60"/>
      <c r="M603" s="33"/>
    </row>
    <row r="604" spans="1:15" x14ac:dyDescent="0.15">
      <c r="A604" s="166"/>
      <c r="B604" s="93"/>
      <c r="C604" s="70"/>
      <c r="D604" s="70"/>
      <c r="E604" s="70"/>
      <c r="F604" s="70"/>
      <c r="G604" s="70"/>
      <c r="H604" s="93"/>
      <c r="I604" s="85"/>
      <c r="J604" s="85"/>
      <c r="K604" s="131"/>
      <c r="L604" s="60"/>
      <c r="M604" s="33"/>
    </row>
    <row r="605" spans="1:15" x14ac:dyDescent="0.15">
      <c r="A605" s="70"/>
      <c r="B605" s="82"/>
      <c r="C605" s="70"/>
      <c r="D605" s="70"/>
      <c r="E605" s="70"/>
      <c r="F605" s="70"/>
      <c r="G605" s="70"/>
      <c r="H605" s="93"/>
      <c r="I605" s="85"/>
      <c r="J605" s="85"/>
      <c r="K605" s="131"/>
      <c r="L605" s="60"/>
      <c r="M605" s="33"/>
    </row>
    <row r="606" spans="1:15" x14ac:dyDescent="0.15">
      <c r="A606" s="166"/>
      <c r="B606" s="82"/>
      <c r="C606" s="70"/>
      <c r="D606" s="70"/>
      <c r="E606" s="70"/>
      <c r="F606" s="70"/>
      <c r="G606" s="70"/>
      <c r="H606" s="93"/>
      <c r="I606" s="85"/>
      <c r="J606" s="85"/>
      <c r="K606" s="131"/>
      <c r="L606" s="60"/>
      <c r="M606" s="33"/>
      <c r="O606" s="35"/>
    </row>
    <row r="607" spans="1:15" x14ac:dyDescent="0.15">
      <c r="A607" s="166"/>
      <c r="B607" s="93"/>
      <c r="C607" s="70"/>
      <c r="D607" s="70"/>
      <c r="E607" s="70"/>
      <c r="F607" s="70"/>
      <c r="G607" s="70"/>
      <c r="H607" s="93"/>
      <c r="I607" s="85"/>
      <c r="J607" s="85"/>
      <c r="K607" s="131"/>
      <c r="L607" s="60"/>
      <c r="M607" s="33"/>
    </row>
    <row r="608" spans="1:15" x14ac:dyDescent="0.15">
      <c r="A608" s="166"/>
      <c r="B608" s="93"/>
      <c r="C608" s="70"/>
      <c r="D608" s="70"/>
      <c r="E608" s="70"/>
      <c r="F608" s="70"/>
      <c r="G608" s="70"/>
      <c r="H608" s="93"/>
      <c r="I608" s="85"/>
      <c r="J608" s="85"/>
      <c r="K608" s="131"/>
      <c r="L608" s="60"/>
      <c r="M608" s="33"/>
    </row>
    <row r="609" spans="1:13" x14ac:dyDescent="0.15">
      <c r="A609" s="166"/>
      <c r="B609" s="93"/>
      <c r="C609" s="70"/>
      <c r="D609" s="70"/>
      <c r="E609" s="70"/>
      <c r="F609" s="70"/>
      <c r="G609" s="70"/>
      <c r="H609" s="93"/>
      <c r="I609" s="85"/>
      <c r="J609" s="85"/>
      <c r="K609" s="131"/>
      <c r="L609" s="60"/>
      <c r="M609" s="33"/>
    </row>
    <row r="610" spans="1:13" x14ac:dyDescent="0.15">
      <c r="A610" s="166"/>
      <c r="B610" s="93"/>
      <c r="C610" s="73"/>
      <c r="D610" s="73"/>
      <c r="E610" s="70"/>
      <c r="F610" s="73"/>
      <c r="G610" s="73"/>
      <c r="H610" s="108"/>
      <c r="I610" s="85"/>
      <c r="J610" s="85"/>
      <c r="K610" s="131"/>
      <c r="L610" s="60"/>
      <c r="M610" s="33"/>
    </row>
    <row r="611" spans="1:13" x14ac:dyDescent="0.15">
      <c r="A611" s="166"/>
      <c r="B611" s="82"/>
      <c r="C611" s="73"/>
      <c r="D611" s="73"/>
      <c r="E611" s="73"/>
      <c r="F611" s="73"/>
      <c r="G611" s="73"/>
      <c r="H611" s="108"/>
      <c r="I611" s="85"/>
      <c r="J611" s="95"/>
      <c r="K611" s="131"/>
      <c r="L611" s="60"/>
    </row>
    <row r="612" spans="1:13" x14ac:dyDescent="0.15">
      <c r="A612" s="166"/>
      <c r="B612" s="82"/>
      <c r="C612" s="70"/>
      <c r="D612" s="70"/>
      <c r="E612" s="70"/>
      <c r="F612" s="70"/>
      <c r="G612" s="70"/>
      <c r="H612" s="93"/>
      <c r="I612" s="85"/>
      <c r="J612" s="85"/>
      <c r="K612" s="131"/>
      <c r="L612" s="60"/>
    </row>
    <row r="613" spans="1:13" x14ac:dyDescent="0.15">
      <c r="A613" s="166"/>
      <c r="B613" s="82"/>
      <c r="C613" s="70"/>
      <c r="D613" s="70"/>
      <c r="E613" s="70"/>
      <c r="F613" s="70"/>
      <c r="G613" s="70"/>
      <c r="H613" s="93"/>
      <c r="I613" s="85"/>
      <c r="J613" s="85"/>
      <c r="K613" s="131"/>
      <c r="L613" s="60"/>
    </row>
    <row r="614" spans="1:13" x14ac:dyDescent="0.15">
      <c r="A614" s="166"/>
      <c r="B614" s="82"/>
      <c r="C614" s="70"/>
      <c r="D614" s="70"/>
      <c r="E614" s="70"/>
      <c r="F614" s="70"/>
      <c r="G614" s="70"/>
      <c r="H614" s="93"/>
      <c r="I614" s="85"/>
      <c r="J614" s="85"/>
      <c r="K614" s="140"/>
      <c r="L614" s="63"/>
    </row>
    <row r="615" spans="1:13" x14ac:dyDescent="0.15">
      <c r="A615" s="166"/>
      <c r="B615" s="82"/>
      <c r="C615" s="70"/>
      <c r="D615" s="70"/>
      <c r="E615" s="70"/>
      <c r="F615" s="70"/>
      <c r="G615" s="70"/>
      <c r="H615" s="93"/>
      <c r="I615" s="85"/>
      <c r="J615" s="85"/>
      <c r="K615" s="131"/>
      <c r="L615" s="60"/>
    </row>
    <row r="616" spans="1:13" x14ac:dyDescent="0.15">
      <c r="A616" s="166"/>
      <c r="B616" s="82"/>
      <c r="C616" s="70"/>
      <c r="D616" s="70"/>
      <c r="E616" s="70"/>
      <c r="F616" s="70"/>
      <c r="G616" s="70"/>
      <c r="H616" s="93"/>
      <c r="I616" s="85"/>
      <c r="J616" s="85"/>
      <c r="K616" s="131"/>
      <c r="L616" s="60"/>
    </row>
    <row r="617" spans="1:13" x14ac:dyDescent="0.15">
      <c r="A617" s="166"/>
      <c r="B617" s="82"/>
      <c r="C617" s="70"/>
      <c r="D617" s="70"/>
      <c r="E617" s="70"/>
      <c r="F617" s="70"/>
      <c r="G617" s="70"/>
      <c r="H617" s="93"/>
      <c r="I617" s="85"/>
      <c r="J617" s="85"/>
      <c r="K617" s="131"/>
      <c r="L617" s="60"/>
    </row>
    <row r="618" spans="1:13" x14ac:dyDescent="0.15">
      <c r="A618" s="166"/>
      <c r="B618" s="82"/>
      <c r="C618" s="70"/>
      <c r="D618" s="70"/>
      <c r="E618" s="70"/>
      <c r="F618" s="70"/>
      <c r="G618" s="70"/>
      <c r="H618" s="93"/>
      <c r="I618" s="85"/>
      <c r="J618" s="85"/>
      <c r="K618" s="131"/>
      <c r="L618" s="60"/>
    </row>
    <row r="619" spans="1:13" x14ac:dyDescent="0.15">
      <c r="A619" s="166"/>
      <c r="B619" s="82"/>
      <c r="C619" s="70"/>
      <c r="D619" s="70"/>
      <c r="E619" s="70"/>
      <c r="F619" s="70"/>
      <c r="G619" s="70"/>
      <c r="H619" s="93"/>
      <c r="I619" s="85"/>
      <c r="J619" s="85"/>
      <c r="K619" s="131"/>
      <c r="L619" s="69"/>
    </row>
    <row r="620" spans="1:13" x14ac:dyDescent="0.15">
      <c r="A620" s="166"/>
      <c r="B620" s="82"/>
      <c r="C620" s="70"/>
      <c r="D620" s="70"/>
      <c r="E620" s="70"/>
      <c r="F620" s="70"/>
      <c r="G620" s="70"/>
      <c r="H620" s="93"/>
      <c r="I620" s="85"/>
      <c r="J620" s="85"/>
      <c r="K620" s="131"/>
      <c r="L620" s="69"/>
    </row>
    <row r="621" spans="1:13" x14ac:dyDescent="0.15">
      <c r="A621" s="166"/>
      <c r="B621" s="82"/>
      <c r="C621" s="70"/>
      <c r="D621" s="70"/>
      <c r="E621" s="70"/>
      <c r="F621" s="70"/>
      <c r="G621" s="70"/>
      <c r="H621" s="93"/>
      <c r="I621" s="85"/>
      <c r="J621" s="85"/>
      <c r="K621" s="131"/>
      <c r="L621" s="60"/>
    </row>
    <row r="622" spans="1:13" x14ac:dyDescent="0.15">
      <c r="A622" s="166"/>
      <c r="B622" s="82"/>
      <c r="C622" s="70"/>
      <c r="D622" s="70"/>
      <c r="E622" s="70"/>
      <c r="F622" s="70"/>
      <c r="G622" s="70"/>
      <c r="H622" s="93"/>
      <c r="I622" s="85"/>
      <c r="J622" s="85"/>
      <c r="K622" s="131"/>
      <c r="L622" s="60"/>
    </row>
    <row r="623" spans="1:13" x14ac:dyDescent="0.15">
      <c r="A623" s="166"/>
      <c r="B623" s="82"/>
      <c r="C623" s="70"/>
      <c r="D623" s="70"/>
      <c r="E623" s="70"/>
      <c r="F623" s="70"/>
      <c r="G623" s="70"/>
      <c r="H623" s="93"/>
      <c r="I623" s="85"/>
      <c r="J623" s="85"/>
      <c r="K623" s="131"/>
      <c r="L623" s="60"/>
    </row>
    <row r="624" spans="1:13" x14ac:dyDescent="0.15">
      <c r="A624" s="166"/>
      <c r="B624" s="82"/>
      <c r="C624" s="70"/>
      <c r="D624" s="70"/>
      <c r="E624" s="70"/>
      <c r="F624" s="70"/>
      <c r="G624" s="70"/>
      <c r="H624" s="93"/>
      <c r="I624" s="85"/>
      <c r="J624" s="85"/>
      <c r="K624" s="131"/>
      <c r="L624" s="60"/>
    </row>
    <row r="625" spans="1:13" x14ac:dyDescent="0.15">
      <c r="A625" s="166"/>
      <c r="B625" s="82"/>
      <c r="C625" s="70"/>
      <c r="D625" s="70"/>
      <c r="E625" s="70"/>
      <c r="F625" s="70"/>
      <c r="G625" s="70"/>
      <c r="H625" s="93"/>
      <c r="I625" s="85"/>
      <c r="J625" s="85"/>
      <c r="K625" s="131"/>
      <c r="L625" s="60"/>
    </row>
    <row r="626" spans="1:13" x14ac:dyDescent="0.15">
      <c r="A626" s="166"/>
      <c r="B626" s="82"/>
      <c r="C626" s="70"/>
      <c r="D626" s="70"/>
      <c r="E626" s="70"/>
      <c r="F626" s="70"/>
      <c r="G626" s="70"/>
      <c r="H626" s="93"/>
      <c r="I626" s="85"/>
      <c r="J626" s="85"/>
      <c r="K626" s="131"/>
      <c r="L626" s="60"/>
    </row>
    <row r="627" spans="1:13" x14ac:dyDescent="0.15">
      <c r="A627" s="166"/>
      <c r="B627" s="82"/>
      <c r="C627" s="70"/>
      <c r="D627" s="70"/>
      <c r="E627" s="70"/>
      <c r="F627" s="70"/>
      <c r="G627" s="70"/>
      <c r="H627" s="93"/>
      <c r="I627" s="85"/>
      <c r="J627" s="85"/>
      <c r="K627" s="131"/>
      <c r="L627" s="60"/>
    </row>
    <row r="628" spans="1:13" x14ac:dyDescent="0.15">
      <c r="A628" s="70"/>
      <c r="B628" s="82"/>
      <c r="C628" s="70"/>
      <c r="D628" s="70"/>
      <c r="E628" s="70"/>
      <c r="F628" s="70"/>
      <c r="G628" s="70"/>
      <c r="H628" s="93"/>
      <c r="I628" s="85"/>
      <c r="J628" s="85"/>
      <c r="K628" s="131"/>
      <c r="L628" s="60"/>
    </row>
    <row r="629" spans="1:13" x14ac:dyDescent="0.15">
      <c r="A629" s="70"/>
      <c r="B629" s="82"/>
      <c r="C629" s="70"/>
      <c r="D629" s="70"/>
      <c r="E629" s="70"/>
      <c r="F629" s="70"/>
      <c r="G629" s="70"/>
      <c r="H629" s="93"/>
      <c r="I629" s="85"/>
      <c r="J629" s="85"/>
      <c r="K629" s="131"/>
      <c r="L629" s="69"/>
    </row>
    <row r="630" spans="1:13" x14ac:dyDescent="0.15">
      <c r="A630" s="70"/>
      <c r="B630" s="82"/>
      <c r="C630" s="70"/>
      <c r="D630" s="70"/>
      <c r="E630" s="70"/>
      <c r="F630" s="70"/>
      <c r="G630" s="70"/>
      <c r="H630" s="93"/>
      <c r="I630" s="85"/>
      <c r="J630" s="85"/>
      <c r="K630" s="131"/>
      <c r="L630" s="60"/>
    </row>
    <row r="631" spans="1:13" x14ac:dyDescent="0.15">
      <c r="A631" s="70"/>
      <c r="B631" s="82"/>
      <c r="C631" s="70"/>
      <c r="D631" s="70"/>
      <c r="E631" s="70"/>
      <c r="F631" s="70"/>
      <c r="G631" s="70"/>
      <c r="H631" s="93"/>
      <c r="I631" s="85"/>
      <c r="J631" s="85"/>
      <c r="K631" s="131"/>
      <c r="L631" s="60"/>
    </row>
    <row r="632" spans="1:13" ht="16" x14ac:dyDescent="0.2">
      <c r="A632" s="70"/>
      <c r="B632" s="82"/>
      <c r="C632" s="70"/>
      <c r="D632" s="70"/>
      <c r="E632" s="70"/>
      <c r="F632" s="70"/>
      <c r="G632" s="70"/>
      <c r="H632" s="93"/>
      <c r="I632" s="85"/>
      <c r="J632" s="85"/>
      <c r="K632" s="131"/>
      <c r="L632" s="60"/>
      <c r="M632" s="47"/>
    </row>
    <row r="633" spans="1:13" x14ac:dyDescent="0.15">
      <c r="A633" s="70"/>
      <c r="B633" s="82"/>
      <c r="C633" s="70"/>
      <c r="D633" s="70"/>
      <c r="E633" s="70"/>
      <c r="F633" s="70"/>
      <c r="G633" s="70"/>
      <c r="H633" s="93"/>
      <c r="I633" s="85"/>
      <c r="J633" s="85"/>
      <c r="K633" s="131"/>
      <c r="L633" s="60"/>
    </row>
    <row r="634" spans="1:13" x14ac:dyDescent="0.15">
      <c r="A634" s="70"/>
      <c r="B634" s="82"/>
      <c r="C634" s="70"/>
      <c r="D634" s="70"/>
      <c r="E634" s="70"/>
      <c r="F634" s="70"/>
      <c r="G634" s="70"/>
      <c r="H634" s="93"/>
      <c r="I634" s="85"/>
      <c r="J634" s="85"/>
      <c r="K634" s="131"/>
      <c r="L634" s="60"/>
    </row>
    <row r="635" spans="1:13" x14ac:dyDescent="0.15">
      <c r="A635" s="70"/>
      <c r="B635" s="82"/>
      <c r="C635" s="70"/>
      <c r="D635" s="70"/>
      <c r="E635" s="70"/>
      <c r="F635" s="70"/>
      <c r="G635" s="70"/>
      <c r="H635" s="93"/>
      <c r="I635" s="85"/>
      <c r="J635" s="85"/>
      <c r="K635" s="131"/>
      <c r="L635" s="60"/>
    </row>
    <row r="636" spans="1:13" x14ac:dyDescent="0.15">
      <c r="A636" s="70"/>
      <c r="B636" s="82"/>
      <c r="C636" s="70"/>
      <c r="D636" s="70"/>
      <c r="E636" s="70"/>
      <c r="F636" s="70"/>
      <c r="G636" s="70"/>
      <c r="H636" s="93"/>
      <c r="I636" s="85"/>
      <c r="J636" s="85"/>
      <c r="K636" s="131"/>
      <c r="L636" s="60"/>
    </row>
    <row r="637" spans="1:13" x14ac:dyDescent="0.15">
      <c r="A637" s="70"/>
      <c r="B637" s="82"/>
      <c r="C637" s="70"/>
      <c r="D637" s="70"/>
      <c r="E637" s="70"/>
      <c r="F637" s="70"/>
      <c r="G637" s="70"/>
      <c r="H637" s="93"/>
      <c r="I637" s="85"/>
      <c r="J637" s="85"/>
      <c r="K637" s="131"/>
      <c r="L637" s="60"/>
    </row>
    <row r="638" spans="1:13" ht="16" x14ac:dyDescent="0.2">
      <c r="A638" s="70"/>
      <c r="B638" s="82"/>
      <c r="C638" s="70"/>
      <c r="D638" s="70"/>
      <c r="E638" s="70"/>
      <c r="F638" s="70"/>
      <c r="G638" s="70"/>
      <c r="H638" s="93"/>
      <c r="I638" s="85"/>
      <c r="J638" s="85"/>
      <c r="K638" s="131"/>
      <c r="L638" s="60"/>
      <c r="M638" s="47"/>
    </row>
    <row r="639" spans="1:13" x14ac:dyDescent="0.15">
      <c r="A639" s="70"/>
      <c r="B639" s="82"/>
      <c r="C639" s="70"/>
      <c r="D639" s="70"/>
      <c r="E639" s="70"/>
      <c r="F639" s="70"/>
      <c r="G639" s="70"/>
      <c r="H639" s="93"/>
      <c r="I639" s="85"/>
      <c r="J639" s="85"/>
      <c r="K639" s="131"/>
      <c r="L639" s="60"/>
    </row>
    <row r="640" spans="1:13" ht="16" x14ac:dyDescent="0.2">
      <c r="A640" s="70"/>
      <c r="B640" s="82"/>
      <c r="C640" s="70"/>
      <c r="D640" s="70"/>
      <c r="E640" s="70"/>
      <c r="F640" s="70"/>
      <c r="G640" s="70"/>
      <c r="H640" s="93"/>
      <c r="I640" s="85"/>
      <c r="J640" s="85"/>
      <c r="K640" s="131"/>
      <c r="L640" s="60"/>
      <c r="M640" s="47"/>
    </row>
    <row r="641" spans="1:13" x14ac:dyDescent="0.15">
      <c r="A641" s="70"/>
      <c r="B641" s="82"/>
      <c r="C641" s="70"/>
      <c r="D641" s="70"/>
      <c r="E641" s="70"/>
      <c r="F641" s="70"/>
      <c r="G641" s="70"/>
      <c r="H641" s="93"/>
      <c r="I641" s="85"/>
      <c r="J641" s="85"/>
      <c r="K641" s="131"/>
      <c r="L641" s="60"/>
    </row>
    <row r="642" spans="1:13" x14ac:dyDescent="0.15">
      <c r="A642" s="70"/>
      <c r="B642" s="82"/>
      <c r="C642" s="70"/>
      <c r="D642" s="70"/>
      <c r="E642" s="70"/>
      <c r="F642" s="70"/>
      <c r="G642" s="70"/>
      <c r="H642" s="93"/>
      <c r="I642" s="85"/>
      <c r="J642" s="85"/>
      <c r="K642" s="131"/>
      <c r="L642" s="60"/>
    </row>
    <row r="643" spans="1:13" x14ac:dyDescent="0.15">
      <c r="A643" s="70"/>
      <c r="B643" s="82"/>
      <c r="C643" s="70"/>
      <c r="D643" s="70"/>
      <c r="E643" s="70"/>
      <c r="F643" s="70"/>
      <c r="G643" s="70"/>
      <c r="H643" s="93"/>
      <c r="I643" s="85"/>
      <c r="J643" s="85"/>
      <c r="K643" s="131"/>
      <c r="L643" s="60"/>
    </row>
    <row r="644" spans="1:13" ht="16" x14ac:dyDescent="0.2">
      <c r="A644" s="70"/>
      <c r="B644" s="82"/>
      <c r="C644" s="70"/>
      <c r="D644" s="70"/>
      <c r="E644" s="70"/>
      <c r="F644" s="70"/>
      <c r="G644" s="70"/>
      <c r="H644" s="93"/>
      <c r="I644" s="85"/>
      <c r="J644" s="85"/>
      <c r="K644" s="131"/>
      <c r="L644" s="60"/>
      <c r="M644" s="47"/>
    </row>
    <row r="645" spans="1:13" x14ac:dyDescent="0.15">
      <c r="A645" s="166"/>
      <c r="B645" s="82"/>
      <c r="C645" s="70"/>
      <c r="D645" s="70"/>
      <c r="E645" s="70"/>
      <c r="F645" s="70"/>
      <c r="G645" s="70"/>
      <c r="H645" s="93"/>
      <c r="I645" s="85"/>
      <c r="J645" s="85"/>
      <c r="K645" s="131"/>
      <c r="L645" s="60"/>
    </row>
    <row r="646" spans="1:13" x14ac:dyDescent="0.15">
      <c r="A646" s="166"/>
      <c r="B646" s="82"/>
      <c r="C646" s="70"/>
      <c r="D646" s="70"/>
      <c r="E646" s="70"/>
      <c r="F646" s="70"/>
      <c r="G646" s="70"/>
      <c r="H646" s="93"/>
      <c r="I646" s="85"/>
      <c r="J646" s="85"/>
      <c r="K646" s="131"/>
      <c r="L646" s="60"/>
    </row>
    <row r="647" spans="1:13" x14ac:dyDescent="0.15">
      <c r="A647" s="166"/>
      <c r="B647" s="82"/>
      <c r="C647" s="70"/>
      <c r="D647" s="70"/>
      <c r="E647" s="70"/>
      <c r="F647" s="70"/>
      <c r="G647" s="70"/>
      <c r="H647" s="93"/>
      <c r="I647" s="85"/>
      <c r="J647" s="85"/>
      <c r="K647" s="131"/>
      <c r="L647" s="60"/>
    </row>
    <row r="648" spans="1:13" x14ac:dyDescent="0.15">
      <c r="A648" s="166"/>
      <c r="B648" s="82"/>
      <c r="C648" s="70"/>
      <c r="D648" s="70"/>
      <c r="E648" s="70"/>
      <c r="F648" s="70"/>
      <c r="G648" s="70"/>
      <c r="H648" s="93"/>
      <c r="I648" s="85"/>
      <c r="J648" s="85"/>
      <c r="K648" s="131"/>
      <c r="L648" s="60"/>
    </row>
    <row r="649" spans="1:13" ht="16" x14ac:dyDescent="0.2">
      <c r="A649" s="166"/>
      <c r="B649" s="82"/>
      <c r="C649" s="70"/>
      <c r="D649" s="70"/>
      <c r="E649" s="70"/>
      <c r="F649" s="70"/>
      <c r="G649" s="70"/>
      <c r="H649" s="93"/>
      <c r="I649" s="85"/>
      <c r="J649" s="85"/>
      <c r="K649" s="131"/>
      <c r="L649" s="60"/>
      <c r="M649" s="47"/>
    </row>
    <row r="650" spans="1:13" ht="16" x14ac:dyDescent="0.2">
      <c r="A650" s="166"/>
      <c r="B650" s="82"/>
      <c r="C650" s="70"/>
      <c r="D650" s="70"/>
      <c r="E650" s="70"/>
      <c r="F650" s="70"/>
      <c r="G650" s="70"/>
      <c r="H650" s="93"/>
      <c r="I650" s="85"/>
      <c r="J650" s="85"/>
      <c r="K650" s="131"/>
      <c r="L650" s="60"/>
      <c r="M650" s="47"/>
    </row>
    <row r="651" spans="1:13" ht="16" x14ac:dyDescent="0.2">
      <c r="A651" s="166"/>
      <c r="B651" s="82"/>
      <c r="C651" s="70"/>
      <c r="D651" s="70"/>
      <c r="E651" s="70"/>
      <c r="F651" s="70"/>
      <c r="G651" s="70"/>
      <c r="H651" s="93"/>
      <c r="I651" s="85"/>
      <c r="J651" s="85"/>
      <c r="K651" s="131"/>
      <c r="L651" s="60"/>
      <c r="M651" s="47"/>
    </row>
    <row r="652" spans="1:13" x14ac:dyDescent="0.15">
      <c r="A652" s="166"/>
      <c r="B652" s="82"/>
      <c r="C652" s="70"/>
      <c r="D652" s="70"/>
      <c r="E652" s="70"/>
      <c r="F652" s="70"/>
      <c r="G652" s="70"/>
      <c r="H652" s="93"/>
      <c r="I652" s="85"/>
      <c r="J652" s="85"/>
      <c r="K652" s="131"/>
      <c r="L652" s="60"/>
    </row>
    <row r="653" spans="1:13" ht="16" x14ac:dyDescent="0.2">
      <c r="A653" s="166"/>
      <c r="B653" s="82"/>
      <c r="C653" s="70"/>
      <c r="D653" s="70"/>
      <c r="E653" s="70"/>
      <c r="F653" s="70"/>
      <c r="G653" s="70"/>
      <c r="H653" s="93"/>
      <c r="I653" s="85"/>
      <c r="J653" s="85"/>
      <c r="K653" s="131"/>
      <c r="L653" s="60"/>
      <c r="M653" s="47"/>
    </row>
    <row r="654" spans="1:13" x14ac:dyDescent="0.15">
      <c r="A654" s="166"/>
      <c r="B654" s="82"/>
      <c r="C654" s="70"/>
      <c r="D654" s="70"/>
      <c r="E654" s="70"/>
      <c r="F654" s="70"/>
      <c r="G654" s="70"/>
      <c r="H654" s="93"/>
      <c r="I654" s="85"/>
      <c r="J654" s="85"/>
      <c r="K654" s="131"/>
      <c r="L654" s="60"/>
    </row>
    <row r="655" spans="1:13" x14ac:dyDescent="0.15">
      <c r="A655" s="166"/>
      <c r="B655" s="82"/>
      <c r="C655" s="70"/>
      <c r="D655" s="70"/>
      <c r="E655" s="70"/>
      <c r="F655" s="70"/>
      <c r="G655" s="70"/>
      <c r="H655" s="93"/>
      <c r="I655" s="85"/>
      <c r="J655" s="85"/>
      <c r="K655" s="131"/>
      <c r="L655" s="60"/>
    </row>
    <row r="656" spans="1:13" x14ac:dyDescent="0.15">
      <c r="A656" s="166"/>
      <c r="B656" s="82"/>
      <c r="C656" s="70"/>
      <c r="D656" s="70"/>
      <c r="E656" s="70"/>
      <c r="F656" s="70"/>
      <c r="G656" s="70"/>
      <c r="H656" s="93"/>
      <c r="I656" s="85"/>
      <c r="J656" s="85"/>
      <c r="K656" s="131"/>
      <c r="L656" s="60"/>
    </row>
    <row r="657" spans="1:13" x14ac:dyDescent="0.15">
      <c r="A657" s="166"/>
      <c r="B657" s="93"/>
      <c r="C657" s="70"/>
      <c r="D657" s="70"/>
      <c r="E657" s="73"/>
      <c r="F657" s="70"/>
      <c r="G657" s="70"/>
      <c r="H657" s="93"/>
      <c r="I657" s="85"/>
      <c r="J657" s="85"/>
      <c r="K657" s="131"/>
      <c r="L657" s="60"/>
    </row>
    <row r="658" spans="1:13" x14ac:dyDescent="0.15">
      <c r="A658" s="166"/>
      <c r="B658" s="82"/>
      <c r="C658" s="70"/>
      <c r="D658" s="70"/>
      <c r="E658" s="70"/>
      <c r="F658" s="70"/>
      <c r="G658" s="70"/>
      <c r="H658" s="93"/>
      <c r="I658" s="85"/>
      <c r="J658" s="85"/>
      <c r="K658" s="131"/>
      <c r="L658" s="60"/>
    </row>
    <row r="659" spans="1:13" ht="16" x14ac:dyDescent="0.2">
      <c r="A659" s="166"/>
      <c r="B659" s="82"/>
      <c r="C659" s="70"/>
      <c r="D659" s="70"/>
      <c r="E659" s="70"/>
      <c r="F659" s="70"/>
      <c r="G659" s="70"/>
      <c r="H659" s="93"/>
      <c r="I659" s="85"/>
      <c r="J659" s="85"/>
      <c r="K659" s="131"/>
      <c r="L659" s="60"/>
      <c r="M659" s="47"/>
    </row>
    <row r="660" spans="1:13" x14ac:dyDescent="0.15">
      <c r="A660" s="166"/>
      <c r="B660" s="82"/>
      <c r="C660" s="70"/>
      <c r="D660" s="70"/>
      <c r="E660" s="70"/>
      <c r="F660" s="70"/>
      <c r="G660" s="70"/>
      <c r="H660" s="93"/>
      <c r="I660" s="85"/>
      <c r="J660" s="85"/>
      <c r="K660" s="131"/>
      <c r="L660" s="60"/>
    </row>
    <row r="661" spans="1:13" x14ac:dyDescent="0.15">
      <c r="A661" s="166"/>
      <c r="B661" s="82"/>
      <c r="C661" s="70"/>
      <c r="D661" s="70"/>
      <c r="E661" s="70"/>
      <c r="F661" s="70"/>
      <c r="G661" s="70"/>
      <c r="H661" s="93"/>
      <c r="I661" s="85"/>
      <c r="J661" s="85"/>
      <c r="K661" s="131"/>
      <c r="L661" s="60"/>
    </row>
    <row r="662" spans="1:13" x14ac:dyDescent="0.15">
      <c r="A662" s="165"/>
      <c r="B662" s="97"/>
      <c r="C662" s="62"/>
      <c r="D662" s="62"/>
      <c r="E662" s="62"/>
      <c r="F662" s="62"/>
      <c r="G662" s="62"/>
      <c r="H662" s="97"/>
      <c r="I662" s="85"/>
      <c r="J662" s="98"/>
      <c r="K662" s="135"/>
      <c r="L662" s="67"/>
      <c r="M662" s="56"/>
    </row>
    <row r="663" spans="1:13" x14ac:dyDescent="0.15">
      <c r="A663" s="166"/>
      <c r="B663" s="82"/>
      <c r="C663" s="70"/>
      <c r="D663" s="70"/>
      <c r="E663" s="70"/>
      <c r="F663" s="70"/>
      <c r="G663" s="70"/>
      <c r="H663" s="93"/>
      <c r="I663" s="85"/>
      <c r="J663" s="85"/>
      <c r="K663" s="131"/>
      <c r="L663" s="60"/>
    </row>
    <row r="664" spans="1:13" ht="16" x14ac:dyDescent="0.2">
      <c r="A664" s="166"/>
      <c r="B664" s="82"/>
      <c r="C664" s="70"/>
      <c r="D664" s="70"/>
      <c r="E664" s="70"/>
      <c r="F664" s="70"/>
      <c r="G664" s="70"/>
      <c r="H664" s="93"/>
      <c r="I664" s="85"/>
      <c r="J664" s="85"/>
      <c r="K664" s="131"/>
      <c r="L664" s="60"/>
      <c r="M664" s="47"/>
    </row>
    <row r="665" spans="1:13" x14ac:dyDescent="0.15">
      <c r="A665" s="166"/>
      <c r="B665" s="82"/>
      <c r="C665" s="70"/>
      <c r="D665" s="70"/>
      <c r="E665" s="70"/>
      <c r="F665" s="70"/>
      <c r="G665" s="70"/>
      <c r="H665" s="93"/>
      <c r="I665" s="85"/>
      <c r="J665" s="85"/>
      <c r="K665" s="131"/>
      <c r="L665" s="60"/>
    </row>
    <row r="666" spans="1:13" x14ac:dyDescent="0.15">
      <c r="A666" s="166"/>
      <c r="B666" s="82"/>
      <c r="C666" s="73"/>
      <c r="D666" s="73"/>
      <c r="E666" s="73"/>
      <c r="F666" s="73"/>
      <c r="G666" s="73"/>
      <c r="H666" s="108"/>
      <c r="I666" s="85"/>
      <c r="J666" s="85"/>
      <c r="K666" s="131"/>
      <c r="L666" s="60"/>
    </row>
    <row r="667" spans="1:13" x14ac:dyDescent="0.15">
      <c r="A667" s="166"/>
      <c r="B667" s="82"/>
      <c r="C667" s="70"/>
      <c r="D667" s="70"/>
      <c r="E667" s="70"/>
      <c r="F667" s="70"/>
      <c r="G667" s="70"/>
      <c r="H667" s="93"/>
      <c r="I667" s="85"/>
      <c r="J667" s="85"/>
      <c r="K667" s="131"/>
      <c r="L667" s="60"/>
    </row>
    <row r="668" spans="1:13" ht="16" x14ac:dyDescent="0.2">
      <c r="A668" s="166"/>
      <c r="B668" s="82"/>
      <c r="C668" s="70"/>
      <c r="D668" s="70"/>
      <c r="E668" s="70"/>
      <c r="F668" s="70"/>
      <c r="G668" s="70"/>
      <c r="H668" s="93"/>
      <c r="I668" s="85"/>
      <c r="J668" s="85"/>
      <c r="K668" s="131"/>
      <c r="L668" s="69"/>
      <c r="M668" s="47"/>
    </row>
    <row r="669" spans="1:13" x14ac:dyDescent="0.15">
      <c r="A669" s="166"/>
      <c r="B669" s="82"/>
      <c r="C669" s="70"/>
      <c r="D669" s="70"/>
      <c r="E669" s="70"/>
      <c r="F669" s="70"/>
      <c r="G669" s="70"/>
      <c r="H669" s="93"/>
      <c r="I669" s="85"/>
      <c r="J669" s="85"/>
      <c r="K669" s="131"/>
      <c r="L669" s="60"/>
    </row>
    <row r="670" spans="1:13" x14ac:dyDescent="0.15">
      <c r="A670" s="166"/>
      <c r="B670" s="82"/>
      <c r="C670" s="70"/>
      <c r="D670" s="70"/>
      <c r="E670" s="70"/>
      <c r="F670" s="70"/>
      <c r="G670" s="70"/>
      <c r="H670" s="93"/>
      <c r="I670" s="85"/>
      <c r="J670" s="85"/>
      <c r="K670" s="131"/>
      <c r="L670" s="60"/>
    </row>
    <row r="671" spans="1:13" x14ac:dyDescent="0.15">
      <c r="A671" s="166"/>
      <c r="B671" s="82"/>
      <c r="C671" s="70"/>
      <c r="D671" s="70"/>
      <c r="E671" s="70"/>
      <c r="F671" s="70"/>
      <c r="G671" s="70"/>
      <c r="H671" s="93"/>
      <c r="I671" s="85"/>
      <c r="J671" s="85"/>
      <c r="K671" s="131"/>
      <c r="L671" s="60"/>
    </row>
    <row r="672" spans="1:13" x14ac:dyDescent="0.15">
      <c r="A672" s="166"/>
      <c r="B672" s="82"/>
      <c r="C672" s="70"/>
      <c r="D672" s="70"/>
      <c r="E672" s="70"/>
      <c r="F672" s="70"/>
      <c r="G672" s="70"/>
      <c r="H672" s="93"/>
      <c r="I672" s="85"/>
      <c r="J672" s="85"/>
      <c r="K672" s="131"/>
      <c r="L672" s="60"/>
    </row>
    <row r="673" spans="1:13" x14ac:dyDescent="0.15">
      <c r="A673" s="166"/>
      <c r="B673" s="82"/>
      <c r="C673" s="70"/>
      <c r="D673" s="70"/>
      <c r="E673" s="70"/>
      <c r="F673" s="70"/>
      <c r="G673" s="70"/>
      <c r="H673" s="93"/>
      <c r="I673" s="85"/>
      <c r="J673" s="85"/>
      <c r="K673" s="131"/>
      <c r="L673" s="60"/>
    </row>
    <row r="674" spans="1:13" x14ac:dyDescent="0.15">
      <c r="A674" s="166"/>
      <c r="B674" s="82"/>
      <c r="C674" s="70"/>
      <c r="D674" s="70"/>
      <c r="E674" s="70"/>
      <c r="F674" s="70"/>
      <c r="G674" s="70"/>
      <c r="H674" s="93"/>
      <c r="I674" s="85"/>
      <c r="J674" s="85"/>
      <c r="K674" s="131"/>
      <c r="L674" s="60"/>
      <c r="M674" s="50"/>
    </row>
    <row r="675" spans="1:13" x14ac:dyDescent="0.15">
      <c r="A675" s="166"/>
      <c r="B675" s="82"/>
      <c r="C675" s="70"/>
      <c r="D675" s="70"/>
      <c r="E675" s="70"/>
      <c r="F675" s="70"/>
      <c r="G675" s="70"/>
      <c r="H675" s="93"/>
      <c r="I675" s="85"/>
      <c r="J675" s="85"/>
      <c r="K675" s="131"/>
      <c r="L675" s="63"/>
      <c r="M675" s="50"/>
    </row>
    <row r="676" spans="1:13" x14ac:dyDescent="0.15">
      <c r="A676" s="166"/>
      <c r="B676" s="82"/>
      <c r="C676" s="70"/>
      <c r="D676" s="70"/>
      <c r="E676" s="70"/>
      <c r="F676" s="70"/>
      <c r="G676" s="70"/>
      <c r="H676" s="93"/>
      <c r="I676" s="85"/>
      <c r="J676" s="85"/>
      <c r="K676" s="131"/>
      <c r="L676" s="69"/>
    </row>
    <row r="677" spans="1:13" x14ac:dyDescent="0.15">
      <c r="A677" s="166"/>
      <c r="B677" s="82"/>
      <c r="C677" s="70"/>
      <c r="D677" s="70"/>
      <c r="E677" s="70"/>
      <c r="F677" s="70"/>
      <c r="G677" s="70"/>
      <c r="H677" s="93"/>
      <c r="I677" s="85"/>
      <c r="J677" s="85"/>
      <c r="K677" s="131"/>
      <c r="L677" s="69"/>
    </row>
    <row r="678" spans="1:13" x14ac:dyDescent="0.15">
      <c r="A678" s="166"/>
      <c r="B678" s="82"/>
      <c r="C678" s="70"/>
      <c r="D678" s="70"/>
      <c r="E678" s="70"/>
      <c r="F678" s="70"/>
      <c r="G678" s="70"/>
      <c r="H678" s="93"/>
      <c r="I678" s="85"/>
      <c r="J678" s="85"/>
      <c r="K678" s="131"/>
      <c r="L678" s="69"/>
    </row>
    <row r="679" spans="1:13" x14ac:dyDescent="0.15">
      <c r="A679" s="166"/>
      <c r="B679" s="82"/>
      <c r="C679" s="70"/>
      <c r="D679" s="70"/>
      <c r="E679" s="70"/>
      <c r="F679" s="70"/>
      <c r="G679" s="70"/>
      <c r="H679" s="93"/>
      <c r="I679" s="85"/>
      <c r="J679" s="85"/>
      <c r="K679" s="131"/>
      <c r="L679" s="60"/>
    </row>
    <row r="680" spans="1:13" x14ac:dyDescent="0.15">
      <c r="A680" s="166"/>
      <c r="B680" s="82"/>
      <c r="C680" s="70"/>
      <c r="D680" s="70"/>
      <c r="E680" s="70"/>
      <c r="F680" s="70"/>
      <c r="G680" s="70"/>
      <c r="H680" s="93"/>
      <c r="I680" s="85"/>
      <c r="J680" s="85"/>
      <c r="K680" s="131"/>
      <c r="L680" s="60"/>
    </row>
    <row r="681" spans="1:13" x14ac:dyDescent="0.15">
      <c r="A681" s="166"/>
      <c r="B681" s="82"/>
      <c r="C681" s="70"/>
      <c r="D681" s="70"/>
      <c r="E681" s="70"/>
      <c r="F681" s="70"/>
      <c r="G681" s="70"/>
      <c r="H681" s="93"/>
      <c r="I681" s="85"/>
      <c r="J681" s="85"/>
      <c r="K681" s="131"/>
      <c r="L681" s="69"/>
    </row>
    <row r="682" spans="1:13" x14ac:dyDescent="0.15">
      <c r="A682" s="166"/>
      <c r="B682" s="82"/>
      <c r="C682" s="70"/>
      <c r="D682" s="70"/>
      <c r="E682" s="73"/>
      <c r="F682" s="70"/>
      <c r="G682" s="70"/>
      <c r="H682" s="93"/>
      <c r="I682" s="85"/>
      <c r="J682" s="85"/>
      <c r="K682" s="131"/>
      <c r="L682" s="60"/>
    </row>
    <row r="683" spans="1:13" x14ac:dyDescent="0.15">
      <c r="A683" s="166"/>
      <c r="B683" s="82"/>
      <c r="C683" s="70"/>
      <c r="D683" s="70"/>
      <c r="E683" s="70"/>
      <c r="F683" s="70"/>
      <c r="G683" s="70"/>
      <c r="H683" s="93"/>
      <c r="I683" s="85"/>
      <c r="J683" s="85"/>
      <c r="K683" s="131"/>
      <c r="L683" s="69"/>
    </row>
    <row r="684" spans="1:13" x14ac:dyDescent="0.15">
      <c r="A684" s="166"/>
      <c r="B684" s="82"/>
      <c r="C684" s="70"/>
      <c r="D684" s="70"/>
      <c r="E684" s="70"/>
      <c r="F684" s="70"/>
      <c r="G684" s="70"/>
      <c r="H684" s="93"/>
      <c r="I684" s="85"/>
      <c r="J684" s="85"/>
      <c r="K684" s="131"/>
      <c r="L684" s="69"/>
    </row>
    <row r="685" spans="1:13" x14ac:dyDescent="0.15">
      <c r="A685" s="166"/>
      <c r="B685" s="82"/>
      <c r="C685" s="70"/>
      <c r="D685" s="70"/>
      <c r="E685" s="70"/>
      <c r="F685" s="70"/>
      <c r="G685" s="70"/>
      <c r="H685" s="93"/>
      <c r="I685" s="85"/>
      <c r="J685" s="85"/>
      <c r="K685" s="131"/>
      <c r="L685" s="60"/>
    </row>
    <row r="686" spans="1:13" x14ac:dyDescent="0.15">
      <c r="A686" s="166"/>
      <c r="B686" s="82"/>
      <c r="C686" s="70"/>
      <c r="D686" s="70"/>
      <c r="E686" s="70"/>
      <c r="F686" s="70"/>
      <c r="G686" s="70"/>
      <c r="H686" s="93"/>
      <c r="I686" s="85"/>
      <c r="J686" s="85"/>
      <c r="K686" s="131"/>
      <c r="L686" s="60"/>
    </row>
    <row r="687" spans="1:13" x14ac:dyDescent="0.15">
      <c r="A687" s="166"/>
      <c r="B687" s="82"/>
      <c r="C687" s="73"/>
      <c r="D687" s="73"/>
      <c r="E687" s="73"/>
      <c r="F687" s="73"/>
      <c r="G687" s="73"/>
      <c r="H687" s="108"/>
      <c r="I687" s="85"/>
      <c r="J687" s="95"/>
      <c r="K687" s="131"/>
      <c r="L687" s="69"/>
    </row>
    <row r="688" spans="1:13" x14ac:dyDescent="0.15">
      <c r="A688" s="166"/>
      <c r="B688" s="82"/>
      <c r="C688" s="70"/>
      <c r="D688" s="70"/>
      <c r="E688" s="70"/>
      <c r="F688" s="70"/>
      <c r="G688" s="70"/>
      <c r="H688" s="93"/>
      <c r="I688" s="85"/>
      <c r="J688" s="85"/>
      <c r="K688" s="131"/>
      <c r="L688" s="69"/>
    </row>
    <row r="689" spans="1:13" x14ac:dyDescent="0.15">
      <c r="A689" s="166"/>
      <c r="B689" s="82"/>
      <c r="C689" s="70"/>
      <c r="D689" s="70"/>
      <c r="E689" s="70"/>
      <c r="F689" s="70"/>
      <c r="G689" s="70"/>
      <c r="H689" s="93"/>
      <c r="I689" s="85"/>
      <c r="J689" s="85"/>
      <c r="K689" s="131"/>
      <c r="L689" s="69"/>
    </row>
    <row r="690" spans="1:13" x14ac:dyDescent="0.15">
      <c r="A690" s="166"/>
      <c r="B690" s="82"/>
      <c r="C690" s="70"/>
      <c r="D690" s="70"/>
      <c r="E690" s="70"/>
      <c r="F690" s="70"/>
      <c r="G690" s="70"/>
      <c r="H690" s="93"/>
      <c r="I690" s="85"/>
      <c r="J690" s="85"/>
      <c r="K690" s="131"/>
      <c r="L690" s="60"/>
    </row>
    <row r="691" spans="1:13" x14ac:dyDescent="0.15">
      <c r="A691" s="166"/>
      <c r="B691" s="82"/>
      <c r="C691" s="70"/>
      <c r="D691" s="70"/>
      <c r="E691" s="70"/>
      <c r="F691" s="70"/>
      <c r="G691" s="70"/>
      <c r="H691" s="93"/>
      <c r="I691" s="85"/>
      <c r="J691" s="85"/>
      <c r="K691" s="131"/>
      <c r="L691" s="69"/>
    </row>
    <row r="692" spans="1:13" x14ac:dyDescent="0.15">
      <c r="A692" s="166"/>
      <c r="B692" s="82"/>
      <c r="C692" s="70"/>
      <c r="D692" s="70"/>
      <c r="E692" s="70"/>
      <c r="F692" s="70"/>
      <c r="G692" s="70"/>
      <c r="H692" s="93"/>
      <c r="I692" s="85"/>
      <c r="J692" s="85"/>
      <c r="K692" s="131"/>
      <c r="L692" s="63"/>
    </row>
    <row r="693" spans="1:13" x14ac:dyDescent="0.15">
      <c r="A693" s="166"/>
      <c r="B693" s="82"/>
      <c r="C693" s="70"/>
      <c r="D693" s="70"/>
      <c r="E693" s="70"/>
      <c r="F693" s="70"/>
      <c r="G693" s="70"/>
      <c r="H693" s="93"/>
      <c r="I693" s="85"/>
      <c r="J693" s="85"/>
      <c r="K693" s="131"/>
      <c r="L693" s="69"/>
      <c r="M693" s="50"/>
    </row>
    <row r="694" spans="1:13" x14ac:dyDescent="0.15">
      <c r="A694" s="166"/>
      <c r="B694" s="82"/>
      <c r="C694" s="70"/>
      <c r="D694" s="70"/>
      <c r="E694" s="70"/>
      <c r="F694" s="70"/>
      <c r="G694" s="70"/>
      <c r="H694" s="93"/>
      <c r="I694" s="85"/>
      <c r="J694" s="85"/>
      <c r="K694" s="131"/>
      <c r="L694" s="69"/>
      <c r="M694" s="50"/>
    </row>
    <row r="695" spans="1:13" x14ac:dyDescent="0.15">
      <c r="A695" s="166"/>
      <c r="B695" s="82"/>
      <c r="C695" s="70"/>
      <c r="D695" s="70"/>
      <c r="E695" s="70"/>
      <c r="F695" s="70"/>
      <c r="G695" s="70"/>
      <c r="H695" s="93"/>
      <c r="I695" s="85"/>
      <c r="J695" s="85"/>
      <c r="K695" s="131"/>
      <c r="L695" s="60"/>
      <c r="M695" s="50"/>
    </row>
    <row r="696" spans="1:13" x14ac:dyDescent="0.15">
      <c r="A696" s="166"/>
      <c r="B696" s="82"/>
      <c r="C696" s="70"/>
      <c r="D696" s="70"/>
      <c r="E696" s="70"/>
      <c r="F696" s="70"/>
      <c r="G696" s="70"/>
      <c r="H696" s="93"/>
      <c r="I696" s="85"/>
      <c r="J696" s="85"/>
      <c r="K696" s="131"/>
      <c r="L696" s="60"/>
      <c r="M696" s="50"/>
    </row>
    <row r="697" spans="1:13" x14ac:dyDescent="0.15">
      <c r="A697" s="166"/>
      <c r="B697" s="82"/>
      <c r="C697" s="70"/>
      <c r="D697" s="70"/>
      <c r="E697" s="70"/>
      <c r="F697" s="70"/>
      <c r="G697" s="70"/>
      <c r="H697" s="93"/>
      <c r="I697" s="85"/>
      <c r="J697" s="85"/>
      <c r="K697" s="131"/>
      <c r="L697" s="60"/>
      <c r="M697" s="50"/>
    </row>
    <row r="698" spans="1:13" x14ac:dyDescent="0.15">
      <c r="A698" s="166"/>
      <c r="B698" s="82"/>
      <c r="C698" s="70"/>
      <c r="D698" s="70"/>
      <c r="E698" s="70"/>
      <c r="F698" s="70"/>
      <c r="G698" s="70"/>
      <c r="H698" s="93"/>
      <c r="I698" s="85"/>
      <c r="J698" s="85"/>
      <c r="K698" s="131"/>
      <c r="L698" s="69"/>
      <c r="M698" s="50"/>
    </row>
    <row r="699" spans="1:13" x14ac:dyDescent="0.15">
      <c r="A699" s="166"/>
      <c r="B699" s="82"/>
      <c r="C699" s="70"/>
      <c r="D699" s="70"/>
      <c r="E699" s="70"/>
      <c r="F699" s="70"/>
      <c r="G699" s="70"/>
      <c r="H699" s="93"/>
      <c r="I699" s="85"/>
      <c r="J699" s="85"/>
      <c r="K699" s="131"/>
      <c r="L699" s="60"/>
    </row>
    <row r="700" spans="1:13" x14ac:dyDescent="0.15">
      <c r="A700" s="166"/>
      <c r="B700" s="82"/>
      <c r="C700" s="70"/>
      <c r="D700" s="70"/>
      <c r="E700" s="70"/>
      <c r="F700" s="70"/>
      <c r="G700" s="70"/>
      <c r="H700" s="93"/>
      <c r="I700" s="85"/>
      <c r="J700" s="85"/>
      <c r="K700" s="131"/>
      <c r="L700" s="60"/>
    </row>
    <row r="701" spans="1:13" x14ac:dyDescent="0.15">
      <c r="A701" s="166"/>
      <c r="B701" s="82"/>
      <c r="C701" s="70"/>
      <c r="D701" s="70"/>
      <c r="E701" s="70"/>
      <c r="F701" s="70"/>
      <c r="G701" s="70"/>
      <c r="H701" s="93"/>
      <c r="I701" s="85"/>
      <c r="J701" s="85"/>
      <c r="K701" s="131"/>
      <c r="L701" s="63"/>
    </row>
    <row r="702" spans="1:13" x14ac:dyDescent="0.15">
      <c r="A702" s="166"/>
      <c r="B702" s="82"/>
      <c r="C702" s="70"/>
      <c r="D702" s="70"/>
      <c r="E702" s="70"/>
      <c r="F702" s="70"/>
      <c r="G702" s="70"/>
      <c r="H702" s="93"/>
      <c r="I702" s="85"/>
      <c r="J702" s="85"/>
      <c r="K702" s="131"/>
      <c r="L702" s="69"/>
    </row>
    <row r="703" spans="1:13" x14ac:dyDescent="0.15">
      <c r="A703" s="166"/>
      <c r="B703" s="82"/>
      <c r="C703" s="70"/>
      <c r="D703" s="70"/>
      <c r="E703" s="70"/>
      <c r="F703" s="70"/>
      <c r="G703" s="70"/>
      <c r="H703" s="93"/>
      <c r="I703" s="85"/>
      <c r="J703" s="85"/>
      <c r="K703" s="131"/>
      <c r="L703" s="60"/>
    </row>
    <row r="704" spans="1:13" x14ac:dyDescent="0.15">
      <c r="A704" s="166"/>
      <c r="B704" s="82"/>
      <c r="C704" s="70"/>
      <c r="D704" s="70"/>
      <c r="E704" s="70"/>
      <c r="F704" s="70"/>
      <c r="G704" s="70"/>
      <c r="H704" s="93"/>
      <c r="I704" s="85"/>
      <c r="J704" s="85"/>
      <c r="K704" s="131"/>
      <c r="L704" s="69"/>
    </row>
    <row r="705" spans="1:15" x14ac:dyDescent="0.15">
      <c r="A705" s="166"/>
      <c r="B705" s="82"/>
      <c r="C705" s="73"/>
      <c r="D705" s="73"/>
      <c r="E705" s="70"/>
      <c r="F705" s="73"/>
      <c r="G705" s="73"/>
      <c r="H705" s="108"/>
      <c r="I705" s="85"/>
      <c r="J705" s="85"/>
      <c r="K705" s="131"/>
      <c r="L705" s="69"/>
    </row>
    <row r="706" spans="1:15" x14ac:dyDescent="0.15">
      <c r="A706" s="166"/>
      <c r="B706" s="82"/>
      <c r="C706" s="70"/>
      <c r="D706" s="70"/>
      <c r="E706" s="73"/>
      <c r="F706" s="70"/>
      <c r="G706" s="70"/>
      <c r="H706" s="93"/>
      <c r="I706" s="85"/>
      <c r="J706" s="85"/>
      <c r="K706" s="131"/>
      <c r="L706" s="69"/>
    </row>
    <row r="707" spans="1:15" x14ac:dyDescent="0.15">
      <c r="A707" s="166"/>
      <c r="B707" s="82"/>
      <c r="C707" s="70"/>
      <c r="D707" s="70"/>
      <c r="E707" s="70"/>
      <c r="F707" s="70"/>
      <c r="G707" s="70"/>
      <c r="H707" s="93"/>
      <c r="I707" s="85"/>
      <c r="J707" s="85"/>
      <c r="K707" s="131"/>
      <c r="L707" s="60"/>
    </row>
    <row r="708" spans="1:15" x14ac:dyDescent="0.15">
      <c r="A708" s="166"/>
      <c r="B708" s="82"/>
      <c r="C708" s="70"/>
      <c r="D708" s="70"/>
      <c r="E708" s="70"/>
      <c r="F708" s="70"/>
      <c r="G708" s="70"/>
      <c r="H708" s="93"/>
      <c r="I708" s="85"/>
      <c r="J708" s="85"/>
      <c r="K708" s="131"/>
      <c r="L708" s="63"/>
      <c r="O708" s="51"/>
    </row>
    <row r="709" spans="1:15" x14ac:dyDescent="0.15">
      <c r="A709" s="166"/>
      <c r="B709" s="82"/>
      <c r="C709" s="70"/>
      <c r="D709" s="70"/>
      <c r="E709" s="70"/>
      <c r="F709" s="70"/>
      <c r="G709" s="70"/>
      <c r="H709" s="93"/>
      <c r="I709" s="85"/>
      <c r="J709" s="85"/>
      <c r="K709" s="131"/>
      <c r="L709" s="63"/>
      <c r="M709" s="33"/>
    </row>
    <row r="710" spans="1:15" x14ac:dyDescent="0.15">
      <c r="A710" s="166"/>
      <c r="B710" s="82"/>
      <c r="C710" s="70"/>
      <c r="D710" s="70"/>
      <c r="E710" s="70"/>
      <c r="F710" s="70"/>
      <c r="G710" s="70"/>
      <c r="H710" s="93"/>
      <c r="I710" s="85"/>
      <c r="J710" s="85"/>
      <c r="K710" s="131"/>
      <c r="L710" s="60"/>
    </row>
    <row r="711" spans="1:15" x14ac:dyDescent="0.15">
      <c r="A711" s="166"/>
      <c r="B711" s="82"/>
      <c r="C711" s="70"/>
      <c r="D711" s="70"/>
      <c r="E711" s="70"/>
      <c r="F711" s="70"/>
      <c r="G711" s="70"/>
      <c r="H711" s="93"/>
      <c r="I711" s="85"/>
      <c r="J711" s="85"/>
      <c r="K711" s="131"/>
      <c r="L711" s="60"/>
    </row>
    <row r="712" spans="1:15" x14ac:dyDescent="0.15">
      <c r="A712" s="166"/>
      <c r="B712" s="82"/>
      <c r="C712" s="70"/>
      <c r="D712" s="70"/>
      <c r="E712" s="70"/>
      <c r="F712" s="70"/>
      <c r="G712" s="70"/>
      <c r="H712" s="93"/>
      <c r="I712" s="85"/>
      <c r="J712" s="85"/>
      <c r="K712" s="131"/>
      <c r="L712" s="60"/>
    </row>
    <row r="713" spans="1:15" x14ac:dyDescent="0.15">
      <c r="A713" s="166"/>
      <c r="B713" s="82"/>
      <c r="C713" s="70"/>
      <c r="D713" s="70"/>
      <c r="E713" s="70"/>
      <c r="F713" s="70"/>
      <c r="G713" s="70"/>
      <c r="H713" s="93"/>
      <c r="I713" s="85"/>
      <c r="J713" s="85"/>
      <c r="K713" s="131"/>
      <c r="L713" s="60"/>
    </row>
    <row r="714" spans="1:15" x14ac:dyDescent="0.15">
      <c r="A714" s="166"/>
      <c r="B714" s="82"/>
      <c r="C714" s="73"/>
      <c r="D714" s="73"/>
      <c r="E714" s="70"/>
      <c r="F714" s="73"/>
      <c r="G714" s="73"/>
      <c r="H714" s="108"/>
      <c r="I714" s="85"/>
      <c r="J714" s="95"/>
      <c r="K714" s="131"/>
      <c r="L714" s="60"/>
      <c r="M714" s="50"/>
    </row>
    <row r="715" spans="1:15" x14ac:dyDescent="0.15">
      <c r="A715" s="166"/>
      <c r="B715" s="82"/>
      <c r="C715" s="70"/>
      <c r="D715" s="70"/>
      <c r="E715" s="70"/>
      <c r="F715" s="70"/>
      <c r="G715" s="70"/>
      <c r="H715" s="93"/>
      <c r="I715" s="85"/>
      <c r="J715" s="85"/>
      <c r="K715" s="131"/>
      <c r="L715" s="60"/>
    </row>
    <row r="716" spans="1:15" x14ac:dyDescent="0.15">
      <c r="A716" s="70"/>
      <c r="B716" s="82"/>
      <c r="C716" s="70"/>
      <c r="D716" s="70"/>
      <c r="E716" s="70"/>
      <c r="F716" s="70"/>
      <c r="G716" s="70"/>
      <c r="H716" s="93"/>
      <c r="I716" s="85"/>
      <c r="J716" s="85"/>
      <c r="K716" s="131"/>
      <c r="L716" s="60"/>
    </row>
    <row r="717" spans="1:15" x14ac:dyDescent="0.15">
      <c r="A717" s="70"/>
      <c r="B717" s="82"/>
      <c r="C717" s="70"/>
      <c r="D717" s="70"/>
      <c r="E717" s="70"/>
      <c r="F717" s="70"/>
      <c r="G717" s="70"/>
      <c r="H717" s="93"/>
      <c r="I717" s="85"/>
      <c r="J717" s="85"/>
      <c r="K717" s="131"/>
      <c r="L717" s="69"/>
    </row>
    <row r="718" spans="1:15" x14ac:dyDescent="0.15">
      <c r="A718" s="70"/>
      <c r="B718" s="82"/>
      <c r="C718" s="70"/>
      <c r="D718" s="70"/>
      <c r="E718" s="70"/>
      <c r="F718" s="70"/>
      <c r="G718" s="70"/>
      <c r="H718" s="93"/>
      <c r="I718" s="85"/>
      <c r="J718" s="85"/>
      <c r="K718" s="131"/>
      <c r="L718" s="60"/>
    </row>
    <row r="719" spans="1:15" x14ac:dyDescent="0.15">
      <c r="A719" s="70"/>
      <c r="B719" s="82"/>
      <c r="C719" s="70"/>
      <c r="D719" s="70"/>
      <c r="E719" s="70"/>
      <c r="F719" s="70"/>
      <c r="G719" s="70"/>
      <c r="H719" s="93"/>
      <c r="I719" s="85"/>
      <c r="J719" s="85"/>
      <c r="K719" s="131"/>
      <c r="L719" s="60"/>
      <c r="O719" s="51"/>
    </row>
    <row r="720" spans="1:15" x14ac:dyDescent="0.15">
      <c r="A720" s="70"/>
      <c r="B720" s="82"/>
      <c r="C720" s="70"/>
      <c r="D720" s="70"/>
      <c r="E720" s="70"/>
      <c r="F720" s="70"/>
      <c r="G720" s="70"/>
      <c r="H720" s="93"/>
      <c r="I720" s="85"/>
      <c r="J720" s="85"/>
      <c r="K720" s="131"/>
      <c r="L720" s="60"/>
    </row>
    <row r="721" spans="1:14" ht="16" x14ac:dyDescent="0.2">
      <c r="A721" s="73"/>
      <c r="B721" s="82"/>
      <c r="C721" s="70"/>
      <c r="D721" s="70"/>
      <c r="E721" s="70"/>
      <c r="F721" s="70"/>
      <c r="G721" s="70"/>
      <c r="H721" s="93"/>
      <c r="I721" s="85"/>
      <c r="J721" s="85"/>
      <c r="K721" s="131"/>
      <c r="L721" s="60"/>
      <c r="M721" s="47"/>
    </row>
    <row r="722" spans="1:14" ht="16" x14ac:dyDescent="0.2">
      <c r="A722" s="70"/>
      <c r="B722" s="82"/>
      <c r="C722" s="70"/>
      <c r="D722" s="70"/>
      <c r="E722" s="70"/>
      <c r="F722" s="70"/>
      <c r="G722" s="70"/>
      <c r="H722" s="93"/>
      <c r="I722" s="85"/>
      <c r="J722" s="85"/>
      <c r="K722" s="131"/>
      <c r="L722" s="60"/>
      <c r="M722" s="47"/>
    </row>
    <row r="723" spans="1:14" ht="16" x14ac:dyDescent="0.2">
      <c r="A723" s="70"/>
      <c r="B723" s="82"/>
      <c r="C723" s="70"/>
      <c r="D723" s="70"/>
      <c r="E723" s="70"/>
      <c r="F723" s="70"/>
      <c r="G723" s="70"/>
      <c r="H723" s="93"/>
      <c r="I723" s="85"/>
      <c r="J723" s="85"/>
      <c r="K723" s="131"/>
      <c r="L723" s="63"/>
      <c r="M723" s="47"/>
    </row>
    <row r="724" spans="1:14" ht="16" x14ac:dyDescent="0.2">
      <c r="A724" s="70"/>
      <c r="B724" s="82"/>
      <c r="C724" s="70"/>
      <c r="D724" s="70"/>
      <c r="E724" s="70"/>
      <c r="F724" s="70"/>
      <c r="G724" s="70"/>
      <c r="H724" s="93"/>
      <c r="I724" s="85"/>
      <c r="J724" s="85"/>
      <c r="K724" s="131"/>
      <c r="L724" s="63"/>
      <c r="M724" s="47"/>
    </row>
    <row r="725" spans="1:14" ht="16" x14ac:dyDescent="0.2">
      <c r="A725" s="70"/>
      <c r="B725" s="82"/>
      <c r="C725" s="70"/>
      <c r="D725" s="70"/>
      <c r="E725" s="70"/>
      <c r="F725" s="70"/>
      <c r="G725" s="70"/>
      <c r="H725" s="93"/>
      <c r="I725" s="85"/>
      <c r="J725" s="85"/>
      <c r="K725" s="131"/>
      <c r="L725" s="60"/>
      <c r="M725" s="47"/>
    </row>
    <row r="726" spans="1:14" ht="16" x14ac:dyDescent="0.2">
      <c r="A726" s="70"/>
      <c r="B726" s="82"/>
      <c r="C726" s="70"/>
      <c r="D726" s="70"/>
      <c r="E726" s="70"/>
      <c r="F726" s="70"/>
      <c r="G726" s="70"/>
      <c r="H726" s="93"/>
      <c r="I726" s="85"/>
      <c r="J726" s="85"/>
      <c r="K726" s="131"/>
      <c r="L726" s="60"/>
      <c r="M726" s="47"/>
    </row>
    <row r="727" spans="1:14" ht="16" x14ac:dyDescent="0.2">
      <c r="A727" s="73"/>
      <c r="B727" s="82"/>
      <c r="C727" s="70"/>
      <c r="D727" s="70"/>
      <c r="E727" s="70"/>
      <c r="F727" s="70"/>
      <c r="G727" s="70"/>
      <c r="H727" s="93"/>
      <c r="I727" s="85"/>
      <c r="J727" s="85"/>
      <c r="K727" s="131"/>
      <c r="L727" s="60"/>
      <c r="M727" s="47"/>
    </row>
    <row r="728" spans="1:14" ht="16" x14ac:dyDescent="0.2">
      <c r="A728" s="70"/>
      <c r="B728" s="82"/>
      <c r="C728" s="70"/>
      <c r="D728" s="70"/>
      <c r="E728" s="70"/>
      <c r="F728" s="70"/>
      <c r="G728" s="70"/>
      <c r="H728" s="93"/>
      <c r="I728" s="85"/>
      <c r="J728" s="85"/>
      <c r="K728" s="131"/>
      <c r="L728" s="63"/>
      <c r="M728" s="47"/>
    </row>
    <row r="729" spans="1:14" ht="16" x14ac:dyDescent="0.2">
      <c r="A729" s="70"/>
      <c r="B729" s="82"/>
      <c r="C729" s="70"/>
      <c r="D729" s="70"/>
      <c r="E729" s="70"/>
      <c r="F729" s="70"/>
      <c r="G729" s="70"/>
      <c r="H729" s="93"/>
      <c r="I729" s="85"/>
      <c r="J729" s="85"/>
      <c r="K729" s="131"/>
      <c r="L729" s="60"/>
      <c r="M729" s="47"/>
    </row>
    <row r="730" spans="1:14" ht="16" x14ac:dyDescent="0.2">
      <c r="A730" s="70"/>
      <c r="B730" s="82"/>
      <c r="C730" s="70"/>
      <c r="D730" s="70"/>
      <c r="E730" s="70"/>
      <c r="F730" s="70"/>
      <c r="G730" s="70"/>
      <c r="H730" s="93"/>
      <c r="I730" s="85"/>
      <c r="J730" s="95"/>
      <c r="K730" s="131"/>
      <c r="L730" s="60"/>
      <c r="M730" s="47"/>
    </row>
    <row r="731" spans="1:14" ht="16" x14ac:dyDescent="0.2">
      <c r="A731" s="70"/>
      <c r="B731" s="82"/>
      <c r="C731" s="70"/>
      <c r="D731" s="70"/>
      <c r="E731" s="70"/>
      <c r="F731" s="70"/>
      <c r="G731" s="70"/>
      <c r="H731" s="93"/>
      <c r="I731" s="85"/>
      <c r="J731" s="85"/>
      <c r="K731" s="131"/>
      <c r="L731" s="60"/>
      <c r="M731" s="47"/>
      <c r="N731" s="48"/>
    </row>
    <row r="732" spans="1:14" ht="16" x14ac:dyDescent="0.2">
      <c r="A732" s="70"/>
      <c r="B732" s="82"/>
      <c r="C732" s="70"/>
      <c r="D732" s="70"/>
      <c r="E732" s="70"/>
      <c r="F732" s="70"/>
      <c r="G732" s="70"/>
      <c r="H732" s="93"/>
      <c r="I732" s="85"/>
      <c r="J732" s="85"/>
      <c r="K732" s="131"/>
      <c r="L732" s="60"/>
      <c r="M732" s="47"/>
    </row>
    <row r="733" spans="1:14" ht="16" x14ac:dyDescent="0.2">
      <c r="A733" s="70"/>
      <c r="B733" s="82"/>
      <c r="C733" s="70"/>
      <c r="D733" s="70"/>
      <c r="E733" s="70"/>
      <c r="F733" s="70"/>
      <c r="G733" s="70"/>
      <c r="H733" s="93"/>
      <c r="I733" s="85"/>
      <c r="J733" s="85"/>
      <c r="K733" s="131"/>
      <c r="L733" s="60"/>
      <c r="M733" s="47"/>
    </row>
    <row r="734" spans="1:14" ht="16" x14ac:dyDescent="0.2">
      <c r="A734" s="70"/>
      <c r="B734" s="82"/>
      <c r="C734" s="70"/>
      <c r="D734" s="70"/>
      <c r="E734" s="70"/>
      <c r="F734" s="70"/>
      <c r="G734" s="70"/>
      <c r="H734" s="93"/>
      <c r="I734" s="85"/>
      <c r="J734" s="85"/>
      <c r="K734" s="131"/>
      <c r="L734" s="60"/>
      <c r="M734" s="47"/>
    </row>
    <row r="735" spans="1:14" ht="16" x14ac:dyDescent="0.2">
      <c r="A735" s="70"/>
      <c r="B735" s="82"/>
      <c r="C735" s="70"/>
      <c r="D735" s="70"/>
      <c r="E735" s="70"/>
      <c r="F735" s="70"/>
      <c r="G735" s="70"/>
      <c r="H735" s="93"/>
      <c r="I735" s="85"/>
      <c r="J735" s="85"/>
      <c r="K735" s="131"/>
      <c r="L735" s="60"/>
      <c r="M735" s="47"/>
    </row>
    <row r="736" spans="1:14" ht="16" x14ac:dyDescent="0.2">
      <c r="A736" s="70"/>
      <c r="B736" s="82"/>
      <c r="C736" s="70"/>
      <c r="D736" s="70"/>
      <c r="E736" s="70"/>
      <c r="F736" s="70"/>
      <c r="G736" s="70"/>
      <c r="H736" s="93"/>
      <c r="I736" s="85"/>
      <c r="J736" s="85"/>
      <c r="K736" s="131"/>
      <c r="L736" s="60"/>
      <c r="M736" s="47"/>
    </row>
    <row r="737" spans="1:14" ht="16" x14ac:dyDescent="0.2">
      <c r="A737" s="73"/>
      <c r="B737" s="82"/>
      <c r="C737" s="70"/>
      <c r="D737" s="70"/>
      <c r="E737" s="70"/>
      <c r="F737" s="70"/>
      <c r="G737" s="70"/>
      <c r="H737" s="93"/>
      <c r="I737" s="85"/>
      <c r="J737" s="85"/>
      <c r="K737" s="131"/>
      <c r="L737" s="60"/>
      <c r="M737" s="47"/>
    </row>
    <row r="738" spans="1:14" ht="16" x14ac:dyDescent="0.2">
      <c r="A738" s="70"/>
      <c r="B738" s="82"/>
      <c r="C738" s="70"/>
      <c r="D738" s="70"/>
      <c r="E738" s="70"/>
      <c r="F738" s="70"/>
      <c r="G738" s="70"/>
      <c r="H738" s="93"/>
      <c r="I738" s="85"/>
      <c r="J738" s="85"/>
      <c r="K738" s="131"/>
      <c r="L738" s="60"/>
      <c r="M738" s="47"/>
    </row>
    <row r="739" spans="1:14" ht="16" x14ac:dyDescent="0.2">
      <c r="A739" s="70"/>
      <c r="B739" s="82"/>
      <c r="C739" s="70"/>
      <c r="D739" s="70"/>
      <c r="E739" s="70"/>
      <c r="F739" s="70"/>
      <c r="G739" s="70"/>
      <c r="H739" s="93"/>
      <c r="I739" s="85"/>
      <c r="J739" s="85"/>
      <c r="K739" s="131"/>
      <c r="L739" s="60"/>
      <c r="M739" s="47"/>
    </row>
    <row r="740" spans="1:14" ht="16" x14ac:dyDescent="0.2">
      <c r="A740" s="166"/>
      <c r="B740" s="82"/>
      <c r="C740" s="70"/>
      <c r="D740" s="70"/>
      <c r="E740" s="70"/>
      <c r="F740" s="70"/>
      <c r="G740" s="70"/>
      <c r="H740" s="93"/>
      <c r="I740" s="85"/>
      <c r="J740" s="85"/>
      <c r="K740" s="131"/>
      <c r="L740" s="60"/>
      <c r="M740" s="47"/>
    </row>
    <row r="741" spans="1:14" ht="16" x14ac:dyDescent="0.2">
      <c r="A741" s="166"/>
      <c r="B741" s="82"/>
      <c r="C741" s="70"/>
      <c r="D741" s="70"/>
      <c r="E741" s="70"/>
      <c r="F741" s="70"/>
      <c r="G741" s="70"/>
      <c r="H741" s="93"/>
      <c r="I741" s="85"/>
      <c r="J741" s="85"/>
      <c r="K741" s="131"/>
      <c r="L741" s="60"/>
      <c r="M741" s="47"/>
      <c r="N741" s="48"/>
    </row>
    <row r="742" spans="1:14" ht="16" x14ac:dyDescent="0.2">
      <c r="A742" s="166"/>
      <c r="B742" s="82"/>
      <c r="C742" s="70"/>
      <c r="D742" s="70"/>
      <c r="E742" s="70"/>
      <c r="F742" s="70"/>
      <c r="G742" s="70"/>
      <c r="H742" s="93"/>
      <c r="I742" s="85"/>
      <c r="J742" s="85"/>
      <c r="K742" s="131"/>
      <c r="L742" s="60"/>
      <c r="M742" s="47"/>
    </row>
    <row r="743" spans="1:14" ht="16" x14ac:dyDescent="0.2">
      <c r="A743" s="166"/>
      <c r="B743" s="82"/>
      <c r="C743" s="70"/>
      <c r="D743" s="70"/>
      <c r="E743" s="70"/>
      <c r="F743" s="70"/>
      <c r="G743" s="70"/>
      <c r="H743" s="93"/>
      <c r="I743" s="85"/>
      <c r="J743" s="85"/>
      <c r="K743" s="131"/>
      <c r="L743" s="60"/>
      <c r="M743" s="47"/>
    </row>
    <row r="744" spans="1:14" ht="16" x14ac:dyDescent="0.2">
      <c r="A744" s="166"/>
      <c r="B744" s="82"/>
      <c r="C744" s="70"/>
      <c r="D744" s="70"/>
      <c r="E744" s="70"/>
      <c r="F744" s="70"/>
      <c r="G744" s="70"/>
      <c r="H744" s="93"/>
      <c r="I744" s="85"/>
      <c r="J744" s="85"/>
      <c r="K744" s="131"/>
      <c r="L744" s="60"/>
      <c r="M744" s="47"/>
      <c r="N744" s="50"/>
    </row>
    <row r="745" spans="1:14" ht="16" x14ac:dyDescent="0.2">
      <c r="A745" s="166"/>
      <c r="B745" s="82"/>
      <c r="C745" s="70"/>
      <c r="D745" s="70"/>
      <c r="E745" s="70"/>
      <c r="F745" s="70"/>
      <c r="G745" s="70"/>
      <c r="H745" s="93"/>
      <c r="I745" s="85"/>
      <c r="J745" s="85"/>
      <c r="K745" s="131"/>
      <c r="L745" s="60"/>
      <c r="M745" s="47"/>
    </row>
    <row r="746" spans="1:14" ht="16" x14ac:dyDescent="0.2">
      <c r="A746" s="70"/>
      <c r="B746" s="82"/>
      <c r="C746" s="70"/>
      <c r="D746" s="70"/>
      <c r="E746" s="70"/>
      <c r="F746" s="70"/>
      <c r="G746" s="70"/>
      <c r="H746" s="93"/>
      <c r="I746" s="85"/>
      <c r="J746" s="85"/>
      <c r="K746" s="131"/>
      <c r="L746" s="60"/>
      <c r="M746" s="47"/>
    </row>
    <row r="747" spans="1:14" ht="16" x14ac:dyDescent="0.2">
      <c r="A747" s="70"/>
      <c r="B747" s="82"/>
      <c r="C747" s="70"/>
      <c r="D747" s="70"/>
      <c r="E747" s="70"/>
      <c r="F747" s="70"/>
      <c r="G747" s="70"/>
      <c r="H747" s="93"/>
      <c r="I747" s="85"/>
      <c r="J747" s="85"/>
      <c r="K747" s="131"/>
      <c r="L747" s="60"/>
      <c r="M747" s="47"/>
    </row>
    <row r="748" spans="1:14" ht="16" x14ac:dyDescent="0.2">
      <c r="A748" s="70"/>
      <c r="B748" s="97"/>
      <c r="C748" s="70"/>
      <c r="D748" s="70"/>
      <c r="E748" s="70"/>
      <c r="F748" s="70"/>
      <c r="G748" s="70"/>
      <c r="H748" s="93"/>
      <c r="I748" s="85"/>
      <c r="J748" s="85"/>
      <c r="K748" s="131"/>
      <c r="L748" s="60"/>
      <c r="M748" s="47"/>
    </row>
    <row r="749" spans="1:14" ht="16" x14ac:dyDescent="0.2">
      <c r="A749" s="70"/>
      <c r="B749" s="82"/>
      <c r="C749" s="70"/>
      <c r="D749" s="70"/>
      <c r="E749" s="70"/>
      <c r="F749" s="70"/>
      <c r="G749" s="70"/>
      <c r="H749" s="93"/>
      <c r="I749" s="85"/>
      <c r="J749" s="85"/>
      <c r="K749" s="131"/>
      <c r="L749" s="60"/>
      <c r="M749" s="47"/>
    </row>
    <row r="750" spans="1:14" ht="16" x14ac:dyDescent="0.2">
      <c r="A750" s="70"/>
      <c r="B750" s="82"/>
      <c r="C750" s="70"/>
      <c r="D750" s="70"/>
      <c r="E750" s="70"/>
      <c r="F750" s="70"/>
      <c r="G750" s="70"/>
      <c r="H750" s="93"/>
      <c r="I750" s="85"/>
      <c r="J750" s="85"/>
      <c r="K750" s="131"/>
      <c r="L750" s="60"/>
      <c r="M750" s="47"/>
    </row>
    <row r="751" spans="1:14" ht="16" x14ac:dyDescent="0.2">
      <c r="A751" s="73"/>
      <c r="B751" s="82"/>
      <c r="C751" s="70"/>
      <c r="D751" s="70"/>
      <c r="E751" s="70"/>
      <c r="F751" s="70"/>
      <c r="G751" s="70"/>
      <c r="H751" s="93"/>
      <c r="I751" s="85"/>
      <c r="J751" s="85"/>
      <c r="K751" s="131"/>
      <c r="L751" s="60"/>
      <c r="M751" s="47"/>
    </row>
    <row r="752" spans="1:14" ht="16" x14ac:dyDescent="0.2">
      <c r="A752" s="70"/>
      <c r="B752" s="82"/>
      <c r="C752" s="70"/>
      <c r="D752" s="70"/>
      <c r="E752" s="70"/>
      <c r="F752" s="70"/>
      <c r="G752" s="70"/>
      <c r="H752" s="93"/>
      <c r="I752" s="85"/>
      <c r="J752" s="85"/>
      <c r="K752" s="131"/>
      <c r="L752" s="60"/>
      <c r="M752" s="47"/>
    </row>
    <row r="753" spans="1:14" ht="16" x14ac:dyDescent="0.2">
      <c r="A753" s="73"/>
      <c r="B753" s="82"/>
      <c r="C753" s="70"/>
      <c r="D753" s="70"/>
      <c r="E753" s="70"/>
      <c r="F753" s="70"/>
      <c r="G753" s="70"/>
      <c r="H753" s="93"/>
      <c r="I753" s="85"/>
      <c r="J753" s="85"/>
      <c r="K753" s="131"/>
      <c r="L753" s="60"/>
      <c r="M753" s="47"/>
    </row>
    <row r="754" spans="1:14" ht="16" x14ac:dyDescent="0.2">
      <c r="A754" s="70"/>
      <c r="B754" s="82"/>
      <c r="C754" s="70"/>
      <c r="D754" s="70"/>
      <c r="E754" s="70"/>
      <c r="F754" s="70"/>
      <c r="G754" s="70"/>
      <c r="H754" s="93"/>
      <c r="I754" s="85"/>
      <c r="J754" s="85"/>
      <c r="K754" s="131"/>
      <c r="L754" s="60"/>
      <c r="M754" s="47"/>
    </row>
    <row r="755" spans="1:14" ht="16" x14ac:dyDescent="0.2">
      <c r="A755" s="70"/>
      <c r="B755" s="82"/>
      <c r="C755" s="70"/>
      <c r="D755" s="70"/>
      <c r="E755" s="70"/>
      <c r="F755" s="70"/>
      <c r="G755" s="70"/>
      <c r="H755" s="93"/>
      <c r="I755" s="85"/>
      <c r="J755" s="85"/>
      <c r="K755" s="131"/>
      <c r="L755" s="60"/>
      <c r="M755" s="47"/>
    </row>
    <row r="756" spans="1:14" ht="16" x14ac:dyDescent="0.2">
      <c r="A756" s="70"/>
      <c r="B756" s="82"/>
      <c r="C756" s="70"/>
      <c r="D756" s="70"/>
      <c r="E756" s="70"/>
      <c r="F756" s="70"/>
      <c r="G756" s="70"/>
      <c r="H756" s="93"/>
      <c r="I756" s="85"/>
      <c r="J756" s="85"/>
      <c r="K756" s="131"/>
      <c r="L756" s="60"/>
      <c r="M756" s="47"/>
    </row>
    <row r="757" spans="1:14" ht="16" x14ac:dyDescent="0.2">
      <c r="A757" s="70"/>
      <c r="B757" s="82"/>
      <c r="C757" s="70"/>
      <c r="D757" s="70"/>
      <c r="E757" s="70"/>
      <c r="F757" s="70"/>
      <c r="G757" s="70"/>
      <c r="H757" s="93"/>
      <c r="I757" s="85"/>
      <c r="J757" s="85"/>
      <c r="K757" s="131"/>
      <c r="L757" s="60"/>
      <c r="M757" s="47"/>
    </row>
    <row r="758" spans="1:14" ht="16" x14ac:dyDescent="0.2">
      <c r="A758" s="166"/>
      <c r="B758" s="82"/>
      <c r="C758" s="70"/>
      <c r="D758" s="70"/>
      <c r="E758" s="70"/>
      <c r="F758" s="70"/>
      <c r="G758" s="70"/>
      <c r="H758" s="93"/>
      <c r="I758" s="85"/>
      <c r="J758" s="85"/>
      <c r="K758" s="131"/>
      <c r="L758" s="60"/>
      <c r="M758" s="47"/>
      <c r="N758" s="50"/>
    </row>
    <row r="759" spans="1:14" ht="16" x14ac:dyDescent="0.2">
      <c r="A759" s="166"/>
      <c r="B759" s="82"/>
      <c r="C759" s="70"/>
      <c r="D759" s="70"/>
      <c r="E759" s="70"/>
      <c r="F759" s="70"/>
      <c r="G759" s="70"/>
      <c r="H759" s="93"/>
      <c r="I759" s="85"/>
      <c r="J759" s="85"/>
      <c r="K759" s="131"/>
      <c r="L759" s="60"/>
      <c r="M759" s="47"/>
    </row>
    <row r="760" spans="1:14" ht="16" x14ac:dyDescent="0.2">
      <c r="A760" s="166"/>
      <c r="B760" s="82"/>
      <c r="C760" s="70"/>
      <c r="D760" s="70"/>
      <c r="E760" s="70"/>
      <c r="F760" s="70"/>
      <c r="G760" s="70"/>
      <c r="H760" s="93"/>
      <c r="I760" s="85"/>
      <c r="J760" s="85"/>
      <c r="K760" s="131"/>
      <c r="L760" s="60"/>
      <c r="M760" s="47"/>
      <c r="N760" s="50"/>
    </row>
    <row r="761" spans="1:14" x14ac:dyDescent="0.15">
      <c r="A761" s="166"/>
      <c r="B761" s="82"/>
      <c r="C761" s="70"/>
      <c r="D761" s="70"/>
      <c r="E761" s="70"/>
      <c r="F761" s="70"/>
      <c r="G761" s="70"/>
      <c r="H761" s="93"/>
      <c r="I761" s="85"/>
      <c r="J761" s="85"/>
      <c r="K761" s="131"/>
      <c r="L761" s="60"/>
    </row>
    <row r="762" spans="1:14" ht="16" x14ac:dyDescent="0.2">
      <c r="A762" s="166"/>
      <c r="B762" s="82"/>
      <c r="C762" s="70"/>
      <c r="D762" s="70"/>
      <c r="E762" s="70"/>
      <c r="F762" s="70"/>
      <c r="G762" s="70"/>
      <c r="H762" s="93"/>
      <c r="I762" s="85"/>
      <c r="J762" s="85"/>
      <c r="K762" s="131"/>
      <c r="L762" s="60"/>
      <c r="M762" s="47"/>
    </row>
    <row r="763" spans="1:14" ht="16" x14ac:dyDescent="0.2">
      <c r="A763" s="166"/>
      <c r="B763" s="82"/>
      <c r="C763" s="70"/>
      <c r="D763" s="70"/>
      <c r="E763" s="70"/>
      <c r="F763" s="70"/>
      <c r="G763" s="70"/>
      <c r="H763" s="93"/>
      <c r="I763" s="85"/>
      <c r="J763" s="85"/>
      <c r="K763" s="131"/>
      <c r="L763" s="60"/>
      <c r="M763" s="47"/>
    </row>
    <row r="764" spans="1:14" ht="16" x14ac:dyDescent="0.2">
      <c r="A764" s="166"/>
      <c r="B764" s="82"/>
      <c r="C764" s="70"/>
      <c r="D764" s="70"/>
      <c r="E764" s="70"/>
      <c r="F764" s="70"/>
      <c r="G764" s="70"/>
      <c r="H764" s="93"/>
      <c r="I764" s="85"/>
      <c r="J764" s="85"/>
      <c r="K764" s="131"/>
      <c r="L764" s="60"/>
      <c r="M764" s="47"/>
    </row>
    <row r="765" spans="1:14" ht="16" x14ac:dyDescent="0.2">
      <c r="A765" s="166"/>
      <c r="B765" s="82"/>
      <c r="C765" s="70"/>
      <c r="D765" s="70"/>
      <c r="E765" s="70"/>
      <c r="F765" s="70"/>
      <c r="G765" s="70"/>
      <c r="H765" s="93"/>
      <c r="I765" s="85"/>
      <c r="J765" s="85"/>
      <c r="K765" s="131"/>
      <c r="L765" s="60"/>
      <c r="M765" s="47"/>
    </row>
    <row r="766" spans="1:14" ht="16" x14ac:dyDescent="0.2">
      <c r="A766" s="166"/>
      <c r="B766" s="82"/>
      <c r="C766" s="70"/>
      <c r="D766" s="70"/>
      <c r="E766" s="70"/>
      <c r="F766" s="70"/>
      <c r="G766" s="70"/>
      <c r="H766" s="93"/>
      <c r="I766" s="85"/>
      <c r="J766" s="85"/>
      <c r="K766" s="131"/>
      <c r="L766" s="60"/>
      <c r="M766" s="47"/>
    </row>
    <row r="767" spans="1:14" ht="16" x14ac:dyDescent="0.2">
      <c r="A767" s="166"/>
      <c r="B767" s="82"/>
      <c r="C767" s="70"/>
      <c r="D767" s="70"/>
      <c r="E767" s="70"/>
      <c r="F767" s="70"/>
      <c r="G767" s="70"/>
      <c r="H767" s="93"/>
      <c r="I767" s="85"/>
      <c r="J767" s="85"/>
      <c r="K767" s="131"/>
      <c r="L767" s="60"/>
      <c r="M767" s="47"/>
    </row>
    <row r="768" spans="1:14" ht="16" x14ac:dyDescent="0.2">
      <c r="A768" s="166"/>
      <c r="B768" s="82"/>
      <c r="C768" s="70"/>
      <c r="D768" s="70"/>
      <c r="E768" s="70"/>
      <c r="F768" s="70"/>
      <c r="G768" s="70"/>
      <c r="H768" s="93"/>
      <c r="I768" s="85"/>
      <c r="J768" s="85"/>
      <c r="K768" s="131"/>
      <c r="L768" s="60"/>
      <c r="M768" s="47"/>
      <c r="N768" s="48"/>
    </row>
    <row r="769" spans="1:18" ht="16" x14ac:dyDescent="0.2">
      <c r="A769" s="166"/>
      <c r="B769" s="82"/>
      <c r="C769" s="70"/>
      <c r="D769" s="70"/>
      <c r="E769" s="70"/>
      <c r="F769" s="70"/>
      <c r="G769" s="70"/>
      <c r="H769" s="93"/>
      <c r="I769" s="85"/>
      <c r="J769" s="85"/>
      <c r="K769" s="131"/>
      <c r="L769" s="60"/>
      <c r="M769" s="47"/>
      <c r="Q769"/>
      <c r="R769"/>
    </row>
    <row r="770" spans="1:18" ht="16" x14ac:dyDescent="0.2">
      <c r="A770" s="166"/>
      <c r="B770" s="82"/>
      <c r="C770" s="70"/>
      <c r="D770" s="70"/>
      <c r="E770" s="70"/>
      <c r="F770" s="70"/>
      <c r="G770" s="70"/>
      <c r="H770" s="93"/>
      <c r="I770" s="85"/>
      <c r="J770" s="85"/>
      <c r="K770" s="131"/>
      <c r="L770" s="60"/>
      <c r="M770" s="47"/>
    </row>
    <row r="771" spans="1:18" ht="16" x14ac:dyDescent="0.2">
      <c r="A771" s="166"/>
      <c r="B771" s="82"/>
      <c r="C771" s="70"/>
      <c r="D771" s="70"/>
      <c r="E771" s="70"/>
      <c r="F771" s="70"/>
      <c r="G771" s="70"/>
      <c r="H771" s="93"/>
      <c r="I771" s="85"/>
      <c r="J771" s="85"/>
      <c r="K771" s="131"/>
      <c r="L771" s="60"/>
      <c r="M771" s="47"/>
    </row>
    <row r="772" spans="1:18" ht="16" x14ac:dyDescent="0.2">
      <c r="A772" s="166"/>
      <c r="B772" s="82"/>
      <c r="C772" s="70"/>
      <c r="D772" s="70"/>
      <c r="E772" s="70"/>
      <c r="F772" s="70"/>
      <c r="G772" s="70"/>
      <c r="H772" s="93"/>
      <c r="I772" s="85"/>
      <c r="J772" s="85"/>
      <c r="K772" s="131"/>
      <c r="L772" s="60"/>
      <c r="M772" s="47"/>
    </row>
    <row r="773" spans="1:18" ht="16" x14ac:dyDescent="0.2">
      <c r="A773" s="166"/>
      <c r="B773" s="82"/>
      <c r="C773" s="70"/>
      <c r="D773" s="70"/>
      <c r="E773" s="70"/>
      <c r="F773" s="70"/>
      <c r="G773" s="70"/>
      <c r="H773" s="93"/>
      <c r="I773" s="85"/>
      <c r="J773" s="85"/>
      <c r="K773" s="131"/>
      <c r="L773" s="60"/>
      <c r="M773" s="47"/>
    </row>
    <row r="774" spans="1:18" ht="16" x14ac:dyDescent="0.2">
      <c r="A774" s="70"/>
      <c r="B774" s="82"/>
      <c r="C774" s="70"/>
      <c r="D774" s="70"/>
      <c r="E774" s="70"/>
      <c r="F774" s="70"/>
      <c r="G774" s="70"/>
      <c r="H774" s="93"/>
      <c r="I774" s="85"/>
      <c r="J774" s="85"/>
      <c r="K774" s="131"/>
      <c r="L774" s="60"/>
      <c r="M774" s="47"/>
    </row>
    <row r="775" spans="1:18" ht="16" x14ac:dyDescent="0.2">
      <c r="A775" s="166"/>
      <c r="B775" s="82"/>
      <c r="C775" s="70"/>
      <c r="D775" s="70"/>
      <c r="E775" s="70"/>
      <c r="F775" s="70"/>
      <c r="G775" s="70"/>
      <c r="H775" s="93"/>
      <c r="I775" s="85"/>
      <c r="J775" s="85"/>
      <c r="K775" s="131"/>
      <c r="L775" s="60"/>
      <c r="M775" s="47"/>
    </row>
    <row r="776" spans="1:18" ht="16" x14ac:dyDescent="0.2">
      <c r="A776" s="166"/>
      <c r="B776" s="82"/>
      <c r="C776" s="70"/>
      <c r="D776" s="70"/>
      <c r="E776" s="70"/>
      <c r="F776" s="70"/>
      <c r="G776" s="70"/>
      <c r="H776" s="93"/>
      <c r="I776" s="85"/>
      <c r="J776" s="85"/>
      <c r="K776" s="131"/>
      <c r="L776" s="60"/>
      <c r="M776" s="47"/>
    </row>
    <row r="777" spans="1:18" ht="16" x14ac:dyDescent="0.2">
      <c r="A777" s="166"/>
      <c r="B777" s="82"/>
      <c r="C777" s="70"/>
      <c r="D777" s="70"/>
      <c r="E777" s="70"/>
      <c r="F777" s="70"/>
      <c r="G777" s="70"/>
      <c r="H777" s="93"/>
      <c r="I777" s="85"/>
      <c r="J777" s="85"/>
      <c r="K777" s="131"/>
      <c r="L777" s="60"/>
      <c r="M777" s="47"/>
    </row>
    <row r="778" spans="1:18" ht="16" x14ac:dyDescent="0.2">
      <c r="A778" s="166"/>
      <c r="B778" s="82"/>
      <c r="C778" s="70"/>
      <c r="D778" s="70"/>
      <c r="E778" s="70"/>
      <c r="F778" s="70"/>
      <c r="G778" s="70"/>
      <c r="H778" s="93"/>
      <c r="I778" s="85"/>
      <c r="J778" s="85"/>
      <c r="K778" s="131"/>
      <c r="L778" s="60"/>
      <c r="M778" s="47"/>
    </row>
    <row r="779" spans="1:18" ht="16" x14ac:dyDescent="0.2">
      <c r="A779" s="166"/>
      <c r="B779" s="82"/>
      <c r="C779" s="70"/>
      <c r="D779" s="70"/>
      <c r="E779" s="70"/>
      <c r="F779" s="70"/>
      <c r="G779" s="70"/>
      <c r="H779" s="93"/>
      <c r="I779" s="85"/>
      <c r="J779" s="85"/>
      <c r="K779" s="131"/>
      <c r="L779" s="60"/>
      <c r="M779" s="47"/>
    </row>
    <row r="780" spans="1:18" ht="16" x14ac:dyDescent="0.2">
      <c r="A780" s="166"/>
      <c r="B780" s="82"/>
      <c r="C780" s="70"/>
      <c r="D780" s="70"/>
      <c r="E780" s="70"/>
      <c r="F780" s="70"/>
      <c r="G780" s="70"/>
      <c r="H780" s="93"/>
      <c r="I780" s="85"/>
      <c r="J780" s="85"/>
      <c r="K780" s="131"/>
      <c r="L780" s="60"/>
      <c r="M780" s="47"/>
    </row>
    <row r="781" spans="1:18" ht="16" x14ac:dyDescent="0.2">
      <c r="A781" s="166"/>
      <c r="B781" s="82"/>
      <c r="C781" s="70"/>
      <c r="D781" s="70"/>
      <c r="E781" s="70"/>
      <c r="F781" s="70"/>
      <c r="G781" s="70"/>
      <c r="H781" s="93"/>
      <c r="I781" s="85"/>
      <c r="J781" s="85"/>
      <c r="K781" s="131"/>
      <c r="L781" s="60"/>
      <c r="M781" s="47"/>
      <c r="O781" s="51"/>
    </row>
    <row r="782" spans="1:18" ht="16" x14ac:dyDescent="0.2">
      <c r="A782" s="166"/>
      <c r="B782" s="82"/>
      <c r="C782" s="70"/>
      <c r="D782" s="70"/>
      <c r="E782" s="70"/>
      <c r="F782" s="70"/>
      <c r="G782" s="70"/>
      <c r="H782" s="93"/>
      <c r="I782" s="85"/>
      <c r="J782" s="85"/>
      <c r="K782" s="131"/>
      <c r="L782" s="60"/>
      <c r="M782" s="47"/>
    </row>
    <row r="783" spans="1:18" ht="16" x14ac:dyDescent="0.2">
      <c r="A783" s="166"/>
      <c r="B783" s="82"/>
      <c r="C783" s="70"/>
      <c r="D783" s="70"/>
      <c r="E783" s="70"/>
      <c r="F783" s="70"/>
      <c r="G783" s="70"/>
      <c r="H783" s="93"/>
      <c r="I783" s="85"/>
      <c r="J783" s="85"/>
      <c r="K783" s="131"/>
      <c r="L783" s="60"/>
      <c r="M783" s="47"/>
    </row>
    <row r="784" spans="1:18" ht="16" x14ac:dyDescent="0.2">
      <c r="A784" s="166"/>
      <c r="B784" s="82"/>
      <c r="C784" s="70"/>
      <c r="D784" s="70"/>
      <c r="E784" s="70"/>
      <c r="F784" s="70"/>
      <c r="G784" s="70"/>
      <c r="H784" s="93"/>
      <c r="I784" s="85"/>
      <c r="J784" s="85"/>
      <c r="K784" s="131"/>
      <c r="L784" s="60"/>
      <c r="M784" s="47"/>
    </row>
    <row r="785" spans="1:14" ht="16" x14ac:dyDescent="0.2">
      <c r="A785" s="166"/>
      <c r="B785" s="82"/>
      <c r="C785" s="70"/>
      <c r="D785" s="70"/>
      <c r="E785" s="70"/>
      <c r="F785" s="70"/>
      <c r="G785" s="70"/>
      <c r="H785" s="93"/>
      <c r="I785" s="85"/>
      <c r="J785" s="85"/>
      <c r="K785" s="131"/>
      <c r="L785" s="60"/>
      <c r="M785" s="47"/>
    </row>
    <row r="786" spans="1:14" ht="16" x14ac:dyDescent="0.2">
      <c r="A786" s="166"/>
      <c r="B786" s="82"/>
      <c r="C786" s="70"/>
      <c r="D786" s="70"/>
      <c r="E786" s="70"/>
      <c r="F786" s="70"/>
      <c r="G786" s="70"/>
      <c r="H786" s="93"/>
      <c r="I786" s="85"/>
      <c r="J786" s="85"/>
      <c r="K786" s="131"/>
      <c r="L786" s="60"/>
      <c r="M786" s="47"/>
    </row>
    <row r="787" spans="1:14" ht="16" x14ac:dyDescent="0.2">
      <c r="A787" s="166"/>
      <c r="B787" s="82"/>
      <c r="C787" s="70"/>
      <c r="D787" s="70"/>
      <c r="E787" s="70"/>
      <c r="F787" s="70"/>
      <c r="G787" s="70"/>
      <c r="H787" s="93"/>
      <c r="I787" s="85"/>
      <c r="J787" s="85"/>
      <c r="K787" s="131"/>
      <c r="L787" s="60"/>
      <c r="M787" s="47"/>
    </row>
    <row r="788" spans="1:14" ht="16" x14ac:dyDescent="0.2">
      <c r="A788" s="166"/>
      <c r="B788" s="82"/>
      <c r="C788" s="70"/>
      <c r="D788" s="70"/>
      <c r="E788" s="70"/>
      <c r="F788" s="70"/>
      <c r="G788" s="70"/>
      <c r="H788" s="93"/>
      <c r="I788" s="85"/>
      <c r="J788" s="85"/>
      <c r="K788" s="131"/>
      <c r="L788" s="60"/>
      <c r="M788" s="47"/>
    </row>
    <row r="789" spans="1:14" ht="16" x14ac:dyDescent="0.2">
      <c r="A789" s="166"/>
      <c r="B789" s="82"/>
      <c r="C789" s="70"/>
      <c r="D789" s="70"/>
      <c r="E789" s="70"/>
      <c r="F789" s="70"/>
      <c r="G789" s="70"/>
      <c r="H789" s="93"/>
      <c r="I789" s="85"/>
      <c r="J789" s="85"/>
      <c r="K789" s="131"/>
      <c r="L789" s="60"/>
      <c r="M789" s="47"/>
    </row>
    <row r="790" spans="1:14" ht="16" x14ac:dyDescent="0.2">
      <c r="A790" s="166"/>
      <c r="B790" s="82"/>
      <c r="C790" s="70"/>
      <c r="D790" s="70"/>
      <c r="E790" s="70"/>
      <c r="F790" s="70"/>
      <c r="G790" s="70"/>
      <c r="H790" s="93"/>
      <c r="I790" s="85"/>
      <c r="J790" s="85"/>
      <c r="K790" s="131"/>
      <c r="L790" s="60"/>
      <c r="M790" s="47"/>
    </row>
    <row r="791" spans="1:14" ht="16" x14ac:dyDescent="0.2">
      <c r="A791" s="166"/>
      <c r="B791" s="82"/>
      <c r="C791" s="70"/>
      <c r="D791" s="70"/>
      <c r="E791" s="70"/>
      <c r="F791" s="70"/>
      <c r="G791" s="70"/>
      <c r="H791" s="93"/>
      <c r="I791" s="85"/>
      <c r="J791" s="85"/>
      <c r="K791" s="131"/>
      <c r="L791" s="60"/>
      <c r="M791" s="47"/>
    </row>
    <row r="792" spans="1:14" ht="16" x14ac:dyDescent="0.2">
      <c r="A792" s="166"/>
      <c r="B792" s="82"/>
      <c r="C792" s="70"/>
      <c r="D792" s="70"/>
      <c r="E792" s="70"/>
      <c r="F792" s="70"/>
      <c r="G792" s="70"/>
      <c r="H792" s="93"/>
      <c r="I792" s="85"/>
      <c r="J792" s="85"/>
      <c r="K792" s="131"/>
      <c r="L792" s="60"/>
      <c r="M792" s="47"/>
    </row>
    <row r="793" spans="1:14" ht="16" x14ac:dyDescent="0.2">
      <c r="A793" s="166"/>
      <c r="B793" s="82"/>
      <c r="C793" s="70"/>
      <c r="D793" s="70"/>
      <c r="E793" s="70"/>
      <c r="F793" s="70"/>
      <c r="G793" s="70"/>
      <c r="H793" s="93"/>
      <c r="I793" s="85"/>
      <c r="J793" s="85"/>
      <c r="K793" s="131"/>
      <c r="L793" s="60"/>
      <c r="M793" s="47"/>
      <c r="N793" s="50"/>
    </row>
    <row r="794" spans="1:14" ht="16" x14ac:dyDescent="0.2">
      <c r="A794" s="166"/>
      <c r="B794" s="82"/>
      <c r="C794" s="70"/>
      <c r="D794" s="70"/>
      <c r="E794" s="70"/>
      <c r="F794" s="70"/>
      <c r="G794" s="70"/>
      <c r="H794" s="93"/>
      <c r="I794" s="85"/>
      <c r="M794" s="47"/>
    </row>
    <row r="795" spans="1:14" ht="16" x14ac:dyDescent="0.2">
      <c r="A795" s="166"/>
      <c r="B795" s="82"/>
      <c r="C795" s="70"/>
      <c r="D795" s="70"/>
      <c r="E795" s="70"/>
      <c r="F795" s="70"/>
      <c r="G795" s="70"/>
      <c r="H795" s="93"/>
      <c r="I795" s="85"/>
      <c r="J795" s="85"/>
      <c r="K795" s="131"/>
      <c r="L795" s="60"/>
      <c r="M795" s="47"/>
    </row>
    <row r="796" spans="1:14" ht="16" x14ac:dyDescent="0.2">
      <c r="A796" s="166"/>
      <c r="B796" s="82"/>
      <c r="C796" s="70"/>
      <c r="D796" s="70"/>
      <c r="E796" s="70"/>
      <c r="F796" s="70"/>
      <c r="G796" s="70"/>
      <c r="H796" s="93"/>
      <c r="I796" s="85"/>
      <c r="J796" s="85"/>
      <c r="K796" s="131"/>
      <c r="L796" s="60"/>
      <c r="M796" s="47"/>
      <c r="N796" s="49"/>
    </row>
    <row r="797" spans="1:14" x14ac:dyDescent="0.15">
      <c r="A797" s="166"/>
      <c r="B797" s="82"/>
      <c r="C797" s="70"/>
      <c r="D797" s="70"/>
      <c r="E797" s="70"/>
      <c r="F797" s="70"/>
      <c r="G797" s="70"/>
      <c r="H797" s="93"/>
      <c r="I797" s="85"/>
      <c r="J797" s="85"/>
      <c r="K797" s="131"/>
      <c r="L797" s="60"/>
      <c r="M797" s="33"/>
    </row>
    <row r="798" spans="1:14" ht="16" x14ac:dyDescent="0.2">
      <c r="A798" s="166"/>
      <c r="B798" s="82"/>
      <c r="C798" s="70"/>
      <c r="D798" s="70"/>
      <c r="E798" s="70"/>
      <c r="F798" s="70"/>
      <c r="G798" s="70"/>
      <c r="H798" s="93"/>
      <c r="I798" s="85"/>
      <c r="J798" s="85"/>
      <c r="K798" s="131"/>
      <c r="L798" s="60"/>
      <c r="M798" s="47"/>
    </row>
    <row r="799" spans="1:14" x14ac:dyDescent="0.15">
      <c r="A799" s="165"/>
      <c r="B799" s="93"/>
      <c r="C799" s="102"/>
      <c r="D799" s="62"/>
      <c r="E799" s="102"/>
      <c r="F799" s="102"/>
      <c r="G799" s="102"/>
      <c r="H799" s="175"/>
      <c r="I799" s="85"/>
      <c r="J799" s="104"/>
      <c r="K799" s="144"/>
      <c r="L799" s="61"/>
    </row>
    <row r="800" spans="1:14" x14ac:dyDescent="0.15">
      <c r="A800" s="165"/>
      <c r="B800" s="93"/>
      <c r="C800" s="102"/>
      <c r="D800" s="62"/>
      <c r="E800" s="102"/>
      <c r="F800" s="102"/>
      <c r="G800" s="102"/>
      <c r="H800" s="175"/>
      <c r="I800" s="98"/>
      <c r="J800" s="98"/>
      <c r="K800" s="135"/>
      <c r="L800" s="62"/>
    </row>
    <row r="801" spans="1:28" x14ac:dyDescent="0.15">
      <c r="A801" s="165"/>
      <c r="B801" s="93"/>
      <c r="C801" s="102"/>
      <c r="D801" s="62"/>
      <c r="E801" s="102"/>
      <c r="F801" s="102"/>
      <c r="G801" s="102"/>
      <c r="H801" s="175"/>
      <c r="I801" s="98"/>
      <c r="J801" s="98"/>
      <c r="K801" s="135"/>
      <c r="L801" s="62"/>
    </row>
    <row r="802" spans="1:28" x14ac:dyDescent="0.15">
      <c r="A802" s="165"/>
      <c r="B802" s="93"/>
      <c r="C802" s="102"/>
      <c r="D802" s="62"/>
      <c r="E802" s="102"/>
      <c r="F802" s="102"/>
      <c r="G802" s="102"/>
      <c r="H802" s="175"/>
      <c r="I802" s="98"/>
      <c r="J802" s="98"/>
      <c r="K802" s="135"/>
      <c r="L802" s="62"/>
    </row>
    <row r="803" spans="1:28" x14ac:dyDescent="0.15">
      <c r="A803" s="227"/>
      <c r="B803" s="197"/>
      <c r="C803" s="198"/>
      <c r="D803" s="172"/>
      <c r="E803" s="198"/>
      <c r="F803" s="198"/>
      <c r="G803" s="198"/>
      <c r="H803" s="199"/>
      <c r="I803" s="200"/>
      <c r="J803" s="200"/>
      <c r="K803" s="201"/>
      <c r="L803" s="172"/>
      <c r="M803" s="202"/>
      <c r="N803" s="202"/>
      <c r="O803" s="202"/>
      <c r="P803" s="202"/>
      <c r="Q803" s="203"/>
      <c r="R803" s="203"/>
      <c r="S803" s="12"/>
      <c r="T803" s="12"/>
      <c r="U803" s="12"/>
      <c r="V803" s="12"/>
      <c r="W803" s="12"/>
      <c r="X803" s="12"/>
      <c r="Y803" s="12"/>
      <c r="Z803" s="16"/>
      <c r="AA803" s="13"/>
      <c r="AB803" s="13"/>
    </row>
    <row r="804" spans="1:28" x14ac:dyDescent="0.15">
      <c r="A804" s="165"/>
      <c r="B804" s="93"/>
      <c r="C804" s="102"/>
      <c r="D804" s="62"/>
      <c r="E804" s="102"/>
      <c r="F804" s="102"/>
      <c r="G804" s="102"/>
      <c r="H804" s="175"/>
      <c r="I804" s="98"/>
      <c r="J804" s="98"/>
      <c r="K804" s="135"/>
      <c r="L804" s="62"/>
    </row>
    <row r="805" spans="1:28" x14ac:dyDescent="0.15">
      <c r="A805" s="165"/>
      <c r="B805" s="93"/>
      <c r="C805" s="102"/>
      <c r="D805" s="62"/>
      <c r="E805" s="102"/>
      <c r="F805" s="102"/>
      <c r="G805" s="102"/>
      <c r="H805" s="175"/>
      <c r="I805" s="98"/>
      <c r="J805" s="98"/>
      <c r="K805" s="135"/>
      <c r="L805" s="62"/>
      <c r="S805" s="12"/>
      <c r="T805" s="12"/>
      <c r="U805" s="12"/>
      <c r="V805" s="12"/>
      <c r="W805" s="12"/>
      <c r="X805" s="12"/>
      <c r="Y805" s="12"/>
      <c r="Z805" s="16"/>
      <c r="AA805" s="13"/>
      <c r="AB805" s="13"/>
    </row>
    <row r="806" spans="1:28" x14ac:dyDescent="0.15">
      <c r="A806" s="165"/>
      <c r="B806" s="93"/>
      <c r="C806" s="102"/>
      <c r="D806" s="62"/>
      <c r="E806" s="102"/>
      <c r="F806" s="102"/>
      <c r="G806" s="102"/>
      <c r="I806" s="85"/>
      <c r="J806" s="104"/>
      <c r="K806" s="144"/>
      <c r="L806" s="62"/>
    </row>
    <row r="807" spans="1:28" x14ac:dyDescent="0.15">
      <c r="A807" s="165"/>
      <c r="B807" s="93"/>
      <c r="C807" s="102"/>
      <c r="D807" s="62"/>
      <c r="E807" s="102"/>
      <c r="F807" s="102"/>
      <c r="G807" s="102"/>
      <c r="H807" s="175"/>
      <c r="I807" s="85"/>
      <c r="J807" s="104"/>
      <c r="K807" s="144"/>
      <c r="L807" s="61"/>
    </row>
    <row r="808" spans="1:28" x14ac:dyDescent="0.15">
      <c r="A808" s="165"/>
      <c r="B808" s="93"/>
      <c r="C808" s="100"/>
      <c r="D808" s="61"/>
      <c r="E808" s="100"/>
      <c r="F808" s="100"/>
      <c r="G808" s="100"/>
      <c r="H808" s="177"/>
      <c r="I808" s="85"/>
      <c r="J808" s="101"/>
      <c r="K808" s="143"/>
      <c r="L808" s="61"/>
      <c r="M808" s="50"/>
      <c r="N808" s="35"/>
    </row>
    <row r="809" spans="1:28" x14ac:dyDescent="0.15">
      <c r="A809" s="165"/>
      <c r="B809" s="93"/>
      <c r="C809" s="102"/>
      <c r="D809" s="62"/>
      <c r="E809" s="102"/>
      <c r="F809" s="102"/>
      <c r="G809" s="102"/>
      <c r="H809" s="175"/>
      <c r="I809" s="85"/>
      <c r="J809" s="104"/>
      <c r="K809" s="143"/>
      <c r="L809" s="61"/>
      <c r="M809" s="36"/>
      <c r="O809" s="51"/>
    </row>
    <row r="810" spans="1:28" x14ac:dyDescent="0.15">
      <c r="A810" s="165"/>
      <c r="B810" s="93"/>
      <c r="C810" s="102"/>
      <c r="D810" s="62"/>
      <c r="E810" s="102"/>
      <c r="F810" s="102"/>
      <c r="G810" s="102"/>
      <c r="H810" s="175"/>
      <c r="I810" s="103"/>
      <c r="J810" s="98"/>
      <c r="K810" s="141"/>
      <c r="L810" s="61"/>
      <c r="M810" s="50"/>
      <c r="N810" s="51"/>
      <c r="O810" s="35"/>
    </row>
    <row r="811" spans="1:28" x14ac:dyDescent="0.15">
      <c r="A811" s="165"/>
      <c r="B811" s="93"/>
      <c r="C811" s="102"/>
      <c r="D811" s="62"/>
      <c r="E811" s="102"/>
      <c r="F811" s="102"/>
      <c r="G811" s="102"/>
      <c r="H811" s="175"/>
      <c r="I811" s="85"/>
      <c r="J811" s="104"/>
      <c r="K811" s="143"/>
      <c r="L811" s="61"/>
      <c r="M811" s="50"/>
      <c r="N811" s="51"/>
    </row>
    <row r="812" spans="1:28" x14ac:dyDescent="0.15">
      <c r="A812" s="165"/>
      <c r="B812" s="93"/>
      <c r="C812" s="102"/>
      <c r="D812" s="62"/>
      <c r="E812" s="102"/>
      <c r="F812" s="102"/>
      <c r="G812" s="102"/>
      <c r="H812" s="175"/>
      <c r="I812" s="85"/>
      <c r="J812" s="104"/>
      <c r="K812" s="143"/>
      <c r="L812" s="61"/>
      <c r="M812" s="35"/>
    </row>
    <row r="813" spans="1:28" x14ac:dyDescent="0.15">
      <c r="A813" s="165"/>
      <c r="B813" s="93"/>
      <c r="C813" s="102"/>
      <c r="D813" s="62"/>
      <c r="E813" s="100"/>
      <c r="F813" s="102"/>
      <c r="G813" s="102"/>
      <c r="H813" s="175"/>
      <c r="I813" s="85"/>
      <c r="J813" s="104"/>
      <c r="K813" s="143"/>
      <c r="L813" s="61"/>
      <c r="M813" s="35"/>
      <c r="O813" s="51"/>
    </row>
    <row r="814" spans="1:28" x14ac:dyDescent="0.15">
      <c r="A814" s="165"/>
      <c r="B814" s="93"/>
      <c r="C814" s="102"/>
      <c r="D814" s="62"/>
      <c r="E814" s="102"/>
      <c r="F814" s="102"/>
      <c r="G814" s="102"/>
      <c r="H814" s="175"/>
      <c r="I814" s="85"/>
      <c r="J814" s="104"/>
      <c r="K814" s="143"/>
      <c r="L814" s="61"/>
      <c r="M814" s="50"/>
      <c r="N814" s="51"/>
      <c r="O814" s="51"/>
    </row>
    <row r="815" spans="1:28" x14ac:dyDescent="0.15">
      <c r="A815" s="165"/>
      <c r="B815" s="93"/>
      <c r="C815" s="102"/>
      <c r="D815" s="62"/>
      <c r="E815" s="102"/>
      <c r="F815" s="102"/>
      <c r="G815" s="102"/>
      <c r="H815" s="175"/>
      <c r="I815" s="85"/>
      <c r="J815" s="104"/>
      <c r="K815" s="143"/>
      <c r="L815" s="61"/>
      <c r="M815" s="50"/>
      <c r="N815" s="51"/>
    </row>
    <row r="816" spans="1:28" x14ac:dyDescent="0.15">
      <c r="A816" s="165"/>
      <c r="B816" s="93"/>
      <c r="C816" s="102"/>
      <c r="D816" s="62"/>
      <c r="E816" s="102"/>
      <c r="F816" s="102"/>
      <c r="G816" s="102"/>
      <c r="H816" s="175"/>
      <c r="I816" s="85"/>
      <c r="J816" s="104"/>
      <c r="K816" s="143"/>
      <c r="L816" s="61"/>
      <c r="M816" s="50"/>
      <c r="N816" s="51"/>
      <c r="O816" s="51"/>
    </row>
    <row r="817" spans="1:14" x14ac:dyDescent="0.15">
      <c r="A817" s="165"/>
      <c r="B817" s="93"/>
      <c r="C817" s="100"/>
      <c r="D817" s="61"/>
      <c r="E817" s="100"/>
      <c r="F817" s="100"/>
      <c r="G817" s="100"/>
      <c r="H817" s="177"/>
      <c r="I817" s="103"/>
      <c r="J817" s="103"/>
      <c r="K817" s="141"/>
      <c r="L817" s="61"/>
    </row>
    <row r="818" spans="1:14" x14ac:dyDescent="0.15">
      <c r="A818" s="165"/>
      <c r="B818" s="93"/>
      <c r="C818" s="100"/>
      <c r="D818" s="61"/>
      <c r="E818" s="100"/>
      <c r="F818" s="100"/>
      <c r="G818" s="100"/>
      <c r="H818" s="177"/>
      <c r="I818" s="103"/>
      <c r="J818" s="103"/>
      <c r="K818" s="141"/>
      <c r="L818" s="61"/>
    </row>
    <row r="819" spans="1:14" x14ac:dyDescent="0.15">
      <c r="A819" s="165"/>
      <c r="B819" s="93"/>
      <c r="C819" s="100"/>
      <c r="D819" s="61"/>
      <c r="E819" s="100"/>
      <c r="F819" s="100"/>
      <c r="G819" s="100"/>
      <c r="H819" s="177"/>
      <c r="I819" s="103"/>
      <c r="J819" s="103"/>
      <c r="K819" s="141"/>
      <c r="L819" s="61"/>
    </row>
    <row r="820" spans="1:14" x14ac:dyDescent="0.15">
      <c r="A820" s="165"/>
      <c r="B820" s="93"/>
      <c r="C820" s="102"/>
      <c r="D820" s="62"/>
      <c r="E820" s="102"/>
      <c r="F820" s="102"/>
      <c r="G820" s="102"/>
      <c r="H820" s="175"/>
      <c r="I820" s="98"/>
      <c r="J820" s="106"/>
      <c r="K820" s="135"/>
      <c r="L820" s="62"/>
      <c r="M820" s="33"/>
    </row>
    <row r="821" spans="1:14" x14ac:dyDescent="0.15">
      <c r="A821" s="165"/>
      <c r="B821" s="93"/>
      <c r="C821" s="100"/>
      <c r="D821" s="61"/>
      <c r="E821" s="100"/>
      <c r="F821" s="100"/>
      <c r="G821" s="100"/>
      <c r="H821" s="177"/>
      <c r="I821" s="85"/>
      <c r="J821" s="101"/>
      <c r="K821" s="143"/>
      <c r="L821" s="61"/>
      <c r="M821" s="50"/>
      <c r="N821" s="51"/>
    </row>
    <row r="822" spans="1:14" x14ac:dyDescent="0.15">
      <c r="A822" s="165"/>
      <c r="B822" s="93"/>
      <c r="C822" s="102"/>
      <c r="D822" s="62"/>
      <c r="E822" s="100"/>
      <c r="F822" s="102"/>
      <c r="G822" s="102"/>
      <c r="H822" s="175"/>
      <c r="I822" s="85"/>
      <c r="J822" s="104"/>
      <c r="K822" s="143"/>
      <c r="L822" s="61"/>
    </row>
    <row r="823" spans="1:14" x14ac:dyDescent="0.15">
      <c r="A823" s="165"/>
      <c r="B823" s="93"/>
      <c r="C823" s="102"/>
      <c r="D823" s="62"/>
      <c r="E823" s="100"/>
      <c r="F823" s="102"/>
      <c r="G823" s="102"/>
      <c r="H823" s="175"/>
      <c r="I823" s="85"/>
      <c r="J823" s="104"/>
      <c r="K823" s="143"/>
      <c r="L823" s="61"/>
    </row>
    <row r="824" spans="1:14" x14ac:dyDescent="0.15">
      <c r="A824" s="165"/>
      <c r="B824" s="93"/>
      <c r="C824" s="100"/>
      <c r="D824" s="61"/>
      <c r="E824" s="100"/>
      <c r="F824" s="100"/>
      <c r="G824" s="100"/>
      <c r="H824" s="177"/>
      <c r="I824" s="103"/>
      <c r="J824" s="103"/>
      <c r="K824" s="141"/>
      <c r="L824" s="61"/>
    </row>
    <row r="825" spans="1:14" x14ac:dyDescent="0.15">
      <c r="A825" s="165"/>
      <c r="B825" s="93"/>
      <c r="C825" s="102"/>
      <c r="D825" s="62"/>
      <c r="E825" s="100"/>
      <c r="F825" s="102"/>
      <c r="G825" s="102"/>
      <c r="H825" s="175"/>
      <c r="I825" s="85"/>
      <c r="J825" s="104"/>
      <c r="K825" s="143"/>
      <c r="L825" s="61"/>
    </row>
    <row r="826" spans="1:14" x14ac:dyDescent="0.15">
      <c r="A826" s="165"/>
      <c r="B826" s="93"/>
      <c r="C826" s="102"/>
      <c r="D826" s="62"/>
      <c r="E826" s="100"/>
      <c r="F826" s="102"/>
      <c r="G826" s="102"/>
      <c r="H826" s="175"/>
      <c r="I826" s="85"/>
      <c r="J826" s="104"/>
      <c r="K826" s="143"/>
      <c r="L826" s="61"/>
    </row>
    <row r="827" spans="1:14" x14ac:dyDescent="0.15">
      <c r="A827" s="165"/>
      <c r="B827" s="93"/>
      <c r="C827" s="102"/>
      <c r="D827" s="62"/>
      <c r="E827" s="100"/>
      <c r="F827" s="102"/>
      <c r="G827" s="102"/>
      <c r="H827" s="175"/>
      <c r="I827" s="85"/>
      <c r="J827" s="104"/>
      <c r="K827" s="143"/>
      <c r="L827" s="61"/>
    </row>
    <row r="828" spans="1:14" x14ac:dyDescent="0.15">
      <c r="A828" s="165"/>
      <c r="B828" s="93"/>
      <c r="C828" s="100"/>
      <c r="D828" s="61"/>
      <c r="E828" s="100"/>
      <c r="F828" s="100"/>
      <c r="G828" s="100"/>
      <c r="H828" s="177"/>
      <c r="I828" s="103"/>
      <c r="J828" s="103"/>
      <c r="K828" s="141"/>
      <c r="L828" s="61"/>
    </row>
    <row r="829" spans="1:14" x14ac:dyDescent="0.15">
      <c r="A829" s="165"/>
      <c r="B829" s="93"/>
      <c r="C829" s="100"/>
      <c r="D829" s="61"/>
      <c r="E829" s="100"/>
      <c r="F829" s="100"/>
      <c r="G829" s="100"/>
      <c r="H829" s="177"/>
      <c r="I829" s="103"/>
      <c r="J829" s="103"/>
      <c r="K829" s="141"/>
      <c r="L829" s="61"/>
    </row>
    <row r="830" spans="1:14" x14ac:dyDescent="0.15">
      <c r="A830" s="165"/>
      <c r="B830" s="93"/>
      <c r="C830" s="100"/>
      <c r="D830" s="61"/>
      <c r="E830" s="100"/>
      <c r="F830" s="100"/>
      <c r="G830" s="100"/>
      <c r="H830" s="177"/>
      <c r="I830" s="103"/>
      <c r="J830" s="103"/>
      <c r="K830" s="141"/>
      <c r="L830" s="61"/>
    </row>
    <row r="831" spans="1:14" x14ac:dyDescent="0.15">
      <c r="A831" s="165"/>
      <c r="B831" s="93"/>
      <c r="C831" s="100"/>
      <c r="D831" s="61"/>
      <c r="E831" s="100"/>
      <c r="F831" s="100"/>
      <c r="G831" s="100"/>
      <c r="H831" s="177"/>
      <c r="I831" s="103"/>
      <c r="J831" s="103"/>
      <c r="K831" s="141"/>
      <c r="L831" s="61"/>
    </row>
    <row r="832" spans="1:14" x14ac:dyDescent="0.15">
      <c r="A832" s="165"/>
      <c r="B832" s="93"/>
      <c r="C832" s="100"/>
      <c r="D832" s="61"/>
      <c r="E832" s="100"/>
      <c r="F832" s="100"/>
      <c r="G832" s="100"/>
      <c r="H832" s="177"/>
      <c r="I832" s="103"/>
      <c r="J832" s="103"/>
      <c r="K832" s="141"/>
      <c r="L832" s="61"/>
    </row>
    <row r="833" spans="1:15" x14ac:dyDescent="0.15">
      <c r="A833" s="165"/>
      <c r="B833" s="93"/>
      <c r="C833" s="100"/>
      <c r="D833" s="61"/>
      <c r="E833" s="100"/>
      <c r="F833" s="100"/>
      <c r="G833" s="100"/>
      <c r="H833" s="177"/>
      <c r="I833" s="103"/>
      <c r="J833" s="103"/>
      <c r="K833" s="141"/>
      <c r="L833" s="61"/>
    </row>
    <row r="834" spans="1:15" x14ac:dyDescent="0.15">
      <c r="A834" s="165"/>
      <c r="B834" s="93"/>
      <c r="C834" s="102"/>
      <c r="D834" s="62"/>
      <c r="E834" s="100"/>
      <c r="F834" s="102"/>
      <c r="G834" s="102"/>
      <c r="H834" s="175"/>
      <c r="I834" s="85"/>
      <c r="J834" s="104"/>
      <c r="K834" s="143"/>
      <c r="L834" s="61"/>
    </row>
    <row r="835" spans="1:15" x14ac:dyDescent="0.15">
      <c r="A835" s="165"/>
      <c r="B835" s="93"/>
      <c r="C835" s="102"/>
      <c r="D835" s="62"/>
      <c r="E835" s="100"/>
      <c r="F835" s="102"/>
      <c r="G835" s="102"/>
      <c r="H835" s="175"/>
      <c r="I835" s="85"/>
      <c r="J835" s="104"/>
      <c r="K835" s="143"/>
      <c r="L835" s="61"/>
    </row>
    <row r="836" spans="1:15" x14ac:dyDescent="0.15">
      <c r="A836" s="165"/>
      <c r="B836" s="93"/>
      <c r="C836" s="102"/>
      <c r="D836" s="62"/>
      <c r="E836" s="100"/>
      <c r="F836" s="102"/>
      <c r="G836" s="102"/>
      <c r="H836" s="175"/>
      <c r="I836" s="85"/>
      <c r="J836" s="104"/>
      <c r="K836" s="143"/>
      <c r="L836" s="61"/>
    </row>
    <row r="837" spans="1:15" x14ac:dyDescent="0.15">
      <c r="A837" s="165"/>
      <c r="B837" s="93"/>
      <c r="C837" s="102"/>
      <c r="D837" s="62"/>
      <c r="E837" s="102"/>
      <c r="F837" s="102"/>
      <c r="G837" s="102"/>
      <c r="H837" s="175"/>
      <c r="I837" s="85"/>
      <c r="J837" s="104"/>
      <c r="K837" s="143"/>
      <c r="L837" s="61"/>
    </row>
    <row r="838" spans="1:15" x14ac:dyDescent="0.15">
      <c r="A838" s="165"/>
      <c r="B838" s="93"/>
      <c r="C838" s="102"/>
      <c r="D838" s="62"/>
      <c r="E838" s="102"/>
      <c r="F838" s="102"/>
      <c r="G838" s="102"/>
      <c r="H838" s="175"/>
      <c r="I838" s="85"/>
      <c r="J838" s="104"/>
      <c r="K838" s="143"/>
      <c r="L838" s="61"/>
    </row>
    <row r="839" spans="1:15" x14ac:dyDescent="0.15">
      <c r="A839" s="165"/>
      <c r="B839" s="82"/>
      <c r="C839" s="107"/>
      <c r="D839" s="62"/>
      <c r="E839" s="107"/>
      <c r="F839" s="107"/>
      <c r="G839" s="107"/>
      <c r="H839" s="179"/>
      <c r="I839" s="85"/>
      <c r="J839" s="104"/>
      <c r="K839" s="143"/>
      <c r="L839" s="61"/>
    </row>
    <row r="840" spans="1:15" x14ac:dyDescent="0.15">
      <c r="A840" s="165"/>
      <c r="B840" s="93"/>
      <c r="C840" s="100"/>
      <c r="D840" s="61"/>
      <c r="E840" s="100"/>
      <c r="F840" s="100"/>
      <c r="G840" s="100"/>
      <c r="H840" s="177"/>
      <c r="I840" s="103"/>
      <c r="J840" s="103"/>
      <c r="K840" s="141"/>
      <c r="L840" s="61"/>
    </row>
    <row r="841" spans="1:15" x14ac:dyDescent="0.15">
      <c r="A841" s="165"/>
      <c r="B841" s="93"/>
      <c r="C841" s="100"/>
      <c r="D841" s="61"/>
      <c r="E841" s="100"/>
      <c r="F841" s="100"/>
      <c r="G841" s="100"/>
      <c r="H841" s="177"/>
      <c r="I841" s="103"/>
      <c r="J841" s="103"/>
      <c r="K841" s="141"/>
      <c r="L841" s="61"/>
    </row>
    <row r="842" spans="1:15" x14ac:dyDescent="0.15">
      <c r="A842" s="165"/>
      <c r="B842" s="93"/>
      <c r="C842" s="100"/>
      <c r="D842" s="61"/>
      <c r="E842" s="100"/>
      <c r="F842" s="100"/>
      <c r="G842" s="100"/>
      <c r="H842" s="177"/>
      <c r="I842" s="85"/>
      <c r="J842" s="101"/>
      <c r="K842" s="143"/>
      <c r="L842" s="61"/>
    </row>
    <row r="843" spans="1:15" x14ac:dyDescent="0.15">
      <c r="A843" s="165"/>
      <c r="B843" s="93"/>
      <c r="C843" s="100"/>
      <c r="D843" s="61"/>
      <c r="E843" s="100"/>
      <c r="F843" s="100"/>
      <c r="G843" s="100"/>
      <c r="H843" s="177"/>
      <c r="I843" s="103"/>
      <c r="J843" s="103"/>
      <c r="K843" s="141"/>
      <c r="L843" s="61"/>
    </row>
    <row r="844" spans="1:15" x14ac:dyDescent="0.15">
      <c r="A844" s="165"/>
      <c r="B844" s="93"/>
      <c r="C844" s="100"/>
      <c r="D844" s="61"/>
      <c r="E844" s="100"/>
      <c r="F844" s="100"/>
      <c r="G844" s="100"/>
      <c r="H844" s="177"/>
      <c r="I844" s="85"/>
      <c r="J844" s="101"/>
      <c r="K844" s="143"/>
      <c r="L844" s="61"/>
    </row>
    <row r="845" spans="1:15" x14ac:dyDescent="0.15">
      <c r="A845" s="165"/>
      <c r="B845" s="93"/>
      <c r="C845" s="102"/>
      <c r="D845" s="62"/>
      <c r="E845" s="102"/>
      <c r="F845" s="102"/>
      <c r="G845" s="102"/>
      <c r="H845" s="175"/>
      <c r="I845" s="85"/>
      <c r="J845" s="104"/>
      <c r="K845" s="143"/>
      <c r="L845" s="61"/>
    </row>
    <row r="846" spans="1:15" x14ac:dyDescent="0.15">
      <c r="A846" s="165"/>
      <c r="B846" s="93"/>
      <c r="C846" s="102"/>
      <c r="D846" s="62"/>
      <c r="E846" s="102"/>
      <c r="F846" s="102"/>
      <c r="G846" s="102"/>
      <c r="H846" s="175"/>
      <c r="I846" s="103"/>
      <c r="J846" s="98"/>
      <c r="K846" s="141"/>
      <c r="L846" s="61"/>
    </row>
    <row r="847" spans="1:15" x14ac:dyDescent="0.15">
      <c r="A847" s="165"/>
      <c r="B847" s="93"/>
      <c r="C847" s="102"/>
      <c r="D847" s="62"/>
      <c r="E847" s="102"/>
      <c r="F847" s="102"/>
      <c r="G847" s="102"/>
      <c r="H847" s="175"/>
      <c r="I847" s="103"/>
      <c r="J847" s="98"/>
      <c r="K847" s="141"/>
      <c r="L847" s="61"/>
      <c r="O847" s="51"/>
    </row>
    <row r="848" spans="1:15" x14ac:dyDescent="0.15">
      <c r="A848" s="165"/>
      <c r="B848" s="82"/>
      <c r="C848" s="107"/>
      <c r="D848" s="62"/>
      <c r="E848" s="107"/>
      <c r="F848" s="107"/>
      <c r="G848" s="107"/>
      <c r="H848" s="179"/>
      <c r="I848" s="85"/>
      <c r="J848" s="104"/>
      <c r="K848" s="143"/>
      <c r="L848" s="61"/>
    </row>
    <row r="849" spans="1:13" x14ac:dyDescent="0.15">
      <c r="A849" s="165"/>
      <c r="B849" s="93"/>
      <c r="C849" s="102"/>
      <c r="D849" s="62"/>
      <c r="E849" s="102"/>
      <c r="F849" s="102"/>
      <c r="G849" s="102"/>
      <c r="H849" s="175"/>
      <c r="I849" s="85"/>
      <c r="J849" s="104"/>
      <c r="K849" s="143"/>
      <c r="L849" s="61"/>
    </row>
    <row r="850" spans="1:13" x14ac:dyDescent="0.15">
      <c r="A850" s="165"/>
      <c r="B850" s="93"/>
      <c r="C850" s="100"/>
      <c r="D850" s="61"/>
      <c r="E850" s="100"/>
      <c r="F850" s="100"/>
      <c r="G850" s="100"/>
      <c r="H850" s="177"/>
      <c r="I850" s="103"/>
      <c r="J850" s="103"/>
      <c r="K850" s="141"/>
      <c r="L850" s="61"/>
    </row>
    <row r="851" spans="1:13" x14ac:dyDescent="0.15">
      <c r="A851" s="165"/>
      <c r="B851" s="93"/>
      <c r="C851" s="100"/>
      <c r="D851" s="61"/>
      <c r="E851" s="100"/>
      <c r="F851" s="100"/>
      <c r="G851" s="100"/>
      <c r="H851" s="177"/>
      <c r="I851" s="85"/>
      <c r="J851" s="101"/>
      <c r="K851" s="143"/>
      <c r="L851" s="61"/>
    </row>
    <row r="852" spans="1:13" x14ac:dyDescent="0.15">
      <c r="A852" s="165"/>
      <c r="B852" s="93"/>
      <c r="C852" s="100"/>
      <c r="D852" s="61"/>
      <c r="E852" s="100"/>
      <c r="F852" s="100"/>
      <c r="G852" s="100"/>
      <c r="H852" s="177"/>
      <c r="I852" s="85"/>
      <c r="J852" s="101"/>
      <c r="K852" s="143"/>
      <c r="L852" s="61"/>
    </row>
    <row r="853" spans="1:13" x14ac:dyDescent="0.15">
      <c r="A853" s="165"/>
      <c r="B853" s="93"/>
      <c r="C853" s="100"/>
      <c r="D853" s="61"/>
      <c r="E853" s="100"/>
      <c r="F853" s="100"/>
      <c r="G853" s="100"/>
      <c r="H853" s="177"/>
      <c r="I853" s="85"/>
      <c r="J853" s="101"/>
      <c r="K853" s="143"/>
      <c r="L853" s="61"/>
    </row>
    <row r="854" spans="1:13" x14ac:dyDescent="0.15">
      <c r="A854" s="165"/>
      <c r="B854" s="93"/>
      <c r="C854" s="100"/>
      <c r="D854" s="61"/>
      <c r="E854" s="100"/>
      <c r="F854" s="100"/>
      <c r="G854" s="100"/>
      <c r="H854" s="177"/>
      <c r="I854" s="85"/>
      <c r="J854" s="101"/>
      <c r="K854" s="143"/>
      <c r="L854" s="61"/>
    </row>
    <row r="855" spans="1:13" x14ac:dyDescent="0.15">
      <c r="A855" s="165"/>
      <c r="B855" s="82"/>
      <c r="C855" s="105"/>
      <c r="D855" s="61"/>
      <c r="E855" s="105"/>
      <c r="F855" s="105"/>
      <c r="G855" s="105"/>
      <c r="H855" s="178"/>
      <c r="I855" s="85"/>
      <c r="J855" s="101"/>
      <c r="K855" s="143"/>
      <c r="L855" s="61"/>
    </row>
    <row r="856" spans="1:13" x14ac:dyDescent="0.15">
      <c r="A856" s="165"/>
      <c r="B856" s="93"/>
      <c r="C856" s="102"/>
      <c r="D856" s="62"/>
      <c r="E856" s="102"/>
      <c r="F856" s="102"/>
      <c r="G856" s="102"/>
      <c r="H856" s="175"/>
      <c r="I856" s="98"/>
      <c r="J856" s="106"/>
      <c r="K856" s="135"/>
      <c r="L856" s="61"/>
      <c r="M856" s="33"/>
    </row>
    <row r="857" spans="1:13" x14ac:dyDescent="0.15">
      <c r="A857" s="165"/>
      <c r="B857" s="93"/>
      <c r="C857" s="100"/>
      <c r="D857" s="61"/>
      <c r="E857" s="100"/>
      <c r="F857" s="100"/>
      <c r="G857" s="100"/>
      <c r="H857" s="177"/>
      <c r="I857" s="85"/>
      <c r="J857" s="101"/>
      <c r="K857" s="143"/>
      <c r="L857" s="61"/>
    </row>
    <row r="858" spans="1:13" x14ac:dyDescent="0.15">
      <c r="A858" s="165"/>
      <c r="B858" s="93"/>
      <c r="C858" s="100"/>
      <c r="D858" s="61"/>
      <c r="E858" s="100"/>
      <c r="F858" s="100"/>
      <c r="G858" s="100"/>
      <c r="H858" s="177"/>
      <c r="I858" s="85"/>
      <c r="J858" s="101"/>
      <c r="K858" s="143"/>
      <c r="L858" s="61"/>
    </row>
    <row r="859" spans="1:13" x14ac:dyDescent="0.15">
      <c r="A859" s="165"/>
      <c r="B859" s="93"/>
      <c r="C859" s="102"/>
      <c r="D859" s="62"/>
      <c r="E859" s="102"/>
      <c r="F859" s="102"/>
      <c r="G859" s="102"/>
      <c r="H859" s="175"/>
      <c r="I859" s="85"/>
      <c r="J859" s="104"/>
      <c r="K859" s="143"/>
      <c r="L859" s="61"/>
    </row>
    <row r="860" spans="1:13" x14ac:dyDescent="0.15">
      <c r="A860" s="165"/>
      <c r="B860" s="93"/>
      <c r="C860" s="102"/>
      <c r="D860" s="62"/>
      <c r="E860" s="102"/>
      <c r="F860" s="102"/>
      <c r="G860" s="102"/>
      <c r="H860" s="175"/>
      <c r="I860" s="85"/>
      <c r="J860" s="104"/>
      <c r="K860" s="143"/>
      <c r="L860" s="61"/>
    </row>
    <row r="861" spans="1:13" x14ac:dyDescent="0.15">
      <c r="A861" s="165"/>
      <c r="B861" s="93"/>
      <c r="C861" s="102"/>
      <c r="D861" s="62"/>
      <c r="E861" s="102"/>
      <c r="F861" s="102"/>
      <c r="G861" s="102"/>
      <c r="H861" s="175"/>
      <c r="I861" s="85"/>
      <c r="J861" s="104"/>
      <c r="K861" s="144"/>
      <c r="L861" s="61"/>
    </row>
    <row r="862" spans="1:13" x14ac:dyDescent="0.15">
      <c r="A862" s="165"/>
      <c r="B862" s="93"/>
      <c r="C862" s="102"/>
      <c r="D862" s="62"/>
      <c r="E862" s="100"/>
      <c r="F862" s="102"/>
      <c r="G862" s="102"/>
      <c r="H862" s="175"/>
      <c r="I862" s="98"/>
      <c r="J862" s="98"/>
      <c r="K862" s="135"/>
      <c r="L862" s="61"/>
    </row>
    <row r="863" spans="1:13" x14ac:dyDescent="0.15">
      <c r="A863" s="165"/>
      <c r="B863" s="93"/>
      <c r="C863" s="102"/>
      <c r="D863" s="62"/>
      <c r="E863" s="100"/>
      <c r="F863" s="102"/>
      <c r="G863" s="102"/>
      <c r="H863" s="175"/>
      <c r="I863" s="98"/>
      <c r="J863" s="98"/>
      <c r="K863" s="135"/>
      <c r="L863" s="61"/>
    </row>
    <row r="864" spans="1:13" x14ac:dyDescent="0.15">
      <c r="A864" s="165"/>
      <c r="B864" s="93"/>
      <c r="C864" s="102"/>
      <c r="D864" s="62"/>
      <c r="E864" s="102"/>
      <c r="F864" s="102"/>
      <c r="G864" s="102"/>
      <c r="H864" s="175"/>
      <c r="I864" s="85"/>
      <c r="J864" s="104"/>
      <c r="K864" s="144"/>
      <c r="L864" s="61"/>
    </row>
    <row r="865" spans="1:12" x14ac:dyDescent="0.15">
      <c r="A865" s="165"/>
      <c r="B865" s="93"/>
      <c r="C865" s="102"/>
      <c r="D865" s="62"/>
      <c r="E865" s="102"/>
      <c r="F865" s="102"/>
      <c r="G865" s="102"/>
      <c r="H865" s="175"/>
      <c r="I865" s="85"/>
      <c r="J865" s="104"/>
      <c r="K865" s="144"/>
      <c r="L865" s="61"/>
    </row>
    <row r="866" spans="1:12" x14ac:dyDescent="0.15">
      <c r="A866" s="165"/>
      <c r="B866" s="93"/>
      <c r="C866" s="102"/>
      <c r="D866" s="62"/>
      <c r="E866" s="102"/>
      <c r="F866" s="102"/>
      <c r="G866" s="102"/>
      <c r="H866" s="175"/>
      <c r="I866" s="85"/>
      <c r="J866" s="104"/>
      <c r="K866" s="144"/>
      <c r="L866" s="61"/>
    </row>
    <row r="867" spans="1:12" x14ac:dyDescent="0.15">
      <c r="A867" s="165"/>
      <c r="B867" s="93"/>
      <c r="C867" s="102"/>
      <c r="D867" s="62"/>
      <c r="E867" s="102"/>
      <c r="F867" s="102"/>
      <c r="G867" s="102"/>
      <c r="H867" s="175"/>
      <c r="I867" s="85"/>
      <c r="J867" s="104"/>
      <c r="K867" s="144"/>
      <c r="L867" s="61"/>
    </row>
    <row r="868" spans="1:12" x14ac:dyDescent="0.15">
      <c r="A868" s="165"/>
      <c r="B868" s="93"/>
      <c r="C868" s="102"/>
      <c r="D868" s="62"/>
      <c r="E868" s="100"/>
      <c r="F868" s="102"/>
      <c r="G868" s="102"/>
      <c r="H868" s="175"/>
      <c r="I868" s="85"/>
      <c r="J868" s="104"/>
      <c r="K868" s="144"/>
      <c r="L868" s="61"/>
    </row>
    <row r="869" spans="1:12" x14ac:dyDescent="0.15">
      <c r="A869" s="165"/>
      <c r="B869" s="93"/>
      <c r="C869" s="102"/>
      <c r="D869" s="62"/>
      <c r="E869" s="102"/>
      <c r="F869" s="102"/>
      <c r="G869" s="102"/>
      <c r="H869" s="175"/>
      <c r="I869" s="85"/>
      <c r="J869" s="104"/>
      <c r="K869" s="144"/>
      <c r="L869" s="61"/>
    </row>
    <row r="870" spans="1:12" x14ac:dyDescent="0.15">
      <c r="A870" s="165"/>
      <c r="B870" s="93"/>
      <c r="C870" s="102"/>
      <c r="D870" s="62"/>
      <c r="E870" s="102"/>
      <c r="F870" s="102"/>
      <c r="G870" s="102"/>
      <c r="H870" s="175"/>
      <c r="I870" s="85"/>
      <c r="J870" s="104"/>
      <c r="K870" s="144"/>
      <c r="L870" s="61"/>
    </row>
    <row r="871" spans="1:12" x14ac:dyDescent="0.15">
      <c r="A871" s="165"/>
      <c r="B871" s="93"/>
      <c r="C871" s="102"/>
      <c r="D871" s="62"/>
      <c r="E871" s="102"/>
      <c r="F871" s="102"/>
      <c r="G871" s="102"/>
      <c r="H871" s="175"/>
      <c r="I871" s="85"/>
      <c r="J871" s="104"/>
      <c r="K871" s="144"/>
      <c r="L871" s="61"/>
    </row>
    <row r="872" spans="1:12" x14ac:dyDescent="0.15">
      <c r="A872" s="165"/>
      <c r="B872" s="93"/>
      <c r="C872" s="102"/>
      <c r="D872" s="62"/>
      <c r="E872" s="100"/>
      <c r="F872" s="102"/>
      <c r="G872" s="102"/>
      <c r="H872" s="175"/>
      <c r="I872" s="85"/>
      <c r="J872" s="104"/>
      <c r="K872" s="144"/>
      <c r="L872" s="61"/>
    </row>
    <row r="873" spans="1:12" x14ac:dyDescent="0.15">
      <c r="A873" s="165"/>
      <c r="B873" s="93"/>
      <c r="C873" s="102"/>
      <c r="D873" s="62"/>
      <c r="E873" s="100"/>
      <c r="F873" s="102"/>
      <c r="G873" s="102"/>
      <c r="H873" s="175"/>
      <c r="I873" s="98"/>
      <c r="J873" s="98"/>
      <c r="K873" s="135"/>
      <c r="L873" s="61"/>
    </row>
    <row r="874" spans="1:12" x14ac:dyDescent="0.15">
      <c r="A874" s="165"/>
      <c r="B874" s="93"/>
      <c r="C874" s="102"/>
      <c r="D874" s="62"/>
      <c r="E874" s="102"/>
      <c r="F874" s="102"/>
      <c r="G874" s="102"/>
      <c r="H874" s="175"/>
      <c r="I874" s="85"/>
      <c r="J874" s="104"/>
      <c r="K874" s="144"/>
      <c r="L874" s="61"/>
    </row>
    <row r="875" spans="1:12" x14ac:dyDescent="0.15">
      <c r="A875" s="165"/>
      <c r="B875" s="93"/>
      <c r="C875" s="102"/>
      <c r="D875" s="62"/>
      <c r="E875" s="102"/>
      <c r="F875" s="102"/>
      <c r="G875" s="102"/>
      <c r="H875" s="175"/>
      <c r="I875" s="85"/>
      <c r="J875" s="104"/>
      <c r="K875" s="144"/>
      <c r="L875" s="61"/>
    </row>
    <row r="876" spans="1:12" x14ac:dyDescent="0.15">
      <c r="A876" s="165"/>
      <c r="B876" s="93"/>
      <c r="C876" s="102"/>
      <c r="D876" s="62"/>
      <c r="E876" s="102"/>
      <c r="F876" s="102"/>
      <c r="G876" s="102"/>
      <c r="H876" s="175"/>
      <c r="I876" s="85"/>
      <c r="J876" s="104"/>
      <c r="K876" s="144"/>
      <c r="L876" s="61"/>
    </row>
    <row r="877" spans="1:12" x14ac:dyDescent="0.15">
      <c r="A877" s="165"/>
      <c r="B877" s="93"/>
      <c r="C877" s="102"/>
      <c r="D877" s="62"/>
      <c r="E877" s="100"/>
      <c r="F877" s="102"/>
      <c r="G877" s="102"/>
      <c r="H877" s="175"/>
      <c r="I877" s="85"/>
      <c r="J877" s="104"/>
      <c r="K877" s="144"/>
      <c r="L877" s="61"/>
    </row>
    <row r="878" spans="1:12" x14ac:dyDescent="0.15">
      <c r="A878" s="165"/>
      <c r="B878" s="93"/>
      <c r="C878" s="102"/>
      <c r="D878" s="62"/>
      <c r="E878" s="100"/>
      <c r="F878" s="102"/>
      <c r="G878" s="102"/>
      <c r="H878" s="175"/>
      <c r="I878" s="98"/>
      <c r="J878" s="98"/>
      <c r="K878" s="135"/>
      <c r="L878" s="61"/>
    </row>
    <row r="879" spans="1:12" x14ac:dyDescent="0.15">
      <c r="A879" s="165"/>
      <c r="B879" s="93"/>
      <c r="C879" s="102"/>
      <c r="D879" s="62"/>
      <c r="E879" s="102"/>
      <c r="F879" s="102"/>
      <c r="G879" s="102"/>
      <c r="H879" s="175"/>
      <c r="I879" s="85"/>
      <c r="J879" s="104"/>
      <c r="K879" s="144"/>
      <c r="L879" s="61"/>
    </row>
    <row r="880" spans="1:12" x14ac:dyDescent="0.15">
      <c r="A880" s="165"/>
      <c r="B880" s="93"/>
      <c r="C880" s="102"/>
      <c r="D880" s="62"/>
      <c r="E880" s="102"/>
      <c r="F880" s="102"/>
      <c r="G880" s="102"/>
      <c r="H880" s="175"/>
      <c r="I880" s="85"/>
      <c r="J880" s="104"/>
      <c r="K880" s="144"/>
      <c r="L880" s="61"/>
    </row>
    <row r="881" spans="1:12" x14ac:dyDescent="0.15">
      <c r="A881" s="165"/>
      <c r="B881" s="93"/>
      <c r="C881" s="102"/>
      <c r="D881" s="62"/>
      <c r="E881" s="102"/>
      <c r="F881" s="102"/>
      <c r="G881" s="102"/>
      <c r="H881" s="175"/>
      <c r="I881" s="85"/>
      <c r="J881" s="104"/>
      <c r="K881" s="144"/>
      <c r="L881" s="61"/>
    </row>
    <row r="882" spans="1:12" x14ac:dyDescent="0.15">
      <c r="A882" s="165"/>
      <c r="B882" s="93"/>
      <c r="C882" s="102"/>
      <c r="D882" s="62"/>
      <c r="E882" s="100"/>
      <c r="F882" s="102"/>
      <c r="G882" s="102"/>
      <c r="H882" s="175"/>
      <c r="I882" s="85"/>
      <c r="J882" s="104"/>
      <c r="K882" s="144"/>
      <c r="L882" s="61"/>
    </row>
    <row r="883" spans="1:12" x14ac:dyDescent="0.15">
      <c r="A883" s="165"/>
      <c r="B883" s="93"/>
      <c r="C883" s="102"/>
      <c r="D883" s="62"/>
      <c r="E883" s="102"/>
      <c r="F883" s="102"/>
      <c r="G883" s="102"/>
      <c r="H883" s="175"/>
      <c r="I883" s="85"/>
      <c r="J883" s="104"/>
      <c r="K883" s="144"/>
      <c r="L883" s="61"/>
    </row>
    <row r="884" spans="1:12" x14ac:dyDescent="0.15">
      <c r="A884" s="165"/>
      <c r="B884" s="93"/>
      <c r="C884" s="102"/>
      <c r="D884" s="62"/>
      <c r="E884" s="102"/>
      <c r="F884" s="102"/>
      <c r="G884" s="102"/>
      <c r="H884" s="175"/>
      <c r="I884" s="98"/>
      <c r="J884" s="98"/>
      <c r="K884" s="135"/>
      <c r="L884" s="61"/>
    </row>
    <row r="885" spans="1:12" x14ac:dyDescent="0.15">
      <c r="A885" s="165"/>
      <c r="B885" s="93"/>
      <c r="C885" s="102"/>
      <c r="D885" s="62"/>
      <c r="E885" s="102"/>
      <c r="F885" s="102"/>
      <c r="G885" s="102"/>
      <c r="H885" s="175"/>
      <c r="I885" s="85"/>
      <c r="J885" s="104"/>
      <c r="K885" s="144"/>
      <c r="L885" s="61"/>
    </row>
    <row r="886" spans="1:12" x14ac:dyDescent="0.15">
      <c r="A886" s="165"/>
      <c r="B886" s="93"/>
      <c r="C886" s="102"/>
      <c r="D886" s="62"/>
      <c r="E886" s="102"/>
      <c r="F886" s="102"/>
      <c r="G886" s="102"/>
      <c r="H886" s="175"/>
      <c r="I886" s="85"/>
      <c r="J886" s="104"/>
      <c r="K886" s="144"/>
      <c r="L886" s="61"/>
    </row>
    <row r="887" spans="1:12" x14ac:dyDescent="0.15">
      <c r="A887" s="165"/>
      <c r="B887" s="93"/>
      <c r="C887" s="102"/>
      <c r="D887" s="62"/>
      <c r="E887" s="102"/>
      <c r="F887" s="102"/>
      <c r="G887" s="102"/>
      <c r="H887" s="175"/>
      <c r="I887" s="98"/>
      <c r="J887" s="98"/>
      <c r="K887" s="135"/>
      <c r="L887" s="61"/>
    </row>
    <row r="888" spans="1:12" x14ac:dyDescent="0.15">
      <c r="A888" s="165"/>
      <c r="B888" s="93"/>
      <c r="C888" s="102"/>
      <c r="D888" s="62"/>
      <c r="E888" s="102"/>
      <c r="F888" s="102"/>
      <c r="G888" s="102"/>
      <c r="H888" s="175"/>
      <c r="I888" s="103"/>
      <c r="J888" s="103"/>
      <c r="K888" s="135"/>
      <c r="L888" s="61"/>
    </row>
    <row r="889" spans="1:12" x14ac:dyDescent="0.15">
      <c r="A889" s="165"/>
      <c r="B889" s="93"/>
      <c r="C889" s="102"/>
      <c r="D889" s="62"/>
      <c r="E889" s="102"/>
      <c r="F889" s="102"/>
      <c r="G889" s="102"/>
      <c r="H889" s="175"/>
      <c r="I889" s="98"/>
      <c r="J889" s="98"/>
      <c r="K889" s="135"/>
      <c r="L889" s="61"/>
    </row>
    <row r="890" spans="1:12" x14ac:dyDescent="0.15">
      <c r="A890" s="165"/>
      <c r="B890" s="93"/>
      <c r="C890" s="102"/>
      <c r="D890" s="62"/>
      <c r="E890" s="102"/>
      <c r="F890" s="102"/>
      <c r="G890" s="102"/>
      <c r="H890" s="175"/>
      <c r="I890" s="98"/>
      <c r="J890" s="98"/>
      <c r="K890" s="135"/>
      <c r="L890" s="61"/>
    </row>
    <row r="891" spans="1:12" x14ac:dyDescent="0.15">
      <c r="A891" s="165"/>
      <c r="B891" s="93"/>
      <c r="C891" s="102"/>
      <c r="D891" s="62"/>
      <c r="E891" s="102"/>
      <c r="F891" s="102"/>
      <c r="G891" s="102"/>
      <c r="H891" s="175"/>
      <c r="I891" s="98"/>
      <c r="J891" s="98"/>
      <c r="K891" s="135"/>
      <c r="L891" s="61"/>
    </row>
    <row r="892" spans="1:12" x14ac:dyDescent="0.15">
      <c r="A892" s="165"/>
      <c r="B892" s="93"/>
      <c r="C892" s="102"/>
      <c r="D892" s="62"/>
      <c r="E892" s="102"/>
      <c r="F892" s="102"/>
      <c r="G892" s="102"/>
      <c r="H892" s="175"/>
      <c r="I892" s="98"/>
      <c r="J892" s="98"/>
      <c r="K892" s="135"/>
      <c r="L892" s="61"/>
    </row>
    <row r="893" spans="1:12" x14ac:dyDescent="0.15">
      <c r="A893" s="165"/>
      <c r="B893" s="93"/>
      <c r="C893" s="102"/>
      <c r="D893" s="62"/>
      <c r="E893" s="102"/>
      <c r="F893" s="102"/>
      <c r="G893" s="102"/>
      <c r="H893" s="175"/>
      <c r="I893" s="98"/>
      <c r="J893" s="98"/>
      <c r="K893" s="135"/>
      <c r="L893" s="61"/>
    </row>
    <row r="894" spans="1:12" x14ac:dyDescent="0.15">
      <c r="A894" s="165"/>
      <c r="B894" s="93"/>
      <c r="C894" s="102"/>
      <c r="D894" s="62"/>
      <c r="E894" s="102"/>
      <c r="F894" s="102"/>
      <c r="G894" s="102"/>
      <c r="H894" s="175"/>
      <c r="I894" s="85"/>
      <c r="J894" s="104"/>
      <c r="K894" s="144"/>
      <c r="L894" s="61"/>
    </row>
    <row r="895" spans="1:12" x14ac:dyDescent="0.15">
      <c r="A895" s="165"/>
      <c r="B895" s="93"/>
      <c r="C895" s="102"/>
      <c r="D895" s="62"/>
      <c r="E895" s="102"/>
      <c r="F895" s="102"/>
      <c r="G895" s="102"/>
      <c r="H895" s="175"/>
      <c r="I895" s="85"/>
      <c r="J895" s="104"/>
      <c r="K895" s="144"/>
      <c r="L895" s="61"/>
    </row>
    <row r="896" spans="1:12" x14ac:dyDescent="0.15">
      <c r="A896" s="165"/>
      <c r="B896" s="93"/>
      <c r="C896" s="102"/>
      <c r="D896" s="62"/>
      <c r="E896" s="102"/>
      <c r="F896" s="102"/>
      <c r="G896" s="102"/>
      <c r="H896" s="175"/>
      <c r="I896" s="85"/>
      <c r="J896" s="104"/>
      <c r="K896" s="144"/>
      <c r="L896" s="61"/>
    </row>
    <row r="897" spans="1:18" x14ac:dyDescent="0.15">
      <c r="A897" s="165"/>
      <c r="B897" s="93"/>
      <c r="C897" s="102"/>
      <c r="D897" s="62"/>
      <c r="E897" s="102"/>
      <c r="F897" s="102"/>
      <c r="G897" s="102"/>
      <c r="H897" s="175"/>
      <c r="I897" s="85"/>
      <c r="J897" s="104"/>
      <c r="K897" s="144"/>
      <c r="L897" s="61"/>
    </row>
    <row r="898" spans="1:18" x14ac:dyDescent="0.15">
      <c r="A898" s="165"/>
      <c r="B898" s="93"/>
      <c r="C898" s="102"/>
      <c r="D898" s="62"/>
      <c r="E898" s="102"/>
      <c r="F898" s="102"/>
      <c r="G898" s="102"/>
      <c r="H898" s="175"/>
      <c r="I898" s="85"/>
      <c r="J898" s="104"/>
      <c r="K898" s="144"/>
      <c r="L898" s="61"/>
    </row>
    <row r="899" spans="1:18" x14ac:dyDescent="0.15">
      <c r="A899" s="165"/>
      <c r="B899" s="93"/>
      <c r="C899" s="102"/>
      <c r="D899" s="62"/>
      <c r="E899" s="102"/>
      <c r="F899" s="102"/>
      <c r="G899" s="102"/>
      <c r="H899" s="175"/>
      <c r="I899" s="85"/>
      <c r="J899" s="104"/>
      <c r="K899" s="144"/>
      <c r="L899" s="61"/>
    </row>
    <row r="900" spans="1:18" x14ac:dyDescent="0.15">
      <c r="A900" s="165"/>
      <c r="B900" s="93"/>
      <c r="C900" s="102"/>
      <c r="D900" s="62"/>
      <c r="E900" s="102"/>
      <c r="F900" s="102"/>
      <c r="G900" s="102"/>
      <c r="H900" s="175"/>
      <c r="I900" s="98"/>
      <c r="J900" s="98"/>
      <c r="K900" s="135"/>
      <c r="L900" s="61"/>
      <c r="Q900" s="14"/>
      <c r="R900" s="14"/>
    </row>
    <row r="901" spans="1:18" x14ac:dyDescent="0.15">
      <c r="A901" s="165"/>
      <c r="B901" s="93"/>
      <c r="C901" s="102"/>
      <c r="D901" s="62"/>
      <c r="E901" s="102"/>
      <c r="F901" s="102"/>
      <c r="G901" s="102"/>
      <c r="H901" s="175"/>
      <c r="I901" s="98"/>
      <c r="J901" s="98"/>
      <c r="K901" s="135"/>
      <c r="L901" s="61"/>
    </row>
    <row r="902" spans="1:18" x14ac:dyDescent="0.15">
      <c r="A902" s="165"/>
      <c r="B902" s="93"/>
      <c r="C902" s="102"/>
      <c r="D902" s="62"/>
      <c r="E902" s="102"/>
      <c r="F902" s="102"/>
      <c r="G902" s="102"/>
      <c r="H902" s="175"/>
      <c r="I902" s="98"/>
      <c r="J902" s="98"/>
      <c r="K902" s="135"/>
      <c r="L902" s="61"/>
    </row>
    <row r="903" spans="1:18" x14ac:dyDescent="0.15">
      <c r="A903" s="165"/>
      <c r="B903" s="93"/>
      <c r="C903" s="102"/>
      <c r="D903" s="62"/>
      <c r="E903" s="102"/>
      <c r="F903" s="102"/>
      <c r="G903" s="102"/>
      <c r="H903" s="175"/>
      <c r="I903" s="98"/>
      <c r="J903" s="98"/>
      <c r="K903" s="135"/>
      <c r="L903" s="61"/>
    </row>
    <row r="904" spans="1:18" x14ac:dyDescent="0.15">
      <c r="A904" s="165"/>
      <c r="B904" s="93"/>
      <c r="C904" s="102"/>
      <c r="D904" s="62"/>
      <c r="E904" s="102"/>
      <c r="F904" s="102"/>
      <c r="G904" s="102"/>
      <c r="H904" s="175"/>
      <c r="I904" s="85"/>
      <c r="J904" s="104"/>
      <c r="K904" s="144"/>
      <c r="L904" s="61"/>
    </row>
    <row r="905" spans="1:18" x14ac:dyDescent="0.15">
      <c r="A905" s="165"/>
      <c r="B905" s="93"/>
      <c r="C905" s="102"/>
      <c r="D905" s="62"/>
      <c r="E905" s="102"/>
      <c r="F905" s="102"/>
      <c r="G905" s="102"/>
      <c r="H905" s="175"/>
      <c r="I905" s="85"/>
      <c r="J905" s="104"/>
      <c r="K905" s="144"/>
      <c r="L905" s="61"/>
    </row>
    <row r="906" spans="1:18" x14ac:dyDescent="0.15">
      <c r="A906" s="165"/>
      <c r="B906" s="93"/>
      <c r="C906" s="102"/>
      <c r="D906" s="62"/>
      <c r="E906" s="102"/>
      <c r="F906" s="102"/>
      <c r="G906" s="102"/>
      <c r="H906" s="175"/>
      <c r="I906" s="85"/>
      <c r="J906" s="104"/>
      <c r="K906" s="144"/>
      <c r="L906" s="61"/>
      <c r="Q906" s="14"/>
      <c r="R906" s="14"/>
    </row>
    <row r="907" spans="1:18" x14ac:dyDescent="0.15">
      <c r="A907" s="165"/>
      <c r="B907" s="93"/>
      <c r="C907" s="102"/>
      <c r="D907" s="62"/>
      <c r="E907" s="102"/>
      <c r="F907" s="102"/>
      <c r="G907" s="102"/>
      <c r="H907" s="175"/>
      <c r="I907" s="85"/>
      <c r="J907" s="104"/>
      <c r="K907" s="144"/>
      <c r="L907" s="61"/>
    </row>
    <row r="908" spans="1:18" x14ac:dyDescent="0.15">
      <c r="A908" s="165"/>
      <c r="B908" s="93"/>
      <c r="C908" s="102"/>
      <c r="D908" s="62"/>
      <c r="E908" s="102"/>
      <c r="F908" s="102"/>
      <c r="G908" s="102"/>
      <c r="H908" s="175"/>
      <c r="I908" s="85"/>
      <c r="J908" s="104"/>
      <c r="K908" s="144"/>
      <c r="L908" s="61"/>
    </row>
    <row r="909" spans="1:18" x14ac:dyDescent="0.15">
      <c r="A909" s="165"/>
      <c r="B909" s="93"/>
      <c r="C909" s="102"/>
      <c r="D909" s="62"/>
      <c r="E909" s="102"/>
      <c r="F909" s="102"/>
      <c r="G909" s="102"/>
      <c r="H909" s="175"/>
      <c r="I909" s="85"/>
      <c r="J909" s="104"/>
      <c r="K909" s="144"/>
      <c r="L909" s="61"/>
    </row>
    <row r="910" spans="1:18" x14ac:dyDescent="0.15">
      <c r="A910" s="165"/>
      <c r="B910" s="93"/>
      <c r="C910" s="102"/>
      <c r="D910" s="62"/>
      <c r="E910" s="102"/>
      <c r="F910" s="102"/>
      <c r="G910" s="102"/>
      <c r="H910" s="175"/>
      <c r="I910" s="85"/>
      <c r="J910" s="104"/>
      <c r="K910" s="144"/>
      <c r="L910" s="61"/>
    </row>
    <row r="911" spans="1:18" x14ac:dyDescent="0.15">
      <c r="A911" s="165"/>
      <c r="B911" s="93"/>
      <c r="C911" s="102"/>
      <c r="D911" s="62"/>
      <c r="E911" s="102"/>
      <c r="F911" s="102"/>
      <c r="G911" s="102"/>
      <c r="H911" s="175"/>
      <c r="I911" s="85"/>
      <c r="J911" s="104"/>
      <c r="K911" s="144"/>
      <c r="L911" s="61"/>
    </row>
    <row r="912" spans="1:18" x14ac:dyDescent="0.15">
      <c r="A912" s="165"/>
      <c r="B912" s="93"/>
      <c r="C912" s="102"/>
      <c r="D912" s="62"/>
      <c r="E912" s="102"/>
      <c r="F912" s="102"/>
      <c r="G912" s="102"/>
      <c r="H912" s="175"/>
      <c r="I912" s="85"/>
      <c r="J912" s="104"/>
      <c r="K912" s="144"/>
      <c r="L912" s="61"/>
    </row>
    <row r="913" spans="1:12" x14ac:dyDescent="0.15">
      <c r="A913" s="165"/>
      <c r="B913" s="93"/>
      <c r="C913" s="102"/>
      <c r="D913" s="62"/>
      <c r="E913" s="102"/>
      <c r="F913" s="102"/>
      <c r="G913" s="102"/>
      <c r="H913" s="175"/>
      <c r="I913" s="85"/>
      <c r="J913" s="104"/>
      <c r="K913" s="144"/>
      <c r="L913" s="61"/>
    </row>
    <row r="914" spans="1:12" x14ac:dyDescent="0.15">
      <c r="A914" s="165"/>
      <c r="B914" s="93"/>
      <c r="C914" s="102"/>
      <c r="D914" s="62"/>
      <c r="E914" s="102"/>
      <c r="F914" s="102"/>
      <c r="G914" s="102"/>
      <c r="H914" s="175"/>
      <c r="I914" s="85"/>
      <c r="J914" s="104"/>
      <c r="K914" s="144"/>
      <c r="L914" s="61"/>
    </row>
    <row r="915" spans="1:12" x14ac:dyDescent="0.15">
      <c r="A915" s="165"/>
      <c r="B915" s="93"/>
      <c r="C915" s="102"/>
      <c r="D915" s="62"/>
      <c r="E915" s="102"/>
      <c r="F915" s="102"/>
      <c r="G915" s="102"/>
      <c r="H915" s="175"/>
      <c r="I915" s="85"/>
      <c r="J915" s="104"/>
      <c r="K915" s="144"/>
      <c r="L915" s="61"/>
    </row>
    <row r="916" spans="1:12" x14ac:dyDescent="0.15">
      <c r="A916" s="165"/>
      <c r="B916" s="93"/>
      <c r="C916" s="102"/>
      <c r="D916" s="62"/>
      <c r="E916" s="102"/>
      <c r="F916" s="102"/>
      <c r="G916" s="102"/>
      <c r="H916" s="175"/>
      <c r="I916" s="85"/>
      <c r="J916" s="104"/>
      <c r="K916" s="144"/>
      <c r="L916" s="61"/>
    </row>
    <row r="917" spans="1:12" x14ac:dyDescent="0.15">
      <c r="A917" s="165"/>
      <c r="B917" s="93"/>
      <c r="C917" s="102"/>
      <c r="D917" s="62"/>
      <c r="E917" s="102"/>
      <c r="F917" s="102"/>
      <c r="G917" s="102"/>
      <c r="H917" s="175"/>
      <c r="I917" s="85"/>
      <c r="J917" s="104"/>
      <c r="K917" s="144"/>
      <c r="L917" s="61"/>
    </row>
    <row r="918" spans="1:12" x14ac:dyDescent="0.15">
      <c r="A918" s="165"/>
      <c r="B918" s="93"/>
      <c r="C918" s="102"/>
      <c r="D918" s="62"/>
      <c r="E918" s="102"/>
      <c r="F918" s="102"/>
      <c r="G918" s="102"/>
      <c r="H918" s="175"/>
      <c r="I918" s="85"/>
      <c r="J918" s="104"/>
      <c r="K918" s="144"/>
      <c r="L918" s="61"/>
    </row>
    <row r="919" spans="1:12" x14ac:dyDescent="0.15">
      <c r="A919" s="165"/>
      <c r="B919" s="93"/>
      <c r="C919" s="102"/>
      <c r="D919" s="62"/>
      <c r="E919" s="102"/>
      <c r="F919" s="102"/>
      <c r="G919" s="102"/>
      <c r="H919" s="175"/>
      <c r="I919" s="85"/>
      <c r="J919" s="104"/>
      <c r="K919" s="144"/>
      <c r="L919" s="61"/>
    </row>
    <row r="920" spans="1:12" x14ac:dyDescent="0.15">
      <c r="A920" s="165"/>
      <c r="B920" s="93"/>
      <c r="C920" s="102"/>
      <c r="D920" s="62"/>
      <c r="E920" s="102"/>
      <c r="F920" s="102"/>
      <c r="G920" s="102"/>
      <c r="H920" s="175"/>
      <c r="I920" s="85"/>
      <c r="J920" s="104"/>
      <c r="K920" s="144"/>
      <c r="L920" s="61"/>
    </row>
    <row r="921" spans="1:12" x14ac:dyDescent="0.15">
      <c r="A921" s="165"/>
      <c r="B921" s="93"/>
      <c r="C921" s="102"/>
      <c r="D921" s="62"/>
      <c r="E921" s="102"/>
      <c r="F921" s="102"/>
      <c r="G921" s="102"/>
      <c r="H921" s="175"/>
      <c r="I921" s="85"/>
      <c r="J921" s="101"/>
      <c r="K921" s="144"/>
      <c r="L921" s="61"/>
    </row>
    <row r="922" spans="1:12" x14ac:dyDescent="0.15">
      <c r="A922" s="165"/>
      <c r="B922" s="93"/>
      <c r="C922" s="102"/>
      <c r="D922" s="62"/>
      <c r="E922" s="102"/>
      <c r="F922" s="102"/>
      <c r="G922" s="102"/>
      <c r="H922" s="175"/>
      <c r="I922" s="85"/>
      <c r="J922" s="101"/>
      <c r="K922" s="144"/>
      <c r="L922" s="61"/>
    </row>
    <row r="923" spans="1:12" x14ac:dyDescent="0.15">
      <c r="A923" s="165"/>
      <c r="B923" s="93"/>
      <c r="C923" s="102"/>
      <c r="D923" s="62"/>
      <c r="E923" s="102"/>
      <c r="F923" s="102"/>
      <c r="G923" s="102"/>
      <c r="H923" s="175"/>
      <c r="I923" s="85"/>
      <c r="J923" s="104"/>
      <c r="K923" s="144"/>
      <c r="L923" s="61"/>
    </row>
    <row r="924" spans="1:12" x14ac:dyDescent="0.15">
      <c r="A924" s="165"/>
      <c r="B924" s="93"/>
      <c r="C924" s="102"/>
      <c r="D924" s="62"/>
      <c r="E924" s="102"/>
      <c r="F924" s="102"/>
      <c r="G924" s="102"/>
      <c r="H924" s="175"/>
      <c r="I924" s="98"/>
      <c r="J924" s="98"/>
      <c r="K924" s="135"/>
      <c r="L924" s="61"/>
    </row>
    <row r="925" spans="1:12" x14ac:dyDescent="0.15">
      <c r="A925" s="165"/>
      <c r="B925" s="93"/>
      <c r="C925" s="102"/>
      <c r="D925" s="62"/>
      <c r="E925" s="102"/>
      <c r="F925" s="102"/>
      <c r="G925" s="102"/>
      <c r="H925" s="175"/>
      <c r="I925" s="98"/>
      <c r="J925" s="103"/>
      <c r="K925" s="135"/>
      <c r="L925" s="61"/>
    </row>
    <row r="926" spans="1:12" x14ac:dyDescent="0.15">
      <c r="A926" s="165"/>
      <c r="B926" s="93"/>
      <c r="C926" s="102"/>
      <c r="D926" s="62"/>
      <c r="E926" s="102"/>
      <c r="F926" s="102"/>
      <c r="G926" s="102"/>
      <c r="H926" s="175"/>
      <c r="I926" s="98"/>
      <c r="J926" s="98"/>
      <c r="K926" s="135"/>
      <c r="L926" s="61"/>
    </row>
    <row r="927" spans="1:12" x14ac:dyDescent="0.15">
      <c r="A927" s="165"/>
      <c r="B927" s="93"/>
      <c r="C927" s="102"/>
      <c r="D927" s="62"/>
      <c r="E927" s="102"/>
      <c r="F927" s="102"/>
      <c r="G927" s="102"/>
      <c r="H927" s="175"/>
      <c r="I927" s="85"/>
      <c r="J927" s="104"/>
      <c r="K927" s="144"/>
      <c r="L927" s="61"/>
    </row>
    <row r="928" spans="1:12" x14ac:dyDescent="0.15">
      <c r="A928" s="165"/>
      <c r="B928" s="93"/>
      <c r="C928" s="102"/>
      <c r="D928" s="62"/>
      <c r="E928" s="102"/>
      <c r="F928" s="102"/>
      <c r="G928" s="102"/>
      <c r="H928" s="175"/>
      <c r="I928" s="85"/>
      <c r="J928" s="104"/>
      <c r="K928" s="144"/>
      <c r="L928" s="61"/>
    </row>
    <row r="929" spans="1:12" x14ac:dyDescent="0.15">
      <c r="A929" s="165"/>
      <c r="B929" s="93"/>
      <c r="C929" s="102"/>
      <c r="D929" s="62"/>
      <c r="E929" s="102"/>
      <c r="F929" s="102"/>
      <c r="G929" s="102"/>
      <c r="H929" s="175"/>
      <c r="I929" s="85"/>
      <c r="J929" s="104"/>
      <c r="K929" s="144"/>
      <c r="L929" s="61"/>
    </row>
    <row r="930" spans="1:12" x14ac:dyDescent="0.15">
      <c r="A930" s="165"/>
      <c r="B930" s="93"/>
      <c r="C930" s="102"/>
      <c r="D930" s="62"/>
      <c r="E930" s="102"/>
      <c r="F930" s="102"/>
      <c r="G930" s="102"/>
      <c r="H930" s="175"/>
      <c r="I930" s="85"/>
      <c r="J930" s="104"/>
      <c r="K930" s="144"/>
      <c r="L930" s="61"/>
    </row>
    <row r="931" spans="1:12" x14ac:dyDescent="0.15">
      <c r="A931" s="165"/>
      <c r="B931" s="93"/>
      <c r="C931" s="102"/>
      <c r="D931" s="62"/>
      <c r="E931" s="102"/>
      <c r="F931" s="102"/>
      <c r="G931" s="102"/>
      <c r="H931" s="175"/>
      <c r="I931" s="85"/>
      <c r="J931" s="104"/>
      <c r="K931" s="144"/>
      <c r="L931" s="61"/>
    </row>
    <row r="932" spans="1:12" x14ac:dyDescent="0.15">
      <c r="A932" s="165"/>
      <c r="B932" s="93"/>
      <c r="C932" s="100"/>
      <c r="D932" s="61"/>
      <c r="E932" s="102"/>
      <c r="F932" s="100"/>
      <c r="G932" s="100"/>
      <c r="H932" s="177"/>
      <c r="I932" s="85"/>
      <c r="J932" s="104"/>
      <c r="K932" s="144"/>
      <c r="L932" s="61"/>
    </row>
    <row r="933" spans="1:12" x14ac:dyDescent="0.15">
      <c r="A933" s="165"/>
      <c r="B933" s="93"/>
      <c r="C933" s="102"/>
      <c r="D933" s="62"/>
      <c r="E933" s="102"/>
      <c r="F933" s="102"/>
      <c r="G933" s="102"/>
      <c r="H933" s="175"/>
      <c r="I933" s="98"/>
      <c r="J933" s="98"/>
      <c r="K933" s="135"/>
      <c r="L933" s="61"/>
    </row>
    <row r="934" spans="1:12" x14ac:dyDescent="0.15">
      <c r="A934" s="165"/>
      <c r="B934" s="93"/>
      <c r="C934" s="102"/>
      <c r="D934" s="62"/>
      <c r="E934" s="102"/>
      <c r="F934" s="102"/>
      <c r="G934" s="102"/>
      <c r="H934" s="175"/>
      <c r="I934" s="98"/>
      <c r="J934" s="98"/>
      <c r="K934" s="135"/>
      <c r="L934" s="61"/>
    </row>
    <row r="935" spans="1:12" x14ac:dyDescent="0.15">
      <c r="A935" s="165"/>
      <c r="B935" s="93"/>
      <c r="C935" s="102"/>
      <c r="D935" s="62"/>
      <c r="E935" s="102"/>
      <c r="F935" s="102"/>
      <c r="G935" s="102"/>
      <c r="H935" s="175"/>
      <c r="I935" s="98"/>
      <c r="J935" s="98"/>
      <c r="K935" s="135"/>
      <c r="L935" s="61"/>
    </row>
    <row r="936" spans="1:12" x14ac:dyDescent="0.15">
      <c r="A936" s="165"/>
      <c r="B936" s="93"/>
      <c r="C936" s="102"/>
      <c r="D936" s="62"/>
      <c r="E936" s="102"/>
      <c r="F936" s="102"/>
      <c r="G936" s="102"/>
      <c r="H936" s="175"/>
      <c r="I936" s="98"/>
      <c r="J936" s="98"/>
      <c r="K936" s="135"/>
      <c r="L936" s="61"/>
    </row>
    <row r="937" spans="1:12" x14ac:dyDescent="0.15">
      <c r="A937" s="165"/>
      <c r="B937" s="93"/>
      <c r="C937" s="102"/>
      <c r="D937" s="62"/>
      <c r="E937" s="102"/>
      <c r="F937" s="102"/>
      <c r="G937" s="102"/>
      <c r="H937" s="175"/>
      <c r="I937" s="98"/>
      <c r="J937" s="98"/>
      <c r="K937" s="135"/>
      <c r="L937" s="61"/>
    </row>
    <row r="938" spans="1:12" x14ac:dyDescent="0.15">
      <c r="A938" s="165"/>
      <c r="B938" s="93"/>
      <c r="C938" s="102"/>
      <c r="D938" s="62"/>
      <c r="E938" s="102"/>
      <c r="F938" s="102"/>
      <c r="G938" s="102"/>
      <c r="H938" s="175"/>
      <c r="I938" s="85"/>
      <c r="J938" s="104"/>
      <c r="K938" s="144"/>
      <c r="L938" s="61"/>
    </row>
    <row r="939" spans="1:12" x14ac:dyDescent="0.15">
      <c r="A939" s="165"/>
      <c r="B939" s="93"/>
      <c r="C939" s="102"/>
      <c r="D939" s="62"/>
      <c r="E939" s="102"/>
      <c r="F939" s="102"/>
      <c r="G939" s="102"/>
      <c r="H939" s="175"/>
      <c r="I939" s="85"/>
      <c r="J939" s="104"/>
      <c r="K939" s="144"/>
      <c r="L939" s="61"/>
    </row>
    <row r="940" spans="1:12" x14ac:dyDescent="0.15">
      <c r="A940" s="165"/>
      <c r="B940" s="93"/>
      <c r="C940" s="102"/>
      <c r="D940" s="62"/>
      <c r="E940" s="102"/>
      <c r="F940" s="102"/>
      <c r="G940" s="102"/>
      <c r="H940" s="175"/>
      <c r="I940" s="85"/>
      <c r="J940" s="104"/>
      <c r="K940" s="144"/>
      <c r="L940" s="61"/>
    </row>
    <row r="941" spans="1:12" x14ac:dyDescent="0.15">
      <c r="A941" s="165"/>
      <c r="B941" s="93"/>
      <c r="C941" s="102"/>
      <c r="D941" s="62"/>
      <c r="E941" s="102"/>
      <c r="F941" s="102"/>
      <c r="G941" s="102"/>
      <c r="H941" s="175"/>
      <c r="I941" s="85"/>
      <c r="J941" s="104"/>
      <c r="K941" s="144"/>
      <c r="L941" s="61"/>
    </row>
    <row r="942" spans="1:12" x14ac:dyDescent="0.15">
      <c r="A942" s="165"/>
      <c r="B942" s="93"/>
      <c r="C942" s="102"/>
      <c r="D942" s="62"/>
      <c r="E942" s="102"/>
      <c r="F942" s="102"/>
      <c r="G942" s="102"/>
      <c r="H942" s="175"/>
      <c r="I942" s="85"/>
      <c r="J942" s="104"/>
      <c r="K942" s="144"/>
      <c r="L942" s="61"/>
    </row>
    <row r="943" spans="1:12" x14ac:dyDescent="0.15">
      <c r="A943" s="165"/>
      <c r="B943" s="93"/>
      <c r="C943" s="102"/>
      <c r="D943" s="62"/>
      <c r="E943" s="102"/>
      <c r="F943" s="102"/>
      <c r="G943" s="102"/>
      <c r="H943" s="175"/>
      <c r="I943" s="85"/>
      <c r="J943" s="104"/>
      <c r="K943" s="144"/>
      <c r="L943" s="61"/>
    </row>
    <row r="944" spans="1:12" x14ac:dyDescent="0.15">
      <c r="A944" s="165"/>
      <c r="B944" s="93"/>
      <c r="C944" s="102"/>
      <c r="D944" s="62"/>
      <c r="E944" s="102"/>
      <c r="F944" s="102"/>
      <c r="G944" s="102"/>
      <c r="H944" s="175"/>
      <c r="I944" s="85"/>
      <c r="J944" s="104"/>
      <c r="K944" s="144"/>
      <c r="L944" s="61"/>
    </row>
    <row r="945" spans="1:12" x14ac:dyDescent="0.15">
      <c r="A945" s="165"/>
      <c r="B945" s="93"/>
      <c r="C945" s="102"/>
      <c r="D945" s="62"/>
      <c r="E945" s="102"/>
      <c r="F945" s="102"/>
      <c r="G945" s="102"/>
      <c r="H945" s="175"/>
      <c r="I945" s="98"/>
      <c r="J945" s="98"/>
      <c r="K945" s="135"/>
      <c r="L945" s="61"/>
    </row>
    <row r="946" spans="1:12" x14ac:dyDescent="0.15">
      <c r="A946" s="165"/>
      <c r="B946" s="93"/>
      <c r="C946" s="102"/>
      <c r="D946" s="62"/>
      <c r="E946" s="100"/>
      <c r="F946" s="102"/>
      <c r="G946" s="102"/>
      <c r="H946" s="175"/>
      <c r="I946" s="98"/>
      <c r="J946" s="98"/>
      <c r="K946" s="135"/>
      <c r="L946" s="61"/>
    </row>
    <row r="947" spans="1:12" x14ac:dyDescent="0.15">
      <c r="A947" s="165"/>
      <c r="B947" s="93"/>
      <c r="C947" s="102"/>
      <c r="D947" s="62"/>
      <c r="E947" s="102"/>
      <c r="F947" s="102"/>
      <c r="G947" s="102"/>
      <c r="H947" s="175"/>
      <c r="I947" s="98"/>
      <c r="J947" s="98"/>
      <c r="K947" s="135"/>
      <c r="L947" s="61"/>
    </row>
    <row r="948" spans="1:12" x14ac:dyDescent="0.15">
      <c r="A948" s="165"/>
      <c r="B948" s="93"/>
      <c r="C948" s="102"/>
      <c r="D948" s="62"/>
      <c r="E948" s="102"/>
      <c r="F948" s="102"/>
      <c r="G948" s="102"/>
      <c r="H948" s="175"/>
      <c r="I948" s="98"/>
      <c r="J948" s="98"/>
      <c r="K948" s="135"/>
      <c r="L948" s="61"/>
    </row>
    <row r="949" spans="1:12" x14ac:dyDescent="0.15">
      <c r="A949" s="165"/>
      <c r="B949" s="93"/>
      <c r="C949" s="102"/>
      <c r="D949" s="62"/>
      <c r="E949" s="100"/>
      <c r="F949" s="102"/>
      <c r="G949" s="102"/>
      <c r="H949" s="175"/>
      <c r="I949" s="85"/>
      <c r="J949" s="104"/>
      <c r="K949" s="144"/>
      <c r="L949" s="61"/>
    </row>
    <row r="950" spans="1:12" x14ac:dyDescent="0.15">
      <c r="A950" s="165"/>
      <c r="B950" s="93"/>
      <c r="C950" s="102"/>
      <c r="D950" s="62"/>
      <c r="E950" s="102"/>
      <c r="F950" s="102"/>
      <c r="G950" s="102"/>
      <c r="H950" s="175"/>
      <c r="I950" s="85"/>
      <c r="J950" s="104"/>
      <c r="K950" s="144"/>
      <c r="L950" s="61"/>
    </row>
    <row r="951" spans="1:12" x14ac:dyDescent="0.15">
      <c r="A951" s="165"/>
      <c r="B951" s="93"/>
      <c r="C951" s="102"/>
      <c r="D951" s="62"/>
      <c r="E951" s="102"/>
      <c r="F951" s="102"/>
      <c r="G951" s="102"/>
      <c r="H951" s="175"/>
      <c r="I951" s="85"/>
      <c r="J951" s="104"/>
      <c r="K951" s="144"/>
      <c r="L951" s="61"/>
    </row>
    <row r="952" spans="1:12" x14ac:dyDescent="0.15">
      <c r="A952" s="165"/>
      <c r="B952" s="93"/>
      <c r="C952" s="102"/>
      <c r="D952" s="62"/>
      <c r="E952" s="102"/>
      <c r="F952" s="102"/>
      <c r="G952" s="102"/>
      <c r="H952" s="175"/>
      <c r="I952" s="98"/>
      <c r="J952" s="98"/>
      <c r="K952" s="135"/>
      <c r="L952" s="61"/>
    </row>
    <row r="953" spans="1:12" x14ac:dyDescent="0.15">
      <c r="A953" s="165"/>
      <c r="B953" s="93"/>
      <c r="C953" s="102"/>
      <c r="D953" s="62"/>
      <c r="E953" s="102"/>
      <c r="F953" s="102"/>
      <c r="G953" s="102"/>
      <c r="H953" s="175"/>
      <c r="I953" s="98"/>
      <c r="J953" s="98"/>
      <c r="K953" s="135"/>
      <c r="L953" s="61"/>
    </row>
    <row r="954" spans="1:12" x14ac:dyDescent="0.15">
      <c r="A954" s="165"/>
      <c r="B954" s="93"/>
      <c r="C954" s="102"/>
      <c r="D954" s="62"/>
      <c r="E954" s="100"/>
      <c r="F954" s="102"/>
      <c r="G954" s="102"/>
      <c r="H954" s="175"/>
      <c r="I954" s="85"/>
      <c r="J954" s="104"/>
      <c r="K954" s="144"/>
      <c r="L954" s="61"/>
    </row>
    <row r="955" spans="1:12" x14ac:dyDescent="0.15">
      <c r="A955" s="165"/>
      <c r="B955" s="93"/>
      <c r="C955" s="102"/>
      <c r="D955" s="62"/>
      <c r="E955" s="102"/>
      <c r="F955" s="102"/>
      <c r="G955" s="102"/>
      <c r="H955" s="175"/>
      <c r="I955" s="85"/>
      <c r="J955" s="104"/>
      <c r="K955" s="144"/>
      <c r="L955" s="61"/>
    </row>
    <row r="956" spans="1:12" x14ac:dyDescent="0.15">
      <c r="A956" s="165"/>
      <c r="B956" s="93"/>
      <c r="C956" s="102"/>
      <c r="D956" s="62"/>
      <c r="E956" s="102"/>
      <c r="F956" s="102"/>
      <c r="G956" s="102"/>
      <c r="H956" s="175"/>
      <c r="I956" s="85"/>
      <c r="J956" s="104"/>
      <c r="K956" s="144"/>
      <c r="L956" s="61"/>
    </row>
    <row r="957" spans="1:12" x14ac:dyDescent="0.15">
      <c r="A957" s="165"/>
      <c r="B957" s="93"/>
      <c r="C957" s="100"/>
      <c r="D957" s="61"/>
      <c r="E957" s="102"/>
      <c r="F957" s="100"/>
      <c r="G957" s="100"/>
      <c r="H957" s="177"/>
      <c r="I957" s="85"/>
      <c r="J957" s="101"/>
      <c r="K957" s="144"/>
      <c r="L957" s="61"/>
    </row>
    <row r="958" spans="1:12" x14ac:dyDescent="0.15">
      <c r="A958" s="165"/>
      <c r="B958" s="93"/>
      <c r="C958" s="102"/>
      <c r="D958" s="62"/>
      <c r="E958" s="102"/>
      <c r="F958" s="102"/>
      <c r="G958" s="102"/>
      <c r="H958" s="175"/>
      <c r="I958" s="85"/>
      <c r="J958" s="104"/>
      <c r="K958" s="144"/>
      <c r="L958" s="61"/>
    </row>
    <row r="959" spans="1:12" x14ac:dyDescent="0.15">
      <c r="A959" s="165"/>
      <c r="B959" s="93"/>
      <c r="C959" s="102"/>
      <c r="D959" s="62"/>
      <c r="E959" s="102"/>
      <c r="F959" s="102"/>
      <c r="G959" s="102"/>
      <c r="H959" s="175"/>
      <c r="I959" s="85"/>
      <c r="J959" s="104"/>
      <c r="K959" s="144"/>
      <c r="L959" s="61"/>
    </row>
    <row r="960" spans="1:12" x14ac:dyDescent="0.15">
      <c r="A960" s="165"/>
      <c r="B960" s="93"/>
      <c r="C960" s="102"/>
      <c r="D960" s="62"/>
      <c r="E960" s="102"/>
      <c r="F960" s="102"/>
      <c r="G960" s="102"/>
      <c r="H960" s="175"/>
      <c r="I960" s="85"/>
      <c r="J960" s="104"/>
      <c r="K960" s="144"/>
      <c r="L960" s="62"/>
    </row>
    <row r="961" spans="1:18" x14ac:dyDescent="0.15">
      <c r="A961" s="165"/>
      <c r="B961" s="93"/>
      <c r="C961" s="102"/>
      <c r="D961" s="62"/>
      <c r="E961" s="102"/>
      <c r="F961" s="102"/>
      <c r="G961" s="102"/>
      <c r="H961" s="175"/>
      <c r="I961" s="98"/>
      <c r="J961" s="98"/>
      <c r="K961" s="135"/>
      <c r="L961" s="62"/>
    </row>
    <row r="962" spans="1:18" x14ac:dyDescent="0.15">
      <c r="A962" s="165"/>
      <c r="B962" s="93"/>
      <c r="C962" s="102"/>
      <c r="D962" s="62"/>
      <c r="E962" s="102"/>
      <c r="F962" s="102"/>
      <c r="G962" s="102"/>
      <c r="H962" s="175"/>
      <c r="I962" s="98"/>
      <c r="J962" s="98"/>
      <c r="K962" s="135"/>
      <c r="L962" s="62"/>
    </row>
    <row r="963" spans="1:18" x14ac:dyDescent="0.15">
      <c r="A963" s="165"/>
      <c r="B963" s="93"/>
      <c r="C963" s="102"/>
      <c r="D963" s="62"/>
      <c r="E963" s="102"/>
      <c r="F963" s="102"/>
      <c r="G963" s="102"/>
      <c r="H963" s="175"/>
      <c r="I963" s="98"/>
      <c r="J963" s="98"/>
      <c r="K963" s="135"/>
      <c r="L963" s="62"/>
    </row>
    <row r="964" spans="1:18" x14ac:dyDescent="0.15">
      <c r="A964" s="165"/>
      <c r="B964" s="93"/>
      <c r="C964" s="102"/>
      <c r="D964" s="62"/>
      <c r="E964" s="102"/>
      <c r="F964" s="102"/>
      <c r="G964" s="102"/>
      <c r="H964" s="175"/>
      <c r="I964" s="98"/>
      <c r="J964" s="98"/>
      <c r="K964" s="135"/>
      <c r="L964" s="62"/>
    </row>
    <row r="965" spans="1:18" x14ac:dyDescent="0.15">
      <c r="A965" s="165"/>
      <c r="B965" s="93"/>
      <c r="C965" s="102"/>
      <c r="D965" s="62"/>
      <c r="E965" s="102"/>
      <c r="F965" s="102"/>
      <c r="G965" s="102"/>
      <c r="H965" s="175"/>
      <c r="I965" s="85"/>
      <c r="J965" s="104"/>
      <c r="K965" s="144"/>
      <c r="L965" s="62"/>
    </row>
    <row r="966" spans="1:18" x14ac:dyDescent="0.15">
      <c r="A966" s="165"/>
      <c r="B966" s="93"/>
      <c r="C966" s="102"/>
      <c r="D966" s="62"/>
      <c r="E966" s="102"/>
      <c r="F966" s="102"/>
      <c r="G966" s="102"/>
      <c r="H966" s="175"/>
      <c r="I966" s="85"/>
      <c r="J966" s="104"/>
      <c r="K966" s="144"/>
      <c r="L966" s="62"/>
    </row>
    <row r="967" spans="1:18" x14ac:dyDescent="0.15">
      <c r="A967" s="165"/>
      <c r="B967" s="93"/>
      <c r="C967" s="102"/>
      <c r="D967" s="62"/>
      <c r="E967" s="102"/>
      <c r="F967" s="102"/>
      <c r="G967" s="102"/>
      <c r="H967" s="175"/>
      <c r="I967" s="85"/>
      <c r="J967" s="104"/>
      <c r="K967" s="144"/>
      <c r="L967" s="62"/>
    </row>
    <row r="968" spans="1:18" x14ac:dyDescent="0.15">
      <c r="A968" s="165"/>
      <c r="B968" s="93"/>
      <c r="C968" s="102"/>
      <c r="D968" s="62"/>
      <c r="E968" s="102"/>
      <c r="F968" s="102"/>
      <c r="G968" s="102"/>
      <c r="H968" s="175"/>
      <c r="I968" s="85"/>
      <c r="J968" s="104"/>
      <c r="K968" s="144"/>
      <c r="L968" s="62"/>
    </row>
    <row r="969" spans="1:18" x14ac:dyDescent="0.15">
      <c r="A969" s="165"/>
      <c r="B969" s="93"/>
      <c r="C969" s="102"/>
      <c r="D969" s="62"/>
      <c r="E969" s="102"/>
      <c r="F969" s="102"/>
      <c r="G969" s="102"/>
      <c r="H969" s="175"/>
      <c r="I969" s="85"/>
      <c r="J969" s="104"/>
      <c r="K969" s="144"/>
      <c r="L969" s="62"/>
      <c r="Q969" s="14"/>
      <c r="R969" s="14"/>
    </row>
    <row r="970" spans="1:18" x14ac:dyDescent="0.15">
      <c r="A970" s="165"/>
      <c r="B970" s="93"/>
      <c r="C970" s="102"/>
      <c r="D970" s="62"/>
      <c r="E970" s="102"/>
      <c r="F970" s="102"/>
      <c r="G970" s="102"/>
      <c r="H970" s="175"/>
      <c r="I970" s="85"/>
      <c r="J970" s="104"/>
      <c r="K970" s="144"/>
      <c r="L970" s="62"/>
    </row>
    <row r="971" spans="1:18" x14ac:dyDescent="0.15">
      <c r="A971" s="165"/>
      <c r="B971" s="93"/>
      <c r="C971" s="102"/>
      <c r="D971" s="62"/>
      <c r="E971" s="102"/>
      <c r="F971" s="102"/>
      <c r="G971" s="102"/>
      <c r="H971" s="175"/>
      <c r="I971" s="85"/>
      <c r="J971" s="104"/>
      <c r="K971" s="144"/>
      <c r="L971" s="62"/>
    </row>
    <row r="972" spans="1:18" x14ac:dyDescent="0.15">
      <c r="A972" s="165"/>
      <c r="B972" s="93"/>
      <c r="C972" s="102"/>
      <c r="D972" s="62"/>
      <c r="E972" s="102"/>
      <c r="F972" s="102"/>
      <c r="G972" s="102"/>
      <c r="H972" s="175"/>
      <c r="I972" s="85"/>
      <c r="J972" s="104"/>
      <c r="K972" s="144"/>
      <c r="L972" s="62"/>
    </row>
    <row r="973" spans="1:18" x14ac:dyDescent="0.15">
      <c r="A973" s="165"/>
      <c r="B973" s="93"/>
      <c r="C973" s="100"/>
      <c r="D973" s="61"/>
      <c r="E973" s="100"/>
      <c r="F973" s="100"/>
      <c r="G973" s="100"/>
      <c r="H973" s="177"/>
      <c r="I973" s="85"/>
      <c r="J973" s="101"/>
      <c r="K973" s="144"/>
      <c r="L973" s="62"/>
    </row>
    <row r="974" spans="1:18" x14ac:dyDescent="0.15">
      <c r="A974" s="165"/>
      <c r="B974" s="93"/>
      <c r="C974" s="102"/>
      <c r="D974" s="62"/>
      <c r="E974" s="102"/>
      <c r="F974" s="102"/>
      <c r="G974" s="102"/>
      <c r="H974" s="175"/>
      <c r="I974" s="98"/>
      <c r="J974" s="98"/>
      <c r="K974" s="135"/>
      <c r="L974" s="62"/>
    </row>
    <row r="975" spans="1:18" x14ac:dyDescent="0.15">
      <c r="A975" s="165"/>
      <c r="B975" s="93"/>
      <c r="C975" s="102"/>
      <c r="D975" s="62"/>
      <c r="E975" s="102"/>
      <c r="F975" s="102"/>
      <c r="G975" s="102"/>
      <c r="H975" s="175"/>
      <c r="I975" s="98"/>
      <c r="J975" s="98"/>
      <c r="K975" s="135"/>
      <c r="L975" s="62"/>
    </row>
    <row r="976" spans="1:18" x14ac:dyDescent="0.15">
      <c r="A976" s="165"/>
      <c r="B976" s="93"/>
      <c r="C976" s="102"/>
      <c r="D976" s="62"/>
      <c r="E976" s="102"/>
      <c r="F976" s="102"/>
      <c r="G976" s="102"/>
      <c r="H976" s="175"/>
      <c r="I976" s="98"/>
      <c r="J976" s="98"/>
      <c r="K976" s="135"/>
      <c r="L976" s="62"/>
    </row>
    <row r="977" spans="1:12" x14ac:dyDescent="0.15">
      <c r="A977" s="165"/>
      <c r="B977" s="93"/>
      <c r="C977" s="102"/>
      <c r="D977" s="62"/>
      <c r="E977" s="102"/>
      <c r="F977" s="102"/>
      <c r="G977" s="102"/>
      <c r="H977" s="175"/>
      <c r="I977" s="98"/>
      <c r="J977" s="98"/>
      <c r="K977" s="135"/>
      <c r="L977" s="62"/>
    </row>
    <row r="978" spans="1:12" x14ac:dyDescent="0.15">
      <c r="A978" s="168"/>
      <c r="B978" s="93"/>
      <c r="C978" s="102"/>
      <c r="D978" s="62"/>
      <c r="E978" s="102"/>
      <c r="F978" s="102"/>
      <c r="G978" s="102"/>
      <c r="H978" s="175"/>
      <c r="I978" s="98"/>
      <c r="J978" s="98"/>
      <c r="K978" s="135"/>
      <c r="L978" s="62"/>
    </row>
    <row r="979" spans="1:12" x14ac:dyDescent="0.15">
      <c r="A979" s="165"/>
      <c r="B979" s="93"/>
      <c r="C979" s="102"/>
      <c r="D979" s="62"/>
      <c r="E979" s="102"/>
      <c r="F979" s="102"/>
      <c r="G979" s="102"/>
      <c r="H979" s="175"/>
      <c r="I979" s="98"/>
      <c r="J979" s="98"/>
      <c r="K979" s="135"/>
      <c r="L979" s="62"/>
    </row>
    <row r="980" spans="1:12" x14ac:dyDescent="0.15">
      <c r="A980" s="168"/>
      <c r="B980" s="93"/>
      <c r="C980" s="102"/>
      <c r="D980" s="62"/>
      <c r="E980" s="102"/>
      <c r="F980" s="102"/>
      <c r="G980" s="102"/>
      <c r="H980" s="175"/>
      <c r="I980" s="85"/>
      <c r="J980" s="104"/>
      <c r="K980" s="144"/>
      <c r="L980" s="62"/>
    </row>
    <row r="981" spans="1:12" x14ac:dyDescent="0.15">
      <c r="A981" s="168"/>
      <c r="B981" s="93"/>
      <c r="C981" s="102"/>
      <c r="D981" s="62"/>
      <c r="E981" s="102"/>
      <c r="F981" s="102"/>
      <c r="G981" s="102"/>
      <c r="H981" s="175"/>
      <c r="I981" s="85"/>
      <c r="J981" s="104"/>
      <c r="K981" s="144"/>
      <c r="L981" s="62"/>
    </row>
    <row r="982" spans="1:12" x14ac:dyDescent="0.15">
      <c r="A982" s="165"/>
      <c r="B982" s="93"/>
      <c r="C982" s="102"/>
      <c r="D982" s="62"/>
      <c r="E982" s="102"/>
      <c r="F982" s="102"/>
      <c r="G982" s="102"/>
      <c r="H982" s="175"/>
      <c r="I982" s="85"/>
      <c r="J982" s="104"/>
      <c r="K982" s="144"/>
      <c r="L982" s="62"/>
    </row>
    <row r="983" spans="1:12" x14ac:dyDescent="0.15">
      <c r="A983" s="165"/>
      <c r="B983" s="93"/>
      <c r="C983" s="102"/>
      <c r="D983" s="62"/>
      <c r="E983" s="102"/>
      <c r="F983" s="102"/>
      <c r="G983" s="102"/>
      <c r="H983" s="175"/>
      <c r="I983" s="98"/>
      <c r="J983" s="98"/>
      <c r="K983" s="135"/>
      <c r="L983" s="62"/>
    </row>
    <row r="984" spans="1:12" x14ac:dyDescent="0.15">
      <c r="A984" s="168"/>
      <c r="B984" s="93"/>
      <c r="C984" s="102"/>
      <c r="D984" s="62"/>
      <c r="E984" s="102"/>
      <c r="F984" s="102"/>
      <c r="G984" s="102"/>
      <c r="H984" s="175"/>
      <c r="I984" s="85"/>
      <c r="J984" s="104"/>
      <c r="K984" s="144"/>
      <c r="L984" s="62"/>
    </row>
    <row r="985" spans="1:12" x14ac:dyDescent="0.15">
      <c r="A985" s="165"/>
      <c r="B985" s="93"/>
      <c r="C985" s="102"/>
      <c r="D985" s="62"/>
      <c r="E985" s="102"/>
      <c r="F985" s="102"/>
      <c r="G985" s="102"/>
      <c r="H985" s="175"/>
      <c r="I985" s="85"/>
      <c r="J985" s="104"/>
      <c r="K985" s="144"/>
      <c r="L985" s="62"/>
    </row>
    <row r="986" spans="1:12" x14ac:dyDescent="0.15">
      <c r="A986" s="165"/>
      <c r="B986" s="93"/>
      <c r="C986" s="102"/>
      <c r="D986" s="62"/>
      <c r="E986" s="102"/>
      <c r="F986" s="102"/>
      <c r="G986" s="102"/>
      <c r="H986" s="175"/>
      <c r="I986" s="85"/>
      <c r="J986" s="104"/>
      <c r="K986" s="144"/>
      <c r="L986" s="62"/>
    </row>
    <row r="987" spans="1:12" x14ac:dyDescent="0.15">
      <c r="A987" s="165"/>
      <c r="B987" s="82"/>
      <c r="C987" s="107"/>
      <c r="D987" s="62"/>
      <c r="E987" s="107"/>
      <c r="F987" s="107"/>
      <c r="G987" s="107"/>
      <c r="H987" s="179"/>
      <c r="I987" s="85"/>
      <c r="J987" s="104"/>
      <c r="K987" s="144"/>
      <c r="L987" s="62"/>
    </row>
    <row r="988" spans="1:12" x14ac:dyDescent="0.15">
      <c r="A988" s="165"/>
      <c r="B988" s="82"/>
      <c r="C988" s="107"/>
      <c r="D988" s="62"/>
      <c r="E988" s="107"/>
      <c r="F988" s="107"/>
      <c r="G988" s="107"/>
      <c r="H988" s="179"/>
      <c r="I988" s="85"/>
      <c r="J988" s="104"/>
      <c r="K988" s="144"/>
      <c r="L988" s="62"/>
    </row>
    <row r="989" spans="1:12" x14ac:dyDescent="0.15">
      <c r="A989" s="165"/>
      <c r="B989" s="93"/>
      <c r="C989" s="102"/>
      <c r="D989" s="62"/>
      <c r="E989" s="102"/>
      <c r="F989" s="102"/>
      <c r="G989" s="102"/>
      <c r="H989" s="175"/>
      <c r="I989" s="85"/>
      <c r="J989" s="104"/>
      <c r="K989" s="144"/>
      <c r="L989" s="62"/>
    </row>
    <row r="990" spans="1:12" x14ac:dyDescent="0.15">
      <c r="A990" s="165"/>
      <c r="B990" s="93"/>
      <c r="C990" s="102"/>
      <c r="D990" s="62"/>
      <c r="E990" s="102"/>
      <c r="F990" s="102"/>
      <c r="G990" s="102"/>
      <c r="H990" s="175"/>
      <c r="I990" s="85"/>
      <c r="J990" s="104"/>
      <c r="K990" s="144"/>
      <c r="L990" s="62"/>
    </row>
    <row r="991" spans="1:12" x14ac:dyDescent="0.15">
      <c r="A991" s="165"/>
      <c r="B991" s="93"/>
      <c r="C991" s="102"/>
      <c r="D991" s="62"/>
      <c r="E991" s="102"/>
      <c r="F991" s="102"/>
      <c r="G991" s="102"/>
      <c r="H991" s="175"/>
      <c r="I991" s="85"/>
      <c r="J991" s="104"/>
      <c r="K991" s="144"/>
      <c r="L991" s="62"/>
    </row>
    <row r="992" spans="1:12" x14ac:dyDescent="0.15">
      <c r="A992" s="165"/>
      <c r="B992" s="93"/>
      <c r="C992" s="102"/>
      <c r="D992" s="62"/>
      <c r="E992" s="102"/>
      <c r="F992" s="102"/>
      <c r="G992" s="102"/>
      <c r="H992" s="175"/>
      <c r="I992" s="85"/>
      <c r="J992" s="104"/>
      <c r="K992" s="144"/>
      <c r="L992" s="62"/>
    </row>
    <row r="993" spans="1:15" x14ac:dyDescent="0.15">
      <c r="A993" s="165"/>
      <c r="B993" s="93"/>
      <c r="C993" s="102"/>
      <c r="D993" s="62"/>
      <c r="E993" s="102"/>
      <c r="F993" s="102"/>
      <c r="G993" s="102"/>
      <c r="H993" s="175"/>
      <c r="I993" s="85"/>
      <c r="J993" s="104"/>
      <c r="K993" s="144"/>
      <c r="L993" s="62"/>
    </row>
    <row r="994" spans="1:15" x14ac:dyDescent="0.15">
      <c r="A994" s="165"/>
      <c r="B994" s="93"/>
      <c r="C994" s="102"/>
      <c r="D994" s="62"/>
      <c r="E994" s="102"/>
      <c r="F994" s="102"/>
      <c r="G994" s="102"/>
      <c r="H994" s="175"/>
      <c r="I994" s="85"/>
      <c r="J994" s="104"/>
      <c r="K994" s="144"/>
      <c r="L994" s="62"/>
    </row>
    <row r="995" spans="1:15" x14ac:dyDescent="0.15">
      <c r="A995" s="165"/>
      <c r="B995" s="93"/>
      <c r="C995" s="102"/>
      <c r="D995" s="62"/>
      <c r="E995" s="102"/>
      <c r="F995" s="102"/>
      <c r="G995" s="102"/>
      <c r="H995" s="175"/>
      <c r="I995" s="85"/>
      <c r="J995" s="104"/>
      <c r="K995" s="144"/>
      <c r="L995" s="62"/>
    </row>
    <row r="996" spans="1:15" x14ac:dyDescent="0.15">
      <c r="A996" s="165"/>
      <c r="B996" s="93"/>
      <c r="C996" s="100"/>
      <c r="D996" s="61"/>
      <c r="E996" s="100"/>
      <c r="F996" s="100"/>
      <c r="G996" s="100"/>
      <c r="H996" s="177"/>
      <c r="I996" s="103"/>
      <c r="J996" s="61"/>
      <c r="K996" s="145"/>
      <c r="L996" s="61"/>
      <c r="M996" s="35"/>
    </row>
    <row r="997" spans="1:15" x14ac:dyDescent="0.15">
      <c r="A997" s="165"/>
      <c r="B997" s="93"/>
      <c r="C997" s="102"/>
      <c r="D997" s="62"/>
      <c r="E997" s="102"/>
      <c r="F997" s="102"/>
      <c r="G997" s="102"/>
      <c r="H997" s="175"/>
      <c r="I997" s="85"/>
      <c r="J997" s="104"/>
      <c r="K997" s="143"/>
      <c r="L997" s="61"/>
      <c r="M997" s="50"/>
    </row>
    <row r="998" spans="1:15" x14ac:dyDescent="0.15">
      <c r="A998" s="165"/>
      <c r="B998" s="93"/>
      <c r="C998" s="102"/>
      <c r="D998" s="62"/>
      <c r="E998" s="102"/>
      <c r="F998" s="102"/>
      <c r="G998" s="102"/>
      <c r="H998" s="175"/>
      <c r="I998" s="85"/>
      <c r="J998" s="104"/>
      <c r="K998" s="143"/>
      <c r="L998" s="61"/>
      <c r="M998" s="50"/>
      <c r="O998" s="51"/>
    </row>
    <row r="999" spans="1:15" x14ac:dyDescent="0.15">
      <c r="A999" s="165"/>
      <c r="B999" s="93"/>
      <c r="C999" s="102"/>
      <c r="D999" s="62"/>
      <c r="E999" s="102"/>
      <c r="F999" s="102"/>
      <c r="G999" s="102"/>
      <c r="H999" s="175"/>
      <c r="I999" s="85"/>
      <c r="J999" s="104"/>
      <c r="K999" s="143"/>
      <c r="L999" s="61"/>
      <c r="M999" s="35"/>
    </row>
    <row r="1000" spans="1:15" x14ac:dyDescent="0.15">
      <c r="A1000" s="165"/>
      <c r="B1000" s="93"/>
      <c r="C1000" s="102"/>
      <c r="D1000" s="62"/>
      <c r="E1000" s="102"/>
      <c r="F1000" s="102"/>
      <c r="G1000" s="102"/>
      <c r="H1000" s="175"/>
      <c r="I1000" s="85"/>
      <c r="J1000" s="104"/>
      <c r="K1000" s="143"/>
      <c r="L1000" s="61"/>
      <c r="M1000" s="35"/>
    </row>
    <row r="1001" spans="1:15" x14ac:dyDescent="0.15">
      <c r="A1001" s="165"/>
      <c r="B1001" s="93"/>
      <c r="C1001" s="102"/>
      <c r="D1001" s="62"/>
      <c r="E1001" s="102"/>
      <c r="F1001" s="102"/>
      <c r="G1001" s="102"/>
      <c r="H1001" s="175"/>
      <c r="I1001" s="85"/>
      <c r="J1001" s="104"/>
      <c r="K1001" s="143"/>
      <c r="L1001" s="61"/>
      <c r="M1001" s="35"/>
    </row>
    <row r="1002" spans="1:15" x14ac:dyDescent="0.15">
      <c r="A1002" s="165"/>
      <c r="B1002" s="93"/>
      <c r="C1002" s="102"/>
      <c r="D1002" s="62"/>
      <c r="E1002" s="102"/>
      <c r="F1002" s="102"/>
      <c r="G1002" s="102"/>
      <c r="H1002" s="175"/>
      <c r="I1002" s="85"/>
      <c r="J1002" s="104"/>
      <c r="K1002" s="143"/>
      <c r="L1002" s="61"/>
    </row>
    <row r="1003" spans="1:15" x14ac:dyDescent="0.15">
      <c r="A1003" s="165"/>
      <c r="B1003" s="93"/>
      <c r="C1003" s="102"/>
      <c r="D1003" s="62"/>
      <c r="E1003" s="102"/>
      <c r="F1003" s="102"/>
      <c r="G1003" s="102"/>
      <c r="H1003" s="175"/>
      <c r="I1003" s="85"/>
      <c r="J1003" s="104"/>
      <c r="K1003" s="143"/>
      <c r="L1003" s="61"/>
      <c r="M1003" s="50"/>
      <c r="N1003" s="51"/>
    </row>
    <row r="1004" spans="1:15" x14ac:dyDescent="0.15">
      <c r="A1004" s="165"/>
      <c r="B1004" s="93"/>
      <c r="C1004" s="102"/>
      <c r="D1004" s="62"/>
      <c r="E1004" s="100"/>
      <c r="F1004" s="102"/>
      <c r="G1004" s="102"/>
      <c r="H1004" s="175"/>
      <c r="I1004" s="85"/>
      <c r="J1004" s="104"/>
      <c r="K1004" s="143"/>
      <c r="L1004" s="61"/>
    </row>
    <row r="1005" spans="1:15" x14ac:dyDescent="0.15">
      <c r="A1005" s="165"/>
      <c r="B1005" s="93"/>
      <c r="C1005" s="100"/>
      <c r="D1005" s="61"/>
      <c r="E1005" s="100"/>
      <c r="F1005" s="100"/>
      <c r="G1005" s="100"/>
      <c r="H1005" s="177"/>
      <c r="I1005" s="85"/>
      <c r="J1005" s="101"/>
      <c r="K1005" s="143"/>
      <c r="L1005" s="61"/>
    </row>
    <row r="1006" spans="1:15" x14ac:dyDescent="0.15">
      <c r="A1006" s="165"/>
      <c r="B1006" s="93"/>
      <c r="C1006" s="100"/>
      <c r="D1006" s="61"/>
      <c r="E1006" s="100"/>
      <c r="F1006" s="100"/>
      <c r="G1006" s="100"/>
      <c r="H1006" s="177"/>
      <c r="I1006" s="85"/>
      <c r="J1006" s="101"/>
      <c r="K1006" s="143"/>
      <c r="L1006" s="61"/>
    </row>
    <row r="1007" spans="1:15" x14ac:dyDescent="0.15">
      <c r="A1007" s="165"/>
      <c r="B1007" s="93"/>
      <c r="C1007" s="102"/>
      <c r="D1007" s="62"/>
      <c r="E1007" s="100"/>
      <c r="F1007" s="102"/>
      <c r="G1007" s="102"/>
      <c r="H1007" s="175"/>
      <c r="I1007" s="85"/>
      <c r="J1007" s="104"/>
      <c r="K1007" s="143"/>
      <c r="L1007" s="61"/>
    </row>
    <row r="1008" spans="1:15" x14ac:dyDescent="0.15">
      <c r="A1008" s="165"/>
      <c r="B1008" s="93"/>
      <c r="C1008" s="102"/>
      <c r="D1008" s="62"/>
      <c r="E1008" s="102"/>
      <c r="F1008" s="102"/>
      <c r="G1008" s="102"/>
      <c r="H1008" s="175"/>
      <c r="I1008" s="85"/>
      <c r="J1008" s="104"/>
      <c r="K1008" s="143"/>
      <c r="L1008" s="61"/>
    </row>
    <row r="1009" spans="1:12" x14ac:dyDescent="0.15">
      <c r="A1009" s="165"/>
      <c r="B1009" s="93"/>
      <c r="C1009" s="102"/>
      <c r="D1009" s="62"/>
      <c r="E1009" s="102"/>
      <c r="F1009" s="102"/>
      <c r="G1009" s="102"/>
      <c r="H1009" s="175"/>
      <c r="I1009" s="85"/>
      <c r="J1009" s="104"/>
      <c r="K1009" s="143"/>
      <c r="L1009" s="61"/>
    </row>
    <row r="1010" spans="1:12" x14ac:dyDescent="0.15">
      <c r="A1010" s="165"/>
      <c r="B1010" s="82"/>
      <c r="C1010" s="107"/>
      <c r="D1010" s="62"/>
      <c r="E1010" s="105"/>
      <c r="F1010" s="107"/>
      <c r="G1010" s="107"/>
      <c r="H1010" s="179"/>
      <c r="I1010" s="85"/>
      <c r="J1010" s="104"/>
      <c r="K1010" s="144"/>
      <c r="L1010" s="61"/>
    </row>
    <row r="1011" spans="1:12" x14ac:dyDescent="0.15">
      <c r="A1011" s="165"/>
      <c r="B1011" s="93"/>
      <c r="C1011" s="102"/>
      <c r="D1011" s="62"/>
      <c r="E1011" s="102"/>
      <c r="F1011" s="102"/>
      <c r="G1011" s="102"/>
      <c r="H1011" s="175"/>
      <c r="I1011" s="85"/>
      <c r="J1011" s="104"/>
      <c r="K1011" s="144"/>
      <c r="L1011" s="61"/>
    </row>
    <row r="1012" spans="1:12" x14ac:dyDescent="0.15">
      <c r="A1012" s="165"/>
      <c r="B1012" s="93"/>
      <c r="C1012" s="102"/>
      <c r="D1012" s="62"/>
      <c r="E1012" s="102"/>
      <c r="F1012" s="102"/>
      <c r="G1012" s="102"/>
      <c r="H1012" s="175"/>
      <c r="I1012" s="85"/>
      <c r="J1012" s="104"/>
      <c r="K1012" s="144"/>
      <c r="L1012" s="61"/>
    </row>
    <row r="1013" spans="1:12" x14ac:dyDescent="0.15">
      <c r="A1013" s="165"/>
      <c r="B1013" s="93"/>
      <c r="C1013" s="102"/>
      <c r="D1013" s="62"/>
      <c r="E1013" s="102"/>
      <c r="F1013" s="102"/>
      <c r="G1013" s="102"/>
      <c r="H1013" s="175"/>
      <c r="I1013" s="85"/>
      <c r="J1013" s="104"/>
      <c r="K1013" s="144"/>
      <c r="L1013" s="61"/>
    </row>
    <row r="1014" spans="1:12" x14ac:dyDescent="0.15">
      <c r="A1014" s="165"/>
      <c r="B1014" s="93"/>
      <c r="C1014" s="102"/>
      <c r="D1014" s="62"/>
      <c r="E1014" s="102"/>
      <c r="F1014" s="102"/>
      <c r="G1014" s="102"/>
      <c r="H1014" s="175"/>
      <c r="I1014" s="85"/>
      <c r="J1014" s="104"/>
      <c r="K1014" s="144"/>
      <c r="L1014" s="61"/>
    </row>
    <row r="1015" spans="1:12" x14ac:dyDescent="0.15">
      <c r="A1015" s="165"/>
      <c r="B1015" s="93"/>
      <c r="C1015" s="102"/>
      <c r="D1015" s="62"/>
      <c r="E1015" s="102"/>
      <c r="F1015" s="102"/>
      <c r="G1015" s="102"/>
      <c r="H1015" s="175"/>
      <c r="I1015" s="85"/>
      <c r="J1015" s="104"/>
      <c r="K1015" s="144"/>
      <c r="L1015" s="61"/>
    </row>
    <row r="1016" spans="1:12" x14ac:dyDescent="0.15">
      <c r="A1016" s="165"/>
      <c r="B1016" s="93"/>
      <c r="C1016" s="102"/>
      <c r="D1016" s="62"/>
      <c r="E1016" s="102"/>
      <c r="F1016" s="102"/>
      <c r="G1016" s="102"/>
      <c r="H1016" s="175"/>
      <c r="I1016" s="85"/>
      <c r="J1016" s="104"/>
      <c r="K1016" s="144"/>
      <c r="L1016" s="61"/>
    </row>
    <row r="1017" spans="1:12" x14ac:dyDescent="0.15">
      <c r="A1017" s="165"/>
      <c r="B1017" s="93"/>
      <c r="C1017" s="102"/>
      <c r="D1017" s="62"/>
      <c r="E1017" s="102"/>
      <c r="F1017" s="102"/>
      <c r="G1017" s="102"/>
      <c r="H1017" s="175"/>
      <c r="I1017" s="85"/>
      <c r="J1017" s="104"/>
      <c r="K1017" s="144"/>
      <c r="L1017" s="61"/>
    </row>
    <row r="1018" spans="1:12" x14ac:dyDescent="0.15">
      <c r="A1018" s="165"/>
      <c r="B1018" s="93"/>
      <c r="C1018" s="102"/>
      <c r="D1018" s="62"/>
      <c r="E1018" s="102"/>
      <c r="F1018" s="102"/>
      <c r="G1018" s="102"/>
      <c r="H1018" s="175"/>
      <c r="I1018" s="85"/>
      <c r="J1018" s="104"/>
      <c r="K1018" s="144"/>
      <c r="L1018" s="61"/>
    </row>
    <row r="1019" spans="1:12" x14ac:dyDescent="0.15">
      <c r="A1019" s="165"/>
      <c r="B1019" s="93"/>
      <c r="C1019" s="102"/>
      <c r="D1019" s="62"/>
      <c r="E1019" s="102"/>
      <c r="F1019" s="102"/>
      <c r="G1019" s="102"/>
      <c r="H1019" s="175"/>
      <c r="I1019" s="85"/>
      <c r="J1019" s="104"/>
      <c r="K1019" s="144"/>
      <c r="L1019" s="61"/>
    </row>
    <row r="1020" spans="1:12" x14ac:dyDescent="0.15">
      <c r="A1020" s="165"/>
      <c r="B1020" s="93"/>
      <c r="C1020" s="102"/>
      <c r="D1020" s="62"/>
      <c r="E1020" s="102"/>
      <c r="F1020" s="102"/>
      <c r="G1020" s="102"/>
      <c r="H1020" s="175"/>
      <c r="I1020" s="85"/>
      <c r="J1020" s="104"/>
      <c r="K1020" s="144"/>
      <c r="L1020" s="61"/>
    </row>
    <row r="1021" spans="1:12" x14ac:dyDescent="0.15">
      <c r="A1021" s="165"/>
      <c r="B1021" s="93"/>
      <c r="C1021" s="102"/>
      <c r="D1021" s="62"/>
      <c r="E1021" s="102"/>
      <c r="F1021" s="102"/>
      <c r="G1021" s="102"/>
      <c r="H1021" s="175"/>
      <c r="I1021" s="85"/>
      <c r="J1021" s="104"/>
      <c r="K1021" s="144"/>
      <c r="L1021" s="61"/>
    </row>
    <row r="1022" spans="1:12" x14ac:dyDescent="0.15">
      <c r="A1022" s="165"/>
      <c r="B1022" s="93"/>
      <c r="C1022" s="102"/>
      <c r="D1022" s="62"/>
      <c r="E1022" s="102"/>
      <c r="F1022" s="102"/>
      <c r="G1022" s="102"/>
      <c r="H1022" s="175"/>
      <c r="I1022" s="85"/>
      <c r="J1022" s="104"/>
      <c r="K1022" s="144"/>
      <c r="L1022" s="61"/>
    </row>
    <row r="1023" spans="1:12" x14ac:dyDescent="0.15">
      <c r="A1023" s="165"/>
      <c r="B1023" s="93"/>
      <c r="C1023" s="102"/>
      <c r="D1023" s="62"/>
      <c r="E1023" s="102"/>
      <c r="F1023" s="102"/>
      <c r="G1023" s="102"/>
      <c r="H1023" s="175"/>
      <c r="I1023" s="85"/>
      <c r="J1023" s="104"/>
      <c r="K1023" s="144"/>
      <c r="L1023" s="61"/>
    </row>
    <row r="1024" spans="1:12" x14ac:dyDescent="0.15">
      <c r="A1024" s="165"/>
      <c r="B1024" s="93"/>
      <c r="C1024" s="102"/>
      <c r="D1024" s="62"/>
      <c r="E1024" s="102"/>
      <c r="F1024" s="102"/>
      <c r="G1024" s="102"/>
      <c r="H1024" s="175"/>
      <c r="I1024" s="85"/>
      <c r="J1024" s="104"/>
      <c r="K1024" s="144"/>
      <c r="L1024" s="61"/>
    </row>
    <row r="1025" spans="1:18" x14ac:dyDescent="0.15">
      <c r="A1025" s="165"/>
      <c r="B1025" s="93"/>
      <c r="C1025" s="102"/>
      <c r="D1025" s="62"/>
      <c r="E1025" s="102"/>
      <c r="F1025" s="102"/>
      <c r="G1025" s="102"/>
      <c r="H1025" s="175"/>
      <c r="I1025" s="85"/>
      <c r="J1025" s="104"/>
      <c r="K1025" s="144"/>
      <c r="L1025" s="61"/>
    </row>
    <row r="1026" spans="1:18" x14ac:dyDescent="0.15">
      <c r="A1026" s="165"/>
      <c r="B1026" s="93"/>
      <c r="C1026" s="102"/>
      <c r="D1026" s="62"/>
      <c r="E1026" s="102"/>
      <c r="F1026" s="102"/>
      <c r="G1026" s="102"/>
      <c r="H1026" s="175"/>
      <c r="I1026" s="85"/>
      <c r="J1026" s="104"/>
      <c r="K1026" s="144"/>
      <c r="L1026" s="61"/>
    </row>
    <row r="1027" spans="1:18" x14ac:dyDescent="0.15">
      <c r="A1027" s="165"/>
      <c r="B1027" s="93"/>
      <c r="C1027" s="102"/>
      <c r="D1027" s="62"/>
      <c r="E1027" s="102"/>
      <c r="F1027" s="102"/>
      <c r="G1027" s="102"/>
      <c r="H1027" s="175"/>
      <c r="I1027" s="98"/>
      <c r="J1027" s="98"/>
      <c r="K1027" s="135"/>
      <c r="L1027" s="61"/>
    </row>
    <row r="1028" spans="1:18" x14ac:dyDescent="0.15">
      <c r="A1028" s="165"/>
      <c r="B1028" s="93"/>
      <c r="C1028" s="102"/>
      <c r="D1028" s="62"/>
      <c r="E1028" s="102"/>
      <c r="F1028" s="102"/>
      <c r="G1028" s="102"/>
      <c r="H1028" s="175"/>
      <c r="I1028" s="85"/>
      <c r="J1028" s="104"/>
      <c r="K1028" s="144"/>
      <c r="L1028" s="61"/>
    </row>
    <row r="1029" spans="1:18" x14ac:dyDescent="0.15">
      <c r="A1029" s="165"/>
      <c r="B1029" s="93"/>
      <c r="C1029" s="102"/>
      <c r="D1029" s="62"/>
      <c r="E1029" s="102"/>
      <c r="F1029" s="102"/>
      <c r="G1029" s="102"/>
      <c r="H1029" s="175"/>
      <c r="I1029" s="85"/>
      <c r="J1029" s="104"/>
      <c r="K1029" s="144"/>
      <c r="L1029" s="61"/>
    </row>
    <row r="1030" spans="1:18" x14ac:dyDescent="0.15">
      <c r="A1030" s="165"/>
      <c r="B1030" s="93"/>
      <c r="C1030" s="102"/>
      <c r="D1030" s="62"/>
      <c r="E1030" s="102"/>
      <c r="F1030" s="102"/>
      <c r="G1030" s="102"/>
      <c r="H1030" s="175"/>
      <c r="I1030" s="85"/>
      <c r="J1030" s="104"/>
      <c r="K1030" s="144"/>
      <c r="L1030" s="61"/>
    </row>
    <row r="1031" spans="1:18" x14ac:dyDescent="0.15">
      <c r="A1031" s="165"/>
      <c r="B1031" s="93"/>
      <c r="C1031" s="102"/>
      <c r="D1031" s="62"/>
      <c r="E1031" s="102"/>
      <c r="F1031" s="102"/>
      <c r="G1031" s="102"/>
      <c r="H1031" s="175"/>
      <c r="I1031" s="85"/>
      <c r="J1031" s="104"/>
      <c r="K1031" s="144"/>
      <c r="L1031" s="61"/>
    </row>
    <row r="1032" spans="1:18" x14ac:dyDescent="0.15">
      <c r="A1032" s="165"/>
      <c r="B1032" s="93"/>
      <c r="C1032" s="102"/>
      <c r="D1032" s="62"/>
      <c r="E1032" s="102"/>
      <c r="F1032" s="102"/>
      <c r="G1032" s="102"/>
      <c r="H1032" s="175"/>
      <c r="I1032" s="98"/>
      <c r="J1032" s="98"/>
      <c r="K1032" s="135"/>
      <c r="L1032" s="61"/>
    </row>
    <row r="1033" spans="1:18" x14ac:dyDescent="0.15">
      <c r="A1033" s="165"/>
      <c r="B1033" s="93"/>
      <c r="C1033" s="102"/>
      <c r="D1033" s="62"/>
      <c r="E1033" s="102"/>
      <c r="F1033" s="102"/>
      <c r="G1033" s="102"/>
      <c r="H1033" s="175"/>
      <c r="I1033" s="85"/>
      <c r="J1033" s="104"/>
      <c r="K1033" s="144"/>
      <c r="L1033" s="61"/>
    </row>
    <row r="1034" spans="1:18" x14ac:dyDescent="0.15">
      <c r="A1034" s="165"/>
      <c r="B1034" s="93"/>
      <c r="C1034" s="102"/>
      <c r="D1034" s="62"/>
      <c r="E1034" s="102"/>
      <c r="F1034" s="102"/>
      <c r="G1034" s="102"/>
      <c r="H1034" s="175"/>
      <c r="I1034" s="85"/>
      <c r="J1034" s="104"/>
      <c r="K1034" s="144"/>
      <c r="L1034" s="61"/>
    </row>
    <row r="1035" spans="1:18" x14ac:dyDescent="0.15">
      <c r="A1035" s="165"/>
      <c r="B1035" s="93"/>
      <c r="C1035" s="102"/>
      <c r="D1035" s="62"/>
      <c r="E1035" s="102"/>
      <c r="F1035" s="102"/>
      <c r="G1035" s="102"/>
      <c r="H1035" s="175"/>
      <c r="I1035" s="85"/>
      <c r="J1035" s="104"/>
      <c r="K1035" s="144"/>
      <c r="L1035" s="61"/>
    </row>
    <row r="1036" spans="1:18" x14ac:dyDescent="0.15">
      <c r="A1036" s="165"/>
      <c r="B1036" s="93"/>
      <c r="C1036" s="102"/>
      <c r="D1036" s="62"/>
      <c r="E1036" s="102"/>
      <c r="F1036" s="102"/>
      <c r="G1036" s="102"/>
      <c r="H1036" s="175"/>
      <c r="I1036" s="85"/>
      <c r="J1036" s="104"/>
      <c r="K1036" s="144"/>
      <c r="L1036" s="61"/>
      <c r="Q1036"/>
      <c r="R1036"/>
    </row>
    <row r="1037" spans="1:18" x14ac:dyDescent="0.15">
      <c r="A1037" s="165"/>
      <c r="B1037" s="93"/>
      <c r="C1037" s="102"/>
      <c r="D1037" s="62"/>
      <c r="E1037" s="102"/>
      <c r="F1037" s="102"/>
      <c r="G1037" s="102"/>
      <c r="H1037" s="175"/>
      <c r="I1037" s="85"/>
      <c r="J1037" s="104"/>
      <c r="K1037" s="144"/>
      <c r="L1037" s="61"/>
    </row>
    <row r="1038" spans="1:18" x14ac:dyDescent="0.15">
      <c r="A1038" s="165"/>
      <c r="B1038" s="93"/>
      <c r="C1038" s="102"/>
      <c r="D1038" s="62"/>
      <c r="E1038" s="102"/>
      <c r="F1038" s="102"/>
      <c r="G1038" s="102"/>
      <c r="H1038" s="175"/>
      <c r="I1038" s="85"/>
      <c r="J1038" s="104"/>
      <c r="K1038" s="144"/>
      <c r="L1038" s="61"/>
    </row>
    <row r="1039" spans="1:18" x14ac:dyDescent="0.15">
      <c r="A1039" s="165"/>
      <c r="B1039" s="93"/>
      <c r="C1039" s="102"/>
      <c r="D1039" s="62"/>
      <c r="E1039" s="102"/>
      <c r="F1039" s="102"/>
      <c r="G1039" s="102"/>
      <c r="H1039" s="175"/>
      <c r="I1039" s="85"/>
      <c r="J1039" s="104"/>
      <c r="K1039" s="144"/>
      <c r="L1039" s="61"/>
    </row>
    <row r="1040" spans="1:18" x14ac:dyDescent="0.15">
      <c r="A1040" s="165"/>
      <c r="B1040" s="93"/>
      <c r="C1040" s="102"/>
      <c r="D1040" s="62"/>
      <c r="E1040" s="100"/>
      <c r="F1040" s="102"/>
      <c r="G1040" s="102"/>
      <c r="H1040" s="175"/>
      <c r="I1040" s="85"/>
      <c r="J1040" s="104"/>
      <c r="K1040" s="144"/>
      <c r="L1040" s="61"/>
    </row>
    <row r="1041" spans="1:15" x14ac:dyDescent="0.15">
      <c r="A1041" s="165"/>
      <c r="B1041" s="93"/>
      <c r="C1041" s="102"/>
      <c r="D1041" s="62"/>
      <c r="E1041" s="102"/>
      <c r="F1041" s="102"/>
      <c r="G1041" s="102"/>
      <c r="H1041" s="175"/>
      <c r="I1041" s="85"/>
      <c r="J1041" s="104"/>
      <c r="K1041" s="144"/>
      <c r="L1041" s="62"/>
    </row>
    <row r="1042" spans="1:15" x14ac:dyDescent="0.15">
      <c r="A1042" s="165"/>
      <c r="B1042" s="93"/>
      <c r="C1042" s="102"/>
      <c r="D1042" s="62"/>
      <c r="E1042" s="102"/>
      <c r="F1042" s="102"/>
      <c r="G1042" s="102"/>
      <c r="H1042" s="175"/>
      <c r="I1042" s="98"/>
      <c r="J1042" s="98"/>
      <c r="K1042" s="135"/>
      <c r="L1042" s="62"/>
    </row>
    <row r="1043" spans="1:15" x14ac:dyDescent="0.15">
      <c r="A1043" s="165"/>
      <c r="B1043" s="93"/>
      <c r="C1043" s="102"/>
      <c r="D1043" s="62"/>
      <c r="E1043" s="102"/>
      <c r="F1043" s="102"/>
      <c r="G1043" s="102"/>
      <c r="H1043" s="175"/>
      <c r="I1043" s="85"/>
      <c r="J1043" s="104"/>
      <c r="K1043" s="144"/>
      <c r="L1043" s="62"/>
    </row>
    <row r="1044" spans="1:15" x14ac:dyDescent="0.15">
      <c r="A1044" s="165"/>
      <c r="B1044" s="93"/>
      <c r="C1044" s="102"/>
      <c r="D1044" s="62"/>
      <c r="E1044" s="102"/>
      <c r="F1044" s="102"/>
      <c r="G1044" s="102"/>
      <c r="H1044" s="175"/>
      <c r="I1044" s="85"/>
      <c r="J1044" s="104"/>
      <c r="K1044" s="144"/>
      <c r="L1044" s="62"/>
    </row>
    <row r="1045" spans="1:15" x14ac:dyDescent="0.15">
      <c r="A1045" s="165"/>
      <c r="B1045" s="93"/>
      <c r="C1045" s="102"/>
      <c r="D1045" s="62"/>
      <c r="E1045" s="102"/>
      <c r="F1045" s="102"/>
      <c r="G1045" s="102"/>
      <c r="H1045" s="175"/>
      <c r="I1045" s="85"/>
      <c r="J1045" s="104"/>
      <c r="K1045" s="144"/>
      <c r="L1045" s="62"/>
    </row>
    <row r="1046" spans="1:15" x14ac:dyDescent="0.15">
      <c r="A1046" s="165"/>
      <c r="B1046" s="93"/>
      <c r="C1046" s="102"/>
      <c r="D1046" s="62"/>
      <c r="E1046" s="102"/>
      <c r="F1046" s="102"/>
      <c r="G1046" s="102"/>
      <c r="H1046" s="175"/>
      <c r="I1046" s="85"/>
      <c r="J1046" s="104"/>
      <c r="K1046" s="144"/>
      <c r="L1046" s="62"/>
    </row>
    <row r="1047" spans="1:15" x14ac:dyDescent="0.15">
      <c r="A1047" s="165"/>
      <c r="B1047" s="93"/>
      <c r="C1047" s="102"/>
      <c r="D1047" s="62"/>
      <c r="E1047" s="102"/>
      <c r="F1047" s="102"/>
      <c r="G1047" s="102"/>
      <c r="H1047" s="175"/>
      <c r="I1047" s="85"/>
      <c r="J1047" s="104"/>
      <c r="K1047" s="144"/>
      <c r="L1047" s="62"/>
    </row>
    <row r="1048" spans="1:15" x14ac:dyDescent="0.15">
      <c r="A1048" s="165"/>
      <c r="B1048" s="93"/>
      <c r="C1048" s="102"/>
      <c r="D1048" s="62"/>
      <c r="E1048" s="102"/>
      <c r="F1048" s="102"/>
      <c r="G1048" s="102"/>
      <c r="H1048" s="175"/>
      <c r="I1048" s="85"/>
      <c r="J1048" s="104"/>
      <c r="K1048" s="144"/>
      <c r="L1048" s="62"/>
    </row>
    <row r="1049" spans="1:15" x14ac:dyDescent="0.15">
      <c r="A1049" s="165"/>
      <c r="B1049" s="93"/>
      <c r="C1049" s="102"/>
      <c r="D1049" s="62"/>
      <c r="E1049" s="102"/>
      <c r="F1049" s="102"/>
      <c r="G1049" s="102"/>
      <c r="H1049" s="175"/>
      <c r="I1049" s="85"/>
      <c r="J1049" s="104"/>
      <c r="K1049" s="144"/>
      <c r="L1049" s="62"/>
    </row>
    <row r="1050" spans="1:15" x14ac:dyDescent="0.15">
      <c r="A1050" s="165"/>
      <c r="B1050" s="93"/>
      <c r="C1050" s="102"/>
      <c r="D1050" s="62"/>
      <c r="E1050" s="102"/>
      <c r="F1050" s="102"/>
      <c r="G1050" s="102"/>
      <c r="H1050" s="175"/>
      <c r="I1050" s="85"/>
      <c r="J1050" s="104"/>
      <c r="K1050" s="144"/>
      <c r="L1050" s="62"/>
    </row>
    <row r="1051" spans="1:15" x14ac:dyDescent="0.15">
      <c r="A1051" s="165"/>
      <c r="B1051" s="93"/>
      <c r="C1051" s="102"/>
      <c r="D1051" s="62"/>
      <c r="E1051" s="102"/>
      <c r="F1051" s="102"/>
      <c r="G1051" s="102"/>
      <c r="H1051" s="175"/>
      <c r="I1051" s="85"/>
      <c r="J1051" s="104"/>
      <c r="K1051" s="144"/>
      <c r="L1051" s="62"/>
    </row>
    <row r="1052" spans="1:15" x14ac:dyDescent="0.15">
      <c r="A1052" s="165"/>
      <c r="B1052" s="93"/>
      <c r="C1052" s="102"/>
      <c r="D1052" s="62"/>
      <c r="E1052" s="102"/>
      <c r="F1052" s="102"/>
      <c r="G1052" s="102"/>
      <c r="H1052" s="175"/>
      <c r="I1052" s="85"/>
      <c r="J1052" s="104"/>
      <c r="K1052" s="144"/>
      <c r="L1052" s="62"/>
    </row>
    <row r="1053" spans="1:15" x14ac:dyDescent="0.15">
      <c r="A1053" s="165"/>
      <c r="B1053" s="93"/>
      <c r="C1053" s="102"/>
      <c r="D1053" s="62"/>
      <c r="E1053" s="102"/>
      <c r="F1053" s="102"/>
      <c r="G1053" s="102"/>
      <c r="H1053" s="175"/>
      <c r="I1053" s="85"/>
      <c r="J1053" s="104"/>
      <c r="K1053" s="144"/>
      <c r="L1053" s="62"/>
    </row>
    <row r="1054" spans="1:15" x14ac:dyDescent="0.15">
      <c r="A1054" s="165"/>
      <c r="B1054" s="93"/>
      <c r="C1054" s="102"/>
      <c r="D1054" s="62"/>
      <c r="E1054" s="102"/>
      <c r="F1054" s="102"/>
      <c r="G1054" s="102"/>
      <c r="H1054" s="175"/>
      <c r="I1054" s="85"/>
      <c r="J1054" s="104"/>
      <c r="K1054" s="144"/>
      <c r="L1054" s="62"/>
    </row>
    <row r="1055" spans="1:15" x14ac:dyDescent="0.15">
      <c r="A1055" s="165"/>
      <c r="B1055" s="93"/>
      <c r="C1055" s="102"/>
      <c r="D1055" s="62"/>
      <c r="E1055" s="102"/>
      <c r="F1055" s="102"/>
      <c r="G1055" s="102"/>
      <c r="H1055" s="175"/>
      <c r="I1055" s="85"/>
      <c r="J1055" s="104"/>
      <c r="K1055" s="144"/>
      <c r="L1055" s="62"/>
    </row>
    <row r="1056" spans="1:15" x14ac:dyDescent="0.15">
      <c r="A1056" s="165"/>
      <c r="B1056" s="93"/>
      <c r="C1056" s="100"/>
      <c r="D1056" s="61"/>
      <c r="E1056" s="100"/>
      <c r="F1056" s="100"/>
      <c r="G1056" s="100"/>
      <c r="H1056" s="177"/>
      <c r="I1056" s="85"/>
      <c r="J1056" s="101"/>
      <c r="K1056" s="143"/>
      <c r="L1056" s="61"/>
      <c r="N1056" s="51"/>
      <c r="O1056" s="35"/>
    </row>
    <row r="1057" spans="1:16" x14ac:dyDescent="0.15">
      <c r="A1057" s="165"/>
      <c r="B1057" s="93"/>
      <c r="C1057" s="100"/>
      <c r="D1057" s="61"/>
      <c r="E1057" s="100"/>
      <c r="F1057" s="100"/>
      <c r="G1057" s="100"/>
      <c r="H1057" s="177"/>
      <c r="I1057" s="85"/>
      <c r="J1057" s="101"/>
      <c r="K1057" s="143"/>
      <c r="L1057" s="61"/>
      <c r="M1057" s="50"/>
      <c r="N1057" s="35"/>
    </row>
    <row r="1058" spans="1:16" x14ac:dyDescent="0.15">
      <c r="A1058" s="165"/>
      <c r="B1058" s="93"/>
      <c r="C1058" s="100"/>
      <c r="D1058" s="61"/>
      <c r="E1058" s="100"/>
      <c r="F1058" s="100"/>
      <c r="G1058" s="100"/>
      <c r="H1058" s="177"/>
      <c r="I1058" s="85"/>
      <c r="J1058" s="101"/>
      <c r="K1058" s="143"/>
      <c r="L1058" s="61"/>
      <c r="M1058" s="50"/>
      <c r="N1058" s="35"/>
      <c r="O1058" s="35"/>
    </row>
    <row r="1059" spans="1:16" x14ac:dyDescent="0.15">
      <c r="A1059" s="165"/>
      <c r="B1059" s="93"/>
      <c r="C1059" s="102"/>
      <c r="D1059" s="62"/>
      <c r="E1059" s="102"/>
      <c r="F1059" s="102"/>
      <c r="G1059" s="102"/>
      <c r="H1059" s="175"/>
      <c r="I1059" s="85"/>
      <c r="J1059" s="104"/>
      <c r="K1059" s="143"/>
      <c r="L1059" s="61"/>
      <c r="M1059" s="50"/>
      <c r="O1059" s="51"/>
    </row>
    <row r="1060" spans="1:16" x14ac:dyDescent="0.15">
      <c r="A1060" s="165"/>
      <c r="B1060" s="93"/>
      <c r="C1060" s="102"/>
      <c r="D1060" s="62"/>
      <c r="E1060" s="102"/>
      <c r="F1060" s="102"/>
      <c r="G1060" s="102"/>
      <c r="H1060" s="175"/>
      <c r="I1060" s="85"/>
      <c r="J1060" s="104"/>
      <c r="K1060" s="143"/>
      <c r="L1060" s="61"/>
      <c r="M1060" s="35"/>
    </row>
    <row r="1061" spans="1:16" x14ac:dyDescent="0.15">
      <c r="A1061" s="165"/>
      <c r="B1061" s="93"/>
      <c r="C1061" s="102"/>
      <c r="D1061" s="62"/>
      <c r="E1061" s="102"/>
      <c r="F1061" s="102"/>
      <c r="G1061" s="102"/>
      <c r="H1061" s="175"/>
      <c r="I1061" s="85"/>
      <c r="J1061" s="104"/>
      <c r="K1061" s="143"/>
      <c r="L1061" s="61"/>
      <c r="M1061" s="35"/>
    </row>
    <row r="1062" spans="1:16" x14ac:dyDescent="0.15">
      <c r="A1062" s="165"/>
      <c r="B1062" s="93"/>
      <c r="C1062" s="102"/>
      <c r="D1062" s="62"/>
      <c r="E1062" s="102"/>
      <c r="F1062" s="102"/>
      <c r="G1062" s="102"/>
      <c r="H1062" s="175"/>
      <c r="I1062" s="85"/>
      <c r="J1062" s="104"/>
      <c r="K1062" s="143"/>
      <c r="L1062" s="61"/>
      <c r="O1062" s="51"/>
      <c r="P1062" s="33"/>
    </row>
    <row r="1063" spans="1:16" x14ac:dyDescent="0.15">
      <c r="A1063" s="165"/>
      <c r="B1063" s="93"/>
      <c r="C1063" s="102"/>
      <c r="D1063" s="62"/>
      <c r="E1063" s="102"/>
      <c r="F1063" s="102"/>
      <c r="G1063" s="102"/>
      <c r="H1063" s="175"/>
      <c r="I1063" s="85"/>
      <c r="J1063" s="104"/>
      <c r="K1063" s="143"/>
      <c r="L1063" s="61"/>
      <c r="M1063" s="50"/>
      <c r="N1063" s="51"/>
      <c r="O1063" s="51"/>
    </row>
    <row r="1064" spans="1:16" x14ac:dyDescent="0.15">
      <c r="A1064" s="165"/>
      <c r="B1064" s="93"/>
      <c r="C1064" s="102"/>
      <c r="D1064" s="62"/>
      <c r="E1064" s="102"/>
      <c r="F1064" s="102"/>
      <c r="G1064" s="102"/>
      <c r="H1064" s="175"/>
      <c r="I1064" s="85"/>
      <c r="J1064" s="104"/>
      <c r="K1064" s="143"/>
      <c r="L1064" s="61"/>
      <c r="M1064" s="50"/>
      <c r="N1064" s="51"/>
    </row>
    <row r="1065" spans="1:16" x14ac:dyDescent="0.15">
      <c r="A1065" s="165"/>
      <c r="B1065" s="93"/>
      <c r="C1065" s="102"/>
      <c r="D1065" s="62"/>
      <c r="E1065" s="102"/>
      <c r="F1065" s="102"/>
      <c r="G1065" s="102"/>
      <c r="H1065" s="175"/>
      <c r="I1065" s="85"/>
      <c r="J1065" s="104"/>
      <c r="K1065" s="143"/>
      <c r="L1065" s="61"/>
      <c r="M1065" s="50"/>
      <c r="N1065" s="51"/>
      <c r="O1065" s="51"/>
    </row>
    <row r="1066" spans="1:16" x14ac:dyDescent="0.15">
      <c r="A1066" s="165"/>
      <c r="B1066" s="93"/>
      <c r="C1066" s="102"/>
      <c r="D1066" s="62"/>
      <c r="E1066" s="102"/>
      <c r="F1066" s="102"/>
      <c r="G1066" s="102"/>
      <c r="H1066" s="175"/>
      <c r="I1066" s="85"/>
      <c r="J1066" s="104"/>
      <c r="K1066" s="143"/>
      <c r="L1066" s="61"/>
      <c r="M1066" s="50"/>
      <c r="N1066" s="51"/>
    </row>
    <row r="1067" spans="1:16" x14ac:dyDescent="0.15">
      <c r="A1067" s="165"/>
      <c r="B1067" s="93"/>
      <c r="C1067" s="100"/>
      <c r="D1067" s="61"/>
      <c r="E1067" s="100"/>
      <c r="F1067" s="100"/>
      <c r="G1067" s="100"/>
      <c r="H1067" s="177"/>
      <c r="I1067" s="85"/>
      <c r="J1067" s="101"/>
      <c r="K1067" s="143"/>
      <c r="L1067" s="61"/>
      <c r="M1067" s="50"/>
      <c r="N1067" s="51"/>
    </row>
    <row r="1068" spans="1:16" x14ac:dyDescent="0.15">
      <c r="A1068" s="165"/>
      <c r="B1068" s="93"/>
      <c r="C1068" s="102"/>
      <c r="D1068" s="62"/>
      <c r="E1068" s="100"/>
      <c r="F1068" s="102"/>
      <c r="G1068" s="102"/>
      <c r="H1068" s="175"/>
      <c r="I1068" s="85"/>
      <c r="J1068" s="104"/>
      <c r="K1068" s="143"/>
      <c r="L1068" s="61"/>
    </row>
    <row r="1069" spans="1:16" x14ac:dyDescent="0.15">
      <c r="A1069" s="165"/>
      <c r="B1069" s="93"/>
      <c r="C1069" s="102"/>
      <c r="D1069" s="62"/>
      <c r="E1069" s="102"/>
      <c r="F1069" s="102"/>
      <c r="G1069" s="102"/>
      <c r="H1069" s="175"/>
      <c r="I1069" s="85"/>
      <c r="J1069" s="104"/>
      <c r="K1069" s="143"/>
      <c r="L1069" s="61"/>
    </row>
    <row r="1070" spans="1:16" x14ac:dyDescent="0.15">
      <c r="A1070" s="165"/>
      <c r="B1070" s="93"/>
      <c r="C1070" s="100"/>
      <c r="D1070" s="61"/>
      <c r="E1070" s="100"/>
      <c r="F1070" s="100"/>
      <c r="G1070" s="100"/>
      <c r="H1070" s="177"/>
      <c r="I1070" s="103"/>
      <c r="J1070" s="103"/>
      <c r="K1070" s="141"/>
      <c r="L1070" s="61"/>
      <c r="O1070" s="51"/>
      <c r="P1070" s="33"/>
    </row>
    <row r="1071" spans="1:16" x14ac:dyDescent="0.15">
      <c r="A1071" s="165"/>
      <c r="B1071" s="93"/>
      <c r="C1071" s="102"/>
      <c r="D1071" s="62"/>
      <c r="E1071" s="102"/>
      <c r="F1071" s="102"/>
      <c r="G1071" s="102"/>
      <c r="H1071" s="175"/>
      <c r="I1071" s="85"/>
      <c r="J1071" s="104"/>
      <c r="K1071" s="143"/>
      <c r="L1071" s="61"/>
      <c r="P1071" s="33"/>
    </row>
    <row r="1072" spans="1:16" x14ac:dyDescent="0.15">
      <c r="A1072" s="165"/>
      <c r="B1072" s="93"/>
      <c r="C1072" s="102"/>
      <c r="D1072" s="62"/>
      <c r="E1072" s="102"/>
      <c r="F1072" s="102"/>
      <c r="G1072" s="102"/>
      <c r="H1072" s="175"/>
      <c r="I1072" s="85"/>
      <c r="J1072" s="104"/>
      <c r="K1072" s="143"/>
      <c r="L1072" s="61"/>
    </row>
    <row r="1073" spans="1:12" x14ac:dyDescent="0.15">
      <c r="A1073" s="165"/>
      <c r="B1073" s="93"/>
      <c r="C1073" s="100"/>
      <c r="D1073" s="61"/>
      <c r="E1073" s="100"/>
      <c r="F1073" s="100"/>
      <c r="G1073" s="100"/>
      <c r="H1073" s="177"/>
      <c r="I1073" s="85"/>
      <c r="J1073" s="101"/>
      <c r="K1073" s="143"/>
      <c r="L1073" s="61"/>
    </row>
    <row r="1074" spans="1:12" x14ac:dyDescent="0.15">
      <c r="A1074" s="165"/>
      <c r="B1074" s="93"/>
      <c r="C1074" s="100"/>
      <c r="D1074" s="61"/>
      <c r="E1074" s="100"/>
      <c r="F1074" s="100"/>
      <c r="G1074" s="100"/>
      <c r="H1074" s="177"/>
      <c r="I1074" s="85"/>
      <c r="J1074" s="101"/>
      <c r="K1074" s="143"/>
      <c r="L1074" s="61"/>
    </row>
    <row r="1075" spans="1:12" x14ac:dyDescent="0.15">
      <c r="A1075" s="165"/>
      <c r="B1075" s="93"/>
      <c r="C1075" s="102"/>
      <c r="D1075" s="62"/>
      <c r="E1075" s="100"/>
      <c r="F1075" s="102"/>
      <c r="G1075" s="102"/>
      <c r="H1075" s="175"/>
      <c r="I1075" s="85"/>
      <c r="J1075" s="104"/>
      <c r="K1075" s="143"/>
      <c r="L1075" s="61"/>
    </row>
    <row r="1076" spans="1:12" x14ac:dyDescent="0.15">
      <c r="A1076" s="165"/>
      <c r="B1076" s="93"/>
      <c r="C1076" s="100"/>
      <c r="D1076" s="61"/>
      <c r="E1076" s="100"/>
      <c r="F1076" s="100"/>
      <c r="G1076" s="100"/>
      <c r="H1076" s="177"/>
      <c r="I1076" s="85"/>
      <c r="J1076" s="101"/>
      <c r="K1076" s="143"/>
      <c r="L1076" s="61"/>
    </row>
    <row r="1077" spans="1:12" x14ac:dyDescent="0.15">
      <c r="A1077" s="165"/>
      <c r="B1077" s="93"/>
      <c r="C1077" s="102"/>
      <c r="D1077" s="62"/>
      <c r="E1077" s="100"/>
      <c r="F1077" s="102"/>
      <c r="G1077" s="102"/>
      <c r="H1077" s="175"/>
      <c r="I1077" s="85"/>
      <c r="J1077" s="104"/>
      <c r="K1077" s="143"/>
      <c r="L1077" s="61"/>
    </row>
    <row r="1078" spans="1:12" x14ac:dyDescent="0.15">
      <c r="A1078" s="165"/>
      <c r="B1078" s="93"/>
      <c r="C1078" s="102"/>
      <c r="D1078" s="62"/>
      <c r="E1078" s="102"/>
      <c r="F1078" s="102"/>
      <c r="G1078" s="102"/>
      <c r="H1078" s="175"/>
      <c r="I1078" s="85"/>
      <c r="J1078" s="104"/>
      <c r="K1078" s="143"/>
      <c r="L1078" s="61"/>
    </row>
    <row r="1079" spans="1:12" x14ac:dyDescent="0.15">
      <c r="A1079" s="165"/>
      <c r="B1079" s="93"/>
      <c r="C1079" s="102"/>
      <c r="D1079" s="62"/>
      <c r="E1079" s="102"/>
      <c r="F1079" s="102"/>
      <c r="G1079" s="102"/>
      <c r="H1079" s="175"/>
      <c r="I1079" s="85"/>
      <c r="J1079" s="104"/>
      <c r="K1079" s="143"/>
      <c r="L1079" s="61"/>
    </row>
    <row r="1080" spans="1:12" x14ac:dyDescent="0.15">
      <c r="A1080" s="165"/>
      <c r="B1080" s="93"/>
      <c r="C1080" s="102"/>
      <c r="D1080" s="62"/>
      <c r="E1080" s="102"/>
      <c r="F1080" s="102"/>
      <c r="G1080" s="102"/>
      <c r="H1080" s="175"/>
      <c r="I1080" s="85"/>
      <c r="J1080" s="104"/>
      <c r="K1080" s="143"/>
      <c r="L1080" s="61"/>
    </row>
    <row r="1081" spans="1:12" x14ac:dyDescent="0.15">
      <c r="A1081" s="165"/>
      <c r="B1081" s="82"/>
      <c r="C1081" s="107"/>
      <c r="D1081" s="62"/>
      <c r="E1081" s="107"/>
      <c r="F1081" s="107"/>
      <c r="G1081" s="107"/>
      <c r="H1081" s="179"/>
      <c r="I1081" s="85"/>
      <c r="J1081" s="104"/>
      <c r="K1081" s="144"/>
      <c r="L1081" s="61"/>
    </row>
    <row r="1082" spans="1:12" x14ac:dyDescent="0.15">
      <c r="A1082" s="165"/>
      <c r="B1082" s="93"/>
      <c r="C1082" s="102"/>
      <c r="D1082" s="62"/>
      <c r="E1082" s="102"/>
      <c r="F1082" s="102"/>
      <c r="G1082" s="102"/>
      <c r="H1082" s="175"/>
      <c r="I1082" s="85"/>
      <c r="J1082" s="104"/>
      <c r="K1082" s="144"/>
      <c r="L1082" s="61"/>
    </row>
    <row r="1083" spans="1:12" x14ac:dyDescent="0.15">
      <c r="A1083" s="165"/>
      <c r="B1083" s="93"/>
      <c r="C1083" s="102"/>
      <c r="D1083" s="62"/>
      <c r="E1083" s="100"/>
      <c r="F1083" s="102"/>
      <c r="G1083" s="102"/>
      <c r="H1083" s="175"/>
      <c r="I1083" s="98"/>
      <c r="J1083" s="98"/>
      <c r="K1083" s="135"/>
      <c r="L1083" s="61"/>
    </row>
    <row r="1084" spans="1:12" x14ac:dyDescent="0.15">
      <c r="A1084" s="165"/>
      <c r="B1084" s="93"/>
      <c r="C1084" s="100"/>
      <c r="D1084" s="61"/>
      <c r="E1084" s="100"/>
      <c r="F1084" s="100"/>
      <c r="G1084" s="100"/>
      <c r="H1084" s="177"/>
      <c r="I1084" s="85"/>
      <c r="J1084" s="101"/>
      <c r="K1084" s="144"/>
      <c r="L1084" s="61"/>
    </row>
    <row r="1085" spans="1:12" x14ac:dyDescent="0.15">
      <c r="A1085" s="165"/>
      <c r="B1085" s="93"/>
      <c r="C1085" s="102"/>
      <c r="D1085" s="62"/>
      <c r="E1085" s="100"/>
      <c r="F1085" s="102"/>
      <c r="G1085" s="102"/>
      <c r="H1085" s="175"/>
      <c r="I1085" s="85"/>
      <c r="J1085" s="104"/>
      <c r="K1085" s="144"/>
      <c r="L1085" s="61"/>
    </row>
    <row r="1086" spans="1:12" x14ac:dyDescent="0.15">
      <c r="A1086" s="165"/>
      <c r="B1086" s="93"/>
      <c r="C1086" s="102"/>
      <c r="D1086" s="62"/>
      <c r="E1086" s="102"/>
      <c r="F1086" s="102"/>
      <c r="G1086" s="102"/>
      <c r="H1086" s="175"/>
      <c r="I1086" s="85"/>
      <c r="J1086" s="104"/>
      <c r="K1086" s="144"/>
      <c r="L1086" s="61"/>
    </row>
    <row r="1087" spans="1:12" x14ac:dyDescent="0.15">
      <c r="A1087" s="165"/>
      <c r="B1087" s="93"/>
      <c r="C1087" s="102"/>
      <c r="D1087" s="62"/>
      <c r="E1087" s="102"/>
      <c r="F1087" s="102"/>
      <c r="G1087" s="102"/>
      <c r="H1087" s="175"/>
      <c r="I1087" s="85"/>
      <c r="J1087" s="104"/>
      <c r="K1087" s="144"/>
      <c r="L1087" s="61"/>
    </row>
    <row r="1088" spans="1:12" x14ac:dyDescent="0.15">
      <c r="A1088" s="165"/>
      <c r="B1088" s="93"/>
      <c r="C1088" s="102"/>
      <c r="D1088" s="62"/>
      <c r="E1088" s="102"/>
      <c r="F1088" s="102"/>
      <c r="G1088" s="102"/>
      <c r="H1088" s="175"/>
      <c r="I1088" s="85"/>
      <c r="J1088" s="104"/>
      <c r="K1088" s="144"/>
      <c r="L1088" s="61"/>
    </row>
    <row r="1089" spans="1:16" x14ac:dyDescent="0.15">
      <c r="A1089" s="165"/>
      <c r="B1089" s="93"/>
      <c r="C1089" s="102"/>
      <c r="D1089" s="62"/>
      <c r="E1089" s="102"/>
      <c r="F1089" s="102"/>
      <c r="G1089" s="102"/>
      <c r="H1089" s="175"/>
      <c r="I1089" s="85"/>
      <c r="J1089" s="104"/>
      <c r="K1089" s="144"/>
      <c r="L1089" s="61"/>
    </row>
    <row r="1090" spans="1:16" x14ac:dyDescent="0.15">
      <c r="A1090" s="165"/>
      <c r="B1090" s="93"/>
      <c r="C1090" s="102"/>
      <c r="D1090" s="62"/>
      <c r="E1090" s="102"/>
      <c r="F1090" s="102"/>
      <c r="G1090" s="102"/>
      <c r="H1090" s="175"/>
      <c r="I1090" s="85"/>
      <c r="J1090" s="104"/>
      <c r="K1090" s="144"/>
      <c r="L1090" s="61"/>
      <c r="P1090" s="33"/>
    </row>
    <row r="1091" spans="1:16" x14ac:dyDescent="0.15">
      <c r="A1091" s="165"/>
      <c r="B1091" s="93"/>
      <c r="C1091" s="102"/>
      <c r="D1091" s="62"/>
      <c r="E1091" s="102"/>
      <c r="F1091" s="102"/>
      <c r="G1091" s="102"/>
      <c r="H1091" s="175"/>
      <c r="I1091" s="85"/>
      <c r="J1091" s="104"/>
      <c r="K1091" s="144"/>
      <c r="L1091" s="62"/>
      <c r="P1091" s="33"/>
    </row>
    <row r="1092" spans="1:16" x14ac:dyDescent="0.15">
      <c r="A1092" s="165"/>
      <c r="B1092" s="93"/>
      <c r="C1092" s="102"/>
      <c r="D1092" s="62"/>
      <c r="E1092" s="102"/>
      <c r="F1092" s="102"/>
      <c r="G1092" s="102"/>
      <c r="H1092" s="175"/>
      <c r="I1092" s="85"/>
      <c r="J1092" s="104"/>
      <c r="K1092" s="144"/>
      <c r="L1092" s="61"/>
    </row>
    <row r="1093" spans="1:16" x14ac:dyDescent="0.15">
      <c r="A1093" s="165"/>
      <c r="B1093" s="93"/>
      <c r="C1093" s="102"/>
      <c r="D1093" s="62"/>
      <c r="E1093" s="102"/>
      <c r="F1093" s="102"/>
      <c r="G1093" s="102"/>
      <c r="H1093" s="175"/>
      <c r="I1093" s="85"/>
      <c r="J1093" s="104"/>
      <c r="K1093" s="144"/>
      <c r="L1093" s="61"/>
    </row>
    <row r="1094" spans="1:16" x14ac:dyDescent="0.15">
      <c r="A1094" s="165"/>
      <c r="B1094" s="93"/>
      <c r="C1094" s="102"/>
      <c r="D1094" s="62"/>
      <c r="E1094" s="102"/>
      <c r="F1094" s="102"/>
      <c r="G1094" s="102"/>
      <c r="H1094" s="175"/>
      <c r="I1094" s="85"/>
      <c r="J1094" s="104"/>
      <c r="K1094" s="144"/>
      <c r="L1094" s="61"/>
    </row>
    <row r="1095" spans="1:16" x14ac:dyDescent="0.15">
      <c r="A1095" s="165"/>
      <c r="B1095" s="93"/>
      <c r="C1095" s="102"/>
      <c r="D1095" s="62"/>
      <c r="E1095" s="102"/>
      <c r="F1095" s="102"/>
      <c r="G1095" s="102"/>
      <c r="H1095" s="175"/>
      <c r="I1095" s="85"/>
      <c r="J1095" s="104"/>
      <c r="K1095" s="144"/>
      <c r="L1095" s="61"/>
    </row>
    <row r="1096" spans="1:16" x14ac:dyDescent="0.15">
      <c r="A1096" s="165"/>
      <c r="B1096" s="93"/>
      <c r="C1096" s="102"/>
      <c r="D1096" s="62"/>
      <c r="E1096" s="102"/>
      <c r="F1096" s="102"/>
      <c r="G1096" s="102"/>
      <c r="H1096" s="175"/>
      <c r="I1096" s="85"/>
      <c r="J1096" s="104"/>
      <c r="K1096" s="144"/>
      <c r="L1096" s="61"/>
    </row>
    <row r="1097" spans="1:16" x14ac:dyDescent="0.15">
      <c r="A1097" s="165"/>
      <c r="B1097" s="93"/>
      <c r="C1097" s="102"/>
      <c r="D1097" s="62"/>
      <c r="E1097" s="102"/>
      <c r="F1097" s="102"/>
      <c r="G1097" s="102"/>
      <c r="H1097" s="175"/>
      <c r="I1097" s="85"/>
      <c r="J1097" s="104"/>
      <c r="K1097" s="144"/>
      <c r="L1097" s="61"/>
    </row>
    <row r="1098" spans="1:16" x14ac:dyDescent="0.15">
      <c r="A1098" s="165"/>
      <c r="B1098" s="93"/>
      <c r="C1098" s="102"/>
      <c r="D1098" s="62"/>
      <c r="E1098" s="102"/>
      <c r="F1098" s="102"/>
      <c r="G1098" s="102"/>
      <c r="H1098" s="175"/>
      <c r="I1098" s="85"/>
      <c r="J1098" s="104"/>
      <c r="K1098" s="144"/>
      <c r="L1098" s="61"/>
    </row>
    <row r="1099" spans="1:16" x14ac:dyDescent="0.15">
      <c r="A1099" s="165"/>
      <c r="B1099" s="93"/>
      <c r="C1099" s="102"/>
      <c r="D1099" s="62"/>
      <c r="E1099" s="102"/>
      <c r="F1099" s="102"/>
      <c r="G1099" s="102"/>
      <c r="H1099" s="175"/>
      <c r="I1099" s="98"/>
      <c r="J1099" s="98"/>
      <c r="K1099" s="135"/>
      <c r="L1099" s="61"/>
    </row>
    <row r="1100" spans="1:16" x14ac:dyDescent="0.15">
      <c r="A1100" s="165"/>
      <c r="B1100" s="93"/>
      <c r="C1100" s="102"/>
      <c r="D1100" s="62"/>
      <c r="E1100" s="102"/>
      <c r="F1100" s="102"/>
      <c r="G1100" s="102"/>
      <c r="H1100" s="175"/>
      <c r="I1100" s="98"/>
      <c r="J1100" s="98"/>
      <c r="K1100" s="135"/>
      <c r="L1100" s="61"/>
    </row>
    <row r="1101" spans="1:16" x14ac:dyDescent="0.15">
      <c r="A1101" s="165"/>
      <c r="B1101" s="93"/>
      <c r="C1101" s="102"/>
      <c r="D1101" s="62"/>
      <c r="E1101" s="102"/>
      <c r="F1101" s="102"/>
      <c r="G1101" s="102"/>
      <c r="H1101" s="175"/>
      <c r="I1101" s="98"/>
      <c r="J1101" s="98"/>
      <c r="K1101" s="135"/>
      <c r="L1101" s="61"/>
    </row>
    <row r="1102" spans="1:16" x14ac:dyDescent="0.15">
      <c r="A1102" s="165"/>
      <c r="B1102" s="93"/>
      <c r="C1102" s="102"/>
      <c r="D1102" s="62"/>
      <c r="E1102" s="102"/>
      <c r="F1102" s="102"/>
      <c r="G1102" s="102"/>
      <c r="H1102" s="175"/>
      <c r="I1102" s="85"/>
      <c r="J1102" s="104"/>
      <c r="K1102" s="144"/>
      <c r="L1102" s="61"/>
    </row>
    <row r="1103" spans="1:16" x14ac:dyDescent="0.15">
      <c r="A1103" s="165"/>
      <c r="B1103" s="93"/>
      <c r="C1103" s="102"/>
      <c r="D1103" s="62"/>
      <c r="E1103" s="102"/>
      <c r="F1103" s="102"/>
      <c r="G1103" s="102"/>
      <c r="H1103" s="175"/>
      <c r="I1103" s="85"/>
      <c r="J1103" s="104"/>
      <c r="K1103" s="144"/>
      <c r="L1103" s="61"/>
    </row>
    <row r="1104" spans="1:16" x14ac:dyDescent="0.15">
      <c r="A1104" s="165"/>
      <c r="B1104" s="93"/>
      <c r="C1104" s="102"/>
      <c r="D1104" s="62"/>
      <c r="E1104" s="102"/>
      <c r="F1104" s="102"/>
      <c r="G1104" s="102"/>
      <c r="H1104" s="175"/>
      <c r="I1104" s="85"/>
      <c r="J1104" s="104"/>
      <c r="K1104" s="144"/>
      <c r="L1104" s="61"/>
    </row>
    <row r="1105" spans="1:16" x14ac:dyDescent="0.15">
      <c r="A1105" s="165"/>
      <c r="B1105" s="82"/>
      <c r="C1105" s="107"/>
      <c r="D1105" s="62"/>
      <c r="E1105" s="107"/>
      <c r="F1105" s="107"/>
      <c r="G1105" s="107"/>
      <c r="H1105" s="179"/>
      <c r="I1105" s="85"/>
      <c r="J1105" s="104"/>
      <c r="K1105" s="144"/>
      <c r="L1105" s="61"/>
    </row>
    <row r="1106" spans="1:16" x14ac:dyDescent="0.15">
      <c r="A1106" s="165"/>
      <c r="B1106" s="93"/>
      <c r="C1106" s="102"/>
      <c r="D1106" s="62"/>
      <c r="E1106" s="102"/>
      <c r="F1106" s="102"/>
      <c r="G1106" s="102"/>
      <c r="H1106" s="175"/>
      <c r="I1106" s="98"/>
      <c r="J1106" s="98"/>
      <c r="K1106" s="135"/>
      <c r="L1106" s="61"/>
    </row>
    <row r="1107" spans="1:16" x14ac:dyDescent="0.15">
      <c r="A1107" s="165"/>
      <c r="B1107" s="93"/>
      <c r="C1107" s="102"/>
      <c r="D1107" s="62"/>
      <c r="E1107" s="102"/>
      <c r="F1107" s="102"/>
      <c r="G1107" s="102"/>
      <c r="H1107" s="175"/>
      <c r="I1107" s="85"/>
      <c r="J1107" s="104"/>
      <c r="K1107" s="144"/>
      <c r="L1107" s="61"/>
      <c r="P1107" s="49"/>
    </row>
    <row r="1108" spans="1:16" x14ac:dyDescent="0.15">
      <c r="A1108" s="165"/>
      <c r="B1108" s="93"/>
      <c r="C1108" s="102"/>
      <c r="D1108" s="62"/>
      <c r="E1108" s="102"/>
      <c r="F1108" s="102"/>
      <c r="G1108" s="102"/>
      <c r="H1108" s="175"/>
      <c r="I1108" s="85"/>
      <c r="J1108" s="104"/>
      <c r="K1108" s="144"/>
      <c r="L1108" s="61"/>
    </row>
    <row r="1109" spans="1:16" x14ac:dyDescent="0.15">
      <c r="A1109" s="62"/>
      <c r="B1109" s="93"/>
      <c r="C1109" s="102"/>
      <c r="D1109" s="62"/>
      <c r="E1109" s="102"/>
      <c r="F1109" s="102"/>
      <c r="G1109" s="102"/>
      <c r="H1109" s="175"/>
      <c r="I1109" s="85"/>
      <c r="J1109" s="104"/>
      <c r="K1109" s="144"/>
      <c r="L1109" s="61"/>
    </row>
    <row r="1110" spans="1:16" x14ac:dyDescent="0.15">
      <c r="A1110" s="62"/>
      <c r="B1110" s="93"/>
      <c r="C1110" s="102"/>
      <c r="D1110" s="62"/>
      <c r="E1110" s="102"/>
      <c r="F1110" s="102"/>
      <c r="G1110" s="102"/>
      <c r="H1110" s="175"/>
      <c r="I1110" s="85"/>
      <c r="J1110" s="104"/>
      <c r="K1110" s="144"/>
      <c r="L1110" s="61"/>
    </row>
    <row r="1111" spans="1:16" x14ac:dyDescent="0.15">
      <c r="A1111" s="62"/>
      <c r="B1111" s="93"/>
      <c r="C1111" s="102"/>
      <c r="D1111" s="62"/>
      <c r="E1111" s="102"/>
      <c r="F1111" s="102"/>
      <c r="G1111" s="102"/>
      <c r="H1111" s="175"/>
      <c r="I1111" s="85"/>
      <c r="J1111" s="104"/>
      <c r="K1111" s="144"/>
      <c r="L1111" s="61"/>
    </row>
    <row r="1112" spans="1:16" x14ac:dyDescent="0.15">
      <c r="A1112" s="62"/>
      <c r="B1112" s="93"/>
      <c r="C1112" s="102"/>
      <c r="D1112" s="62"/>
      <c r="E1112" s="102"/>
      <c r="F1112" s="102"/>
      <c r="G1112" s="102"/>
      <c r="H1112" s="175"/>
      <c r="I1112" s="85"/>
      <c r="J1112" s="101"/>
      <c r="K1112" s="144"/>
      <c r="L1112" s="61"/>
    </row>
    <row r="1113" spans="1:16" x14ac:dyDescent="0.15">
      <c r="A1113" s="62"/>
      <c r="B1113" s="93"/>
      <c r="C1113" s="102"/>
      <c r="D1113" s="62"/>
      <c r="E1113" s="102"/>
      <c r="F1113" s="102"/>
      <c r="G1113" s="102"/>
      <c r="H1113" s="175"/>
      <c r="I1113" s="85"/>
      <c r="J1113" s="104"/>
      <c r="K1113" s="144"/>
      <c r="L1113" s="61"/>
    </row>
    <row r="1114" spans="1:16" x14ac:dyDescent="0.15">
      <c r="A1114" s="61"/>
      <c r="B1114" s="93"/>
      <c r="C1114" s="102"/>
      <c r="D1114" s="62"/>
      <c r="E1114" s="102"/>
      <c r="F1114" s="102"/>
      <c r="G1114" s="102"/>
      <c r="H1114" s="175"/>
      <c r="I1114" s="85"/>
      <c r="J1114" s="104"/>
      <c r="K1114" s="144"/>
      <c r="L1114" s="61"/>
    </row>
    <row r="1115" spans="1:16" x14ac:dyDescent="0.15">
      <c r="A1115" s="62"/>
      <c r="B1115" s="93"/>
      <c r="C1115" s="102"/>
      <c r="D1115" s="62"/>
      <c r="E1115" s="102"/>
      <c r="F1115" s="102"/>
      <c r="G1115" s="102"/>
      <c r="H1115" s="175"/>
      <c r="I1115" s="85"/>
      <c r="J1115" s="104"/>
      <c r="K1115" s="144"/>
      <c r="L1115" s="61"/>
    </row>
    <row r="1116" spans="1:16" x14ac:dyDescent="0.15">
      <c r="A1116" s="61"/>
      <c r="B1116" s="93"/>
      <c r="C1116" s="102"/>
      <c r="D1116" s="62"/>
      <c r="E1116" s="102"/>
      <c r="F1116" s="102"/>
      <c r="G1116" s="102"/>
      <c r="H1116" s="175"/>
      <c r="I1116" s="85"/>
      <c r="J1116" s="104"/>
      <c r="K1116" s="144"/>
      <c r="L1116" s="61"/>
    </row>
    <row r="1117" spans="1:16" x14ac:dyDescent="0.15">
      <c r="A1117" s="62"/>
      <c r="B1117" s="93"/>
      <c r="C1117" s="102"/>
      <c r="D1117" s="62"/>
      <c r="E1117" s="102"/>
      <c r="F1117" s="102"/>
      <c r="G1117" s="102"/>
      <c r="H1117" s="175"/>
      <c r="I1117" s="85"/>
      <c r="J1117" s="104"/>
      <c r="K1117" s="144"/>
      <c r="L1117" s="61"/>
    </row>
    <row r="1118" spans="1:16" x14ac:dyDescent="0.15">
      <c r="A1118" s="62"/>
      <c r="B1118" s="93"/>
      <c r="C1118" s="102"/>
      <c r="D1118" s="62"/>
      <c r="E1118" s="102"/>
      <c r="F1118" s="102"/>
      <c r="G1118" s="102"/>
      <c r="H1118" s="175"/>
      <c r="I1118" s="85"/>
      <c r="J1118" s="104"/>
      <c r="K1118" s="144"/>
      <c r="L1118" s="61"/>
    </row>
    <row r="1119" spans="1:16" x14ac:dyDescent="0.15">
      <c r="A1119" s="62"/>
      <c r="B1119" s="93"/>
      <c r="C1119" s="102"/>
      <c r="D1119" s="62"/>
      <c r="E1119" s="102"/>
      <c r="F1119" s="102"/>
      <c r="G1119" s="102"/>
      <c r="H1119" s="175"/>
      <c r="I1119" s="85"/>
      <c r="J1119" s="104"/>
      <c r="K1119" s="144"/>
      <c r="L1119" s="61"/>
    </row>
    <row r="1120" spans="1:16" x14ac:dyDescent="0.15">
      <c r="A1120" s="62"/>
      <c r="B1120" s="93"/>
      <c r="C1120" s="102"/>
      <c r="D1120" s="62"/>
      <c r="E1120" s="102"/>
      <c r="F1120" s="102"/>
      <c r="G1120" s="102"/>
      <c r="H1120" s="175"/>
      <c r="I1120" s="85"/>
      <c r="J1120" s="104"/>
      <c r="K1120" s="144"/>
      <c r="L1120" s="61"/>
    </row>
    <row r="1121" spans="1:28" x14ac:dyDescent="0.15">
      <c r="A1121" s="62"/>
      <c r="B1121" s="93"/>
      <c r="C1121" s="102"/>
      <c r="D1121" s="62"/>
      <c r="E1121" s="102"/>
      <c r="F1121" s="102"/>
      <c r="G1121" s="102"/>
      <c r="H1121" s="175"/>
      <c r="I1121" s="98"/>
      <c r="J1121" s="98"/>
      <c r="K1121" s="135"/>
      <c r="L1121" s="61"/>
    </row>
    <row r="1122" spans="1:28" x14ac:dyDescent="0.15">
      <c r="A1122" s="62"/>
      <c r="B1122" s="93"/>
      <c r="C1122" s="102"/>
      <c r="D1122" s="62"/>
      <c r="E1122" s="102"/>
      <c r="F1122" s="102"/>
      <c r="G1122" s="102"/>
      <c r="H1122" s="175"/>
      <c r="I1122" s="98"/>
      <c r="J1122" s="98"/>
      <c r="K1122" s="135"/>
      <c r="L1122" s="61"/>
    </row>
    <row r="1123" spans="1:28" x14ac:dyDescent="0.15">
      <c r="A1123" s="62"/>
      <c r="B1123" s="93"/>
      <c r="C1123" s="102"/>
      <c r="D1123" s="62"/>
      <c r="E1123" s="102"/>
      <c r="F1123" s="102"/>
      <c r="G1123" s="102"/>
      <c r="H1123" s="175"/>
      <c r="I1123" s="98"/>
      <c r="J1123" s="98"/>
      <c r="K1123" s="135"/>
      <c r="L1123" s="61"/>
    </row>
    <row r="1124" spans="1:28" x14ac:dyDescent="0.15">
      <c r="A1124" s="62"/>
      <c r="B1124" s="93"/>
      <c r="C1124" s="102"/>
      <c r="D1124" s="62"/>
      <c r="E1124" s="102"/>
      <c r="F1124" s="102"/>
      <c r="G1124" s="102"/>
      <c r="H1124" s="175"/>
      <c r="I1124" s="98"/>
      <c r="J1124" s="98"/>
      <c r="K1124" s="135"/>
      <c r="L1124" s="61"/>
      <c r="Q1124" s="14"/>
      <c r="R1124" s="14"/>
    </row>
    <row r="1125" spans="1:28" x14ac:dyDescent="0.15">
      <c r="A1125" s="62"/>
      <c r="B1125" s="93"/>
      <c r="C1125" s="102"/>
      <c r="D1125" s="62"/>
      <c r="E1125" s="102"/>
      <c r="F1125" s="102"/>
      <c r="G1125" s="102"/>
      <c r="H1125" s="175"/>
      <c r="I1125" s="98"/>
      <c r="J1125" s="98"/>
      <c r="K1125" s="135"/>
      <c r="L1125" s="61"/>
    </row>
    <row r="1126" spans="1:28" x14ac:dyDescent="0.15">
      <c r="A1126" s="62"/>
      <c r="B1126" s="93"/>
      <c r="C1126" s="102"/>
      <c r="D1126" s="62"/>
      <c r="E1126" s="102"/>
      <c r="F1126" s="102"/>
      <c r="G1126" s="102"/>
      <c r="H1126" s="175"/>
      <c r="I1126" s="98"/>
      <c r="J1126" s="98"/>
      <c r="K1126" s="135"/>
      <c r="L1126" s="61"/>
      <c r="Q1126" s="14"/>
      <c r="R1126" s="14"/>
      <c r="S1126" s="14"/>
      <c r="T1126" s="14"/>
      <c r="U1126" s="14"/>
      <c r="V1126" s="14"/>
      <c r="W1126" s="14"/>
      <c r="X1126" s="14"/>
      <c r="Y1126" s="14"/>
      <c r="Z1126" s="17"/>
      <c r="AA1126" s="15"/>
      <c r="AB1126" s="15"/>
    </row>
    <row r="1127" spans="1:28" x14ac:dyDescent="0.15">
      <c r="A1127" s="62"/>
      <c r="B1127" s="93"/>
      <c r="C1127" s="102"/>
      <c r="D1127" s="62"/>
      <c r="E1127" s="102"/>
      <c r="F1127" s="102"/>
      <c r="G1127" s="102"/>
      <c r="H1127" s="175"/>
      <c r="I1127" s="98"/>
      <c r="J1127" s="98"/>
      <c r="K1127" s="135"/>
      <c r="L1127" s="61"/>
    </row>
    <row r="1128" spans="1:28" x14ac:dyDescent="0.15">
      <c r="A1128" s="62"/>
      <c r="B1128" s="93"/>
      <c r="C1128" s="102"/>
      <c r="D1128" s="62"/>
      <c r="E1128" s="102"/>
      <c r="F1128" s="102"/>
      <c r="G1128" s="102"/>
      <c r="H1128" s="175"/>
      <c r="I1128" s="85"/>
      <c r="J1128" s="104"/>
      <c r="K1128" s="144"/>
      <c r="L1128" s="61"/>
      <c r="N1128" s="49"/>
    </row>
    <row r="1129" spans="1:28" x14ac:dyDescent="0.15">
      <c r="A1129" s="62"/>
      <c r="B1129" s="93"/>
      <c r="C1129" s="102"/>
      <c r="D1129" s="62"/>
      <c r="E1129" s="102"/>
      <c r="F1129" s="102"/>
      <c r="G1129" s="102"/>
      <c r="H1129" s="175"/>
      <c r="I1129" s="85"/>
      <c r="J1129" s="104"/>
      <c r="K1129" s="144"/>
      <c r="L1129" s="61"/>
    </row>
    <row r="1130" spans="1:28" x14ac:dyDescent="0.15">
      <c r="A1130" s="62"/>
      <c r="B1130" s="93"/>
      <c r="C1130" s="102"/>
      <c r="D1130" s="62"/>
      <c r="E1130" s="102"/>
      <c r="F1130" s="102"/>
      <c r="G1130" s="102"/>
      <c r="H1130" s="175"/>
      <c r="I1130" s="85"/>
      <c r="J1130" s="104"/>
      <c r="K1130" s="144"/>
      <c r="L1130" s="61"/>
    </row>
    <row r="1131" spans="1:28" x14ac:dyDescent="0.15">
      <c r="A1131" s="62"/>
      <c r="B1131" s="93"/>
      <c r="C1131" s="102"/>
      <c r="D1131" s="62"/>
      <c r="E1131" s="102"/>
      <c r="F1131" s="102"/>
      <c r="G1131" s="102"/>
      <c r="H1131" s="175"/>
      <c r="I1131" s="85"/>
      <c r="J1131" s="104"/>
      <c r="K1131" s="144"/>
      <c r="L1131" s="61"/>
    </row>
    <row r="1132" spans="1:28" x14ac:dyDescent="0.15">
      <c r="A1132" s="62"/>
      <c r="B1132" s="93"/>
      <c r="C1132" s="102"/>
      <c r="D1132" s="62"/>
      <c r="E1132" s="102"/>
      <c r="F1132" s="102"/>
      <c r="G1132" s="102"/>
      <c r="H1132" s="175"/>
      <c r="I1132" s="85"/>
      <c r="J1132" s="104"/>
      <c r="K1132" s="144"/>
      <c r="L1132" s="61"/>
    </row>
    <row r="1133" spans="1:28" x14ac:dyDescent="0.15">
      <c r="A1133" s="62"/>
      <c r="B1133" s="93"/>
      <c r="C1133" s="102"/>
      <c r="D1133" s="62"/>
      <c r="E1133" s="102"/>
      <c r="F1133" s="102"/>
      <c r="G1133" s="102"/>
      <c r="H1133" s="175"/>
      <c r="I1133" s="85"/>
      <c r="J1133" s="104"/>
      <c r="K1133" s="144"/>
      <c r="L1133" s="61"/>
    </row>
    <row r="1134" spans="1:28" x14ac:dyDescent="0.15">
      <c r="A1134" s="62"/>
      <c r="B1134" s="93"/>
      <c r="C1134" s="102"/>
      <c r="D1134" s="62"/>
      <c r="E1134" s="102"/>
      <c r="F1134" s="102"/>
      <c r="G1134" s="102"/>
      <c r="H1134" s="175"/>
      <c r="I1134" s="85"/>
      <c r="J1134" s="104"/>
      <c r="K1134" s="144"/>
      <c r="L1134" s="61"/>
    </row>
    <row r="1135" spans="1:28" x14ac:dyDescent="0.15">
      <c r="A1135" s="62"/>
      <c r="B1135" s="93"/>
      <c r="C1135" s="102"/>
      <c r="D1135" s="62"/>
      <c r="E1135" s="102"/>
      <c r="F1135" s="102"/>
      <c r="G1135" s="102"/>
      <c r="H1135" s="175"/>
      <c r="I1135" s="85"/>
      <c r="J1135" s="104"/>
      <c r="K1135" s="144"/>
      <c r="L1135" s="61"/>
      <c r="S1135" s="14"/>
      <c r="T1135" s="14"/>
      <c r="U1135" s="14"/>
      <c r="V1135" s="14"/>
      <c r="W1135" s="14"/>
      <c r="X1135" s="14"/>
      <c r="Y1135" s="14"/>
      <c r="Z1135" s="17"/>
      <c r="AA1135" s="15"/>
      <c r="AB1135" s="15"/>
    </row>
    <row r="1136" spans="1:28" x14ac:dyDescent="0.15">
      <c r="A1136" s="62"/>
      <c r="B1136" s="93"/>
      <c r="C1136" s="102"/>
      <c r="D1136" s="62"/>
      <c r="E1136" s="102"/>
      <c r="F1136" s="102"/>
      <c r="G1136" s="102"/>
      <c r="H1136" s="175"/>
      <c r="I1136" s="98"/>
      <c r="J1136" s="98"/>
      <c r="K1136" s="135"/>
      <c r="L1136" s="61"/>
    </row>
    <row r="1137" spans="1:18" x14ac:dyDescent="0.15">
      <c r="A1137" s="62"/>
      <c r="B1137" s="93"/>
      <c r="C1137" s="102"/>
      <c r="D1137" s="62"/>
      <c r="E1137" s="102"/>
      <c r="F1137" s="102"/>
      <c r="G1137" s="102"/>
      <c r="H1137" s="175"/>
      <c r="I1137" s="85"/>
      <c r="J1137" s="104"/>
      <c r="K1137" s="144"/>
      <c r="L1137" s="61"/>
    </row>
    <row r="1138" spans="1:18" x14ac:dyDescent="0.15">
      <c r="A1138" s="62"/>
      <c r="B1138" s="93"/>
      <c r="C1138" s="102"/>
      <c r="D1138" s="62"/>
      <c r="E1138" s="102"/>
      <c r="F1138" s="102"/>
      <c r="G1138" s="102"/>
      <c r="H1138" s="175"/>
      <c r="I1138" s="85"/>
      <c r="J1138" s="104"/>
      <c r="K1138" s="144"/>
      <c r="L1138" s="61"/>
      <c r="N1138" s="49"/>
    </row>
    <row r="1139" spans="1:18" x14ac:dyDescent="0.15">
      <c r="A1139" s="62"/>
      <c r="B1139" s="93"/>
      <c r="C1139" s="102"/>
      <c r="D1139" s="62"/>
      <c r="E1139" s="102"/>
      <c r="F1139" s="102"/>
      <c r="G1139" s="102"/>
      <c r="H1139" s="175"/>
      <c r="I1139" s="85"/>
      <c r="J1139" s="104"/>
      <c r="K1139" s="144"/>
      <c r="L1139" s="61"/>
    </row>
    <row r="1140" spans="1:18" x14ac:dyDescent="0.15">
      <c r="A1140" s="62"/>
      <c r="B1140" s="93"/>
      <c r="C1140" s="102"/>
      <c r="D1140" s="62"/>
      <c r="E1140" s="102"/>
      <c r="F1140" s="102"/>
      <c r="G1140" s="102"/>
      <c r="H1140" s="175"/>
      <c r="I1140" s="85"/>
      <c r="J1140" s="104"/>
      <c r="K1140" s="144"/>
      <c r="L1140" s="61"/>
    </row>
    <row r="1141" spans="1:18" x14ac:dyDescent="0.15">
      <c r="A1141" s="62"/>
      <c r="B1141" s="93"/>
      <c r="C1141" s="102"/>
      <c r="D1141" s="62"/>
      <c r="E1141" s="102"/>
      <c r="F1141" s="102"/>
      <c r="G1141" s="102"/>
      <c r="H1141" s="175"/>
      <c r="I1141" s="85"/>
      <c r="J1141" s="104"/>
      <c r="K1141" s="144"/>
      <c r="L1141" s="61"/>
    </row>
    <row r="1142" spans="1:18" x14ac:dyDescent="0.15">
      <c r="A1142" s="62"/>
      <c r="B1142" s="93"/>
      <c r="C1142" s="102"/>
      <c r="D1142" s="62"/>
      <c r="E1142" s="102"/>
      <c r="F1142" s="102"/>
      <c r="G1142" s="102"/>
      <c r="H1142" s="175"/>
      <c r="I1142" s="85"/>
      <c r="J1142" s="104"/>
      <c r="K1142" s="144"/>
      <c r="L1142" s="61"/>
    </row>
    <row r="1143" spans="1:18" x14ac:dyDescent="0.15">
      <c r="A1143" s="62"/>
      <c r="B1143" s="93"/>
      <c r="C1143" s="102"/>
      <c r="D1143" s="62"/>
      <c r="E1143" s="102"/>
      <c r="F1143" s="102"/>
      <c r="G1143" s="102"/>
      <c r="H1143" s="175"/>
      <c r="I1143" s="85"/>
      <c r="J1143" s="104"/>
      <c r="K1143" s="144"/>
      <c r="L1143" s="61"/>
    </row>
    <row r="1144" spans="1:18" x14ac:dyDescent="0.15">
      <c r="A1144" s="62"/>
      <c r="B1144" s="93"/>
      <c r="C1144" s="102"/>
      <c r="D1144" s="62"/>
      <c r="E1144" s="102"/>
      <c r="F1144" s="102"/>
      <c r="G1144" s="102"/>
      <c r="H1144" s="175"/>
      <c r="I1144" s="85"/>
      <c r="J1144" s="104"/>
      <c r="K1144" s="144"/>
      <c r="L1144" s="61"/>
      <c r="Q1144" s="12"/>
      <c r="R1144" s="12"/>
    </row>
    <row r="1145" spans="1:18" x14ac:dyDescent="0.15">
      <c r="A1145" s="62"/>
      <c r="B1145" s="93"/>
      <c r="C1145" s="102"/>
      <c r="D1145" s="62"/>
      <c r="E1145" s="102"/>
      <c r="F1145" s="102"/>
      <c r="G1145" s="102"/>
      <c r="H1145" s="175"/>
      <c r="I1145" s="85"/>
      <c r="J1145" s="104"/>
      <c r="K1145" s="144"/>
      <c r="L1145" s="61"/>
    </row>
    <row r="1146" spans="1:18" x14ac:dyDescent="0.15">
      <c r="A1146" s="62"/>
      <c r="B1146" s="93"/>
      <c r="C1146" s="102"/>
      <c r="D1146" s="62"/>
      <c r="E1146" s="102"/>
      <c r="F1146" s="102"/>
      <c r="G1146" s="102"/>
      <c r="H1146" s="175"/>
      <c r="I1146" s="85"/>
      <c r="J1146" s="104"/>
      <c r="K1146" s="144"/>
      <c r="L1146" s="61"/>
    </row>
    <row r="1147" spans="1:18" x14ac:dyDescent="0.15">
      <c r="A1147" s="62"/>
      <c r="B1147" s="93"/>
      <c r="C1147" s="102"/>
      <c r="D1147" s="62"/>
      <c r="E1147" s="102"/>
      <c r="F1147" s="102"/>
      <c r="G1147" s="102"/>
      <c r="H1147" s="175"/>
      <c r="I1147" s="85"/>
      <c r="J1147" s="104"/>
      <c r="K1147" s="144"/>
      <c r="L1147" s="61"/>
    </row>
    <row r="1148" spans="1:18" x14ac:dyDescent="0.15">
      <c r="A1148" s="62"/>
      <c r="B1148" s="93"/>
      <c r="C1148" s="102"/>
      <c r="D1148" s="62"/>
      <c r="E1148" s="102"/>
      <c r="F1148" s="102"/>
      <c r="G1148" s="102"/>
      <c r="H1148" s="175"/>
      <c r="I1148" s="85"/>
      <c r="J1148" s="104"/>
      <c r="K1148" s="144"/>
      <c r="L1148" s="61"/>
    </row>
    <row r="1149" spans="1:18" x14ac:dyDescent="0.15">
      <c r="A1149" s="62"/>
      <c r="B1149" s="93"/>
      <c r="C1149" s="102"/>
      <c r="D1149" s="62"/>
      <c r="E1149" s="102"/>
      <c r="F1149" s="102"/>
      <c r="G1149" s="102"/>
      <c r="H1149" s="175"/>
      <c r="I1149" s="85"/>
      <c r="J1149" s="104"/>
      <c r="K1149" s="144"/>
      <c r="L1149" s="61"/>
    </row>
    <row r="1150" spans="1:18" x14ac:dyDescent="0.15">
      <c r="A1150" s="62"/>
      <c r="B1150" s="93"/>
      <c r="C1150" s="102"/>
      <c r="D1150" s="62"/>
      <c r="E1150" s="102"/>
      <c r="F1150" s="102"/>
      <c r="G1150" s="102"/>
      <c r="H1150" s="175"/>
      <c r="I1150" s="85"/>
      <c r="J1150" s="104"/>
      <c r="K1150" s="144"/>
      <c r="L1150" s="61"/>
    </row>
    <row r="1151" spans="1:18" x14ac:dyDescent="0.15">
      <c r="A1151" s="62"/>
      <c r="B1151" s="93"/>
      <c r="C1151" s="102"/>
      <c r="D1151" s="62"/>
      <c r="E1151" s="102"/>
      <c r="F1151" s="102"/>
      <c r="G1151" s="102"/>
      <c r="H1151" s="175"/>
      <c r="I1151" s="85"/>
      <c r="J1151" s="104"/>
      <c r="K1151" s="144"/>
      <c r="L1151" s="61"/>
    </row>
    <row r="1152" spans="1:18" x14ac:dyDescent="0.15">
      <c r="A1152" s="62"/>
      <c r="B1152" s="93"/>
      <c r="C1152" s="102"/>
      <c r="D1152" s="62"/>
      <c r="E1152" s="102"/>
      <c r="F1152" s="102"/>
      <c r="G1152" s="102"/>
      <c r="H1152" s="175"/>
      <c r="I1152" s="85"/>
      <c r="J1152" s="104"/>
      <c r="K1152" s="144"/>
      <c r="L1152" s="61"/>
    </row>
    <row r="1153" spans="1:28" x14ac:dyDescent="0.15">
      <c r="A1153" s="62"/>
      <c r="B1153" s="93"/>
      <c r="C1153" s="102"/>
      <c r="D1153" s="62"/>
      <c r="E1153" s="102"/>
      <c r="F1153" s="102"/>
      <c r="G1153" s="102"/>
      <c r="H1153" s="175"/>
      <c r="I1153" s="85"/>
      <c r="J1153" s="104"/>
      <c r="K1153" s="144"/>
      <c r="L1153" s="61"/>
    </row>
    <row r="1154" spans="1:28" x14ac:dyDescent="0.15">
      <c r="A1154" s="62"/>
      <c r="B1154" s="93"/>
      <c r="C1154" s="102"/>
      <c r="D1154" s="62"/>
      <c r="E1154" s="102"/>
      <c r="F1154" s="102"/>
      <c r="G1154" s="102"/>
      <c r="H1154" s="175"/>
      <c r="I1154" s="85"/>
      <c r="J1154" s="104"/>
      <c r="K1154" s="144"/>
      <c r="L1154" s="61"/>
    </row>
    <row r="1155" spans="1:28" x14ac:dyDescent="0.15">
      <c r="A1155" s="62"/>
      <c r="B1155" s="93"/>
      <c r="C1155" s="102"/>
      <c r="D1155" s="62"/>
      <c r="E1155" s="102"/>
      <c r="F1155" s="102"/>
      <c r="G1155" s="102"/>
      <c r="H1155" s="175"/>
      <c r="I1155" s="85"/>
      <c r="J1155" s="104"/>
      <c r="K1155" s="144"/>
      <c r="L1155" s="61"/>
    </row>
    <row r="1156" spans="1:28" x14ac:dyDescent="0.15">
      <c r="A1156" s="62"/>
      <c r="B1156" s="93"/>
      <c r="C1156" s="102"/>
      <c r="D1156" s="62"/>
      <c r="E1156" s="102"/>
      <c r="F1156" s="102"/>
      <c r="G1156" s="102"/>
      <c r="H1156" s="175"/>
      <c r="I1156" s="85"/>
      <c r="J1156" s="104"/>
      <c r="K1156" s="144"/>
      <c r="L1156" s="61"/>
    </row>
    <row r="1157" spans="1:28" x14ac:dyDescent="0.15">
      <c r="A1157" s="62"/>
      <c r="B1157" s="93"/>
      <c r="C1157" s="102"/>
      <c r="D1157" s="62"/>
      <c r="E1157" s="102"/>
      <c r="F1157" s="102"/>
      <c r="G1157" s="102"/>
      <c r="H1157" s="175"/>
      <c r="I1157" s="85"/>
      <c r="J1157" s="104"/>
      <c r="K1157" s="144"/>
      <c r="L1157" s="61"/>
    </row>
    <row r="1158" spans="1:28" x14ac:dyDescent="0.15">
      <c r="A1158" s="62"/>
      <c r="B1158" s="93"/>
      <c r="C1158" s="102"/>
      <c r="D1158" s="62"/>
      <c r="E1158" s="102"/>
      <c r="F1158" s="102"/>
      <c r="G1158" s="102"/>
      <c r="H1158" s="175"/>
      <c r="I1158" s="85"/>
      <c r="J1158" s="104"/>
      <c r="K1158" s="144"/>
      <c r="L1158" s="61"/>
      <c r="N1158" s="49"/>
    </row>
    <row r="1159" spans="1:28" x14ac:dyDescent="0.15">
      <c r="A1159" s="62"/>
      <c r="B1159" s="93"/>
      <c r="C1159" s="102"/>
      <c r="D1159" s="62"/>
      <c r="E1159" s="102"/>
      <c r="F1159" s="102"/>
      <c r="G1159" s="102"/>
      <c r="H1159" s="175"/>
      <c r="I1159" s="85"/>
      <c r="J1159" s="104"/>
      <c r="K1159" s="144"/>
      <c r="L1159" s="61"/>
    </row>
    <row r="1160" spans="1:28" x14ac:dyDescent="0.15">
      <c r="A1160" s="62"/>
      <c r="B1160" s="93"/>
      <c r="C1160" s="102"/>
      <c r="D1160" s="62"/>
      <c r="E1160" s="102"/>
      <c r="F1160" s="102"/>
      <c r="G1160" s="102"/>
      <c r="H1160" s="175"/>
      <c r="I1160" s="85"/>
      <c r="J1160" s="104"/>
      <c r="K1160" s="144"/>
      <c r="L1160" s="61"/>
    </row>
    <row r="1161" spans="1:28" x14ac:dyDescent="0.15">
      <c r="A1161" s="62"/>
      <c r="B1161" s="93"/>
      <c r="C1161" s="102"/>
      <c r="D1161" s="62"/>
      <c r="E1161" s="102"/>
      <c r="F1161" s="102"/>
      <c r="G1161" s="102"/>
      <c r="H1161" s="175"/>
      <c r="I1161" s="98"/>
      <c r="J1161" s="98"/>
      <c r="K1161" s="135"/>
      <c r="L1161" s="61"/>
    </row>
    <row r="1162" spans="1:28" x14ac:dyDescent="0.15">
      <c r="A1162" s="62"/>
      <c r="B1162" s="93"/>
      <c r="C1162" s="102"/>
      <c r="D1162" s="62"/>
      <c r="E1162" s="102"/>
      <c r="F1162" s="102"/>
      <c r="G1162" s="102"/>
      <c r="H1162" s="175"/>
      <c r="I1162" s="98"/>
      <c r="J1162" s="98"/>
      <c r="K1162" s="135"/>
      <c r="L1162" s="61"/>
    </row>
    <row r="1163" spans="1:28" x14ac:dyDescent="0.15">
      <c r="A1163" s="62"/>
      <c r="B1163" s="93"/>
      <c r="C1163" s="102"/>
      <c r="D1163" s="62"/>
      <c r="E1163" s="102"/>
      <c r="F1163" s="102"/>
      <c r="G1163" s="102"/>
      <c r="H1163" s="175"/>
      <c r="I1163" s="98"/>
      <c r="J1163" s="98"/>
      <c r="K1163" s="135"/>
      <c r="L1163" s="61"/>
      <c r="S1163" s="14"/>
      <c r="T1163" s="14"/>
      <c r="U1163" s="14"/>
      <c r="V1163" s="14"/>
      <c r="W1163" s="14"/>
      <c r="X1163" s="14"/>
      <c r="Y1163" s="14"/>
      <c r="Z1163" s="17"/>
      <c r="AA1163" s="15"/>
      <c r="AB1163" s="15"/>
    </row>
    <row r="1164" spans="1:28" x14ac:dyDescent="0.15">
      <c r="A1164" s="62"/>
      <c r="B1164" s="93"/>
      <c r="C1164" s="102"/>
      <c r="D1164" s="62"/>
      <c r="E1164" s="102"/>
      <c r="F1164" s="102"/>
      <c r="G1164" s="102"/>
      <c r="H1164" s="175"/>
      <c r="I1164" s="85"/>
      <c r="J1164" s="104"/>
      <c r="K1164" s="144"/>
      <c r="L1164" s="61"/>
    </row>
    <row r="1165" spans="1:28" x14ac:dyDescent="0.15">
      <c r="A1165" s="62"/>
      <c r="B1165" s="93"/>
      <c r="C1165" s="102"/>
      <c r="D1165" s="62"/>
      <c r="E1165" s="102"/>
      <c r="F1165" s="102"/>
      <c r="G1165" s="102"/>
      <c r="H1165" s="175"/>
      <c r="I1165" s="85"/>
      <c r="J1165" s="104"/>
      <c r="K1165" s="144"/>
      <c r="L1165" s="61"/>
    </row>
    <row r="1166" spans="1:28" x14ac:dyDescent="0.15">
      <c r="A1166" s="62"/>
      <c r="B1166" s="93"/>
      <c r="C1166" s="102"/>
      <c r="D1166" s="62"/>
      <c r="E1166" s="102"/>
      <c r="F1166" s="102"/>
      <c r="G1166" s="102"/>
      <c r="H1166" s="175"/>
      <c r="I1166" s="85"/>
      <c r="J1166" s="104"/>
      <c r="K1166" s="144"/>
      <c r="L1166" s="61"/>
    </row>
    <row r="1167" spans="1:28" x14ac:dyDescent="0.15">
      <c r="A1167" s="62"/>
      <c r="B1167" s="93"/>
      <c r="C1167" s="100"/>
      <c r="D1167" s="61"/>
      <c r="E1167" s="102"/>
      <c r="F1167" s="100"/>
      <c r="G1167" s="100"/>
      <c r="H1167" s="177"/>
      <c r="I1167" s="85"/>
      <c r="J1167" s="104"/>
      <c r="K1167" s="144"/>
      <c r="L1167" s="61"/>
    </row>
    <row r="1168" spans="1:28" x14ac:dyDescent="0.15">
      <c r="A1168" s="62"/>
      <c r="B1168" s="93"/>
      <c r="C1168" s="102"/>
      <c r="D1168" s="62"/>
      <c r="E1168" s="102"/>
      <c r="F1168" s="102"/>
      <c r="G1168" s="102"/>
      <c r="H1168" s="175"/>
      <c r="I1168" s="85"/>
      <c r="J1168" s="104"/>
      <c r="K1168" s="144"/>
      <c r="L1168" s="61"/>
    </row>
    <row r="1169" spans="1:28" x14ac:dyDescent="0.15">
      <c r="A1169" s="62"/>
      <c r="B1169" s="93"/>
      <c r="C1169" s="102"/>
      <c r="D1169" s="62"/>
      <c r="E1169" s="102"/>
      <c r="F1169" s="102"/>
      <c r="G1169" s="102"/>
      <c r="H1169" s="175"/>
      <c r="I1169" s="85"/>
      <c r="J1169" s="104"/>
      <c r="K1169" s="144"/>
      <c r="L1169" s="61"/>
    </row>
    <row r="1170" spans="1:28" x14ac:dyDescent="0.15">
      <c r="A1170" s="62"/>
      <c r="B1170" s="93"/>
      <c r="C1170" s="102"/>
      <c r="D1170" s="62"/>
      <c r="E1170" s="102"/>
      <c r="F1170" s="102"/>
      <c r="G1170" s="102"/>
      <c r="H1170" s="175"/>
      <c r="I1170" s="85"/>
      <c r="J1170" s="104"/>
      <c r="K1170" s="144"/>
      <c r="L1170" s="61"/>
    </row>
    <row r="1171" spans="1:28" x14ac:dyDescent="0.15">
      <c r="A1171" s="62"/>
      <c r="B1171" s="93"/>
      <c r="C1171" s="102"/>
      <c r="D1171" s="62"/>
      <c r="E1171" s="102"/>
      <c r="F1171" s="102"/>
      <c r="G1171" s="102"/>
      <c r="H1171" s="175"/>
      <c r="I1171" s="85"/>
      <c r="J1171" s="104"/>
      <c r="K1171" s="144"/>
      <c r="L1171" s="61"/>
    </row>
    <row r="1172" spans="1:28" x14ac:dyDescent="0.15">
      <c r="A1172" s="62"/>
      <c r="B1172" s="93"/>
      <c r="C1172" s="102"/>
      <c r="D1172" s="62"/>
      <c r="E1172" s="102"/>
      <c r="F1172" s="102"/>
      <c r="G1172" s="102"/>
      <c r="H1172" s="175"/>
      <c r="I1172" s="98"/>
      <c r="J1172" s="98"/>
      <c r="K1172" s="135"/>
      <c r="L1172" s="61"/>
    </row>
    <row r="1173" spans="1:28" x14ac:dyDescent="0.15">
      <c r="A1173" s="62"/>
      <c r="B1173" s="93"/>
      <c r="C1173" s="102"/>
      <c r="D1173" s="62"/>
      <c r="E1173" s="102"/>
      <c r="F1173" s="102"/>
      <c r="G1173" s="102"/>
      <c r="H1173" s="175"/>
      <c r="I1173" s="85"/>
      <c r="J1173" s="104"/>
      <c r="K1173" s="144"/>
      <c r="L1173" s="61"/>
    </row>
    <row r="1174" spans="1:28" x14ac:dyDescent="0.15">
      <c r="A1174" s="62"/>
      <c r="B1174" s="93"/>
      <c r="C1174" s="102"/>
      <c r="D1174" s="62"/>
      <c r="E1174" s="102"/>
      <c r="F1174" s="102"/>
      <c r="G1174" s="102"/>
      <c r="H1174" s="175"/>
      <c r="I1174" s="85"/>
      <c r="J1174" s="104"/>
      <c r="K1174" s="144"/>
      <c r="L1174" s="61"/>
    </row>
    <row r="1175" spans="1:28" x14ac:dyDescent="0.15">
      <c r="A1175" s="62"/>
      <c r="B1175" s="93"/>
      <c r="C1175" s="102"/>
      <c r="D1175" s="62"/>
      <c r="E1175" s="102"/>
      <c r="F1175" s="102"/>
      <c r="G1175" s="102"/>
      <c r="H1175" s="175"/>
      <c r="I1175" s="98"/>
      <c r="J1175" s="98"/>
      <c r="K1175" s="135"/>
      <c r="L1175" s="61"/>
    </row>
    <row r="1176" spans="1:28" x14ac:dyDescent="0.15">
      <c r="A1176" s="62"/>
      <c r="B1176" s="93"/>
      <c r="C1176" s="102"/>
      <c r="D1176" s="62"/>
      <c r="E1176" s="102"/>
      <c r="F1176" s="102"/>
      <c r="G1176" s="102"/>
      <c r="H1176" s="175"/>
      <c r="I1176" s="85"/>
      <c r="J1176" s="104"/>
      <c r="K1176" s="144"/>
      <c r="L1176" s="61"/>
    </row>
    <row r="1177" spans="1:28" x14ac:dyDescent="0.15">
      <c r="A1177" s="62"/>
      <c r="B1177" s="93"/>
      <c r="C1177" s="102"/>
      <c r="D1177" s="62"/>
      <c r="E1177" s="102"/>
      <c r="F1177" s="102"/>
      <c r="G1177" s="102"/>
      <c r="H1177" s="175"/>
      <c r="I1177" s="85"/>
      <c r="J1177" s="104"/>
      <c r="K1177" s="144"/>
      <c r="L1177" s="61"/>
    </row>
    <row r="1178" spans="1:28" x14ac:dyDescent="0.15">
      <c r="A1178" s="62"/>
      <c r="B1178" s="93"/>
      <c r="C1178" s="102"/>
      <c r="D1178" s="62"/>
      <c r="E1178" s="102"/>
      <c r="F1178" s="102"/>
      <c r="G1178" s="102"/>
      <c r="H1178" s="175"/>
      <c r="I1178" s="98"/>
      <c r="J1178" s="98"/>
      <c r="K1178" s="135"/>
      <c r="L1178" s="61"/>
    </row>
    <row r="1179" spans="1:28" x14ac:dyDescent="0.15">
      <c r="A1179" s="62"/>
      <c r="B1179" s="93"/>
      <c r="C1179" s="102"/>
      <c r="D1179" s="62"/>
      <c r="E1179" s="102"/>
      <c r="F1179" s="102"/>
      <c r="G1179" s="102"/>
      <c r="H1179" s="175"/>
      <c r="I1179" s="85"/>
      <c r="J1179" s="104"/>
      <c r="K1179" s="144"/>
      <c r="L1179" s="61"/>
    </row>
    <row r="1180" spans="1:28" x14ac:dyDescent="0.15">
      <c r="A1180" s="62"/>
      <c r="B1180" s="93"/>
      <c r="C1180" s="100"/>
      <c r="D1180" s="61"/>
      <c r="E1180" s="100"/>
      <c r="F1180" s="100"/>
      <c r="G1180" s="100"/>
      <c r="H1180" s="177"/>
      <c r="I1180" s="98"/>
      <c r="J1180" s="103"/>
      <c r="K1180" s="135"/>
      <c r="L1180" s="61"/>
    </row>
    <row r="1181" spans="1:28" x14ac:dyDescent="0.15">
      <c r="A1181" s="62"/>
      <c r="B1181" s="93"/>
      <c r="C1181" s="102"/>
      <c r="D1181" s="62"/>
      <c r="E1181" s="100"/>
      <c r="F1181" s="102"/>
      <c r="G1181" s="102"/>
      <c r="H1181" s="175"/>
      <c r="I1181" s="85"/>
      <c r="J1181" s="104"/>
      <c r="K1181" s="144"/>
      <c r="L1181" s="61"/>
    </row>
    <row r="1182" spans="1:28" x14ac:dyDescent="0.15">
      <c r="A1182" s="62"/>
      <c r="B1182" s="93"/>
      <c r="C1182" s="102"/>
      <c r="D1182" s="62"/>
      <c r="E1182" s="102"/>
      <c r="F1182" s="102"/>
      <c r="G1182" s="102"/>
      <c r="H1182" s="175"/>
      <c r="I1182" s="85"/>
      <c r="J1182" s="104"/>
      <c r="K1182" s="144"/>
      <c r="L1182" s="61"/>
    </row>
    <row r="1183" spans="1:28" x14ac:dyDescent="0.15">
      <c r="A1183" s="62"/>
      <c r="B1183" s="93"/>
      <c r="C1183" s="102"/>
      <c r="D1183" s="62"/>
      <c r="E1183" s="102"/>
      <c r="F1183" s="102"/>
      <c r="G1183" s="102"/>
      <c r="H1183" s="175"/>
      <c r="I1183" s="98"/>
      <c r="J1183" s="98"/>
      <c r="K1183" s="135"/>
      <c r="L1183" s="61"/>
    </row>
    <row r="1184" spans="1:28" x14ac:dyDescent="0.15">
      <c r="A1184" s="62"/>
      <c r="B1184" s="93"/>
      <c r="C1184" s="102"/>
      <c r="D1184" s="62"/>
      <c r="E1184" s="102"/>
      <c r="F1184" s="102"/>
      <c r="G1184" s="102"/>
      <c r="H1184" s="175"/>
      <c r="I1184" s="85"/>
      <c r="J1184" s="104"/>
      <c r="K1184" s="144"/>
      <c r="L1184" s="61"/>
      <c r="S1184" s="14"/>
      <c r="T1184" s="14"/>
      <c r="U1184" s="14"/>
      <c r="V1184" s="14"/>
      <c r="W1184" s="14"/>
      <c r="X1184" s="14"/>
      <c r="Y1184" s="14"/>
      <c r="Z1184" s="17"/>
      <c r="AA1184" s="15"/>
      <c r="AB1184" s="15"/>
    </row>
    <row r="1185" spans="1:28" x14ac:dyDescent="0.15">
      <c r="A1185" s="62"/>
      <c r="B1185" s="93"/>
      <c r="C1185" s="102"/>
      <c r="D1185" s="62"/>
      <c r="E1185" s="102"/>
      <c r="F1185" s="102"/>
      <c r="G1185" s="102"/>
      <c r="H1185" s="175"/>
      <c r="I1185" s="85"/>
      <c r="J1185" s="104"/>
      <c r="K1185" s="144"/>
      <c r="L1185" s="61"/>
    </row>
    <row r="1186" spans="1:28" x14ac:dyDescent="0.15">
      <c r="A1186" s="62"/>
      <c r="B1186" s="93"/>
      <c r="C1186" s="102"/>
      <c r="D1186" s="62"/>
      <c r="E1186" s="102"/>
      <c r="F1186" s="102"/>
      <c r="G1186" s="102"/>
      <c r="H1186" s="175"/>
      <c r="I1186" s="85"/>
      <c r="J1186" s="104"/>
      <c r="K1186" s="144"/>
      <c r="L1186" s="61"/>
    </row>
    <row r="1187" spans="1:28" x14ac:dyDescent="0.15">
      <c r="A1187" s="62"/>
      <c r="B1187" s="93"/>
      <c r="C1187" s="102"/>
      <c r="D1187" s="62"/>
      <c r="E1187" s="102"/>
      <c r="F1187" s="102"/>
      <c r="G1187" s="102"/>
      <c r="H1187" s="175"/>
      <c r="I1187" s="85"/>
      <c r="J1187" s="104"/>
      <c r="K1187" s="144"/>
      <c r="L1187" s="61"/>
    </row>
    <row r="1188" spans="1:28" x14ac:dyDescent="0.15">
      <c r="A1188" s="62"/>
      <c r="B1188" s="93"/>
      <c r="C1188" s="102"/>
      <c r="D1188" s="62"/>
      <c r="E1188" s="102"/>
      <c r="F1188" s="102"/>
      <c r="G1188" s="102"/>
      <c r="H1188" s="175"/>
      <c r="I1188" s="85"/>
      <c r="J1188" s="104"/>
      <c r="K1188" s="144"/>
      <c r="L1188" s="61"/>
    </row>
    <row r="1189" spans="1:28" x14ac:dyDescent="0.15">
      <c r="A1189" s="62"/>
      <c r="B1189" s="93"/>
      <c r="C1189" s="102"/>
      <c r="D1189" s="62"/>
      <c r="E1189" s="102"/>
      <c r="F1189" s="102"/>
      <c r="G1189" s="102"/>
      <c r="H1189" s="175"/>
      <c r="I1189" s="85"/>
      <c r="J1189" s="104"/>
      <c r="K1189" s="144"/>
      <c r="L1189" s="61"/>
      <c r="S1189" s="14"/>
      <c r="T1189" s="14"/>
      <c r="U1189" s="14"/>
      <c r="V1189" s="14"/>
      <c r="W1189" s="14"/>
      <c r="X1189" s="14"/>
      <c r="Y1189" s="14"/>
      <c r="Z1189" s="17"/>
      <c r="AA1189" s="15"/>
      <c r="AB1189" s="15"/>
    </row>
    <row r="1190" spans="1:28" x14ac:dyDescent="0.15">
      <c r="A1190" s="62"/>
      <c r="B1190" s="93"/>
      <c r="C1190" s="102"/>
      <c r="D1190" s="62"/>
      <c r="E1190" s="102"/>
      <c r="F1190" s="102"/>
      <c r="G1190" s="102"/>
      <c r="H1190" s="175"/>
      <c r="I1190" s="85"/>
      <c r="J1190" s="104"/>
      <c r="K1190" s="144"/>
      <c r="L1190" s="61"/>
    </row>
    <row r="1191" spans="1:28" x14ac:dyDescent="0.15">
      <c r="A1191" s="62"/>
      <c r="B1191" s="93"/>
      <c r="C1191" s="102"/>
      <c r="D1191" s="62"/>
      <c r="E1191" s="102"/>
      <c r="F1191" s="102"/>
      <c r="G1191" s="102"/>
      <c r="H1191" s="175"/>
      <c r="I1191" s="85"/>
      <c r="J1191" s="104"/>
      <c r="K1191" s="144"/>
      <c r="L1191" s="61"/>
    </row>
    <row r="1192" spans="1:28" x14ac:dyDescent="0.15">
      <c r="A1192" s="62"/>
      <c r="B1192" s="93"/>
      <c r="C1192" s="102"/>
      <c r="D1192" s="62"/>
      <c r="E1192" s="102"/>
      <c r="F1192" s="102"/>
      <c r="G1192" s="102"/>
      <c r="H1192" s="175"/>
      <c r="I1192" s="85"/>
      <c r="J1192" s="104"/>
      <c r="K1192" s="144"/>
      <c r="L1192" s="61"/>
    </row>
    <row r="1193" spans="1:28" x14ac:dyDescent="0.15">
      <c r="A1193" s="62"/>
      <c r="B1193" s="93"/>
      <c r="C1193" s="102"/>
      <c r="D1193" s="62"/>
      <c r="E1193" s="102"/>
      <c r="F1193" s="102"/>
      <c r="G1193" s="102"/>
      <c r="H1193" s="175"/>
      <c r="I1193" s="98"/>
      <c r="J1193" s="98"/>
      <c r="K1193" s="135"/>
      <c r="L1193" s="62"/>
    </row>
    <row r="1194" spans="1:28" x14ac:dyDescent="0.15">
      <c r="A1194" s="62"/>
      <c r="B1194" s="93"/>
      <c r="C1194" s="102"/>
      <c r="D1194" s="62"/>
      <c r="E1194" s="102"/>
      <c r="F1194" s="102"/>
      <c r="G1194" s="102"/>
      <c r="H1194" s="175"/>
      <c r="I1194" s="98"/>
      <c r="J1194" s="98"/>
      <c r="K1194" s="135"/>
      <c r="L1194" s="62"/>
    </row>
    <row r="1195" spans="1:28" x14ac:dyDescent="0.15">
      <c r="A1195" s="62"/>
      <c r="B1195" s="93"/>
      <c r="C1195" s="102"/>
      <c r="D1195" s="62"/>
      <c r="E1195" s="102"/>
      <c r="F1195" s="102"/>
      <c r="G1195" s="102"/>
      <c r="H1195" s="175"/>
      <c r="I1195" s="98"/>
      <c r="J1195" s="98"/>
      <c r="K1195" s="135"/>
      <c r="L1195" s="62"/>
    </row>
    <row r="1196" spans="1:28" x14ac:dyDescent="0.15">
      <c r="A1196" s="62"/>
      <c r="B1196" s="93"/>
      <c r="C1196" s="102"/>
      <c r="D1196" s="62"/>
      <c r="E1196" s="102"/>
      <c r="F1196" s="102"/>
      <c r="G1196" s="102"/>
      <c r="H1196" s="175"/>
      <c r="I1196" s="98"/>
      <c r="J1196" s="98"/>
      <c r="K1196" s="135"/>
      <c r="L1196" s="62"/>
    </row>
    <row r="1197" spans="1:28" x14ac:dyDescent="0.15">
      <c r="A1197" s="62"/>
      <c r="B1197" s="93"/>
      <c r="C1197" s="102"/>
      <c r="D1197" s="62"/>
      <c r="E1197" s="100"/>
      <c r="F1197" s="102"/>
      <c r="G1197" s="102"/>
      <c r="H1197" s="175"/>
      <c r="I1197" s="98"/>
      <c r="J1197" s="98"/>
      <c r="K1197" s="135"/>
      <c r="L1197" s="62"/>
    </row>
    <row r="1198" spans="1:28" x14ac:dyDescent="0.15">
      <c r="A1198" s="62"/>
      <c r="B1198" s="93"/>
      <c r="C1198" s="102"/>
      <c r="D1198" s="62"/>
      <c r="E1198" s="102"/>
      <c r="F1198" s="102"/>
      <c r="G1198" s="102"/>
      <c r="H1198" s="175"/>
      <c r="I1198" s="85"/>
      <c r="J1198" s="104"/>
      <c r="K1198" s="144"/>
      <c r="L1198" s="62"/>
      <c r="Q1198" s="14"/>
      <c r="R1198" s="14"/>
    </row>
    <row r="1199" spans="1:28" x14ac:dyDescent="0.15">
      <c r="A1199" s="62"/>
      <c r="B1199" s="93"/>
      <c r="C1199" s="102"/>
      <c r="D1199" s="62"/>
      <c r="E1199" s="102"/>
      <c r="F1199" s="102"/>
      <c r="G1199" s="102"/>
      <c r="H1199" s="175"/>
      <c r="I1199" s="85"/>
      <c r="J1199" s="104"/>
      <c r="K1199" s="144"/>
      <c r="L1199" s="62"/>
    </row>
    <row r="1200" spans="1:28" x14ac:dyDescent="0.15">
      <c r="A1200" s="62"/>
      <c r="B1200" s="93"/>
      <c r="C1200" s="102"/>
      <c r="D1200" s="62"/>
      <c r="E1200" s="102"/>
      <c r="F1200" s="102"/>
      <c r="G1200" s="102"/>
      <c r="H1200" s="175"/>
      <c r="I1200" s="85"/>
      <c r="J1200" s="104"/>
      <c r="K1200" s="144"/>
      <c r="L1200" s="62"/>
    </row>
    <row r="1201" spans="1:18" x14ac:dyDescent="0.15">
      <c r="A1201" s="62"/>
      <c r="B1201" s="93"/>
      <c r="C1201" s="102"/>
      <c r="D1201" s="62"/>
      <c r="E1201" s="100"/>
      <c r="F1201" s="102"/>
      <c r="G1201" s="102"/>
      <c r="H1201" s="175"/>
      <c r="I1201" s="85"/>
      <c r="J1201" s="104"/>
      <c r="K1201" s="144"/>
      <c r="L1201" s="62"/>
    </row>
    <row r="1202" spans="1:18" x14ac:dyDescent="0.15">
      <c r="A1202" s="62"/>
      <c r="B1202" s="93"/>
      <c r="C1202" s="100"/>
      <c r="D1202" s="61"/>
      <c r="E1202" s="102"/>
      <c r="F1202" s="100"/>
      <c r="G1202" s="100"/>
      <c r="H1202" s="177"/>
      <c r="I1202" s="85"/>
      <c r="J1202" s="101"/>
      <c r="K1202" s="144"/>
      <c r="L1202" s="62"/>
      <c r="Q1202" s="14"/>
      <c r="R1202" s="14"/>
    </row>
    <row r="1203" spans="1:18" x14ac:dyDescent="0.15">
      <c r="A1203" s="62"/>
      <c r="B1203" s="93"/>
      <c r="C1203" s="102"/>
      <c r="D1203" s="62"/>
      <c r="E1203" s="102"/>
      <c r="F1203" s="102"/>
      <c r="G1203" s="102"/>
      <c r="H1203" s="175"/>
      <c r="I1203" s="85"/>
      <c r="J1203" s="104"/>
      <c r="K1203" s="144"/>
      <c r="L1203" s="62"/>
    </row>
    <row r="1204" spans="1:18" x14ac:dyDescent="0.15">
      <c r="A1204" s="62"/>
      <c r="B1204" s="93"/>
      <c r="C1204" s="102"/>
      <c r="D1204" s="62"/>
      <c r="E1204" s="102"/>
      <c r="F1204" s="102"/>
      <c r="G1204" s="102"/>
      <c r="H1204" s="175"/>
      <c r="I1204" s="98"/>
      <c r="J1204" s="98"/>
      <c r="K1204" s="135"/>
      <c r="L1204" s="62"/>
    </row>
    <row r="1205" spans="1:18" x14ac:dyDescent="0.15">
      <c r="A1205" s="62"/>
      <c r="B1205" s="93"/>
      <c r="C1205" s="102"/>
      <c r="D1205" s="62"/>
      <c r="E1205" s="102"/>
      <c r="F1205" s="102"/>
      <c r="G1205" s="102"/>
      <c r="H1205" s="175"/>
      <c r="I1205" s="98"/>
      <c r="J1205" s="98"/>
      <c r="K1205" s="135"/>
      <c r="L1205" s="62"/>
    </row>
    <row r="1206" spans="1:18" x14ac:dyDescent="0.15">
      <c r="A1206" s="62"/>
      <c r="B1206" s="93"/>
      <c r="C1206" s="102"/>
      <c r="D1206" s="62"/>
      <c r="E1206" s="102"/>
      <c r="F1206" s="102"/>
      <c r="G1206" s="102"/>
      <c r="H1206" s="175"/>
      <c r="I1206" s="98"/>
      <c r="J1206" s="98"/>
      <c r="K1206" s="135"/>
      <c r="L1206" s="62"/>
    </row>
    <row r="1207" spans="1:18" x14ac:dyDescent="0.15">
      <c r="A1207" s="62"/>
      <c r="B1207" s="93"/>
      <c r="C1207" s="102"/>
      <c r="D1207" s="62"/>
      <c r="E1207" s="102"/>
      <c r="F1207" s="102"/>
      <c r="G1207" s="102"/>
      <c r="H1207" s="175"/>
      <c r="I1207" s="98"/>
      <c r="J1207" s="98"/>
      <c r="K1207" s="141"/>
      <c r="L1207" s="62"/>
    </row>
    <row r="1208" spans="1:18" x14ac:dyDescent="0.15">
      <c r="A1208" s="62"/>
      <c r="B1208" s="93"/>
      <c r="C1208" s="102"/>
      <c r="D1208" s="62"/>
      <c r="E1208" s="102"/>
      <c r="F1208" s="102"/>
      <c r="G1208" s="102"/>
      <c r="H1208" s="175"/>
      <c r="I1208" s="98"/>
      <c r="J1208" s="98"/>
      <c r="K1208" s="135"/>
      <c r="L1208" s="62"/>
    </row>
    <row r="1209" spans="1:18" x14ac:dyDescent="0.15">
      <c r="A1209" s="62"/>
      <c r="B1209" s="93"/>
      <c r="C1209" s="102"/>
      <c r="D1209" s="62"/>
      <c r="E1209" s="102"/>
      <c r="F1209" s="102"/>
      <c r="G1209" s="102"/>
      <c r="H1209" s="175"/>
      <c r="I1209" s="98"/>
      <c r="J1209" s="98"/>
      <c r="K1209" s="135"/>
      <c r="L1209" s="62"/>
    </row>
    <row r="1210" spans="1:18" x14ac:dyDescent="0.15">
      <c r="A1210" s="62"/>
      <c r="B1210" s="93"/>
      <c r="C1210" s="102"/>
      <c r="D1210" s="62"/>
      <c r="E1210" s="100"/>
      <c r="F1210" s="102"/>
      <c r="G1210" s="102"/>
      <c r="H1210" s="175"/>
      <c r="I1210" s="98"/>
      <c r="J1210" s="98"/>
      <c r="K1210" s="135"/>
      <c r="L1210" s="62"/>
    </row>
    <row r="1211" spans="1:18" x14ac:dyDescent="0.15">
      <c r="A1211" s="62"/>
      <c r="B1211" s="93"/>
      <c r="C1211" s="100"/>
      <c r="D1211" s="61"/>
      <c r="E1211" s="102"/>
      <c r="F1211" s="100"/>
      <c r="G1211" s="100"/>
      <c r="H1211" s="177"/>
      <c r="I1211" s="98"/>
      <c r="J1211" s="98"/>
      <c r="K1211" s="135"/>
      <c r="L1211" s="62"/>
    </row>
    <row r="1212" spans="1:18" x14ac:dyDescent="0.15">
      <c r="A1212" s="62"/>
      <c r="B1212" s="93"/>
      <c r="C1212" s="102"/>
      <c r="D1212" s="62"/>
      <c r="E1212" s="102"/>
      <c r="F1212" s="102"/>
      <c r="G1212" s="102"/>
      <c r="H1212" s="175"/>
      <c r="I1212" s="85"/>
      <c r="J1212" s="104"/>
      <c r="K1212" s="144"/>
      <c r="L1212" s="62"/>
    </row>
    <row r="1213" spans="1:18" x14ac:dyDescent="0.15">
      <c r="A1213" s="62"/>
      <c r="B1213" s="93"/>
      <c r="C1213" s="102"/>
      <c r="D1213" s="62"/>
      <c r="E1213" s="102"/>
      <c r="F1213" s="102"/>
      <c r="G1213" s="102"/>
      <c r="H1213" s="175"/>
      <c r="I1213" s="85"/>
      <c r="J1213" s="104"/>
      <c r="K1213" s="144"/>
      <c r="L1213" s="62"/>
    </row>
    <row r="1214" spans="1:18" x14ac:dyDescent="0.15">
      <c r="A1214" s="62"/>
      <c r="B1214" s="93"/>
      <c r="C1214" s="102"/>
      <c r="D1214" s="62"/>
      <c r="E1214" s="102"/>
      <c r="F1214" s="102"/>
      <c r="G1214" s="102"/>
      <c r="H1214" s="175"/>
      <c r="I1214" s="85"/>
      <c r="J1214" s="104"/>
      <c r="K1214" s="144"/>
      <c r="L1214" s="62"/>
    </row>
    <row r="1215" spans="1:18" x14ac:dyDescent="0.15">
      <c r="A1215" s="62"/>
      <c r="B1215" s="93"/>
      <c r="C1215" s="102"/>
      <c r="D1215" s="62"/>
      <c r="E1215" s="102"/>
      <c r="F1215" s="102"/>
      <c r="G1215" s="102"/>
      <c r="H1215" s="175"/>
      <c r="I1215" s="85"/>
      <c r="J1215" s="104"/>
      <c r="K1215" s="144"/>
      <c r="L1215" s="62"/>
    </row>
    <row r="1216" spans="1:18" x14ac:dyDescent="0.15">
      <c r="A1216" s="62"/>
      <c r="B1216" s="93"/>
      <c r="C1216" s="102"/>
      <c r="D1216" s="62"/>
      <c r="E1216" s="102"/>
      <c r="F1216" s="102"/>
      <c r="G1216" s="102"/>
      <c r="H1216" s="175"/>
      <c r="I1216" s="85"/>
      <c r="J1216" s="104"/>
      <c r="K1216" s="144"/>
      <c r="L1216" s="62"/>
    </row>
    <row r="1217" spans="1:12" x14ac:dyDescent="0.15">
      <c r="A1217" s="62"/>
      <c r="B1217" s="93"/>
      <c r="C1217" s="102"/>
      <c r="D1217" s="62"/>
      <c r="E1217" s="102"/>
      <c r="F1217" s="102"/>
      <c r="G1217" s="102"/>
      <c r="H1217" s="175"/>
      <c r="I1217" s="85"/>
      <c r="J1217" s="104"/>
      <c r="K1217" s="144"/>
      <c r="L1217" s="62"/>
    </row>
    <row r="1218" spans="1:12" x14ac:dyDescent="0.15">
      <c r="A1218" s="62"/>
      <c r="B1218" s="93"/>
      <c r="C1218" s="102"/>
      <c r="D1218" s="62"/>
      <c r="E1218" s="102"/>
      <c r="F1218" s="102"/>
      <c r="G1218" s="102"/>
      <c r="H1218" s="175"/>
      <c r="I1218" s="85"/>
      <c r="J1218" s="104"/>
      <c r="K1218" s="144"/>
      <c r="L1218" s="62"/>
    </row>
    <row r="1219" spans="1:12" x14ac:dyDescent="0.15">
      <c r="A1219" s="62"/>
      <c r="B1219" s="93"/>
      <c r="C1219" s="102"/>
      <c r="D1219" s="62"/>
      <c r="E1219" s="102"/>
      <c r="F1219" s="102"/>
      <c r="G1219" s="102"/>
      <c r="H1219" s="175"/>
      <c r="I1219" s="85"/>
      <c r="J1219" s="104"/>
      <c r="K1219" s="144"/>
      <c r="L1219" s="62"/>
    </row>
    <row r="1220" spans="1:12" x14ac:dyDescent="0.15">
      <c r="A1220" s="62"/>
      <c r="B1220" s="93"/>
      <c r="C1220" s="102"/>
      <c r="D1220" s="62"/>
      <c r="E1220" s="102"/>
      <c r="F1220" s="102"/>
      <c r="G1220" s="102"/>
      <c r="H1220" s="175"/>
      <c r="I1220" s="85"/>
      <c r="J1220" s="104"/>
      <c r="K1220" s="144"/>
      <c r="L1220" s="62"/>
    </row>
    <row r="1221" spans="1:12" x14ac:dyDescent="0.15">
      <c r="A1221" s="62"/>
      <c r="B1221" s="93"/>
      <c r="C1221" s="102"/>
      <c r="D1221" s="62"/>
      <c r="E1221" s="102"/>
      <c r="F1221" s="102"/>
      <c r="G1221" s="102"/>
      <c r="H1221" s="175"/>
      <c r="I1221" s="85"/>
      <c r="J1221" s="104"/>
      <c r="K1221" s="144"/>
      <c r="L1221" s="62"/>
    </row>
    <row r="1222" spans="1:12" x14ac:dyDescent="0.15">
      <c r="A1222" s="62"/>
      <c r="B1222" s="93"/>
      <c r="C1222" s="102"/>
      <c r="D1222" s="62"/>
      <c r="E1222" s="102"/>
      <c r="F1222" s="102"/>
      <c r="G1222" s="102"/>
      <c r="H1222" s="175"/>
      <c r="I1222" s="85"/>
      <c r="J1222" s="104"/>
      <c r="K1222" s="144"/>
      <c r="L1222" s="62"/>
    </row>
    <row r="1223" spans="1:12" x14ac:dyDescent="0.15">
      <c r="A1223" s="62"/>
      <c r="B1223" s="93"/>
      <c r="C1223" s="102"/>
      <c r="D1223" s="62"/>
      <c r="E1223" s="102"/>
      <c r="F1223" s="102"/>
      <c r="G1223" s="102"/>
      <c r="H1223" s="175"/>
      <c r="I1223" s="85"/>
      <c r="J1223" s="104"/>
      <c r="K1223" s="143"/>
      <c r="L1223" s="61"/>
    </row>
    <row r="1224" spans="1:12" x14ac:dyDescent="0.15">
      <c r="A1224" s="62"/>
      <c r="B1224" s="93"/>
      <c r="C1224" s="102"/>
      <c r="D1224" s="62"/>
      <c r="E1224" s="102"/>
      <c r="F1224" s="102"/>
      <c r="G1224" s="102"/>
      <c r="H1224" s="175"/>
      <c r="I1224" s="85"/>
      <c r="J1224" s="104"/>
      <c r="K1224" s="144"/>
      <c r="L1224" s="62"/>
    </row>
    <row r="1225" spans="1:12" x14ac:dyDescent="0.15">
      <c r="A1225" s="62"/>
      <c r="B1225" s="93"/>
      <c r="C1225" s="102"/>
      <c r="D1225" s="62"/>
      <c r="E1225" s="102"/>
      <c r="F1225" s="102"/>
      <c r="G1225" s="102"/>
      <c r="H1225" s="175"/>
      <c r="I1225" s="85"/>
      <c r="J1225" s="104"/>
      <c r="K1225" s="144"/>
      <c r="L1225" s="62"/>
    </row>
    <row r="1226" spans="1:12" x14ac:dyDescent="0.15">
      <c r="A1226" s="62"/>
      <c r="B1226" s="93"/>
      <c r="C1226" s="102"/>
      <c r="D1226" s="62"/>
      <c r="E1226" s="102"/>
      <c r="F1226" s="102"/>
      <c r="G1226" s="102"/>
      <c r="H1226" s="175"/>
      <c r="I1226" s="85"/>
      <c r="J1226" s="104"/>
      <c r="K1226" s="144"/>
      <c r="L1226" s="62"/>
    </row>
    <row r="1227" spans="1:12" x14ac:dyDescent="0.15">
      <c r="A1227" s="62"/>
      <c r="B1227" s="93"/>
      <c r="C1227" s="102"/>
      <c r="D1227" s="62"/>
      <c r="E1227" s="102"/>
      <c r="F1227" s="102"/>
      <c r="G1227" s="102"/>
      <c r="H1227" s="175"/>
      <c r="I1227" s="85"/>
      <c r="J1227" s="104"/>
      <c r="K1227" s="144"/>
      <c r="L1227" s="62"/>
    </row>
    <row r="1228" spans="1:12" x14ac:dyDescent="0.15">
      <c r="A1228" s="62"/>
      <c r="B1228" s="93"/>
      <c r="C1228" s="102"/>
      <c r="D1228" s="62"/>
      <c r="E1228" s="102"/>
      <c r="F1228" s="102"/>
      <c r="G1228" s="102"/>
      <c r="H1228" s="175"/>
      <c r="I1228" s="85"/>
      <c r="J1228" s="104"/>
      <c r="K1228" s="144"/>
      <c r="L1228" s="62"/>
    </row>
    <row r="1229" spans="1:12" x14ac:dyDescent="0.15">
      <c r="A1229" s="62"/>
      <c r="B1229" s="93"/>
      <c r="C1229" s="102"/>
      <c r="D1229" s="62"/>
      <c r="E1229" s="102"/>
      <c r="F1229" s="102"/>
      <c r="G1229" s="102"/>
      <c r="H1229" s="175"/>
      <c r="I1229" s="85"/>
      <c r="J1229" s="104"/>
      <c r="K1229" s="144"/>
      <c r="L1229" s="62"/>
    </row>
    <row r="1230" spans="1:12" x14ac:dyDescent="0.15">
      <c r="A1230" s="62"/>
      <c r="B1230" s="93"/>
      <c r="C1230" s="102"/>
      <c r="D1230" s="62"/>
      <c r="E1230" s="102"/>
      <c r="F1230" s="102"/>
      <c r="G1230" s="102"/>
      <c r="H1230" s="175"/>
      <c r="I1230" s="85"/>
      <c r="J1230" s="104"/>
      <c r="K1230" s="144"/>
      <c r="L1230" s="62"/>
    </row>
    <row r="1231" spans="1:12" x14ac:dyDescent="0.15">
      <c r="A1231" s="62"/>
      <c r="B1231" s="93"/>
      <c r="C1231" s="102"/>
      <c r="D1231" s="62"/>
      <c r="E1231" s="102"/>
      <c r="F1231" s="102"/>
      <c r="G1231" s="102"/>
      <c r="H1231" s="175"/>
      <c r="I1231" s="85"/>
      <c r="J1231" s="104"/>
      <c r="K1231" s="144"/>
      <c r="L1231" s="62"/>
    </row>
    <row r="1232" spans="1:12" x14ac:dyDescent="0.15">
      <c r="A1232" s="62"/>
      <c r="B1232" s="93"/>
      <c r="C1232" s="102"/>
      <c r="D1232" s="62"/>
      <c r="E1232" s="102"/>
      <c r="F1232" s="102"/>
      <c r="G1232" s="102"/>
      <c r="H1232" s="175"/>
      <c r="I1232" s="85"/>
      <c r="J1232" s="104"/>
      <c r="K1232" s="144"/>
      <c r="L1232" s="62"/>
    </row>
    <row r="1233" spans="1:28" x14ac:dyDescent="0.15">
      <c r="A1233" s="62"/>
      <c r="B1233" s="93"/>
      <c r="C1233" s="102"/>
      <c r="D1233" s="62"/>
      <c r="E1233" s="102"/>
      <c r="F1233" s="102"/>
      <c r="G1233" s="102"/>
      <c r="H1233" s="175"/>
      <c r="I1233" s="85"/>
      <c r="J1233" s="104"/>
      <c r="K1233" s="144"/>
      <c r="L1233" s="62"/>
    </row>
    <row r="1234" spans="1:28" x14ac:dyDescent="0.15">
      <c r="A1234" s="62"/>
      <c r="B1234" s="93"/>
      <c r="C1234" s="102"/>
      <c r="D1234" s="62"/>
      <c r="E1234" s="102"/>
      <c r="F1234" s="102"/>
      <c r="G1234" s="102"/>
      <c r="H1234" s="175"/>
      <c r="I1234" s="85"/>
      <c r="J1234" s="104"/>
      <c r="K1234" s="144"/>
      <c r="L1234" s="62"/>
    </row>
    <row r="1235" spans="1:28" x14ac:dyDescent="0.15">
      <c r="A1235" s="62"/>
      <c r="B1235" s="93"/>
      <c r="C1235" s="102"/>
      <c r="D1235" s="62"/>
      <c r="E1235" s="100"/>
      <c r="F1235" s="102"/>
      <c r="G1235" s="102"/>
      <c r="H1235" s="175"/>
      <c r="I1235" s="85"/>
      <c r="J1235" s="104"/>
      <c r="K1235" s="144"/>
      <c r="L1235" s="62"/>
    </row>
    <row r="1236" spans="1:28" x14ac:dyDescent="0.15">
      <c r="A1236" s="62"/>
      <c r="B1236" s="93"/>
      <c r="C1236" s="100"/>
      <c r="D1236" s="61"/>
      <c r="E1236" s="100"/>
      <c r="F1236" s="100"/>
      <c r="G1236" s="100"/>
      <c r="H1236" s="177"/>
      <c r="I1236" s="85"/>
      <c r="J1236" s="103"/>
      <c r="K1236" s="135"/>
      <c r="L1236" s="62"/>
    </row>
    <row r="1237" spans="1:28" x14ac:dyDescent="0.15">
      <c r="A1237" s="62"/>
      <c r="B1237" s="93"/>
      <c r="C1237" s="102"/>
      <c r="D1237" s="62"/>
      <c r="E1237" s="102"/>
      <c r="F1237" s="102"/>
      <c r="G1237" s="102"/>
      <c r="H1237" s="175"/>
      <c r="I1237" s="98"/>
      <c r="J1237" s="98"/>
      <c r="K1237" s="135"/>
      <c r="L1237" s="62"/>
    </row>
    <row r="1238" spans="1:28" x14ac:dyDescent="0.15">
      <c r="A1238" s="62"/>
      <c r="B1238" s="93"/>
      <c r="C1238" s="102"/>
      <c r="D1238" s="62"/>
      <c r="E1238" s="102"/>
      <c r="F1238" s="102"/>
      <c r="G1238" s="102"/>
      <c r="H1238" s="175"/>
      <c r="I1238" s="98"/>
      <c r="J1238" s="98"/>
      <c r="K1238" s="135"/>
      <c r="L1238" s="62"/>
    </row>
    <row r="1239" spans="1:28" x14ac:dyDescent="0.15">
      <c r="A1239" s="62"/>
      <c r="B1239" s="93"/>
      <c r="C1239" s="102"/>
      <c r="D1239" s="62"/>
      <c r="E1239" s="102"/>
      <c r="F1239" s="102"/>
      <c r="G1239" s="102"/>
      <c r="H1239" s="175"/>
      <c r="I1239" s="85"/>
      <c r="J1239" s="104"/>
      <c r="K1239" s="144"/>
      <c r="L1239" s="62"/>
    </row>
    <row r="1240" spans="1:28" x14ac:dyDescent="0.15">
      <c r="A1240" s="62"/>
      <c r="B1240" s="93"/>
      <c r="C1240" s="102"/>
      <c r="D1240" s="62"/>
      <c r="E1240" s="102"/>
      <c r="F1240" s="102"/>
      <c r="G1240" s="102"/>
      <c r="H1240" s="175"/>
      <c r="I1240" s="85"/>
      <c r="J1240" s="104"/>
      <c r="K1240" s="144"/>
      <c r="L1240" s="62"/>
    </row>
    <row r="1241" spans="1:28" x14ac:dyDescent="0.15">
      <c r="A1241" s="62"/>
      <c r="B1241" s="93"/>
      <c r="C1241" s="102"/>
      <c r="D1241" s="62"/>
      <c r="E1241" s="102"/>
      <c r="F1241" s="102"/>
      <c r="G1241" s="102"/>
      <c r="H1241" s="175"/>
      <c r="I1241" s="85"/>
      <c r="J1241" s="104"/>
      <c r="K1241" s="144"/>
      <c r="L1241" s="62"/>
    </row>
    <row r="1242" spans="1:28" x14ac:dyDescent="0.15">
      <c r="A1242" s="62"/>
      <c r="B1242" s="93"/>
      <c r="C1242" s="102"/>
      <c r="D1242" s="62"/>
      <c r="E1242" s="102"/>
      <c r="F1242" s="102"/>
      <c r="G1242" s="102"/>
      <c r="H1242" s="175"/>
      <c r="I1242" s="85"/>
      <c r="J1242" s="104"/>
      <c r="K1242" s="144"/>
      <c r="L1242" s="62"/>
    </row>
    <row r="1243" spans="1:28" x14ac:dyDescent="0.15">
      <c r="A1243" s="62"/>
      <c r="B1243" s="93"/>
      <c r="C1243" s="102"/>
      <c r="D1243" s="62"/>
      <c r="E1243" s="102"/>
      <c r="F1243" s="102"/>
      <c r="G1243" s="102"/>
      <c r="H1243" s="175"/>
      <c r="I1243" s="85"/>
      <c r="J1243" s="104"/>
      <c r="K1243" s="144"/>
      <c r="L1243" s="62"/>
    </row>
    <row r="1244" spans="1:28" x14ac:dyDescent="0.15">
      <c r="A1244" s="62"/>
      <c r="B1244" s="93"/>
      <c r="C1244" s="102"/>
      <c r="D1244" s="62"/>
      <c r="E1244" s="102"/>
      <c r="F1244" s="102"/>
      <c r="G1244" s="102"/>
      <c r="H1244" s="175"/>
      <c r="I1244" s="85"/>
      <c r="J1244" s="104"/>
      <c r="K1244" s="144"/>
      <c r="L1244" s="62"/>
    </row>
    <row r="1245" spans="1:28" x14ac:dyDescent="0.15">
      <c r="A1245" s="62"/>
      <c r="B1245" s="93"/>
      <c r="C1245" s="102"/>
      <c r="D1245" s="62"/>
      <c r="E1245" s="102"/>
      <c r="F1245" s="102"/>
      <c r="G1245" s="102"/>
      <c r="H1245" s="175"/>
      <c r="I1245" s="85"/>
      <c r="J1245" s="104"/>
      <c r="K1245" s="144"/>
      <c r="L1245" s="62"/>
    </row>
    <row r="1246" spans="1:28" x14ac:dyDescent="0.15">
      <c r="A1246" s="62"/>
      <c r="B1246" s="93"/>
      <c r="C1246" s="102"/>
      <c r="D1246" s="62"/>
      <c r="E1246" s="102"/>
      <c r="F1246" s="102"/>
      <c r="G1246" s="102"/>
      <c r="H1246" s="175"/>
      <c r="I1246" s="98"/>
      <c r="J1246" s="98"/>
      <c r="K1246" s="135"/>
      <c r="L1246" s="62"/>
    </row>
    <row r="1247" spans="1:28" x14ac:dyDescent="0.15">
      <c r="A1247" s="62"/>
      <c r="B1247" s="93"/>
      <c r="C1247" s="100"/>
      <c r="D1247" s="61"/>
      <c r="E1247" s="100"/>
      <c r="F1247" s="100"/>
      <c r="G1247" s="100"/>
      <c r="H1247" s="177"/>
      <c r="I1247" s="98"/>
      <c r="J1247" s="103"/>
      <c r="K1247" s="135"/>
      <c r="L1247" s="62"/>
      <c r="S1247" s="14"/>
      <c r="T1247" s="14"/>
      <c r="U1247" s="14"/>
      <c r="V1247" s="14"/>
      <c r="W1247" s="14"/>
      <c r="X1247" s="14"/>
      <c r="Y1247" s="14"/>
      <c r="Z1247" s="17"/>
      <c r="AA1247" s="15"/>
      <c r="AB1247" s="15"/>
    </row>
    <row r="1248" spans="1:28" x14ac:dyDescent="0.15">
      <c r="A1248" s="62"/>
      <c r="B1248" s="93"/>
      <c r="C1248" s="102"/>
      <c r="D1248" s="62"/>
      <c r="E1248" s="102"/>
      <c r="F1248" s="102"/>
      <c r="G1248" s="102"/>
      <c r="H1248" s="175"/>
      <c r="I1248" s="98"/>
      <c r="J1248" s="98"/>
      <c r="K1248" s="135"/>
      <c r="L1248" s="62"/>
    </row>
    <row r="1249" spans="1:28" x14ac:dyDescent="0.15">
      <c r="A1249" s="229"/>
      <c r="B1249" s="93"/>
      <c r="C1249" s="102"/>
      <c r="D1249" s="62"/>
      <c r="E1249" s="102"/>
      <c r="F1249" s="102"/>
      <c r="G1249" s="102"/>
      <c r="H1249" s="175"/>
      <c r="I1249" s="98"/>
      <c r="J1249" s="98"/>
      <c r="K1249" s="135"/>
      <c r="L1249" s="62"/>
    </row>
    <row r="1250" spans="1:28" x14ac:dyDescent="0.15">
      <c r="A1250" s="229"/>
      <c r="B1250" s="93"/>
      <c r="C1250" s="102"/>
      <c r="D1250" s="62"/>
      <c r="E1250" s="102"/>
      <c r="F1250" s="102"/>
      <c r="G1250" s="102"/>
      <c r="H1250" s="175"/>
      <c r="I1250" s="98"/>
      <c r="J1250" s="98"/>
      <c r="K1250" s="135"/>
      <c r="L1250" s="62"/>
    </row>
    <row r="1251" spans="1:28" x14ac:dyDescent="0.15">
      <c r="A1251" s="62"/>
      <c r="B1251" s="93"/>
      <c r="C1251" s="102"/>
      <c r="D1251" s="62"/>
      <c r="E1251" s="102"/>
      <c r="F1251" s="102"/>
      <c r="G1251" s="102"/>
      <c r="H1251" s="175"/>
      <c r="I1251" s="98"/>
      <c r="J1251" s="98"/>
      <c r="K1251" s="135"/>
      <c r="L1251" s="62"/>
    </row>
    <row r="1252" spans="1:28" x14ac:dyDescent="0.15">
      <c r="A1252" s="62"/>
      <c r="B1252" s="93"/>
      <c r="C1252" s="102"/>
      <c r="D1252" s="62"/>
      <c r="E1252" s="102"/>
      <c r="F1252" s="102"/>
      <c r="G1252" s="102"/>
      <c r="H1252" s="175"/>
      <c r="I1252" s="98"/>
      <c r="J1252" s="98"/>
      <c r="K1252" s="135"/>
      <c r="L1252" s="62"/>
    </row>
    <row r="1253" spans="1:28" s="15" customFormat="1" x14ac:dyDescent="0.15">
      <c r="A1253" s="62"/>
      <c r="B1253" s="93"/>
      <c r="C1253" s="102"/>
      <c r="D1253" s="62"/>
      <c r="E1253" s="102"/>
      <c r="F1253" s="102"/>
      <c r="G1253" s="102"/>
      <c r="H1253" s="175"/>
      <c r="I1253" s="98"/>
      <c r="J1253" s="98"/>
      <c r="K1253" s="135"/>
      <c r="L1253" s="62"/>
      <c r="M1253" s="49"/>
      <c r="N1253" s="37"/>
      <c r="O1253" s="37"/>
      <c r="P1253" s="37"/>
      <c r="Q1253" s="3"/>
      <c r="R1253" s="3"/>
      <c r="S1253" s="3"/>
      <c r="T1253" s="3"/>
      <c r="U1253" s="3"/>
      <c r="V1253" s="3"/>
      <c r="W1253" s="3"/>
      <c r="X1253" s="3"/>
      <c r="Y1253" s="3"/>
      <c r="Z1253" s="4"/>
      <c r="AA1253"/>
      <c r="AB1253"/>
    </row>
    <row r="1254" spans="1:28" x14ac:dyDescent="0.15">
      <c r="A1254" s="62"/>
      <c r="B1254" s="93"/>
      <c r="C1254" s="102"/>
      <c r="D1254" s="62"/>
      <c r="E1254" s="100"/>
      <c r="F1254" s="102"/>
      <c r="G1254" s="102"/>
      <c r="H1254" s="175"/>
      <c r="I1254" s="85"/>
      <c r="J1254" s="104"/>
      <c r="K1254" s="144"/>
      <c r="L1254" s="62"/>
    </row>
    <row r="1255" spans="1:28" x14ac:dyDescent="0.15">
      <c r="A1255" s="62"/>
      <c r="B1255" s="93"/>
      <c r="C1255" s="102"/>
      <c r="D1255" s="62"/>
      <c r="E1255" s="102"/>
      <c r="F1255" s="102"/>
      <c r="G1255" s="102"/>
      <c r="H1255" s="175"/>
      <c r="I1255" s="85"/>
      <c r="J1255" s="104"/>
      <c r="K1255" s="144"/>
      <c r="L1255" s="62"/>
    </row>
    <row r="1256" spans="1:28" x14ac:dyDescent="0.15">
      <c r="A1256" s="229"/>
      <c r="B1256" s="93"/>
      <c r="C1256" s="102"/>
      <c r="D1256" s="62"/>
      <c r="E1256" s="102"/>
      <c r="F1256" s="102"/>
      <c r="G1256" s="102"/>
      <c r="H1256" s="175"/>
      <c r="I1256" s="85"/>
      <c r="J1256" s="104"/>
      <c r="K1256" s="144"/>
      <c r="L1256" s="62"/>
    </row>
    <row r="1257" spans="1:28" x14ac:dyDescent="0.15">
      <c r="A1257" s="62"/>
      <c r="B1257" s="93"/>
      <c r="C1257" s="102"/>
      <c r="D1257" s="62"/>
      <c r="E1257" s="102"/>
      <c r="F1257" s="102"/>
      <c r="G1257" s="102"/>
      <c r="H1257" s="175"/>
      <c r="I1257" s="85"/>
      <c r="J1257" s="104"/>
      <c r="K1257" s="144"/>
      <c r="L1257" s="62"/>
    </row>
    <row r="1258" spans="1:28" x14ac:dyDescent="0.15">
      <c r="A1258" s="62"/>
      <c r="B1258" s="82"/>
      <c r="C1258" s="107"/>
      <c r="D1258" s="62"/>
      <c r="E1258" s="107"/>
      <c r="F1258" s="107"/>
      <c r="G1258" s="107"/>
      <c r="H1258" s="179"/>
      <c r="I1258" s="85"/>
      <c r="J1258" s="104"/>
      <c r="K1258" s="144"/>
      <c r="L1258" s="62"/>
    </row>
    <row r="1259" spans="1:28" x14ac:dyDescent="0.15">
      <c r="A1259" s="62"/>
      <c r="B1259" s="93"/>
      <c r="C1259" s="102"/>
      <c r="D1259" s="62"/>
      <c r="E1259" s="102"/>
      <c r="F1259" s="102"/>
      <c r="G1259" s="102"/>
      <c r="H1259" s="175"/>
      <c r="I1259" s="85"/>
      <c r="J1259" s="104"/>
      <c r="K1259" s="144"/>
      <c r="L1259" s="62"/>
    </row>
    <row r="1260" spans="1:28" x14ac:dyDescent="0.15">
      <c r="A1260" s="62"/>
      <c r="B1260" s="93"/>
      <c r="C1260" s="102"/>
      <c r="D1260" s="62"/>
      <c r="E1260" s="102"/>
      <c r="F1260" s="102"/>
      <c r="G1260" s="102"/>
      <c r="H1260" s="175"/>
      <c r="I1260" s="85"/>
      <c r="J1260" s="104"/>
      <c r="K1260" s="144"/>
      <c r="L1260" s="62"/>
    </row>
    <row r="1261" spans="1:28" x14ac:dyDescent="0.15">
      <c r="A1261" s="62"/>
      <c r="B1261" s="93"/>
      <c r="C1261" s="102"/>
      <c r="D1261" s="62"/>
      <c r="E1261" s="102"/>
      <c r="F1261" s="102"/>
      <c r="G1261" s="102"/>
      <c r="H1261" s="175"/>
      <c r="I1261" s="85"/>
      <c r="J1261" s="104"/>
      <c r="K1261" s="144"/>
      <c r="L1261" s="62"/>
    </row>
    <row r="1262" spans="1:28" x14ac:dyDescent="0.15">
      <c r="A1262" s="62"/>
      <c r="B1262" s="93"/>
      <c r="C1262" s="102"/>
      <c r="D1262" s="62"/>
      <c r="E1262" s="102"/>
      <c r="F1262" s="102"/>
      <c r="G1262" s="102"/>
      <c r="H1262" s="175"/>
      <c r="I1262" s="85"/>
      <c r="J1262" s="104"/>
      <c r="K1262" s="144"/>
      <c r="L1262" s="62"/>
    </row>
    <row r="1263" spans="1:28" x14ac:dyDescent="0.15">
      <c r="A1263" s="229"/>
      <c r="B1263" s="93"/>
      <c r="C1263" s="102"/>
      <c r="D1263" s="62"/>
      <c r="E1263" s="102"/>
      <c r="F1263" s="102"/>
      <c r="G1263" s="102"/>
      <c r="H1263" s="175"/>
      <c r="I1263" s="85"/>
      <c r="J1263" s="104"/>
      <c r="K1263" s="144"/>
      <c r="L1263" s="62"/>
    </row>
    <row r="1264" spans="1:28" x14ac:dyDescent="0.15">
      <c r="A1264" s="62"/>
      <c r="B1264" s="93"/>
      <c r="C1264" s="102"/>
      <c r="D1264" s="62"/>
      <c r="E1264" s="102"/>
      <c r="F1264" s="102"/>
      <c r="G1264" s="102"/>
      <c r="H1264" s="175"/>
      <c r="I1264" s="85"/>
      <c r="J1264" s="104"/>
      <c r="K1264" s="144"/>
      <c r="L1264" s="62"/>
    </row>
    <row r="1265" spans="1:12" x14ac:dyDescent="0.15">
      <c r="A1265" s="62"/>
      <c r="B1265" s="93"/>
      <c r="C1265" s="102"/>
      <c r="D1265" s="62"/>
      <c r="E1265" s="102"/>
      <c r="F1265" s="102"/>
      <c r="G1265" s="102"/>
      <c r="H1265" s="175"/>
      <c r="I1265" s="85"/>
      <c r="J1265" s="104"/>
      <c r="K1265" s="144"/>
      <c r="L1265" s="62"/>
    </row>
    <row r="1266" spans="1:12" x14ac:dyDescent="0.15">
      <c r="A1266" s="62"/>
      <c r="B1266" s="93"/>
      <c r="C1266" s="102"/>
      <c r="D1266" s="62"/>
      <c r="E1266" s="102"/>
      <c r="F1266" s="102"/>
      <c r="G1266" s="102"/>
      <c r="H1266" s="175"/>
      <c r="I1266" s="85"/>
      <c r="J1266" s="104"/>
      <c r="K1266" s="144"/>
      <c r="L1266" s="62"/>
    </row>
    <row r="1267" spans="1:12" x14ac:dyDescent="0.15">
      <c r="A1267" s="62"/>
      <c r="B1267" s="93"/>
      <c r="C1267" s="102"/>
      <c r="D1267" s="62"/>
      <c r="E1267" s="102"/>
      <c r="F1267" s="102"/>
      <c r="G1267" s="102"/>
      <c r="H1267" s="175"/>
      <c r="I1267" s="85"/>
      <c r="J1267" s="104"/>
      <c r="K1267" s="144"/>
      <c r="L1267" s="62"/>
    </row>
    <row r="1268" spans="1:12" x14ac:dyDescent="0.15">
      <c r="A1268" s="62"/>
      <c r="B1268" s="93"/>
      <c r="C1268" s="102"/>
      <c r="D1268" s="62"/>
      <c r="E1268" s="102"/>
      <c r="F1268" s="102"/>
      <c r="G1268" s="102"/>
      <c r="H1268" s="175"/>
      <c r="I1268" s="85"/>
      <c r="J1268" s="104"/>
      <c r="K1268" s="144"/>
      <c r="L1268" s="62"/>
    </row>
    <row r="1269" spans="1:12" x14ac:dyDescent="0.15">
      <c r="A1269" s="62"/>
      <c r="B1269" s="93"/>
      <c r="C1269" s="102"/>
      <c r="D1269" s="62"/>
      <c r="E1269" s="102"/>
      <c r="F1269" s="102"/>
      <c r="G1269" s="102"/>
      <c r="H1269" s="175"/>
      <c r="I1269" s="85"/>
      <c r="J1269" s="104"/>
      <c r="K1269" s="144"/>
      <c r="L1269" s="62"/>
    </row>
    <row r="1270" spans="1:12" x14ac:dyDescent="0.15">
      <c r="A1270" s="62"/>
      <c r="B1270" s="93"/>
      <c r="C1270" s="102"/>
      <c r="D1270" s="62"/>
      <c r="E1270" s="102"/>
      <c r="F1270" s="102"/>
      <c r="G1270" s="102"/>
      <c r="H1270" s="175"/>
      <c r="I1270" s="85"/>
      <c r="J1270" s="104"/>
      <c r="K1270" s="144"/>
      <c r="L1270" s="62"/>
    </row>
    <row r="1271" spans="1:12" x14ac:dyDescent="0.15">
      <c r="A1271" s="62"/>
      <c r="B1271" s="93"/>
      <c r="C1271" s="102"/>
      <c r="D1271" s="62"/>
      <c r="E1271" s="102"/>
      <c r="F1271" s="102"/>
      <c r="G1271" s="102"/>
      <c r="H1271" s="175"/>
      <c r="I1271" s="85"/>
      <c r="J1271" s="104"/>
      <c r="K1271" s="144"/>
      <c r="L1271" s="62"/>
    </row>
    <row r="1272" spans="1:12" x14ac:dyDescent="0.15">
      <c r="A1272" s="62"/>
      <c r="B1272" s="93"/>
      <c r="C1272" s="102"/>
      <c r="D1272" s="62"/>
      <c r="E1272" s="102"/>
      <c r="F1272" s="102"/>
      <c r="G1272" s="102"/>
      <c r="H1272" s="175"/>
      <c r="I1272" s="85"/>
      <c r="J1272" s="104"/>
      <c r="K1272" s="144"/>
      <c r="L1272" s="62"/>
    </row>
    <row r="1273" spans="1:12" x14ac:dyDescent="0.15">
      <c r="A1273" s="62"/>
      <c r="B1273" s="93"/>
      <c r="C1273" s="102"/>
      <c r="D1273" s="62"/>
      <c r="E1273" s="102"/>
      <c r="F1273" s="102"/>
      <c r="G1273" s="102"/>
      <c r="H1273" s="175"/>
      <c r="I1273" s="98"/>
      <c r="J1273" s="98"/>
      <c r="K1273" s="135"/>
      <c r="L1273" s="62"/>
    </row>
    <row r="1274" spans="1:12" x14ac:dyDescent="0.15">
      <c r="A1274" s="62"/>
      <c r="B1274" s="93"/>
      <c r="C1274" s="102"/>
      <c r="D1274" s="62"/>
      <c r="E1274" s="102"/>
      <c r="F1274" s="102"/>
      <c r="G1274" s="102"/>
      <c r="H1274" s="175"/>
      <c r="I1274" s="98"/>
      <c r="J1274" s="98"/>
      <c r="K1274" s="135"/>
      <c r="L1274" s="62"/>
    </row>
    <row r="1275" spans="1:12" x14ac:dyDescent="0.15">
      <c r="A1275" s="62"/>
      <c r="B1275" s="93"/>
      <c r="C1275" s="102"/>
      <c r="D1275" s="62"/>
      <c r="E1275" s="102"/>
      <c r="F1275" s="102"/>
      <c r="G1275" s="102"/>
      <c r="H1275" s="175"/>
      <c r="I1275" s="85"/>
      <c r="J1275" s="104"/>
      <c r="K1275" s="144"/>
      <c r="L1275" s="62"/>
    </row>
    <row r="1276" spans="1:12" x14ac:dyDescent="0.15">
      <c r="A1276" s="62"/>
      <c r="B1276" s="93"/>
      <c r="C1276" s="102"/>
      <c r="D1276" s="62"/>
      <c r="E1276" s="102"/>
      <c r="F1276" s="102"/>
      <c r="G1276" s="102"/>
      <c r="H1276" s="175"/>
      <c r="I1276" s="85"/>
      <c r="J1276" s="104"/>
      <c r="K1276" s="144"/>
      <c r="L1276" s="62"/>
    </row>
    <row r="1277" spans="1:12" x14ac:dyDescent="0.15">
      <c r="A1277" s="62"/>
      <c r="B1277" s="93"/>
      <c r="C1277" s="102"/>
      <c r="D1277" s="62"/>
      <c r="E1277" s="102"/>
      <c r="F1277" s="102"/>
      <c r="G1277" s="102"/>
      <c r="H1277" s="175"/>
      <c r="I1277" s="85"/>
      <c r="J1277" s="104"/>
      <c r="K1277" s="144"/>
      <c r="L1277" s="62"/>
    </row>
    <row r="1278" spans="1:12" x14ac:dyDescent="0.15">
      <c r="A1278" s="62"/>
      <c r="B1278" s="93"/>
      <c r="C1278" s="102"/>
      <c r="D1278" s="62"/>
      <c r="E1278" s="102"/>
      <c r="F1278" s="102"/>
      <c r="G1278" s="102"/>
      <c r="H1278" s="175"/>
      <c r="I1278" s="85"/>
      <c r="J1278" s="104"/>
      <c r="K1278" s="144"/>
      <c r="L1278" s="62"/>
    </row>
    <row r="1279" spans="1:12" x14ac:dyDescent="0.15">
      <c r="A1279" s="62"/>
      <c r="B1279" s="93"/>
      <c r="C1279" s="102"/>
      <c r="D1279" s="62"/>
      <c r="E1279" s="102"/>
      <c r="F1279" s="102"/>
      <c r="G1279" s="102"/>
      <c r="H1279" s="175"/>
      <c r="I1279" s="85"/>
      <c r="J1279" s="104"/>
      <c r="K1279" s="144"/>
      <c r="L1279" s="62"/>
    </row>
    <row r="1280" spans="1:12" x14ac:dyDescent="0.15">
      <c r="A1280" s="62"/>
      <c r="B1280" s="93"/>
      <c r="C1280" s="102"/>
      <c r="D1280" s="62"/>
      <c r="E1280" s="102"/>
      <c r="F1280" s="102"/>
      <c r="G1280" s="102"/>
      <c r="H1280" s="175"/>
      <c r="I1280" s="85"/>
      <c r="J1280" s="104"/>
      <c r="K1280" s="144"/>
      <c r="L1280" s="62"/>
    </row>
    <row r="1281" spans="1:15" x14ac:dyDescent="0.15">
      <c r="A1281" s="62"/>
      <c r="B1281" s="93"/>
      <c r="C1281" s="102"/>
      <c r="D1281" s="62"/>
      <c r="E1281" s="102"/>
      <c r="F1281" s="102"/>
      <c r="G1281" s="102"/>
      <c r="H1281" s="175"/>
      <c r="I1281" s="85"/>
      <c r="J1281" s="104"/>
      <c r="K1281" s="144"/>
      <c r="L1281" s="62"/>
    </row>
    <row r="1282" spans="1:15" x14ac:dyDescent="0.15">
      <c r="A1282" s="62"/>
      <c r="B1282" s="93"/>
      <c r="C1282" s="102"/>
      <c r="D1282" s="62"/>
      <c r="E1282" s="102"/>
      <c r="F1282" s="102"/>
      <c r="G1282" s="102"/>
      <c r="H1282" s="175"/>
      <c r="I1282" s="85"/>
      <c r="J1282" s="104"/>
      <c r="K1282" s="144"/>
      <c r="L1282" s="62"/>
    </row>
    <row r="1283" spans="1:15" x14ac:dyDescent="0.15">
      <c r="A1283" s="62"/>
      <c r="B1283" s="93"/>
      <c r="C1283" s="100"/>
      <c r="D1283" s="61"/>
      <c r="E1283" s="100"/>
      <c r="F1283" s="100"/>
      <c r="G1283" s="100"/>
      <c r="H1283" s="177"/>
      <c r="I1283" s="85"/>
      <c r="J1283" s="101"/>
      <c r="K1283" s="143"/>
      <c r="L1283" s="61"/>
      <c r="M1283" s="50"/>
      <c r="N1283" s="35"/>
    </row>
    <row r="1284" spans="1:15" x14ac:dyDescent="0.15">
      <c r="A1284" s="62"/>
      <c r="B1284" s="93"/>
      <c r="C1284" s="100"/>
      <c r="D1284" s="61"/>
      <c r="E1284" s="100"/>
      <c r="F1284" s="100"/>
      <c r="G1284" s="100"/>
      <c r="H1284" s="177"/>
      <c r="I1284" s="103"/>
      <c r="J1284" s="103"/>
      <c r="K1284" s="141"/>
      <c r="L1284" s="61"/>
      <c r="M1284" s="50"/>
      <c r="N1284" s="35"/>
      <c r="O1284" s="35"/>
    </row>
    <row r="1285" spans="1:15" x14ac:dyDescent="0.15">
      <c r="A1285" s="62"/>
      <c r="B1285" s="93"/>
      <c r="C1285" s="100"/>
      <c r="D1285" s="61"/>
      <c r="E1285" s="100"/>
      <c r="F1285" s="100"/>
      <c r="G1285" s="100"/>
      <c r="H1285" s="177"/>
      <c r="I1285" s="85"/>
      <c r="J1285" s="101"/>
      <c r="K1285" s="143"/>
      <c r="L1285" s="61"/>
      <c r="M1285" s="50"/>
      <c r="N1285" s="35"/>
    </row>
    <row r="1286" spans="1:15" x14ac:dyDescent="0.15">
      <c r="A1286" s="62"/>
      <c r="B1286" s="93"/>
      <c r="C1286" s="100"/>
      <c r="D1286" s="61"/>
      <c r="E1286" s="100"/>
      <c r="F1286" s="100"/>
      <c r="G1286" s="100"/>
      <c r="H1286" s="177"/>
      <c r="I1286" s="85"/>
      <c r="J1286" s="101"/>
      <c r="K1286" s="143"/>
      <c r="L1286" s="61"/>
      <c r="M1286" s="50"/>
      <c r="N1286" s="35"/>
      <c r="O1286" s="35"/>
    </row>
    <row r="1287" spans="1:15" x14ac:dyDescent="0.15">
      <c r="A1287" s="62"/>
      <c r="B1287" s="93"/>
      <c r="C1287" s="100"/>
      <c r="D1287" s="61"/>
      <c r="E1287" s="100"/>
      <c r="F1287" s="100"/>
      <c r="G1287" s="100"/>
      <c r="H1287" s="177"/>
      <c r="I1287" s="85"/>
      <c r="J1287" s="101"/>
      <c r="K1287" s="143"/>
      <c r="L1287" s="61"/>
      <c r="M1287" s="50"/>
      <c r="N1287" s="35"/>
      <c r="O1287" s="35"/>
    </row>
    <row r="1288" spans="1:15" x14ac:dyDescent="0.15">
      <c r="A1288" s="62"/>
      <c r="B1288" s="93"/>
      <c r="C1288" s="100"/>
      <c r="D1288" s="61"/>
      <c r="E1288" s="100"/>
      <c r="F1288" s="100"/>
      <c r="G1288" s="100"/>
      <c r="H1288" s="177"/>
      <c r="I1288" s="85"/>
      <c r="J1288" s="101"/>
      <c r="K1288" s="143"/>
      <c r="L1288" s="61"/>
      <c r="M1288" s="50"/>
      <c r="N1288" s="35"/>
    </row>
    <row r="1289" spans="1:15" x14ac:dyDescent="0.15">
      <c r="A1289" s="62"/>
      <c r="B1289" s="93"/>
      <c r="C1289" s="100"/>
      <c r="D1289" s="61"/>
      <c r="E1289" s="100"/>
      <c r="F1289" s="100"/>
      <c r="G1289" s="100"/>
      <c r="H1289" s="177"/>
      <c r="I1289" s="85"/>
      <c r="J1289" s="101"/>
      <c r="K1289" s="143"/>
      <c r="L1289" s="61"/>
      <c r="M1289" s="50"/>
      <c r="N1289" s="35"/>
    </row>
    <row r="1290" spans="1:15" x14ac:dyDescent="0.15">
      <c r="A1290" s="62"/>
      <c r="B1290" s="93"/>
      <c r="C1290" s="100"/>
      <c r="D1290" s="61"/>
      <c r="E1290" s="100"/>
      <c r="F1290" s="100"/>
      <c r="G1290" s="100"/>
      <c r="H1290" s="177"/>
      <c r="I1290" s="103"/>
      <c r="J1290" s="103"/>
      <c r="K1290" s="141"/>
      <c r="L1290" s="61"/>
      <c r="M1290" s="50"/>
      <c r="N1290" s="35"/>
    </row>
    <row r="1291" spans="1:15" x14ac:dyDescent="0.15">
      <c r="A1291" s="62"/>
      <c r="B1291" s="93"/>
      <c r="C1291" s="100"/>
      <c r="D1291" s="61"/>
      <c r="E1291" s="100"/>
      <c r="F1291" s="100"/>
      <c r="G1291" s="100"/>
      <c r="H1291" s="177"/>
      <c r="I1291" s="103"/>
      <c r="J1291" s="103"/>
      <c r="K1291" s="141"/>
      <c r="L1291" s="61"/>
      <c r="M1291" s="50"/>
    </row>
    <row r="1292" spans="1:15" x14ac:dyDescent="0.15">
      <c r="A1292" s="62"/>
      <c r="B1292" s="93"/>
      <c r="C1292" s="100"/>
      <c r="D1292" s="61"/>
      <c r="E1292" s="100"/>
      <c r="F1292" s="100"/>
      <c r="G1292" s="100"/>
      <c r="H1292" s="177"/>
      <c r="I1292" s="85"/>
      <c r="J1292" s="101"/>
      <c r="K1292" s="143"/>
      <c r="L1292" s="61"/>
      <c r="M1292" s="50"/>
      <c r="O1292" s="35"/>
    </row>
    <row r="1293" spans="1:15" x14ac:dyDescent="0.15">
      <c r="A1293" s="62"/>
      <c r="B1293" s="93"/>
      <c r="C1293" s="100"/>
      <c r="D1293" s="61"/>
      <c r="E1293" s="100"/>
      <c r="F1293" s="100"/>
      <c r="G1293" s="100"/>
      <c r="H1293" s="177"/>
      <c r="I1293" s="85"/>
      <c r="J1293" s="101"/>
      <c r="K1293" s="143"/>
      <c r="L1293" s="61"/>
      <c r="M1293" s="50"/>
      <c r="O1293" s="35"/>
    </row>
    <row r="1294" spans="1:15" x14ac:dyDescent="0.15">
      <c r="A1294" s="62"/>
      <c r="B1294" s="93"/>
      <c r="C1294" s="100"/>
      <c r="D1294" s="61"/>
      <c r="E1294" s="100"/>
      <c r="F1294" s="100"/>
      <c r="G1294" s="100"/>
      <c r="H1294" s="177"/>
      <c r="I1294" s="85"/>
      <c r="J1294" s="101"/>
      <c r="K1294" s="143"/>
      <c r="L1294" s="61"/>
      <c r="M1294" s="50"/>
    </row>
    <row r="1295" spans="1:15" x14ac:dyDescent="0.15">
      <c r="A1295" s="165"/>
      <c r="B1295" s="93"/>
      <c r="C1295" s="100"/>
      <c r="D1295" s="61"/>
      <c r="E1295" s="100"/>
      <c r="F1295" s="100"/>
      <c r="G1295" s="100"/>
      <c r="H1295" s="177"/>
      <c r="I1295" s="103"/>
      <c r="J1295" s="103"/>
      <c r="K1295" s="141"/>
      <c r="L1295" s="61"/>
      <c r="M1295" s="35"/>
    </row>
    <row r="1296" spans="1:15" x14ac:dyDescent="0.15">
      <c r="A1296" s="165"/>
      <c r="B1296" s="93"/>
      <c r="C1296" s="100"/>
      <c r="D1296" s="61"/>
      <c r="E1296" s="100"/>
      <c r="F1296" s="100"/>
      <c r="G1296" s="100"/>
      <c r="H1296" s="177"/>
      <c r="I1296" s="103"/>
      <c r="J1296" s="61"/>
      <c r="K1296" s="145"/>
      <c r="L1296" s="61"/>
      <c r="M1296" s="35"/>
    </row>
    <row r="1297" spans="1:28" x14ac:dyDescent="0.15">
      <c r="A1297" s="165"/>
      <c r="B1297" s="93"/>
      <c r="C1297" s="102"/>
      <c r="D1297" s="62"/>
      <c r="E1297" s="102"/>
      <c r="F1297" s="102"/>
      <c r="G1297" s="102"/>
      <c r="H1297" s="175"/>
      <c r="I1297" s="85"/>
      <c r="J1297" s="61"/>
      <c r="K1297" s="143"/>
      <c r="L1297" s="61"/>
      <c r="M1297" s="50"/>
    </row>
    <row r="1298" spans="1:28" x14ac:dyDescent="0.15">
      <c r="A1298" s="165"/>
      <c r="B1298" s="93"/>
      <c r="C1298" s="102"/>
      <c r="D1298" s="62"/>
      <c r="E1298" s="102"/>
      <c r="F1298" s="102"/>
      <c r="G1298" s="102"/>
      <c r="H1298" s="175"/>
      <c r="I1298" s="85"/>
      <c r="J1298" s="61"/>
      <c r="K1298" s="143"/>
      <c r="L1298" s="61"/>
      <c r="M1298" s="50"/>
      <c r="O1298" s="51"/>
    </row>
    <row r="1299" spans="1:28" x14ac:dyDescent="0.15">
      <c r="A1299" s="165"/>
      <c r="B1299" s="93"/>
      <c r="C1299" s="102"/>
      <c r="D1299" s="62"/>
      <c r="E1299" s="102"/>
      <c r="F1299" s="102"/>
      <c r="G1299" s="102"/>
      <c r="H1299" s="175"/>
      <c r="I1299" s="85"/>
      <c r="J1299" s="104"/>
      <c r="K1299" s="144"/>
      <c r="L1299" s="61"/>
      <c r="M1299" s="35"/>
      <c r="O1299" s="35"/>
    </row>
    <row r="1300" spans="1:28" x14ac:dyDescent="0.15">
      <c r="A1300" s="165"/>
      <c r="B1300" s="93"/>
      <c r="C1300" s="102"/>
      <c r="D1300" s="62"/>
      <c r="E1300" s="102"/>
      <c r="F1300" s="102"/>
      <c r="G1300" s="102"/>
      <c r="H1300" s="175"/>
      <c r="I1300" s="85"/>
      <c r="J1300" s="104"/>
      <c r="K1300" s="143"/>
      <c r="L1300" s="61"/>
      <c r="M1300" s="35"/>
      <c r="O1300" s="35"/>
    </row>
    <row r="1301" spans="1:28" x14ac:dyDescent="0.15">
      <c r="A1301" s="62"/>
      <c r="B1301" s="93"/>
      <c r="C1301" s="102"/>
      <c r="D1301" s="62"/>
      <c r="E1301" s="102"/>
      <c r="F1301" s="102"/>
      <c r="G1301" s="102"/>
      <c r="H1301" s="175"/>
      <c r="I1301" s="85"/>
      <c r="J1301" s="104"/>
      <c r="K1301" s="143"/>
      <c r="L1301" s="61"/>
      <c r="M1301" s="35"/>
    </row>
    <row r="1302" spans="1:28" x14ac:dyDescent="0.15">
      <c r="A1302" s="62"/>
      <c r="B1302" s="93"/>
      <c r="C1302" s="102"/>
      <c r="D1302" s="62"/>
      <c r="E1302" s="102"/>
      <c r="F1302" s="102"/>
      <c r="G1302" s="102"/>
      <c r="H1302" s="175"/>
      <c r="I1302" s="85"/>
      <c r="J1302" s="104"/>
      <c r="K1302" s="141"/>
      <c r="L1302" s="61"/>
      <c r="M1302" s="35"/>
    </row>
    <row r="1303" spans="1:28" x14ac:dyDescent="0.15">
      <c r="A1303" s="62"/>
      <c r="B1303" s="93"/>
      <c r="C1303" s="102"/>
      <c r="D1303" s="62"/>
      <c r="E1303" s="102"/>
      <c r="F1303" s="102"/>
      <c r="G1303" s="102"/>
      <c r="H1303" s="175"/>
      <c r="I1303" s="85"/>
      <c r="J1303" s="104"/>
      <c r="K1303" s="143"/>
      <c r="L1303" s="61"/>
      <c r="O1303" s="51"/>
    </row>
    <row r="1304" spans="1:28" x14ac:dyDescent="0.15">
      <c r="A1304" s="62"/>
      <c r="B1304" s="93"/>
      <c r="C1304" s="102"/>
      <c r="D1304" s="62"/>
      <c r="E1304" s="102"/>
      <c r="F1304" s="102"/>
      <c r="G1304" s="102"/>
      <c r="H1304" s="175"/>
      <c r="I1304" s="85"/>
      <c r="J1304" s="104"/>
      <c r="K1304" s="143"/>
      <c r="L1304" s="61"/>
      <c r="M1304" s="35"/>
    </row>
    <row r="1305" spans="1:28" x14ac:dyDescent="0.15">
      <c r="A1305" s="62"/>
      <c r="B1305" s="93"/>
      <c r="C1305" s="102"/>
      <c r="D1305" s="62"/>
      <c r="E1305" s="102"/>
      <c r="F1305" s="102"/>
      <c r="G1305" s="102"/>
      <c r="H1305" s="175"/>
      <c r="I1305" s="85"/>
      <c r="J1305" s="104"/>
      <c r="K1305" s="143"/>
      <c r="L1305" s="61"/>
    </row>
    <row r="1306" spans="1:28" x14ac:dyDescent="0.15">
      <c r="A1306" s="62"/>
      <c r="B1306" s="93"/>
      <c r="C1306" s="102"/>
      <c r="D1306" s="62"/>
      <c r="E1306" s="102"/>
      <c r="F1306" s="102"/>
      <c r="G1306" s="102"/>
      <c r="H1306" s="175"/>
      <c r="I1306" s="85"/>
      <c r="J1306" s="104"/>
      <c r="K1306" s="143"/>
      <c r="L1306" s="61"/>
      <c r="M1306" s="50"/>
      <c r="N1306" s="51"/>
      <c r="O1306" s="51"/>
    </row>
    <row r="1307" spans="1:28" x14ac:dyDescent="0.15">
      <c r="A1307" s="62"/>
      <c r="B1307" s="93"/>
      <c r="C1307" s="102"/>
      <c r="D1307" s="62"/>
      <c r="E1307" s="102"/>
      <c r="F1307" s="102"/>
      <c r="G1307" s="102"/>
      <c r="H1307" s="175"/>
      <c r="I1307" s="85"/>
      <c r="J1307" s="104"/>
      <c r="K1307" s="143"/>
      <c r="L1307" s="61"/>
      <c r="M1307" s="50"/>
      <c r="N1307" s="51"/>
    </row>
    <row r="1308" spans="1:28" x14ac:dyDescent="0.15">
      <c r="A1308" s="62"/>
      <c r="B1308" s="93"/>
      <c r="C1308" s="100"/>
      <c r="D1308" s="61"/>
      <c r="E1308" s="100"/>
      <c r="F1308" s="100"/>
      <c r="G1308" s="100"/>
      <c r="H1308" s="177"/>
      <c r="I1308" s="85"/>
      <c r="J1308" s="101"/>
      <c r="K1308" s="143"/>
      <c r="L1308" s="61"/>
      <c r="M1308" s="50"/>
      <c r="N1308" s="51"/>
      <c r="O1308" s="51"/>
    </row>
    <row r="1309" spans="1:28" x14ac:dyDescent="0.15">
      <c r="A1309" s="62"/>
      <c r="B1309" s="93"/>
      <c r="C1309" s="102"/>
      <c r="D1309" s="62"/>
      <c r="E1309" s="102"/>
      <c r="F1309" s="102"/>
      <c r="G1309" s="102"/>
      <c r="H1309" s="175"/>
      <c r="I1309" s="85"/>
      <c r="J1309" s="104"/>
      <c r="K1309" s="143"/>
      <c r="L1309" s="61"/>
      <c r="M1309" s="50"/>
      <c r="N1309" s="51"/>
      <c r="O1309" s="51"/>
    </row>
    <row r="1310" spans="1:28" s="13" customFormat="1" x14ac:dyDescent="0.15">
      <c r="A1310" s="62"/>
      <c r="B1310" s="93"/>
      <c r="C1310" s="102"/>
      <c r="D1310" s="62"/>
      <c r="E1310" s="102"/>
      <c r="F1310" s="102"/>
      <c r="G1310" s="102"/>
      <c r="H1310" s="175"/>
      <c r="I1310" s="85"/>
      <c r="J1310" s="104"/>
      <c r="K1310" s="143"/>
      <c r="L1310" s="61"/>
      <c r="M1310" s="50"/>
      <c r="N1310" s="51"/>
      <c r="O1310" s="51"/>
      <c r="P1310" s="37"/>
      <c r="Q1310" s="3"/>
      <c r="R1310" s="3"/>
      <c r="S1310" s="3"/>
      <c r="T1310" s="3"/>
      <c r="U1310" s="3"/>
      <c r="V1310" s="3"/>
      <c r="W1310" s="3"/>
      <c r="X1310" s="3"/>
      <c r="Y1310" s="3"/>
      <c r="Z1310" s="4"/>
      <c r="AA1310"/>
      <c r="AB1310"/>
    </row>
    <row r="1311" spans="1:28" x14ac:dyDescent="0.15">
      <c r="A1311" s="62"/>
      <c r="B1311" s="93"/>
      <c r="C1311" s="102"/>
      <c r="D1311" s="62"/>
      <c r="E1311" s="102"/>
      <c r="F1311" s="102"/>
      <c r="G1311" s="102"/>
      <c r="H1311" s="175"/>
      <c r="I1311" s="85"/>
      <c r="J1311" s="104"/>
      <c r="K1311" s="143"/>
      <c r="L1311" s="61"/>
      <c r="M1311" s="50"/>
      <c r="N1311" s="51"/>
      <c r="O1311" s="51"/>
    </row>
    <row r="1312" spans="1:28" x14ac:dyDescent="0.15">
      <c r="A1312" s="62"/>
      <c r="B1312" s="93"/>
      <c r="C1312" s="102"/>
      <c r="D1312" s="62"/>
      <c r="E1312" s="102"/>
      <c r="F1312" s="102"/>
      <c r="G1312" s="102"/>
      <c r="H1312" s="175"/>
      <c r="I1312" s="85"/>
      <c r="J1312" s="104"/>
      <c r="K1312" s="143"/>
      <c r="L1312" s="61"/>
      <c r="M1312" s="50"/>
      <c r="N1312" s="51"/>
    </row>
    <row r="1313" spans="1:14" x14ac:dyDescent="0.15">
      <c r="A1313" s="62"/>
      <c r="B1313" s="93"/>
      <c r="C1313" s="100"/>
      <c r="D1313" s="61"/>
      <c r="E1313" s="100"/>
      <c r="F1313" s="100"/>
      <c r="G1313" s="100"/>
      <c r="H1313" s="177"/>
      <c r="I1313" s="103"/>
      <c r="J1313" s="103"/>
      <c r="K1313" s="141"/>
      <c r="L1313" s="61"/>
    </row>
    <row r="1314" spans="1:14" x14ac:dyDescent="0.15">
      <c r="A1314" s="165"/>
      <c r="B1314" s="93"/>
      <c r="C1314" s="100"/>
      <c r="D1314" s="61"/>
      <c r="E1314" s="100"/>
      <c r="F1314" s="100"/>
      <c r="G1314" s="100"/>
      <c r="H1314" s="177"/>
      <c r="I1314" s="85"/>
      <c r="J1314" s="101"/>
      <c r="K1314" s="143"/>
      <c r="L1314" s="61"/>
      <c r="M1314" s="50"/>
      <c r="N1314" s="51"/>
    </row>
    <row r="1315" spans="1:14" x14ac:dyDescent="0.15">
      <c r="A1315" s="62"/>
      <c r="B1315" s="93"/>
      <c r="C1315" s="102"/>
      <c r="D1315" s="62"/>
      <c r="E1315" s="100"/>
      <c r="F1315" s="102"/>
      <c r="G1315" s="102"/>
      <c r="H1315" s="175"/>
      <c r="I1315" s="85"/>
      <c r="J1315" s="61"/>
      <c r="K1315" s="143"/>
      <c r="L1315" s="61"/>
    </row>
    <row r="1316" spans="1:14" x14ac:dyDescent="0.15">
      <c r="A1316" s="62"/>
      <c r="B1316" s="93"/>
      <c r="C1316" s="102"/>
      <c r="D1316" s="62"/>
      <c r="E1316" s="100"/>
      <c r="F1316" s="102"/>
      <c r="G1316" s="102"/>
      <c r="H1316" s="175"/>
      <c r="I1316" s="85"/>
      <c r="J1316" s="104"/>
      <c r="K1316" s="143"/>
      <c r="L1316" s="61"/>
    </row>
    <row r="1317" spans="1:14" x14ac:dyDescent="0.15">
      <c r="A1317" s="62"/>
      <c r="B1317" s="93"/>
      <c r="C1317" s="102"/>
      <c r="D1317" s="62"/>
      <c r="E1317" s="102"/>
      <c r="F1317" s="102"/>
      <c r="G1317" s="102"/>
      <c r="H1317" s="175"/>
      <c r="I1317" s="85"/>
      <c r="J1317" s="104"/>
      <c r="K1317" s="143"/>
      <c r="L1317" s="61"/>
    </row>
    <row r="1318" spans="1:14" x14ac:dyDescent="0.15">
      <c r="A1318" s="62"/>
      <c r="B1318" s="93"/>
      <c r="C1318" s="102"/>
      <c r="D1318" s="62"/>
      <c r="E1318" s="102"/>
      <c r="F1318" s="102"/>
      <c r="G1318" s="102"/>
      <c r="H1318" s="175"/>
      <c r="I1318" s="85"/>
      <c r="J1318" s="104"/>
      <c r="K1318" s="143"/>
      <c r="L1318" s="61"/>
    </row>
    <row r="1319" spans="1:14" x14ac:dyDescent="0.15">
      <c r="A1319" s="62"/>
      <c r="B1319" s="93"/>
      <c r="C1319" s="102"/>
      <c r="D1319" s="62"/>
      <c r="E1319" s="100"/>
      <c r="F1319" s="102"/>
      <c r="G1319" s="102"/>
      <c r="H1319" s="175"/>
      <c r="I1319" s="85"/>
      <c r="J1319" s="104"/>
      <c r="K1319" s="143"/>
      <c r="L1319" s="61"/>
    </row>
    <row r="1320" spans="1:14" x14ac:dyDescent="0.15">
      <c r="A1320" s="62"/>
      <c r="B1320" s="93"/>
      <c r="C1320" s="100"/>
      <c r="D1320" s="61"/>
      <c r="E1320" s="100"/>
      <c r="F1320" s="100"/>
      <c r="G1320" s="100"/>
      <c r="H1320" s="177"/>
      <c r="I1320" s="85"/>
      <c r="J1320" s="101"/>
      <c r="K1320" s="143"/>
      <c r="L1320" s="61"/>
    </row>
    <row r="1321" spans="1:14" x14ac:dyDescent="0.15">
      <c r="A1321" s="62"/>
      <c r="B1321" s="93"/>
      <c r="C1321" s="102"/>
      <c r="D1321" s="62"/>
      <c r="E1321" s="100"/>
      <c r="F1321" s="102"/>
      <c r="G1321" s="102"/>
      <c r="H1321" s="175"/>
      <c r="I1321" s="85"/>
      <c r="J1321" s="104"/>
      <c r="K1321" s="143"/>
      <c r="L1321" s="61"/>
    </row>
    <row r="1322" spans="1:14" x14ac:dyDescent="0.15">
      <c r="A1322" s="62"/>
      <c r="B1322" s="93"/>
      <c r="C1322" s="102"/>
      <c r="D1322" s="62"/>
      <c r="E1322" s="100"/>
      <c r="F1322" s="102"/>
      <c r="G1322" s="102"/>
      <c r="H1322" s="175"/>
      <c r="I1322" s="85"/>
      <c r="J1322" s="104"/>
      <c r="K1322" s="143"/>
      <c r="L1322" s="61"/>
    </row>
    <row r="1323" spans="1:14" x14ac:dyDescent="0.15">
      <c r="A1323" s="62"/>
      <c r="B1323" s="93"/>
      <c r="C1323" s="102"/>
      <c r="D1323" s="62"/>
      <c r="E1323" s="102"/>
      <c r="F1323" s="102"/>
      <c r="G1323" s="102"/>
      <c r="H1323" s="175"/>
      <c r="I1323" s="85"/>
      <c r="J1323" s="104"/>
      <c r="K1323" s="143"/>
      <c r="L1323" s="61"/>
    </row>
    <row r="1324" spans="1:14" x14ac:dyDescent="0.15">
      <c r="A1324" s="62"/>
      <c r="B1324" s="93"/>
      <c r="C1324" s="100"/>
      <c r="D1324" s="61"/>
      <c r="E1324" s="100"/>
      <c r="F1324" s="100"/>
      <c r="G1324" s="100"/>
      <c r="H1324" s="177"/>
      <c r="I1324" s="103"/>
      <c r="J1324" s="103"/>
      <c r="K1324" s="141"/>
      <c r="L1324" s="61"/>
    </row>
    <row r="1325" spans="1:14" x14ac:dyDescent="0.15">
      <c r="A1325" s="62"/>
      <c r="B1325" s="93"/>
      <c r="C1325" s="100"/>
      <c r="D1325" s="61"/>
      <c r="E1325" s="100"/>
      <c r="F1325" s="100"/>
      <c r="G1325" s="100"/>
      <c r="H1325" s="177"/>
      <c r="I1325" s="103"/>
      <c r="J1325" s="103"/>
      <c r="K1325" s="141"/>
      <c r="L1325" s="61"/>
    </row>
    <row r="1326" spans="1:14" x14ac:dyDescent="0.15">
      <c r="A1326" s="62"/>
      <c r="B1326" s="93"/>
      <c r="C1326" s="102"/>
      <c r="D1326" s="62"/>
      <c r="E1326" s="100"/>
      <c r="F1326" s="102"/>
      <c r="G1326" s="102"/>
      <c r="H1326" s="175"/>
      <c r="I1326" s="85"/>
      <c r="J1326" s="104"/>
      <c r="K1326" s="143"/>
      <c r="L1326" s="61"/>
    </row>
    <row r="1327" spans="1:14" x14ac:dyDescent="0.15">
      <c r="A1327" s="62"/>
      <c r="B1327" s="93"/>
      <c r="C1327" s="102"/>
      <c r="D1327" s="62"/>
      <c r="E1327" s="100"/>
      <c r="F1327" s="102"/>
      <c r="G1327" s="102"/>
      <c r="H1327" s="175"/>
      <c r="I1327" s="85"/>
      <c r="J1327" s="104"/>
      <c r="K1327" s="143"/>
      <c r="L1327" s="61"/>
    </row>
    <row r="1328" spans="1:14" x14ac:dyDescent="0.15">
      <c r="A1328" s="62"/>
      <c r="B1328" s="93"/>
      <c r="C1328" s="102"/>
      <c r="D1328" s="62"/>
      <c r="E1328" s="102"/>
      <c r="F1328" s="102"/>
      <c r="G1328" s="102"/>
      <c r="H1328" s="175"/>
      <c r="I1328" s="85"/>
      <c r="J1328" s="104"/>
      <c r="K1328" s="143"/>
      <c r="L1328" s="61"/>
    </row>
    <row r="1329" spans="1:15" x14ac:dyDescent="0.15">
      <c r="A1329" s="62"/>
      <c r="B1329" s="93"/>
      <c r="C1329" s="102"/>
      <c r="D1329" s="62"/>
      <c r="E1329" s="102"/>
      <c r="F1329" s="102"/>
      <c r="G1329" s="102"/>
      <c r="H1329" s="175"/>
      <c r="I1329" s="85"/>
      <c r="J1329" s="104"/>
      <c r="K1329" s="143"/>
      <c r="L1329" s="61"/>
    </row>
    <row r="1330" spans="1:15" x14ac:dyDescent="0.15">
      <c r="A1330" s="62"/>
      <c r="B1330" s="93"/>
      <c r="C1330" s="102"/>
      <c r="D1330" s="62"/>
      <c r="E1330" s="102"/>
      <c r="F1330" s="102"/>
      <c r="G1330" s="102"/>
      <c r="H1330" s="175"/>
      <c r="I1330" s="85"/>
      <c r="J1330" s="104"/>
      <c r="K1330" s="143"/>
      <c r="L1330" s="61"/>
    </row>
    <row r="1331" spans="1:15" x14ac:dyDescent="0.15">
      <c r="A1331" s="62"/>
      <c r="B1331" s="93"/>
      <c r="C1331" s="100"/>
      <c r="D1331" s="61"/>
      <c r="E1331" s="100"/>
      <c r="F1331" s="100"/>
      <c r="G1331" s="100"/>
      <c r="H1331" s="177"/>
      <c r="I1331" s="103"/>
      <c r="J1331" s="103"/>
      <c r="K1331" s="141"/>
      <c r="L1331" s="61"/>
    </row>
    <row r="1332" spans="1:15" x14ac:dyDescent="0.15">
      <c r="A1332" s="62"/>
      <c r="B1332" s="93"/>
      <c r="C1332" s="100"/>
      <c r="D1332" s="61"/>
      <c r="E1332" s="100"/>
      <c r="F1332" s="100"/>
      <c r="G1332" s="100"/>
      <c r="H1332" s="177"/>
      <c r="I1332" s="103"/>
      <c r="J1332" s="103"/>
      <c r="K1332" s="141"/>
      <c r="L1332" s="61"/>
    </row>
    <row r="1333" spans="1:15" x14ac:dyDescent="0.15">
      <c r="A1333" s="165"/>
      <c r="B1333" s="93"/>
      <c r="C1333" s="100"/>
      <c r="D1333" s="61"/>
      <c r="E1333" s="100"/>
      <c r="F1333" s="100"/>
      <c r="G1333" s="100"/>
      <c r="H1333" s="177"/>
      <c r="I1333" s="103"/>
      <c r="J1333" s="103"/>
      <c r="K1333" s="141"/>
      <c r="L1333" s="61"/>
    </row>
    <row r="1334" spans="1:15" x14ac:dyDescent="0.15">
      <c r="A1334" s="165"/>
      <c r="B1334" s="93"/>
      <c r="C1334" s="100"/>
      <c r="D1334" s="61"/>
      <c r="E1334" s="100"/>
      <c r="F1334" s="100"/>
      <c r="G1334" s="100"/>
      <c r="H1334" s="177"/>
      <c r="I1334" s="85"/>
      <c r="J1334" s="101"/>
      <c r="K1334" s="143"/>
      <c r="L1334" s="61"/>
    </row>
    <row r="1335" spans="1:15" x14ac:dyDescent="0.15">
      <c r="A1335" s="165"/>
      <c r="B1335" s="93"/>
      <c r="C1335" s="100"/>
      <c r="D1335" s="61"/>
      <c r="E1335" s="100"/>
      <c r="F1335" s="100"/>
      <c r="G1335" s="100"/>
      <c r="H1335" s="177"/>
      <c r="I1335" s="85"/>
      <c r="J1335" s="101"/>
      <c r="K1335" s="143"/>
      <c r="L1335" s="61"/>
      <c r="O1335" s="51"/>
    </row>
    <row r="1336" spans="1:15" x14ac:dyDescent="0.15">
      <c r="A1336" s="165"/>
      <c r="B1336" s="93"/>
      <c r="C1336" s="100"/>
      <c r="D1336" s="61"/>
      <c r="E1336" s="100"/>
      <c r="F1336" s="100"/>
      <c r="G1336" s="100"/>
      <c r="H1336" s="177"/>
      <c r="I1336" s="85"/>
      <c r="J1336" s="101"/>
      <c r="K1336" s="143"/>
      <c r="L1336" s="61"/>
    </row>
    <row r="1337" spans="1:15" x14ac:dyDescent="0.15">
      <c r="A1337" s="165"/>
      <c r="B1337" s="93"/>
      <c r="C1337" s="100"/>
      <c r="D1337" s="61"/>
      <c r="E1337" s="100"/>
      <c r="F1337" s="100"/>
      <c r="G1337" s="100"/>
      <c r="H1337" s="177"/>
      <c r="I1337" s="85"/>
      <c r="J1337" s="101"/>
      <c r="K1337" s="143"/>
      <c r="L1337" s="61"/>
    </row>
    <row r="1338" spans="1:15" x14ac:dyDescent="0.15">
      <c r="A1338" s="165"/>
      <c r="B1338" s="93"/>
      <c r="C1338" s="100"/>
      <c r="D1338" s="61"/>
      <c r="E1338" s="100"/>
      <c r="F1338" s="100"/>
      <c r="G1338" s="100"/>
      <c r="H1338" s="177"/>
      <c r="I1338" s="85"/>
      <c r="J1338" s="101"/>
      <c r="K1338" s="143"/>
      <c r="L1338" s="61"/>
    </row>
    <row r="1339" spans="1:15" x14ac:dyDescent="0.15">
      <c r="A1339" s="165"/>
      <c r="B1339" s="93"/>
      <c r="C1339" s="102"/>
      <c r="D1339" s="62"/>
      <c r="E1339" s="100"/>
      <c r="F1339" s="102"/>
      <c r="G1339" s="102"/>
      <c r="H1339" s="175"/>
      <c r="I1339" s="85"/>
      <c r="J1339" s="104"/>
      <c r="K1339" s="143"/>
      <c r="L1339" s="61"/>
    </row>
    <row r="1340" spans="1:15" x14ac:dyDescent="0.15">
      <c r="A1340" s="165"/>
      <c r="B1340" s="93"/>
      <c r="C1340" s="100"/>
      <c r="D1340" s="61"/>
      <c r="E1340" s="100"/>
      <c r="F1340" s="100"/>
      <c r="G1340" s="100"/>
      <c r="H1340" s="177"/>
      <c r="I1340" s="103"/>
      <c r="J1340" s="103"/>
      <c r="K1340" s="141"/>
      <c r="L1340" s="61"/>
    </row>
    <row r="1341" spans="1:15" x14ac:dyDescent="0.15">
      <c r="A1341" s="165"/>
      <c r="B1341" s="93"/>
      <c r="C1341" s="100"/>
      <c r="D1341" s="61"/>
      <c r="E1341" s="100"/>
      <c r="F1341" s="100"/>
      <c r="G1341" s="100"/>
      <c r="H1341" s="177"/>
      <c r="I1341" s="103"/>
      <c r="J1341" s="103"/>
      <c r="K1341" s="141"/>
      <c r="L1341" s="61"/>
    </row>
    <row r="1342" spans="1:15" x14ac:dyDescent="0.15">
      <c r="A1342" s="165"/>
      <c r="B1342" s="93"/>
      <c r="C1342" s="100"/>
      <c r="D1342" s="61"/>
      <c r="E1342" s="100"/>
      <c r="F1342" s="100"/>
      <c r="G1342" s="100"/>
      <c r="H1342" s="177"/>
      <c r="I1342" s="103"/>
      <c r="J1342" s="61"/>
      <c r="K1342" s="141"/>
      <c r="L1342" s="61"/>
    </row>
    <row r="1343" spans="1:15" x14ac:dyDescent="0.15">
      <c r="A1343" s="165"/>
      <c r="B1343" s="93"/>
      <c r="C1343" s="102"/>
      <c r="D1343" s="62"/>
      <c r="E1343" s="102"/>
      <c r="F1343" s="102"/>
      <c r="G1343" s="102"/>
      <c r="H1343" s="175"/>
      <c r="I1343" s="85"/>
      <c r="J1343" s="104"/>
      <c r="K1343" s="143"/>
      <c r="L1343" s="61"/>
    </row>
    <row r="1344" spans="1:15" x14ac:dyDescent="0.15">
      <c r="A1344" s="165"/>
      <c r="B1344" s="93"/>
      <c r="C1344" s="102"/>
      <c r="D1344" s="62"/>
      <c r="E1344" s="102"/>
      <c r="F1344" s="102"/>
      <c r="G1344" s="102"/>
      <c r="H1344" s="175"/>
      <c r="I1344" s="85"/>
      <c r="J1344" s="104"/>
      <c r="K1344" s="143"/>
      <c r="L1344" s="61"/>
    </row>
    <row r="1345" spans="1:12" x14ac:dyDescent="0.15">
      <c r="A1345" s="165"/>
      <c r="B1345" s="93"/>
      <c r="C1345" s="102"/>
      <c r="D1345" s="62"/>
      <c r="E1345" s="102"/>
      <c r="F1345" s="102"/>
      <c r="G1345" s="102"/>
      <c r="H1345" s="175"/>
      <c r="I1345" s="85"/>
      <c r="J1345" s="104"/>
      <c r="K1345" s="143"/>
      <c r="L1345" s="61"/>
    </row>
    <row r="1346" spans="1:12" x14ac:dyDescent="0.15">
      <c r="A1346" s="165"/>
      <c r="B1346" s="93"/>
      <c r="C1346" s="102"/>
      <c r="D1346" s="62"/>
      <c r="E1346" s="102"/>
      <c r="F1346" s="102"/>
      <c r="G1346" s="102"/>
      <c r="H1346" s="175"/>
      <c r="I1346" s="85"/>
      <c r="J1346" s="104"/>
      <c r="K1346" s="143"/>
      <c r="L1346" s="61"/>
    </row>
    <row r="1347" spans="1:12" x14ac:dyDescent="0.15">
      <c r="A1347" s="165"/>
      <c r="B1347" s="93"/>
      <c r="C1347" s="102"/>
      <c r="D1347" s="62"/>
      <c r="E1347" s="102"/>
      <c r="F1347" s="102"/>
      <c r="G1347" s="102"/>
      <c r="H1347" s="175"/>
      <c r="I1347" s="85"/>
      <c r="J1347" s="104"/>
      <c r="K1347" s="143"/>
      <c r="L1347" s="61"/>
    </row>
    <row r="1348" spans="1:12" x14ac:dyDescent="0.15">
      <c r="A1348" s="165"/>
      <c r="B1348" s="93"/>
      <c r="C1348" s="102"/>
      <c r="D1348" s="62"/>
      <c r="E1348" s="102"/>
      <c r="F1348" s="102"/>
      <c r="G1348" s="102"/>
      <c r="H1348" s="175"/>
      <c r="I1348" s="85"/>
      <c r="J1348" s="104"/>
      <c r="K1348" s="143"/>
      <c r="L1348" s="61"/>
    </row>
    <row r="1349" spans="1:12" x14ac:dyDescent="0.15">
      <c r="A1349" s="165"/>
      <c r="B1349" s="93"/>
      <c r="C1349" s="102"/>
      <c r="D1349" s="62"/>
      <c r="E1349" s="102"/>
      <c r="F1349" s="102"/>
      <c r="G1349" s="102"/>
      <c r="H1349" s="175"/>
      <c r="I1349" s="85"/>
      <c r="J1349" s="104"/>
      <c r="K1349" s="143"/>
      <c r="L1349" s="61"/>
    </row>
    <row r="1350" spans="1:12" x14ac:dyDescent="0.15">
      <c r="A1350" s="165"/>
      <c r="B1350" s="93"/>
      <c r="C1350" s="100"/>
      <c r="D1350" s="61"/>
      <c r="E1350" s="100"/>
      <c r="F1350" s="100"/>
      <c r="G1350" s="100"/>
      <c r="H1350" s="177"/>
      <c r="I1350" s="85"/>
      <c r="J1350" s="101"/>
      <c r="K1350" s="143"/>
      <c r="L1350" s="61"/>
    </row>
    <row r="1351" spans="1:12" x14ac:dyDescent="0.15">
      <c r="A1351" s="165"/>
      <c r="B1351" s="93"/>
      <c r="C1351" s="102"/>
      <c r="D1351" s="62"/>
      <c r="E1351" s="100"/>
      <c r="F1351" s="102"/>
      <c r="G1351" s="102"/>
      <c r="H1351" s="175"/>
      <c r="I1351" s="85"/>
      <c r="J1351" s="104"/>
      <c r="K1351" s="143"/>
      <c r="L1351" s="61"/>
    </row>
    <row r="1352" spans="1:12" x14ac:dyDescent="0.15">
      <c r="A1352" s="165"/>
      <c r="B1352" s="108"/>
      <c r="C1352" s="100"/>
      <c r="D1352" s="61"/>
      <c r="E1352" s="100"/>
      <c r="F1352" s="100"/>
      <c r="G1352" s="100"/>
      <c r="H1352" s="177"/>
      <c r="I1352" s="85"/>
      <c r="J1352" s="101"/>
      <c r="K1352" s="143"/>
      <c r="L1352" s="61"/>
    </row>
    <row r="1353" spans="1:12" x14ac:dyDescent="0.15">
      <c r="A1353" s="165"/>
      <c r="B1353" s="93"/>
      <c r="C1353" s="100"/>
      <c r="D1353" s="61"/>
      <c r="E1353" s="100"/>
      <c r="F1353" s="100"/>
      <c r="G1353" s="100"/>
      <c r="H1353" s="177"/>
      <c r="I1353" s="85"/>
      <c r="J1353" s="103"/>
      <c r="K1353" s="141"/>
      <c r="L1353" s="61"/>
    </row>
    <row r="1354" spans="1:12" x14ac:dyDescent="0.15">
      <c r="A1354" s="165"/>
      <c r="B1354" s="93"/>
      <c r="C1354" s="100"/>
      <c r="D1354" s="61"/>
      <c r="E1354" s="100"/>
      <c r="F1354" s="100"/>
      <c r="G1354" s="100"/>
      <c r="H1354" s="177"/>
      <c r="I1354" s="85"/>
      <c r="J1354" s="101"/>
      <c r="K1354" s="143"/>
      <c r="L1354" s="61"/>
    </row>
    <row r="1355" spans="1:12" x14ac:dyDescent="0.15">
      <c r="A1355" s="165"/>
      <c r="B1355" s="93"/>
      <c r="C1355" s="102"/>
      <c r="D1355" s="62"/>
      <c r="E1355" s="100"/>
      <c r="F1355" s="102"/>
      <c r="G1355" s="102"/>
      <c r="H1355" s="175"/>
      <c r="I1355" s="85"/>
      <c r="J1355" s="104"/>
      <c r="K1355" s="143"/>
      <c r="L1355" s="61"/>
    </row>
    <row r="1356" spans="1:12" x14ac:dyDescent="0.15">
      <c r="A1356" s="165"/>
      <c r="B1356" s="93"/>
      <c r="C1356" s="100"/>
      <c r="D1356" s="61"/>
      <c r="E1356" s="100"/>
      <c r="F1356" s="100"/>
      <c r="G1356" s="100"/>
      <c r="H1356" s="177"/>
      <c r="I1356" s="85"/>
      <c r="J1356" s="101"/>
      <c r="K1356" s="143"/>
      <c r="L1356" s="61"/>
    </row>
    <row r="1357" spans="1:12" x14ac:dyDescent="0.15">
      <c r="A1357" s="165"/>
      <c r="B1357" s="93"/>
      <c r="C1357" s="100"/>
      <c r="D1357" s="61"/>
      <c r="E1357" s="100"/>
      <c r="F1357" s="100"/>
      <c r="G1357" s="100"/>
      <c r="H1357" s="177"/>
      <c r="I1357" s="103"/>
      <c r="J1357" s="103"/>
      <c r="K1357" s="141"/>
      <c r="L1357" s="61"/>
    </row>
    <row r="1358" spans="1:12" x14ac:dyDescent="0.15">
      <c r="A1358" s="165"/>
      <c r="B1358" s="93"/>
      <c r="C1358" s="100"/>
      <c r="D1358" s="61"/>
      <c r="E1358" s="100"/>
      <c r="F1358" s="100"/>
      <c r="G1358" s="100"/>
      <c r="H1358" s="177"/>
      <c r="I1358" s="103"/>
      <c r="J1358" s="103"/>
      <c r="K1358" s="141"/>
      <c r="L1358" s="61"/>
    </row>
    <row r="1359" spans="1:12" x14ac:dyDescent="0.15">
      <c r="A1359" s="165"/>
      <c r="B1359" s="93"/>
      <c r="C1359" s="100"/>
      <c r="D1359" s="61"/>
      <c r="E1359" s="100"/>
      <c r="F1359" s="100"/>
      <c r="G1359" s="100"/>
      <c r="H1359" s="177"/>
      <c r="I1359" s="103"/>
      <c r="J1359" s="103"/>
      <c r="K1359" s="141"/>
      <c r="L1359" s="61"/>
    </row>
    <row r="1360" spans="1:12" x14ac:dyDescent="0.15">
      <c r="A1360" s="165"/>
      <c r="B1360" s="93"/>
      <c r="C1360" s="100"/>
      <c r="D1360" s="61"/>
      <c r="E1360" s="100"/>
      <c r="F1360" s="100"/>
      <c r="G1360" s="100"/>
      <c r="H1360" s="177"/>
      <c r="I1360" s="85"/>
      <c r="J1360" s="101"/>
      <c r="K1360" s="143"/>
      <c r="L1360" s="61"/>
    </row>
    <row r="1361" spans="1:12" x14ac:dyDescent="0.15">
      <c r="A1361" s="165"/>
      <c r="B1361" s="93"/>
      <c r="C1361" s="100"/>
      <c r="D1361" s="61"/>
      <c r="E1361" s="100"/>
      <c r="F1361" s="100"/>
      <c r="G1361" s="100"/>
      <c r="H1361" s="177"/>
      <c r="I1361" s="85"/>
      <c r="J1361" s="101"/>
      <c r="K1361" s="143"/>
      <c r="L1361" s="61"/>
    </row>
    <row r="1362" spans="1:12" x14ac:dyDescent="0.15">
      <c r="A1362" s="165"/>
      <c r="B1362" s="93"/>
      <c r="C1362" s="100"/>
      <c r="D1362" s="61"/>
      <c r="E1362" s="100"/>
      <c r="F1362" s="100"/>
      <c r="G1362" s="100"/>
      <c r="H1362" s="177"/>
      <c r="I1362" s="85"/>
      <c r="J1362" s="101"/>
      <c r="K1362" s="143"/>
      <c r="L1362" s="61"/>
    </row>
    <row r="1363" spans="1:12" x14ac:dyDescent="0.15">
      <c r="A1363" s="165"/>
      <c r="B1363" s="93"/>
      <c r="C1363" s="102"/>
      <c r="D1363" s="62"/>
      <c r="E1363" s="102"/>
      <c r="F1363" s="102"/>
      <c r="G1363" s="102"/>
      <c r="H1363" s="175"/>
      <c r="I1363" s="85"/>
      <c r="J1363" s="104"/>
      <c r="K1363" s="143"/>
      <c r="L1363" s="61"/>
    </row>
    <row r="1364" spans="1:12" x14ac:dyDescent="0.15">
      <c r="A1364" s="165"/>
      <c r="B1364" s="93"/>
      <c r="C1364" s="100"/>
      <c r="D1364" s="61"/>
      <c r="E1364" s="100"/>
      <c r="F1364" s="100"/>
      <c r="G1364" s="100"/>
      <c r="H1364" s="177"/>
      <c r="I1364" s="85"/>
      <c r="J1364" s="101"/>
      <c r="K1364" s="143"/>
      <c r="L1364" s="61"/>
    </row>
    <row r="1365" spans="1:12" x14ac:dyDescent="0.15">
      <c r="A1365" s="165"/>
      <c r="B1365" s="93"/>
      <c r="C1365" s="100"/>
      <c r="D1365" s="61"/>
      <c r="E1365" s="100"/>
      <c r="F1365" s="100"/>
      <c r="G1365" s="100"/>
      <c r="H1365" s="177"/>
      <c r="I1365" s="85"/>
      <c r="J1365" s="101"/>
      <c r="K1365" s="143"/>
      <c r="L1365" s="61"/>
    </row>
    <row r="1366" spans="1:12" x14ac:dyDescent="0.15">
      <c r="A1366" s="62"/>
      <c r="B1366" s="93"/>
      <c r="C1366" s="100"/>
      <c r="D1366" s="61"/>
      <c r="E1366" s="100"/>
      <c r="F1366" s="100"/>
      <c r="G1366" s="100"/>
      <c r="H1366" s="177"/>
      <c r="I1366" s="85"/>
      <c r="J1366" s="101"/>
      <c r="K1366" s="143"/>
      <c r="L1366" s="61"/>
    </row>
    <row r="1367" spans="1:12" x14ac:dyDescent="0.15">
      <c r="A1367" s="62"/>
      <c r="B1367" s="93"/>
      <c r="C1367" s="100"/>
      <c r="D1367" s="61"/>
      <c r="E1367" s="100"/>
      <c r="F1367" s="100"/>
      <c r="G1367" s="100"/>
      <c r="H1367" s="177"/>
      <c r="I1367" s="85"/>
      <c r="J1367" s="101"/>
      <c r="K1367" s="143"/>
      <c r="L1367" s="61"/>
    </row>
    <row r="1368" spans="1:12" x14ac:dyDescent="0.15">
      <c r="A1368" s="165"/>
      <c r="B1368" s="93"/>
      <c r="C1368" s="100"/>
      <c r="D1368" s="61"/>
      <c r="E1368" s="100"/>
      <c r="F1368" s="100"/>
      <c r="G1368" s="100"/>
      <c r="H1368" s="177"/>
      <c r="I1368" s="85"/>
      <c r="J1368" s="101"/>
      <c r="K1368" s="143"/>
      <c r="L1368" s="61"/>
    </row>
    <row r="1369" spans="1:12" x14ac:dyDescent="0.15">
      <c r="A1369" s="165"/>
      <c r="B1369" s="93"/>
      <c r="C1369" s="102"/>
      <c r="D1369" s="62"/>
      <c r="E1369" s="100"/>
      <c r="F1369" s="102"/>
      <c r="G1369" s="102"/>
      <c r="H1369" s="175"/>
      <c r="I1369" s="85"/>
      <c r="J1369" s="104"/>
      <c r="K1369" s="143"/>
      <c r="L1369" s="61"/>
    </row>
    <row r="1370" spans="1:12" x14ac:dyDescent="0.15">
      <c r="A1370" s="165"/>
      <c r="B1370" s="93"/>
      <c r="C1370" s="102"/>
      <c r="D1370" s="62"/>
      <c r="E1370" s="102"/>
      <c r="F1370" s="102"/>
      <c r="G1370" s="102"/>
      <c r="H1370" s="175"/>
      <c r="I1370" s="85"/>
      <c r="J1370" s="104"/>
      <c r="K1370" s="143"/>
      <c r="L1370" s="61"/>
    </row>
    <row r="1371" spans="1:12" x14ac:dyDescent="0.15">
      <c r="A1371" s="165"/>
      <c r="B1371" s="93"/>
      <c r="C1371" s="100"/>
      <c r="D1371" s="61"/>
      <c r="E1371" s="100"/>
      <c r="F1371" s="100"/>
      <c r="G1371" s="100"/>
      <c r="H1371" s="177"/>
      <c r="I1371" s="85"/>
      <c r="J1371" s="101"/>
      <c r="K1371" s="143"/>
      <c r="L1371" s="61"/>
    </row>
    <row r="1372" spans="1:12" x14ac:dyDescent="0.15">
      <c r="A1372" s="165"/>
      <c r="B1372" s="93"/>
      <c r="C1372" s="100"/>
      <c r="D1372" s="61"/>
      <c r="E1372" s="100"/>
      <c r="F1372" s="100"/>
      <c r="G1372" s="100"/>
      <c r="H1372" s="177"/>
      <c r="I1372" s="85"/>
      <c r="J1372" s="101"/>
      <c r="K1372" s="143"/>
      <c r="L1372" s="61"/>
    </row>
    <row r="1373" spans="1:12" x14ac:dyDescent="0.15">
      <c r="A1373" s="165"/>
      <c r="B1373" s="93"/>
      <c r="C1373" s="100"/>
      <c r="D1373" s="61"/>
      <c r="E1373" s="100"/>
      <c r="F1373" s="100"/>
      <c r="G1373" s="100"/>
      <c r="H1373" s="177"/>
      <c r="I1373" s="85"/>
      <c r="J1373" s="101"/>
      <c r="K1373" s="143"/>
      <c r="L1373" s="61"/>
    </row>
    <row r="1374" spans="1:12" x14ac:dyDescent="0.15">
      <c r="A1374" s="165"/>
      <c r="B1374" s="93"/>
      <c r="C1374" s="100"/>
      <c r="D1374" s="61"/>
      <c r="E1374" s="100"/>
      <c r="F1374" s="100"/>
      <c r="G1374" s="100"/>
      <c r="H1374" s="177"/>
      <c r="I1374" s="85"/>
      <c r="J1374" s="103"/>
      <c r="K1374" s="141"/>
      <c r="L1374" s="61"/>
    </row>
    <row r="1375" spans="1:12" x14ac:dyDescent="0.15">
      <c r="A1375" s="165"/>
      <c r="B1375" s="93"/>
      <c r="C1375" s="100"/>
      <c r="D1375" s="61"/>
      <c r="E1375" s="100"/>
      <c r="F1375" s="100"/>
      <c r="G1375" s="100"/>
      <c r="H1375" s="177"/>
      <c r="I1375" s="85"/>
      <c r="J1375" s="101"/>
      <c r="K1375" s="143"/>
      <c r="L1375" s="61"/>
    </row>
    <row r="1376" spans="1:12" x14ac:dyDescent="0.15">
      <c r="A1376" s="165"/>
      <c r="B1376" s="93"/>
      <c r="C1376" s="102"/>
      <c r="D1376" s="62"/>
      <c r="E1376" s="102"/>
      <c r="F1376" s="102"/>
      <c r="G1376" s="102"/>
      <c r="H1376" s="175"/>
      <c r="I1376" s="85"/>
      <c r="J1376" s="104"/>
      <c r="K1376" s="143"/>
      <c r="L1376" s="61"/>
    </row>
    <row r="1377" spans="1:18" x14ac:dyDescent="0.15">
      <c r="A1377" s="62"/>
      <c r="B1377" s="93"/>
      <c r="C1377" s="102"/>
      <c r="D1377" s="62"/>
      <c r="E1377" s="102"/>
      <c r="F1377" s="102"/>
      <c r="G1377" s="102"/>
      <c r="H1377" s="175"/>
      <c r="I1377" s="85"/>
      <c r="J1377" s="104"/>
      <c r="K1377" s="143"/>
      <c r="L1377" s="61"/>
    </row>
    <row r="1378" spans="1:18" x14ac:dyDescent="0.15">
      <c r="A1378" s="165"/>
      <c r="B1378" s="93"/>
      <c r="C1378" s="102"/>
      <c r="D1378" s="62"/>
      <c r="E1378" s="102"/>
      <c r="F1378" s="102"/>
      <c r="G1378" s="102"/>
      <c r="H1378" s="175"/>
      <c r="I1378" s="85"/>
      <c r="J1378" s="104"/>
      <c r="K1378" s="143"/>
      <c r="L1378" s="61"/>
    </row>
    <row r="1379" spans="1:18" x14ac:dyDescent="0.15">
      <c r="A1379" s="165"/>
      <c r="B1379" s="93"/>
      <c r="C1379" s="102"/>
      <c r="D1379" s="62"/>
      <c r="E1379" s="102"/>
      <c r="F1379" s="102"/>
      <c r="G1379" s="102"/>
      <c r="H1379" s="175"/>
      <c r="I1379" s="85"/>
      <c r="J1379" s="104"/>
      <c r="K1379" s="143"/>
      <c r="L1379" s="61"/>
    </row>
    <row r="1380" spans="1:18" x14ac:dyDescent="0.15">
      <c r="A1380" s="165"/>
      <c r="B1380" s="93"/>
      <c r="C1380" s="102"/>
      <c r="D1380" s="62"/>
      <c r="E1380" s="100"/>
      <c r="F1380" s="102"/>
      <c r="G1380" s="102"/>
      <c r="H1380" s="175"/>
      <c r="I1380" s="85"/>
      <c r="J1380" s="104"/>
      <c r="K1380" s="143"/>
      <c r="L1380" s="61"/>
    </row>
    <row r="1381" spans="1:18" x14ac:dyDescent="0.15">
      <c r="A1381" s="165"/>
      <c r="B1381" s="93"/>
      <c r="C1381" s="102"/>
      <c r="D1381" s="62"/>
      <c r="E1381" s="100"/>
      <c r="F1381" s="102"/>
      <c r="G1381" s="102"/>
      <c r="H1381" s="175"/>
      <c r="I1381" s="85"/>
      <c r="J1381" s="104"/>
      <c r="K1381" s="143"/>
      <c r="L1381" s="61"/>
    </row>
    <row r="1382" spans="1:18" x14ac:dyDescent="0.15">
      <c r="A1382" s="165"/>
      <c r="B1382" s="93"/>
      <c r="C1382" s="100"/>
      <c r="D1382" s="61"/>
      <c r="E1382" s="100"/>
      <c r="F1382" s="100"/>
      <c r="G1382" s="100"/>
      <c r="H1382" s="177"/>
      <c r="I1382" s="85"/>
      <c r="J1382" s="101"/>
      <c r="K1382" s="143"/>
      <c r="L1382" s="61"/>
    </row>
    <row r="1383" spans="1:18" x14ac:dyDescent="0.15">
      <c r="A1383" s="165"/>
      <c r="B1383" s="93"/>
      <c r="C1383" s="102"/>
      <c r="D1383" s="62"/>
      <c r="E1383" s="102"/>
      <c r="F1383" s="102"/>
      <c r="G1383" s="102"/>
      <c r="H1383" s="175"/>
      <c r="I1383" s="85"/>
      <c r="J1383" s="104"/>
      <c r="K1383" s="143"/>
      <c r="L1383" s="61"/>
    </row>
    <row r="1384" spans="1:18" x14ac:dyDescent="0.15">
      <c r="A1384" s="62"/>
      <c r="B1384" s="93"/>
      <c r="C1384" s="102"/>
      <c r="D1384" s="62"/>
      <c r="E1384" s="102"/>
      <c r="F1384" s="102"/>
      <c r="G1384" s="102"/>
      <c r="H1384" s="175"/>
      <c r="I1384" s="85"/>
      <c r="J1384" s="104"/>
      <c r="K1384" s="143"/>
      <c r="L1384" s="61"/>
    </row>
    <row r="1385" spans="1:18" x14ac:dyDescent="0.15">
      <c r="A1385" s="165"/>
      <c r="B1385" s="93"/>
      <c r="C1385" s="100"/>
      <c r="D1385" s="61"/>
      <c r="E1385" s="100"/>
      <c r="F1385" s="100"/>
      <c r="G1385" s="100"/>
      <c r="H1385" s="177"/>
      <c r="I1385" s="85"/>
      <c r="J1385" s="101"/>
      <c r="K1385" s="143"/>
      <c r="L1385" s="61"/>
    </row>
    <row r="1386" spans="1:18" x14ac:dyDescent="0.15">
      <c r="A1386" s="62"/>
      <c r="B1386" s="93"/>
      <c r="C1386" s="102"/>
      <c r="D1386" s="62"/>
      <c r="E1386" s="102"/>
      <c r="F1386" s="102"/>
      <c r="G1386" s="102"/>
      <c r="H1386" s="175"/>
      <c r="I1386" s="85"/>
      <c r="J1386" s="104"/>
      <c r="K1386" s="143"/>
      <c r="L1386" s="61"/>
    </row>
    <row r="1387" spans="1:18" x14ac:dyDescent="0.15">
      <c r="A1387" s="62"/>
      <c r="B1387" s="93"/>
      <c r="C1387" s="102"/>
      <c r="D1387" s="62"/>
      <c r="E1387" s="102"/>
      <c r="F1387" s="102"/>
      <c r="G1387" s="102"/>
      <c r="H1387" s="175"/>
      <c r="I1387" s="85"/>
      <c r="J1387" s="104"/>
      <c r="K1387" s="143"/>
      <c r="L1387" s="61"/>
    </row>
    <row r="1388" spans="1:18" x14ac:dyDescent="0.15">
      <c r="A1388" s="62"/>
      <c r="B1388" s="93"/>
      <c r="C1388" s="102"/>
      <c r="D1388" s="62"/>
      <c r="E1388" s="100"/>
      <c r="F1388" s="102"/>
      <c r="G1388" s="102"/>
      <c r="H1388" s="175"/>
      <c r="I1388" s="85"/>
      <c r="J1388" s="104"/>
      <c r="K1388" s="143"/>
      <c r="L1388" s="61"/>
    </row>
    <row r="1389" spans="1:18" x14ac:dyDescent="0.15">
      <c r="A1389" s="165"/>
      <c r="B1389" s="93"/>
      <c r="C1389" s="100"/>
      <c r="D1389" s="61"/>
      <c r="E1389" s="100"/>
      <c r="F1389" s="100"/>
      <c r="G1389" s="100"/>
      <c r="H1389" s="177"/>
      <c r="I1389" s="85"/>
      <c r="J1389" s="101"/>
      <c r="K1389" s="143"/>
      <c r="L1389" s="61"/>
    </row>
    <row r="1390" spans="1:18" x14ac:dyDescent="0.15">
      <c r="A1390" s="62"/>
      <c r="B1390" s="93"/>
      <c r="C1390" s="100"/>
      <c r="D1390" s="61"/>
      <c r="E1390" s="100"/>
      <c r="F1390" s="100"/>
      <c r="G1390" s="100"/>
      <c r="H1390" s="177"/>
      <c r="I1390" s="85"/>
      <c r="J1390" s="101"/>
      <c r="K1390" s="143"/>
      <c r="L1390" s="61"/>
    </row>
    <row r="1391" spans="1:18" x14ac:dyDescent="0.15">
      <c r="A1391" s="165"/>
      <c r="B1391" s="82"/>
      <c r="C1391" s="107"/>
      <c r="D1391" s="62"/>
      <c r="E1391" s="107"/>
      <c r="F1391" s="107"/>
      <c r="G1391" s="107"/>
      <c r="H1391" s="179"/>
      <c r="I1391" s="85"/>
      <c r="J1391" s="104"/>
      <c r="K1391" s="144"/>
      <c r="L1391" s="61"/>
    </row>
    <row r="1392" spans="1:18" x14ac:dyDescent="0.15">
      <c r="A1392" s="165"/>
      <c r="B1392" s="93"/>
      <c r="C1392" s="102"/>
      <c r="D1392" s="62"/>
      <c r="E1392" s="100"/>
      <c r="F1392" s="102"/>
      <c r="G1392" s="102"/>
      <c r="H1392" s="175"/>
      <c r="I1392" s="85"/>
      <c r="J1392" s="104"/>
      <c r="K1392" s="143"/>
      <c r="L1392" s="61"/>
      <c r="Q1392"/>
      <c r="R1392"/>
    </row>
    <row r="1393" spans="1:12" x14ac:dyDescent="0.15">
      <c r="A1393" s="62"/>
      <c r="B1393" s="93"/>
      <c r="C1393" s="100"/>
      <c r="D1393" s="61"/>
      <c r="E1393" s="100"/>
      <c r="F1393" s="100"/>
      <c r="G1393" s="100"/>
      <c r="H1393" s="177"/>
      <c r="I1393" s="85"/>
      <c r="J1393" s="101"/>
      <c r="K1393" s="143"/>
      <c r="L1393" s="61"/>
    </row>
    <row r="1394" spans="1:12" x14ac:dyDescent="0.15">
      <c r="A1394" s="165"/>
      <c r="B1394" s="93"/>
      <c r="C1394" s="100"/>
      <c r="D1394" s="61"/>
      <c r="E1394" s="100"/>
      <c r="F1394" s="100"/>
      <c r="G1394" s="100"/>
      <c r="H1394" s="177"/>
      <c r="I1394" s="85"/>
      <c r="J1394" s="101"/>
      <c r="K1394" s="143"/>
      <c r="L1394" s="61"/>
    </row>
    <row r="1395" spans="1:12" x14ac:dyDescent="0.15">
      <c r="A1395" s="165"/>
      <c r="B1395" s="93"/>
      <c r="C1395" s="100"/>
      <c r="D1395" s="61"/>
      <c r="E1395" s="100"/>
      <c r="F1395" s="100"/>
      <c r="G1395" s="100"/>
      <c r="H1395" s="177"/>
      <c r="I1395" s="85"/>
      <c r="J1395" s="101"/>
      <c r="K1395" s="143"/>
      <c r="L1395" s="61"/>
    </row>
    <row r="1396" spans="1:12" x14ac:dyDescent="0.15">
      <c r="A1396" s="165"/>
      <c r="B1396" s="93"/>
      <c r="C1396" s="100"/>
      <c r="D1396" s="61"/>
      <c r="E1396" s="100"/>
      <c r="F1396" s="100"/>
      <c r="G1396" s="100"/>
      <c r="H1396" s="177"/>
      <c r="I1396" s="85"/>
      <c r="J1396" s="101"/>
      <c r="K1396" s="143"/>
      <c r="L1396" s="61"/>
    </row>
    <row r="1397" spans="1:12" x14ac:dyDescent="0.15">
      <c r="A1397" s="165"/>
      <c r="B1397" s="93"/>
      <c r="C1397" s="100"/>
      <c r="D1397" s="61"/>
      <c r="E1397" s="100"/>
      <c r="F1397" s="100"/>
      <c r="G1397" s="100"/>
      <c r="H1397" s="177"/>
      <c r="I1397" s="85"/>
      <c r="J1397" s="101"/>
      <c r="K1397" s="143"/>
      <c r="L1397" s="61"/>
    </row>
    <row r="1398" spans="1:12" x14ac:dyDescent="0.15">
      <c r="A1398" s="62"/>
      <c r="B1398" s="93"/>
      <c r="C1398" s="100"/>
      <c r="D1398" s="61"/>
      <c r="E1398" s="100"/>
      <c r="F1398" s="100"/>
      <c r="G1398" s="100"/>
      <c r="H1398" s="177"/>
      <c r="I1398" s="85"/>
      <c r="J1398" s="101"/>
      <c r="K1398" s="143"/>
      <c r="L1398" s="61"/>
    </row>
    <row r="1399" spans="1:12" x14ac:dyDescent="0.15">
      <c r="A1399" s="165"/>
      <c r="B1399" s="93"/>
      <c r="C1399" s="100"/>
      <c r="D1399" s="61"/>
      <c r="E1399" s="100"/>
      <c r="F1399" s="100"/>
      <c r="G1399" s="100"/>
      <c r="H1399" s="177"/>
      <c r="I1399" s="85"/>
      <c r="J1399" s="101"/>
      <c r="K1399" s="143"/>
      <c r="L1399" s="61"/>
    </row>
    <row r="1400" spans="1:12" x14ac:dyDescent="0.15">
      <c r="A1400" s="165"/>
      <c r="B1400" s="93"/>
      <c r="C1400" s="100"/>
      <c r="D1400" s="61"/>
      <c r="E1400" s="100"/>
      <c r="F1400" s="100"/>
      <c r="G1400" s="100"/>
      <c r="H1400" s="177"/>
      <c r="I1400" s="85"/>
      <c r="J1400" s="101"/>
      <c r="K1400" s="143"/>
      <c r="L1400" s="61"/>
    </row>
    <row r="1401" spans="1:12" x14ac:dyDescent="0.15">
      <c r="A1401" s="62"/>
      <c r="B1401" s="93"/>
      <c r="C1401" s="100"/>
      <c r="D1401" s="61"/>
      <c r="E1401" s="100"/>
      <c r="F1401" s="100"/>
      <c r="G1401" s="100"/>
      <c r="H1401" s="177"/>
      <c r="I1401" s="85"/>
      <c r="J1401" s="101"/>
      <c r="K1401" s="143"/>
      <c r="L1401" s="61"/>
    </row>
    <row r="1402" spans="1:12" x14ac:dyDescent="0.15">
      <c r="A1402" s="62"/>
      <c r="B1402" s="93"/>
      <c r="C1402" s="100"/>
      <c r="D1402" s="61"/>
      <c r="E1402" s="100"/>
      <c r="F1402" s="100"/>
      <c r="G1402" s="100"/>
      <c r="H1402" s="177"/>
      <c r="I1402" s="85"/>
      <c r="J1402" s="101"/>
      <c r="K1402" s="143"/>
      <c r="L1402" s="61"/>
    </row>
    <row r="1403" spans="1:12" x14ac:dyDescent="0.15">
      <c r="A1403" s="62"/>
      <c r="B1403" s="93"/>
      <c r="C1403" s="102"/>
      <c r="D1403" s="62"/>
      <c r="E1403" s="100"/>
      <c r="F1403" s="102"/>
      <c r="G1403" s="102"/>
      <c r="H1403" s="175"/>
      <c r="I1403" s="85"/>
      <c r="J1403" s="104"/>
      <c r="K1403" s="143"/>
      <c r="L1403" s="61"/>
    </row>
    <row r="1404" spans="1:12" x14ac:dyDescent="0.15">
      <c r="A1404" s="62"/>
      <c r="B1404" s="93"/>
      <c r="C1404" s="100"/>
      <c r="D1404" s="61"/>
      <c r="E1404" s="100"/>
      <c r="F1404" s="100"/>
      <c r="G1404" s="100"/>
      <c r="H1404" s="177"/>
      <c r="I1404" s="103"/>
      <c r="J1404" s="103"/>
      <c r="K1404" s="141"/>
      <c r="L1404" s="61"/>
    </row>
    <row r="1405" spans="1:12" x14ac:dyDescent="0.15">
      <c r="A1405" s="62"/>
      <c r="B1405" s="93"/>
      <c r="C1405" s="100"/>
      <c r="D1405" s="61"/>
      <c r="E1405" s="100"/>
      <c r="F1405" s="100"/>
      <c r="G1405" s="100"/>
      <c r="H1405" s="177"/>
      <c r="I1405" s="103"/>
      <c r="J1405" s="103"/>
      <c r="K1405" s="141"/>
      <c r="L1405" s="61"/>
    </row>
    <row r="1406" spans="1:12" x14ac:dyDescent="0.15">
      <c r="A1406" s="62"/>
      <c r="B1406" s="93"/>
      <c r="C1406" s="100"/>
      <c r="D1406" s="61"/>
      <c r="E1406" s="100"/>
      <c r="F1406" s="100"/>
      <c r="G1406" s="100"/>
      <c r="H1406" s="177"/>
      <c r="I1406" s="103"/>
      <c r="J1406" s="103"/>
      <c r="K1406" s="141"/>
      <c r="L1406" s="61"/>
    </row>
    <row r="1407" spans="1:12" x14ac:dyDescent="0.15">
      <c r="A1407" s="62"/>
      <c r="B1407" s="93"/>
      <c r="C1407" s="102"/>
      <c r="D1407" s="62"/>
      <c r="E1407" s="102"/>
      <c r="F1407" s="102"/>
      <c r="G1407" s="102"/>
      <c r="H1407" s="175"/>
      <c r="I1407" s="85"/>
      <c r="J1407" s="104"/>
      <c r="K1407" s="143"/>
      <c r="L1407" s="61"/>
    </row>
    <row r="1408" spans="1:12" x14ac:dyDescent="0.15">
      <c r="A1408" s="62"/>
      <c r="B1408" s="93"/>
      <c r="C1408" s="102"/>
      <c r="D1408" s="62"/>
      <c r="E1408" s="102"/>
      <c r="F1408" s="102"/>
      <c r="G1408" s="102"/>
      <c r="H1408" s="175"/>
      <c r="I1408" s="85"/>
      <c r="J1408" s="104"/>
      <c r="K1408" s="144"/>
      <c r="L1408" s="61"/>
    </row>
    <row r="1409" spans="1:18" x14ac:dyDescent="0.15">
      <c r="A1409" s="62"/>
      <c r="B1409" s="93"/>
      <c r="C1409" s="102"/>
      <c r="D1409" s="62"/>
      <c r="E1409" s="102"/>
      <c r="F1409" s="102"/>
      <c r="G1409" s="102"/>
      <c r="H1409" s="175"/>
      <c r="I1409" s="85"/>
      <c r="J1409" s="104"/>
      <c r="K1409" s="143"/>
      <c r="L1409" s="61"/>
      <c r="Q1409" s="14"/>
      <c r="R1409" s="14"/>
    </row>
    <row r="1410" spans="1:18" x14ac:dyDescent="0.15">
      <c r="A1410" s="62"/>
      <c r="B1410" s="93"/>
      <c r="C1410" s="102"/>
      <c r="D1410" s="62"/>
      <c r="E1410" s="102"/>
      <c r="F1410" s="102"/>
      <c r="G1410" s="102"/>
      <c r="H1410" s="175"/>
      <c r="I1410" s="103"/>
      <c r="J1410" s="98"/>
      <c r="K1410" s="141"/>
      <c r="L1410" s="61"/>
    </row>
    <row r="1411" spans="1:18" x14ac:dyDescent="0.15">
      <c r="A1411" s="165"/>
      <c r="B1411" s="82"/>
      <c r="C1411" s="107"/>
      <c r="D1411" s="62"/>
      <c r="E1411" s="107"/>
      <c r="F1411" s="107"/>
      <c r="G1411" s="107"/>
      <c r="H1411" s="179"/>
      <c r="I1411" s="85"/>
      <c r="J1411" s="104"/>
      <c r="K1411" s="143"/>
      <c r="L1411" s="61"/>
    </row>
    <row r="1412" spans="1:18" x14ac:dyDescent="0.15">
      <c r="A1412" s="165"/>
      <c r="B1412" s="93"/>
      <c r="C1412" s="102"/>
      <c r="D1412" s="62"/>
      <c r="E1412" s="102"/>
      <c r="F1412" s="102"/>
      <c r="G1412" s="102"/>
      <c r="H1412" s="175"/>
      <c r="I1412" s="85"/>
      <c r="J1412" s="104"/>
      <c r="K1412" s="143"/>
      <c r="L1412" s="61"/>
    </row>
    <row r="1413" spans="1:18" x14ac:dyDescent="0.15">
      <c r="A1413" s="62"/>
      <c r="B1413" s="93"/>
      <c r="C1413" s="102"/>
      <c r="D1413" s="62"/>
      <c r="E1413" s="102"/>
      <c r="F1413" s="102"/>
      <c r="G1413" s="102"/>
      <c r="H1413" s="175"/>
      <c r="I1413" s="85"/>
      <c r="J1413" s="104"/>
      <c r="K1413" s="144"/>
      <c r="L1413" s="61"/>
    </row>
    <row r="1414" spans="1:18" x14ac:dyDescent="0.15">
      <c r="A1414" s="62"/>
      <c r="B1414" s="93"/>
      <c r="C1414" s="102"/>
      <c r="D1414" s="62"/>
      <c r="E1414" s="102"/>
      <c r="F1414" s="102"/>
      <c r="G1414" s="102"/>
      <c r="H1414" s="175"/>
      <c r="I1414" s="85"/>
      <c r="J1414" s="104"/>
      <c r="K1414" s="144"/>
      <c r="L1414" s="61"/>
    </row>
    <row r="1415" spans="1:18" x14ac:dyDescent="0.15">
      <c r="A1415" s="165"/>
      <c r="B1415" s="93"/>
      <c r="C1415" s="102"/>
      <c r="D1415" s="62"/>
      <c r="E1415" s="102"/>
      <c r="F1415" s="102"/>
      <c r="G1415" s="102"/>
      <c r="H1415" s="175"/>
      <c r="I1415" s="85"/>
      <c r="J1415" s="104"/>
      <c r="K1415" s="144"/>
      <c r="L1415" s="61"/>
    </row>
    <row r="1416" spans="1:18" x14ac:dyDescent="0.15">
      <c r="A1416" s="165"/>
      <c r="B1416" s="93"/>
      <c r="C1416" s="102"/>
      <c r="D1416" s="62"/>
      <c r="E1416" s="102"/>
      <c r="F1416" s="102"/>
      <c r="G1416" s="102"/>
      <c r="H1416" s="175"/>
      <c r="I1416" s="85"/>
      <c r="J1416" s="104"/>
      <c r="K1416" s="144"/>
      <c r="L1416" s="61"/>
    </row>
    <row r="1417" spans="1:18" x14ac:dyDescent="0.15">
      <c r="A1417" s="62"/>
      <c r="B1417" s="93"/>
      <c r="C1417" s="102"/>
      <c r="D1417" s="62"/>
      <c r="E1417" s="102"/>
      <c r="F1417" s="102"/>
      <c r="G1417" s="102"/>
      <c r="H1417" s="175"/>
      <c r="I1417" s="85"/>
      <c r="J1417" s="104"/>
      <c r="K1417" s="144"/>
      <c r="L1417" s="62"/>
    </row>
    <row r="1418" spans="1:18" x14ac:dyDescent="0.15">
      <c r="A1418" s="165"/>
      <c r="B1418" s="93"/>
      <c r="C1418" s="102"/>
      <c r="D1418" s="62"/>
      <c r="E1418" s="102"/>
      <c r="F1418" s="102"/>
      <c r="G1418" s="102"/>
      <c r="H1418" s="175"/>
      <c r="I1418" s="85"/>
      <c r="J1418" s="104"/>
      <c r="K1418" s="144"/>
      <c r="L1418" s="62"/>
    </row>
    <row r="1419" spans="1:18" x14ac:dyDescent="0.15">
      <c r="A1419" s="165"/>
      <c r="B1419" s="93"/>
      <c r="C1419" s="102"/>
      <c r="D1419" s="61"/>
      <c r="E1419" s="100"/>
      <c r="F1419" s="100"/>
      <c r="G1419" s="100"/>
      <c r="H1419" s="177"/>
      <c r="I1419" s="103"/>
      <c r="J1419" s="103"/>
      <c r="K1419" s="141"/>
      <c r="L1419" s="61"/>
    </row>
    <row r="1420" spans="1:18" x14ac:dyDescent="0.15">
      <c r="A1420" s="165"/>
      <c r="B1420" s="93"/>
      <c r="C1420" s="100"/>
      <c r="D1420" s="61"/>
      <c r="E1420" s="100"/>
      <c r="F1420" s="100"/>
      <c r="G1420" s="100"/>
      <c r="H1420" s="177"/>
      <c r="I1420" s="103"/>
      <c r="J1420" s="103"/>
      <c r="K1420" s="141"/>
      <c r="L1420" s="61"/>
    </row>
    <row r="1421" spans="1:18" x14ac:dyDescent="0.15">
      <c r="A1421" s="165"/>
      <c r="B1421" s="93"/>
      <c r="C1421" s="102"/>
      <c r="D1421" s="62"/>
      <c r="E1421" s="102"/>
      <c r="F1421" s="102"/>
      <c r="G1421" s="102"/>
      <c r="H1421" s="175"/>
      <c r="I1421" s="85"/>
      <c r="J1421" s="104"/>
      <c r="K1421" s="143"/>
      <c r="L1421" s="61"/>
    </row>
    <row r="1422" spans="1:18" x14ac:dyDescent="0.15">
      <c r="A1422" s="165"/>
      <c r="B1422" s="93"/>
      <c r="C1422" s="102"/>
      <c r="D1422" s="62"/>
      <c r="E1422" s="102"/>
      <c r="F1422" s="102"/>
      <c r="G1422" s="102"/>
      <c r="H1422" s="175"/>
      <c r="I1422" s="85"/>
      <c r="J1422" s="104"/>
      <c r="K1422" s="143"/>
      <c r="L1422" s="61"/>
    </row>
    <row r="1423" spans="1:18" x14ac:dyDescent="0.15">
      <c r="A1423" s="165"/>
      <c r="B1423" s="93"/>
      <c r="C1423" s="102"/>
      <c r="D1423" s="62"/>
      <c r="E1423" s="102"/>
      <c r="F1423" s="102"/>
      <c r="G1423" s="102"/>
      <c r="H1423" s="175"/>
      <c r="I1423" s="85"/>
      <c r="J1423" s="104"/>
      <c r="K1423" s="144"/>
      <c r="L1423" s="62"/>
    </row>
    <row r="1424" spans="1:18" x14ac:dyDescent="0.15">
      <c r="A1424" s="165"/>
      <c r="B1424" s="93"/>
      <c r="C1424" s="102"/>
      <c r="D1424" s="62"/>
      <c r="E1424" s="100"/>
      <c r="F1424" s="102"/>
      <c r="G1424" s="102"/>
      <c r="H1424" s="175"/>
      <c r="I1424" s="85"/>
      <c r="J1424" s="104"/>
      <c r="K1424" s="143"/>
      <c r="L1424" s="61"/>
      <c r="Q1424" s="12"/>
      <c r="R1424" s="12"/>
    </row>
    <row r="1425" spans="1:12" x14ac:dyDescent="0.15">
      <c r="A1425" s="165"/>
      <c r="B1425" s="93"/>
      <c r="C1425" s="102"/>
      <c r="D1425" s="62"/>
      <c r="E1425" s="100"/>
      <c r="F1425" s="102"/>
      <c r="G1425" s="102"/>
      <c r="H1425" s="175"/>
      <c r="I1425" s="85"/>
      <c r="J1425" s="104"/>
      <c r="K1425" s="143"/>
      <c r="L1425" s="61"/>
    </row>
    <row r="1426" spans="1:12" x14ac:dyDescent="0.15">
      <c r="A1426" s="165"/>
      <c r="B1426" s="93"/>
      <c r="C1426" s="102"/>
      <c r="D1426" s="62"/>
      <c r="E1426" s="102"/>
      <c r="F1426" s="102"/>
      <c r="G1426" s="102"/>
      <c r="H1426" s="175"/>
      <c r="I1426" s="85"/>
      <c r="J1426" s="104"/>
      <c r="K1426" s="143"/>
      <c r="L1426" s="61"/>
    </row>
    <row r="1427" spans="1:12" x14ac:dyDescent="0.15">
      <c r="A1427" s="165"/>
      <c r="B1427" s="93"/>
      <c r="C1427" s="100"/>
      <c r="D1427" s="61"/>
      <c r="E1427" s="100"/>
      <c r="F1427" s="100"/>
      <c r="G1427" s="100"/>
      <c r="H1427" s="177"/>
      <c r="I1427" s="85"/>
      <c r="J1427" s="101"/>
      <c r="K1427" s="143"/>
      <c r="L1427" s="61"/>
    </row>
    <row r="1428" spans="1:12" x14ac:dyDescent="0.15">
      <c r="A1428" s="165"/>
      <c r="B1428" s="93"/>
      <c r="C1428" s="100"/>
      <c r="D1428" s="61"/>
      <c r="E1428" s="100"/>
      <c r="F1428" s="100"/>
      <c r="G1428" s="100"/>
      <c r="H1428" s="177"/>
      <c r="I1428" s="103"/>
      <c r="J1428" s="103"/>
      <c r="K1428" s="141"/>
      <c r="L1428" s="61"/>
    </row>
    <row r="1429" spans="1:12" x14ac:dyDescent="0.15">
      <c r="A1429" s="165"/>
      <c r="B1429" s="93"/>
      <c r="C1429" s="102"/>
      <c r="D1429" s="62"/>
      <c r="E1429" s="100"/>
      <c r="F1429" s="102"/>
      <c r="G1429" s="102"/>
      <c r="H1429" s="175"/>
      <c r="I1429" s="85"/>
      <c r="J1429" s="104"/>
      <c r="K1429" s="143"/>
      <c r="L1429" s="61"/>
    </row>
    <row r="1430" spans="1:12" x14ac:dyDescent="0.15">
      <c r="A1430" s="165"/>
      <c r="B1430" s="93"/>
      <c r="C1430" s="102"/>
      <c r="D1430" s="62"/>
      <c r="E1430" s="102"/>
      <c r="F1430" s="102"/>
      <c r="G1430" s="102"/>
      <c r="H1430" s="175"/>
      <c r="I1430" s="85"/>
      <c r="J1430" s="104"/>
      <c r="K1430" s="143"/>
      <c r="L1430" s="61"/>
    </row>
    <row r="1431" spans="1:12" x14ac:dyDescent="0.15">
      <c r="A1431" s="165"/>
      <c r="B1431" s="93"/>
      <c r="C1431" s="100"/>
      <c r="D1431" s="61"/>
      <c r="E1431" s="100"/>
      <c r="F1431" s="100"/>
      <c r="G1431" s="100"/>
      <c r="H1431" s="177"/>
      <c r="I1431" s="103"/>
      <c r="J1431" s="103"/>
      <c r="K1431" s="141"/>
      <c r="L1431" s="61"/>
    </row>
    <row r="1432" spans="1:12" x14ac:dyDescent="0.15">
      <c r="A1432" s="165"/>
      <c r="B1432" s="93"/>
      <c r="C1432" s="102"/>
      <c r="D1432" s="62"/>
      <c r="E1432" s="102"/>
      <c r="F1432" s="102"/>
      <c r="G1432" s="102"/>
      <c r="H1432" s="175"/>
      <c r="I1432" s="85"/>
      <c r="J1432" s="104"/>
      <c r="K1432" s="143"/>
      <c r="L1432" s="61"/>
    </row>
    <row r="1433" spans="1:12" x14ac:dyDescent="0.15">
      <c r="A1433" s="165"/>
      <c r="B1433" s="93"/>
      <c r="C1433" s="102"/>
      <c r="D1433" s="62"/>
      <c r="E1433" s="102"/>
      <c r="F1433" s="102"/>
      <c r="G1433" s="102"/>
      <c r="H1433" s="175"/>
      <c r="I1433" s="85"/>
      <c r="J1433" s="104"/>
      <c r="K1433" s="144"/>
      <c r="L1433" s="61"/>
    </row>
    <row r="1434" spans="1:12" x14ac:dyDescent="0.15">
      <c r="A1434" s="165"/>
      <c r="B1434" s="93"/>
      <c r="C1434" s="102"/>
      <c r="D1434" s="62"/>
      <c r="E1434" s="102"/>
      <c r="F1434" s="102"/>
      <c r="G1434" s="102"/>
      <c r="H1434" s="175"/>
      <c r="I1434" s="85"/>
      <c r="J1434" s="104"/>
      <c r="K1434" s="143"/>
      <c r="L1434" s="61"/>
    </row>
    <row r="1435" spans="1:12" x14ac:dyDescent="0.15">
      <c r="A1435" s="165"/>
      <c r="B1435" s="93"/>
      <c r="C1435" s="102"/>
      <c r="D1435" s="62"/>
      <c r="E1435" s="102"/>
      <c r="F1435" s="102"/>
      <c r="G1435" s="102"/>
      <c r="H1435" s="175"/>
      <c r="I1435" s="85"/>
      <c r="J1435" s="104"/>
      <c r="K1435" s="143"/>
      <c r="L1435" s="61"/>
    </row>
    <row r="1436" spans="1:12" x14ac:dyDescent="0.15">
      <c r="A1436" s="165"/>
      <c r="B1436" s="93"/>
      <c r="C1436" s="102"/>
      <c r="D1436" s="62"/>
      <c r="E1436" s="102"/>
      <c r="F1436" s="102"/>
      <c r="G1436" s="102"/>
      <c r="H1436" s="175"/>
      <c r="I1436" s="85"/>
      <c r="J1436" s="104"/>
      <c r="K1436" s="143"/>
      <c r="L1436" s="61"/>
    </row>
    <row r="1437" spans="1:12" x14ac:dyDescent="0.15">
      <c r="A1437" s="165"/>
      <c r="B1437" s="93"/>
      <c r="C1437" s="102"/>
      <c r="D1437" s="62"/>
      <c r="E1437" s="102"/>
      <c r="F1437" s="102"/>
      <c r="G1437" s="102"/>
      <c r="H1437" s="175"/>
      <c r="I1437" s="85"/>
      <c r="J1437" s="104"/>
      <c r="K1437" s="143"/>
      <c r="L1437" s="61"/>
    </row>
    <row r="1438" spans="1:12" x14ac:dyDescent="0.15">
      <c r="A1438" s="62"/>
      <c r="B1438" s="93"/>
      <c r="C1438" s="100"/>
      <c r="D1438" s="61"/>
      <c r="E1438" s="100"/>
      <c r="F1438" s="100"/>
      <c r="G1438" s="100"/>
      <c r="H1438" s="177"/>
      <c r="I1438" s="85"/>
      <c r="J1438" s="101"/>
      <c r="K1438" s="143"/>
      <c r="L1438" s="61"/>
    </row>
    <row r="1439" spans="1:12" x14ac:dyDescent="0.15">
      <c r="A1439" s="62"/>
      <c r="B1439" s="93"/>
      <c r="C1439" s="102"/>
      <c r="D1439" s="62"/>
      <c r="E1439" s="102"/>
      <c r="F1439" s="102"/>
      <c r="G1439" s="102"/>
      <c r="H1439" s="175"/>
      <c r="I1439" s="85"/>
      <c r="J1439" s="104"/>
      <c r="K1439" s="143"/>
      <c r="L1439" s="61"/>
    </row>
    <row r="1440" spans="1:12" x14ac:dyDescent="0.15">
      <c r="A1440" s="62"/>
      <c r="B1440" s="93"/>
      <c r="C1440" s="102"/>
      <c r="D1440" s="62"/>
      <c r="E1440" s="102"/>
      <c r="F1440" s="102"/>
      <c r="G1440" s="102"/>
      <c r="H1440" s="175"/>
      <c r="I1440" s="85"/>
      <c r="J1440" s="104"/>
      <c r="K1440" s="143"/>
      <c r="L1440" s="61"/>
    </row>
    <row r="1441" spans="1:12" x14ac:dyDescent="0.15">
      <c r="A1441" s="62"/>
      <c r="B1441" s="93"/>
      <c r="C1441" s="102"/>
      <c r="D1441" s="62"/>
      <c r="E1441" s="102"/>
      <c r="F1441" s="102"/>
      <c r="G1441" s="102"/>
      <c r="H1441" s="175"/>
      <c r="I1441" s="85"/>
      <c r="J1441" s="104"/>
      <c r="K1441" s="143"/>
      <c r="L1441" s="61"/>
    </row>
    <row r="1442" spans="1:12" x14ac:dyDescent="0.15">
      <c r="A1442" s="62"/>
      <c r="B1442" s="93"/>
      <c r="C1442" s="102"/>
      <c r="D1442" s="62"/>
      <c r="E1442" s="102"/>
      <c r="F1442" s="102"/>
      <c r="G1442" s="102"/>
      <c r="H1442" s="175"/>
      <c r="I1442" s="85"/>
      <c r="J1442" s="104"/>
      <c r="K1442" s="143"/>
      <c r="L1442" s="61"/>
    </row>
    <row r="1443" spans="1:12" x14ac:dyDescent="0.15">
      <c r="A1443" s="62"/>
      <c r="B1443" s="93"/>
      <c r="C1443" s="102"/>
      <c r="D1443" s="62"/>
      <c r="E1443" s="102"/>
      <c r="F1443" s="102"/>
      <c r="G1443" s="102"/>
      <c r="H1443" s="175"/>
      <c r="I1443" s="85"/>
      <c r="J1443" s="104"/>
      <c r="K1443" s="143"/>
      <c r="L1443" s="61"/>
    </row>
    <row r="1444" spans="1:12" x14ac:dyDescent="0.15">
      <c r="A1444" s="62"/>
      <c r="B1444" s="93"/>
      <c r="C1444" s="102"/>
      <c r="D1444" s="62"/>
      <c r="E1444" s="102"/>
      <c r="F1444" s="102"/>
      <c r="G1444" s="102"/>
      <c r="H1444" s="175"/>
      <c r="I1444" s="85"/>
      <c r="J1444" s="104"/>
      <c r="K1444" s="143"/>
      <c r="L1444" s="61"/>
    </row>
    <row r="1445" spans="1:12" x14ac:dyDescent="0.15">
      <c r="A1445" s="62"/>
      <c r="B1445" s="93"/>
      <c r="C1445" s="102"/>
      <c r="D1445" s="62"/>
      <c r="E1445" s="102"/>
      <c r="F1445" s="102"/>
      <c r="G1445" s="102"/>
      <c r="H1445" s="175"/>
      <c r="I1445" s="85"/>
      <c r="J1445" s="104"/>
      <c r="K1445" s="144"/>
      <c r="L1445" s="61"/>
    </row>
    <row r="1446" spans="1:12" x14ac:dyDescent="0.15">
      <c r="A1446" s="62"/>
      <c r="B1446" s="93"/>
      <c r="C1446" s="102"/>
      <c r="D1446" s="62"/>
      <c r="E1446" s="102"/>
      <c r="F1446" s="102"/>
      <c r="G1446" s="102"/>
      <c r="H1446" s="175"/>
      <c r="I1446" s="85"/>
      <c r="J1446" s="104"/>
      <c r="K1446" s="144"/>
      <c r="L1446" s="61"/>
    </row>
    <row r="1447" spans="1:12" x14ac:dyDescent="0.15">
      <c r="A1447" s="165"/>
      <c r="B1447" s="93"/>
      <c r="C1447" s="102"/>
      <c r="D1447" s="62"/>
      <c r="E1447" s="102"/>
      <c r="F1447" s="102"/>
      <c r="G1447" s="102"/>
      <c r="H1447" s="175"/>
      <c r="I1447" s="85"/>
      <c r="J1447" s="104"/>
      <c r="K1447" s="144"/>
      <c r="L1447" s="62"/>
    </row>
    <row r="1448" spans="1:12" x14ac:dyDescent="0.15">
      <c r="A1448" s="62"/>
      <c r="B1448" s="93"/>
      <c r="C1448" s="102"/>
      <c r="D1448" s="62"/>
      <c r="E1448" s="102"/>
      <c r="F1448" s="102"/>
      <c r="G1448" s="102"/>
      <c r="H1448" s="175"/>
      <c r="I1448" s="85"/>
      <c r="J1448" s="104"/>
      <c r="K1448" s="144"/>
      <c r="L1448" s="61"/>
    </row>
    <row r="1449" spans="1:12" x14ac:dyDescent="0.15">
      <c r="A1449" s="62"/>
      <c r="B1449" s="93"/>
      <c r="C1449" s="102"/>
      <c r="D1449" s="62"/>
      <c r="E1449" s="102"/>
      <c r="F1449" s="102"/>
      <c r="G1449" s="102"/>
      <c r="H1449" s="175"/>
      <c r="I1449" s="85"/>
      <c r="J1449" s="104"/>
      <c r="K1449" s="144"/>
      <c r="L1449" s="61"/>
    </row>
    <row r="1450" spans="1:12" x14ac:dyDescent="0.15">
      <c r="A1450" s="62"/>
      <c r="B1450" s="93"/>
      <c r="C1450" s="102"/>
      <c r="D1450" s="62"/>
      <c r="E1450" s="102"/>
      <c r="F1450" s="102"/>
      <c r="G1450" s="102"/>
      <c r="H1450" s="175"/>
      <c r="I1450" s="85"/>
      <c r="J1450" s="104"/>
      <c r="K1450" s="144"/>
      <c r="L1450" s="61"/>
    </row>
    <row r="1451" spans="1:12" x14ac:dyDescent="0.15">
      <c r="A1451" s="62"/>
      <c r="B1451" s="93"/>
      <c r="C1451" s="100"/>
      <c r="D1451" s="61"/>
      <c r="E1451" s="100"/>
      <c r="F1451" s="100"/>
      <c r="G1451" s="100"/>
      <c r="H1451" s="177"/>
      <c r="I1451" s="85"/>
      <c r="J1451" s="101"/>
      <c r="K1451" s="144"/>
      <c r="L1451" s="61"/>
    </row>
    <row r="1452" spans="1:12" x14ac:dyDescent="0.15">
      <c r="A1452" s="62"/>
      <c r="B1452" s="93"/>
      <c r="C1452" s="102"/>
      <c r="D1452" s="62"/>
      <c r="E1452" s="102"/>
      <c r="F1452" s="102"/>
      <c r="G1452" s="102"/>
      <c r="H1452" s="175"/>
      <c r="I1452" s="85"/>
      <c r="J1452" s="104"/>
      <c r="K1452" s="144"/>
      <c r="L1452" s="61"/>
    </row>
    <row r="1453" spans="1:12" x14ac:dyDescent="0.15">
      <c r="A1453" s="165"/>
      <c r="B1453" s="93"/>
      <c r="C1453" s="102"/>
      <c r="D1453" s="62"/>
      <c r="E1453" s="102"/>
      <c r="F1453" s="102"/>
      <c r="G1453" s="102"/>
      <c r="H1453" s="175"/>
      <c r="I1453" s="85"/>
      <c r="J1453" s="104"/>
      <c r="K1453" s="144"/>
      <c r="L1453" s="61"/>
    </row>
    <row r="1454" spans="1:12" x14ac:dyDescent="0.15">
      <c r="A1454" s="165"/>
      <c r="B1454" s="93"/>
      <c r="C1454" s="102"/>
      <c r="D1454" s="62"/>
      <c r="E1454" s="102"/>
      <c r="F1454" s="102"/>
      <c r="G1454" s="102"/>
      <c r="H1454" s="175"/>
      <c r="I1454" s="85"/>
      <c r="J1454" s="104"/>
      <c r="K1454" s="144"/>
      <c r="L1454" s="61"/>
    </row>
    <row r="1455" spans="1:12" x14ac:dyDescent="0.15">
      <c r="A1455" s="165"/>
      <c r="B1455" s="93"/>
      <c r="C1455" s="102"/>
      <c r="D1455" s="62"/>
      <c r="E1455" s="100"/>
      <c r="F1455" s="102"/>
      <c r="G1455" s="102"/>
      <c r="H1455" s="175"/>
      <c r="I1455" s="85"/>
      <c r="J1455" s="104"/>
      <c r="K1455" s="144"/>
      <c r="L1455" s="61"/>
    </row>
    <row r="1456" spans="1:12" x14ac:dyDescent="0.15">
      <c r="A1456" s="165"/>
      <c r="B1456" s="93"/>
      <c r="C1456" s="102"/>
      <c r="D1456" s="62"/>
      <c r="E1456" s="100"/>
      <c r="F1456" s="102"/>
      <c r="G1456" s="102"/>
      <c r="H1456" s="175"/>
      <c r="I1456" s="85"/>
      <c r="J1456" s="104"/>
      <c r="K1456" s="144"/>
      <c r="L1456" s="61"/>
    </row>
    <row r="1457" spans="1:12" x14ac:dyDescent="0.15">
      <c r="A1457" s="165"/>
      <c r="B1457" s="93"/>
      <c r="C1457" s="102"/>
      <c r="D1457" s="62"/>
      <c r="E1457" s="100"/>
      <c r="F1457" s="102"/>
      <c r="G1457" s="102"/>
      <c r="H1457" s="175"/>
      <c r="I1457" s="98"/>
      <c r="J1457" s="98"/>
      <c r="K1457" s="135"/>
      <c r="L1457" s="61"/>
    </row>
    <row r="1458" spans="1:12" x14ac:dyDescent="0.15">
      <c r="A1458" s="62"/>
      <c r="B1458" s="93"/>
      <c r="C1458" s="102"/>
      <c r="D1458" s="62"/>
      <c r="E1458" s="100"/>
      <c r="F1458" s="102"/>
      <c r="G1458" s="102"/>
      <c r="H1458" s="175"/>
      <c r="I1458" s="85"/>
      <c r="J1458" s="104"/>
      <c r="K1458" s="144"/>
      <c r="L1458" s="61"/>
    </row>
    <row r="1459" spans="1:12" x14ac:dyDescent="0.15">
      <c r="A1459" s="62"/>
      <c r="B1459" s="93"/>
      <c r="C1459" s="102"/>
      <c r="D1459" s="62"/>
      <c r="E1459" s="102"/>
      <c r="F1459" s="102"/>
      <c r="G1459" s="102"/>
      <c r="H1459" s="175"/>
      <c r="I1459" s="85"/>
      <c r="J1459" s="104"/>
      <c r="K1459" s="144"/>
      <c r="L1459" s="61"/>
    </row>
    <row r="1460" spans="1:12" x14ac:dyDescent="0.15">
      <c r="A1460" s="165"/>
      <c r="B1460" s="93"/>
      <c r="C1460" s="102"/>
      <c r="D1460" s="62"/>
      <c r="E1460" s="100"/>
      <c r="F1460" s="102"/>
      <c r="G1460" s="102"/>
      <c r="H1460" s="175"/>
      <c r="I1460" s="85"/>
      <c r="J1460" s="104"/>
      <c r="K1460" s="144"/>
      <c r="L1460" s="61"/>
    </row>
    <row r="1461" spans="1:12" x14ac:dyDescent="0.15">
      <c r="A1461" s="165"/>
      <c r="B1461" s="93"/>
      <c r="C1461" s="102"/>
      <c r="D1461" s="62"/>
      <c r="E1461" s="102"/>
      <c r="F1461" s="102"/>
      <c r="G1461" s="102"/>
      <c r="H1461" s="175"/>
      <c r="I1461" s="85"/>
      <c r="J1461" s="104"/>
      <c r="K1461" s="144"/>
      <c r="L1461" s="61"/>
    </row>
    <row r="1462" spans="1:12" x14ac:dyDescent="0.15">
      <c r="A1462" s="165"/>
      <c r="B1462" s="93"/>
      <c r="C1462" s="102"/>
      <c r="D1462" s="62"/>
      <c r="E1462" s="102"/>
      <c r="F1462" s="102"/>
      <c r="G1462" s="102"/>
      <c r="H1462" s="175"/>
      <c r="I1462" s="85"/>
      <c r="J1462" s="104"/>
      <c r="K1462" s="144"/>
      <c r="L1462" s="61"/>
    </row>
    <row r="1463" spans="1:12" x14ac:dyDescent="0.15">
      <c r="A1463" s="165"/>
      <c r="B1463" s="93"/>
      <c r="C1463" s="102"/>
      <c r="D1463" s="62"/>
      <c r="E1463" s="102"/>
      <c r="F1463" s="102"/>
      <c r="G1463" s="102"/>
      <c r="H1463" s="175"/>
      <c r="I1463" s="85"/>
      <c r="J1463" s="104"/>
      <c r="K1463" s="144"/>
      <c r="L1463" s="61"/>
    </row>
    <row r="1464" spans="1:12" x14ac:dyDescent="0.15">
      <c r="A1464" s="165"/>
      <c r="B1464" s="93"/>
      <c r="C1464" s="102"/>
      <c r="D1464" s="62"/>
      <c r="E1464" s="100"/>
      <c r="F1464" s="102"/>
      <c r="G1464" s="102"/>
      <c r="H1464" s="175"/>
      <c r="I1464" s="98"/>
      <c r="J1464" s="98"/>
      <c r="K1464" s="135"/>
      <c r="L1464" s="61"/>
    </row>
    <row r="1465" spans="1:12" x14ac:dyDescent="0.15">
      <c r="A1465" s="165"/>
      <c r="B1465" s="93"/>
      <c r="C1465" s="102"/>
      <c r="D1465" s="62"/>
      <c r="E1465" s="102"/>
      <c r="F1465" s="102"/>
      <c r="G1465" s="102"/>
      <c r="H1465" s="175"/>
      <c r="I1465" s="85"/>
      <c r="J1465" s="104"/>
      <c r="K1465" s="144"/>
      <c r="L1465" s="61"/>
    </row>
    <row r="1466" spans="1:12" x14ac:dyDescent="0.15">
      <c r="A1466" s="165"/>
      <c r="B1466" s="93"/>
      <c r="C1466" s="102"/>
      <c r="D1466" s="62"/>
      <c r="E1466" s="100"/>
      <c r="F1466" s="102"/>
      <c r="G1466" s="102"/>
      <c r="H1466" s="175"/>
      <c r="I1466" s="98"/>
      <c r="J1466" s="98"/>
      <c r="K1466" s="135"/>
      <c r="L1466" s="61"/>
    </row>
    <row r="1467" spans="1:12" x14ac:dyDescent="0.15">
      <c r="A1467" s="165"/>
      <c r="B1467" s="93"/>
      <c r="C1467" s="102"/>
      <c r="D1467" s="62"/>
      <c r="E1467" s="102"/>
      <c r="F1467" s="102"/>
      <c r="G1467" s="102"/>
      <c r="H1467" s="175"/>
      <c r="I1467" s="85"/>
      <c r="J1467" s="104"/>
      <c r="K1467" s="144"/>
      <c r="L1467" s="61"/>
    </row>
    <row r="1468" spans="1:12" x14ac:dyDescent="0.15">
      <c r="A1468" s="165"/>
      <c r="B1468" s="93"/>
      <c r="C1468" s="102"/>
      <c r="D1468" s="62"/>
      <c r="E1468" s="100"/>
      <c r="F1468" s="102"/>
      <c r="G1468" s="102"/>
      <c r="H1468" s="175"/>
      <c r="I1468" s="98"/>
      <c r="J1468" s="98"/>
      <c r="K1468" s="135"/>
      <c r="L1468" s="61"/>
    </row>
    <row r="1469" spans="1:12" x14ac:dyDescent="0.15">
      <c r="A1469" s="165"/>
      <c r="B1469" s="93"/>
      <c r="C1469" s="102"/>
      <c r="D1469" s="62"/>
      <c r="E1469" s="100"/>
      <c r="F1469" s="102"/>
      <c r="G1469" s="102"/>
      <c r="H1469" s="175"/>
      <c r="I1469" s="98"/>
      <c r="J1469" s="98"/>
      <c r="K1469" s="135"/>
      <c r="L1469" s="61"/>
    </row>
    <row r="1470" spans="1:12" x14ac:dyDescent="0.15">
      <c r="A1470" s="165"/>
      <c r="B1470" s="93"/>
      <c r="C1470" s="102"/>
      <c r="D1470" s="62"/>
      <c r="E1470" s="102"/>
      <c r="F1470" s="102"/>
      <c r="G1470" s="102"/>
      <c r="H1470" s="175"/>
      <c r="I1470" s="85"/>
      <c r="J1470" s="104"/>
      <c r="K1470" s="144"/>
      <c r="L1470" s="61"/>
    </row>
    <row r="1471" spans="1:12" x14ac:dyDescent="0.15">
      <c r="A1471" s="165"/>
      <c r="B1471" s="93"/>
      <c r="C1471" s="102"/>
      <c r="D1471" s="62"/>
      <c r="E1471" s="102"/>
      <c r="F1471" s="102"/>
      <c r="G1471" s="102"/>
      <c r="H1471" s="175"/>
      <c r="I1471" s="85"/>
      <c r="J1471" s="104"/>
      <c r="K1471" s="144"/>
      <c r="L1471" s="61"/>
    </row>
    <row r="1472" spans="1:12" x14ac:dyDescent="0.15">
      <c r="A1472" s="165"/>
      <c r="B1472" s="93"/>
      <c r="C1472" s="102"/>
      <c r="D1472" s="62"/>
      <c r="E1472" s="102"/>
      <c r="F1472" s="102"/>
      <c r="G1472" s="102"/>
      <c r="H1472" s="175"/>
      <c r="I1472" s="85"/>
      <c r="J1472" s="104"/>
      <c r="K1472" s="144"/>
      <c r="L1472" s="61"/>
    </row>
    <row r="1473" spans="1:12" x14ac:dyDescent="0.15">
      <c r="A1473" s="165"/>
      <c r="B1473" s="93"/>
      <c r="C1473" s="102"/>
      <c r="D1473" s="62"/>
      <c r="E1473" s="102"/>
      <c r="F1473" s="102"/>
      <c r="G1473" s="102"/>
      <c r="H1473" s="175"/>
      <c r="I1473" s="85"/>
      <c r="J1473" s="104"/>
      <c r="K1473" s="144"/>
      <c r="L1473" s="61"/>
    </row>
    <row r="1474" spans="1:12" x14ac:dyDescent="0.15">
      <c r="A1474" s="165"/>
      <c r="B1474" s="93"/>
      <c r="C1474" s="102"/>
      <c r="D1474" s="62"/>
      <c r="E1474" s="102"/>
      <c r="F1474" s="102"/>
      <c r="G1474" s="102"/>
      <c r="H1474" s="175"/>
      <c r="I1474" s="85"/>
      <c r="J1474" s="104"/>
      <c r="K1474" s="144"/>
      <c r="L1474" s="61"/>
    </row>
    <row r="1475" spans="1:12" x14ac:dyDescent="0.15">
      <c r="A1475" s="165"/>
      <c r="B1475" s="93"/>
      <c r="C1475" s="102"/>
      <c r="D1475" s="62"/>
      <c r="E1475" s="102"/>
      <c r="F1475" s="102"/>
      <c r="G1475" s="102"/>
      <c r="H1475" s="175"/>
      <c r="I1475" s="85"/>
      <c r="J1475" s="104"/>
      <c r="K1475" s="144"/>
      <c r="L1475" s="61"/>
    </row>
    <row r="1476" spans="1:12" x14ac:dyDescent="0.15">
      <c r="A1476" s="165"/>
      <c r="B1476" s="93"/>
      <c r="C1476" s="102"/>
      <c r="D1476" s="62"/>
      <c r="E1476" s="102"/>
      <c r="F1476" s="102"/>
      <c r="G1476" s="102"/>
      <c r="H1476" s="175"/>
      <c r="I1476" s="85"/>
      <c r="J1476" s="104"/>
      <c r="K1476" s="144"/>
      <c r="L1476" s="61"/>
    </row>
    <row r="1477" spans="1:12" x14ac:dyDescent="0.15">
      <c r="A1477" s="165"/>
      <c r="B1477" s="93"/>
      <c r="C1477" s="102"/>
      <c r="D1477" s="62"/>
      <c r="E1477" s="102"/>
      <c r="F1477" s="102"/>
      <c r="G1477" s="102"/>
      <c r="H1477" s="175"/>
      <c r="I1477" s="85"/>
      <c r="J1477" s="104"/>
      <c r="K1477" s="144"/>
      <c r="L1477" s="61"/>
    </row>
    <row r="1478" spans="1:12" x14ac:dyDescent="0.15">
      <c r="A1478" s="165"/>
      <c r="B1478" s="93"/>
      <c r="C1478" s="102"/>
      <c r="D1478" s="62"/>
      <c r="E1478" s="102"/>
      <c r="F1478" s="102"/>
      <c r="G1478" s="102"/>
      <c r="H1478" s="175"/>
      <c r="I1478" s="85"/>
      <c r="J1478" s="104"/>
      <c r="K1478" s="144"/>
      <c r="L1478" s="61"/>
    </row>
    <row r="1479" spans="1:12" x14ac:dyDescent="0.15">
      <c r="A1479" s="165"/>
      <c r="B1479" s="93"/>
      <c r="C1479" s="102"/>
      <c r="D1479" s="62"/>
      <c r="E1479" s="102"/>
      <c r="F1479" s="102"/>
      <c r="G1479" s="102"/>
      <c r="H1479" s="175"/>
      <c r="I1479" s="85"/>
      <c r="J1479" s="104"/>
      <c r="K1479" s="144"/>
      <c r="L1479" s="61"/>
    </row>
    <row r="1480" spans="1:12" x14ac:dyDescent="0.15">
      <c r="A1480" s="165"/>
      <c r="B1480" s="93"/>
      <c r="C1480" s="102"/>
      <c r="D1480" s="62"/>
      <c r="E1480" s="102"/>
      <c r="F1480" s="102"/>
      <c r="G1480" s="102"/>
      <c r="H1480" s="175"/>
      <c r="I1480" s="85"/>
      <c r="J1480" s="104"/>
      <c r="K1480" s="144"/>
      <c r="L1480" s="61"/>
    </row>
    <row r="1481" spans="1:12" x14ac:dyDescent="0.15">
      <c r="A1481" s="165"/>
      <c r="B1481" s="93"/>
      <c r="C1481" s="102"/>
      <c r="D1481" s="62"/>
      <c r="E1481" s="100"/>
      <c r="F1481" s="102"/>
      <c r="G1481" s="102"/>
      <c r="H1481" s="175"/>
      <c r="I1481" s="85"/>
      <c r="J1481" s="104"/>
      <c r="K1481" s="144"/>
      <c r="L1481" s="61"/>
    </row>
    <row r="1482" spans="1:12" x14ac:dyDescent="0.15">
      <c r="A1482" s="165"/>
      <c r="B1482" s="93"/>
      <c r="C1482" s="102"/>
      <c r="D1482" s="62"/>
      <c r="E1482" s="102"/>
      <c r="F1482" s="102"/>
      <c r="G1482" s="102"/>
      <c r="H1482" s="175"/>
      <c r="I1482" s="85"/>
      <c r="J1482" s="104"/>
      <c r="K1482" s="144"/>
      <c r="L1482" s="61"/>
    </row>
    <row r="1483" spans="1:12" x14ac:dyDescent="0.15">
      <c r="A1483" s="165"/>
      <c r="B1483" s="93"/>
      <c r="C1483" s="102"/>
      <c r="D1483" s="62"/>
      <c r="E1483" s="102"/>
      <c r="F1483" s="102"/>
      <c r="G1483" s="102"/>
      <c r="H1483" s="175"/>
      <c r="I1483" s="85"/>
      <c r="J1483" s="104"/>
      <c r="K1483" s="144"/>
      <c r="L1483" s="61"/>
    </row>
    <row r="1484" spans="1:12" x14ac:dyDescent="0.15">
      <c r="A1484" s="165"/>
      <c r="B1484" s="93"/>
      <c r="C1484" s="102"/>
      <c r="D1484" s="62"/>
      <c r="E1484" s="102"/>
      <c r="F1484" s="102"/>
      <c r="G1484" s="102"/>
      <c r="H1484" s="175"/>
      <c r="I1484" s="85"/>
      <c r="J1484" s="104"/>
      <c r="K1484" s="144"/>
      <c r="L1484" s="61"/>
    </row>
    <row r="1485" spans="1:12" x14ac:dyDescent="0.15">
      <c r="A1485" s="165"/>
      <c r="B1485" s="93"/>
      <c r="C1485" s="102"/>
      <c r="D1485" s="62"/>
      <c r="E1485" s="102"/>
      <c r="F1485" s="102"/>
      <c r="G1485" s="102"/>
      <c r="H1485" s="175"/>
      <c r="I1485" s="85"/>
      <c r="J1485" s="104"/>
      <c r="K1485" s="144"/>
      <c r="L1485" s="61"/>
    </row>
    <row r="1486" spans="1:12" x14ac:dyDescent="0.15">
      <c r="A1486" s="165"/>
      <c r="B1486" s="93"/>
      <c r="C1486" s="102"/>
      <c r="D1486" s="62"/>
      <c r="E1486" s="102"/>
      <c r="F1486" s="102"/>
      <c r="G1486" s="102"/>
      <c r="H1486" s="175"/>
      <c r="I1486" s="85"/>
      <c r="J1486" s="104"/>
      <c r="K1486" s="144"/>
      <c r="L1486" s="61"/>
    </row>
    <row r="1487" spans="1:12" x14ac:dyDescent="0.15">
      <c r="A1487" s="165"/>
      <c r="B1487" s="93"/>
      <c r="C1487" s="102"/>
      <c r="D1487" s="62"/>
      <c r="E1487" s="102"/>
      <c r="F1487" s="102"/>
      <c r="G1487" s="102"/>
      <c r="H1487" s="175"/>
      <c r="I1487" s="85"/>
      <c r="J1487" s="104"/>
      <c r="K1487" s="144"/>
      <c r="L1487" s="61"/>
    </row>
    <row r="1488" spans="1:12" x14ac:dyDescent="0.15">
      <c r="A1488" s="165"/>
      <c r="B1488" s="93"/>
      <c r="C1488" s="102"/>
      <c r="D1488" s="62"/>
      <c r="E1488" s="102"/>
      <c r="F1488" s="102"/>
      <c r="G1488" s="102"/>
      <c r="H1488" s="175"/>
      <c r="I1488" s="85"/>
      <c r="J1488" s="104"/>
      <c r="K1488" s="144"/>
      <c r="L1488" s="61"/>
    </row>
    <row r="1489" spans="1:12" x14ac:dyDescent="0.15">
      <c r="A1489" s="165"/>
      <c r="B1489" s="93"/>
      <c r="C1489" s="102"/>
      <c r="D1489" s="62"/>
      <c r="E1489" s="102"/>
      <c r="F1489" s="102"/>
      <c r="G1489" s="102"/>
      <c r="H1489" s="175"/>
      <c r="I1489" s="85"/>
      <c r="J1489" s="104"/>
      <c r="K1489" s="144"/>
      <c r="L1489" s="61"/>
    </row>
    <row r="1490" spans="1:12" x14ac:dyDescent="0.15">
      <c r="A1490" s="165"/>
      <c r="B1490" s="93"/>
      <c r="C1490" s="102"/>
      <c r="D1490" s="62"/>
      <c r="E1490" s="100"/>
      <c r="F1490" s="102"/>
      <c r="G1490" s="102"/>
      <c r="H1490" s="175"/>
      <c r="I1490" s="98"/>
      <c r="J1490" s="98"/>
      <c r="K1490" s="135"/>
      <c r="L1490" s="61"/>
    </row>
    <row r="1491" spans="1:12" x14ac:dyDescent="0.15">
      <c r="A1491" s="165"/>
      <c r="B1491" s="93"/>
      <c r="C1491" s="102"/>
      <c r="D1491" s="62"/>
      <c r="E1491" s="100"/>
      <c r="F1491" s="102"/>
      <c r="G1491" s="102"/>
      <c r="H1491" s="175"/>
      <c r="I1491" s="98"/>
      <c r="J1491" s="98"/>
      <c r="K1491" s="135"/>
      <c r="L1491" s="61"/>
    </row>
    <row r="1492" spans="1:12" x14ac:dyDescent="0.15">
      <c r="A1492" s="165"/>
      <c r="B1492" s="93"/>
      <c r="C1492" s="102"/>
      <c r="D1492" s="62"/>
      <c r="E1492" s="100"/>
      <c r="F1492" s="102"/>
      <c r="G1492" s="102"/>
      <c r="H1492" s="175"/>
      <c r="I1492" s="98"/>
      <c r="J1492" s="98"/>
      <c r="K1492" s="135"/>
      <c r="L1492" s="61"/>
    </row>
    <row r="1493" spans="1:12" x14ac:dyDescent="0.15">
      <c r="A1493" s="165"/>
      <c r="B1493" s="93"/>
      <c r="C1493" s="102"/>
      <c r="D1493" s="62"/>
      <c r="E1493" s="100"/>
      <c r="F1493" s="102"/>
      <c r="G1493" s="102"/>
      <c r="H1493" s="175"/>
      <c r="I1493" s="98"/>
      <c r="J1493" s="98"/>
      <c r="K1493" s="135"/>
      <c r="L1493" s="61"/>
    </row>
    <row r="1494" spans="1:12" x14ac:dyDescent="0.15">
      <c r="A1494" s="165"/>
      <c r="B1494" s="93"/>
      <c r="C1494" s="102"/>
      <c r="D1494" s="62"/>
      <c r="E1494" s="100"/>
      <c r="F1494" s="102"/>
      <c r="G1494" s="102"/>
      <c r="H1494" s="175"/>
      <c r="I1494" s="98"/>
      <c r="J1494" s="98"/>
      <c r="K1494" s="135"/>
      <c r="L1494" s="61"/>
    </row>
    <row r="1495" spans="1:12" x14ac:dyDescent="0.15">
      <c r="A1495" s="165"/>
      <c r="B1495" s="93"/>
      <c r="C1495" s="102"/>
      <c r="D1495" s="62"/>
      <c r="E1495" s="100"/>
      <c r="F1495" s="102"/>
      <c r="G1495" s="102"/>
      <c r="H1495" s="175"/>
      <c r="I1495" s="98"/>
      <c r="J1495" s="98"/>
      <c r="K1495" s="135"/>
      <c r="L1495" s="61"/>
    </row>
    <row r="1496" spans="1:12" x14ac:dyDescent="0.15">
      <c r="A1496" s="165"/>
      <c r="B1496" s="93"/>
      <c r="C1496" s="102"/>
      <c r="D1496" s="62"/>
      <c r="E1496" s="100"/>
      <c r="F1496" s="102"/>
      <c r="G1496" s="102"/>
      <c r="H1496" s="175"/>
      <c r="I1496" s="98"/>
      <c r="J1496" s="98"/>
      <c r="K1496" s="135"/>
      <c r="L1496" s="61"/>
    </row>
    <row r="1497" spans="1:12" x14ac:dyDescent="0.15">
      <c r="A1497" s="165"/>
      <c r="B1497" s="93"/>
      <c r="C1497" s="102"/>
      <c r="D1497" s="62"/>
      <c r="E1497" s="100"/>
      <c r="F1497" s="102"/>
      <c r="G1497" s="102"/>
      <c r="H1497" s="175"/>
      <c r="I1497" s="98"/>
      <c r="J1497" s="98"/>
      <c r="K1497" s="135"/>
      <c r="L1497" s="61"/>
    </row>
    <row r="1498" spans="1:12" x14ac:dyDescent="0.15">
      <c r="A1498" s="165"/>
      <c r="B1498" s="93"/>
      <c r="C1498" s="102"/>
      <c r="D1498" s="62"/>
      <c r="E1498" s="100"/>
      <c r="F1498" s="102"/>
      <c r="G1498" s="102"/>
      <c r="H1498" s="175"/>
      <c r="I1498" s="98"/>
      <c r="J1498" s="98"/>
      <c r="K1498" s="135"/>
      <c r="L1498" s="61"/>
    </row>
    <row r="1499" spans="1:12" x14ac:dyDescent="0.15">
      <c r="A1499" s="165"/>
      <c r="B1499" s="93"/>
      <c r="C1499" s="102"/>
      <c r="D1499" s="62"/>
      <c r="E1499" s="100"/>
      <c r="F1499" s="102"/>
      <c r="G1499" s="102"/>
      <c r="H1499" s="175"/>
      <c r="I1499" s="98"/>
      <c r="J1499" s="98"/>
      <c r="K1499" s="135"/>
      <c r="L1499" s="61"/>
    </row>
    <row r="1500" spans="1:12" x14ac:dyDescent="0.15">
      <c r="A1500" s="165"/>
      <c r="B1500" s="93"/>
      <c r="C1500" s="102"/>
      <c r="D1500" s="62"/>
      <c r="E1500" s="100"/>
      <c r="F1500" s="102"/>
      <c r="G1500" s="102"/>
      <c r="H1500" s="175"/>
      <c r="I1500" s="98"/>
      <c r="J1500" s="98"/>
      <c r="K1500" s="135"/>
      <c r="L1500" s="61"/>
    </row>
    <row r="1501" spans="1:12" x14ac:dyDescent="0.15">
      <c r="A1501" s="165"/>
      <c r="B1501" s="93"/>
      <c r="C1501" s="102"/>
      <c r="D1501" s="62"/>
      <c r="E1501" s="102"/>
      <c r="F1501" s="102"/>
      <c r="G1501" s="102"/>
      <c r="H1501" s="175"/>
      <c r="I1501" s="85"/>
      <c r="J1501" s="104"/>
      <c r="K1501" s="144"/>
      <c r="L1501" s="61"/>
    </row>
    <row r="1502" spans="1:12" x14ac:dyDescent="0.15">
      <c r="A1502" s="165"/>
      <c r="B1502" s="93"/>
      <c r="C1502" s="102"/>
      <c r="D1502" s="62"/>
      <c r="E1502" s="102"/>
      <c r="F1502" s="102"/>
      <c r="G1502" s="102"/>
      <c r="H1502" s="175"/>
      <c r="I1502" s="85"/>
      <c r="J1502" s="104"/>
      <c r="K1502" s="144"/>
      <c r="L1502" s="61"/>
    </row>
    <row r="1503" spans="1:12" x14ac:dyDescent="0.15">
      <c r="A1503" s="165"/>
      <c r="B1503" s="93"/>
      <c r="C1503" s="102"/>
      <c r="D1503" s="62"/>
      <c r="E1503" s="102"/>
      <c r="F1503" s="102"/>
      <c r="G1503" s="102"/>
      <c r="H1503" s="175"/>
      <c r="I1503" s="85"/>
      <c r="J1503" s="104"/>
      <c r="K1503" s="144"/>
      <c r="L1503" s="61"/>
    </row>
    <row r="1504" spans="1:12" x14ac:dyDescent="0.15">
      <c r="A1504" s="165"/>
      <c r="B1504" s="93"/>
      <c r="C1504" s="102"/>
      <c r="D1504" s="62"/>
      <c r="E1504" s="102"/>
      <c r="F1504" s="102"/>
      <c r="G1504" s="102"/>
      <c r="H1504" s="175"/>
      <c r="I1504" s="85"/>
      <c r="J1504" s="104"/>
      <c r="K1504" s="144"/>
      <c r="L1504" s="61"/>
    </row>
    <row r="1505" spans="1:12" x14ac:dyDescent="0.15">
      <c r="A1505" s="165"/>
      <c r="B1505" s="93"/>
      <c r="C1505" s="102"/>
      <c r="D1505" s="62"/>
      <c r="E1505" s="102"/>
      <c r="F1505" s="102"/>
      <c r="G1505" s="102"/>
      <c r="H1505" s="175"/>
      <c r="I1505" s="85"/>
      <c r="J1505" s="104"/>
      <c r="K1505" s="144"/>
      <c r="L1505" s="61"/>
    </row>
    <row r="1506" spans="1:12" x14ac:dyDescent="0.15">
      <c r="A1506" s="165"/>
      <c r="B1506" s="93"/>
      <c r="C1506" s="102"/>
      <c r="D1506" s="62"/>
      <c r="E1506" s="102"/>
      <c r="F1506" s="102"/>
      <c r="G1506" s="102"/>
      <c r="H1506" s="175"/>
      <c r="I1506" s="85"/>
      <c r="J1506" s="104"/>
      <c r="K1506" s="144"/>
      <c r="L1506" s="61"/>
    </row>
    <row r="1507" spans="1:12" x14ac:dyDescent="0.15">
      <c r="A1507" s="165"/>
      <c r="B1507" s="93"/>
      <c r="C1507" s="102"/>
      <c r="D1507" s="62"/>
      <c r="E1507" s="102"/>
      <c r="F1507" s="102"/>
      <c r="G1507" s="102"/>
      <c r="H1507" s="175"/>
      <c r="I1507" s="85"/>
      <c r="J1507" s="104"/>
      <c r="K1507" s="144"/>
      <c r="L1507" s="61"/>
    </row>
    <row r="1508" spans="1:12" x14ac:dyDescent="0.15">
      <c r="A1508" s="165"/>
      <c r="B1508" s="93"/>
      <c r="C1508" s="102"/>
      <c r="D1508" s="62"/>
      <c r="E1508" s="102"/>
      <c r="F1508" s="102"/>
      <c r="G1508" s="102"/>
      <c r="H1508" s="175"/>
      <c r="I1508" s="85"/>
      <c r="J1508" s="104"/>
      <c r="K1508" s="144"/>
      <c r="L1508" s="61"/>
    </row>
    <row r="1509" spans="1:12" x14ac:dyDescent="0.15">
      <c r="A1509" s="165"/>
      <c r="B1509" s="93"/>
      <c r="C1509" s="102"/>
      <c r="D1509" s="62"/>
      <c r="E1509" s="102"/>
      <c r="F1509" s="102"/>
      <c r="G1509" s="102"/>
      <c r="H1509" s="175"/>
      <c r="I1509" s="85"/>
      <c r="J1509" s="104"/>
      <c r="K1509" s="144"/>
      <c r="L1509" s="61"/>
    </row>
    <row r="1510" spans="1:12" x14ac:dyDescent="0.15">
      <c r="A1510" s="165"/>
      <c r="B1510" s="93"/>
      <c r="C1510" s="102"/>
      <c r="D1510" s="62"/>
      <c r="E1510" s="102"/>
      <c r="F1510" s="102"/>
      <c r="G1510" s="102"/>
      <c r="H1510" s="175"/>
      <c r="I1510" s="85"/>
      <c r="J1510" s="104"/>
      <c r="K1510" s="144"/>
      <c r="L1510" s="61"/>
    </row>
    <row r="1511" spans="1:12" x14ac:dyDescent="0.15">
      <c r="A1511" s="165"/>
      <c r="B1511" s="93"/>
      <c r="C1511" s="102"/>
      <c r="D1511" s="62"/>
      <c r="E1511" s="102"/>
      <c r="F1511" s="102"/>
      <c r="G1511" s="102"/>
      <c r="H1511" s="175"/>
      <c r="I1511" s="85"/>
      <c r="J1511" s="104"/>
      <c r="K1511" s="144"/>
      <c r="L1511" s="61"/>
    </row>
    <row r="1512" spans="1:12" x14ac:dyDescent="0.15">
      <c r="A1512" s="165"/>
      <c r="B1512" s="93"/>
      <c r="C1512" s="102"/>
      <c r="D1512" s="62"/>
      <c r="E1512" s="102"/>
      <c r="F1512" s="102"/>
      <c r="G1512" s="102"/>
      <c r="H1512" s="175"/>
      <c r="I1512" s="85"/>
      <c r="J1512" s="104"/>
      <c r="K1512" s="144"/>
      <c r="L1512" s="61"/>
    </row>
    <row r="1513" spans="1:12" x14ac:dyDescent="0.15">
      <c r="A1513" s="165"/>
      <c r="B1513" s="93"/>
      <c r="C1513" s="102"/>
      <c r="D1513" s="62"/>
      <c r="E1513" s="102"/>
      <c r="F1513" s="102"/>
      <c r="G1513" s="102"/>
      <c r="H1513" s="175"/>
      <c r="I1513" s="85"/>
      <c r="J1513" s="104"/>
      <c r="K1513" s="144"/>
      <c r="L1513" s="61"/>
    </row>
    <row r="1514" spans="1:12" x14ac:dyDescent="0.15">
      <c r="A1514" s="165"/>
      <c r="B1514" s="93"/>
      <c r="C1514" s="102"/>
      <c r="D1514" s="62"/>
      <c r="E1514" s="102"/>
      <c r="F1514" s="102"/>
      <c r="G1514" s="102"/>
      <c r="H1514" s="175"/>
      <c r="I1514" s="85"/>
      <c r="J1514" s="104"/>
      <c r="K1514" s="144"/>
      <c r="L1514" s="61"/>
    </row>
    <row r="1515" spans="1:12" x14ac:dyDescent="0.15">
      <c r="A1515" s="165"/>
      <c r="B1515" s="93"/>
      <c r="C1515" s="102"/>
      <c r="D1515" s="62"/>
      <c r="E1515" s="102"/>
      <c r="F1515" s="102"/>
      <c r="G1515" s="102"/>
      <c r="H1515" s="175"/>
      <c r="I1515" s="85"/>
      <c r="J1515" s="104"/>
      <c r="K1515" s="144"/>
      <c r="L1515" s="61"/>
    </row>
    <row r="1516" spans="1:12" x14ac:dyDescent="0.15">
      <c r="A1516" s="165"/>
      <c r="B1516" s="93"/>
      <c r="C1516" s="102"/>
      <c r="D1516" s="62"/>
      <c r="E1516" s="102"/>
      <c r="F1516" s="102"/>
      <c r="G1516" s="102"/>
      <c r="H1516" s="175"/>
      <c r="I1516" s="85"/>
      <c r="J1516" s="104"/>
      <c r="K1516" s="144"/>
      <c r="L1516" s="61"/>
    </row>
    <row r="1517" spans="1:12" x14ac:dyDescent="0.15">
      <c r="A1517" s="165"/>
      <c r="B1517" s="93"/>
      <c r="C1517" s="102"/>
      <c r="D1517" s="62"/>
      <c r="E1517" s="102"/>
      <c r="F1517" s="102"/>
      <c r="G1517" s="102"/>
      <c r="H1517" s="175"/>
      <c r="I1517" s="85"/>
      <c r="J1517" s="104"/>
      <c r="K1517" s="144"/>
      <c r="L1517" s="61"/>
    </row>
    <row r="1518" spans="1:12" x14ac:dyDescent="0.15">
      <c r="A1518" s="165"/>
      <c r="B1518" s="93"/>
      <c r="C1518" s="102"/>
      <c r="D1518" s="62"/>
      <c r="E1518" s="102"/>
      <c r="F1518" s="102"/>
      <c r="G1518" s="102"/>
      <c r="H1518" s="175"/>
      <c r="I1518" s="85"/>
      <c r="J1518" s="104"/>
      <c r="K1518" s="144"/>
      <c r="L1518" s="61"/>
    </row>
    <row r="1519" spans="1:12" x14ac:dyDescent="0.15">
      <c r="A1519" s="165"/>
      <c r="B1519" s="93"/>
      <c r="C1519" s="102"/>
      <c r="D1519" s="62"/>
      <c r="E1519" s="102"/>
      <c r="F1519" s="102"/>
      <c r="G1519" s="102"/>
      <c r="H1519" s="175"/>
      <c r="I1519" s="85"/>
      <c r="J1519" s="104"/>
      <c r="K1519" s="144"/>
      <c r="L1519" s="61"/>
    </row>
    <row r="1520" spans="1:12" x14ac:dyDescent="0.15">
      <c r="A1520" s="165"/>
      <c r="B1520" s="93"/>
      <c r="C1520" s="102"/>
      <c r="D1520" s="62"/>
      <c r="E1520" s="102"/>
      <c r="F1520" s="102"/>
      <c r="G1520" s="102"/>
      <c r="H1520" s="175"/>
      <c r="I1520" s="85"/>
      <c r="J1520" s="104"/>
      <c r="K1520" s="144"/>
      <c r="L1520" s="61"/>
    </row>
    <row r="1521" spans="1:12" x14ac:dyDescent="0.15">
      <c r="A1521" s="165"/>
      <c r="B1521" s="93"/>
      <c r="C1521" s="102"/>
      <c r="D1521" s="62"/>
      <c r="E1521" s="102"/>
      <c r="F1521" s="102"/>
      <c r="G1521" s="102"/>
      <c r="H1521" s="175"/>
      <c r="I1521" s="85"/>
      <c r="J1521" s="104"/>
      <c r="K1521" s="144"/>
      <c r="L1521" s="61"/>
    </row>
    <row r="1522" spans="1:12" x14ac:dyDescent="0.15">
      <c r="A1522" s="165"/>
      <c r="B1522" s="93"/>
      <c r="C1522" s="102"/>
      <c r="D1522" s="62"/>
      <c r="E1522" s="102"/>
      <c r="F1522" s="102"/>
      <c r="G1522" s="102"/>
      <c r="H1522" s="175"/>
      <c r="I1522" s="85"/>
      <c r="J1522" s="61"/>
      <c r="K1522" s="144"/>
      <c r="L1522" s="61"/>
    </row>
    <row r="1523" spans="1:12" x14ac:dyDescent="0.15">
      <c r="A1523" s="165"/>
      <c r="B1523" s="93"/>
      <c r="C1523" s="102"/>
      <c r="D1523" s="62"/>
      <c r="E1523" s="102"/>
      <c r="F1523" s="102"/>
      <c r="G1523" s="102"/>
      <c r="H1523" s="175"/>
      <c r="I1523" s="85"/>
      <c r="J1523" s="104"/>
      <c r="K1523" s="144"/>
      <c r="L1523" s="61"/>
    </row>
    <row r="1524" spans="1:12" x14ac:dyDescent="0.15">
      <c r="A1524" s="165"/>
      <c r="B1524" s="93"/>
      <c r="C1524" s="102"/>
      <c r="D1524" s="62"/>
      <c r="E1524" s="102"/>
      <c r="F1524" s="102"/>
      <c r="G1524" s="102"/>
      <c r="H1524" s="175"/>
      <c r="I1524" s="85"/>
      <c r="J1524" s="104"/>
      <c r="K1524" s="144"/>
      <c r="L1524" s="61"/>
    </row>
    <row r="1525" spans="1:12" x14ac:dyDescent="0.15">
      <c r="A1525" s="165"/>
      <c r="B1525" s="93"/>
      <c r="C1525" s="102"/>
      <c r="D1525" s="62"/>
      <c r="E1525" s="102"/>
      <c r="F1525" s="102"/>
      <c r="G1525" s="102"/>
      <c r="H1525" s="175"/>
      <c r="I1525" s="85"/>
      <c r="J1525" s="104"/>
      <c r="K1525" s="144"/>
      <c r="L1525" s="61"/>
    </row>
    <row r="1526" spans="1:12" x14ac:dyDescent="0.15">
      <c r="A1526" s="165"/>
      <c r="B1526" s="93"/>
      <c r="C1526" s="102"/>
      <c r="D1526" s="62"/>
      <c r="E1526" s="102"/>
      <c r="F1526" s="102"/>
      <c r="G1526" s="102"/>
      <c r="H1526" s="175"/>
      <c r="I1526" s="85"/>
      <c r="J1526" s="104"/>
      <c r="K1526" s="144"/>
      <c r="L1526" s="61"/>
    </row>
    <row r="1527" spans="1:12" x14ac:dyDescent="0.15">
      <c r="A1527" s="165"/>
      <c r="B1527" s="93"/>
      <c r="C1527" s="102"/>
      <c r="D1527" s="62"/>
      <c r="E1527" s="102"/>
      <c r="F1527" s="102"/>
      <c r="G1527" s="102"/>
      <c r="H1527" s="175"/>
      <c r="I1527" s="85"/>
      <c r="J1527" s="104"/>
      <c r="K1527" s="144"/>
      <c r="L1527" s="61"/>
    </row>
    <row r="1528" spans="1:12" x14ac:dyDescent="0.15">
      <c r="A1528" s="165"/>
      <c r="B1528" s="93"/>
      <c r="C1528" s="102"/>
      <c r="D1528" s="62"/>
      <c r="E1528" s="102"/>
      <c r="F1528" s="102"/>
      <c r="G1528" s="102"/>
      <c r="H1528" s="175"/>
      <c r="I1528" s="85"/>
      <c r="J1528" s="104"/>
      <c r="K1528" s="144"/>
      <c r="L1528" s="61"/>
    </row>
    <row r="1529" spans="1:12" x14ac:dyDescent="0.15">
      <c r="A1529" s="165"/>
      <c r="B1529" s="93"/>
      <c r="C1529" s="102"/>
      <c r="D1529" s="62"/>
      <c r="E1529" s="102"/>
      <c r="F1529" s="102"/>
      <c r="G1529" s="102"/>
      <c r="H1529" s="175"/>
      <c r="I1529" s="85"/>
      <c r="J1529" s="104"/>
      <c r="K1529" s="144"/>
      <c r="L1529" s="61"/>
    </row>
    <row r="1530" spans="1:12" x14ac:dyDescent="0.15">
      <c r="A1530" s="165"/>
      <c r="B1530" s="93"/>
      <c r="C1530" s="102"/>
      <c r="D1530" s="62"/>
      <c r="E1530" s="102"/>
      <c r="F1530" s="102"/>
      <c r="G1530" s="102"/>
      <c r="H1530" s="175"/>
      <c r="I1530" s="85"/>
      <c r="J1530" s="104"/>
      <c r="K1530" s="144"/>
      <c r="L1530" s="61"/>
    </row>
    <row r="1531" spans="1:12" x14ac:dyDescent="0.15">
      <c r="A1531" s="165"/>
      <c r="B1531" s="93"/>
      <c r="C1531" s="102"/>
      <c r="D1531" s="62"/>
      <c r="E1531" s="102"/>
      <c r="F1531" s="102"/>
      <c r="G1531" s="102"/>
      <c r="H1531" s="175"/>
      <c r="I1531" s="85"/>
      <c r="J1531" s="104"/>
      <c r="K1531" s="144"/>
      <c r="L1531" s="61"/>
    </row>
    <row r="1532" spans="1:12" x14ac:dyDescent="0.15">
      <c r="A1532" s="165"/>
      <c r="B1532" s="93"/>
      <c r="C1532" s="102"/>
      <c r="D1532" s="62"/>
      <c r="E1532" s="102"/>
      <c r="F1532" s="102"/>
      <c r="G1532" s="102"/>
      <c r="H1532" s="175"/>
      <c r="I1532" s="85"/>
      <c r="J1532" s="104"/>
      <c r="K1532" s="144"/>
      <c r="L1532" s="61"/>
    </row>
    <row r="1533" spans="1:12" x14ac:dyDescent="0.15">
      <c r="A1533" s="165"/>
      <c r="B1533" s="93"/>
      <c r="C1533" s="102"/>
      <c r="D1533" s="62"/>
      <c r="E1533" s="102"/>
      <c r="F1533" s="102"/>
      <c r="G1533" s="102"/>
      <c r="H1533" s="175"/>
      <c r="I1533" s="85"/>
      <c r="J1533" s="109"/>
      <c r="K1533" s="144"/>
      <c r="L1533" s="61"/>
    </row>
    <row r="1534" spans="1:12" x14ac:dyDescent="0.15">
      <c r="A1534" s="165"/>
      <c r="B1534" s="93"/>
      <c r="C1534" s="102"/>
      <c r="D1534" s="62"/>
      <c r="E1534" s="102"/>
      <c r="F1534" s="102"/>
      <c r="G1534" s="102"/>
      <c r="H1534" s="175"/>
      <c r="I1534" s="85"/>
      <c r="J1534" s="104"/>
      <c r="K1534" s="144"/>
      <c r="L1534" s="61"/>
    </row>
    <row r="1535" spans="1:12" x14ac:dyDescent="0.15">
      <c r="A1535" s="165"/>
      <c r="B1535" s="93"/>
      <c r="C1535" s="102"/>
      <c r="D1535" s="62"/>
      <c r="E1535" s="102"/>
      <c r="F1535" s="102"/>
      <c r="G1535" s="102"/>
      <c r="H1535" s="175"/>
      <c r="I1535" s="85"/>
      <c r="J1535" s="104"/>
      <c r="K1535" s="144"/>
      <c r="L1535" s="61"/>
    </row>
    <row r="1536" spans="1:12" x14ac:dyDescent="0.15">
      <c r="A1536" s="165"/>
      <c r="B1536" s="93"/>
      <c r="C1536" s="102"/>
      <c r="D1536" s="62"/>
      <c r="E1536" s="102"/>
      <c r="F1536" s="102"/>
      <c r="G1536" s="102"/>
      <c r="H1536" s="175"/>
      <c r="I1536" s="85"/>
      <c r="J1536" s="104"/>
      <c r="K1536" s="144"/>
      <c r="L1536" s="61"/>
    </row>
    <row r="1537" spans="1:12" x14ac:dyDescent="0.15">
      <c r="A1537" s="165"/>
      <c r="B1537" s="93"/>
      <c r="C1537" s="102"/>
      <c r="D1537" s="62"/>
      <c r="E1537" s="102"/>
      <c r="F1537" s="102"/>
      <c r="G1537" s="102"/>
      <c r="H1537" s="175"/>
      <c r="I1537" s="85"/>
      <c r="J1537" s="104"/>
      <c r="K1537" s="144"/>
      <c r="L1537" s="61"/>
    </row>
    <row r="1538" spans="1:12" x14ac:dyDescent="0.15">
      <c r="A1538" s="165"/>
      <c r="B1538" s="93"/>
      <c r="C1538" s="102"/>
      <c r="D1538" s="62"/>
      <c r="E1538" s="102"/>
      <c r="F1538" s="102"/>
      <c r="G1538" s="102"/>
      <c r="H1538" s="175"/>
      <c r="I1538" s="85"/>
      <c r="J1538" s="104"/>
      <c r="K1538" s="144"/>
      <c r="L1538" s="61"/>
    </row>
    <row r="1539" spans="1:12" x14ac:dyDescent="0.15">
      <c r="A1539" s="165"/>
      <c r="B1539" s="93"/>
      <c r="C1539" s="102"/>
      <c r="D1539" s="62"/>
      <c r="E1539" s="102"/>
      <c r="F1539" s="102"/>
      <c r="G1539" s="102"/>
      <c r="H1539" s="175"/>
      <c r="I1539" s="85"/>
      <c r="J1539" s="104"/>
      <c r="K1539" s="144"/>
      <c r="L1539" s="62"/>
    </row>
    <row r="1540" spans="1:12" x14ac:dyDescent="0.15">
      <c r="A1540" s="165"/>
      <c r="B1540" s="93"/>
      <c r="C1540" s="102"/>
      <c r="D1540" s="62"/>
      <c r="E1540" s="102"/>
      <c r="F1540" s="102"/>
      <c r="G1540" s="102"/>
      <c r="H1540" s="175"/>
      <c r="I1540" s="85"/>
      <c r="J1540" s="104"/>
      <c r="K1540" s="144"/>
      <c r="L1540" s="62"/>
    </row>
    <row r="1541" spans="1:12" x14ac:dyDescent="0.15">
      <c r="A1541" s="165"/>
      <c r="B1541" s="93"/>
      <c r="C1541" s="102"/>
      <c r="D1541" s="62"/>
      <c r="E1541" s="102"/>
      <c r="F1541" s="102"/>
      <c r="G1541" s="102"/>
      <c r="H1541" s="175"/>
      <c r="I1541" s="85"/>
      <c r="J1541" s="104"/>
      <c r="K1541" s="144"/>
      <c r="L1541" s="62"/>
    </row>
    <row r="1542" spans="1:12" x14ac:dyDescent="0.15">
      <c r="A1542" s="165"/>
      <c r="B1542" s="93"/>
      <c r="C1542" s="102"/>
      <c r="D1542" s="62"/>
      <c r="E1542" s="102"/>
      <c r="F1542" s="102"/>
      <c r="G1542" s="102"/>
      <c r="H1542" s="175"/>
      <c r="I1542" s="85"/>
      <c r="J1542" s="104"/>
      <c r="K1542" s="144"/>
      <c r="L1542" s="61"/>
    </row>
    <row r="1543" spans="1:12" x14ac:dyDescent="0.15">
      <c r="A1543" s="165"/>
      <c r="B1543" s="93"/>
      <c r="C1543" s="102"/>
      <c r="D1543" s="62"/>
      <c r="E1543" s="102"/>
      <c r="F1543" s="102"/>
      <c r="G1543" s="102"/>
      <c r="H1543" s="175"/>
      <c r="I1543" s="85"/>
      <c r="J1543" s="104"/>
      <c r="K1543" s="144"/>
      <c r="L1543" s="61"/>
    </row>
    <row r="1544" spans="1:12" x14ac:dyDescent="0.15">
      <c r="A1544" s="165"/>
      <c r="B1544" s="93"/>
      <c r="C1544" s="102"/>
      <c r="D1544" s="62"/>
      <c r="E1544" s="102"/>
      <c r="F1544" s="102"/>
      <c r="G1544" s="102"/>
      <c r="H1544" s="175"/>
      <c r="I1544" s="85"/>
      <c r="J1544" s="104"/>
      <c r="K1544" s="144"/>
      <c r="L1544" s="61"/>
    </row>
    <row r="1545" spans="1:12" x14ac:dyDescent="0.15">
      <c r="A1545" s="165"/>
      <c r="B1545" s="93"/>
      <c r="C1545" s="102"/>
      <c r="D1545" s="62"/>
      <c r="E1545" s="102"/>
      <c r="F1545" s="102"/>
      <c r="G1545" s="102"/>
      <c r="H1545" s="175"/>
      <c r="I1545" s="85"/>
      <c r="J1545" s="104"/>
      <c r="K1545" s="144"/>
      <c r="L1545" s="61"/>
    </row>
    <row r="1546" spans="1:12" x14ac:dyDescent="0.15">
      <c r="A1546" s="165"/>
      <c r="B1546" s="93"/>
      <c r="C1546" s="102"/>
      <c r="D1546" s="62"/>
      <c r="E1546" s="102"/>
      <c r="F1546" s="102"/>
      <c r="G1546" s="102"/>
      <c r="H1546" s="175"/>
      <c r="I1546" s="85"/>
      <c r="J1546" s="104"/>
      <c r="K1546" s="144"/>
      <c r="L1546" s="61"/>
    </row>
    <row r="1547" spans="1:12" x14ac:dyDescent="0.15">
      <c r="A1547" s="165"/>
      <c r="B1547" s="93"/>
      <c r="C1547" s="102"/>
      <c r="D1547" s="62"/>
      <c r="E1547" s="102"/>
      <c r="F1547" s="102"/>
      <c r="G1547" s="102"/>
      <c r="H1547" s="175"/>
      <c r="I1547" s="85"/>
      <c r="J1547" s="104"/>
      <c r="K1547" s="144"/>
      <c r="L1547" s="61"/>
    </row>
    <row r="1548" spans="1:12" x14ac:dyDescent="0.15">
      <c r="A1548" s="165"/>
      <c r="B1548" s="93"/>
      <c r="C1548" s="102"/>
      <c r="D1548" s="62"/>
      <c r="E1548" s="102"/>
      <c r="F1548" s="102"/>
      <c r="G1548" s="102"/>
      <c r="H1548" s="175"/>
      <c r="I1548" s="85"/>
      <c r="J1548" s="104"/>
      <c r="K1548" s="144"/>
      <c r="L1548" s="61"/>
    </row>
    <row r="1549" spans="1:12" x14ac:dyDescent="0.15">
      <c r="A1549" s="224"/>
      <c r="B1549" s="82"/>
      <c r="C1549" s="107"/>
      <c r="D1549" s="62"/>
      <c r="E1549" s="107"/>
      <c r="F1549" s="107"/>
      <c r="G1549" s="107"/>
      <c r="H1549" s="179"/>
      <c r="I1549" s="85"/>
      <c r="J1549" s="104"/>
      <c r="K1549" s="144"/>
      <c r="L1549" s="61"/>
    </row>
    <row r="1550" spans="1:12" x14ac:dyDescent="0.15">
      <c r="A1550" s="224"/>
      <c r="B1550" s="93"/>
      <c r="C1550" s="102"/>
      <c r="D1550" s="62"/>
      <c r="E1550" s="100"/>
      <c r="F1550" s="102"/>
      <c r="G1550" s="102"/>
      <c r="H1550" s="175"/>
      <c r="I1550" s="85"/>
      <c r="J1550" s="104"/>
      <c r="K1550" s="144"/>
      <c r="L1550" s="61"/>
    </row>
    <row r="1551" spans="1:12" x14ac:dyDescent="0.15">
      <c r="A1551" s="224"/>
      <c r="B1551" s="93"/>
      <c r="C1551" s="102"/>
      <c r="D1551" s="62"/>
      <c r="E1551" s="102"/>
      <c r="F1551" s="102"/>
      <c r="G1551" s="102"/>
      <c r="H1551" s="175"/>
      <c r="I1551" s="85"/>
      <c r="J1551" s="104"/>
      <c r="K1551" s="144"/>
      <c r="L1551" s="61"/>
    </row>
    <row r="1552" spans="1:12" x14ac:dyDescent="0.15">
      <c r="A1552" s="224"/>
      <c r="B1552" s="93"/>
      <c r="C1552" s="102"/>
      <c r="D1552" s="62"/>
      <c r="E1552" s="102"/>
      <c r="F1552" s="102"/>
      <c r="G1552" s="102"/>
      <c r="H1552" s="175"/>
      <c r="I1552" s="85"/>
      <c r="J1552" s="104"/>
      <c r="K1552" s="144"/>
      <c r="L1552" s="61"/>
    </row>
    <row r="1553" spans="1:12" x14ac:dyDescent="0.15">
      <c r="A1553" s="224"/>
      <c r="B1553" s="93"/>
      <c r="C1553" s="102"/>
      <c r="D1553" s="62"/>
      <c r="E1553" s="102"/>
      <c r="F1553" s="102"/>
      <c r="G1553" s="102"/>
      <c r="H1553" s="175"/>
      <c r="I1553" s="85"/>
      <c r="J1553" s="104"/>
      <c r="K1553" s="144"/>
      <c r="L1553" s="61"/>
    </row>
    <row r="1554" spans="1:12" x14ac:dyDescent="0.15">
      <c r="A1554" s="224"/>
      <c r="B1554" s="93"/>
      <c r="C1554" s="102"/>
      <c r="D1554" s="62"/>
      <c r="E1554" s="102"/>
      <c r="F1554" s="102"/>
      <c r="G1554" s="102"/>
      <c r="H1554" s="175"/>
      <c r="I1554" s="85"/>
      <c r="J1554" s="104"/>
      <c r="K1554" s="144"/>
      <c r="L1554" s="61"/>
    </row>
    <row r="1555" spans="1:12" x14ac:dyDescent="0.15">
      <c r="A1555" s="224"/>
      <c r="B1555" s="93"/>
      <c r="C1555" s="102"/>
      <c r="D1555" s="62"/>
      <c r="E1555" s="102"/>
      <c r="F1555" s="102"/>
      <c r="G1555" s="102"/>
      <c r="H1555" s="175"/>
      <c r="I1555" s="85"/>
      <c r="J1555" s="104"/>
      <c r="K1555" s="144"/>
      <c r="L1555" s="61"/>
    </row>
    <row r="1556" spans="1:12" x14ac:dyDescent="0.15">
      <c r="A1556" s="224"/>
      <c r="B1556" s="93"/>
      <c r="C1556" s="102"/>
      <c r="D1556" s="62"/>
      <c r="E1556" s="102"/>
      <c r="F1556" s="102"/>
      <c r="G1556" s="102"/>
      <c r="H1556" s="175"/>
      <c r="I1556" s="98"/>
      <c r="J1556" s="98"/>
      <c r="K1556" s="135"/>
      <c r="L1556" s="61"/>
    </row>
    <row r="1557" spans="1:12" x14ac:dyDescent="0.15">
      <c r="A1557" s="224"/>
      <c r="B1557" s="93"/>
      <c r="C1557" s="102"/>
      <c r="D1557" s="62"/>
      <c r="E1557" s="102"/>
      <c r="F1557" s="102"/>
      <c r="G1557" s="102"/>
      <c r="H1557" s="175"/>
      <c r="I1557" s="98"/>
      <c r="J1557" s="98"/>
      <c r="K1557" s="135"/>
      <c r="L1557" s="61"/>
    </row>
    <row r="1558" spans="1:12" x14ac:dyDescent="0.15">
      <c r="A1558" s="224"/>
      <c r="B1558" s="82"/>
      <c r="C1558" s="107"/>
      <c r="D1558" s="62"/>
      <c r="E1558" s="107"/>
      <c r="F1558" s="107"/>
      <c r="G1558" s="107"/>
      <c r="H1558" s="179"/>
      <c r="I1558" s="85"/>
      <c r="J1558" s="104"/>
      <c r="K1558" s="144"/>
      <c r="L1558" s="61"/>
    </row>
    <row r="1559" spans="1:12" x14ac:dyDescent="0.15">
      <c r="A1559" s="224"/>
      <c r="B1559" s="93"/>
      <c r="C1559" s="102"/>
      <c r="D1559" s="62"/>
      <c r="E1559" s="102"/>
      <c r="F1559" s="102"/>
      <c r="G1559" s="102"/>
      <c r="H1559" s="175"/>
      <c r="I1559" s="85"/>
      <c r="J1559" s="104"/>
      <c r="K1559" s="144"/>
      <c r="L1559" s="61"/>
    </row>
    <row r="1560" spans="1:12" x14ac:dyDescent="0.15">
      <c r="A1560" s="224"/>
      <c r="B1560" s="93"/>
      <c r="C1560" s="102"/>
      <c r="D1560" s="62"/>
      <c r="E1560" s="102"/>
      <c r="F1560" s="102"/>
      <c r="G1560" s="102"/>
      <c r="H1560" s="175"/>
      <c r="I1560" s="85"/>
      <c r="J1560" s="104"/>
      <c r="K1560" s="144"/>
      <c r="L1560" s="61"/>
    </row>
    <row r="1561" spans="1:12" x14ac:dyDescent="0.15">
      <c r="A1561" s="224"/>
      <c r="B1561" s="93"/>
      <c r="C1561" s="102"/>
      <c r="D1561" s="62"/>
      <c r="E1561" s="102"/>
      <c r="F1561" s="102"/>
      <c r="G1561" s="102"/>
      <c r="H1561" s="175"/>
      <c r="I1561" s="98"/>
      <c r="J1561" s="98"/>
      <c r="K1561" s="135"/>
      <c r="L1561" s="61"/>
    </row>
    <row r="1562" spans="1:12" x14ac:dyDescent="0.15">
      <c r="A1562" s="224"/>
      <c r="B1562" s="93"/>
      <c r="C1562" s="102"/>
      <c r="D1562" s="62"/>
      <c r="E1562" s="100"/>
      <c r="F1562" s="102"/>
      <c r="G1562" s="102"/>
      <c r="H1562" s="175"/>
      <c r="I1562" s="85"/>
      <c r="J1562" s="101"/>
      <c r="K1562" s="144"/>
      <c r="L1562" s="61"/>
    </row>
    <row r="1563" spans="1:12" x14ac:dyDescent="0.15">
      <c r="A1563" s="224"/>
      <c r="B1563" s="93"/>
      <c r="C1563" s="102"/>
      <c r="D1563" s="62"/>
      <c r="E1563" s="102"/>
      <c r="F1563" s="102"/>
      <c r="G1563" s="102"/>
      <c r="H1563" s="175"/>
      <c r="I1563" s="85"/>
      <c r="J1563" s="104"/>
      <c r="K1563" s="144"/>
      <c r="L1563" s="61"/>
    </row>
    <row r="1564" spans="1:12" x14ac:dyDescent="0.15">
      <c r="A1564" s="224"/>
      <c r="B1564" s="93"/>
      <c r="C1564" s="100"/>
      <c r="D1564" s="61"/>
      <c r="E1564" s="100"/>
      <c r="F1564" s="102"/>
      <c r="G1564" s="102"/>
      <c r="H1564" s="175"/>
      <c r="I1564" s="98"/>
      <c r="J1564" s="98"/>
      <c r="K1564" s="135"/>
      <c r="L1564" s="61"/>
    </row>
    <row r="1565" spans="1:12" x14ac:dyDescent="0.15">
      <c r="A1565" s="224"/>
      <c r="B1565" s="93"/>
      <c r="C1565" s="102"/>
      <c r="D1565" s="62"/>
      <c r="E1565" s="102"/>
      <c r="F1565" s="102"/>
      <c r="G1565" s="102"/>
      <c r="H1565" s="175"/>
      <c r="I1565" s="103"/>
      <c r="J1565" s="103"/>
      <c r="K1565" s="135"/>
      <c r="L1565" s="61"/>
    </row>
    <row r="1566" spans="1:12" x14ac:dyDescent="0.15">
      <c r="A1566" s="224"/>
      <c r="B1566" s="108"/>
      <c r="C1566" s="102"/>
      <c r="D1566" s="62"/>
      <c r="E1566" s="102"/>
      <c r="F1566" s="102"/>
      <c r="G1566" s="102"/>
      <c r="H1566" s="175"/>
      <c r="I1566" s="98"/>
      <c r="J1566" s="98"/>
      <c r="K1566" s="135"/>
      <c r="L1566" s="61"/>
    </row>
    <row r="1567" spans="1:12" x14ac:dyDescent="0.15">
      <c r="A1567" s="224"/>
      <c r="B1567" s="93"/>
      <c r="C1567" s="102"/>
      <c r="D1567" s="62"/>
      <c r="E1567" s="102"/>
      <c r="F1567" s="102"/>
      <c r="G1567" s="102"/>
      <c r="H1567" s="175"/>
      <c r="I1567" s="98"/>
      <c r="J1567" s="98"/>
      <c r="K1567" s="135"/>
      <c r="L1567" s="61"/>
    </row>
    <row r="1568" spans="1:12" x14ac:dyDescent="0.15">
      <c r="A1568" s="224"/>
      <c r="B1568" s="93"/>
      <c r="C1568" s="102"/>
      <c r="D1568" s="62"/>
      <c r="E1568" s="102"/>
      <c r="F1568" s="102"/>
      <c r="G1568" s="102"/>
      <c r="H1568" s="175"/>
      <c r="I1568" s="98"/>
      <c r="J1568" s="98"/>
      <c r="K1568" s="135"/>
      <c r="L1568" s="61"/>
    </row>
    <row r="1569" spans="1:12" x14ac:dyDescent="0.15">
      <c r="A1569" s="224"/>
      <c r="B1569" s="93"/>
      <c r="C1569" s="102"/>
      <c r="D1569" s="62"/>
      <c r="E1569" s="102"/>
      <c r="F1569" s="102"/>
      <c r="G1569" s="102"/>
      <c r="H1569" s="175"/>
      <c r="I1569" s="98"/>
      <c r="J1569" s="98"/>
      <c r="K1569" s="135"/>
      <c r="L1569" s="61"/>
    </row>
    <row r="1570" spans="1:12" x14ac:dyDescent="0.15">
      <c r="A1570" s="224"/>
      <c r="B1570" s="93"/>
      <c r="C1570" s="102"/>
      <c r="D1570" s="62"/>
      <c r="E1570" s="102"/>
      <c r="F1570" s="102"/>
      <c r="G1570" s="102"/>
      <c r="H1570" s="175"/>
      <c r="I1570" s="98"/>
      <c r="J1570" s="98"/>
      <c r="K1570" s="135"/>
      <c r="L1570" s="61"/>
    </row>
    <row r="1571" spans="1:12" x14ac:dyDescent="0.15">
      <c r="A1571" s="224"/>
      <c r="B1571" s="93"/>
      <c r="C1571" s="102"/>
      <c r="D1571" s="62"/>
      <c r="E1571" s="102"/>
      <c r="F1571" s="102"/>
      <c r="G1571" s="102"/>
      <c r="H1571" s="175"/>
      <c r="I1571" s="98"/>
      <c r="J1571" s="98"/>
      <c r="K1571" s="135"/>
      <c r="L1571" s="61"/>
    </row>
    <row r="1572" spans="1:12" x14ac:dyDescent="0.15">
      <c r="A1572" s="224"/>
      <c r="B1572" s="93"/>
      <c r="C1572" s="102"/>
      <c r="D1572" s="62"/>
      <c r="E1572" s="102"/>
      <c r="F1572" s="102"/>
      <c r="G1572" s="102"/>
      <c r="H1572" s="175"/>
      <c r="I1572" s="98"/>
      <c r="J1572" s="98"/>
      <c r="K1572" s="135"/>
      <c r="L1572" s="61"/>
    </row>
    <row r="1573" spans="1:12" x14ac:dyDescent="0.15">
      <c r="A1573" s="224"/>
      <c r="B1573" s="93"/>
      <c r="C1573" s="102"/>
      <c r="D1573" s="62"/>
      <c r="E1573" s="102"/>
      <c r="F1573" s="102"/>
      <c r="G1573" s="102"/>
      <c r="H1573" s="175"/>
      <c r="I1573" s="98"/>
      <c r="J1573" s="98"/>
      <c r="K1573" s="135"/>
      <c r="L1573" s="61"/>
    </row>
    <row r="1574" spans="1:12" x14ac:dyDescent="0.15">
      <c r="A1574" s="224"/>
      <c r="B1574" s="93"/>
      <c r="C1574" s="102"/>
      <c r="D1574" s="62"/>
      <c r="E1574" s="102"/>
      <c r="F1574" s="102"/>
      <c r="G1574" s="102"/>
      <c r="H1574" s="175"/>
      <c r="I1574" s="98"/>
      <c r="J1574" s="98"/>
      <c r="K1574" s="135"/>
      <c r="L1574" s="61"/>
    </row>
    <row r="1575" spans="1:12" x14ac:dyDescent="0.15">
      <c r="A1575" s="224"/>
      <c r="B1575" s="93"/>
      <c r="C1575" s="102"/>
      <c r="D1575" s="62"/>
      <c r="E1575" s="102"/>
      <c r="F1575" s="102"/>
      <c r="G1575" s="102"/>
      <c r="H1575" s="175"/>
      <c r="I1575" s="85"/>
      <c r="J1575" s="104"/>
      <c r="K1575" s="144"/>
      <c r="L1575" s="61"/>
    </row>
    <row r="1576" spans="1:12" x14ac:dyDescent="0.15">
      <c r="A1576" s="224"/>
      <c r="B1576" s="93"/>
      <c r="C1576" s="102"/>
      <c r="D1576" s="62"/>
      <c r="E1576" s="102"/>
      <c r="F1576" s="102"/>
      <c r="G1576" s="102"/>
      <c r="H1576" s="175"/>
      <c r="I1576" s="85"/>
      <c r="J1576" s="104"/>
      <c r="K1576" s="144"/>
      <c r="L1576" s="61"/>
    </row>
    <row r="1577" spans="1:12" x14ac:dyDescent="0.15">
      <c r="A1577" s="224"/>
      <c r="B1577" s="93"/>
      <c r="C1577" s="102"/>
      <c r="D1577" s="62"/>
      <c r="E1577" s="102"/>
      <c r="F1577" s="102"/>
      <c r="G1577" s="102"/>
      <c r="H1577" s="175"/>
      <c r="I1577" s="85"/>
      <c r="J1577" s="104"/>
      <c r="K1577" s="144"/>
      <c r="L1577" s="61"/>
    </row>
    <row r="1578" spans="1:12" x14ac:dyDescent="0.15">
      <c r="A1578" s="224"/>
      <c r="B1578" s="93"/>
      <c r="C1578" s="102"/>
      <c r="D1578" s="62"/>
      <c r="E1578" s="102"/>
      <c r="F1578" s="102"/>
      <c r="G1578" s="102"/>
      <c r="H1578" s="175"/>
      <c r="I1578" s="85"/>
      <c r="J1578" s="104"/>
      <c r="K1578" s="144"/>
      <c r="L1578" s="61"/>
    </row>
    <row r="1579" spans="1:12" x14ac:dyDescent="0.15">
      <c r="A1579" s="224"/>
      <c r="B1579" s="93"/>
      <c r="C1579" s="102"/>
      <c r="D1579" s="62"/>
      <c r="E1579" s="102"/>
      <c r="F1579" s="102"/>
      <c r="G1579" s="102"/>
      <c r="H1579" s="175"/>
      <c r="I1579" s="98"/>
      <c r="J1579" s="98"/>
      <c r="K1579" s="135"/>
      <c r="L1579" s="61"/>
    </row>
    <row r="1580" spans="1:12" x14ac:dyDescent="0.15">
      <c r="A1580" s="224"/>
      <c r="B1580" s="93"/>
      <c r="C1580" s="102"/>
      <c r="D1580" s="62"/>
      <c r="E1580" s="102"/>
      <c r="F1580" s="102"/>
      <c r="G1580" s="102"/>
      <c r="H1580" s="175"/>
      <c r="I1580" s="85"/>
      <c r="J1580" s="104"/>
      <c r="K1580" s="144"/>
      <c r="L1580" s="61"/>
    </row>
    <row r="1581" spans="1:12" x14ac:dyDescent="0.15">
      <c r="A1581" s="224"/>
      <c r="B1581" s="93"/>
      <c r="C1581" s="102"/>
      <c r="D1581" s="62"/>
      <c r="E1581" s="102"/>
      <c r="F1581" s="102"/>
      <c r="G1581" s="102"/>
      <c r="H1581" s="175"/>
      <c r="I1581" s="85"/>
      <c r="J1581" s="104"/>
      <c r="K1581" s="144"/>
      <c r="L1581" s="61"/>
    </row>
    <row r="1582" spans="1:12" x14ac:dyDescent="0.15">
      <c r="A1582" s="224"/>
      <c r="B1582" s="93"/>
      <c r="C1582" s="102"/>
      <c r="D1582" s="62"/>
      <c r="E1582" s="102"/>
      <c r="F1582" s="102"/>
      <c r="G1582" s="102"/>
      <c r="H1582" s="175"/>
      <c r="I1582" s="85"/>
      <c r="J1582" s="104"/>
      <c r="K1582" s="144"/>
      <c r="L1582" s="61"/>
    </row>
    <row r="1583" spans="1:12" x14ac:dyDescent="0.15">
      <c r="A1583" s="224"/>
      <c r="B1583" s="93"/>
      <c r="C1583" s="100"/>
      <c r="D1583" s="61"/>
      <c r="E1583" s="100"/>
      <c r="F1583" s="100"/>
      <c r="G1583" s="100"/>
      <c r="H1583" s="177"/>
      <c r="I1583" s="85"/>
      <c r="J1583" s="101"/>
      <c r="K1583" s="144"/>
      <c r="L1583" s="61"/>
    </row>
    <row r="1584" spans="1:12" x14ac:dyDescent="0.15">
      <c r="A1584" s="224"/>
      <c r="B1584" s="93"/>
      <c r="C1584" s="102"/>
      <c r="D1584" s="62"/>
      <c r="E1584" s="102"/>
      <c r="F1584" s="102"/>
      <c r="G1584" s="102"/>
      <c r="H1584" s="175"/>
      <c r="I1584" s="85"/>
      <c r="J1584" s="104"/>
      <c r="K1584" s="144"/>
      <c r="L1584" s="61"/>
    </row>
    <row r="1585" spans="1:28" x14ac:dyDescent="0.15">
      <c r="A1585" s="224"/>
      <c r="B1585" s="93"/>
      <c r="C1585" s="102"/>
      <c r="D1585" s="62"/>
      <c r="E1585" s="102"/>
      <c r="F1585" s="102"/>
      <c r="G1585" s="102"/>
      <c r="H1585" s="175"/>
      <c r="I1585" s="98"/>
      <c r="J1585" s="98"/>
      <c r="K1585" s="135"/>
      <c r="L1585" s="61"/>
    </row>
    <row r="1586" spans="1:28" x14ac:dyDescent="0.15">
      <c r="A1586" s="224"/>
      <c r="B1586" s="93"/>
      <c r="C1586" s="102"/>
      <c r="D1586" s="62"/>
      <c r="E1586" s="102"/>
      <c r="F1586" s="102"/>
      <c r="G1586" s="102"/>
      <c r="H1586" s="175"/>
      <c r="I1586" s="85"/>
      <c r="J1586" s="104"/>
      <c r="K1586" s="144"/>
      <c r="L1586" s="61"/>
    </row>
    <row r="1587" spans="1:28" x14ac:dyDescent="0.15">
      <c r="A1587" s="224"/>
      <c r="B1587" s="82"/>
      <c r="C1587" s="107"/>
      <c r="D1587" s="62"/>
      <c r="E1587" s="107"/>
      <c r="F1587" s="107"/>
      <c r="G1587" s="107"/>
      <c r="H1587" s="179"/>
      <c r="I1587" s="85"/>
      <c r="J1587" s="104"/>
      <c r="K1587" s="144"/>
      <c r="L1587" s="61"/>
    </row>
    <row r="1588" spans="1:28" x14ac:dyDescent="0.15">
      <c r="A1588" s="224"/>
      <c r="B1588" s="93"/>
      <c r="C1588" s="102"/>
      <c r="D1588" s="62"/>
      <c r="E1588" s="102"/>
      <c r="F1588" s="102"/>
      <c r="G1588" s="102"/>
      <c r="H1588" s="175"/>
      <c r="I1588" s="85"/>
      <c r="J1588" s="104"/>
      <c r="K1588" s="144"/>
      <c r="L1588" s="61"/>
    </row>
    <row r="1589" spans="1:28" x14ac:dyDescent="0.15">
      <c r="A1589" s="224"/>
      <c r="B1589" s="93"/>
      <c r="C1589" s="102"/>
      <c r="D1589" s="62"/>
      <c r="E1589" s="102"/>
      <c r="F1589" s="102"/>
      <c r="G1589" s="102"/>
      <c r="H1589" s="175"/>
      <c r="I1589" s="85"/>
      <c r="J1589" s="104"/>
      <c r="K1589" s="144"/>
      <c r="L1589" s="61"/>
    </row>
    <row r="1590" spans="1:28" x14ac:dyDescent="0.15">
      <c r="A1590" s="62"/>
      <c r="B1590" s="93"/>
      <c r="C1590" s="102"/>
      <c r="D1590" s="62"/>
      <c r="E1590" s="102"/>
      <c r="F1590" s="102"/>
      <c r="G1590" s="102"/>
      <c r="H1590" s="175"/>
      <c r="I1590" s="85"/>
      <c r="J1590" s="104"/>
      <c r="K1590" s="144"/>
      <c r="L1590" s="61"/>
    </row>
    <row r="1591" spans="1:28" x14ac:dyDescent="0.15">
      <c r="A1591" s="62"/>
      <c r="B1591" s="93"/>
      <c r="C1591" s="102"/>
      <c r="D1591" s="62"/>
      <c r="E1591" s="102"/>
      <c r="F1591" s="102"/>
      <c r="G1591" s="102"/>
      <c r="H1591" s="175"/>
      <c r="I1591" s="85"/>
      <c r="J1591" s="104"/>
      <c r="K1591" s="144"/>
      <c r="L1591" s="61"/>
    </row>
    <row r="1592" spans="1:28" x14ac:dyDescent="0.15">
      <c r="A1592" s="62"/>
      <c r="B1592" s="93"/>
      <c r="C1592" s="102"/>
      <c r="D1592" s="62"/>
      <c r="E1592" s="102"/>
      <c r="F1592" s="102"/>
      <c r="G1592" s="102"/>
      <c r="H1592" s="175"/>
      <c r="I1592" s="85"/>
      <c r="J1592" s="104"/>
      <c r="K1592" s="144"/>
      <c r="L1592" s="61"/>
    </row>
    <row r="1593" spans="1:28" x14ac:dyDescent="0.15">
      <c r="A1593" s="62"/>
      <c r="B1593" s="93"/>
      <c r="C1593" s="102"/>
      <c r="D1593" s="62"/>
      <c r="E1593" s="102"/>
      <c r="F1593" s="102"/>
      <c r="G1593" s="102"/>
      <c r="H1593" s="175"/>
      <c r="I1593" s="85"/>
      <c r="J1593" s="104"/>
      <c r="K1593" s="144"/>
      <c r="L1593" s="61"/>
    </row>
    <row r="1594" spans="1:28" x14ac:dyDescent="0.15">
      <c r="A1594" s="62"/>
      <c r="B1594" s="93"/>
      <c r="C1594" s="102"/>
      <c r="D1594" s="62"/>
      <c r="E1594" s="102"/>
      <c r="F1594" s="102"/>
      <c r="G1594" s="102"/>
      <c r="H1594" s="175"/>
      <c r="I1594" s="85"/>
      <c r="J1594" s="104"/>
      <c r="K1594" s="144"/>
      <c r="L1594" s="61"/>
    </row>
    <row r="1595" spans="1:28" x14ac:dyDescent="0.15">
      <c r="A1595" s="62"/>
      <c r="B1595" s="93"/>
      <c r="C1595" s="102"/>
      <c r="D1595" s="62"/>
      <c r="E1595" s="102"/>
      <c r="F1595" s="102"/>
      <c r="G1595" s="102"/>
      <c r="H1595" s="175"/>
      <c r="I1595" s="85"/>
      <c r="J1595" s="104"/>
      <c r="K1595" s="144"/>
      <c r="L1595" s="61"/>
    </row>
    <row r="1596" spans="1:28" x14ac:dyDescent="0.15">
      <c r="A1596" s="62"/>
      <c r="B1596" s="93"/>
      <c r="C1596" s="102"/>
      <c r="D1596" s="62"/>
      <c r="E1596" s="102"/>
      <c r="F1596" s="102"/>
      <c r="G1596" s="102"/>
      <c r="H1596" s="175"/>
      <c r="I1596" s="85"/>
      <c r="J1596" s="104"/>
      <c r="K1596" s="144"/>
      <c r="L1596" s="61"/>
    </row>
    <row r="1597" spans="1:28" x14ac:dyDescent="0.15">
      <c r="A1597" s="62"/>
      <c r="B1597" s="93"/>
      <c r="C1597" s="102"/>
      <c r="D1597" s="62"/>
      <c r="E1597" s="102"/>
      <c r="F1597" s="102"/>
      <c r="G1597" s="102"/>
      <c r="H1597" s="175"/>
      <c r="I1597" s="85"/>
      <c r="J1597" s="104"/>
      <c r="K1597" s="144"/>
      <c r="L1597" s="61"/>
    </row>
    <row r="1598" spans="1:28" s="15" customFormat="1" x14ac:dyDescent="0.15">
      <c r="A1598" s="62"/>
      <c r="B1598" s="93"/>
      <c r="C1598" s="102"/>
      <c r="D1598" s="62"/>
      <c r="E1598" s="102"/>
      <c r="F1598" s="102"/>
      <c r="G1598" s="102"/>
      <c r="H1598" s="175"/>
      <c r="I1598" s="85"/>
      <c r="J1598" s="104"/>
      <c r="K1598" s="144"/>
      <c r="L1598" s="61"/>
      <c r="M1598" s="49"/>
      <c r="N1598" s="37"/>
      <c r="O1598" s="37"/>
      <c r="P1598" s="37"/>
      <c r="Q1598" s="3"/>
      <c r="R1598" s="3"/>
      <c r="S1598" s="3"/>
      <c r="T1598" s="3"/>
      <c r="U1598" s="3"/>
      <c r="V1598" s="3"/>
      <c r="W1598" s="3"/>
      <c r="X1598" s="3"/>
      <c r="Y1598" s="3"/>
      <c r="Z1598" s="4"/>
      <c r="AA1598"/>
      <c r="AB1598"/>
    </row>
    <row r="1599" spans="1:28" x14ac:dyDescent="0.15">
      <c r="A1599" s="62"/>
      <c r="B1599" s="93"/>
      <c r="C1599" s="102"/>
      <c r="D1599" s="62"/>
      <c r="E1599" s="102"/>
      <c r="F1599" s="102"/>
      <c r="G1599" s="102"/>
      <c r="H1599" s="175"/>
      <c r="I1599" s="85"/>
      <c r="J1599" s="104"/>
      <c r="K1599" s="144"/>
      <c r="L1599" s="61"/>
    </row>
    <row r="1600" spans="1:28" x14ac:dyDescent="0.15">
      <c r="A1600" s="62"/>
      <c r="B1600" s="93"/>
      <c r="C1600" s="102"/>
      <c r="D1600" s="62"/>
      <c r="E1600" s="102"/>
      <c r="F1600" s="102"/>
      <c r="G1600" s="102"/>
      <c r="H1600" s="175"/>
      <c r="I1600" s="85"/>
      <c r="J1600" s="104"/>
      <c r="K1600" s="144"/>
      <c r="L1600" s="61"/>
    </row>
    <row r="1601" spans="1:28" x14ac:dyDescent="0.15">
      <c r="A1601" s="62"/>
      <c r="B1601" s="93"/>
      <c r="C1601" s="102"/>
      <c r="D1601" s="62"/>
      <c r="E1601" s="102"/>
      <c r="F1601" s="102"/>
      <c r="G1601" s="102"/>
      <c r="H1601" s="175"/>
      <c r="I1601" s="85"/>
      <c r="J1601" s="104"/>
      <c r="K1601" s="144"/>
      <c r="L1601" s="61"/>
    </row>
    <row r="1602" spans="1:28" x14ac:dyDescent="0.15">
      <c r="A1602" s="165"/>
      <c r="B1602" s="93"/>
      <c r="C1602" s="102"/>
      <c r="D1602" s="62"/>
      <c r="E1602" s="102"/>
      <c r="F1602" s="102"/>
      <c r="G1602" s="102"/>
      <c r="H1602" s="175"/>
      <c r="I1602" s="85"/>
      <c r="J1602" s="104"/>
      <c r="K1602" s="144"/>
      <c r="L1602" s="62"/>
    </row>
    <row r="1603" spans="1:28" x14ac:dyDescent="0.15">
      <c r="A1603" s="165"/>
      <c r="B1603" s="93"/>
      <c r="C1603" s="102"/>
      <c r="D1603" s="62"/>
      <c r="E1603" s="102"/>
      <c r="F1603" s="102"/>
      <c r="G1603" s="102"/>
      <c r="H1603" s="175"/>
      <c r="I1603" s="98"/>
      <c r="J1603" s="98"/>
      <c r="K1603" s="135"/>
      <c r="L1603" s="61"/>
    </row>
    <row r="1604" spans="1:28" s="15" customFormat="1" x14ac:dyDescent="0.15">
      <c r="A1604" s="165"/>
      <c r="B1604" s="93"/>
      <c r="C1604" s="102"/>
      <c r="D1604" s="62"/>
      <c r="E1604" s="102"/>
      <c r="F1604" s="102"/>
      <c r="G1604" s="102"/>
      <c r="H1604" s="175"/>
      <c r="I1604" s="98"/>
      <c r="J1604" s="98"/>
      <c r="K1604" s="135"/>
      <c r="L1604" s="61"/>
      <c r="M1604" s="49"/>
      <c r="N1604" s="37"/>
      <c r="O1604" s="37"/>
      <c r="P1604" s="37"/>
      <c r="Q1604" s="3"/>
      <c r="R1604" s="3"/>
      <c r="S1604" s="3"/>
      <c r="T1604" s="3"/>
      <c r="U1604" s="3"/>
      <c r="V1604" s="3"/>
      <c r="W1604" s="3"/>
      <c r="X1604" s="3"/>
      <c r="Y1604" s="3"/>
      <c r="Z1604" s="4"/>
      <c r="AA1604"/>
      <c r="AB1604"/>
    </row>
    <row r="1605" spans="1:28" x14ac:dyDescent="0.15">
      <c r="A1605" s="165"/>
      <c r="B1605" s="93"/>
      <c r="C1605" s="102"/>
      <c r="D1605" s="62"/>
      <c r="E1605" s="102"/>
      <c r="F1605" s="102"/>
      <c r="G1605" s="102"/>
      <c r="H1605" s="175"/>
      <c r="I1605" s="98"/>
      <c r="J1605" s="98"/>
      <c r="K1605" s="135"/>
      <c r="L1605" s="61"/>
    </row>
    <row r="1606" spans="1:28" s="15" customFormat="1" x14ac:dyDescent="0.15">
      <c r="A1606" s="165"/>
      <c r="B1606" s="93"/>
      <c r="C1606" s="102"/>
      <c r="D1606" s="62"/>
      <c r="E1606" s="102"/>
      <c r="F1606" s="102"/>
      <c r="G1606" s="102"/>
      <c r="H1606" s="175"/>
      <c r="I1606" s="98"/>
      <c r="J1606" s="98"/>
      <c r="K1606" s="135"/>
      <c r="L1606" s="61"/>
      <c r="M1606" s="49"/>
      <c r="N1606" s="37"/>
      <c r="O1606" s="37"/>
      <c r="P1606" s="37"/>
      <c r="Q1606" s="3"/>
      <c r="R1606" s="3"/>
      <c r="S1606" s="3"/>
      <c r="T1606" s="3"/>
      <c r="U1606" s="3"/>
      <c r="V1606" s="3"/>
      <c r="W1606" s="3"/>
      <c r="X1606" s="3"/>
      <c r="Y1606" s="3"/>
      <c r="Z1606" s="4"/>
      <c r="AA1606"/>
      <c r="AB1606"/>
    </row>
    <row r="1607" spans="1:28" x14ac:dyDescent="0.15">
      <c r="A1607" s="165"/>
      <c r="B1607" s="93"/>
      <c r="C1607" s="102"/>
      <c r="D1607" s="62"/>
      <c r="E1607" s="102"/>
      <c r="F1607" s="102"/>
      <c r="G1607" s="102"/>
      <c r="H1607" s="175"/>
      <c r="I1607" s="98"/>
      <c r="J1607" s="98"/>
      <c r="K1607" s="135"/>
      <c r="L1607" s="61"/>
    </row>
    <row r="1608" spans="1:28" x14ac:dyDescent="0.15">
      <c r="A1608" s="165"/>
      <c r="B1608" s="93"/>
      <c r="C1608" s="102"/>
      <c r="D1608" s="62"/>
      <c r="E1608" s="102"/>
      <c r="F1608" s="102"/>
      <c r="G1608" s="102"/>
      <c r="H1608" s="175"/>
      <c r="I1608" s="98"/>
      <c r="J1608" s="98"/>
      <c r="K1608" s="135"/>
      <c r="L1608" s="61"/>
    </row>
    <row r="1609" spans="1:28" x14ac:dyDescent="0.15">
      <c r="A1609" s="165"/>
      <c r="B1609" s="93"/>
      <c r="C1609" s="102"/>
      <c r="D1609" s="62"/>
      <c r="E1609" s="102"/>
      <c r="F1609" s="102"/>
      <c r="G1609" s="102"/>
      <c r="H1609" s="175"/>
      <c r="I1609" s="98"/>
      <c r="J1609" s="98"/>
      <c r="K1609" s="135"/>
      <c r="L1609" s="61"/>
    </row>
    <row r="1610" spans="1:28" x14ac:dyDescent="0.15">
      <c r="A1610" s="165"/>
      <c r="B1610" s="93"/>
      <c r="C1610" s="102"/>
      <c r="D1610" s="62"/>
      <c r="E1610" s="102"/>
      <c r="F1610" s="102"/>
      <c r="G1610" s="102"/>
      <c r="H1610" s="175"/>
      <c r="I1610" s="98"/>
      <c r="J1610" s="98"/>
      <c r="K1610" s="135"/>
      <c r="L1610" s="61"/>
    </row>
    <row r="1611" spans="1:28" x14ac:dyDescent="0.15">
      <c r="A1611" s="165"/>
      <c r="B1611" s="93"/>
      <c r="C1611" s="102"/>
      <c r="D1611" s="62"/>
      <c r="E1611" s="102"/>
      <c r="F1611" s="102"/>
      <c r="G1611" s="102"/>
      <c r="H1611" s="175"/>
      <c r="I1611" s="85"/>
      <c r="J1611" s="104"/>
      <c r="K1611" s="144"/>
      <c r="L1611" s="61"/>
    </row>
    <row r="1612" spans="1:28" x14ac:dyDescent="0.15">
      <c r="A1612" s="165"/>
      <c r="B1612" s="93"/>
      <c r="C1612" s="102"/>
      <c r="D1612" s="62"/>
      <c r="E1612" s="102"/>
      <c r="F1612" s="102"/>
      <c r="G1612" s="102"/>
      <c r="H1612" s="175"/>
      <c r="I1612" s="85"/>
      <c r="J1612" s="104"/>
      <c r="K1612" s="144"/>
      <c r="L1612" s="61"/>
    </row>
    <row r="1613" spans="1:28" x14ac:dyDescent="0.15">
      <c r="A1613" s="165"/>
      <c r="B1613" s="93"/>
      <c r="C1613" s="102"/>
      <c r="D1613" s="62"/>
      <c r="E1613" s="102"/>
      <c r="F1613" s="102"/>
      <c r="G1613" s="102"/>
      <c r="H1613" s="175"/>
      <c r="I1613" s="85"/>
      <c r="J1613" s="104"/>
      <c r="K1613" s="144"/>
      <c r="L1613" s="61"/>
    </row>
    <row r="1614" spans="1:28" x14ac:dyDescent="0.15">
      <c r="A1614" s="165"/>
      <c r="B1614" s="93"/>
      <c r="C1614" s="102"/>
      <c r="D1614" s="62"/>
      <c r="E1614" s="102"/>
      <c r="F1614" s="102"/>
      <c r="G1614" s="102"/>
      <c r="H1614" s="175"/>
      <c r="I1614" s="85"/>
      <c r="J1614" s="104"/>
      <c r="K1614" s="144"/>
      <c r="L1614" s="61"/>
    </row>
    <row r="1615" spans="1:28" x14ac:dyDescent="0.15">
      <c r="A1615" s="165"/>
      <c r="B1615" s="93"/>
      <c r="C1615" s="102"/>
      <c r="D1615" s="62"/>
      <c r="E1615" s="102"/>
      <c r="F1615" s="102"/>
      <c r="G1615" s="102"/>
      <c r="H1615" s="175"/>
      <c r="I1615" s="85"/>
      <c r="J1615" s="104"/>
      <c r="K1615" s="144"/>
      <c r="L1615" s="61"/>
    </row>
    <row r="1616" spans="1:28" x14ac:dyDescent="0.15">
      <c r="A1616" s="165"/>
      <c r="B1616" s="93"/>
      <c r="C1616" s="102"/>
      <c r="D1616" s="62"/>
      <c r="E1616" s="102"/>
      <c r="F1616" s="102"/>
      <c r="G1616" s="102"/>
      <c r="H1616" s="175"/>
      <c r="I1616" s="85"/>
      <c r="J1616" s="104"/>
      <c r="K1616" s="144"/>
      <c r="L1616" s="61"/>
    </row>
    <row r="1617" spans="1:28" x14ac:dyDescent="0.15">
      <c r="A1617" s="165"/>
      <c r="B1617" s="93"/>
      <c r="C1617" s="102"/>
      <c r="D1617" s="62"/>
      <c r="E1617" s="102"/>
      <c r="F1617" s="102"/>
      <c r="G1617" s="102"/>
      <c r="H1617" s="175"/>
      <c r="I1617" s="85"/>
      <c r="J1617" s="104"/>
      <c r="K1617" s="144"/>
      <c r="L1617" s="61"/>
      <c r="Q1617" s="14"/>
      <c r="R1617" s="14"/>
    </row>
    <row r="1618" spans="1:28" x14ac:dyDescent="0.15">
      <c r="A1618" s="165"/>
      <c r="B1618" s="93"/>
      <c r="C1618" s="102"/>
      <c r="D1618" s="62"/>
      <c r="E1618" s="102"/>
      <c r="F1618" s="102"/>
      <c r="G1618" s="102"/>
      <c r="H1618" s="175"/>
      <c r="I1618" s="85"/>
      <c r="J1618" s="104"/>
      <c r="K1618" s="144"/>
      <c r="L1618" s="61"/>
    </row>
    <row r="1619" spans="1:28" x14ac:dyDescent="0.15">
      <c r="A1619" s="165"/>
      <c r="B1619" s="93"/>
      <c r="C1619" s="102"/>
      <c r="D1619" s="62"/>
      <c r="E1619" s="102"/>
      <c r="F1619" s="102"/>
      <c r="G1619" s="102"/>
      <c r="H1619" s="175"/>
      <c r="I1619" s="98"/>
      <c r="J1619" s="98"/>
      <c r="K1619" s="135"/>
      <c r="L1619" s="61"/>
    </row>
    <row r="1620" spans="1:28" x14ac:dyDescent="0.15">
      <c r="A1620" s="165"/>
      <c r="B1620" s="93"/>
      <c r="C1620" s="102"/>
      <c r="D1620" s="62"/>
      <c r="E1620" s="102"/>
      <c r="F1620" s="102"/>
      <c r="G1620" s="102"/>
      <c r="H1620" s="175"/>
      <c r="I1620" s="85"/>
      <c r="J1620" s="104"/>
      <c r="K1620" s="144"/>
      <c r="L1620" s="61"/>
    </row>
    <row r="1621" spans="1:28" x14ac:dyDescent="0.15">
      <c r="A1621" s="165"/>
      <c r="B1621" s="93"/>
      <c r="C1621" s="102"/>
      <c r="D1621" s="62"/>
      <c r="E1621" s="102"/>
      <c r="F1621" s="102"/>
      <c r="G1621" s="102"/>
      <c r="H1621" s="175"/>
      <c r="I1621" s="85"/>
      <c r="J1621" s="104"/>
      <c r="K1621" s="144"/>
      <c r="L1621" s="61"/>
    </row>
    <row r="1622" spans="1:28" x14ac:dyDescent="0.15">
      <c r="A1622" s="165"/>
      <c r="B1622" s="93"/>
      <c r="C1622" s="102"/>
      <c r="D1622" s="62"/>
      <c r="E1622" s="102"/>
      <c r="F1622" s="102"/>
      <c r="G1622" s="102"/>
      <c r="H1622" s="175"/>
      <c r="I1622" s="85"/>
      <c r="J1622" s="104"/>
      <c r="K1622" s="144"/>
      <c r="L1622" s="61"/>
    </row>
    <row r="1623" spans="1:28" x14ac:dyDescent="0.15">
      <c r="A1623" s="165"/>
      <c r="B1623" s="93"/>
      <c r="C1623" s="102"/>
      <c r="D1623" s="62"/>
      <c r="E1623" s="102"/>
      <c r="F1623" s="102"/>
      <c r="G1623" s="102"/>
      <c r="H1623" s="175"/>
      <c r="I1623" s="85"/>
      <c r="J1623" s="104"/>
      <c r="K1623" s="144"/>
      <c r="L1623" s="61"/>
    </row>
    <row r="1624" spans="1:28" x14ac:dyDescent="0.15">
      <c r="A1624" s="165"/>
      <c r="B1624" s="93"/>
      <c r="C1624" s="102"/>
      <c r="D1624" s="62"/>
      <c r="E1624" s="102"/>
      <c r="F1624" s="102"/>
      <c r="G1624" s="102"/>
      <c r="H1624" s="175"/>
      <c r="I1624" s="85"/>
      <c r="J1624" s="104"/>
      <c r="K1624" s="144"/>
      <c r="L1624" s="61"/>
    </row>
    <row r="1625" spans="1:28" x14ac:dyDescent="0.15">
      <c r="A1625" s="165"/>
      <c r="B1625" s="93"/>
      <c r="C1625" s="102"/>
      <c r="D1625" s="62"/>
      <c r="E1625" s="102"/>
      <c r="F1625" s="102"/>
      <c r="G1625" s="102"/>
      <c r="H1625" s="175"/>
      <c r="I1625" s="85"/>
      <c r="J1625" s="104"/>
      <c r="K1625" s="144"/>
      <c r="L1625" s="61"/>
    </row>
    <row r="1626" spans="1:28" x14ac:dyDescent="0.15">
      <c r="A1626" s="165"/>
      <c r="B1626" s="93"/>
      <c r="C1626" s="102"/>
      <c r="D1626" s="62"/>
      <c r="E1626" s="102"/>
      <c r="F1626" s="102"/>
      <c r="G1626" s="102"/>
      <c r="H1626" s="175"/>
      <c r="I1626" s="85"/>
      <c r="J1626" s="104"/>
      <c r="K1626" s="144"/>
      <c r="L1626" s="61"/>
    </row>
    <row r="1627" spans="1:28" x14ac:dyDescent="0.15">
      <c r="A1627" s="165"/>
      <c r="B1627" s="93"/>
      <c r="C1627" s="102"/>
      <c r="D1627" s="62"/>
      <c r="E1627" s="102"/>
      <c r="F1627" s="102"/>
      <c r="G1627" s="102"/>
      <c r="H1627" s="175"/>
      <c r="I1627" s="85"/>
      <c r="J1627" s="104"/>
      <c r="K1627" s="144"/>
      <c r="L1627" s="61"/>
    </row>
    <row r="1628" spans="1:28" x14ac:dyDescent="0.15">
      <c r="A1628" s="165"/>
      <c r="B1628" s="93"/>
      <c r="C1628" s="102"/>
      <c r="D1628" s="62"/>
      <c r="E1628" s="102"/>
      <c r="F1628" s="102"/>
      <c r="G1628" s="102"/>
      <c r="H1628" s="175"/>
      <c r="I1628" s="85"/>
      <c r="J1628" s="104"/>
      <c r="K1628" s="144"/>
      <c r="L1628" s="61"/>
    </row>
    <row r="1629" spans="1:28" x14ac:dyDescent="0.15">
      <c r="A1629" s="165"/>
      <c r="B1629" s="93"/>
      <c r="C1629" s="102"/>
      <c r="D1629" s="62"/>
      <c r="E1629" s="102"/>
      <c r="F1629" s="102"/>
      <c r="G1629" s="102"/>
      <c r="H1629" s="175"/>
      <c r="I1629" s="98"/>
      <c r="J1629" s="98"/>
      <c r="K1629" s="135"/>
      <c r="L1629" s="61"/>
    </row>
    <row r="1630" spans="1:28" x14ac:dyDescent="0.15">
      <c r="A1630" s="165"/>
      <c r="B1630" s="93"/>
      <c r="C1630" s="102"/>
      <c r="D1630" s="62"/>
      <c r="E1630" s="102"/>
      <c r="F1630" s="102"/>
      <c r="G1630" s="102"/>
      <c r="H1630" s="175"/>
      <c r="I1630" s="85"/>
      <c r="J1630" s="104"/>
      <c r="K1630" s="144"/>
      <c r="L1630" s="61"/>
    </row>
    <row r="1631" spans="1:28" s="15" customFormat="1" x14ac:dyDescent="0.15">
      <c r="A1631" s="165"/>
      <c r="B1631" s="93"/>
      <c r="C1631" s="102"/>
      <c r="D1631" s="62"/>
      <c r="E1631" s="102"/>
      <c r="F1631" s="102"/>
      <c r="G1631" s="102"/>
      <c r="H1631" s="175"/>
      <c r="I1631" s="85"/>
      <c r="J1631" s="104"/>
      <c r="K1631" s="144"/>
      <c r="L1631" s="61"/>
      <c r="M1631" s="49"/>
      <c r="N1631" s="37"/>
      <c r="O1631" s="37"/>
      <c r="P1631" s="37"/>
      <c r="Q1631" s="3"/>
      <c r="R1631" s="3"/>
      <c r="S1631" s="3"/>
      <c r="T1631" s="3"/>
      <c r="U1631" s="3"/>
      <c r="V1631" s="3"/>
      <c r="W1631" s="3"/>
      <c r="X1631" s="3"/>
      <c r="Y1631" s="3"/>
      <c r="Z1631" s="4"/>
      <c r="AA1631"/>
      <c r="AB1631"/>
    </row>
    <row r="1632" spans="1:28" s="15" customFormat="1" x14ac:dyDescent="0.15">
      <c r="A1632" s="165"/>
      <c r="B1632" s="93"/>
      <c r="C1632" s="102"/>
      <c r="D1632" s="62"/>
      <c r="E1632" s="102"/>
      <c r="F1632" s="102"/>
      <c r="G1632" s="102"/>
      <c r="H1632" s="175"/>
      <c r="I1632" s="85"/>
      <c r="J1632" s="104"/>
      <c r="K1632" s="144"/>
      <c r="L1632" s="61"/>
      <c r="M1632" s="49"/>
      <c r="N1632" s="37"/>
      <c r="O1632" s="37"/>
      <c r="P1632" s="37"/>
      <c r="Q1632" s="3"/>
      <c r="R1632" s="3"/>
      <c r="S1632" s="3"/>
      <c r="T1632" s="3"/>
      <c r="U1632" s="3"/>
      <c r="V1632" s="3"/>
      <c r="W1632" s="3"/>
      <c r="X1632" s="3"/>
      <c r="Y1632" s="3"/>
      <c r="Z1632" s="4"/>
      <c r="AA1632"/>
      <c r="AB1632"/>
    </row>
    <row r="1633" spans="1:12" x14ac:dyDescent="0.15">
      <c r="A1633" s="165"/>
      <c r="B1633" s="93"/>
      <c r="C1633" s="102"/>
      <c r="D1633" s="62"/>
      <c r="E1633" s="102"/>
      <c r="F1633" s="102"/>
      <c r="G1633" s="102"/>
      <c r="H1633" s="175"/>
      <c r="I1633" s="85"/>
      <c r="J1633" s="104"/>
      <c r="K1633" s="144"/>
      <c r="L1633" s="61"/>
    </row>
    <row r="1634" spans="1:12" x14ac:dyDescent="0.15">
      <c r="A1634" s="165"/>
      <c r="B1634" s="93"/>
      <c r="C1634" s="102"/>
      <c r="D1634" s="62"/>
      <c r="E1634" s="102"/>
      <c r="F1634" s="102"/>
      <c r="G1634" s="102"/>
      <c r="H1634" s="175"/>
      <c r="I1634" s="85"/>
      <c r="J1634" s="104"/>
      <c r="K1634" s="144"/>
      <c r="L1634" s="61"/>
    </row>
    <row r="1635" spans="1:12" x14ac:dyDescent="0.15">
      <c r="A1635" s="165"/>
      <c r="B1635" s="93"/>
      <c r="C1635" s="102"/>
      <c r="D1635" s="62"/>
      <c r="E1635" s="102"/>
      <c r="F1635" s="102"/>
      <c r="G1635" s="102"/>
      <c r="H1635" s="175"/>
      <c r="I1635" s="85"/>
      <c r="J1635" s="104"/>
      <c r="K1635" s="144"/>
      <c r="L1635" s="61"/>
    </row>
    <row r="1636" spans="1:12" x14ac:dyDescent="0.15">
      <c r="A1636" s="165"/>
      <c r="B1636" s="93"/>
      <c r="C1636" s="102"/>
      <c r="D1636" s="62"/>
      <c r="E1636" s="102"/>
      <c r="F1636" s="102"/>
      <c r="G1636" s="102"/>
      <c r="H1636" s="175"/>
      <c r="I1636" s="85"/>
      <c r="J1636" s="104"/>
      <c r="K1636" s="144"/>
      <c r="L1636" s="61"/>
    </row>
    <row r="1637" spans="1:12" x14ac:dyDescent="0.15">
      <c r="A1637" s="165"/>
      <c r="B1637" s="93"/>
      <c r="C1637" s="102"/>
      <c r="D1637" s="62"/>
      <c r="E1637" s="102"/>
      <c r="F1637" s="102"/>
      <c r="G1637" s="102"/>
      <c r="H1637" s="175"/>
      <c r="I1637" s="85"/>
      <c r="J1637" s="104"/>
      <c r="K1637" s="144"/>
      <c r="L1637" s="61"/>
    </row>
    <row r="1638" spans="1:12" x14ac:dyDescent="0.15">
      <c r="A1638" s="165"/>
      <c r="B1638" s="93"/>
      <c r="C1638" s="102"/>
      <c r="D1638" s="62"/>
      <c r="E1638" s="102"/>
      <c r="F1638" s="102"/>
      <c r="G1638" s="102"/>
      <c r="H1638" s="175"/>
      <c r="I1638" s="85"/>
      <c r="J1638" s="104"/>
      <c r="K1638" s="144"/>
      <c r="L1638" s="61"/>
    </row>
    <row r="1639" spans="1:12" x14ac:dyDescent="0.15">
      <c r="A1639" s="165"/>
      <c r="B1639" s="93"/>
      <c r="C1639" s="102"/>
      <c r="D1639" s="62"/>
      <c r="E1639" s="102"/>
      <c r="F1639" s="102"/>
      <c r="G1639" s="102"/>
      <c r="H1639" s="175"/>
      <c r="I1639" s="85"/>
      <c r="J1639" s="104"/>
      <c r="K1639" s="144"/>
      <c r="L1639" s="61"/>
    </row>
    <row r="1640" spans="1:12" x14ac:dyDescent="0.15">
      <c r="A1640" s="165"/>
      <c r="B1640" s="93"/>
      <c r="C1640" s="102"/>
      <c r="D1640" s="62"/>
      <c r="E1640" s="102"/>
      <c r="F1640" s="102"/>
      <c r="G1640" s="102"/>
      <c r="H1640" s="175"/>
      <c r="I1640" s="85"/>
      <c r="J1640" s="104"/>
      <c r="K1640" s="144"/>
      <c r="L1640" s="61"/>
    </row>
    <row r="1641" spans="1:12" x14ac:dyDescent="0.15">
      <c r="A1641" s="165"/>
      <c r="B1641" s="93"/>
      <c r="C1641" s="102"/>
      <c r="D1641" s="62"/>
      <c r="E1641" s="102"/>
      <c r="F1641" s="102"/>
      <c r="G1641" s="102"/>
      <c r="H1641" s="175"/>
      <c r="I1641" s="98"/>
      <c r="J1641" s="98"/>
      <c r="K1641" s="135"/>
      <c r="L1641" s="61"/>
    </row>
    <row r="1642" spans="1:12" x14ac:dyDescent="0.15">
      <c r="A1642" s="165"/>
      <c r="B1642" s="93"/>
      <c r="C1642" s="102"/>
      <c r="D1642" s="62"/>
      <c r="E1642" s="102"/>
      <c r="F1642" s="102"/>
      <c r="G1642" s="102"/>
      <c r="H1642" s="175"/>
      <c r="I1642" s="85"/>
      <c r="J1642" s="104"/>
      <c r="K1642" s="144"/>
      <c r="L1642" s="61"/>
    </row>
    <row r="1643" spans="1:12" x14ac:dyDescent="0.15">
      <c r="A1643" s="165"/>
      <c r="B1643" s="93"/>
      <c r="C1643" s="102"/>
      <c r="D1643" s="62"/>
      <c r="E1643" s="100"/>
      <c r="F1643" s="102"/>
      <c r="G1643" s="102"/>
      <c r="H1643" s="175"/>
      <c r="I1643" s="85"/>
      <c r="J1643" s="104"/>
      <c r="K1643" s="144"/>
      <c r="L1643" s="61"/>
    </row>
    <row r="1644" spans="1:12" x14ac:dyDescent="0.15">
      <c r="A1644" s="165"/>
      <c r="B1644" s="93"/>
      <c r="C1644" s="102"/>
      <c r="D1644" s="62"/>
      <c r="E1644" s="102"/>
      <c r="F1644" s="102"/>
      <c r="G1644" s="102"/>
      <c r="H1644" s="175"/>
      <c r="I1644" s="85"/>
      <c r="J1644" s="104"/>
      <c r="K1644" s="144"/>
      <c r="L1644" s="61"/>
    </row>
    <row r="1645" spans="1:12" x14ac:dyDescent="0.15">
      <c r="A1645" s="165"/>
      <c r="B1645" s="93"/>
      <c r="C1645" s="102"/>
      <c r="D1645" s="62"/>
      <c r="E1645" s="102"/>
      <c r="F1645" s="102"/>
      <c r="G1645" s="102"/>
      <c r="H1645" s="175"/>
      <c r="I1645" s="85"/>
      <c r="J1645" s="104"/>
      <c r="K1645" s="144"/>
      <c r="L1645" s="61"/>
    </row>
    <row r="1646" spans="1:12" x14ac:dyDescent="0.15">
      <c r="A1646" s="165"/>
      <c r="B1646" s="93"/>
      <c r="C1646" s="102"/>
      <c r="D1646" s="62"/>
      <c r="E1646" s="102"/>
      <c r="F1646" s="102"/>
      <c r="G1646" s="102"/>
      <c r="H1646" s="175"/>
      <c r="I1646" s="85"/>
      <c r="J1646" s="104"/>
      <c r="K1646" s="144"/>
      <c r="L1646" s="61"/>
    </row>
    <row r="1647" spans="1:12" x14ac:dyDescent="0.15">
      <c r="A1647" s="165"/>
      <c r="B1647" s="93"/>
      <c r="C1647" s="102"/>
      <c r="D1647" s="62"/>
      <c r="E1647" s="102"/>
      <c r="F1647" s="102"/>
      <c r="G1647" s="102"/>
      <c r="H1647" s="175"/>
      <c r="I1647" s="85"/>
      <c r="J1647" s="104"/>
      <c r="K1647" s="144"/>
      <c r="L1647" s="61"/>
    </row>
    <row r="1648" spans="1:12" x14ac:dyDescent="0.15">
      <c r="A1648" s="165"/>
      <c r="B1648" s="93"/>
      <c r="C1648" s="102"/>
      <c r="D1648" s="62"/>
      <c r="E1648" s="102"/>
      <c r="F1648" s="102"/>
      <c r="G1648" s="102"/>
      <c r="H1648" s="175"/>
      <c r="I1648" s="85"/>
      <c r="J1648" s="104"/>
      <c r="K1648" s="144"/>
      <c r="L1648" s="61"/>
    </row>
    <row r="1649" spans="1:28" x14ac:dyDescent="0.15">
      <c r="A1649" s="165"/>
      <c r="B1649" s="93"/>
      <c r="C1649" s="102"/>
      <c r="D1649" s="62"/>
      <c r="E1649" s="102"/>
      <c r="F1649" s="102"/>
      <c r="G1649" s="102"/>
      <c r="H1649" s="175"/>
      <c r="I1649" s="85"/>
      <c r="J1649" s="98"/>
      <c r="K1649" s="135"/>
      <c r="L1649" s="61"/>
    </row>
    <row r="1650" spans="1:28" x14ac:dyDescent="0.15">
      <c r="A1650" s="165"/>
      <c r="B1650" s="93"/>
      <c r="C1650" s="102"/>
      <c r="D1650" s="62"/>
      <c r="E1650" s="102"/>
      <c r="F1650" s="102"/>
      <c r="G1650" s="102"/>
      <c r="H1650" s="175"/>
      <c r="I1650" s="85"/>
      <c r="J1650" s="104"/>
      <c r="K1650" s="144"/>
      <c r="L1650" s="61"/>
    </row>
    <row r="1651" spans="1:28" x14ac:dyDescent="0.15">
      <c r="A1651" s="165"/>
      <c r="B1651" s="93"/>
      <c r="C1651" s="102"/>
      <c r="D1651" s="62"/>
      <c r="E1651" s="102"/>
      <c r="F1651" s="102"/>
      <c r="G1651" s="102"/>
      <c r="H1651" s="175"/>
      <c r="I1651" s="85"/>
      <c r="J1651" s="104"/>
      <c r="K1651" s="144"/>
      <c r="L1651" s="61"/>
    </row>
    <row r="1652" spans="1:28" x14ac:dyDescent="0.15">
      <c r="A1652" s="165"/>
      <c r="B1652" s="93"/>
      <c r="C1652" s="102"/>
      <c r="D1652" s="62"/>
      <c r="E1652" s="102"/>
      <c r="F1652" s="102"/>
      <c r="G1652" s="102"/>
      <c r="H1652" s="175"/>
      <c r="I1652" s="85"/>
      <c r="J1652" s="104"/>
      <c r="K1652" s="144"/>
      <c r="L1652" s="61"/>
    </row>
    <row r="1653" spans="1:28" x14ac:dyDescent="0.15">
      <c r="A1653" s="165"/>
      <c r="B1653" s="93"/>
      <c r="C1653" s="102"/>
      <c r="D1653" s="62"/>
      <c r="E1653" s="102"/>
      <c r="F1653" s="102"/>
      <c r="G1653" s="102"/>
      <c r="H1653" s="175"/>
      <c r="I1653" s="98"/>
      <c r="J1653" s="98"/>
      <c r="K1653" s="135"/>
      <c r="L1653" s="61"/>
    </row>
    <row r="1654" spans="1:28" x14ac:dyDescent="0.15">
      <c r="A1654" s="165"/>
      <c r="B1654" s="93"/>
      <c r="C1654" s="102"/>
      <c r="D1654" s="62"/>
      <c r="E1654" s="102"/>
      <c r="F1654" s="102"/>
      <c r="G1654" s="102"/>
      <c r="H1654" s="175"/>
      <c r="I1654" s="98"/>
      <c r="J1654" s="98"/>
      <c r="K1654" s="135"/>
      <c r="L1654" s="61"/>
    </row>
    <row r="1655" spans="1:28" s="13" customFormat="1" x14ac:dyDescent="0.15">
      <c r="A1655" s="165"/>
      <c r="B1655" s="93"/>
      <c r="C1655" s="102"/>
      <c r="D1655" s="62"/>
      <c r="E1655" s="102"/>
      <c r="F1655" s="102"/>
      <c r="G1655" s="102"/>
      <c r="H1655" s="175"/>
      <c r="I1655" s="85"/>
      <c r="J1655" s="104"/>
      <c r="K1655" s="144"/>
      <c r="L1655" s="61"/>
      <c r="M1655" s="49"/>
      <c r="N1655" s="37"/>
      <c r="O1655" s="37"/>
      <c r="P1655" s="37"/>
      <c r="Q1655" s="3"/>
      <c r="R1655" s="3"/>
      <c r="S1655" s="3"/>
      <c r="T1655" s="3"/>
      <c r="U1655" s="3"/>
      <c r="V1655" s="3"/>
      <c r="W1655" s="3"/>
      <c r="X1655" s="3"/>
      <c r="Y1655" s="3"/>
      <c r="Z1655" s="4"/>
      <c r="AA1655"/>
      <c r="AB1655"/>
    </row>
    <row r="1656" spans="1:28" x14ac:dyDescent="0.15">
      <c r="A1656" s="165"/>
      <c r="B1656" s="93"/>
      <c r="C1656" s="102"/>
      <c r="D1656" s="62"/>
      <c r="E1656" s="102"/>
      <c r="F1656" s="102"/>
      <c r="G1656" s="102"/>
      <c r="H1656" s="175"/>
      <c r="I1656" s="85"/>
      <c r="J1656" s="104"/>
      <c r="K1656" s="144"/>
      <c r="L1656" s="61"/>
    </row>
    <row r="1657" spans="1:28" x14ac:dyDescent="0.15">
      <c r="A1657" s="165"/>
      <c r="B1657" s="93"/>
      <c r="C1657" s="102"/>
      <c r="D1657" s="62"/>
      <c r="E1657" s="102"/>
      <c r="F1657" s="102"/>
      <c r="G1657" s="102"/>
      <c r="H1657" s="175"/>
      <c r="I1657" s="85"/>
      <c r="J1657" s="104"/>
      <c r="K1657" s="144"/>
      <c r="L1657" s="61"/>
    </row>
    <row r="1658" spans="1:28" x14ac:dyDescent="0.15">
      <c r="A1658" s="165"/>
      <c r="B1658" s="93"/>
      <c r="C1658" s="102"/>
      <c r="D1658" s="62"/>
      <c r="E1658" s="102"/>
      <c r="F1658" s="102"/>
      <c r="G1658" s="102"/>
      <c r="H1658" s="175"/>
      <c r="I1658" s="85"/>
      <c r="J1658" s="104"/>
      <c r="K1658" s="144"/>
      <c r="L1658" s="61"/>
    </row>
    <row r="1659" spans="1:28" x14ac:dyDescent="0.15">
      <c r="A1659" s="165"/>
      <c r="B1659" s="93"/>
      <c r="C1659" s="102"/>
      <c r="D1659" s="62"/>
      <c r="E1659" s="102"/>
      <c r="F1659" s="102"/>
      <c r="G1659" s="102"/>
      <c r="H1659" s="175"/>
      <c r="I1659" s="85"/>
      <c r="J1659" s="104"/>
      <c r="K1659" s="144"/>
      <c r="L1659" s="61"/>
    </row>
    <row r="1660" spans="1:28" x14ac:dyDescent="0.15">
      <c r="A1660" s="165"/>
      <c r="B1660" s="93"/>
      <c r="C1660" s="102"/>
      <c r="D1660" s="62"/>
      <c r="E1660" s="102"/>
      <c r="F1660" s="102"/>
      <c r="G1660" s="102"/>
      <c r="H1660" s="175"/>
      <c r="I1660" s="85"/>
      <c r="J1660" s="104"/>
      <c r="K1660" s="144"/>
      <c r="L1660" s="61"/>
    </row>
    <row r="1661" spans="1:28" x14ac:dyDescent="0.15">
      <c r="A1661" s="165"/>
      <c r="B1661" s="93"/>
      <c r="C1661" s="102"/>
      <c r="D1661" s="62"/>
      <c r="E1661" s="102"/>
      <c r="F1661" s="102"/>
      <c r="G1661" s="102"/>
      <c r="H1661" s="175"/>
      <c r="I1661" s="85"/>
      <c r="J1661" s="104"/>
      <c r="K1661" s="144"/>
      <c r="L1661" s="61"/>
    </row>
    <row r="1662" spans="1:28" x14ac:dyDescent="0.15">
      <c r="A1662" s="165"/>
      <c r="B1662" s="93"/>
      <c r="C1662" s="102"/>
      <c r="D1662" s="62"/>
      <c r="E1662" s="102"/>
      <c r="F1662" s="102"/>
      <c r="G1662" s="102"/>
      <c r="H1662" s="175"/>
      <c r="I1662" s="85"/>
      <c r="J1662" s="104"/>
      <c r="K1662" s="144"/>
      <c r="L1662" s="61"/>
    </row>
    <row r="1663" spans="1:28" x14ac:dyDescent="0.15">
      <c r="A1663" s="165"/>
      <c r="B1663" s="93"/>
      <c r="C1663" s="102"/>
      <c r="D1663" s="62"/>
      <c r="E1663" s="102"/>
      <c r="F1663" s="102"/>
      <c r="G1663" s="102"/>
      <c r="H1663" s="175"/>
      <c r="I1663" s="98"/>
      <c r="J1663" s="98"/>
      <c r="K1663" s="135"/>
      <c r="L1663" s="61"/>
    </row>
    <row r="1664" spans="1:28" x14ac:dyDescent="0.15">
      <c r="A1664" s="165"/>
      <c r="B1664" s="93"/>
      <c r="C1664" s="102"/>
      <c r="D1664" s="62"/>
      <c r="E1664" s="102"/>
      <c r="F1664" s="102"/>
      <c r="G1664" s="102"/>
      <c r="H1664" s="175"/>
      <c r="I1664" s="85"/>
      <c r="J1664" s="104"/>
      <c r="K1664" s="144"/>
      <c r="L1664" s="61"/>
    </row>
    <row r="1665" spans="1:12" x14ac:dyDescent="0.15">
      <c r="A1665" s="165"/>
      <c r="B1665" s="93"/>
      <c r="C1665" s="102"/>
      <c r="D1665" s="62"/>
      <c r="E1665" s="102"/>
      <c r="F1665" s="102"/>
      <c r="G1665" s="102"/>
      <c r="H1665" s="175"/>
      <c r="I1665" s="85"/>
      <c r="J1665" s="104"/>
      <c r="K1665" s="144"/>
      <c r="L1665" s="61"/>
    </row>
    <row r="1666" spans="1:12" x14ac:dyDescent="0.15">
      <c r="A1666" s="165"/>
      <c r="B1666" s="93"/>
      <c r="C1666" s="102"/>
      <c r="D1666" s="62"/>
      <c r="E1666" s="102"/>
      <c r="F1666" s="102"/>
      <c r="G1666" s="102"/>
      <c r="H1666" s="175"/>
      <c r="I1666" s="98"/>
      <c r="J1666" s="98"/>
      <c r="K1666" s="135"/>
      <c r="L1666" s="61"/>
    </row>
    <row r="1667" spans="1:12" x14ac:dyDescent="0.15">
      <c r="A1667" s="165"/>
      <c r="B1667" s="93"/>
      <c r="C1667" s="102"/>
      <c r="D1667" s="62"/>
      <c r="E1667" s="102"/>
      <c r="F1667" s="102"/>
      <c r="G1667" s="102"/>
      <c r="H1667" s="175"/>
      <c r="I1667" s="98"/>
      <c r="J1667" s="98"/>
      <c r="K1667" s="135"/>
      <c r="L1667" s="61"/>
    </row>
    <row r="1668" spans="1:12" x14ac:dyDescent="0.15">
      <c r="A1668" s="165"/>
      <c r="B1668" s="93"/>
      <c r="C1668" s="102"/>
      <c r="D1668" s="62"/>
      <c r="E1668" s="102"/>
      <c r="F1668" s="102"/>
      <c r="G1668" s="102"/>
      <c r="H1668" s="175"/>
      <c r="I1668" s="98"/>
      <c r="J1668" s="98"/>
      <c r="K1668" s="135"/>
      <c r="L1668" s="61"/>
    </row>
    <row r="1669" spans="1:12" x14ac:dyDescent="0.15">
      <c r="A1669" s="165"/>
      <c r="B1669" s="93"/>
      <c r="C1669" s="102"/>
      <c r="D1669" s="62"/>
      <c r="E1669" s="102"/>
      <c r="F1669" s="102"/>
      <c r="G1669" s="102"/>
      <c r="H1669" s="175"/>
      <c r="I1669" s="85"/>
      <c r="J1669" s="104"/>
      <c r="K1669" s="144"/>
      <c r="L1669" s="61"/>
    </row>
    <row r="1670" spans="1:12" x14ac:dyDescent="0.15">
      <c r="A1670" s="165"/>
      <c r="B1670" s="93"/>
      <c r="C1670" s="102"/>
      <c r="D1670" s="62"/>
      <c r="E1670" s="102"/>
      <c r="F1670" s="102"/>
      <c r="G1670" s="102"/>
      <c r="H1670" s="175"/>
      <c r="I1670" s="85"/>
      <c r="J1670" s="104"/>
      <c r="K1670" s="144"/>
      <c r="L1670" s="61"/>
    </row>
    <row r="1671" spans="1:12" x14ac:dyDescent="0.15">
      <c r="A1671" s="165"/>
      <c r="B1671" s="93"/>
      <c r="C1671" s="102"/>
      <c r="D1671" s="62"/>
      <c r="E1671" s="100"/>
      <c r="F1671" s="102"/>
      <c r="G1671" s="102"/>
      <c r="H1671" s="175"/>
      <c r="I1671" s="98"/>
      <c r="J1671" s="98"/>
      <c r="K1671" s="135"/>
      <c r="L1671" s="61"/>
    </row>
    <row r="1672" spans="1:12" x14ac:dyDescent="0.15">
      <c r="A1672" s="165"/>
      <c r="B1672" s="93"/>
      <c r="C1672" s="102"/>
      <c r="D1672" s="62"/>
      <c r="E1672" s="102"/>
      <c r="F1672" s="102"/>
      <c r="G1672" s="102"/>
      <c r="H1672" s="175"/>
      <c r="I1672" s="98"/>
      <c r="J1672" s="98"/>
      <c r="K1672" s="135"/>
      <c r="L1672" s="61"/>
    </row>
    <row r="1673" spans="1:12" x14ac:dyDescent="0.15">
      <c r="A1673" s="165"/>
      <c r="B1673" s="93"/>
      <c r="C1673" s="102"/>
      <c r="D1673" s="62"/>
      <c r="E1673" s="102"/>
      <c r="F1673" s="102"/>
      <c r="G1673" s="102"/>
      <c r="H1673" s="175"/>
      <c r="I1673" s="85"/>
      <c r="J1673" s="104"/>
      <c r="K1673" s="144"/>
      <c r="L1673" s="61"/>
    </row>
    <row r="1674" spans="1:12" x14ac:dyDescent="0.15">
      <c r="A1674" s="165"/>
      <c r="B1674" s="93"/>
      <c r="C1674" s="102"/>
      <c r="D1674" s="62"/>
      <c r="E1674" s="102"/>
      <c r="F1674" s="102"/>
      <c r="G1674" s="102"/>
      <c r="H1674" s="175"/>
      <c r="I1674" s="98"/>
      <c r="J1674" s="98"/>
      <c r="K1674" s="135"/>
      <c r="L1674" s="61"/>
    </row>
    <row r="1675" spans="1:12" x14ac:dyDescent="0.15">
      <c r="A1675" s="165"/>
      <c r="B1675" s="93"/>
      <c r="C1675" s="102"/>
      <c r="D1675" s="62"/>
      <c r="E1675" s="102"/>
      <c r="F1675" s="102"/>
      <c r="G1675" s="102"/>
      <c r="H1675" s="175"/>
      <c r="I1675" s="85"/>
      <c r="J1675" s="104"/>
      <c r="K1675" s="144"/>
      <c r="L1675" s="61"/>
    </row>
    <row r="1676" spans="1:12" x14ac:dyDescent="0.15">
      <c r="A1676" s="165"/>
      <c r="B1676" s="93"/>
      <c r="C1676" s="102"/>
      <c r="D1676" s="62"/>
      <c r="E1676" s="102"/>
      <c r="F1676" s="102"/>
      <c r="G1676" s="102"/>
      <c r="H1676" s="175"/>
      <c r="I1676" s="85"/>
      <c r="J1676" s="104"/>
      <c r="K1676" s="144"/>
      <c r="L1676" s="61"/>
    </row>
    <row r="1677" spans="1:12" x14ac:dyDescent="0.15">
      <c r="A1677" s="165"/>
      <c r="B1677" s="93"/>
      <c r="C1677" s="102"/>
      <c r="D1677" s="62"/>
      <c r="E1677" s="102"/>
      <c r="F1677" s="102"/>
      <c r="G1677" s="102"/>
      <c r="H1677" s="175"/>
      <c r="I1677" s="85"/>
      <c r="J1677" s="104"/>
      <c r="K1677" s="144"/>
      <c r="L1677" s="61"/>
    </row>
    <row r="1678" spans="1:12" x14ac:dyDescent="0.15">
      <c r="A1678" s="165"/>
      <c r="B1678" s="93"/>
      <c r="C1678" s="102"/>
      <c r="D1678" s="62"/>
      <c r="E1678" s="102"/>
      <c r="F1678" s="102"/>
      <c r="G1678" s="102"/>
      <c r="H1678" s="175"/>
      <c r="I1678" s="85"/>
      <c r="J1678" s="104"/>
      <c r="K1678" s="144"/>
      <c r="L1678" s="61"/>
    </row>
    <row r="1679" spans="1:12" x14ac:dyDescent="0.15">
      <c r="A1679" s="165"/>
      <c r="B1679" s="93"/>
      <c r="C1679" s="102"/>
      <c r="D1679" s="62"/>
      <c r="E1679" s="102"/>
      <c r="F1679" s="102"/>
      <c r="G1679" s="102"/>
      <c r="H1679" s="175"/>
      <c r="I1679" s="85"/>
      <c r="J1679" s="104"/>
      <c r="K1679" s="144"/>
      <c r="L1679" s="61"/>
    </row>
    <row r="1680" spans="1:12" x14ac:dyDescent="0.15">
      <c r="A1680" s="165"/>
      <c r="B1680" s="93"/>
      <c r="C1680" s="102"/>
      <c r="D1680" s="62"/>
      <c r="E1680" s="102"/>
      <c r="F1680" s="102"/>
      <c r="G1680" s="102"/>
      <c r="H1680" s="175"/>
      <c r="I1680" s="85"/>
      <c r="J1680" s="104"/>
      <c r="K1680" s="144"/>
      <c r="L1680" s="61"/>
    </row>
    <row r="1681" spans="1:12" x14ac:dyDescent="0.15">
      <c r="A1681" s="165"/>
      <c r="B1681" s="93"/>
      <c r="C1681" s="102"/>
      <c r="D1681" s="62"/>
      <c r="E1681" s="102"/>
      <c r="F1681" s="102"/>
      <c r="G1681" s="102"/>
      <c r="H1681" s="175"/>
      <c r="I1681" s="85"/>
      <c r="J1681" s="104"/>
      <c r="K1681" s="144"/>
      <c r="L1681" s="61"/>
    </row>
    <row r="1682" spans="1:12" x14ac:dyDescent="0.15">
      <c r="A1682" s="165"/>
      <c r="B1682" s="93"/>
      <c r="C1682" s="102"/>
      <c r="D1682" s="62"/>
      <c r="E1682" s="100"/>
      <c r="F1682" s="102"/>
      <c r="G1682" s="102"/>
      <c r="H1682" s="175"/>
      <c r="I1682" s="85"/>
      <c r="J1682" s="104"/>
      <c r="K1682" s="144"/>
      <c r="L1682" s="61"/>
    </row>
    <row r="1683" spans="1:12" x14ac:dyDescent="0.15">
      <c r="A1683" s="165"/>
      <c r="B1683" s="93"/>
      <c r="C1683" s="102"/>
      <c r="D1683" s="62"/>
      <c r="E1683" s="102"/>
      <c r="F1683" s="102"/>
      <c r="G1683" s="102"/>
      <c r="H1683" s="175"/>
      <c r="I1683" s="85"/>
      <c r="J1683" s="104"/>
      <c r="K1683" s="144"/>
      <c r="L1683" s="61"/>
    </row>
    <row r="1684" spans="1:12" x14ac:dyDescent="0.15">
      <c r="A1684" s="165"/>
      <c r="B1684" s="93"/>
      <c r="C1684" s="102"/>
      <c r="D1684" s="62"/>
      <c r="E1684" s="102"/>
      <c r="F1684" s="102"/>
      <c r="G1684" s="102"/>
      <c r="H1684" s="175"/>
      <c r="I1684" s="85"/>
      <c r="J1684" s="104"/>
      <c r="K1684" s="144"/>
      <c r="L1684" s="61"/>
    </row>
    <row r="1685" spans="1:12" x14ac:dyDescent="0.15">
      <c r="A1685" s="165"/>
      <c r="B1685" s="93"/>
      <c r="C1685" s="102"/>
      <c r="D1685" s="62"/>
      <c r="E1685" s="102"/>
      <c r="F1685" s="102"/>
      <c r="G1685" s="102"/>
      <c r="H1685" s="175"/>
      <c r="I1685" s="85"/>
      <c r="J1685" s="104"/>
      <c r="K1685" s="144"/>
      <c r="L1685" s="61"/>
    </row>
    <row r="1686" spans="1:12" x14ac:dyDescent="0.15">
      <c r="A1686" s="165"/>
      <c r="B1686" s="93"/>
      <c r="C1686" s="102"/>
      <c r="D1686" s="62"/>
      <c r="E1686" s="100"/>
      <c r="F1686" s="102"/>
      <c r="G1686" s="102"/>
      <c r="H1686" s="175"/>
      <c r="I1686" s="85"/>
      <c r="J1686" s="104"/>
      <c r="K1686" s="144"/>
      <c r="L1686" s="61"/>
    </row>
    <row r="1687" spans="1:12" x14ac:dyDescent="0.15">
      <c r="A1687" s="165"/>
      <c r="B1687" s="93"/>
      <c r="C1687" s="102"/>
      <c r="D1687" s="62"/>
      <c r="E1687" s="102"/>
      <c r="F1687" s="102"/>
      <c r="G1687" s="102"/>
      <c r="H1687" s="175"/>
      <c r="I1687" s="85"/>
      <c r="J1687" s="104"/>
      <c r="K1687" s="144"/>
      <c r="L1687" s="61"/>
    </row>
    <row r="1688" spans="1:12" x14ac:dyDescent="0.15">
      <c r="A1688" s="165"/>
      <c r="B1688" s="93"/>
      <c r="C1688" s="102"/>
      <c r="D1688" s="62"/>
      <c r="E1688" s="102"/>
      <c r="F1688" s="102"/>
      <c r="G1688" s="102"/>
      <c r="H1688" s="175"/>
      <c r="I1688" s="85"/>
      <c r="J1688" s="104"/>
      <c r="K1688" s="144"/>
      <c r="L1688" s="61"/>
    </row>
    <row r="1689" spans="1:12" x14ac:dyDescent="0.15">
      <c r="A1689" s="165"/>
      <c r="B1689" s="93"/>
      <c r="C1689" s="102"/>
      <c r="D1689" s="62"/>
      <c r="E1689" s="102"/>
      <c r="F1689" s="102"/>
      <c r="G1689" s="102"/>
      <c r="H1689" s="175"/>
      <c r="I1689" s="85"/>
      <c r="J1689" s="104"/>
      <c r="K1689" s="144"/>
      <c r="L1689" s="61"/>
    </row>
    <row r="1690" spans="1:12" x14ac:dyDescent="0.15">
      <c r="A1690" s="165"/>
      <c r="B1690" s="93"/>
      <c r="C1690" s="102"/>
      <c r="D1690" s="62"/>
      <c r="E1690" s="100"/>
      <c r="F1690" s="102"/>
      <c r="G1690" s="102"/>
      <c r="H1690" s="175"/>
      <c r="I1690" s="85"/>
      <c r="J1690" s="104"/>
      <c r="K1690" s="144"/>
      <c r="L1690" s="61"/>
    </row>
    <row r="1691" spans="1:12" x14ac:dyDescent="0.15">
      <c r="A1691" s="165"/>
      <c r="B1691" s="93"/>
      <c r="C1691" s="102"/>
      <c r="D1691" s="62"/>
      <c r="E1691" s="102"/>
      <c r="F1691" s="102"/>
      <c r="G1691" s="102"/>
      <c r="H1691" s="175"/>
      <c r="I1691" s="85"/>
      <c r="J1691" s="104"/>
      <c r="K1691" s="144"/>
      <c r="L1691" s="61"/>
    </row>
    <row r="1692" spans="1:12" x14ac:dyDescent="0.15">
      <c r="A1692" s="165"/>
      <c r="B1692" s="93"/>
      <c r="C1692" s="102"/>
      <c r="D1692" s="62"/>
      <c r="E1692" s="102"/>
      <c r="F1692" s="102"/>
      <c r="G1692" s="102"/>
      <c r="H1692" s="175"/>
      <c r="I1692" s="98"/>
      <c r="J1692" s="98"/>
      <c r="K1692" s="135"/>
      <c r="L1692" s="62"/>
    </row>
    <row r="1693" spans="1:12" x14ac:dyDescent="0.15">
      <c r="A1693" s="165"/>
      <c r="B1693" s="93"/>
      <c r="C1693" s="102"/>
      <c r="D1693" s="62"/>
      <c r="E1693" s="102"/>
      <c r="F1693" s="102"/>
      <c r="G1693" s="102"/>
      <c r="H1693" s="175"/>
      <c r="I1693" s="85"/>
      <c r="J1693" s="104"/>
      <c r="K1693" s="144"/>
      <c r="L1693" s="61"/>
    </row>
    <row r="1694" spans="1:12" x14ac:dyDescent="0.15">
      <c r="A1694" s="165"/>
      <c r="B1694" s="93"/>
      <c r="C1694" s="102"/>
      <c r="D1694" s="62"/>
      <c r="E1694" s="102"/>
      <c r="F1694" s="102"/>
      <c r="G1694" s="102"/>
      <c r="H1694" s="175"/>
      <c r="I1694" s="85"/>
      <c r="J1694" s="104"/>
      <c r="K1694" s="144"/>
      <c r="L1694" s="61"/>
    </row>
    <row r="1695" spans="1:12" x14ac:dyDescent="0.15">
      <c r="A1695" s="165"/>
      <c r="B1695" s="93"/>
      <c r="C1695" s="102"/>
      <c r="D1695" s="62"/>
      <c r="E1695" s="102"/>
      <c r="F1695" s="102"/>
      <c r="G1695" s="102"/>
      <c r="H1695" s="175"/>
      <c r="I1695" s="85"/>
      <c r="J1695" s="104"/>
      <c r="K1695" s="144"/>
      <c r="L1695" s="61"/>
    </row>
    <row r="1696" spans="1:12" x14ac:dyDescent="0.15">
      <c r="A1696" s="165"/>
      <c r="B1696" s="93"/>
      <c r="C1696" s="102"/>
      <c r="D1696" s="62"/>
      <c r="E1696" s="102"/>
      <c r="F1696" s="102"/>
      <c r="G1696" s="102"/>
      <c r="H1696" s="175"/>
      <c r="I1696" s="85"/>
      <c r="J1696" s="104"/>
      <c r="K1696" s="144"/>
      <c r="L1696" s="61"/>
    </row>
    <row r="1697" spans="1:12" x14ac:dyDescent="0.15">
      <c r="A1697" s="165"/>
      <c r="B1697" s="93"/>
      <c r="C1697" s="102"/>
      <c r="D1697" s="62"/>
      <c r="E1697" s="102"/>
      <c r="F1697" s="102"/>
      <c r="G1697" s="102"/>
      <c r="H1697" s="175"/>
      <c r="I1697" s="85"/>
      <c r="J1697" s="104"/>
      <c r="K1697" s="144"/>
      <c r="L1697" s="61"/>
    </row>
    <row r="1698" spans="1:12" x14ac:dyDescent="0.15">
      <c r="A1698" s="165"/>
      <c r="B1698" s="93"/>
      <c r="C1698" s="102"/>
      <c r="D1698" s="62"/>
      <c r="E1698" s="102"/>
      <c r="F1698" s="102"/>
      <c r="G1698" s="102"/>
      <c r="H1698" s="175"/>
      <c r="I1698" s="85"/>
      <c r="J1698" s="104"/>
      <c r="K1698" s="144"/>
      <c r="L1698" s="62"/>
    </row>
    <row r="1699" spans="1:12" x14ac:dyDescent="0.15">
      <c r="A1699" s="165"/>
      <c r="B1699" s="93"/>
      <c r="C1699" s="102"/>
      <c r="D1699" s="62"/>
      <c r="E1699" s="102"/>
      <c r="F1699" s="102"/>
      <c r="G1699" s="102"/>
      <c r="H1699" s="175"/>
      <c r="I1699" s="85"/>
      <c r="J1699" s="104"/>
      <c r="K1699" s="144"/>
      <c r="L1699" s="62"/>
    </row>
    <row r="1700" spans="1:12" x14ac:dyDescent="0.15">
      <c r="A1700" s="165"/>
      <c r="B1700" s="93"/>
      <c r="C1700" s="102"/>
      <c r="D1700" s="62"/>
      <c r="E1700" s="102"/>
      <c r="F1700" s="102"/>
      <c r="G1700" s="102"/>
      <c r="H1700" s="175"/>
      <c r="I1700" s="98"/>
      <c r="J1700" s="98"/>
      <c r="K1700" s="135"/>
      <c r="L1700" s="62"/>
    </row>
    <row r="1701" spans="1:12" x14ac:dyDescent="0.15">
      <c r="A1701" s="165"/>
      <c r="B1701" s="93"/>
      <c r="C1701" s="100"/>
      <c r="D1701" s="61"/>
      <c r="E1701" s="102"/>
      <c r="F1701" s="100"/>
      <c r="G1701" s="100"/>
      <c r="H1701" s="177"/>
      <c r="I1701" s="98"/>
      <c r="J1701" s="103"/>
      <c r="K1701" s="135"/>
      <c r="L1701" s="62"/>
    </row>
    <row r="1702" spans="1:12" x14ac:dyDescent="0.15">
      <c r="A1702" s="165"/>
      <c r="B1702" s="93"/>
      <c r="C1702" s="102"/>
      <c r="D1702" s="62"/>
      <c r="E1702" s="102"/>
      <c r="F1702" s="102"/>
      <c r="G1702" s="102"/>
      <c r="H1702" s="175"/>
      <c r="I1702" s="98"/>
      <c r="J1702" s="98"/>
      <c r="K1702" s="135"/>
      <c r="L1702" s="62"/>
    </row>
    <row r="1703" spans="1:12" x14ac:dyDescent="0.15">
      <c r="A1703" s="165"/>
      <c r="B1703" s="93"/>
      <c r="C1703" s="102"/>
      <c r="D1703" s="62"/>
      <c r="E1703" s="102"/>
      <c r="F1703" s="102"/>
      <c r="G1703" s="102"/>
      <c r="H1703" s="175"/>
      <c r="I1703" s="85"/>
      <c r="J1703" s="104"/>
      <c r="K1703" s="144"/>
      <c r="L1703" s="62"/>
    </row>
    <row r="1704" spans="1:12" x14ac:dyDescent="0.15">
      <c r="A1704" s="165"/>
      <c r="B1704" s="93"/>
      <c r="C1704" s="102"/>
      <c r="D1704" s="62"/>
      <c r="E1704" s="102"/>
      <c r="F1704" s="102"/>
      <c r="G1704" s="102"/>
      <c r="H1704" s="175"/>
      <c r="I1704" s="85"/>
      <c r="J1704" s="104"/>
      <c r="K1704" s="144"/>
      <c r="L1704" s="62"/>
    </row>
    <row r="1705" spans="1:12" x14ac:dyDescent="0.15">
      <c r="A1705" s="165"/>
      <c r="B1705" s="93"/>
      <c r="C1705" s="102"/>
      <c r="D1705" s="62"/>
      <c r="E1705" s="102"/>
      <c r="F1705" s="102"/>
      <c r="G1705" s="102"/>
      <c r="H1705" s="175"/>
      <c r="I1705" s="98"/>
      <c r="J1705" s="103"/>
      <c r="K1705" s="135"/>
      <c r="L1705" s="62"/>
    </row>
    <row r="1706" spans="1:12" x14ac:dyDescent="0.15">
      <c r="A1706" s="165"/>
      <c r="B1706" s="93"/>
      <c r="C1706" s="102"/>
      <c r="D1706" s="62"/>
      <c r="E1706" s="102"/>
      <c r="F1706" s="102"/>
      <c r="G1706" s="102"/>
      <c r="H1706" s="175"/>
      <c r="I1706" s="85"/>
      <c r="J1706" s="104"/>
      <c r="K1706" s="144"/>
      <c r="L1706" s="62"/>
    </row>
    <row r="1707" spans="1:12" x14ac:dyDescent="0.15">
      <c r="A1707" s="165"/>
      <c r="B1707" s="93"/>
      <c r="C1707" s="102"/>
      <c r="D1707" s="62"/>
      <c r="E1707" s="102"/>
      <c r="F1707" s="102"/>
      <c r="G1707" s="102"/>
      <c r="H1707" s="175"/>
      <c r="I1707" s="85"/>
      <c r="J1707" s="104"/>
      <c r="K1707" s="144"/>
      <c r="L1707" s="62"/>
    </row>
    <row r="1708" spans="1:12" x14ac:dyDescent="0.15">
      <c r="A1708" s="165"/>
      <c r="B1708" s="93"/>
      <c r="C1708" s="102"/>
      <c r="D1708" s="62"/>
      <c r="E1708" s="100"/>
      <c r="F1708" s="102"/>
      <c r="G1708" s="102"/>
      <c r="H1708" s="175"/>
      <c r="I1708" s="85"/>
      <c r="J1708" s="109"/>
      <c r="L1708" s="62"/>
    </row>
    <row r="1709" spans="1:12" x14ac:dyDescent="0.15">
      <c r="A1709" s="165"/>
      <c r="B1709" s="93"/>
      <c r="C1709" s="102"/>
      <c r="D1709" s="62"/>
      <c r="E1709" s="102"/>
      <c r="F1709" s="102"/>
      <c r="G1709" s="102"/>
      <c r="H1709" s="175"/>
      <c r="I1709" s="98"/>
      <c r="J1709" s="98"/>
      <c r="K1709" s="135"/>
      <c r="L1709" s="62"/>
    </row>
    <row r="1710" spans="1:12" x14ac:dyDescent="0.15">
      <c r="A1710" s="165"/>
      <c r="B1710" s="93"/>
      <c r="C1710" s="102"/>
      <c r="D1710" s="62"/>
      <c r="E1710" s="102"/>
      <c r="F1710" s="102"/>
      <c r="G1710" s="102"/>
      <c r="H1710" s="175"/>
      <c r="I1710" s="98"/>
      <c r="J1710" s="98"/>
      <c r="K1710" s="135"/>
      <c r="L1710" s="62"/>
    </row>
    <row r="1711" spans="1:12" x14ac:dyDescent="0.15">
      <c r="A1711" s="165"/>
      <c r="B1711" s="93"/>
      <c r="C1711" s="102"/>
      <c r="D1711" s="62"/>
      <c r="E1711" s="102"/>
      <c r="F1711" s="102"/>
      <c r="G1711" s="102"/>
      <c r="H1711" s="175"/>
      <c r="I1711" s="98"/>
      <c r="J1711" s="98"/>
      <c r="K1711" s="135"/>
      <c r="L1711" s="62"/>
    </row>
    <row r="1712" spans="1:12" x14ac:dyDescent="0.15">
      <c r="A1712" s="165"/>
      <c r="B1712" s="93"/>
      <c r="C1712" s="102"/>
      <c r="D1712" s="62"/>
      <c r="E1712" s="102"/>
      <c r="F1712" s="102"/>
      <c r="G1712" s="102"/>
      <c r="H1712" s="175"/>
      <c r="I1712" s="98"/>
      <c r="J1712" s="98"/>
      <c r="K1712" s="135"/>
      <c r="L1712" s="62"/>
    </row>
    <row r="1713" spans="1:18" x14ac:dyDescent="0.15">
      <c r="A1713" s="165"/>
      <c r="B1713" s="93"/>
      <c r="C1713" s="102"/>
      <c r="D1713" s="62"/>
      <c r="E1713" s="102"/>
      <c r="F1713" s="102"/>
      <c r="G1713" s="102"/>
      <c r="H1713" s="175"/>
      <c r="I1713" s="98"/>
      <c r="J1713" s="98"/>
      <c r="K1713" s="135"/>
      <c r="L1713" s="62"/>
    </row>
    <row r="1714" spans="1:18" x14ac:dyDescent="0.15">
      <c r="A1714" s="165"/>
      <c r="B1714" s="93"/>
      <c r="C1714" s="102"/>
      <c r="D1714" s="62"/>
      <c r="E1714" s="102"/>
      <c r="F1714" s="102"/>
      <c r="G1714" s="102"/>
      <c r="H1714" s="175"/>
      <c r="I1714" s="98"/>
      <c r="J1714" s="98"/>
      <c r="K1714" s="135"/>
      <c r="L1714" s="62"/>
    </row>
    <row r="1715" spans="1:18" x14ac:dyDescent="0.15">
      <c r="A1715" s="165"/>
      <c r="B1715" s="93"/>
      <c r="C1715" s="102"/>
      <c r="D1715" s="62"/>
      <c r="E1715" s="102"/>
      <c r="F1715" s="102"/>
      <c r="G1715" s="102"/>
      <c r="H1715" s="175"/>
      <c r="I1715" s="98"/>
      <c r="J1715" s="98"/>
      <c r="K1715" s="135"/>
      <c r="L1715" s="62"/>
    </row>
    <row r="1716" spans="1:18" x14ac:dyDescent="0.15">
      <c r="A1716" s="165"/>
      <c r="B1716" s="93"/>
      <c r="C1716" s="102"/>
      <c r="D1716" s="62"/>
      <c r="E1716" s="102"/>
      <c r="F1716" s="102"/>
      <c r="G1716" s="102"/>
      <c r="H1716" s="175"/>
      <c r="I1716" s="98"/>
      <c r="J1716" s="98"/>
      <c r="K1716" s="135"/>
      <c r="L1716" s="62"/>
    </row>
    <row r="1717" spans="1:18" x14ac:dyDescent="0.15">
      <c r="A1717" s="165"/>
      <c r="B1717" s="93"/>
      <c r="C1717" s="102"/>
      <c r="D1717" s="62"/>
      <c r="E1717" s="102"/>
      <c r="F1717" s="102"/>
      <c r="G1717" s="102"/>
      <c r="H1717" s="175"/>
      <c r="I1717" s="98"/>
      <c r="J1717" s="98"/>
      <c r="K1717" s="135"/>
      <c r="L1717" s="62"/>
    </row>
    <row r="1718" spans="1:18" x14ac:dyDescent="0.15">
      <c r="A1718" s="165"/>
      <c r="B1718" s="93"/>
      <c r="C1718" s="102"/>
      <c r="D1718" s="62"/>
      <c r="E1718" s="102"/>
      <c r="F1718" s="102"/>
      <c r="G1718" s="102"/>
      <c r="H1718" s="175"/>
      <c r="I1718" s="98"/>
      <c r="J1718" s="98"/>
      <c r="K1718" s="135"/>
      <c r="L1718" s="62"/>
    </row>
    <row r="1719" spans="1:18" x14ac:dyDescent="0.15">
      <c r="A1719" s="165"/>
      <c r="B1719" s="93"/>
      <c r="C1719" s="102"/>
      <c r="D1719" s="62"/>
      <c r="E1719" s="102"/>
      <c r="F1719" s="102"/>
      <c r="G1719" s="102"/>
      <c r="H1719" s="175"/>
      <c r="I1719" s="98"/>
      <c r="J1719" s="98"/>
      <c r="K1719" s="135"/>
      <c r="L1719" s="62"/>
    </row>
    <row r="1720" spans="1:18" x14ac:dyDescent="0.15">
      <c r="A1720" s="165"/>
      <c r="B1720" s="93"/>
      <c r="C1720" s="102"/>
      <c r="D1720" s="62"/>
      <c r="E1720" s="102"/>
      <c r="F1720" s="102"/>
      <c r="G1720" s="102"/>
      <c r="H1720" s="175"/>
      <c r="I1720" s="98"/>
      <c r="J1720" s="98"/>
      <c r="K1720" s="135"/>
      <c r="L1720" s="62"/>
    </row>
    <row r="1721" spans="1:18" x14ac:dyDescent="0.15">
      <c r="A1721" s="165"/>
      <c r="B1721" s="93"/>
      <c r="C1721" s="102"/>
      <c r="D1721" s="62"/>
      <c r="E1721" s="102"/>
      <c r="F1721" s="102"/>
      <c r="G1721" s="102"/>
      <c r="H1721" s="175"/>
      <c r="I1721" s="98"/>
      <c r="J1721" s="98"/>
      <c r="K1721" s="135"/>
      <c r="L1721" s="62"/>
      <c r="Q1721" s="14"/>
      <c r="R1721" s="14"/>
    </row>
    <row r="1722" spans="1:18" x14ac:dyDescent="0.15">
      <c r="A1722" s="165"/>
      <c r="B1722" s="93"/>
      <c r="C1722" s="102"/>
      <c r="D1722" s="62"/>
      <c r="E1722" s="102"/>
      <c r="F1722" s="102"/>
      <c r="G1722" s="102"/>
      <c r="H1722" s="175"/>
      <c r="I1722" s="98"/>
      <c r="J1722" s="98"/>
      <c r="K1722" s="135"/>
      <c r="L1722" s="62"/>
    </row>
    <row r="1723" spans="1:18" x14ac:dyDescent="0.15">
      <c r="A1723" s="165"/>
      <c r="B1723" s="93"/>
      <c r="C1723" s="102"/>
      <c r="D1723" s="62"/>
      <c r="E1723" s="102"/>
      <c r="F1723" s="102"/>
      <c r="G1723" s="102"/>
      <c r="H1723" s="175"/>
      <c r="I1723" s="85"/>
      <c r="J1723" s="104"/>
      <c r="K1723" s="144"/>
      <c r="L1723" s="62"/>
    </row>
    <row r="1724" spans="1:18" x14ac:dyDescent="0.15">
      <c r="A1724" s="165"/>
      <c r="B1724" s="93"/>
      <c r="C1724" s="102"/>
      <c r="D1724" s="62"/>
      <c r="E1724" s="102"/>
      <c r="F1724" s="102"/>
      <c r="G1724" s="102"/>
      <c r="H1724" s="175"/>
      <c r="I1724" s="85"/>
      <c r="J1724" s="104"/>
      <c r="K1724" s="144"/>
      <c r="L1724" s="62"/>
    </row>
    <row r="1725" spans="1:18" x14ac:dyDescent="0.15">
      <c r="A1725" s="165"/>
      <c r="B1725" s="93"/>
      <c r="C1725" s="102"/>
      <c r="D1725" s="62"/>
      <c r="E1725" s="102"/>
      <c r="F1725" s="102"/>
      <c r="G1725" s="102"/>
      <c r="H1725" s="175"/>
      <c r="I1725" s="85"/>
      <c r="J1725" s="104"/>
      <c r="K1725" s="144"/>
      <c r="L1725" s="62"/>
    </row>
    <row r="1726" spans="1:18" x14ac:dyDescent="0.15">
      <c r="A1726" s="165"/>
      <c r="B1726" s="93"/>
      <c r="C1726" s="102"/>
      <c r="D1726" s="62"/>
      <c r="E1726" s="102"/>
      <c r="F1726" s="102"/>
      <c r="G1726" s="102"/>
      <c r="H1726" s="175"/>
      <c r="I1726" s="85"/>
      <c r="J1726" s="104"/>
      <c r="K1726" s="144"/>
      <c r="L1726" s="62"/>
    </row>
    <row r="1727" spans="1:18" x14ac:dyDescent="0.15">
      <c r="A1727" s="165"/>
      <c r="B1727" s="93"/>
      <c r="C1727" s="102"/>
      <c r="D1727" s="62"/>
      <c r="E1727" s="102"/>
      <c r="F1727" s="102"/>
      <c r="G1727" s="102"/>
      <c r="H1727" s="175"/>
      <c r="I1727" s="85"/>
      <c r="J1727" s="104"/>
      <c r="K1727" s="144"/>
      <c r="L1727" s="62"/>
    </row>
    <row r="1728" spans="1:18" x14ac:dyDescent="0.15">
      <c r="A1728" s="165"/>
      <c r="B1728" s="93"/>
      <c r="C1728" s="102"/>
      <c r="D1728" s="62"/>
      <c r="E1728" s="102"/>
      <c r="F1728" s="102"/>
      <c r="G1728" s="102"/>
      <c r="H1728" s="175"/>
      <c r="I1728" s="85"/>
      <c r="J1728" s="101"/>
      <c r="K1728" s="144"/>
      <c r="L1728" s="62"/>
    </row>
    <row r="1729" spans="1:12" x14ac:dyDescent="0.15">
      <c r="A1729" s="165"/>
      <c r="B1729" s="93"/>
      <c r="C1729" s="102"/>
      <c r="D1729" s="62"/>
      <c r="E1729" s="102"/>
      <c r="F1729" s="102"/>
      <c r="G1729" s="102"/>
      <c r="H1729" s="175"/>
      <c r="I1729" s="85"/>
      <c r="J1729" s="104"/>
      <c r="K1729" s="144"/>
      <c r="L1729" s="62"/>
    </row>
    <row r="1730" spans="1:12" x14ac:dyDescent="0.15">
      <c r="A1730" s="165"/>
      <c r="B1730" s="93"/>
      <c r="C1730" s="102"/>
      <c r="D1730" s="62"/>
      <c r="E1730" s="102"/>
      <c r="F1730" s="102"/>
      <c r="G1730" s="102"/>
      <c r="H1730" s="175"/>
      <c r="I1730" s="85"/>
      <c r="J1730" s="104"/>
      <c r="K1730" s="144"/>
      <c r="L1730" s="62"/>
    </row>
    <row r="1731" spans="1:12" x14ac:dyDescent="0.15">
      <c r="A1731" s="165"/>
      <c r="B1731" s="93"/>
      <c r="C1731" s="102"/>
      <c r="D1731" s="62"/>
      <c r="E1731" s="102"/>
      <c r="F1731" s="102"/>
      <c r="G1731" s="102"/>
      <c r="H1731" s="175"/>
      <c r="I1731" s="85"/>
      <c r="J1731" s="104"/>
      <c r="K1731" s="144"/>
      <c r="L1731" s="62"/>
    </row>
    <row r="1732" spans="1:12" x14ac:dyDescent="0.15">
      <c r="A1732" s="165"/>
      <c r="B1732" s="93"/>
      <c r="C1732" s="102"/>
      <c r="D1732" s="62"/>
      <c r="E1732" s="102"/>
      <c r="F1732" s="102"/>
      <c r="G1732" s="102"/>
      <c r="H1732" s="175"/>
      <c r="I1732" s="85"/>
      <c r="J1732" s="104"/>
      <c r="K1732" s="144"/>
      <c r="L1732" s="62"/>
    </row>
    <row r="1733" spans="1:12" x14ac:dyDescent="0.15">
      <c r="A1733" s="165"/>
      <c r="B1733" s="93"/>
      <c r="C1733" s="102"/>
      <c r="D1733" s="62"/>
      <c r="E1733" s="102"/>
      <c r="F1733" s="102"/>
      <c r="G1733" s="102"/>
      <c r="H1733" s="175"/>
      <c r="I1733" s="85"/>
      <c r="J1733" s="104"/>
      <c r="K1733" s="144"/>
      <c r="L1733" s="62"/>
    </row>
    <row r="1734" spans="1:12" x14ac:dyDescent="0.15">
      <c r="A1734" s="165"/>
      <c r="B1734" s="93"/>
      <c r="C1734" s="102"/>
      <c r="D1734" s="62"/>
      <c r="E1734" s="102"/>
      <c r="F1734" s="102"/>
      <c r="G1734" s="102"/>
      <c r="H1734" s="175"/>
      <c r="I1734" s="85"/>
      <c r="J1734" s="104"/>
      <c r="K1734" s="144"/>
      <c r="L1734" s="62"/>
    </row>
    <row r="1735" spans="1:12" x14ac:dyDescent="0.15">
      <c r="A1735" s="165"/>
      <c r="B1735" s="93"/>
      <c r="C1735" s="102"/>
      <c r="D1735" s="62"/>
      <c r="E1735" s="102"/>
      <c r="F1735" s="102"/>
      <c r="G1735" s="102"/>
      <c r="H1735" s="175"/>
      <c r="I1735" s="85"/>
      <c r="J1735" s="104"/>
      <c r="K1735" s="144"/>
      <c r="L1735" s="62"/>
    </row>
    <row r="1736" spans="1:12" x14ac:dyDescent="0.15">
      <c r="A1736" s="165"/>
      <c r="B1736" s="93"/>
      <c r="C1736" s="102"/>
      <c r="D1736" s="62"/>
      <c r="E1736" s="102"/>
      <c r="F1736" s="102"/>
      <c r="G1736" s="102"/>
      <c r="H1736" s="175"/>
      <c r="I1736" s="85"/>
      <c r="J1736" s="104"/>
      <c r="K1736" s="144"/>
      <c r="L1736" s="62"/>
    </row>
    <row r="1737" spans="1:12" x14ac:dyDescent="0.15">
      <c r="A1737" s="165"/>
      <c r="B1737" s="93"/>
      <c r="C1737" s="102"/>
      <c r="D1737" s="62"/>
      <c r="E1737" s="102"/>
      <c r="F1737" s="102"/>
      <c r="G1737" s="102"/>
      <c r="H1737" s="175"/>
      <c r="I1737" s="85"/>
      <c r="J1737" s="104"/>
      <c r="K1737" s="144"/>
      <c r="L1737" s="62"/>
    </row>
    <row r="1738" spans="1:12" x14ac:dyDescent="0.15">
      <c r="A1738" s="165"/>
      <c r="B1738" s="93"/>
      <c r="C1738" s="102"/>
      <c r="D1738" s="62"/>
      <c r="E1738" s="102"/>
      <c r="F1738" s="102"/>
      <c r="G1738" s="102"/>
      <c r="H1738" s="175"/>
      <c r="I1738" s="85"/>
      <c r="J1738" s="104"/>
      <c r="K1738" s="144"/>
      <c r="L1738" s="62"/>
    </row>
    <row r="1739" spans="1:12" x14ac:dyDescent="0.15">
      <c r="A1739" s="165"/>
      <c r="B1739" s="93"/>
      <c r="C1739" s="102"/>
      <c r="D1739" s="62"/>
      <c r="E1739" s="102"/>
      <c r="F1739" s="102"/>
      <c r="G1739" s="102"/>
      <c r="H1739" s="175"/>
      <c r="I1739" s="85"/>
      <c r="J1739" s="104"/>
      <c r="K1739" s="144"/>
      <c r="L1739" s="62"/>
    </row>
    <row r="1740" spans="1:12" x14ac:dyDescent="0.15">
      <c r="A1740" s="165"/>
      <c r="B1740" s="93"/>
      <c r="C1740" s="102"/>
      <c r="D1740" s="62"/>
      <c r="E1740" s="102"/>
      <c r="F1740" s="102"/>
      <c r="G1740" s="102"/>
      <c r="H1740" s="175"/>
      <c r="I1740" s="85"/>
      <c r="J1740" s="104"/>
      <c r="K1740" s="144"/>
      <c r="L1740" s="62"/>
    </row>
    <row r="1741" spans="1:12" x14ac:dyDescent="0.15">
      <c r="A1741" s="62"/>
      <c r="B1741" s="93"/>
      <c r="C1741" s="102"/>
      <c r="D1741" s="62"/>
      <c r="E1741" s="102"/>
      <c r="F1741" s="102"/>
      <c r="G1741" s="102"/>
      <c r="H1741" s="175"/>
      <c r="I1741" s="85"/>
      <c r="J1741" s="104"/>
      <c r="K1741" s="144"/>
      <c r="L1741" s="62"/>
    </row>
    <row r="1742" spans="1:12" x14ac:dyDescent="0.15">
      <c r="A1742" s="62"/>
      <c r="B1742" s="93"/>
      <c r="C1742" s="102"/>
      <c r="D1742" s="62"/>
      <c r="E1742" s="102"/>
      <c r="F1742" s="102"/>
      <c r="G1742" s="102"/>
      <c r="H1742" s="175"/>
      <c r="I1742" s="85"/>
      <c r="J1742" s="104"/>
      <c r="K1742" s="144"/>
      <c r="L1742" s="62"/>
    </row>
    <row r="1743" spans="1:12" x14ac:dyDescent="0.15">
      <c r="A1743" s="62"/>
      <c r="B1743" s="93"/>
      <c r="C1743" s="102"/>
      <c r="D1743" s="62"/>
      <c r="E1743" s="102"/>
      <c r="F1743" s="102"/>
      <c r="G1743" s="102"/>
      <c r="H1743" s="175"/>
      <c r="I1743" s="85"/>
      <c r="J1743" s="104"/>
      <c r="K1743" s="144"/>
      <c r="L1743" s="62"/>
    </row>
    <row r="1744" spans="1:12" x14ac:dyDescent="0.15">
      <c r="A1744" s="165"/>
      <c r="B1744" s="93"/>
      <c r="C1744" s="102"/>
      <c r="D1744" s="62"/>
      <c r="E1744" s="100"/>
      <c r="F1744" s="102"/>
      <c r="G1744" s="102"/>
      <c r="H1744" s="175"/>
      <c r="I1744" s="85"/>
      <c r="J1744" s="104"/>
      <c r="K1744" s="144"/>
      <c r="L1744" s="62"/>
    </row>
    <row r="1745" spans="1:12" x14ac:dyDescent="0.15">
      <c r="A1745" s="62"/>
      <c r="B1745" s="93"/>
      <c r="C1745" s="102"/>
      <c r="D1745" s="62"/>
      <c r="E1745" s="102"/>
      <c r="F1745" s="102"/>
      <c r="G1745" s="102"/>
      <c r="H1745" s="175"/>
      <c r="I1745" s="85"/>
      <c r="J1745" s="98"/>
      <c r="K1745" s="135"/>
      <c r="L1745" s="62"/>
    </row>
    <row r="1746" spans="1:12" x14ac:dyDescent="0.15">
      <c r="A1746" s="62"/>
      <c r="B1746" s="93"/>
      <c r="C1746" s="102"/>
      <c r="D1746" s="62"/>
      <c r="E1746" s="102"/>
      <c r="F1746" s="102"/>
      <c r="G1746" s="102"/>
      <c r="H1746" s="175"/>
      <c r="I1746" s="98"/>
      <c r="J1746" s="98"/>
      <c r="K1746" s="135"/>
      <c r="L1746" s="62"/>
    </row>
    <row r="1747" spans="1:12" x14ac:dyDescent="0.15">
      <c r="A1747" s="165"/>
      <c r="B1747" s="93"/>
      <c r="C1747" s="102"/>
      <c r="D1747" s="62"/>
      <c r="E1747" s="102"/>
      <c r="F1747" s="102"/>
      <c r="G1747" s="102"/>
      <c r="H1747" s="175"/>
      <c r="I1747" s="98"/>
      <c r="J1747" s="98"/>
      <c r="K1747" s="135"/>
      <c r="L1747" s="62"/>
    </row>
    <row r="1748" spans="1:12" x14ac:dyDescent="0.15">
      <c r="A1748" s="165"/>
      <c r="B1748" s="93"/>
      <c r="C1748" s="102"/>
      <c r="D1748" s="62"/>
      <c r="E1748" s="102"/>
      <c r="F1748" s="102"/>
      <c r="G1748" s="102"/>
      <c r="H1748" s="175"/>
      <c r="I1748" s="85"/>
      <c r="J1748" s="104"/>
      <c r="K1748" s="144"/>
      <c r="L1748" s="62"/>
    </row>
    <row r="1749" spans="1:12" x14ac:dyDescent="0.15">
      <c r="A1749" s="165"/>
      <c r="B1749" s="93"/>
      <c r="C1749" s="102"/>
      <c r="D1749" s="62"/>
      <c r="E1749" s="102"/>
      <c r="F1749" s="102"/>
      <c r="G1749" s="102"/>
      <c r="H1749" s="175"/>
      <c r="I1749" s="85"/>
      <c r="J1749" s="104"/>
      <c r="K1749" s="144"/>
      <c r="L1749" s="62"/>
    </row>
    <row r="1750" spans="1:12" x14ac:dyDescent="0.15">
      <c r="A1750" s="165"/>
      <c r="B1750" s="93"/>
      <c r="C1750" s="100"/>
      <c r="D1750" s="61"/>
      <c r="E1750" s="102"/>
      <c r="F1750" s="100"/>
      <c r="G1750" s="100"/>
      <c r="H1750" s="177"/>
      <c r="I1750" s="85"/>
      <c r="J1750" s="101"/>
      <c r="K1750" s="144"/>
      <c r="L1750" s="62"/>
    </row>
    <row r="1751" spans="1:12" x14ac:dyDescent="0.15">
      <c r="A1751" s="165"/>
      <c r="B1751" s="93"/>
      <c r="C1751" s="102"/>
      <c r="D1751" s="62"/>
      <c r="E1751" s="102"/>
      <c r="F1751" s="102"/>
      <c r="G1751" s="102"/>
      <c r="H1751" s="175"/>
      <c r="I1751" s="85"/>
      <c r="J1751" s="104"/>
      <c r="K1751" s="144"/>
      <c r="L1751" s="62"/>
    </row>
    <row r="1752" spans="1:12" x14ac:dyDescent="0.15">
      <c r="A1752" s="165"/>
      <c r="B1752" s="93"/>
      <c r="C1752" s="102"/>
      <c r="D1752" s="62"/>
      <c r="E1752" s="102"/>
      <c r="F1752" s="102"/>
      <c r="G1752" s="102"/>
      <c r="H1752" s="175"/>
      <c r="I1752" s="98"/>
      <c r="J1752" s="98"/>
      <c r="K1752" s="135"/>
      <c r="L1752" s="62"/>
    </row>
    <row r="1753" spans="1:12" x14ac:dyDescent="0.15">
      <c r="A1753" s="165"/>
      <c r="B1753" s="93"/>
      <c r="C1753" s="102"/>
      <c r="D1753" s="62"/>
      <c r="E1753" s="102"/>
      <c r="F1753" s="102"/>
      <c r="G1753" s="102"/>
      <c r="H1753" s="175"/>
      <c r="I1753" s="98"/>
      <c r="J1753" s="98"/>
      <c r="K1753" s="135"/>
      <c r="L1753" s="62"/>
    </row>
    <row r="1754" spans="1:12" x14ac:dyDescent="0.15">
      <c r="A1754" s="165"/>
      <c r="B1754" s="93"/>
      <c r="C1754" s="102"/>
      <c r="D1754" s="62"/>
      <c r="E1754" s="102"/>
      <c r="F1754" s="102"/>
      <c r="G1754" s="102"/>
      <c r="H1754" s="175"/>
      <c r="I1754" s="85"/>
      <c r="J1754" s="104"/>
      <c r="K1754" s="144"/>
      <c r="L1754" s="62"/>
    </row>
    <row r="1755" spans="1:12" x14ac:dyDescent="0.15">
      <c r="A1755" s="165"/>
      <c r="B1755" s="93"/>
      <c r="C1755" s="102"/>
      <c r="D1755" s="62"/>
      <c r="E1755" s="102"/>
      <c r="F1755" s="102"/>
      <c r="G1755" s="102"/>
      <c r="H1755" s="175"/>
      <c r="I1755" s="85"/>
      <c r="J1755" s="104"/>
      <c r="K1755" s="144"/>
      <c r="L1755" s="62"/>
    </row>
    <row r="1756" spans="1:12" x14ac:dyDescent="0.15">
      <c r="A1756" s="165"/>
      <c r="B1756" s="93"/>
      <c r="C1756" s="102"/>
      <c r="D1756" s="62"/>
      <c r="E1756" s="102"/>
      <c r="F1756" s="102"/>
      <c r="G1756" s="102"/>
      <c r="H1756" s="175"/>
      <c r="I1756" s="85"/>
      <c r="J1756" s="104"/>
      <c r="K1756" s="144"/>
      <c r="L1756" s="62"/>
    </row>
    <row r="1757" spans="1:12" x14ac:dyDescent="0.15">
      <c r="A1757" s="62"/>
      <c r="B1757" s="93"/>
      <c r="C1757" s="102"/>
      <c r="D1757" s="62"/>
      <c r="E1757" s="102"/>
      <c r="F1757" s="102"/>
      <c r="G1757" s="102"/>
      <c r="H1757" s="175"/>
      <c r="I1757" s="85"/>
      <c r="J1757" s="104"/>
      <c r="K1757" s="141"/>
      <c r="L1757" s="62"/>
    </row>
    <row r="1758" spans="1:12" x14ac:dyDescent="0.15">
      <c r="A1758" s="62"/>
      <c r="B1758" s="93"/>
      <c r="C1758" s="102"/>
      <c r="D1758" s="62"/>
      <c r="E1758" s="102"/>
      <c r="F1758" s="102"/>
      <c r="G1758" s="102"/>
      <c r="H1758" s="175"/>
      <c r="I1758" s="98"/>
      <c r="J1758" s="98"/>
      <c r="K1758" s="135"/>
      <c r="L1758" s="62"/>
    </row>
    <row r="1759" spans="1:12" x14ac:dyDescent="0.15">
      <c r="A1759" s="165"/>
      <c r="B1759" s="93"/>
      <c r="C1759" s="102"/>
      <c r="D1759" s="62"/>
      <c r="E1759" s="102"/>
      <c r="F1759" s="102"/>
      <c r="G1759" s="102"/>
      <c r="H1759" s="175"/>
      <c r="I1759" s="85"/>
      <c r="J1759" s="104"/>
      <c r="K1759" s="144"/>
      <c r="L1759" s="62"/>
    </row>
    <row r="1760" spans="1:12" x14ac:dyDescent="0.15">
      <c r="A1760" s="165"/>
      <c r="B1760" s="93"/>
      <c r="C1760" s="102"/>
      <c r="D1760" s="62"/>
      <c r="E1760" s="102"/>
      <c r="F1760" s="102"/>
      <c r="G1760" s="102"/>
      <c r="H1760" s="175"/>
      <c r="I1760" s="98"/>
      <c r="J1760" s="98"/>
      <c r="K1760" s="135"/>
      <c r="L1760" s="62"/>
    </row>
    <row r="1761" spans="1:12" x14ac:dyDescent="0.15">
      <c r="A1761" s="165"/>
      <c r="B1761" s="93"/>
      <c r="C1761" s="102"/>
      <c r="D1761" s="62"/>
      <c r="E1761" s="102"/>
      <c r="F1761" s="102"/>
      <c r="G1761" s="102"/>
      <c r="H1761" s="175"/>
      <c r="I1761" s="98"/>
      <c r="J1761" s="98"/>
      <c r="K1761" s="135"/>
      <c r="L1761" s="62"/>
    </row>
    <row r="1762" spans="1:12" x14ac:dyDescent="0.15">
      <c r="A1762" s="168"/>
      <c r="B1762" s="93"/>
      <c r="C1762" s="102"/>
      <c r="D1762" s="62"/>
      <c r="E1762" s="102"/>
      <c r="F1762" s="102"/>
      <c r="G1762" s="102"/>
      <c r="H1762" s="175"/>
      <c r="I1762" s="98"/>
      <c r="J1762" s="98"/>
      <c r="K1762" s="135"/>
      <c r="L1762" s="62"/>
    </row>
    <row r="1763" spans="1:12" x14ac:dyDescent="0.15">
      <c r="A1763" s="229"/>
      <c r="B1763" s="93"/>
      <c r="C1763" s="102"/>
      <c r="D1763" s="62"/>
      <c r="E1763" s="102"/>
      <c r="F1763" s="102"/>
      <c r="G1763" s="102"/>
      <c r="H1763" s="175"/>
      <c r="I1763" s="98"/>
      <c r="J1763" s="98"/>
      <c r="K1763" s="135"/>
      <c r="L1763" s="62"/>
    </row>
    <row r="1764" spans="1:12" x14ac:dyDescent="0.15">
      <c r="A1764" s="168"/>
      <c r="B1764" s="93"/>
      <c r="C1764" s="102"/>
      <c r="D1764" s="62"/>
      <c r="E1764" s="102"/>
      <c r="F1764" s="102"/>
      <c r="G1764" s="102"/>
      <c r="H1764" s="175"/>
      <c r="I1764" s="98"/>
      <c r="J1764" s="98"/>
      <c r="K1764" s="135"/>
      <c r="L1764" s="62"/>
    </row>
    <row r="1765" spans="1:12" x14ac:dyDescent="0.15">
      <c r="A1765" s="229"/>
      <c r="B1765" s="93"/>
      <c r="C1765" s="102"/>
      <c r="D1765" s="62"/>
      <c r="E1765" s="102"/>
      <c r="F1765" s="102"/>
      <c r="G1765" s="102"/>
      <c r="H1765" s="175"/>
      <c r="I1765" s="98"/>
      <c r="J1765" s="98"/>
      <c r="K1765" s="135"/>
      <c r="L1765" s="62"/>
    </row>
    <row r="1766" spans="1:12" x14ac:dyDescent="0.15">
      <c r="A1766" s="62"/>
      <c r="B1766" s="93"/>
      <c r="C1766" s="102"/>
      <c r="D1766" s="62"/>
      <c r="E1766" s="102"/>
      <c r="F1766" s="102"/>
      <c r="G1766" s="102"/>
      <c r="H1766" s="175"/>
      <c r="I1766" s="85"/>
      <c r="J1766" s="104"/>
      <c r="K1766" s="144"/>
      <c r="L1766" s="62"/>
    </row>
    <row r="1767" spans="1:12" x14ac:dyDescent="0.15">
      <c r="A1767" s="62"/>
      <c r="B1767" s="93"/>
      <c r="C1767" s="102"/>
      <c r="D1767" s="62"/>
      <c r="E1767" s="102"/>
      <c r="F1767" s="102"/>
      <c r="G1767" s="102"/>
      <c r="H1767" s="175"/>
      <c r="I1767" s="85"/>
      <c r="J1767" s="104"/>
      <c r="K1767" s="144"/>
      <c r="L1767" s="62"/>
    </row>
    <row r="1768" spans="1:12" x14ac:dyDescent="0.15">
      <c r="A1768" s="229"/>
      <c r="B1768" s="93"/>
      <c r="C1768" s="102"/>
      <c r="D1768" s="62"/>
      <c r="E1768" s="100"/>
      <c r="F1768" s="102"/>
      <c r="G1768" s="102"/>
      <c r="H1768" s="175"/>
      <c r="I1768" s="85"/>
      <c r="J1768" s="104"/>
      <c r="K1768" s="144"/>
      <c r="L1768" s="62"/>
    </row>
    <row r="1769" spans="1:12" x14ac:dyDescent="0.15">
      <c r="A1769" s="62"/>
      <c r="B1769" s="93"/>
      <c r="C1769" s="102"/>
      <c r="D1769" s="62"/>
      <c r="E1769" s="102"/>
      <c r="F1769" s="102"/>
      <c r="G1769" s="102"/>
      <c r="H1769" s="175"/>
      <c r="I1769" s="85"/>
      <c r="J1769" s="104"/>
      <c r="K1769" s="144"/>
      <c r="L1769" s="62"/>
    </row>
    <row r="1770" spans="1:12" x14ac:dyDescent="0.15">
      <c r="A1770" s="62"/>
      <c r="B1770" s="93"/>
      <c r="C1770" s="102"/>
      <c r="D1770" s="62"/>
      <c r="E1770" s="102"/>
      <c r="F1770" s="102"/>
      <c r="G1770" s="102"/>
      <c r="H1770" s="175"/>
      <c r="I1770" s="85"/>
      <c r="J1770" s="104"/>
      <c r="K1770" s="144"/>
      <c r="L1770" s="62"/>
    </row>
    <row r="1771" spans="1:12" x14ac:dyDescent="0.15">
      <c r="A1771" s="62"/>
      <c r="B1771" s="93"/>
      <c r="C1771" s="102"/>
      <c r="D1771" s="62"/>
      <c r="E1771" s="102"/>
      <c r="F1771" s="102"/>
      <c r="G1771" s="102"/>
      <c r="H1771" s="175"/>
      <c r="I1771" s="85"/>
      <c r="J1771" s="104"/>
      <c r="K1771" s="144"/>
      <c r="L1771" s="62"/>
    </row>
    <row r="1772" spans="1:12" x14ac:dyDescent="0.15">
      <c r="A1772" s="62"/>
      <c r="B1772" s="93"/>
      <c r="C1772" s="100"/>
      <c r="D1772" s="61"/>
      <c r="E1772" s="100"/>
      <c r="F1772" s="100"/>
      <c r="G1772" s="100"/>
      <c r="H1772" s="177"/>
      <c r="I1772" s="98"/>
      <c r="J1772" s="103"/>
      <c r="K1772" s="135"/>
      <c r="L1772" s="62"/>
    </row>
    <row r="1773" spans="1:12" x14ac:dyDescent="0.15">
      <c r="A1773" s="62"/>
      <c r="B1773" s="93"/>
      <c r="C1773" s="102"/>
      <c r="D1773" s="62"/>
      <c r="E1773" s="102"/>
      <c r="F1773" s="102"/>
      <c r="G1773" s="102"/>
      <c r="H1773" s="175"/>
      <c r="I1773" s="85"/>
      <c r="J1773" s="104"/>
      <c r="K1773" s="144"/>
      <c r="L1773" s="62"/>
    </row>
    <row r="1774" spans="1:12" x14ac:dyDescent="0.15">
      <c r="A1774" s="62"/>
      <c r="B1774" s="93"/>
      <c r="C1774" s="102"/>
      <c r="D1774" s="62"/>
      <c r="E1774" s="102"/>
      <c r="F1774" s="102"/>
      <c r="G1774" s="102"/>
      <c r="H1774" s="175"/>
      <c r="I1774" s="85"/>
      <c r="J1774" s="104"/>
      <c r="K1774" s="144"/>
      <c r="L1774" s="62"/>
    </row>
    <row r="1775" spans="1:12" x14ac:dyDescent="0.15">
      <c r="A1775" s="62"/>
      <c r="B1775" s="93"/>
      <c r="C1775" s="102"/>
      <c r="D1775" s="62"/>
      <c r="E1775" s="102"/>
      <c r="F1775" s="102"/>
      <c r="G1775" s="102"/>
      <c r="H1775" s="175"/>
      <c r="I1775" s="85"/>
      <c r="J1775" s="104"/>
      <c r="K1775" s="144"/>
      <c r="L1775" s="62"/>
    </row>
    <row r="1776" spans="1:12" x14ac:dyDescent="0.15">
      <c r="A1776" s="229"/>
      <c r="B1776" s="93"/>
      <c r="C1776" s="102"/>
      <c r="D1776" s="62"/>
      <c r="E1776" s="102"/>
      <c r="F1776" s="102"/>
      <c r="G1776" s="102"/>
      <c r="H1776" s="175"/>
      <c r="I1776" s="85"/>
      <c r="J1776" s="104"/>
      <c r="K1776" s="144"/>
      <c r="L1776" s="62"/>
    </row>
    <row r="1777" spans="1:12" x14ac:dyDescent="0.15">
      <c r="A1777" s="62"/>
      <c r="B1777" s="93"/>
      <c r="C1777" s="102"/>
      <c r="D1777" s="62"/>
      <c r="E1777" s="102"/>
      <c r="F1777" s="102"/>
      <c r="G1777" s="102"/>
      <c r="H1777" s="175"/>
      <c r="I1777" s="85"/>
      <c r="J1777" s="104"/>
      <c r="K1777" s="144"/>
      <c r="L1777" s="62"/>
    </row>
    <row r="1778" spans="1:12" x14ac:dyDescent="0.15">
      <c r="A1778" s="62"/>
      <c r="B1778" s="93"/>
      <c r="C1778" s="102"/>
      <c r="D1778" s="62"/>
      <c r="E1778" s="102"/>
      <c r="F1778" s="102"/>
      <c r="G1778" s="102"/>
      <c r="H1778" s="175"/>
      <c r="I1778" s="98"/>
      <c r="J1778" s="98"/>
      <c r="K1778" s="135"/>
      <c r="L1778" s="62"/>
    </row>
    <row r="1779" spans="1:12" x14ac:dyDescent="0.15">
      <c r="A1779" s="62"/>
      <c r="B1779" s="93"/>
      <c r="C1779" s="102"/>
      <c r="D1779" s="62"/>
      <c r="E1779" s="102"/>
      <c r="F1779" s="102"/>
      <c r="G1779" s="102"/>
      <c r="H1779" s="175"/>
      <c r="I1779" s="85"/>
      <c r="J1779" s="104"/>
      <c r="K1779" s="144"/>
      <c r="L1779" s="62"/>
    </row>
    <row r="1780" spans="1:12" x14ac:dyDescent="0.15">
      <c r="A1780" s="62"/>
      <c r="B1780" s="93"/>
      <c r="C1780" s="102"/>
      <c r="D1780" s="62"/>
      <c r="E1780" s="102"/>
      <c r="F1780" s="102"/>
      <c r="G1780" s="102"/>
      <c r="H1780" s="175"/>
      <c r="I1780" s="85"/>
      <c r="J1780" s="104"/>
      <c r="K1780" s="144"/>
      <c r="L1780" s="62"/>
    </row>
    <row r="1781" spans="1:12" x14ac:dyDescent="0.15">
      <c r="A1781" s="62"/>
      <c r="B1781" s="93"/>
      <c r="C1781" s="102"/>
      <c r="D1781" s="62"/>
      <c r="E1781" s="102"/>
      <c r="F1781" s="102"/>
      <c r="G1781" s="102"/>
      <c r="H1781" s="175"/>
      <c r="I1781" s="85"/>
      <c r="J1781" s="104"/>
      <c r="K1781" s="144"/>
      <c r="L1781" s="62"/>
    </row>
    <row r="1782" spans="1:12" x14ac:dyDescent="0.15">
      <c r="A1782" s="62"/>
      <c r="B1782" s="93"/>
      <c r="C1782" s="102"/>
      <c r="D1782" s="62"/>
      <c r="E1782" s="102"/>
      <c r="F1782" s="102"/>
      <c r="G1782" s="102"/>
      <c r="H1782" s="175"/>
      <c r="I1782" s="85"/>
      <c r="J1782" s="104"/>
      <c r="K1782" s="144"/>
      <c r="L1782" s="62"/>
    </row>
    <row r="1783" spans="1:12" x14ac:dyDescent="0.15">
      <c r="A1783" s="62"/>
      <c r="B1783" s="93"/>
      <c r="C1783" s="102"/>
      <c r="D1783" s="62"/>
      <c r="E1783" s="102"/>
      <c r="F1783" s="102"/>
      <c r="G1783" s="102"/>
      <c r="H1783" s="175"/>
      <c r="I1783" s="85"/>
      <c r="J1783" s="104"/>
      <c r="K1783" s="144"/>
      <c r="L1783" s="62"/>
    </row>
    <row r="1784" spans="1:12" x14ac:dyDescent="0.15">
      <c r="A1784" s="62"/>
      <c r="B1784" s="93"/>
      <c r="C1784" s="102"/>
      <c r="D1784" s="62"/>
      <c r="E1784" s="102"/>
      <c r="F1784" s="102"/>
      <c r="G1784" s="102"/>
      <c r="H1784" s="175"/>
      <c r="I1784" s="85"/>
      <c r="J1784" s="104"/>
      <c r="K1784" s="144"/>
      <c r="L1784" s="62"/>
    </row>
    <row r="1785" spans="1:12" x14ac:dyDescent="0.15">
      <c r="A1785" s="62"/>
      <c r="B1785" s="93"/>
      <c r="C1785" s="102"/>
      <c r="D1785" s="62"/>
      <c r="E1785" s="102"/>
      <c r="F1785" s="102"/>
      <c r="G1785" s="102"/>
      <c r="H1785" s="175"/>
      <c r="I1785" s="98"/>
      <c r="J1785" s="98"/>
      <c r="K1785" s="135"/>
      <c r="L1785" s="62"/>
    </row>
    <row r="1786" spans="1:12" x14ac:dyDescent="0.15">
      <c r="A1786" s="62"/>
      <c r="B1786" s="93"/>
      <c r="C1786" s="102"/>
      <c r="D1786" s="62"/>
      <c r="E1786" s="102"/>
      <c r="F1786" s="102"/>
      <c r="G1786" s="102"/>
      <c r="H1786" s="175"/>
      <c r="I1786" s="98"/>
      <c r="J1786" s="98"/>
      <c r="K1786" s="135"/>
      <c r="L1786" s="62"/>
    </row>
    <row r="1787" spans="1:12" x14ac:dyDescent="0.15">
      <c r="A1787" s="62"/>
      <c r="B1787" s="93"/>
      <c r="C1787" s="102"/>
      <c r="D1787" s="62"/>
      <c r="E1787" s="102"/>
      <c r="F1787" s="102"/>
      <c r="G1787" s="102"/>
      <c r="H1787" s="175"/>
      <c r="I1787" s="85"/>
      <c r="J1787" s="104"/>
      <c r="K1787" s="144"/>
      <c r="L1787" s="62"/>
    </row>
    <row r="1788" spans="1:12" x14ac:dyDescent="0.15">
      <c r="A1788" s="62"/>
      <c r="B1788" s="93"/>
      <c r="C1788" s="102"/>
      <c r="D1788" s="62"/>
      <c r="E1788" s="102"/>
      <c r="F1788" s="102"/>
      <c r="G1788" s="102"/>
      <c r="H1788" s="175"/>
      <c r="I1788" s="85"/>
      <c r="J1788" s="104"/>
      <c r="K1788" s="144"/>
      <c r="L1788" s="62"/>
    </row>
    <row r="1789" spans="1:12" x14ac:dyDescent="0.15">
      <c r="A1789" s="62"/>
      <c r="B1789" s="93"/>
      <c r="C1789" s="102"/>
      <c r="D1789" s="62"/>
      <c r="E1789" s="102"/>
      <c r="F1789" s="102"/>
      <c r="G1789" s="102"/>
      <c r="H1789" s="175"/>
      <c r="I1789" s="85"/>
      <c r="J1789" s="104"/>
      <c r="K1789" s="144"/>
      <c r="L1789" s="62"/>
    </row>
    <row r="1790" spans="1:12" x14ac:dyDescent="0.15">
      <c r="A1790" s="62"/>
      <c r="B1790" s="93"/>
      <c r="C1790" s="102"/>
      <c r="D1790" s="62"/>
      <c r="E1790" s="102"/>
      <c r="F1790" s="102"/>
      <c r="G1790" s="102"/>
      <c r="H1790" s="175"/>
      <c r="I1790" s="85"/>
      <c r="J1790" s="104"/>
      <c r="K1790" s="144"/>
      <c r="L1790" s="62"/>
    </row>
    <row r="1791" spans="1:12" x14ac:dyDescent="0.15">
      <c r="A1791" s="62"/>
      <c r="B1791" s="93"/>
      <c r="C1791" s="102"/>
      <c r="D1791" s="62"/>
      <c r="E1791" s="102"/>
      <c r="F1791" s="102"/>
      <c r="G1791" s="102"/>
      <c r="H1791" s="175"/>
      <c r="I1791" s="85"/>
      <c r="J1791" s="104"/>
      <c r="K1791" s="144"/>
      <c r="L1791" s="62"/>
    </row>
    <row r="1792" spans="1:12" x14ac:dyDescent="0.15">
      <c r="A1792" s="62"/>
      <c r="B1792" s="93"/>
      <c r="C1792" s="102"/>
      <c r="D1792" s="62"/>
      <c r="E1792" s="102"/>
      <c r="F1792" s="102"/>
      <c r="G1792" s="102"/>
      <c r="H1792" s="175"/>
      <c r="I1792" s="98"/>
      <c r="J1792" s="98"/>
      <c r="K1792" s="135"/>
      <c r="L1792" s="62"/>
    </row>
    <row r="1793" spans="1:15" x14ac:dyDescent="0.15">
      <c r="A1793" s="62"/>
      <c r="B1793" s="93"/>
      <c r="C1793" s="102"/>
      <c r="D1793" s="62"/>
      <c r="E1793" s="102"/>
      <c r="F1793" s="102"/>
      <c r="G1793" s="102"/>
      <c r="H1793" s="175"/>
      <c r="I1793" s="98"/>
      <c r="J1793" s="98"/>
      <c r="K1793" s="135"/>
      <c r="L1793" s="62"/>
    </row>
    <row r="1794" spans="1:15" x14ac:dyDescent="0.15">
      <c r="A1794" s="62"/>
      <c r="B1794" s="93"/>
      <c r="C1794" s="102"/>
      <c r="D1794" s="62"/>
      <c r="E1794" s="102"/>
      <c r="F1794" s="102"/>
      <c r="G1794" s="102"/>
      <c r="H1794" s="175"/>
      <c r="I1794" s="85"/>
      <c r="J1794" s="104"/>
      <c r="K1794" s="144"/>
      <c r="L1794" s="62"/>
    </row>
    <row r="1795" spans="1:15" x14ac:dyDescent="0.15">
      <c r="A1795" s="62"/>
      <c r="B1795" s="93"/>
      <c r="C1795" s="102"/>
      <c r="D1795" s="62"/>
      <c r="E1795" s="102"/>
      <c r="F1795" s="102"/>
      <c r="G1795" s="102"/>
      <c r="H1795" s="175"/>
      <c r="I1795" s="85"/>
      <c r="J1795" s="104"/>
      <c r="K1795" s="144"/>
      <c r="L1795" s="62"/>
    </row>
    <row r="1796" spans="1:15" x14ac:dyDescent="0.15">
      <c r="A1796" s="62"/>
      <c r="B1796" s="93"/>
      <c r="C1796" s="102"/>
      <c r="D1796" s="62"/>
      <c r="E1796" s="102"/>
      <c r="F1796" s="102"/>
      <c r="G1796" s="102"/>
      <c r="H1796" s="175"/>
      <c r="I1796" s="85"/>
      <c r="J1796" s="104"/>
      <c r="K1796" s="144"/>
      <c r="L1796" s="62"/>
    </row>
    <row r="1797" spans="1:15" x14ac:dyDescent="0.15">
      <c r="A1797" s="62"/>
      <c r="B1797" s="93"/>
      <c r="C1797" s="102"/>
      <c r="D1797" s="62"/>
      <c r="E1797" s="102"/>
      <c r="F1797" s="102"/>
      <c r="G1797" s="102"/>
      <c r="H1797" s="175"/>
      <c r="I1797" s="85"/>
      <c r="J1797" s="104"/>
      <c r="K1797" s="144"/>
      <c r="L1797" s="62"/>
    </row>
    <row r="1798" spans="1:15" x14ac:dyDescent="0.15">
      <c r="A1798" s="62"/>
      <c r="B1798" s="93"/>
      <c r="C1798" s="102"/>
      <c r="D1798" s="62"/>
      <c r="E1798" s="102"/>
      <c r="F1798" s="102"/>
      <c r="G1798" s="102"/>
      <c r="H1798" s="175"/>
      <c r="I1798" s="85"/>
      <c r="J1798" s="104"/>
      <c r="K1798" s="144"/>
      <c r="L1798" s="62"/>
    </row>
    <row r="1799" spans="1:15" x14ac:dyDescent="0.15">
      <c r="A1799" s="62"/>
      <c r="B1799" s="93"/>
      <c r="C1799" s="102"/>
      <c r="D1799" s="62"/>
      <c r="E1799" s="102"/>
      <c r="F1799" s="102"/>
      <c r="G1799" s="102"/>
      <c r="H1799" s="175"/>
      <c r="I1799" s="85"/>
      <c r="J1799" s="104"/>
      <c r="K1799" s="144"/>
      <c r="L1799" s="62"/>
    </row>
    <row r="1800" spans="1:15" x14ac:dyDescent="0.15">
      <c r="A1800" s="62"/>
      <c r="B1800" s="93"/>
      <c r="C1800" s="102"/>
      <c r="D1800" s="62"/>
      <c r="E1800" s="102"/>
      <c r="F1800" s="102"/>
      <c r="G1800" s="102"/>
      <c r="H1800" s="175"/>
      <c r="I1800" s="85"/>
      <c r="J1800" s="104"/>
      <c r="K1800" s="144"/>
      <c r="L1800" s="62"/>
    </row>
    <row r="1801" spans="1:15" x14ac:dyDescent="0.15">
      <c r="A1801" s="62"/>
      <c r="B1801" s="93"/>
      <c r="C1801" s="100"/>
      <c r="D1801" s="61"/>
      <c r="E1801" s="100"/>
      <c r="F1801" s="100"/>
      <c r="G1801" s="100"/>
      <c r="H1801" s="177"/>
      <c r="I1801" s="85"/>
      <c r="J1801" s="101"/>
      <c r="K1801" s="143"/>
      <c r="L1801" s="61"/>
      <c r="N1801" s="51"/>
    </row>
    <row r="1802" spans="1:15" x14ac:dyDescent="0.15">
      <c r="A1802" s="165"/>
      <c r="B1802" s="93"/>
      <c r="C1802" s="100"/>
      <c r="D1802" s="61"/>
      <c r="E1802" s="100"/>
      <c r="F1802" s="100"/>
      <c r="G1802" s="100"/>
      <c r="H1802" s="177"/>
      <c r="I1802" s="85"/>
      <c r="J1802" s="101"/>
      <c r="K1802" s="143"/>
      <c r="L1802" s="61"/>
      <c r="M1802" s="50"/>
      <c r="N1802" s="51"/>
    </row>
    <row r="1803" spans="1:15" x14ac:dyDescent="0.15">
      <c r="A1803" s="165"/>
      <c r="B1803" s="93"/>
      <c r="C1803" s="100"/>
      <c r="D1803" s="61"/>
      <c r="E1803" s="100"/>
      <c r="F1803" s="100"/>
      <c r="G1803" s="100"/>
      <c r="H1803" s="177"/>
      <c r="I1803" s="103"/>
      <c r="J1803" s="103"/>
      <c r="K1803" s="141"/>
      <c r="L1803" s="61"/>
      <c r="M1803" s="50"/>
      <c r="N1803" s="36"/>
    </row>
    <row r="1804" spans="1:15" x14ac:dyDescent="0.15">
      <c r="A1804" s="62"/>
      <c r="B1804" s="93"/>
      <c r="C1804" s="100"/>
      <c r="D1804" s="61"/>
      <c r="E1804" s="100"/>
      <c r="F1804" s="100"/>
      <c r="G1804" s="100"/>
      <c r="H1804" s="177"/>
      <c r="I1804" s="85"/>
      <c r="J1804" s="101"/>
      <c r="K1804" s="143"/>
      <c r="L1804" s="61"/>
      <c r="M1804" s="50"/>
      <c r="N1804" s="35"/>
    </row>
    <row r="1805" spans="1:15" x14ac:dyDescent="0.15">
      <c r="A1805" s="62"/>
      <c r="B1805" s="93"/>
      <c r="C1805" s="100"/>
      <c r="D1805" s="61"/>
      <c r="E1805" s="100"/>
      <c r="F1805" s="100"/>
      <c r="G1805" s="100"/>
      <c r="H1805" s="177"/>
      <c r="I1805" s="85"/>
      <c r="J1805" s="101"/>
      <c r="K1805" s="143"/>
      <c r="L1805" s="61"/>
      <c r="M1805" s="50"/>
      <c r="N1805" s="35"/>
    </row>
    <row r="1806" spans="1:15" x14ac:dyDescent="0.15">
      <c r="A1806" s="62"/>
      <c r="B1806" s="93"/>
      <c r="C1806" s="100"/>
      <c r="D1806" s="61"/>
      <c r="E1806" s="100"/>
      <c r="F1806" s="100"/>
      <c r="G1806" s="100"/>
      <c r="H1806" s="177"/>
      <c r="I1806" s="85"/>
      <c r="J1806" s="101"/>
      <c r="K1806" s="143"/>
      <c r="L1806" s="61"/>
      <c r="M1806" s="50"/>
      <c r="N1806" s="35"/>
      <c r="O1806" s="51"/>
    </row>
    <row r="1807" spans="1:15" x14ac:dyDescent="0.15">
      <c r="A1807" s="165"/>
      <c r="B1807" s="82"/>
      <c r="C1807" s="105"/>
      <c r="D1807" s="61"/>
      <c r="E1807" s="105"/>
      <c r="F1807" s="105"/>
      <c r="G1807" s="105"/>
      <c r="H1807" s="178"/>
      <c r="I1807" s="85"/>
      <c r="J1807" s="101"/>
      <c r="K1807" s="143"/>
      <c r="L1807" s="61"/>
      <c r="M1807" s="50"/>
      <c r="O1807" s="51"/>
    </row>
    <row r="1808" spans="1:15" x14ac:dyDescent="0.15">
      <c r="A1808" s="165"/>
      <c r="B1808" s="93"/>
      <c r="C1808" s="100"/>
      <c r="D1808" s="61"/>
      <c r="E1808" s="100"/>
      <c r="F1808" s="100"/>
      <c r="G1808" s="100"/>
      <c r="H1808" s="177"/>
      <c r="I1808" s="85"/>
      <c r="J1808" s="101"/>
      <c r="K1808" s="143"/>
      <c r="L1808" s="61"/>
      <c r="M1808" s="50"/>
      <c r="O1808" s="35"/>
    </row>
    <row r="1809" spans="1:15" x14ac:dyDescent="0.15">
      <c r="A1809" s="165"/>
      <c r="B1809" s="93"/>
      <c r="C1809" s="100"/>
      <c r="D1809" s="61"/>
      <c r="E1809" s="100"/>
      <c r="F1809" s="100"/>
      <c r="G1809" s="100"/>
      <c r="H1809" s="177"/>
      <c r="I1809" s="85"/>
      <c r="J1809" s="101"/>
      <c r="K1809" s="143"/>
      <c r="L1809" s="61"/>
      <c r="M1809" s="50"/>
      <c r="O1809" s="51"/>
    </row>
    <row r="1810" spans="1:15" x14ac:dyDescent="0.15">
      <c r="A1810" s="165"/>
      <c r="B1810" s="93"/>
      <c r="C1810" s="100"/>
      <c r="D1810" s="61"/>
      <c r="E1810" s="100"/>
      <c r="F1810" s="100"/>
      <c r="G1810" s="100"/>
      <c r="H1810" s="177"/>
      <c r="I1810" s="85"/>
      <c r="J1810" s="101"/>
      <c r="K1810" s="143"/>
      <c r="L1810" s="61"/>
      <c r="M1810" s="35"/>
      <c r="O1810" s="35"/>
    </row>
    <row r="1811" spans="1:15" x14ac:dyDescent="0.15">
      <c r="A1811" s="165"/>
      <c r="B1811" s="93"/>
      <c r="C1811" s="102"/>
      <c r="D1811" s="62"/>
      <c r="E1811" s="102"/>
      <c r="F1811" s="102"/>
      <c r="G1811" s="102"/>
      <c r="H1811" s="175"/>
      <c r="I1811" s="85"/>
      <c r="J1811" s="104"/>
      <c r="K1811" s="143"/>
      <c r="L1811" s="61"/>
      <c r="M1811" s="35"/>
      <c r="O1811" s="35"/>
    </row>
    <row r="1812" spans="1:15" x14ac:dyDescent="0.15">
      <c r="A1812" s="165"/>
      <c r="B1812" s="93"/>
      <c r="C1812" s="100"/>
      <c r="D1812" s="61"/>
      <c r="E1812" s="100"/>
      <c r="F1812" s="100"/>
      <c r="G1812" s="100"/>
      <c r="H1812" s="177"/>
      <c r="I1812" s="85"/>
      <c r="J1812" s="101"/>
      <c r="K1812" s="143"/>
      <c r="L1812" s="61"/>
      <c r="M1812" s="50"/>
      <c r="N1812" s="51"/>
    </row>
    <row r="1813" spans="1:15" x14ac:dyDescent="0.15">
      <c r="A1813" s="165"/>
      <c r="B1813" s="93"/>
      <c r="C1813" s="100"/>
      <c r="D1813" s="61"/>
      <c r="E1813" s="100"/>
      <c r="F1813" s="100"/>
      <c r="G1813" s="100"/>
      <c r="H1813" s="177"/>
      <c r="I1813" s="85"/>
      <c r="J1813" s="101"/>
      <c r="K1813" s="143"/>
      <c r="L1813" s="61"/>
    </row>
    <row r="1814" spans="1:15" x14ac:dyDescent="0.15">
      <c r="A1814" s="165"/>
      <c r="B1814" s="93"/>
      <c r="C1814" s="102"/>
      <c r="D1814" s="62"/>
      <c r="E1814" s="100"/>
      <c r="F1814" s="102"/>
      <c r="G1814" s="102"/>
      <c r="H1814" s="175"/>
      <c r="I1814" s="85"/>
      <c r="J1814" s="104"/>
      <c r="K1814" s="143"/>
      <c r="L1814" s="61"/>
    </row>
    <row r="1815" spans="1:15" x14ac:dyDescent="0.15">
      <c r="A1815" s="165"/>
      <c r="B1815" s="93"/>
      <c r="C1815" s="102"/>
      <c r="D1815" s="62"/>
      <c r="E1815" s="102"/>
      <c r="F1815" s="102"/>
      <c r="G1815" s="102"/>
      <c r="H1815" s="175"/>
      <c r="I1815" s="85"/>
      <c r="J1815" s="104"/>
      <c r="K1815" s="143"/>
      <c r="L1815" s="61"/>
    </row>
    <row r="1816" spans="1:15" x14ac:dyDescent="0.15">
      <c r="A1816" s="165"/>
      <c r="B1816" s="93"/>
      <c r="C1816" s="102"/>
      <c r="D1816" s="62"/>
      <c r="E1816" s="102"/>
      <c r="F1816" s="102"/>
      <c r="G1816" s="102"/>
      <c r="H1816" s="175"/>
      <c r="I1816" s="85"/>
      <c r="J1816" s="104"/>
      <c r="K1816" s="143"/>
      <c r="L1816" s="61"/>
    </row>
    <row r="1817" spans="1:15" x14ac:dyDescent="0.15">
      <c r="A1817" s="165"/>
      <c r="B1817" s="82"/>
      <c r="C1817" s="107"/>
      <c r="D1817" s="62"/>
      <c r="E1817" s="107"/>
      <c r="F1817" s="107"/>
      <c r="G1817" s="107"/>
      <c r="H1817" s="179"/>
      <c r="I1817" s="85"/>
      <c r="J1817" s="104"/>
      <c r="K1817" s="143"/>
      <c r="L1817" s="61"/>
    </row>
    <row r="1818" spans="1:15" x14ac:dyDescent="0.15">
      <c r="A1818" s="165"/>
      <c r="B1818" s="93"/>
      <c r="C1818" s="102"/>
      <c r="D1818" s="62"/>
      <c r="E1818" s="102"/>
      <c r="F1818" s="102"/>
      <c r="G1818" s="102"/>
      <c r="H1818" s="175"/>
      <c r="I1818" s="85"/>
      <c r="J1818" s="104"/>
      <c r="K1818" s="143"/>
      <c r="L1818" s="61"/>
    </row>
    <row r="1819" spans="1:15" x14ac:dyDescent="0.15">
      <c r="A1819" s="165"/>
      <c r="B1819" s="93"/>
      <c r="C1819" s="100"/>
      <c r="D1819" s="61"/>
      <c r="E1819" s="100"/>
      <c r="F1819" s="100"/>
      <c r="G1819" s="100"/>
      <c r="H1819" s="177"/>
      <c r="I1819" s="85"/>
      <c r="J1819" s="101"/>
      <c r="K1819" s="143"/>
      <c r="L1819" s="61"/>
    </row>
    <row r="1820" spans="1:15" x14ac:dyDescent="0.15">
      <c r="A1820" s="165"/>
      <c r="B1820" s="93"/>
      <c r="C1820" s="102"/>
      <c r="D1820" s="62"/>
      <c r="E1820" s="100"/>
      <c r="F1820" s="102"/>
      <c r="G1820" s="102"/>
      <c r="H1820" s="175"/>
      <c r="I1820" s="85"/>
      <c r="J1820" s="104"/>
      <c r="K1820" s="143"/>
      <c r="L1820" s="61"/>
    </row>
    <row r="1821" spans="1:15" x14ac:dyDescent="0.15">
      <c r="A1821" s="165"/>
      <c r="B1821" s="82"/>
      <c r="C1821" s="105"/>
      <c r="D1821" s="61"/>
      <c r="E1821" s="105"/>
      <c r="F1821" s="105"/>
      <c r="G1821" s="105"/>
      <c r="H1821" s="178"/>
      <c r="I1821" s="85"/>
      <c r="J1821" s="101"/>
      <c r="K1821" s="143"/>
      <c r="L1821" s="61"/>
    </row>
    <row r="1822" spans="1:15" x14ac:dyDescent="0.15">
      <c r="A1822" s="165"/>
      <c r="B1822" s="82"/>
      <c r="C1822" s="105"/>
      <c r="D1822" s="61"/>
      <c r="E1822" s="105"/>
      <c r="F1822" s="105"/>
      <c r="G1822" s="105"/>
      <c r="H1822" s="178"/>
      <c r="I1822" s="85"/>
      <c r="J1822" s="101"/>
      <c r="K1822" s="143"/>
      <c r="L1822" s="61"/>
    </row>
    <row r="1823" spans="1:15" x14ac:dyDescent="0.15">
      <c r="A1823" s="165"/>
      <c r="B1823" s="96"/>
      <c r="C1823" s="107"/>
      <c r="D1823" s="62"/>
      <c r="E1823" s="105"/>
      <c r="F1823" s="107"/>
      <c r="G1823" s="107"/>
      <c r="H1823" s="179"/>
      <c r="I1823" s="85"/>
      <c r="J1823" s="104"/>
      <c r="K1823" s="143"/>
      <c r="L1823" s="61"/>
    </row>
    <row r="1824" spans="1:15" x14ac:dyDescent="0.15">
      <c r="A1824" s="165"/>
      <c r="B1824" s="93"/>
      <c r="C1824" s="102"/>
      <c r="D1824" s="62"/>
      <c r="E1824" s="102"/>
      <c r="F1824" s="102"/>
      <c r="G1824" s="102"/>
      <c r="H1824" s="175"/>
      <c r="I1824" s="85"/>
      <c r="J1824" s="103"/>
      <c r="K1824" s="135"/>
      <c r="L1824" s="61"/>
    </row>
    <row r="1825" spans="1:12" x14ac:dyDescent="0.15">
      <c r="A1825" s="165"/>
      <c r="B1825" s="82"/>
      <c r="C1825" s="107"/>
      <c r="D1825" s="62"/>
      <c r="E1825" s="107"/>
      <c r="F1825" s="107"/>
      <c r="G1825" s="107"/>
      <c r="H1825" s="179"/>
      <c r="I1825" s="85"/>
      <c r="J1825" s="104"/>
      <c r="K1825" s="143"/>
      <c r="L1825" s="61"/>
    </row>
    <row r="1826" spans="1:12" x14ac:dyDescent="0.15">
      <c r="A1826" s="165"/>
      <c r="B1826" s="82"/>
      <c r="C1826" s="105"/>
      <c r="D1826" s="61"/>
      <c r="E1826" s="105"/>
      <c r="F1826" s="105"/>
      <c r="G1826" s="105"/>
      <c r="H1826" s="178"/>
      <c r="I1826" s="85"/>
      <c r="J1826" s="101"/>
      <c r="K1826" s="143"/>
      <c r="L1826" s="61"/>
    </row>
    <row r="1827" spans="1:12" x14ac:dyDescent="0.15">
      <c r="A1827" s="165"/>
      <c r="B1827" s="93"/>
      <c r="C1827" s="102"/>
      <c r="D1827" s="62"/>
      <c r="E1827" s="100"/>
      <c r="F1827" s="102"/>
      <c r="G1827" s="102"/>
      <c r="H1827" s="175"/>
      <c r="I1827" s="85"/>
      <c r="J1827" s="104"/>
      <c r="K1827" s="143"/>
      <c r="L1827" s="61"/>
    </row>
    <row r="1828" spans="1:12" x14ac:dyDescent="0.15">
      <c r="A1828" s="165"/>
      <c r="B1828" s="93"/>
      <c r="C1828" s="102"/>
      <c r="D1828" s="62"/>
      <c r="E1828" s="100"/>
      <c r="F1828" s="102"/>
      <c r="G1828" s="102"/>
      <c r="H1828" s="175"/>
      <c r="I1828" s="85"/>
      <c r="J1828" s="104"/>
      <c r="K1828" s="143"/>
      <c r="L1828" s="61"/>
    </row>
    <row r="1829" spans="1:12" x14ac:dyDescent="0.15">
      <c r="A1829" s="165"/>
      <c r="B1829" s="93"/>
      <c r="C1829" s="102"/>
      <c r="D1829" s="62"/>
      <c r="E1829" s="100"/>
      <c r="F1829" s="102"/>
      <c r="G1829" s="102"/>
      <c r="H1829" s="175"/>
      <c r="I1829" s="85"/>
      <c r="J1829" s="104"/>
      <c r="K1829" s="143"/>
      <c r="L1829" s="61"/>
    </row>
    <row r="1830" spans="1:12" x14ac:dyDescent="0.15">
      <c r="A1830" s="165"/>
      <c r="B1830" s="82"/>
      <c r="C1830" s="107"/>
      <c r="D1830" s="62"/>
      <c r="E1830" s="107"/>
      <c r="F1830" s="107"/>
      <c r="G1830" s="107"/>
      <c r="H1830" s="179"/>
      <c r="I1830" s="85"/>
      <c r="J1830" s="104"/>
      <c r="K1830" s="143"/>
      <c r="L1830" s="61"/>
    </row>
    <row r="1831" spans="1:12" x14ac:dyDescent="0.15">
      <c r="A1831" s="165"/>
      <c r="B1831" s="82"/>
      <c r="C1831" s="107"/>
      <c r="D1831" s="62"/>
      <c r="E1831" s="107"/>
      <c r="F1831" s="107"/>
      <c r="G1831" s="107"/>
      <c r="H1831" s="179"/>
      <c r="I1831" s="85"/>
      <c r="J1831" s="104"/>
      <c r="K1831" s="143"/>
      <c r="L1831" s="61"/>
    </row>
    <row r="1832" spans="1:12" x14ac:dyDescent="0.15">
      <c r="A1832" s="165"/>
      <c r="B1832" s="82"/>
      <c r="C1832" s="107"/>
      <c r="D1832" s="62"/>
      <c r="E1832" s="105"/>
      <c r="F1832" s="107"/>
      <c r="G1832" s="107"/>
      <c r="H1832" s="179"/>
      <c r="I1832" s="85"/>
      <c r="J1832" s="104"/>
      <c r="K1832" s="143"/>
      <c r="L1832" s="61"/>
    </row>
    <row r="1833" spans="1:12" x14ac:dyDescent="0.15">
      <c r="A1833" s="165"/>
      <c r="B1833" s="93"/>
      <c r="C1833" s="100"/>
      <c r="D1833" s="61"/>
      <c r="E1833" s="100"/>
      <c r="F1833" s="100"/>
      <c r="G1833" s="100"/>
      <c r="H1833" s="177"/>
      <c r="I1833" s="85"/>
      <c r="J1833" s="101"/>
      <c r="K1833" s="143"/>
      <c r="L1833" s="61"/>
    </row>
    <row r="1834" spans="1:12" x14ac:dyDescent="0.15">
      <c r="A1834" s="165"/>
      <c r="B1834" s="82"/>
      <c r="C1834" s="105"/>
      <c r="D1834" s="61"/>
      <c r="E1834" s="105"/>
      <c r="F1834" s="105"/>
      <c r="G1834" s="105"/>
      <c r="H1834" s="178"/>
      <c r="I1834" s="85"/>
      <c r="J1834" s="101"/>
      <c r="K1834" s="143"/>
      <c r="L1834" s="61"/>
    </row>
    <row r="1835" spans="1:12" x14ac:dyDescent="0.15">
      <c r="A1835" s="165"/>
      <c r="B1835" s="93"/>
      <c r="C1835" s="100"/>
      <c r="D1835" s="61"/>
      <c r="E1835" s="100"/>
      <c r="F1835" s="100"/>
      <c r="G1835" s="100"/>
      <c r="H1835" s="177"/>
      <c r="I1835" s="85"/>
      <c r="J1835" s="101"/>
      <c r="K1835" s="143"/>
      <c r="L1835" s="61"/>
    </row>
    <row r="1836" spans="1:12" x14ac:dyDescent="0.15">
      <c r="A1836" s="165"/>
      <c r="B1836" s="82"/>
      <c r="C1836" s="107"/>
      <c r="D1836" s="62"/>
      <c r="E1836" s="105"/>
      <c r="F1836" s="107"/>
      <c r="G1836" s="107"/>
      <c r="H1836" s="179"/>
      <c r="I1836" s="85"/>
      <c r="J1836" s="104"/>
      <c r="K1836" s="143"/>
      <c r="L1836" s="61"/>
    </row>
    <row r="1837" spans="1:12" x14ac:dyDescent="0.15">
      <c r="A1837" s="165"/>
      <c r="B1837" s="93"/>
      <c r="C1837" s="100"/>
      <c r="D1837" s="61"/>
      <c r="E1837" s="100"/>
      <c r="F1837" s="100"/>
      <c r="G1837" s="100"/>
      <c r="H1837" s="177"/>
      <c r="I1837" s="85"/>
      <c r="J1837" s="101"/>
      <c r="K1837" s="143"/>
      <c r="L1837" s="61"/>
    </row>
    <row r="1838" spans="1:12" x14ac:dyDescent="0.15">
      <c r="A1838" s="165"/>
      <c r="B1838" s="93"/>
      <c r="C1838" s="102"/>
      <c r="D1838" s="62"/>
      <c r="E1838" s="102"/>
      <c r="F1838" s="102"/>
      <c r="G1838" s="102"/>
      <c r="H1838" s="175"/>
      <c r="I1838" s="85"/>
      <c r="J1838" s="104"/>
      <c r="K1838" s="143"/>
      <c r="L1838" s="61"/>
    </row>
    <row r="1839" spans="1:12" x14ac:dyDescent="0.15">
      <c r="A1839" s="165"/>
      <c r="B1839" s="82"/>
      <c r="C1839" s="107"/>
      <c r="D1839" s="62"/>
      <c r="E1839" s="107"/>
      <c r="F1839" s="107"/>
      <c r="G1839" s="107"/>
      <c r="H1839" s="179"/>
      <c r="I1839" s="85"/>
      <c r="J1839" s="104"/>
      <c r="K1839" s="143"/>
      <c r="L1839" s="61"/>
    </row>
    <row r="1840" spans="1:12" x14ac:dyDescent="0.15">
      <c r="A1840" s="165"/>
      <c r="B1840" s="82"/>
      <c r="C1840" s="105"/>
      <c r="D1840" s="61"/>
      <c r="E1840" s="105"/>
      <c r="F1840" s="105"/>
      <c r="G1840" s="105"/>
      <c r="H1840" s="178"/>
      <c r="I1840" s="85"/>
      <c r="J1840" s="101"/>
      <c r="K1840" s="143"/>
      <c r="L1840" s="61"/>
    </row>
    <row r="1841" spans="1:12" x14ac:dyDescent="0.15">
      <c r="A1841" s="165"/>
      <c r="B1841" s="82"/>
      <c r="C1841" s="107"/>
      <c r="D1841" s="62"/>
      <c r="E1841" s="105"/>
      <c r="F1841" s="107"/>
      <c r="G1841" s="107"/>
      <c r="H1841" s="179"/>
      <c r="I1841" s="85"/>
      <c r="J1841" s="104"/>
      <c r="K1841" s="143"/>
      <c r="L1841" s="61"/>
    </row>
    <row r="1842" spans="1:12" x14ac:dyDescent="0.15">
      <c r="A1842" s="165"/>
      <c r="B1842" s="93"/>
      <c r="C1842" s="102"/>
      <c r="D1842" s="62"/>
      <c r="E1842" s="100"/>
      <c r="F1842" s="102"/>
      <c r="G1842" s="102"/>
      <c r="H1842" s="175"/>
      <c r="I1842" s="85"/>
      <c r="J1842" s="104"/>
      <c r="K1842" s="143"/>
      <c r="L1842" s="61"/>
    </row>
    <row r="1843" spans="1:12" x14ac:dyDescent="0.15">
      <c r="A1843" s="165"/>
      <c r="B1843" s="82"/>
      <c r="C1843" s="105"/>
      <c r="D1843" s="61"/>
      <c r="E1843" s="105"/>
      <c r="F1843" s="105"/>
      <c r="G1843" s="105"/>
      <c r="H1843" s="178"/>
      <c r="I1843" s="85"/>
      <c r="J1843" s="101"/>
      <c r="K1843" s="143"/>
      <c r="L1843" s="61"/>
    </row>
    <row r="1844" spans="1:12" x14ac:dyDescent="0.15">
      <c r="A1844" s="165"/>
      <c r="B1844" s="93"/>
      <c r="C1844" s="100"/>
      <c r="D1844" s="61"/>
      <c r="E1844" s="100"/>
      <c r="F1844" s="100"/>
      <c r="G1844" s="100"/>
      <c r="H1844" s="177"/>
      <c r="I1844" s="85"/>
      <c r="J1844" s="101"/>
      <c r="K1844" s="143"/>
      <c r="L1844" s="61"/>
    </row>
    <row r="1845" spans="1:12" x14ac:dyDescent="0.15">
      <c r="A1845" s="165"/>
      <c r="B1845" s="93"/>
      <c r="C1845" s="102"/>
      <c r="D1845" s="62"/>
      <c r="E1845" s="100"/>
      <c r="F1845" s="102"/>
      <c r="G1845" s="102"/>
      <c r="H1845" s="175"/>
      <c r="I1845" s="85"/>
      <c r="J1845" s="104"/>
      <c r="K1845" s="143"/>
      <c r="L1845" s="61"/>
    </row>
    <row r="1846" spans="1:12" x14ac:dyDescent="0.15">
      <c r="A1846" s="165"/>
      <c r="B1846" s="93"/>
      <c r="C1846" s="102"/>
      <c r="D1846" s="62"/>
      <c r="E1846" s="100"/>
      <c r="F1846" s="102"/>
      <c r="G1846" s="102"/>
      <c r="H1846" s="175"/>
      <c r="I1846" s="85"/>
      <c r="J1846" s="104"/>
      <c r="K1846" s="143"/>
      <c r="L1846" s="61"/>
    </row>
    <row r="1847" spans="1:12" x14ac:dyDescent="0.15">
      <c r="A1847" s="165"/>
      <c r="B1847" s="93"/>
      <c r="C1847" s="102"/>
      <c r="D1847" s="62"/>
      <c r="E1847" s="100"/>
      <c r="F1847" s="102"/>
      <c r="G1847" s="102"/>
      <c r="H1847" s="175"/>
      <c r="I1847" s="85"/>
      <c r="J1847" s="104"/>
      <c r="K1847" s="143"/>
      <c r="L1847" s="61"/>
    </row>
    <row r="1848" spans="1:12" x14ac:dyDescent="0.15">
      <c r="A1848" s="165"/>
      <c r="B1848" s="93"/>
      <c r="C1848" s="100"/>
      <c r="D1848" s="61"/>
      <c r="E1848" s="100"/>
      <c r="F1848" s="100"/>
      <c r="G1848" s="100"/>
      <c r="H1848" s="177"/>
      <c r="I1848" s="103"/>
      <c r="J1848" s="103"/>
      <c r="K1848" s="141"/>
      <c r="L1848" s="61"/>
    </row>
    <row r="1849" spans="1:12" x14ac:dyDescent="0.15">
      <c r="A1849" s="165"/>
      <c r="B1849" s="93"/>
      <c r="C1849" s="102"/>
      <c r="D1849" s="62"/>
      <c r="E1849" s="102"/>
      <c r="F1849" s="102"/>
      <c r="G1849" s="102"/>
      <c r="H1849" s="175"/>
      <c r="I1849" s="85"/>
      <c r="J1849" s="104"/>
      <c r="K1849" s="143"/>
      <c r="L1849" s="61"/>
    </row>
    <row r="1850" spans="1:12" x14ac:dyDescent="0.15">
      <c r="A1850" s="165"/>
      <c r="B1850" s="82"/>
      <c r="C1850" s="107"/>
      <c r="D1850" s="62"/>
      <c r="E1850" s="107"/>
      <c r="F1850" s="107"/>
      <c r="G1850" s="107"/>
      <c r="H1850" s="179"/>
      <c r="I1850" s="85"/>
      <c r="J1850" s="104"/>
      <c r="K1850" s="143"/>
      <c r="L1850" s="61"/>
    </row>
    <row r="1851" spans="1:12" x14ac:dyDescent="0.15">
      <c r="A1851" s="165"/>
      <c r="B1851" s="82"/>
      <c r="C1851" s="107"/>
      <c r="D1851" s="62"/>
      <c r="E1851" s="107"/>
      <c r="F1851" s="107"/>
      <c r="G1851" s="107"/>
      <c r="H1851" s="179"/>
      <c r="I1851" s="85"/>
      <c r="J1851" s="104"/>
      <c r="K1851" s="143"/>
      <c r="L1851" s="61"/>
    </row>
    <row r="1852" spans="1:12" x14ac:dyDescent="0.15">
      <c r="A1852" s="165"/>
      <c r="B1852" s="108"/>
      <c r="C1852" s="100"/>
      <c r="D1852" s="61"/>
      <c r="E1852" s="100"/>
      <c r="F1852" s="100"/>
      <c r="G1852" s="100"/>
      <c r="H1852" s="177"/>
      <c r="I1852" s="85"/>
      <c r="J1852" s="101"/>
      <c r="K1852" s="143"/>
      <c r="L1852" s="61"/>
    </row>
    <row r="1853" spans="1:12" x14ac:dyDescent="0.15">
      <c r="A1853" s="165"/>
      <c r="B1853" s="93"/>
      <c r="C1853" s="100"/>
      <c r="D1853" s="61"/>
      <c r="E1853" s="100"/>
      <c r="F1853" s="100"/>
      <c r="G1853" s="100"/>
      <c r="H1853" s="177"/>
      <c r="I1853" s="85"/>
      <c r="J1853" s="101"/>
      <c r="K1853" s="143"/>
      <c r="L1853" s="61"/>
    </row>
    <row r="1854" spans="1:12" x14ac:dyDescent="0.15">
      <c r="A1854" s="165"/>
      <c r="B1854" s="93"/>
      <c r="C1854" s="102"/>
      <c r="D1854" s="62"/>
      <c r="E1854" s="100"/>
      <c r="F1854" s="102"/>
      <c r="G1854" s="102"/>
      <c r="H1854" s="175"/>
      <c r="I1854" s="85"/>
      <c r="J1854" s="104"/>
      <c r="K1854" s="143"/>
      <c r="L1854" s="61"/>
    </row>
    <row r="1855" spans="1:12" x14ac:dyDescent="0.15">
      <c r="A1855" s="165"/>
      <c r="B1855" s="82"/>
      <c r="C1855" s="105"/>
      <c r="D1855" s="61"/>
      <c r="E1855" s="105"/>
      <c r="F1855" s="105"/>
      <c r="G1855" s="105"/>
      <c r="H1855" s="178"/>
      <c r="I1855" s="85"/>
      <c r="J1855" s="101"/>
      <c r="K1855" s="143"/>
      <c r="L1855" s="61"/>
    </row>
    <row r="1856" spans="1:12" x14ac:dyDescent="0.15">
      <c r="A1856" s="165"/>
      <c r="B1856" s="82"/>
      <c r="C1856" s="107"/>
      <c r="D1856" s="62"/>
      <c r="E1856" s="105"/>
      <c r="F1856" s="107"/>
      <c r="G1856" s="107"/>
      <c r="H1856" s="179"/>
      <c r="I1856" s="85"/>
      <c r="J1856" s="104"/>
      <c r="K1856" s="143"/>
      <c r="L1856" s="61"/>
    </row>
    <row r="1857" spans="1:12" x14ac:dyDescent="0.15">
      <c r="A1857" s="165"/>
      <c r="B1857" s="82"/>
      <c r="C1857" s="105"/>
      <c r="D1857" s="61"/>
      <c r="E1857" s="105"/>
      <c r="F1857" s="105"/>
      <c r="G1857" s="105"/>
      <c r="H1857" s="178"/>
      <c r="I1857" s="85"/>
      <c r="J1857" s="101"/>
      <c r="K1857" s="143"/>
      <c r="L1857" s="61"/>
    </row>
    <row r="1858" spans="1:12" x14ac:dyDescent="0.15">
      <c r="A1858" s="165"/>
      <c r="B1858" s="82"/>
      <c r="C1858" s="107"/>
      <c r="D1858" s="62"/>
      <c r="E1858" s="107"/>
      <c r="F1858" s="107"/>
      <c r="G1858" s="107"/>
      <c r="H1858" s="179"/>
      <c r="I1858" s="85"/>
      <c r="J1858" s="104"/>
      <c r="K1858" s="143"/>
      <c r="L1858" s="61"/>
    </row>
    <row r="1859" spans="1:12" x14ac:dyDescent="0.15">
      <c r="A1859" s="165"/>
      <c r="B1859" s="93"/>
      <c r="C1859" s="102"/>
      <c r="D1859" s="62"/>
      <c r="E1859" s="102"/>
      <c r="F1859" s="102"/>
      <c r="G1859" s="102"/>
      <c r="H1859" s="175"/>
      <c r="I1859" s="85"/>
      <c r="J1859" s="104"/>
      <c r="K1859" s="143"/>
      <c r="L1859" s="61"/>
    </row>
    <row r="1860" spans="1:12" x14ac:dyDescent="0.15">
      <c r="A1860" s="165"/>
      <c r="B1860" s="93"/>
      <c r="C1860" s="100"/>
      <c r="D1860" s="61"/>
      <c r="E1860" s="100"/>
      <c r="F1860" s="100"/>
      <c r="G1860" s="100"/>
      <c r="H1860" s="177"/>
      <c r="I1860" s="85"/>
      <c r="J1860" s="101"/>
      <c r="K1860" s="143"/>
      <c r="L1860" s="61"/>
    </row>
    <row r="1861" spans="1:12" x14ac:dyDescent="0.15">
      <c r="A1861" s="165"/>
      <c r="B1861" s="93"/>
      <c r="C1861" s="102"/>
      <c r="D1861" s="62"/>
      <c r="E1861" s="100"/>
      <c r="F1861" s="102"/>
      <c r="G1861" s="102"/>
      <c r="H1861" s="175"/>
      <c r="I1861" s="85"/>
      <c r="J1861" s="104"/>
      <c r="K1861" s="143"/>
      <c r="L1861" s="61"/>
    </row>
    <row r="1862" spans="1:12" x14ac:dyDescent="0.15">
      <c r="A1862" s="165"/>
      <c r="B1862" s="93"/>
      <c r="C1862" s="102"/>
      <c r="D1862" s="62"/>
      <c r="E1862" s="102"/>
      <c r="F1862" s="102"/>
      <c r="G1862" s="102"/>
      <c r="H1862" s="175"/>
      <c r="I1862" s="85"/>
      <c r="J1862" s="104"/>
      <c r="K1862" s="143"/>
      <c r="L1862" s="61"/>
    </row>
    <row r="1863" spans="1:12" x14ac:dyDescent="0.15">
      <c r="A1863" s="165"/>
      <c r="B1863" s="82"/>
      <c r="C1863" s="107"/>
      <c r="D1863" s="62"/>
      <c r="E1863" s="107"/>
      <c r="F1863" s="107"/>
      <c r="G1863" s="107"/>
      <c r="H1863" s="179"/>
      <c r="I1863" s="85"/>
      <c r="J1863" s="104"/>
      <c r="K1863" s="143"/>
      <c r="L1863" s="61"/>
    </row>
    <row r="1864" spans="1:12" x14ac:dyDescent="0.15">
      <c r="A1864" s="165"/>
      <c r="B1864" s="93"/>
      <c r="C1864" s="102"/>
      <c r="D1864" s="62"/>
      <c r="E1864" s="100"/>
      <c r="F1864" s="102"/>
      <c r="G1864" s="102"/>
      <c r="H1864" s="175"/>
      <c r="I1864" s="85"/>
      <c r="J1864" s="104"/>
      <c r="K1864" s="143"/>
      <c r="L1864" s="61"/>
    </row>
    <row r="1865" spans="1:12" x14ac:dyDescent="0.15">
      <c r="A1865" s="165"/>
      <c r="B1865" s="93"/>
      <c r="C1865" s="102"/>
      <c r="D1865" s="62"/>
      <c r="E1865" s="102"/>
      <c r="F1865" s="102"/>
      <c r="G1865" s="102"/>
      <c r="H1865" s="175"/>
      <c r="I1865" s="85"/>
      <c r="J1865" s="104"/>
      <c r="K1865" s="143"/>
      <c r="L1865" s="61"/>
    </row>
    <row r="1866" spans="1:12" x14ac:dyDescent="0.15">
      <c r="A1866" s="165"/>
      <c r="B1866" s="93"/>
      <c r="C1866" s="100"/>
      <c r="D1866" s="61"/>
      <c r="E1866" s="100"/>
      <c r="F1866" s="100"/>
      <c r="G1866" s="100"/>
      <c r="H1866" s="177"/>
      <c r="I1866" s="85"/>
      <c r="J1866" s="101"/>
      <c r="K1866" s="143"/>
      <c r="L1866" s="61"/>
    </row>
    <row r="1867" spans="1:12" x14ac:dyDescent="0.15">
      <c r="A1867" s="165"/>
      <c r="B1867" s="93"/>
      <c r="C1867" s="102"/>
      <c r="D1867" s="62"/>
      <c r="E1867" s="102"/>
      <c r="F1867" s="102"/>
      <c r="G1867" s="102"/>
      <c r="H1867" s="175"/>
      <c r="I1867" s="85"/>
      <c r="J1867" s="104"/>
      <c r="K1867" s="144"/>
      <c r="L1867" s="61"/>
    </row>
    <row r="1868" spans="1:12" x14ac:dyDescent="0.15">
      <c r="A1868" s="165"/>
      <c r="B1868" s="93"/>
      <c r="C1868" s="100"/>
      <c r="D1868" s="61"/>
      <c r="E1868" s="100"/>
      <c r="F1868" s="100"/>
      <c r="G1868" s="100"/>
      <c r="H1868" s="177"/>
      <c r="I1868" s="85"/>
      <c r="J1868" s="101"/>
      <c r="K1868" s="143"/>
      <c r="L1868" s="61"/>
    </row>
    <row r="1869" spans="1:12" x14ac:dyDescent="0.15">
      <c r="A1869" s="165"/>
      <c r="B1869" s="82"/>
      <c r="C1869" s="105"/>
      <c r="D1869" s="61"/>
      <c r="E1869" s="105"/>
      <c r="F1869" s="105"/>
      <c r="G1869" s="105"/>
      <c r="H1869" s="178"/>
      <c r="I1869" s="85"/>
      <c r="J1869" s="101"/>
      <c r="K1869" s="143"/>
      <c r="L1869" s="61"/>
    </row>
    <row r="1870" spans="1:12" x14ac:dyDescent="0.15">
      <c r="A1870" s="165"/>
      <c r="B1870" s="93"/>
      <c r="C1870" s="100"/>
      <c r="D1870" s="61"/>
      <c r="E1870" s="100"/>
      <c r="F1870" s="100"/>
      <c r="G1870" s="100"/>
      <c r="H1870" s="177"/>
      <c r="I1870" s="85"/>
      <c r="J1870" s="101"/>
      <c r="K1870" s="143"/>
      <c r="L1870" s="61"/>
    </row>
    <row r="1871" spans="1:12" x14ac:dyDescent="0.15">
      <c r="A1871" s="165"/>
      <c r="B1871" s="93"/>
      <c r="C1871" s="100"/>
      <c r="D1871" s="61"/>
      <c r="E1871" s="100"/>
      <c r="F1871" s="100"/>
      <c r="G1871" s="100"/>
      <c r="H1871" s="177"/>
      <c r="I1871" s="85"/>
      <c r="J1871" s="101"/>
      <c r="K1871" s="143"/>
      <c r="L1871" s="61"/>
    </row>
    <row r="1872" spans="1:12" x14ac:dyDescent="0.15">
      <c r="A1872" s="165"/>
      <c r="B1872" s="93"/>
      <c r="C1872" s="102"/>
      <c r="D1872" s="62"/>
      <c r="E1872" s="102"/>
      <c r="F1872" s="102"/>
      <c r="G1872" s="102"/>
      <c r="H1872" s="175"/>
      <c r="I1872" s="85"/>
      <c r="J1872" s="104"/>
      <c r="K1872" s="143"/>
      <c r="L1872" s="61"/>
    </row>
    <row r="1873" spans="1:28" x14ac:dyDescent="0.15">
      <c r="A1873" s="62"/>
      <c r="B1873" s="93"/>
      <c r="C1873" s="102"/>
      <c r="D1873" s="62"/>
      <c r="E1873" s="102"/>
      <c r="F1873" s="102"/>
      <c r="G1873" s="102"/>
      <c r="H1873" s="175"/>
      <c r="I1873" s="85"/>
      <c r="J1873" s="104"/>
      <c r="K1873" s="143"/>
      <c r="L1873" s="61"/>
    </row>
    <row r="1874" spans="1:28" x14ac:dyDescent="0.15">
      <c r="A1874" s="62"/>
      <c r="B1874" s="93"/>
      <c r="C1874" s="100"/>
      <c r="D1874" s="61"/>
      <c r="E1874" s="100"/>
      <c r="F1874" s="100"/>
      <c r="G1874" s="100"/>
      <c r="H1874" s="177"/>
      <c r="I1874" s="85"/>
      <c r="J1874" s="101"/>
      <c r="K1874" s="143"/>
      <c r="L1874" s="61"/>
    </row>
    <row r="1875" spans="1:28" x14ac:dyDescent="0.15">
      <c r="A1875" s="62"/>
      <c r="B1875" s="93"/>
      <c r="C1875" s="100"/>
      <c r="D1875" s="61"/>
      <c r="E1875" s="100"/>
      <c r="F1875" s="100"/>
      <c r="G1875" s="100"/>
      <c r="H1875" s="177"/>
      <c r="I1875" s="85"/>
      <c r="J1875" s="101"/>
      <c r="K1875" s="143"/>
      <c r="L1875" s="61"/>
    </row>
    <row r="1876" spans="1:28" x14ac:dyDescent="0.15">
      <c r="A1876" s="62"/>
      <c r="B1876" s="93"/>
      <c r="C1876" s="100"/>
      <c r="D1876" s="61"/>
      <c r="E1876" s="100"/>
      <c r="F1876" s="100"/>
      <c r="G1876" s="100"/>
      <c r="H1876" s="177"/>
      <c r="I1876" s="85"/>
      <c r="J1876" s="101"/>
      <c r="K1876" s="143"/>
      <c r="L1876" s="61"/>
    </row>
    <row r="1877" spans="1:28" x14ac:dyDescent="0.15">
      <c r="A1877" s="61"/>
      <c r="B1877" s="93"/>
      <c r="C1877" s="100"/>
      <c r="D1877" s="61"/>
      <c r="E1877" s="100"/>
      <c r="F1877" s="100"/>
      <c r="G1877" s="100"/>
      <c r="H1877" s="177"/>
      <c r="I1877" s="85"/>
      <c r="J1877" s="101"/>
      <c r="K1877" s="143"/>
      <c r="L1877" s="61"/>
    </row>
    <row r="1878" spans="1:28" x14ac:dyDescent="0.15">
      <c r="A1878" s="62"/>
      <c r="B1878" s="93"/>
      <c r="C1878" s="100"/>
      <c r="D1878" s="61"/>
      <c r="E1878" s="100"/>
      <c r="F1878" s="100"/>
      <c r="G1878" s="100"/>
      <c r="H1878" s="177"/>
      <c r="I1878" s="85"/>
      <c r="J1878" s="101"/>
      <c r="K1878" s="143"/>
      <c r="L1878" s="61"/>
    </row>
    <row r="1879" spans="1:28" x14ac:dyDescent="0.15">
      <c r="A1879" s="62"/>
      <c r="B1879" s="93"/>
      <c r="C1879" s="100"/>
      <c r="D1879" s="61"/>
      <c r="E1879" s="100"/>
      <c r="F1879" s="100"/>
      <c r="G1879" s="100"/>
      <c r="H1879" s="177"/>
      <c r="I1879" s="85"/>
      <c r="J1879" s="101"/>
      <c r="K1879" s="143"/>
      <c r="L1879" s="61"/>
      <c r="Q1879"/>
      <c r="R1879"/>
    </row>
    <row r="1880" spans="1:28" x14ac:dyDescent="0.15">
      <c r="A1880" s="62"/>
      <c r="B1880" s="93"/>
      <c r="C1880" s="100"/>
      <c r="D1880" s="61"/>
      <c r="E1880" s="100"/>
      <c r="F1880" s="100"/>
      <c r="G1880" s="100"/>
      <c r="H1880" s="177"/>
      <c r="I1880" s="85"/>
      <c r="J1880" s="101"/>
      <c r="K1880" s="143"/>
      <c r="L1880" s="61"/>
    </row>
    <row r="1881" spans="1:28" x14ac:dyDescent="0.15">
      <c r="A1881" s="62"/>
      <c r="B1881" s="93"/>
      <c r="C1881" s="100"/>
      <c r="D1881" s="61"/>
      <c r="E1881" s="100"/>
      <c r="F1881" s="100"/>
      <c r="G1881" s="100"/>
      <c r="H1881" s="177"/>
      <c r="I1881" s="85"/>
      <c r="J1881" s="101"/>
      <c r="K1881" s="143"/>
      <c r="L1881" s="61"/>
    </row>
    <row r="1882" spans="1:28" x14ac:dyDescent="0.15">
      <c r="A1882" s="62"/>
      <c r="B1882" s="93"/>
      <c r="C1882" s="100"/>
      <c r="D1882" s="61"/>
      <c r="E1882" s="100"/>
      <c r="F1882" s="100"/>
      <c r="G1882" s="100"/>
      <c r="H1882" s="177"/>
      <c r="I1882" s="85"/>
      <c r="J1882" s="101"/>
      <c r="K1882" s="143"/>
      <c r="L1882" s="61"/>
    </row>
    <row r="1883" spans="1:28" x14ac:dyDescent="0.15">
      <c r="A1883" s="62"/>
      <c r="B1883" s="82"/>
      <c r="C1883" s="105"/>
      <c r="D1883" s="61"/>
      <c r="E1883" s="105"/>
      <c r="F1883" s="105"/>
      <c r="G1883" s="105"/>
      <c r="H1883" s="178"/>
      <c r="I1883" s="85"/>
      <c r="J1883" s="101"/>
      <c r="K1883" s="143"/>
      <c r="L1883" s="61"/>
    </row>
    <row r="1884" spans="1:28" x14ac:dyDescent="0.15">
      <c r="A1884" s="62"/>
      <c r="B1884" s="82"/>
      <c r="C1884" s="105"/>
      <c r="D1884" s="61"/>
      <c r="E1884" s="105"/>
      <c r="F1884" s="105"/>
      <c r="G1884" s="105"/>
      <c r="H1884" s="178"/>
      <c r="I1884" s="85"/>
      <c r="J1884" s="101"/>
      <c r="K1884" s="143"/>
      <c r="L1884" s="61"/>
    </row>
    <row r="1885" spans="1:28" x14ac:dyDescent="0.15">
      <c r="A1885" s="62"/>
      <c r="B1885" s="93"/>
      <c r="C1885" s="100"/>
      <c r="D1885" s="61"/>
      <c r="E1885" s="100"/>
      <c r="F1885" s="100"/>
      <c r="G1885" s="100"/>
      <c r="H1885" s="177"/>
      <c r="I1885" s="85"/>
      <c r="J1885" s="101"/>
      <c r="K1885" s="143"/>
      <c r="L1885" s="61"/>
    </row>
    <row r="1886" spans="1:28" s="15" customFormat="1" x14ac:dyDescent="0.15">
      <c r="A1886" s="62"/>
      <c r="B1886" s="82"/>
      <c r="C1886" s="105"/>
      <c r="D1886" s="61"/>
      <c r="E1886" s="105"/>
      <c r="F1886" s="105"/>
      <c r="G1886" s="105"/>
      <c r="H1886" s="178"/>
      <c r="I1886" s="85"/>
      <c r="J1886" s="101"/>
      <c r="K1886" s="143"/>
      <c r="L1886" s="61"/>
      <c r="M1886" s="49"/>
      <c r="N1886" s="37"/>
      <c r="O1886" s="37"/>
      <c r="P1886" s="37"/>
      <c r="Q1886" s="3"/>
      <c r="R1886" s="3"/>
      <c r="S1886" s="3"/>
      <c r="T1886" s="3"/>
      <c r="U1886" s="3"/>
      <c r="V1886" s="3"/>
      <c r="W1886" s="3"/>
      <c r="X1886" s="3"/>
      <c r="Y1886" s="3"/>
      <c r="Z1886" s="4"/>
      <c r="AA1886"/>
      <c r="AB1886"/>
    </row>
    <row r="1887" spans="1:28" x14ac:dyDescent="0.15">
      <c r="A1887" s="165"/>
      <c r="B1887" s="82"/>
      <c r="C1887" s="105"/>
      <c r="D1887" s="61"/>
      <c r="E1887" s="105"/>
      <c r="F1887" s="105"/>
      <c r="G1887" s="105"/>
      <c r="H1887" s="178"/>
      <c r="I1887" s="85"/>
      <c r="J1887" s="101"/>
      <c r="K1887" s="143"/>
      <c r="L1887" s="61"/>
    </row>
    <row r="1888" spans="1:28" x14ac:dyDescent="0.15">
      <c r="A1888" s="165"/>
      <c r="B1888" s="93"/>
      <c r="C1888" s="100"/>
      <c r="D1888" s="61"/>
      <c r="E1888" s="100"/>
      <c r="F1888" s="100"/>
      <c r="G1888" s="100"/>
      <c r="H1888" s="177"/>
      <c r="I1888" s="85"/>
      <c r="J1888" s="101"/>
      <c r="K1888" s="143"/>
      <c r="L1888" s="61"/>
    </row>
    <row r="1889" spans="1:28" x14ac:dyDescent="0.15">
      <c r="A1889" s="165"/>
      <c r="B1889" s="82"/>
      <c r="C1889" s="105"/>
      <c r="D1889" s="61"/>
      <c r="E1889" s="105"/>
      <c r="F1889" s="105"/>
      <c r="G1889" s="105"/>
      <c r="H1889" s="178"/>
      <c r="I1889" s="85"/>
      <c r="J1889" s="101"/>
      <c r="K1889" s="143"/>
      <c r="L1889" s="61"/>
    </row>
    <row r="1890" spans="1:28" x14ac:dyDescent="0.15">
      <c r="A1890" s="165"/>
      <c r="B1890" s="93"/>
      <c r="C1890" s="102"/>
      <c r="D1890" s="62"/>
      <c r="E1890" s="100"/>
      <c r="F1890" s="102"/>
      <c r="G1890" s="102"/>
      <c r="H1890" s="175"/>
      <c r="I1890" s="85"/>
      <c r="J1890" s="104"/>
      <c r="K1890" s="143"/>
      <c r="L1890" s="61"/>
    </row>
    <row r="1891" spans="1:28" x14ac:dyDescent="0.15">
      <c r="A1891" s="165"/>
      <c r="B1891" s="82"/>
      <c r="C1891" s="105"/>
      <c r="D1891" s="61"/>
      <c r="E1891" s="105"/>
      <c r="F1891" s="105"/>
      <c r="G1891" s="105"/>
      <c r="H1891" s="178"/>
      <c r="I1891" s="85"/>
      <c r="J1891" s="101"/>
      <c r="K1891" s="143"/>
      <c r="L1891" s="61"/>
    </row>
    <row r="1892" spans="1:28" x14ac:dyDescent="0.15">
      <c r="A1892" s="165"/>
      <c r="B1892" s="93"/>
      <c r="C1892" s="102"/>
      <c r="D1892" s="62"/>
      <c r="E1892" s="102"/>
      <c r="F1892" s="102"/>
      <c r="G1892" s="102"/>
      <c r="H1892" s="175"/>
      <c r="I1892" s="85"/>
      <c r="J1892" s="103"/>
      <c r="K1892" s="135"/>
      <c r="L1892" s="62"/>
    </row>
    <row r="1893" spans="1:28" x14ac:dyDescent="0.15">
      <c r="A1893" s="165"/>
      <c r="B1893" s="93"/>
      <c r="C1893" s="100"/>
      <c r="D1893" s="61"/>
      <c r="E1893" s="100"/>
      <c r="F1893" s="100"/>
      <c r="G1893" s="100"/>
      <c r="H1893" s="177"/>
      <c r="I1893" s="103"/>
      <c r="J1893" s="103"/>
      <c r="K1893" s="141"/>
      <c r="L1893" s="61"/>
    </row>
    <row r="1894" spans="1:28" x14ac:dyDescent="0.15">
      <c r="A1894" s="165"/>
      <c r="B1894" s="93"/>
      <c r="C1894" s="102"/>
      <c r="D1894" s="62"/>
      <c r="E1894" s="102"/>
      <c r="F1894" s="102"/>
      <c r="G1894" s="102"/>
      <c r="H1894" s="175"/>
      <c r="I1894" s="85"/>
      <c r="J1894" s="104"/>
      <c r="K1894" s="143"/>
      <c r="L1894" s="61"/>
    </row>
    <row r="1895" spans="1:28" s="15" customFormat="1" x14ac:dyDescent="0.15">
      <c r="A1895" s="165"/>
      <c r="B1895" s="82"/>
      <c r="C1895" s="107"/>
      <c r="D1895" s="62"/>
      <c r="E1895" s="107"/>
      <c r="F1895" s="107"/>
      <c r="G1895" s="107"/>
      <c r="H1895" s="179"/>
      <c r="I1895" s="85"/>
      <c r="J1895" s="104"/>
      <c r="K1895" s="143"/>
      <c r="L1895" s="61"/>
      <c r="M1895" s="49"/>
      <c r="N1895" s="37"/>
      <c r="O1895" s="37"/>
      <c r="P1895" s="37"/>
      <c r="Q1895" s="3"/>
      <c r="R1895" s="3"/>
      <c r="S1895" s="3"/>
      <c r="T1895" s="3"/>
      <c r="U1895" s="3"/>
      <c r="V1895" s="3"/>
      <c r="W1895" s="3"/>
      <c r="X1895" s="3"/>
      <c r="Y1895" s="3"/>
      <c r="Z1895" s="4"/>
      <c r="AA1895"/>
      <c r="AB1895"/>
    </row>
    <row r="1896" spans="1:28" x14ac:dyDescent="0.15">
      <c r="A1896" s="165"/>
      <c r="B1896" s="82"/>
      <c r="C1896" s="107"/>
      <c r="D1896" s="62"/>
      <c r="E1896" s="107"/>
      <c r="F1896" s="107"/>
      <c r="G1896" s="107"/>
      <c r="H1896" s="179"/>
      <c r="I1896" s="85"/>
      <c r="J1896" s="104"/>
      <c r="K1896" s="143"/>
      <c r="L1896" s="61"/>
    </row>
    <row r="1897" spans="1:28" x14ac:dyDescent="0.15">
      <c r="A1897" s="165"/>
      <c r="B1897" s="93"/>
      <c r="C1897" s="100"/>
      <c r="D1897" s="61"/>
      <c r="E1897" s="100"/>
      <c r="F1897" s="100"/>
      <c r="G1897" s="100"/>
      <c r="H1897" s="177"/>
      <c r="I1897" s="85"/>
      <c r="J1897" s="101"/>
      <c r="K1897" s="143"/>
      <c r="L1897" s="61"/>
    </row>
    <row r="1898" spans="1:28" x14ac:dyDescent="0.15">
      <c r="A1898" s="165"/>
      <c r="B1898" s="93"/>
      <c r="C1898" s="102"/>
      <c r="D1898" s="62"/>
      <c r="E1898" s="102"/>
      <c r="F1898" s="102"/>
      <c r="G1898" s="102"/>
      <c r="H1898" s="175"/>
      <c r="I1898" s="85"/>
      <c r="J1898" s="104"/>
      <c r="K1898" s="143"/>
      <c r="L1898" s="61"/>
    </row>
    <row r="1899" spans="1:28" x14ac:dyDescent="0.15">
      <c r="A1899" s="165"/>
      <c r="B1899" s="93"/>
      <c r="C1899" s="102"/>
      <c r="D1899" s="62"/>
      <c r="E1899" s="102"/>
      <c r="F1899" s="102"/>
      <c r="G1899" s="102"/>
      <c r="H1899" s="175"/>
      <c r="I1899" s="85"/>
      <c r="J1899" s="104"/>
      <c r="K1899" s="143"/>
      <c r="L1899" s="61"/>
    </row>
    <row r="1900" spans="1:28" x14ac:dyDescent="0.15">
      <c r="A1900" s="165"/>
      <c r="B1900" s="93"/>
      <c r="C1900" s="102"/>
      <c r="D1900" s="62"/>
      <c r="E1900" s="102"/>
      <c r="F1900" s="102"/>
      <c r="G1900" s="102"/>
      <c r="H1900" s="175"/>
      <c r="I1900" s="85"/>
      <c r="J1900" s="104"/>
      <c r="K1900" s="143"/>
      <c r="L1900" s="61"/>
    </row>
    <row r="1901" spans="1:28" x14ac:dyDescent="0.15">
      <c r="A1901" s="165"/>
      <c r="B1901" s="93"/>
      <c r="C1901" s="102"/>
      <c r="D1901" s="62"/>
      <c r="E1901" s="102"/>
      <c r="F1901" s="102"/>
      <c r="G1901" s="102"/>
      <c r="H1901" s="175"/>
      <c r="I1901" s="103"/>
      <c r="J1901" s="98"/>
      <c r="K1901" s="141"/>
      <c r="L1901" s="61"/>
    </row>
    <row r="1902" spans="1:28" x14ac:dyDescent="0.15">
      <c r="A1902" s="165"/>
      <c r="B1902" s="93"/>
      <c r="C1902" s="102"/>
      <c r="D1902" s="62"/>
      <c r="E1902" s="102"/>
      <c r="F1902" s="102"/>
      <c r="G1902" s="102"/>
      <c r="H1902" s="175"/>
      <c r="I1902" s="85"/>
      <c r="J1902" s="104"/>
      <c r="K1902" s="143"/>
      <c r="L1902" s="61"/>
    </row>
    <row r="1903" spans="1:28" x14ac:dyDescent="0.15">
      <c r="A1903" s="165"/>
      <c r="B1903" s="93"/>
      <c r="C1903" s="102"/>
      <c r="D1903" s="62"/>
      <c r="E1903" s="102"/>
      <c r="F1903" s="102"/>
      <c r="G1903" s="102"/>
      <c r="H1903" s="175"/>
      <c r="I1903" s="85"/>
      <c r="J1903" s="104"/>
      <c r="K1903" s="143"/>
      <c r="L1903" s="61"/>
    </row>
    <row r="1904" spans="1:28" x14ac:dyDescent="0.15">
      <c r="A1904" s="165"/>
      <c r="B1904" s="93"/>
      <c r="C1904" s="102"/>
      <c r="D1904" s="62"/>
      <c r="E1904" s="102"/>
      <c r="F1904" s="102"/>
      <c r="G1904" s="102"/>
      <c r="H1904" s="175"/>
      <c r="I1904" s="85"/>
      <c r="J1904" s="103"/>
      <c r="K1904" s="135"/>
      <c r="L1904" s="62"/>
    </row>
    <row r="1905" spans="1:12" x14ac:dyDescent="0.15">
      <c r="A1905" s="165"/>
      <c r="B1905" s="82"/>
      <c r="C1905" s="107"/>
      <c r="D1905" s="62"/>
      <c r="E1905" s="107"/>
      <c r="F1905" s="107"/>
      <c r="G1905" s="107"/>
      <c r="H1905" s="179"/>
      <c r="I1905" s="85"/>
      <c r="J1905" s="104"/>
      <c r="K1905" s="144"/>
      <c r="L1905" s="61"/>
    </row>
    <row r="1906" spans="1:12" x14ac:dyDescent="0.15">
      <c r="A1906" s="165"/>
      <c r="B1906" s="93"/>
      <c r="C1906" s="102"/>
      <c r="D1906" s="62"/>
      <c r="E1906" s="102"/>
      <c r="F1906" s="102"/>
      <c r="G1906" s="102"/>
      <c r="H1906" s="175"/>
      <c r="I1906" s="85"/>
      <c r="J1906" s="104"/>
      <c r="K1906" s="144"/>
      <c r="L1906" s="61"/>
    </row>
    <row r="1907" spans="1:12" x14ac:dyDescent="0.15">
      <c r="A1907" s="165"/>
      <c r="B1907" s="82"/>
      <c r="C1907" s="107"/>
      <c r="D1907" s="62"/>
      <c r="E1907" s="107"/>
      <c r="F1907" s="107"/>
      <c r="G1907" s="107"/>
      <c r="H1907" s="179"/>
      <c r="I1907" s="85"/>
      <c r="J1907" s="104"/>
      <c r="K1907" s="144"/>
      <c r="L1907" s="61"/>
    </row>
    <row r="1908" spans="1:12" x14ac:dyDescent="0.15">
      <c r="A1908" s="165"/>
      <c r="B1908" s="93"/>
      <c r="C1908" s="102"/>
      <c r="D1908" s="62"/>
      <c r="E1908" s="102"/>
      <c r="F1908" s="102"/>
      <c r="G1908" s="102"/>
      <c r="H1908" s="175"/>
      <c r="I1908" s="85"/>
      <c r="J1908" s="104"/>
      <c r="K1908" s="144"/>
      <c r="L1908" s="61"/>
    </row>
    <row r="1909" spans="1:12" x14ac:dyDescent="0.15">
      <c r="A1909" s="165"/>
      <c r="B1909" s="82"/>
      <c r="C1909" s="107"/>
      <c r="D1909" s="62"/>
      <c r="E1909" s="107"/>
      <c r="F1909" s="107"/>
      <c r="G1909" s="107"/>
      <c r="H1909" s="179"/>
      <c r="I1909" s="85"/>
      <c r="J1909" s="104"/>
      <c r="K1909" s="144"/>
      <c r="L1909" s="61"/>
    </row>
    <row r="1910" spans="1:12" x14ac:dyDescent="0.15">
      <c r="A1910" s="165"/>
      <c r="B1910" s="82"/>
      <c r="C1910" s="107"/>
      <c r="D1910" s="62"/>
      <c r="E1910" s="107"/>
      <c r="F1910" s="107"/>
      <c r="G1910" s="107"/>
      <c r="H1910" s="179"/>
      <c r="I1910" s="85"/>
      <c r="J1910" s="104"/>
      <c r="K1910" s="144"/>
      <c r="L1910" s="61"/>
    </row>
    <row r="1911" spans="1:12" x14ac:dyDescent="0.15">
      <c r="A1911" s="165"/>
      <c r="B1911" s="93"/>
      <c r="C1911" s="102"/>
      <c r="D1911" s="62"/>
      <c r="E1911" s="102"/>
      <c r="F1911" s="102"/>
      <c r="G1911" s="102"/>
      <c r="H1911" s="175"/>
      <c r="I1911" s="85"/>
      <c r="J1911" s="104"/>
      <c r="K1911" s="144"/>
      <c r="L1911" s="61"/>
    </row>
    <row r="1912" spans="1:12" x14ac:dyDescent="0.15">
      <c r="A1912" s="165"/>
      <c r="B1912" s="93"/>
      <c r="C1912" s="102"/>
      <c r="D1912" s="62"/>
      <c r="E1912" s="102"/>
      <c r="F1912" s="102"/>
      <c r="G1912" s="102"/>
      <c r="H1912" s="175"/>
      <c r="I1912" s="85"/>
      <c r="J1912" s="104"/>
      <c r="K1912" s="144"/>
      <c r="L1912" s="62"/>
    </row>
    <row r="1913" spans="1:12" x14ac:dyDescent="0.15">
      <c r="A1913" s="165"/>
      <c r="B1913" s="93"/>
      <c r="C1913" s="102"/>
      <c r="D1913" s="62"/>
      <c r="E1913" s="102"/>
      <c r="F1913" s="102"/>
      <c r="G1913" s="102"/>
      <c r="H1913" s="175"/>
      <c r="I1913" s="85"/>
      <c r="J1913" s="98"/>
      <c r="K1913" s="135"/>
      <c r="L1913" s="62"/>
    </row>
    <row r="1914" spans="1:12" x14ac:dyDescent="0.15">
      <c r="A1914" s="165"/>
      <c r="B1914" s="82"/>
      <c r="C1914" s="107"/>
      <c r="D1914" s="62"/>
      <c r="E1914" s="105"/>
      <c r="F1914" s="107"/>
      <c r="G1914" s="107"/>
      <c r="H1914" s="179"/>
      <c r="I1914" s="85"/>
      <c r="J1914" s="104"/>
      <c r="K1914" s="143"/>
      <c r="L1914" s="61"/>
    </row>
    <row r="1915" spans="1:12" x14ac:dyDescent="0.15">
      <c r="A1915" s="165"/>
      <c r="B1915" s="82"/>
      <c r="C1915" s="107"/>
      <c r="D1915" s="62"/>
      <c r="E1915" s="107"/>
      <c r="F1915" s="107"/>
      <c r="G1915" s="107"/>
      <c r="H1915" s="179"/>
      <c r="I1915" s="85"/>
      <c r="J1915" s="104"/>
      <c r="K1915" s="144"/>
      <c r="L1915" s="62"/>
    </row>
    <row r="1916" spans="1:12" x14ac:dyDescent="0.15">
      <c r="A1916" s="165"/>
      <c r="B1916" s="93"/>
      <c r="C1916" s="102"/>
      <c r="D1916" s="62"/>
      <c r="E1916" s="102"/>
      <c r="F1916" s="102"/>
      <c r="G1916" s="102"/>
      <c r="H1916" s="175"/>
      <c r="I1916" s="85"/>
      <c r="J1916" s="104"/>
      <c r="K1916" s="144"/>
      <c r="L1916" s="61"/>
    </row>
    <row r="1917" spans="1:12" x14ac:dyDescent="0.15">
      <c r="A1917" s="165"/>
      <c r="B1917" s="93"/>
      <c r="C1917" s="102"/>
      <c r="D1917" s="62"/>
      <c r="E1917" s="102"/>
      <c r="F1917" s="102"/>
      <c r="G1917" s="102"/>
      <c r="H1917" s="175"/>
      <c r="I1917" s="85"/>
      <c r="J1917" s="104"/>
      <c r="K1917" s="144"/>
      <c r="L1917" s="61"/>
    </row>
    <row r="1918" spans="1:12" x14ac:dyDescent="0.15">
      <c r="A1918" s="165"/>
      <c r="B1918" s="93"/>
      <c r="C1918" s="102"/>
      <c r="D1918" s="62"/>
      <c r="E1918" s="102"/>
      <c r="F1918" s="102"/>
      <c r="G1918" s="102"/>
      <c r="H1918" s="175"/>
      <c r="I1918" s="85"/>
      <c r="J1918" s="104"/>
      <c r="K1918" s="144"/>
      <c r="L1918" s="61"/>
    </row>
    <row r="1919" spans="1:12" x14ac:dyDescent="0.15">
      <c r="A1919" s="165"/>
      <c r="B1919" s="93"/>
      <c r="C1919" s="102"/>
      <c r="D1919" s="62"/>
      <c r="E1919" s="102"/>
      <c r="F1919" s="102"/>
      <c r="G1919" s="102"/>
      <c r="H1919" s="175"/>
      <c r="I1919" s="85"/>
      <c r="J1919" s="104"/>
      <c r="K1919" s="144"/>
      <c r="L1919" s="61"/>
    </row>
    <row r="1920" spans="1:12" x14ac:dyDescent="0.15">
      <c r="A1920" s="165"/>
      <c r="B1920" s="93"/>
      <c r="C1920" s="102"/>
      <c r="D1920" s="62"/>
      <c r="E1920" s="102"/>
      <c r="F1920" s="102"/>
      <c r="G1920" s="102"/>
      <c r="H1920" s="175"/>
      <c r="I1920" s="85"/>
      <c r="J1920" s="104"/>
      <c r="K1920" s="144"/>
      <c r="L1920" s="61"/>
    </row>
    <row r="1921" spans="1:28" x14ac:dyDescent="0.15">
      <c r="A1921" s="165"/>
      <c r="B1921" s="93"/>
      <c r="C1921" s="102"/>
      <c r="D1921" s="62"/>
      <c r="E1921" s="102"/>
      <c r="F1921" s="102"/>
      <c r="G1921" s="102"/>
      <c r="H1921" s="175"/>
      <c r="I1921" s="85"/>
      <c r="J1921" s="104"/>
      <c r="K1921" s="144"/>
      <c r="L1921" s="61"/>
    </row>
    <row r="1922" spans="1:28" x14ac:dyDescent="0.15">
      <c r="A1922" s="62"/>
      <c r="B1922" s="93"/>
      <c r="C1922" s="102"/>
      <c r="D1922" s="62"/>
      <c r="E1922" s="102"/>
      <c r="F1922" s="102"/>
      <c r="G1922" s="102"/>
      <c r="H1922" s="175"/>
      <c r="I1922" s="85"/>
      <c r="J1922" s="104"/>
      <c r="K1922" s="144"/>
      <c r="L1922" s="61"/>
    </row>
    <row r="1923" spans="1:28" s="15" customFormat="1" x14ac:dyDescent="0.15">
      <c r="A1923" s="165"/>
      <c r="B1923" s="93"/>
      <c r="C1923" s="102"/>
      <c r="D1923" s="62"/>
      <c r="E1923" s="102"/>
      <c r="F1923" s="102"/>
      <c r="G1923" s="102"/>
      <c r="H1923" s="175"/>
      <c r="I1923" s="85"/>
      <c r="J1923" s="104"/>
      <c r="K1923" s="144"/>
      <c r="L1923" s="61"/>
      <c r="M1923" s="49"/>
      <c r="N1923" s="37"/>
      <c r="O1923" s="37"/>
      <c r="P1923" s="37"/>
      <c r="Q1923" s="3"/>
      <c r="R1923" s="3"/>
      <c r="S1923" s="3"/>
      <c r="T1923" s="3"/>
      <c r="U1923" s="3"/>
      <c r="V1923" s="3"/>
      <c r="W1923" s="3"/>
      <c r="X1923" s="3"/>
      <c r="Y1923" s="3"/>
      <c r="Z1923" s="4"/>
      <c r="AA1923"/>
      <c r="AB1923"/>
    </row>
    <row r="1924" spans="1:28" x14ac:dyDescent="0.15">
      <c r="A1924" s="165"/>
      <c r="B1924" s="93"/>
      <c r="C1924" s="102"/>
      <c r="D1924" s="62"/>
      <c r="E1924" s="102"/>
      <c r="F1924" s="102"/>
      <c r="G1924" s="102"/>
      <c r="H1924" s="175"/>
      <c r="I1924" s="85"/>
      <c r="J1924" s="104"/>
      <c r="K1924" s="144"/>
      <c r="L1924" s="61"/>
    </row>
    <row r="1925" spans="1:28" x14ac:dyDescent="0.15">
      <c r="A1925" s="165"/>
      <c r="B1925" s="93"/>
      <c r="C1925" s="102"/>
      <c r="D1925" s="62"/>
      <c r="E1925" s="102"/>
      <c r="F1925" s="102"/>
      <c r="G1925" s="102"/>
      <c r="H1925" s="175"/>
      <c r="I1925" s="85"/>
      <c r="J1925" s="104"/>
      <c r="K1925" s="144"/>
      <c r="L1925" s="61"/>
    </row>
    <row r="1926" spans="1:28" x14ac:dyDescent="0.15">
      <c r="A1926" s="165"/>
      <c r="B1926" s="93"/>
      <c r="C1926" s="102"/>
      <c r="D1926" s="62"/>
      <c r="E1926" s="102"/>
      <c r="F1926" s="102"/>
      <c r="G1926" s="102"/>
      <c r="H1926" s="175"/>
      <c r="I1926" s="85"/>
      <c r="J1926" s="104"/>
      <c r="K1926" s="144"/>
      <c r="L1926" s="61"/>
    </row>
    <row r="1927" spans="1:28" x14ac:dyDescent="0.15">
      <c r="A1927" s="165"/>
      <c r="B1927" s="93"/>
      <c r="C1927" s="102"/>
      <c r="D1927" s="62"/>
      <c r="E1927" s="102"/>
      <c r="F1927" s="102"/>
      <c r="G1927" s="102"/>
      <c r="H1927" s="175"/>
      <c r="I1927" s="98"/>
      <c r="J1927" s="98"/>
      <c r="K1927" s="135"/>
      <c r="L1927" s="61"/>
    </row>
    <row r="1928" spans="1:28" x14ac:dyDescent="0.15">
      <c r="A1928" s="165"/>
      <c r="B1928" s="93"/>
      <c r="C1928" s="102"/>
      <c r="D1928" s="62"/>
      <c r="E1928" s="102"/>
      <c r="F1928" s="102"/>
      <c r="G1928" s="102"/>
      <c r="H1928" s="175"/>
      <c r="I1928" s="85"/>
      <c r="J1928" s="104"/>
      <c r="K1928" s="144"/>
      <c r="L1928" s="61"/>
    </row>
    <row r="1929" spans="1:28" x14ac:dyDescent="0.15">
      <c r="A1929" s="165"/>
      <c r="B1929" s="93"/>
      <c r="C1929" s="102"/>
      <c r="D1929" s="62"/>
      <c r="E1929" s="102"/>
      <c r="F1929" s="102"/>
      <c r="G1929" s="102"/>
      <c r="H1929" s="175"/>
      <c r="I1929" s="85"/>
      <c r="J1929" s="104"/>
      <c r="K1929" s="144"/>
      <c r="L1929" s="61"/>
    </row>
    <row r="1930" spans="1:28" x14ac:dyDescent="0.15">
      <c r="A1930" s="165"/>
      <c r="B1930" s="93"/>
      <c r="C1930" s="102"/>
      <c r="D1930" s="62"/>
      <c r="E1930" s="102"/>
      <c r="F1930" s="102"/>
      <c r="G1930" s="102"/>
      <c r="H1930" s="175"/>
      <c r="I1930" s="85"/>
      <c r="J1930" s="104"/>
      <c r="K1930" s="144"/>
      <c r="L1930" s="61"/>
    </row>
    <row r="1931" spans="1:28" x14ac:dyDescent="0.15">
      <c r="A1931" s="165"/>
      <c r="B1931" s="93"/>
      <c r="C1931" s="102"/>
      <c r="D1931" s="62"/>
      <c r="E1931" s="102"/>
      <c r="F1931" s="102"/>
      <c r="G1931" s="102"/>
      <c r="H1931" s="175"/>
      <c r="I1931" s="85"/>
      <c r="J1931" s="104"/>
      <c r="K1931" s="144"/>
      <c r="L1931" s="61"/>
    </row>
    <row r="1932" spans="1:28" x14ac:dyDescent="0.15">
      <c r="A1932" s="165"/>
      <c r="B1932" s="93"/>
      <c r="C1932" s="102"/>
      <c r="D1932" s="62"/>
      <c r="E1932" s="102"/>
      <c r="F1932" s="102"/>
      <c r="G1932" s="102"/>
      <c r="H1932" s="175"/>
      <c r="I1932" s="85"/>
      <c r="J1932" s="104"/>
      <c r="K1932" s="144"/>
      <c r="L1932" s="61"/>
    </row>
    <row r="1933" spans="1:28" x14ac:dyDescent="0.15">
      <c r="A1933" s="165"/>
      <c r="B1933" s="93"/>
      <c r="C1933" s="102"/>
      <c r="D1933" s="62"/>
      <c r="E1933" s="102"/>
      <c r="F1933" s="102"/>
      <c r="G1933" s="102"/>
      <c r="H1933" s="175"/>
      <c r="I1933" s="85"/>
      <c r="J1933" s="104"/>
      <c r="K1933" s="144"/>
      <c r="L1933" s="61"/>
    </row>
    <row r="1934" spans="1:28" x14ac:dyDescent="0.15">
      <c r="A1934" s="165"/>
      <c r="B1934" s="93"/>
      <c r="C1934" s="102"/>
      <c r="D1934" s="62"/>
      <c r="E1934" s="102"/>
      <c r="F1934" s="102"/>
      <c r="G1934" s="102"/>
      <c r="H1934" s="175"/>
      <c r="I1934" s="98"/>
      <c r="J1934" s="98"/>
      <c r="K1934" s="135"/>
      <c r="L1934" s="62"/>
    </row>
    <row r="1935" spans="1:28" x14ac:dyDescent="0.15">
      <c r="A1935" s="165"/>
      <c r="B1935" s="93"/>
      <c r="C1935" s="102"/>
      <c r="D1935" s="62"/>
      <c r="E1935" s="102"/>
      <c r="F1935" s="102"/>
      <c r="G1935" s="102"/>
      <c r="H1935" s="175"/>
      <c r="I1935" s="98"/>
      <c r="J1935" s="98"/>
      <c r="K1935" s="135"/>
      <c r="L1935" s="62"/>
    </row>
    <row r="1936" spans="1:28" x14ac:dyDescent="0.15">
      <c r="A1936" s="165"/>
      <c r="B1936" s="93"/>
      <c r="C1936" s="102"/>
      <c r="D1936" s="62"/>
      <c r="E1936" s="102"/>
      <c r="F1936" s="102"/>
      <c r="G1936" s="102"/>
      <c r="H1936" s="175"/>
      <c r="I1936" s="98"/>
      <c r="J1936" s="98"/>
      <c r="K1936" s="135"/>
      <c r="L1936" s="62"/>
    </row>
    <row r="1937" spans="1:28" x14ac:dyDescent="0.15">
      <c r="A1937" s="165"/>
      <c r="B1937" s="93"/>
      <c r="C1937" s="102"/>
      <c r="D1937" s="62"/>
      <c r="E1937" s="102"/>
      <c r="F1937" s="102"/>
      <c r="G1937" s="102"/>
      <c r="H1937" s="175"/>
      <c r="I1937" s="98"/>
      <c r="J1937" s="98"/>
      <c r="K1937" s="135"/>
      <c r="L1937" s="62"/>
    </row>
    <row r="1938" spans="1:28" x14ac:dyDescent="0.15">
      <c r="A1938" s="165"/>
      <c r="B1938" s="93"/>
      <c r="C1938" s="102"/>
      <c r="D1938" s="62"/>
      <c r="E1938" s="102"/>
      <c r="F1938" s="102"/>
      <c r="G1938" s="102"/>
      <c r="H1938" s="175"/>
      <c r="I1938" s="85"/>
      <c r="J1938" s="104"/>
      <c r="K1938" s="144"/>
      <c r="L1938" s="62"/>
    </row>
    <row r="1939" spans="1:28" x14ac:dyDescent="0.15">
      <c r="A1939" s="165"/>
      <c r="B1939" s="93"/>
      <c r="C1939" s="102"/>
      <c r="D1939" s="62"/>
      <c r="E1939" s="102"/>
      <c r="F1939" s="102"/>
      <c r="G1939" s="102"/>
      <c r="H1939" s="175"/>
      <c r="I1939" s="85"/>
      <c r="J1939" s="104"/>
      <c r="K1939" s="144"/>
      <c r="L1939" s="62"/>
    </row>
    <row r="1940" spans="1:28" x14ac:dyDescent="0.15">
      <c r="A1940" s="165"/>
      <c r="B1940" s="93"/>
      <c r="C1940" s="102"/>
      <c r="D1940" s="62"/>
      <c r="E1940" s="102"/>
      <c r="F1940" s="102"/>
      <c r="G1940" s="102"/>
      <c r="H1940" s="175"/>
      <c r="I1940" s="85"/>
      <c r="J1940" s="104"/>
      <c r="K1940" s="144"/>
      <c r="L1940" s="62"/>
    </row>
    <row r="1941" spans="1:28" x14ac:dyDescent="0.15">
      <c r="A1941" s="165"/>
      <c r="B1941" s="93"/>
      <c r="C1941" s="102"/>
      <c r="D1941" s="62"/>
      <c r="E1941" s="102"/>
      <c r="F1941" s="102"/>
      <c r="G1941" s="102"/>
      <c r="H1941" s="175"/>
      <c r="I1941" s="85"/>
      <c r="J1941" s="104"/>
      <c r="K1941" s="144"/>
      <c r="L1941" s="62"/>
      <c r="Q1941" s="14"/>
      <c r="R1941" s="14"/>
    </row>
    <row r="1942" spans="1:28" x14ac:dyDescent="0.15">
      <c r="A1942" s="165"/>
      <c r="B1942" s="93"/>
      <c r="C1942" s="102"/>
      <c r="D1942" s="62"/>
      <c r="E1942" s="102"/>
      <c r="F1942" s="102"/>
      <c r="G1942" s="102"/>
      <c r="H1942" s="175"/>
      <c r="I1942" s="85"/>
      <c r="J1942" s="104"/>
      <c r="K1942" s="144"/>
      <c r="L1942" s="62"/>
      <c r="Q1942" s="14"/>
      <c r="R1942" s="14"/>
    </row>
    <row r="1943" spans="1:28" x14ac:dyDescent="0.15">
      <c r="A1943" s="165"/>
      <c r="B1943" s="93"/>
      <c r="C1943" s="102"/>
      <c r="D1943" s="62"/>
      <c r="E1943" s="102"/>
      <c r="F1943" s="102"/>
      <c r="G1943" s="102"/>
      <c r="H1943" s="175"/>
      <c r="I1943" s="85"/>
      <c r="J1943" s="104"/>
      <c r="K1943" s="144"/>
      <c r="L1943" s="62"/>
    </row>
    <row r="1944" spans="1:28" s="15" customFormat="1" x14ac:dyDescent="0.15">
      <c r="A1944" s="165"/>
      <c r="B1944" s="93"/>
      <c r="C1944" s="102"/>
      <c r="D1944" s="62"/>
      <c r="E1944" s="102"/>
      <c r="F1944" s="102"/>
      <c r="G1944" s="102"/>
      <c r="H1944" s="175"/>
      <c r="I1944" s="85"/>
      <c r="J1944" s="104"/>
      <c r="K1944" s="144"/>
      <c r="L1944" s="62"/>
      <c r="M1944" s="49"/>
      <c r="N1944" s="37"/>
      <c r="O1944" s="37"/>
      <c r="P1944" s="37"/>
      <c r="Q1944" s="3"/>
      <c r="R1944" s="3"/>
      <c r="S1944" s="3"/>
      <c r="T1944" s="3"/>
      <c r="U1944" s="3"/>
      <c r="V1944" s="3"/>
      <c r="W1944" s="3"/>
      <c r="X1944" s="3"/>
      <c r="Y1944" s="3"/>
      <c r="Z1944" s="4"/>
      <c r="AA1944"/>
      <c r="AB1944"/>
    </row>
    <row r="1945" spans="1:28" x14ac:dyDescent="0.15">
      <c r="A1945" s="165"/>
      <c r="B1945" s="93"/>
      <c r="C1945" s="102"/>
      <c r="D1945" s="62"/>
      <c r="E1945" s="102"/>
      <c r="F1945" s="102"/>
      <c r="G1945" s="102"/>
      <c r="H1945" s="175"/>
      <c r="I1945" s="85"/>
      <c r="J1945" s="104"/>
      <c r="K1945" s="144"/>
      <c r="L1945" s="62"/>
    </row>
    <row r="1946" spans="1:28" x14ac:dyDescent="0.15">
      <c r="A1946" s="165"/>
      <c r="B1946" s="93"/>
      <c r="C1946" s="102"/>
      <c r="D1946" s="62"/>
      <c r="E1946" s="102"/>
      <c r="F1946" s="102"/>
      <c r="G1946" s="102"/>
      <c r="H1946" s="175"/>
      <c r="I1946" s="85"/>
      <c r="J1946" s="104"/>
      <c r="K1946" s="144"/>
      <c r="L1946" s="62"/>
    </row>
    <row r="1947" spans="1:28" x14ac:dyDescent="0.15">
      <c r="A1947" s="165"/>
      <c r="B1947" s="93"/>
      <c r="C1947" s="102"/>
      <c r="D1947" s="62"/>
      <c r="E1947" s="102"/>
      <c r="F1947" s="102"/>
      <c r="G1947" s="102"/>
      <c r="H1947" s="175"/>
      <c r="I1947" s="85"/>
      <c r="J1947" s="104"/>
      <c r="K1947" s="144"/>
      <c r="L1947" s="62"/>
    </row>
    <row r="1948" spans="1:28" x14ac:dyDescent="0.15">
      <c r="A1948" s="165"/>
      <c r="B1948" s="93"/>
      <c r="C1948" s="102"/>
      <c r="D1948" s="62"/>
      <c r="E1948" s="102"/>
      <c r="F1948" s="102"/>
      <c r="G1948" s="102"/>
      <c r="H1948" s="175"/>
      <c r="I1948" s="85"/>
      <c r="J1948" s="104"/>
      <c r="K1948" s="144"/>
      <c r="L1948" s="62"/>
    </row>
    <row r="1949" spans="1:28" s="15" customFormat="1" x14ac:dyDescent="0.15">
      <c r="A1949" s="165"/>
      <c r="B1949" s="93"/>
      <c r="C1949" s="102"/>
      <c r="D1949" s="62"/>
      <c r="E1949" s="102"/>
      <c r="F1949" s="102"/>
      <c r="G1949" s="102"/>
      <c r="H1949" s="175"/>
      <c r="I1949" s="85"/>
      <c r="J1949" s="104"/>
      <c r="K1949" s="144"/>
      <c r="L1949" s="62"/>
      <c r="M1949" s="49"/>
      <c r="N1949" s="37"/>
      <c r="O1949" s="37"/>
      <c r="P1949" s="37"/>
      <c r="Q1949" s="3"/>
      <c r="R1949" s="3"/>
      <c r="S1949" s="3"/>
      <c r="T1949" s="3"/>
      <c r="U1949" s="3"/>
      <c r="V1949" s="3"/>
      <c r="W1949" s="3"/>
      <c r="X1949" s="3"/>
      <c r="Y1949" s="3"/>
      <c r="Z1949" s="4"/>
      <c r="AA1949"/>
      <c r="AB1949"/>
    </row>
    <row r="1950" spans="1:28" x14ac:dyDescent="0.15">
      <c r="A1950" s="165"/>
      <c r="B1950" s="93"/>
      <c r="C1950" s="102"/>
      <c r="D1950" s="62"/>
      <c r="E1950" s="102"/>
      <c r="F1950" s="102"/>
      <c r="G1950" s="102"/>
      <c r="H1950" s="175"/>
      <c r="I1950" s="85"/>
      <c r="J1950" s="104"/>
      <c r="K1950" s="144"/>
      <c r="L1950" s="62"/>
    </row>
    <row r="1951" spans="1:28" x14ac:dyDescent="0.15">
      <c r="A1951" s="165"/>
      <c r="B1951" s="93"/>
      <c r="C1951" s="102"/>
      <c r="D1951" s="62"/>
      <c r="E1951" s="100"/>
      <c r="F1951" s="102"/>
      <c r="G1951" s="102"/>
      <c r="H1951" s="175"/>
      <c r="I1951" s="85"/>
      <c r="J1951" s="104"/>
      <c r="K1951" s="144"/>
      <c r="L1951" s="62"/>
    </row>
    <row r="1952" spans="1:28" x14ac:dyDescent="0.15">
      <c r="A1952" s="165"/>
      <c r="B1952" s="93"/>
      <c r="C1952" s="102"/>
      <c r="D1952" s="62"/>
      <c r="E1952" s="102"/>
      <c r="F1952" s="102"/>
      <c r="G1952" s="102"/>
      <c r="H1952" s="175"/>
      <c r="I1952" s="85"/>
      <c r="J1952" s="104"/>
      <c r="K1952" s="144"/>
      <c r="L1952" s="62"/>
    </row>
    <row r="1953" spans="1:12" x14ac:dyDescent="0.15">
      <c r="A1953" s="165"/>
      <c r="B1953" s="93"/>
      <c r="C1953" s="102"/>
      <c r="D1953" s="62"/>
      <c r="E1953" s="102"/>
      <c r="F1953" s="102"/>
      <c r="G1953" s="102"/>
      <c r="H1953" s="175"/>
      <c r="I1953" s="85"/>
      <c r="J1953" s="104"/>
      <c r="K1953" s="144"/>
      <c r="L1953" s="62"/>
    </row>
    <row r="1954" spans="1:12" x14ac:dyDescent="0.15">
      <c r="A1954" s="165"/>
      <c r="B1954" s="93"/>
      <c r="C1954" s="102"/>
      <c r="D1954" s="62"/>
      <c r="E1954" s="102"/>
      <c r="F1954" s="102"/>
      <c r="G1954" s="102"/>
      <c r="H1954" s="175"/>
      <c r="I1954" s="85"/>
      <c r="J1954" s="104"/>
      <c r="K1954" s="144"/>
      <c r="L1954" s="62"/>
    </row>
    <row r="1955" spans="1:12" x14ac:dyDescent="0.15">
      <c r="A1955" s="165"/>
      <c r="B1955" s="93"/>
      <c r="C1955" s="102"/>
      <c r="D1955" s="62"/>
      <c r="E1955" s="102"/>
      <c r="F1955" s="102"/>
      <c r="G1955" s="102"/>
      <c r="H1955" s="175"/>
      <c r="I1955" s="85"/>
      <c r="J1955" s="104"/>
      <c r="K1955" s="144"/>
      <c r="L1955" s="62"/>
    </row>
    <row r="1956" spans="1:12" x14ac:dyDescent="0.15">
      <c r="A1956" s="165"/>
      <c r="B1956" s="93"/>
      <c r="C1956" s="102"/>
      <c r="D1956" s="62"/>
      <c r="E1956" s="102"/>
      <c r="F1956" s="102"/>
      <c r="G1956" s="102"/>
      <c r="H1956" s="175"/>
      <c r="I1956" s="85"/>
      <c r="J1956" s="104"/>
      <c r="K1956" s="144"/>
      <c r="L1956" s="62"/>
    </row>
    <row r="1957" spans="1:12" x14ac:dyDescent="0.15">
      <c r="A1957" s="165"/>
      <c r="B1957" s="93"/>
      <c r="C1957" s="102"/>
      <c r="D1957" s="62"/>
      <c r="E1957" s="102"/>
      <c r="F1957" s="102"/>
      <c r="G1957" s="102"/>
      <c r="H1957" s="175"/>
      <c r="I1957" s="85"/>
      <c r="J1957" s="104"/>
      <c r="K1957" s="144"/>
      <c r="L1957" s="62"/>
    </row>
    <row r="1958" spans="1:12" x14ac:dyDescent="0.15">
      <c r="A1958" s="165"/>
      <c r="B1958" s="93"/>
      <c r="C1958" s="102"/>
      <c r="D1958" s="62"/>
      <c r="E1958" s="102"/>
      <c r="F1958" s="102"/>
      <c r="G1958" s="102"/>
      <c r="H1958" s="175"/>
      <c r="I1958" s="85"/>
      <c r="J1958" s="104"/>
      <c r="K1958" s="144"/>
      <c r="L1958" s="62"/>
    </row>
    <row r="1959" spans="1:12" x14ac:dyDescent="0.15">
      <c r="A1959" s="165"/>
      <c r="B1959" s="93"/>
      <c r="C1959" s="102"/>
      <c r="D1959" s="62"/>
      <c r="E1959" s="100"/>
      <c r="F1959" s="102"/>
      <c r="G1959" s="102"/>
      <c r="H1959" s="175"/>
      <c r="I1959" s="85"/>
      <c r="J1959" s="104"/>
      <c r="K1959" s="144"/>
      <c r="L1959" s="62"/>
    </row>
    <row r="1960" spans="1:12" x14ac:dyDescent="0.15">
      <c r="A1960" s="165"/>
      <c r="B1960" s="93"/>
      <c r="C1960" s="102"/>
      <c r="D1960" s="62"/>
      <c r="E1960" s="102"/>
      <c r="F1960" s="102"/>
      <c r="G1960" s="102"/>
      <c r="H1960" s="175"/>
      <c r="I1960" s="85"/>
      <c r="J1960" s="104"/>
      <c r="K1960" s="144"/>
      <c r="L1960" s="62"/>
    </row>
    <row r="1961" spans="1:12" x14ac:dyDescent="0.15">
      <c r="A1961" s="165"/>
      <c r="B1961" s="93"/>
      <c r="C1961" s="102"/>
      <c r="D1961" s="62"/>
      <c r="E1961" s="102"/>
      <c r="F1961" s="102"/>
      <c r="G1961" s="102"/>
      <c r="H1961" s="175"/>
      <c r="I1961" s="85"/>
      <c r="J1961" s="104"/>
      <c r="K1961" s="144"/>
      <c r="L1961" s="62"/>
    </row>
    <row r="1962" spans="1:12" x14ac:dyDescent="0.15">
      <c r="A1962" s="165"/>
      <c r="B1962" s="93"/>
      <c r="C1962" s="102"/>
      <c r="D1962" s="62"/>
      <c r="E1962" s="102"/>
      <c r="F1962" s="102"/>
      <c r="G1962" s="102"/>
      <c r="H1962" s="175"/>
      <c r="I1962" s="85"/>
      <c r="J1962" s="104"/>
      <c r="K1962" s="144"/>
      <c r="L1962" s="62"/>
    </row>
    <row r="1963" spans="1:12" x14ac:dyDescent="0.15">
      <c r="A1963" s="165"/>
      <c r="B1963" s="93"/>
      <c r="C1963" s="102"/>
      <c r="D1963" s="62"/>
      <c r="E1963" s="102"/>
      <c r="F1963" s="102"/>
      <c r="G1963" s="102"/>
      <c r="H1963" s="175"/>
      <c r="I1963" s="85"/>
      <c r="J1963" s="104"/>
      <c r="K1963" s="144"/>
      <c r="L1963" s="62"/>
    </row>
    <row r="1964" spans="1:12" x14ac:dyDescent="0.15">
      <c r="A1964" s="165"/>
      <c r="B1964" s="93"/>
      <c r="C1964" s="102"/>
      <c r="D1964" s="62"/>
      <c r="E1964" s="102"/>
      <c r="F1964" s="102"/>
      <c r="G1964" s="102"/>
      <c r="H1964" s="175"/>
      <c r="I1964" s="85"/>
      <c r="J1964" s="104"/>
      <c r="K1964" s="144"/>
      <c r="L1964" s="62"/>
    </row>
    <row r="1965" spans="1:12" x14ac:dyDescent="0.15">
      <c r="A1965" s="165"/>
      <c r="B1965" s="93"/>
      <c r="C1965" s="102"/>
      <c r="D1965" s="62"/>
      <c r="E1965" s="102"/>
      <c r="F1965" s="102"/>
      <c r="G1965" s="102"/>
      <c r="H1965" s="175"/>
      <c r="I1965" s="98"/>
      <c r="J1965" s="98"/>
      <c r="K1965" s="135"/>
      <c r="L1965" s="62"/>
    </row>
    <row r="1966" spans="1:12" x14ac:dyDescent="0.15">
      <c r="A1966" s="165"/>
      <c r="B1966" s="93"/>
      <c r="C1966" s="102"/>
      <c r="D1966" s="62"/>
      <c r="E1966" s="102"/>
      <c r="F1966" s="102"/>
      <c r="G1966" s="102"/>
      <c r="H1966" s="175"/>
      <c r="I1966" s="98"/>
      <c r="J1966" s="98"/>
      <c r="K1966" s="135"/>
      <c r="L1966" s="62"/>
    </row>
    <row r="1967" spans="1:12" x14ac:dyDescent="0.15">
      <c r="A1967" s="165"/>
      <c r="B1967" s="93"/>
      <c r="C1967" s="102"/>
      <c r="D1967" s="62"/>
      <c r="E1967" s="102"/>
      <c r="F1967" s="102"/>
      <c r="G1967" s="102"/>
      <c r="H1967" s="175"/>
      <c r="I1967" s="98"/>
      <c r="J1967" s="98"/>
      <c r="K1967" s="135"/>
      <c r="L1967" s="62"/>
    </row>
    <row r="1968" spans="1:12" x14ac:dyDescent="0.15">
      <c r="A1968" s="165"/>
      <c r="B1968" s="93"/>
      <c r="C1968" s="102"/>
      <c r="D1968" s="62"/>
      <c r="E1968" s="102"/>
      <c r="F1968" s="102"/>
      <c r="G1968" s="102"/>
      <c r="H1968" s="175"/>
      <c r="I1968" s="98"/>
      <c r="J1968" s="98"/>
      <c r="K1968" s="135"/>
      <c r="L1968" s="62"/>
    </row>
    <row r="1969" spans="1:15" x14ac:dyDescent="0.15">
      <c r="A1969" s="165"/>
      <c r="B1969" s="93"/>
      <c r="C1969" s="102"/>
      <c r="D1969" s="62"/>
      <c r="E1969" s="102"/>
      <c r="F1969" s="102"/>
      <c r="G1969" s="102"/>
      <c r="H1969" s="175"/>
      <c r="I1969" s="85"/>
      <c r="J1969" s="104"/>
      <c r="K1969" s="144"/>
      <c r="L1969" s="62"/>
    </row>
    <row r="1970" spans="1:15" x14ac:dyDescent="0.15">
      <c r="A1970" s="165"/>
      <c r="B1970" s="82"/>
      <c r="C1970" s="107"/>
      <c r="D1970" s="62"/>
      <c r="E1970" s="107"/>
      <c r="F1970" s="107"/>
      <c r="G1970" s="107"/>
      <c r="H1970" s="179"/>
      <c r="I1970" s="85"/>
      <c r="J1970" s="104"/>
      <c r="K1970" s="144"/>
      <c r="L1970" s="62"/>
    </row>
    <row r="1971" spans="1:15" x14ac:dyDescent="0.15">
      <c r="A1971" s="165"/>
      <c r="B1971" s="93"/>
      <c r="C1971" s="100"/>
      <c r="D1971" s="61"/>
      <c r="E1971" s="102"/>
      <c r="F1971" s="100"/>
      <c r="G1971" s="100"/>
      <c r="H1971" s="177"/>
      <c r="I1971" s="103"/>
      <c r="J1971" s="103"/>
      <c r="K1971" s="135"/>
      <c r="L1971" s="62"/>
      <c r="M1971" s="50"/>
      <c r="N1971" s="51"/>
      <c r="O1971" s="35"/>
    </row>
    <row r="1972" spans="1:15" x14ac:dyDescent="0.15">
      <c r="A1972" s="165"/>
      <c r="B1972" s="93"/>
      <c r="C1972" s="102"/>
      <c r="D1972" s="62"/>
      <c r="E1972" s="102"/>
      <c r="F1972" s="102"/>
      <c r="G1972" s="102"/>
      <c r="H1972" s="175"/>
      <c r="I1972" s="85"/>
      <c r="J1972" s="104"/>
      <c r="K1972" s="144"/>
      <c r="L1972" s="62"/>
      <c r="M1972" s="50"/>
      <c r="N1972" s="51"/>
    </row>
    <row r="1973" spans="1:15" x14ac:dyDescent="0.15">
      <c r="A1973" s="165"/>
      <c r="B1973" s="93"/>
      <c r="C1973" s="102"/>
      <c r="D1973" s="62"/>
      <c r="E1973" s="102"/>
      <c r="F1973" s="102"/>
      <c r="G1973" s="102"/>
      <c r="H1973" s="175"/>
      <c r="I1973" s="85"/>
      <c r="J1973" s="103"/>
      <c r="K1973" s="135"/>
      <c r="L1973" s="62"/>
      <c r="M1973" s="50"/>
      <c r="N1973" s="35"/>
      <c r="O1973" s="35"/>
    </row>
    <row r="1974" spans="1:15" x14ac:dyDescent="0.15">
      <c r="A1974" s="165"/>
      <c r="B1974" s="93"/>
      <c r="C1974" s="102"/>
      <c r="D1974" s="62"/>
      <c r="E1974" s="102"/>
      <c r="F1974" s="102"/>
      <c r="G1974" s="102"/>
      <c r="H1974" s="175"/>
      <c r="I1974" s="85"/>
      <c r="J1974" s="104"/>
      <c r="K1974" s="144"/>
      <c r="L1974" s="62"/>
      <c r="M1974" s="50"/>
      <c r="N1974" s="35"/>
    </row>
    <row r="1975" spans="1:15" x14ac:dyDescent="0.15">
      <c r="A1975" s="165"/>
      <c r="B1975" s="93"/>
      <c r="C1975" s="102"/>
      <c r="D1975" s="62"/>
      <c r="E1975" s="102"/>
      <c r="F1975" s="102"/>
      <c r="G1975" s="102"/>
      <c r="H1975" s="175"/>
      <c r="I1975" s="85"/>
      <c r="J1975" s="104"/>
      <c r="K1975" s="144"/>
      <c r="L1975" s="62"/>
      <c r="M1975" s="50"/>
      <c r="N1975" s="35"/>
    </row>
    <row r="1976" spans="1:15" x14ac:dyDescent="0.15">
      <c r="A1976" s="165"/>
      <c r="B1976" s="93"/>
      <c r="C1976" s="102"/>
      <c r="D1976" s="62"/>
      <c r="E1976" s="102"/>
      <c r="F1976" s="102"/>
      <c r="G1976" s="102"/>
      <c r="H1976" s="175"/>
      <c r="I1976" s="85"/>
      <c r="J1976" s="104"/>
      <c r="K1976" s="144"/>
      <c r="L1976" s="62"/>
      <c r="M1976" s="50"/>
      <c r="N1976" s="35"/>
      <c r="O1976" s="35"/>
    </row>
    <row r="1977" spans="1:15" x14ac:dyDescent="0.15">
      <c r="A1977" s="165"/>
      <c r="B1977" s="93"/>
      <c r="C1977" s="102"/>
      <c r="D1977" s="62"/>
      <c r="E1977" s="102"/>
      <c r="F1977" s="102"/>
      <c r="G1977" s="102"/>
      <c r="H1977" s="175"/>
      <c r="I1977" s="85"/>
      <c r="J1977" s="104"/>
      <c r="K1977" s="144"/>
      <c r="L1977" s="62"/>
      <c r="M1977" s="50"/>
      <c r="N1977" s="35"/>
      <c r="O1977" s="35"/>
    </row>
    <row r="1978" spans="1:15" x14ac:dyDescent="0.15">
      <c r="A1978" s="165"/>
      <c r="B1978" s="93"/>
      <c r="C1978" s="102"/>
      <c r="D1978" s="62"/>
      <c r="E1978" s="100"/>
      <c r="F1978" s="102"/>
      <c r="G1978" s="102"/>
      <c r="H1978" s="175"/>
      <c r="I1978" s="85"/>
      <c r="J1978" s="104"/>
      <c r="K1978" s="144"/>
      <c r="L1978" s="62"/>
      <c r="M1978" s="50"/>
      <c r="N1978" s="35"/>
      <c r="O1978" s="51"/>
    </row>
    <row r="1979" spans="1:15" x14ac:dyDescent="0.15">
      <c r="A1979" s="165"/>
      <c r="B1979" s="93"/>
      <c r="C1979" s="102"/>
      <c r="D1979" s="62"/>
      <c r="E1979" s="102"/>
      <c r="F1979" s="102"/>
      <c r="G1979" s="102"/>
      <c r="H1979" s="175"/>
      <c r="I1979" s="85"/>
      <c r="J1979" s="98"/>
      <c r="K1979" s="135"/>
      <c r="L1979" s="62"/>
      <c r="M1979" s="50"/>
      <c r="N1979" s="35"/>
    </row>
    <row r="1980" spans="1:15" x14ac:dyDescent="0.15">
      <c r="A1980" s="165"/>
      <c r="B1980" s="93"/>
      <c r="C1980" s="102"/>
      <c r="D1980" s="62"/>
      <c r="E1980" s="102"/>
      <c r="F1980" s="102"/>
      <c r="G1980" s="102"/>
      <c r="H1980" s="175"/>
      <c r="I1980" s="85"/>
      <c r="J1980" s="104"/>
      <c r="K1980" s="144"/>
      <c r="L1980" s="62"/>
      <c r="M1980" s="50"/>
      <c r="O1980" s="51"/>
    </row>
    <row r="1981" spans="1:15" x14ac:dyDescent="0.15">
      <c r="A1981" s="165"/>
      <c r="B1981" s="93"/>
      <c r="C1981" s="102"/>
      <c r="D1981" s="62"/>
      <c r="E1981" s="102"/>
      <c r="F1981" s="102"/>
      <c r="G1981" s="102"/>
      <c r="H1981" s="175"/>
      <c r="I1981" s="103"/>
      <c r="J1981" s="98"/>
      <c r="K1981" s="135"/>
      <c r="L1981" s="62"/>
      <c r="M1981" s="50"/>
    </row>
    <row r="1982" spans="1:15" x14ac:dyDescent="0.15">
      <c r="A1982" s="165"/>
      <c r="B1982" s="93"/>
      <c r="C1982" s="102"/>
      <c r="D1982" s="62"/>
      <c r="E1982" s="102"/>
      <c r="F1982" s="102"/>
      <c r="G1982" s="102"/>
      <c r="H1982" s="175"/>
      <c r="I1982" s="85"/>
      <c r="J1982" s="104"/>
      <c r="K1982" s="144"/>
      <c r="L1982" s="62"/>
      <c r="M1982" s="50"/>
      <c r="O1982" s="35"/>
    </row>
    <row r="1983" spans="1:15" x14ac:dyDescent="0.15">
      <c r="A1983" s="165"/>
      <c r="B1983" s="93"/>
      <c r="C1983" s="102"/>
      <c r="D1983" s="62"/>
      <c r="E1983" s="102"/>
      <c r="F1983" s="102"/>
      <c r="G1983" s="102"/>
      <c r="H1983" s="175"/>
      <c r="I1983" s="85"/>
      <c r="J1983" s="104"/>
      <c r="K1983" s="144"/>
      <c r="L1983" s="62"/>
      <c r="M1983" s="50"/>
    </row>
    <row r="1984" spans="1:15" x14ac:dyDescent="0.15">
      <c r="A1984" s="165"/>
      <c r="B1984" s="93"/>
      <c r="C1984" s="102"/>
      <c r="D1984" s="62"/>
      <c r="E1984" s="102"/>
      <c r="F1984" s="102"/>
      <c r="G1984" s="102"/>
      <c r="H1984" s="175"/>
      <c r="I1984" s="103"/>
      <c r="J1984" s="98"/>
      <c r="K1984" s="135"/>
      <c r="L1984" s="62"/>
      <c r="M1984" s="35"/>
    </row>
    <row r="1985" spans="1:15" x14ac:dyDescent="0.15">
      <c r="A1985" s="165"/>
      <c r="B1985" s="93"/>
      <c r="C1985" s="102"/>
      <c r="D1985" s="62"/>
      <c r="E1985" s="102"/>
      <c r="F1985" s="102"/>
      <c r="G1985" s="102"/>
      <c r="H1985" s="175"/>
      <c r="I1985" s="85"/>
      <c r="J1985" s="104"/>
      <c r="K1985" s="144"/>
      <c r="L1985" s="62"/>
      <c r="M1985" s="35"/>
    </row>
    <row r="1986" spans="1:15" x14ac:dyDescent="0.15">
      <c r="A1986" s="165"/>
      <c r="B1986" s="93"/>
      <c r="C1986" s="102"/>
      <c r="D1986" s="62"/>
      <c r="E1986" s="102"/>
      <c r="F1986" s="102"/>
      <c r="G1986" s="102"/>
      <c r="H1986" s="175"/>
      <c r="I1986" s="85"/>
      <c r="J1986" s="104"/>
      <c r="K1986" s="144"/>
      <c r="L1986" s="62"/>
      <c r="M1986" s="35"/>
      <c r="O1986" s="35"/>
    </row>
    <row r="1987" spans="1:15" x14ac:dyDescent="0.15">
      <c r="A1987" s="165"/>
      <c r="B1987" s="93"/>
      <c r="C1987" s="102"/>
      <c r="D1987" s="62"/>
      <c r="E1987" s="102"/>
      <c r="F1987" s="102"/>
      <c r="G1987" s="102"/>
      <c r="H1987" s="175"/>
      <c r="I1987" s="85"/>
      <c r="J1987" s="104"/>
      <c r="K1987" s="144"/>
      <c r="L1987" s="62"/>
      <c r="M1987" s="35"/>
      <c r="O1987" s="35"/>
    </row>
    <row r="1988" spans="1:15" x14ac:dyDescent="0.15">
      <c r="A1988" s="165"/>
      <c r="B1988" s="93"/>
      <c r="C1988" s="102"/>
      <c r="D1988" s="62"/>
      <c r="E1988" s="102"/>
      <c r="F1988" s="102"/>
      <c r="G1988" s="102"/>
      <c r="H1988" s="177"/>
      <c r="I1988" s="103"/>
      <c r="J1988" s="98"/>
      <c r="K1988" s="135"/>
      <c r="L1988" s="62"/>
      <c r="M1988" s="50"/>
      <c r="N1988" s="51"/>
      <c r="O1988" s="51"/>
    </row>
    <row r="1989" spans="1:15" x14ac:dyDescent="0.15">
      <c r="A1989" s="165"/>
      <c r="B1989" s="93"/>
      <c r="C1989" s="102"/>
      <c r="D1989" s="62"/>
      <c r="E1989" s="102"/>
      <c r="F1989" s="102"/>
      <c r="G1989" s="102"/>
      <c r="H1989" s="175"/>
      <c r="I1989" s="85"/>
      <c r="J1989" s="104"/>
      <c r="K1989" s="144"/>
      <c r="L1989" s="62"/>
      <c r="M1989" s="50"/>
      <c r="N1989" s="51"/>
    </row>
    <row r="1990" spans="1:15" x14ac:dyDescent="0.15">
      <c r="A1990" s="165"/>
      <c r="B1990" s="93"/>
      <c r="C1990" s="102"/>
      <c r="D1990" s="62"/>
      <c r="E1990" s="102"/>
      <c r="F1990" s="102"/>
      <c r="G1990" s="102"/>
      <c r="H1990" s="175"/>
      <c r="I1990" s="103"/>
      <c r="J1990" s="98"/>
      <c r="K1990" s="135"/>
      <c r="L1990" s="62"/>
    </row>
    <row r="1991" spans="1:15" x14ac:dyDescent="0.15">
      <c r="A1991" s="165"/>
      <c r="B1991" s="93"/>
      <c r="C1991" s="102"/>
      <c r="D1991" s="62"/>
      <c r="E1991" s="102"/>
      <c r="F1991" s="102"/>
      <c r="G1991" s="102"/>
      <c r="H1991" s="177"/>
      <c r="I1991" s="85"/>
      <c r="J1991" s="104"/>
      <c r="K1991" s="144"/>
      <c r="L1991" s="62"/>
    </row>
    <row r="1992" spans="1:15" x14ac:dyDescent="0.15">
      <c r="A1992" s="165"/>
      <c r="B1992" s="93"/>
      <c r="C1992" s="102"/>
      <c r="D1992" s="62"/>
      <c r="E1992" s="102"/>
      <c r="F1992" s="102"/>
      <c r="G1992" s="102"/>
      <c r="H1992" s="175"/>
      <c r="I1992" s="85"/>
      <c r="J1992" s="104"/>
      <c r="K1992" s="144"/>
      <c r="L1992" s="62"/>
    </row>
    <row r="1993" spans="1:15" x14ac:dyDescent="0.15">
      <c r="A1993" s="165"/>
      <c r="B1993" s="93"/>
      <c r="C1993" s="102"/>
      <c r="D1993" s="62"/>
      <c r="E1993" s="102"/>
      <c r="F1993" s="102"/>
      <c r="G1993" s="102"/>
      <c r="H1993" s="175"/>
      <c r="I1993" s="85"/>
      <c r="J1993" s="104"/>
      <c r="K1993" s="144"/>
      <c r="L1993" s="62"/>
    </row>
    <row r="1994" spans="1:15" x14ac:dyDescent="0.15">
      <c r="A1994" s="165"/>
      <c r="B1994" s="93"/>
      <c r="C1994" s="102"/>
      <c r="D1994" s="62"/>
      <c r="E1994" s="102"/>
      <c r="F1994" s="102"/>
      <c r="G1994" s="102"/>
      <c r="H1994" s="177"/>
      <c r="I1994" s="85"/>
      <c r="J1994" s="104"/>
      <c r="K1994" s="144"/>
      <c r="L1994" s="62"/>
    </row>
    <row r="1995" spans="1:15" x14ac:dyDescent="0.15">
      <c r="A1995" s="165"/>
      <c r="B1995" s="93"/>
      <c r="C1995" s="102"/>
      <c r="D1995" s="62"/>
      <c r="E1995" s="102"/>
      <c r="F1995" s="102"/>
      <c r="G1995" s="102"/>
      <c r="H1995" s="175"/>
      <c r="I1995" s="85"/>
      <c r="J1995" s="104"/>
      <c r="K1995" s="144"/>
      <c r="L1995" s="62"/>
    </row>
    <row r="1996" spans="1:15" x14ac:dyDescent="0.15">
      <c r="A1996" s="165"/>
      <c r="B1996" s="93"/>
      <c r="C1996" s="102"/>
      <c r="D1996" s="62"/>
      <c r="E1996" s="102"/>
      <c r="F1996" s="102"/>
      <c r="G1996" s="102"/>
      <c r="H1996" s="175"/>
      <c r="I1996" s="85"/>
      <c r="J1996" s="104"/>
      <c r="K1996" s="144"/>
      <c r="L1996" s="62"/>
    </row>
    <row r="1997" spans="1:15" x14ac:dyDescent="0.15">
      <c r="A1997" s="165"/>
      <c r="B1997" s="93"/>
      <c r="C1997" s="102"/>
      <c r="D1997" s="62"/>
      <c r="E1997" s="102"/>
      <c r="F1997" s="102"/>
      <c r="G1997" s="102"/>
      <c r="H1997" s="175"/>
      <c r="I1997" s="103"/>
      <c r="J1997" s="98"/>
      <c r="K1997" s="135"/>
      <c r="L1997" s="62"/>
    </row>
    <row r="1998" spans="1:15" x14ac:dyDescent="0.15">
      <c r="A1998" s="165"/>
      <c r="B1998" s="93"/>
      <c r="C1998" s="102"/>
      <c r="D1998" s="62"/>
      <c r="E1998" s="102"/>
      <c r="F1998" s="102"/>
      <c r="G1998" s="102"/>
      <c r="H1998" s="175"/>
      <c r="I1998" s="85"/>
      <c r="J1998" s="104"/>
      <c r="K1998" s="144"/>
      <c r="L1998" s="62"/>
    </row>
    <row r="1999" spans="1:15" x14ac:dyDescent="0.15">
      <c r="A1999" s="165"/>
      <c r="B1999" s="93"/>
      <c r="C1999" s="102"/>
      <c r="D1999" s="62"/>
      <c r="E1999" s="102"/>
      <c r="F1999" s="102"/>
      <c r="G1999" s="102"/>
      <c r="H1999" s="175"/>
      <c r="I1999" s="85"/>
      <c r="J1999" s="104"/>
      <c r="K1999" s="144"/>
      <c r="L1999" s="62"/>
    </row>
    <row r="2000" spans="1:15" x14ac:dyDescent="0.15">
      <c r="A2000" s="165"/>
      <c r="B2000" s="93"/>
      <c r="C2000" s="102"/>
      <c r="D2000" s="62"/>
      <c r="E2000" s="102"/>
      <c r="F2000" s="102"/>
      <c r="G2000" s="102"/>
      <c r="H2000" s="175"/>
      <c r="I2000" s="103"/>
      <c r="J2000" s="98"/>
      <c r="K2000" s="135"/>
      <c r="L2000" s="62"/>
    </row>
    <row r="2001" spans="1:28" x14ac:dyDescent="0.15">
      <c r="A2001" s="165"/>
      <c r="B2001" s="93"/>
      <c r="C2001" s="102"/>
      <c r="D2001" s="62"/>
      <c r="E2001" s="102"/>
      <c r="F2001" s="102"/>
      <c r="G2001" s="102"/>
      <c r="H2001" s="175"/>
      <c r="I2001" s="85"/>
      <c r="J2001" s="104"/>
      <c r="K2001" s="144"/>
      <c r="L2001" s="62"/>
    </row>
    <row r="2002" spans="1:28" x14ac:dyDescent="0.15">
      <c r="A2002" s="165"/>
      <c r="B2002" s="93"/>
      <c r="C2002" s="102"/>
      <c r="D2002" s="62"/>
      <c r="E2002" s="102"/>
      <c r="F2002" s="102"/>
      <c r="G2002" s="102"/>
      <c r="H2002" s="175"/>
      <c r="I2002" s="85"/>
      <c r="J2002" s="104"/>
      <c r="K2002" s="144"/>
      <c r="L2002" s="62"/>
    </row>
    <row r="2003" spans="1:28" x14ac:dyDescent="0.15">
      <c r="A2003" s="165"/>
      <c r="B2003" s="93"/>
      <c r="C2003" s="102"/>
      <c r="D2003" s="62"/>
      <c r="E2003" s="102"/>
      <c r="F2003" s="102"/>
      <c r="G2003" s="102"/>
      <c r="H2003" s="175"/>
      <c r="I2003" s="85"/>
      <c r="J2003" s="104"/>
      <c r="K2003" s="144"/>
      <c r="L2003" s="62"/>
    </row>
    <row r="2004" spans="1:28" x14ac:dyDescent="0.15">
      <c r="A2004" s="165"/>
      <c r="B2004" s="93"/>
      <c r="C2004" s="102"/>
      <c r="D2004" s="62"/>
      <c r="E2004" s="102"/>
      <c r="F2004" s="102"/>
      <c r="G2004" s="102"/>
      <c r="H2004" s="175"/>
      <c r="I2004" s="85"/>
      <c r="J2004" s="104"/>
      <c r="K2004" s="144"/>
      <c r="L2004" s="62"/>
    </row>
    <row r="2005" spans="1:28" x14ac:dyDescent="0.15">
      <c r="A2005" s="165"/>
      <c r="B2005" s="93"/>
      <c r="C2005" s="102"/>
      <c r="D2005" s="62"/>
      <c r="E2005" s="102"/>
      <c r="F2005" s="102"/>
      <c r="G2005" s="102"/>
      <c r="H2005" s="175"/>
      <c r="I2005" s="85"/>
      <c r="J2005" s="104"/>
      <c r="K2005" s="144"/>
      <c r="L2005" s="62"/>
    </row>
    <row r="2006" spans="1:28" x14ac:dyDescent="0.15">
      <c r="A2006" s="165"/>
      <c r="B2006" s="93"/>
      <c r="C2006" s="102"/>
      <c r="D2006" s="62"/>
      <c r="E2006" s="102"/>
      <c r="F2006" s="102"/>
      <c r="G2006" s="102"/>
      <c r="H2006" s="175"/>
      <c r="I2006" s="85"/>
      <c r="J2006" s="104"/>
      <c r="K2006" s="144"/>
      <c r="L2006" s="62"/>
    </row>
    <row r="2007" spans="1:28" s="15" customFormat="1" x14ac:dyDescent="0.15">
      <c r="A2007" s="165"/>
      <c r="B2007" s="93"/>
      <c r="C2007" s="102"/>
      <c r="D2007" s="62"/>
      <c r="E2007" s="102"/>
      <c r="F2007" s="102"/>
      <c r="G2007" s="102"/>
      <c r="H2007" s="175"/>
      <c r="I2007" s="103"/>
      <c r="J2007" s="98"/>
      <c r="K2007" s="135"/>
      <c r="L2007" s="62"/>
      <c r="M2007" s="49"/>
      <c r="N2007" s="37"/>
      <c r="O2007" s="37"/>
      <c r="P2007" s="37"/>
      <c r="Q2007" s="3"/>
      <c r="R2007" s="3"/>
      <c r="S2007" s="3"/>
      <c r="T2007" s="3"/>
      <c r="U2007" s="3"/>
      <c r="V2007" s="3"/>
      <c r="W2007" s="3"/>
      <c r="X2007" s="3"/>
      <c r="Y2007" s="3"/>
      <c r="Z2007" s="4"/>
      <c r="AA2007"/>
      <c r="AB2007"/>
    </row>
    <row r="2008" spans="1:28" x14ac:dyDescent="0.15">
      <c r="A2008" s="165"/>
      <c r="B2008" s="93"/>
      <c r="C2008" s="102"/>
      <c r="D2008" s="62"/>
      <c r="E2008" s="102"/>
      <c r="F2008" s="102"/>
      <c r="G2008" s="102"/>
      <c r="H2008" s="175"/>
      <c r="I2008" s="85"/>
      <c r="J2008" s="104"/>
      <c r="K2008" s="144"/>
      <c r="L2008" s="62"/>
    </row>
    <row r="2009" spans="1:28" x14ac:dyDescent="0.15">
      <c r="A2009" s="165"/>
      <c r="B2009" s="93"/>
      <c r="C2009" s="102"/>
      <c r="D2009" s="62"/>
      <c r="E2009" s="102"/>
      <c r="F2009" s="102"/>
      <c r="G2009" s="102"/>
      <c r="H2009" s="175"/>
      <c r="I2009" s="103"/>
      <c r="J2009" s="98"/>
      <c r="K2009" s="135"/>
      <c r="L2009" s="62"/>
    </row>
    <row r="2010" spans="1:28" x14ac:dyDescent="0.15">
      <c r="A2010" s="165"/>
      <c r="B2010" s="93"/>
      <c r="C2010" s="102"/>
      <c r="D2010" s="62"/>
      <c r="E2010" s="102"/>
      <c r="F2010" s="102"/>
      <c r="G2010" s="102"/>
      <c r="H2010" s="175"/>
      <c r="I2010" s="103"/>
      <c r="J2010" s="98"/>
      <c r="K2010" s="135"/>
      <c r="L2010" s="62"/>
    </row>
    <row r="2011" spans="1:28" x14ac:dyDescent="0.15">
      <c r="A2011" s="165"/>
      <c r="B2011" s="93"/>
      <c r="C2011" s="102"/>
      <c r="D2011" s="62"/>
      <c r="E2011" s="102"/>
      <c r="F2011" s="102"/>
      <c r="G2011" s="102"/>
      <c r="H2011" s="175"/>
      <c r="I2011" s="85"/>
      <c r="J2011" s="104"/>
      <c r="K2011" s="144"/>
      <c r="L2011" s="62"/>
    </row>
    <row r="2012" spans="1:28" x14ac:dyDescent="0.15">
      <c r="A2012" s="165"/>
      <c r="B2012" s="93"/>
      <c r="C2012" s="102"/>
      <c r="D2012" s="62"/>
      <c r="E2012" s="102"/>
      <c r="F2012" s="102"/>
      <c r="G2012" s="102"/>
      <c r="H2012" s="175"/>
      <c r="I2012" s="85"/>
      <c r="J2012" s="104"/>
      <c r="K2012" s="144"/>
      <c r="L2012" s="62"/>
    </row>
    <row r="2013" spans="1:28" x14ac:dyDescent="0.15">
      <c r="A2013" s="165"/>
      <c r="B2013" s="82"/>
      <c r="C2013" s="107"/>
      <c r="D2013" s="62"/>
      <c r="E2013" s="107"/>
      <c r="F2013" s="107"/>
      <c r="G2013" s="107"/>
      <c r="H2013" s="179"/>
      <c r="I2013" s="85"/>
      <c r="J2013" s="104"/>
      <c r="K2013" s="144"/>
      <c r="L2013" s="62"/>
    </row>
    <row r="2014" spans="1:28" x14ac:dyDescent="0.15">
      <c r="A2014" s="165"/>
      <c r="B2014" s="93"/>
      <c r="C2014" s="102"/>
      <c r="D2014" s="62"/>
      <c r="E2014" s="100"/>
      <c r="F2014" s="102"/>
      <c r="G2014" s="102"/>
      <c r="H2014" s="175"/>
      <c r="I2014" s="85"/>
      <c r="J2014" s="104"/>
      <c r="K2014" s="143"/>
      <c r="L2014" s="61"/>
    </row>
    <row r="2015" spans="1:28" x14ac:dyDescent="0.15">
      <c r="A2015" s="165"/>
      <c r="B2015" s="93"/>
      <c r="C2015" s="102"/>
      <c r="D2015" s="62"/>
      <c r="E2015" s="102"/>
      <c r="F2015" s="102"/>
      <c r="G2015" s="102"/>
      <c r="H2015" s="175"/>
      <c r="I2015" s="85"/>
      <c r="J2015" s="104"/>
      <c r="K2015" s="144"/>
      <c r="L2015" s="62"/>
    </row>
    <row r="2016" spans="1:28" x14ac:dyDescent="0.15">
      <c r="A2016" s="165"/>
      <c r="B2016" s="93"/>
      <c r="C2016" s="102"/>
      <c r="D2016" s="62"/>
      <c r="E2016" s="102"/>
      <c r="F2016" s="102"/>
      <c r="G2016" s="102"/>
      <c r="H2016" s="177"/>
      <c r="I2016" s="103"/>
      <c r="J2016" s="98"/>
      <c r="K2016" s="135"/>
      <c r="L2016" s="62"/>
    </row>
    <row r="2017" spans="1:12" x14ac:dyDescent="0.15">
      <c r="A2017" s="165"/>
      <c r="B2017" s="93"/>
      <c r="C2017" s="102"/>
      <c r="D2017" s="62"/>
      <c r="E2017" s="102"/>
      <c r="F2017" s="102"/>
      <c r="G2017" s="102"/>
      <c r="H2017" s="177"/>
      <c r="I2017" s="85"/>
      <c r="J2017" s="104"/>
      <c r="K2017" s="144"/>
      <c r="L2017" s="62"/>
    </row>
    <row r="2018" spans="1:12" x14ac:dyDescent="0.15">
      <c r="A2018" s="165"/>
      <c r="B2018" s="93"/>
      <c r="C2018" s="102"/>
      <c r="D2018" s="62"/>
      <c r="E2018" s="102"/>
      <c r="F2018" s="102"/>
      <c r="G2018" s="102"/>
      <c r="H2018" s="177"/>
      <c r="I2018" s="85"/>
      <c r="J2018" s="104"/>
      <c r="K2018" s="144"/>
      <c r="L2018" s="62"/>
    </row>
    <row r="2019" spans="1:12" x14ac:dyDescent="0.15">
      <c r="A2019" s="165"/>
      <c r="B2019" s="93"/>
      <c r="C2019" s="102"/>
      <c r="D2019" s="62"/>
      <c r="E2019" s="102"/>
      <c r="F2019" s="102"/>
      <c r="G2019" s="102"/>
      <c r="H2019" s="175"/>
      <c r="I2019" s="85"/>
      <c r="J2019" s="104"/>
      <c r="K2019" s="144"/>
      <c r="L2019" s="62"/>
    </row>
    <row r="2020" spans="1:12" x14ac:dyDescent="0.15">
      <c r="A2020" s="165"/>
      <c r="B2020" s="93"/>
      <c r="C2020" s="102"/>
      <c r="D2020" s="62"/>
      <c r="E2020" s="102"/>
      <c r="F2020" s="102"/>
      <c r="G2020" s="102"/>
      <c r="H2020" s="175"/>
      <c r="I2020" s="85"/>
      <c r="J2020" s="104"/>
      <c r="K2020" s="144"/>
      <c r="L2020" s="62"/>
    </row>
    <row r="2021" spans="1:12" x14ac:dyDescent="0.15">
      <c r="A2021" s="165"/>
      <c r="B2021" s="93"/>
      <c r="C2021" s="102"/>
      <c r="D2021" s="62"/>
      <c r="E2021" s="102"/>
      <c r="F2021" s="102"/>
      <c r="G2021" s="102"/>
      <c r="H2021" s="175"/>
      <c r="I2021" s="85"/>
      <c r="J2021" s="104"/>
      <c r="K2021" s="144"/>
      <c r="L2021" s="62"/>
    </row>
    <row r="2022" spans="1:12" x14ac:dyDescent="0.15">
      <c r="A2022" s="165"/>
      <c r="B2022" s="93"/>
      <c r="C2022" s="102"/>
      <c r="D2022" s="62"/>
      <c r="E2022" s="102"/>
      <c r="F2022" s="102"/>
      <c r="G2022" s="102"/>
      <c r="H2022" s="175"/>
      <c r="I2022" s="85"/>
      <c r="J2022" s="104"/>
      <c r="K2022" s="144"/>
      <c r="L2022" s="62"/>
    </row>
    <row r="2023" spans="1:12" x14ac:dyDescent="0.15">
      <c r="A2023" s="165"/>
      <c r="B2023" s="93"/>
      <c r="C2023" s="102"/>
      <c r="D2023" s="62"/>
      <c r="E2023" s="102"/>
      <c r="F2023" s="102"/>
      <c r="G2023" s="102"/>
      <c r="H2023" s="175"/>
      <c r="I2023" s="85"/>
      <c r="J2023" s="104"/>
      <c r="K2023" s="144"/>
      <c r="L2023" s="62"/>
    </row>
    <row r="2024" spans="1:12" x14ac:dyDescent="0.15">
      <c r="A2024" s="165"/>
      <c r="B2024" s="93"/>
      <c r="C2024" s="102"/>
      <c r="D2024" s="62"/>
      <c r="E2024" s="102"/>
      <c r="F2024" s="102"/>
      <c r="G2024" s="102"/>
      <c r="H2024" s="177"/>
      <c r="I2024" s="85"/>
      <c r="J2024" s="104"/>
      <c r="K2024" s="144"/>
      <c r="L2024" s="62"/>
    </row>
    <row r="2025" spans="1:12" x14ac:dyDescent="0.15">
      <c r="A2025" s="165"/>
      <c r="B2025" s="93"/>
      <c r="C2025" s="102"/>
      <c r="D2025" s="62"/>
      <c r="E2025" s="102"/>
      <c r="F2025" s="102"/>
      <c r="G2025" s="102"/>
      <c r="H2025" s="175"/>
      <c r="I2025" s="85"/>
      <c r="J2025" s="104"/>
      <c r="K2025" s="144"/>
      <c r="L2025" s="62"/>
    </row>
    <row r="2026" spans="1:12" x14ac:dyDescent="0.15">
      <c r="A2026" s="165"/>
      <c r="B2026" s="93"/>
      <c r="C2026" s="102"/>
      <c r="D2026" s="62"/>
      <c r="E2026" s="102"/>
      <c r="F2026" s="102"/>
      <c r="G2026" s="102"/>
      <c r="H2026" s="175"/>
      <c r="I2026" s="85"/>
      <c r="J2026" s="104"/>
      <c r="K2026" s="144"/>
      <c r="L2026" s="62"/>
    </row>
    <row r="2027" spans="1:12" x14ac:dyDescent="0.15">
      <c r="A2027" s="165"/>
      <c r="B2027" s="93"/>
      <c r="C2027" s="102"/>
      <c r="D2027" s="62"/>
      <c r="E2027" s="102"/>
      <c r="F2027" s="102"/>
      <c r="G2027" s="102"/>
      <c r="H2027" s="175"/>
      <c r="I2027" s="85"/>
      <c r="J2027" s="104"/>
      <c r="K2027" s="144"/>
      <c r="L2027" s="62"/>
    </row>
    <row r="2028" spans="1:12" x14ac:dyDescent="0.15">
      <c r="A2028" s="165"/>
      <c r="B2028" s="93"/>
      <c r="C2028" s="102"/>
      <c r="D2028" s="62"/>
      <c r="E2028" s="100"/>
      <c r="F2028" s="102"/>
      <c r="G2028" s="102"/>
      <c r="H2028" s="175"/>
      <c r="I2028" s="85"/>
      <c r="J2028" s="104"/>
      <c r="K2028" s="143"/>
      <c r="L2028" s="61"/>
    </row>
    <row r="2029" spans="1:12" x14ac:dyDescent="0.15">
      <c r="A2029" s="165"/>
      <c r="B2029" s="93"/>
      <c r="C2029" s="102"/>
      <c r="D2029" s="62"/>
      <c r="E2029" s="102"/>
      <c r="F2029" s="102"/>
      <c r="G2029" s="102"/>
      <c r="H2029" s="175"/>
      <c r="I2029" s="85"/>
      <c r="J2029" s="104"/>
      <c r="K2029" s="144"/>
      <c r="L2029" s="62"/>
    </row>
    <row r="2030" spans="1:12" x14ac:dyDescent="0.15">
      <c r="A2030" s="165"/>
      <c r="B2030" s="93"/>
      <c r="C2030" s="102"/>
      <c r="D2030" s="62"/>
      <c r="E2030" s="102"/>
      <c r="F2030" s="102"/>
      <c r="G2030" s="102"/>
      <c r="H2030" s="175"/>
      <c r="I2030" s="85"/>
      <c r="J2030" s="104"/>
      <c r="K2030" s="144"/>
      <c r="L2030" s="62"/>
    </row>
    <row r="2031" spans="1:12" x14ac:dyDescent="0.15">
      <c r="A2031" s="165"/>
      <c r="B2031" s="93"/>
      <c r="C2031" s="102"/>
      <c r="D2031" s="62"/>
      <c r="E2031" s="102"/>
      <c r="F2031" s="102"/>
      <c r="G2031" s="102"/>
      <c r="H2031" s="175"/>
      <c r="I2031" s="103"/>
      <c r="J2031" s="98"/>
      <c r="K2031" s="135"/>
      <c r="L2031" s="62"/>
    </row>
    <row r="2032" spans="1:12" x14ac:dyDescent="0.15">
      <c r="A2032" s="165"/>
      <c r="B2032" s="93"/>
      <c r="C2032" s="102"/>
      <c r="D2032" s="62"/>
      <c r="E2032" s="102"/>
      <c r="F2032" s="102"/>
      <c r="G2032" s="102"/>
      <c r="H2032" s="175"/>
      <c r="I2032" s="85"/>
      <c r="J2032" s="104"/>
      <c r="K2032" s="144"/>
      <c r="L2032" s="62"/>
    </row>
    <row r="2033" spans="1:12" x14ac:dyDescent="0.15">
      <c r="A2033" s="165"/>
      <c r="B2033" s="93"/>
      <c r="C2033" s="102"/>
      <c r="D2033" s="62"/>
      <c r="E2033" s="102"/>
      <c r="F2033" s="102"/>
      <c r="G2033" s="102"/>
      <c r="H2033" s="175"/>
      <c r="I2033" s="85"/>
      <c r="J2033" s="104"/>
      <c r="K2033" s="144"/>
      <c r="L2033" s="62"/>
    </row>
    <row r="2034" spans="1:12" x14ac:dyDescent="0.15">
      <c r="A2034" s="165"/>
      <c r="B2034" s="93"/>
      <c r="C2034" s="102"/>
      <c r="D2034" s="62"/>
      <c r="E2034" s="102"/>
      <c r="F2034" s="102"/>
      <c r="G2034" s="102"/>
      <c r="H2034" s="175"/>
      <c r="I2034" s="85"/>
      <c r="J2034" s="104"/>
      <c r="K2034" s="144"/>
      <c r="L2034" s="62"/>
    </row>
    <row r="2035" spans="1:12" x14ac:dyDescent="0.15">
      <c r="A2035" s="165"/>
      <c r="B2035" s="93"/>
      <c r="C2035" s="102"/>
      <c r="D2035" s="62"/>
      <c r="E2035" s="102"/>
      <c r="F2035" s="102"/>
      <c r="G2035" s="102"/>
      <c r="H2035" s="175"/>
      <c r="I2035" s="85"/>
      <c r="J2035" s="104"/>
      <c r="K2035" s="144"/>
      <c r="L2035" s="62"/>
    </row>
    <row r="2036" spans="1:12" x14ac:dyDescent="0.15">
      <c r="A2036" s="165"/>
      <c r="B2036" s="93"/>
      <c r="C2036" s="102"/>
      <c r="D2036" s="62"/>
      <c r="E2036" s="102"/>
      <c r="F2036" s="102"/>
      <c r="G2036" s="102"/>
      <c r="H2036" s="175"/>
      <c r="I2036" s="85"/>
      <c r="J2036" s="104"/>
      <c r="K2036" s="144"/>
      <c r="L2036" s="62"/>
    </row>
    <row r="2037" spans="1:12" x14ac:dyDescent="0.15">
      <c r="A2037" s="165"/>
      <c r="B2037" s="93"/>
      <c r="C2037" s="102"/>
      <c r="D2037" s="62"/>
      <c r="E2037" s="102"/>
      <c r="F2037" s="102"/>
      <c r="G2037" s="102"/>
      <c r="H2037" s="175"/>
      <c r="I2037" s="85"/>
      <c r="J2037" s="104"/>
      <c r="K2037" s="144"/>
      <c r="L2037" s="62"/>
    </row>
    <row r="2038" spans="1:12" x14ac:dyDescent="0.15">
      <c r="A2038" s="165"/>
      <c r="B2038" s="93"/>
      <c r="C2038" s="102"/>
      <c r="D2038" s="62"/>
      <c r="E2038" s="102"/>
      <c r="F2038" s="102"/>
      <c r="G2038" s="102"/>
      <c r="H2038" s="175"/>
      <c r="I2038" s="85"/>
      <c r="J2038" s="104"/>
      <c r="K2038" s="144"/>
      <c r="L2038" s="62"/>
    </row>
    <row r="2039" spans="1:12" x14ac:dyDescent="0.15">
      <c r="A2039" s="165"/>
      <c r="B2039" s="93"/>
      <c r="C2039" s="102"/>
      <c r="D2039" s="62"/>
      <c r="E2039" s="102"/>
      <c r="F2039" s="102"/>
      <c r="G2039" s="102"/>
      <c r="H2039" s="175"/>
      <c r="I2039" s="85"/>
      <c r="J2039" s="104"/>
      <c r="K2039" s="144"/>
      <c r="L2039" s="62"/>
    </row>
    <row r="2040" spans="1:12" x14ac:dyDescent="0.15">
      <c r="A2040" s="165"/>
      <c r="B2040" s="93"/>
      <c r="C2040" s="102"/>
      <c r="D2040" s="62"/>
      <c r="E2040" s="102"/>
      <c r="F2040" s="102"/>
      <c r="G2040" s="102"/>
      <c r="H2040" s="177"/>
      <c r="I2040" s="85"/>
      <c r="J2040" s="104"/>
      <c r="K2040" s="144"/>
      <c r="L2040" s="62"/>
    </row>
    <row r="2041" spans="1:12" x14ac:dyDescent="0.15">
      <c r="A2041" s="165"/>
      <c r="B2041" s="93"/>
      <c r="C2041" s="102"/>
      <c r="D2041" s="62"/>
      <c r="E2041" s="102"/>
      <c r="F2041" s="102"/>
      <c r="G2041" s="102"/>
      <c r="H2041" s="175"/>
      <c r="I2041" s="85"/>
      <c r="J2041" s="104"/>
      <c r="K2041" s="144"/>
      <c r="L2041" s="62"/>
    </row>
    <row r="2042" spans="1:12" x14ac:dyDescent="0.15">
      <c r="A2042" s="165"/>
      <c r="B2042" s="93"/>
      <c r="C2042" s="102"/>
      <c r="D2042" s="62"/>
      <c r="E2042" s="102"/>
      <c r="F2042" s="102"/>
      <c r="G2042" s="102"/>
      <c r="H2042" s="177"/>
      <c r="I2042" s="85"/>
      <c r="J2042" s="104"/>
      <c r="K2042" s="144"/>
      <c r="L2042" s="62"/>
    </row>
    <row r="2043" spans="1:12" x14ac:dyDescent="0.15">
      <c r="A2043" s="165"/>
      <c r="B2043" s="93"/>
      <c r="C2043" s="102"/>
      <c r="D2043" s="62"/>
      <c r="E2043" s="102"/>
      <c r="F2043" s="102"/>
      <c r="G2043" s="102"/>
      <c r="H2043" s="175"/>
      <c r="I2043" s="85"/>
      <c r="J2043" s="104"/>
      <c r="K2043" s="144"/>
      <c r="L2043" s="62"/>
    </row>
    <row r="2044" spans="1:12" x14ac:dyDescent="0.15">
      <c r="A2044" s="165"/>
      <c r="B2044" s="93"/>
      <c r="C2044" s="102"/>
      <c r="D2044" s="62"/>
      <c r="E2044" s="102"/>
      <c r="F2044" s="102"/>
      <c r="G2044" s="102"/>
      <c r="H2044" s="175"/>
      <c r="I2044" s="85"/>
      <c r="J2044" s="104"/>
      <c r="K2044" s="144"/>
      <c r="L2044" s="62"/>
    </row>
    <row r="2045" spans="1:12" x14ac:dyDescent="0.15">
      <c r="A2045" s="165"/>
      <c r="B2045" s="93"/>
      <c r="C2045" s="102"/>
      <c r="D2045" s="62"/>
      <c r="E2045" s="102"/>
      <c r="F2045" s="102"/>
      <c r="G2045" s="102"/>
      <c r="H2045" s="175"/>
      <c r="I2045" s="85"/>
      <c r="J2045" s="104"/>
      <c r="K2045" s="144"/>
      <c r="L2045" s="62"/>
    </row>
    <row r="2046" spans="1:12" x14ac:dyDescent="0.15">
      <c r="A2046" s="165"/>
      <c r="B2046" s="93"/>
      <c r="C2046" s="102"/>
      <c r="D2046" s="62"/>
      <c r="E2046" s="102"/>
      <c r="F2046" s="102"/>
      <c r="G2046" s="102"/>
      <c r="H2046" s="175"/>
      <c r="I2046" s="85"/>
      <c r="J2046" s="104"/>
      <c r="K2046" s="144"/>
      <c r="L2046" s="62"/>
    </row>
    <row r="2047" spans="1:12" x14ac:dyDescent="0.15">
      <c r="A2047" s="165"/>
      <c r="B2047" s="93"/>
      <c r="C2047" s="102"/>
      <c r="D2047" s="62"/>
      <c r="E2047" s="102"/>
      <c r="F2047" s="102"/>
      <c r="G2047" s="102"/>
      <c r="H2047" s="175"/>
      <c r="I2047" s="85"/>
      <c r="J2047" s="104"/>
      <c r="K2047" s="144"/>
      <c r="L2047" s="62"/>
    </row>
    <row r="2048" spans="1:12" x14ac:dyDescent="0.15">
      <c r="A2048" s="165"/>
      <c r="B2048" s="93"/>
      <c r="C2048" s="102"/>
      <c r="D2048" s="62"/>
      <c r="E2048" s="102"/>
      <c r="F2048" s="102"/>
      <c r="G2048" s="102"/>
      <c r="H2048" s="175"/>
      <c r="I2048" s="85"/>
      <c r="J2048" s="104"/>
      <c r="K2048" s="144"/>
      <c r="L2048" s="62"/>
    </row>
    <row r="2049" spans="1:12" x14ac:dyDescent="0.15">
      <c r="A2049" s="165"/>
      <c r="B2049" s="93"/>
      <c r="C2049" s="102"/>
      <c r="D2049" s="62"/>
      <c r="E2049" s="102"/>
      <c r="F2049" s="102"/>
      <c r="G2049" s="102"/>
      <c r="H2049" s="175"/>
      <c r="I2049" s="85"/>
      <c r="J2049" s="104"/>
      <c r="K2049" s="144"/>
      <c r="L2049" s="62"/>
    </row>
    <row r="2050" spans="1:12" x14ac:dyDescent="0.15">
      <c r="A2050" s="165"/>
      <c r="B2050" s="93"/>
      <c r="C2050" s="102"/>
      <c r="D2050" s="62"/>
      <c r="E2050" s="102"/>
      <c r="F2050" s="102"/>
      <c r="G2050" s="102"/>
      <c r="H2050" s="175"/>
      <c r="I2050" s="85"/>
      <c r="J2050" s="104"/>
      <c r="K2050" s="144"/>
      <c r="L2050" s="62"/>
    </row>
    <row r="2051" spans="1:12" x14ac:dyDescent="0.15">
      <c r="A2051" s="165"/>
      <c r="B2051" s="93"/>
      <c r="C2051" s="102"/>
      <c r="D2051" s="62"/>
      <c r="E2051" s="100"/>
      <c r="F2051" s="102"/>
      <c r="G2051" s="102"/>
      <c r="H2051" s="175"/>
      <c r="I2051" s="85"/>
      <c r="J2051" s="104"/>
      <c r="K2051" s="144"/>
      <c r="L2051" s="62"/>
    </row>
    <row r="2052" spans="1:12" x14ac:dyDescent="0.15">
      <c r="A2052" s="165"/>
      <c r="B2052" s="93"/>
      <c r="C2052" s="102"/>
      <c r="D2052" s="62"/>
      <c r="E2052" s="102"/>
      <c r="F2052" s="102"/>
      <c r="G2052" s="102"/>
      <c r="H2052" s="175"/>
      <c r="I2052" s="85"/>
      <c r="J2052" s="104"/>
      <c r="K2052" s="144"/>
      <c r="L2052" s="62"/>
    </row>
    <row r="2053" spans="1:12" x14ac:dyDescent="0.15">
      <c r="A2053" s="165"/>
      <c r="B2053" s="93"/>
      <c r="C2053" s="102"/>
      <c r="D2053" s="62"/>
      <c r="E2053" s="100"/>
      <c r="F2053" s="102"/>
      <c r="G2053" s="102"/>
      <c r="H2053" s="177"/>
      <c r="I2053" s="103"/>
      <c r="J2053" s="98"/>
      <c r="K2053" s="141"/>
      <c r="L2053" s="61"/>
    </row>
    <row r="2054" spans="1:12" x14ac:dyDescent="0.15">
      <c r="A2054" s="165"/>
      <c r="B2054" s="93"/>
      <c r="C2054" s="102"/>
      <c r="D2054" s="62"/>
      <c r="E2054" s="102"/>
      <c r="F2054" s="102"/>
      <c r="G2054" s="102"/>
      <c r="H2054" s="175"/>
      <c r="I2054" s="85"/>
      <c r="J2054" s="104"/>
      <c r="K2054" s="144"/>
      <c r="L2054" s="62"/>
    </row>
    <row r="2055" spans="1:12" x14ac:dyDescent="0.15">
      <c r="A2055" s="165"/>
      <c r="B2055" s="93"/>
      <c r="C2055" s="102"/>
      <c r="D2055" s="62"/>
      <c r="E2055" s="102"/>
      <c r="F2055" s="102"/>
      <c r="G2055" s="102"/>
      <c r="H2055" s="175"/>
      <c r="I2055" s="85"/>
      <c r="J2055" s="104"/>
      <c r="K2055" s="144"/>
      <c r="L2055" s="62"/>
    </row>
    <row r="2056" spans="1:12" x14ac:dyDescent="0.15">
      <c r="A2056" s="165"/>
      <c r="B2056" s="93"/>
      <c r="C2056" s="102"/>
      <c r="D2056" s="62"/>
      <c r="E2056" s="100"/>
      <c r="F2056" s="102"/>
      <c r="G2056" s="102"/>
      <c r="H2056" s="175"/>
      <c r="I2056" s="85"/>
      <c r="J2056" s="104"/>
      <c r="K2056" s="143"/>
      <c r="L2056" s="61"/>
    </row>
    <row r="2057" spans="1:12" x14ac:dyDescent="0.15">
      <c r="A2057" s="165"/>
      <c r="B2057" s="93"/>
      <c r="C2057" s="102"/>
      <c r="D2057" s="62"/>
      <c r="E2057" s="102"/>
      <c r="F2057" s="102"/>
      <c r="G2057" s="102"/>
      <c r="H2057" s="175"/>
      <c r="I2057" s="85"/>
      <c r="J2057" s="104"/>
      <c r="K2057" s="144"/>
      <c r="L2057" s="62"/>
    </row>
    <row r="2058" spans="1:12" x14ac:dyDescent="0.15">
      <c r="A2058" s="165"/>
      <c r="B2058" s="93"/>
      <c r="C2058" s="102"/>
      <c r="D2058" s="62"/>
      <c r="E2058" s="102"/>
      <c r="F2058" s="102"/>
      <c r="G2058" s="102"/>
      <c r="H2058" s="175"/>
      <c r="I2058" s="85"/>
      <c r="J2058" s="104"/>
      <c r="K2058" s="144"/>
      <c r="L2058" s="62"/>
    </row>
    <row r="2059" spans="1:12" x14ac:dyDescent="0.15">
      <c r="A2059" s="165"/>
      <c r="B2059" s="93"/>
      <c r="C2059" s="102"/>
      <c r="D2059" s="62"/>
      <c r="E2059" s="102"/>
      <c r="F2059" s="102"/>
      <c r="G2059" s="102"/>
      <c r="H2059" s="175"/>
      <c r="I2059" s="85"/>
      <c r="J2059" s="104"/>
      <c r="K2059" s="144"/>
      <c r="L2059" s="62"/>
    </row>
    <row r="2060" spans="1:12" x14ac:dyDescent="0.15">
      <c r="A2060" s="165"/>
      <c r="B2060" s="93"/>
      <c r="C2060" s="102"/>
      <c r="D2060" s="62"/>
      <c r="E2060" s="102"/>
      <c r="F2060" s="102"/>
      <c r="G2060" s="102"/>
      <c r="H2060" s="175"/>
      <c r="I2060" s="85"/>
      <c r="J2060" s="104"/>
      <c r="K2060" s="144"/>
      <c r="L2060" s="62"/>
    </row>
    <row r="2061" spans="1:12" x14ac:dyDescent="0.15">
      <c r="A2061" s="165"/>
      <c r="B2061" s="93"/>
      <c r="C2061" s="102"/>
      <c r="D2061" s="62"/>
      <c r="E2061" s="102"/>
      <c r="F2061" s="102"/>
      <c r="G2061" s="102"/>
      <c r="H2061" s="175"/>
      <c r="I2061" s="85"/>
      <c r="J2061" s="104"/>
      <c r="K2061" s="144"/>
      <c r="L2061" s="62"/>
    </row>
    <row r="2062" spans="1:12" x14ac:dyDescent="0.15">
      <c r="A2062" s="165"/>
      <c r="B2062" s="93"/>
      <c r="C2062" s="102"/>
      <c r="D2062" s="62"/>
      <c r="E2062" s="102"/>
      <c r="F2062" s="102"/>
      <c r="G2062" s="102"/>
      <c r="H2062" s="175"/>
      <c r="I2062" s="85"/>
      <c r="J2062" s="104"/>
      <c r="K2062" s="144"/>
      <c r="L2062" s="62"/>
    </row>
    <row r="2063" spans="1:12" x14ac:dyDescent="0.15">
      <c r="A2063" s="165"/>
      <c r="B2063" s="93"/>
      <c r="C2063" s="102"/>
      <c r="D2063" s="62"/>
      <c r="E2063" s="102"/>
      <c r="F2063" s="102"/>
      <c r="G2063" s="102"/>
      <c r="H2063" s="175"/>
      <c r="I2063" s="85"/>
      <c r="J2063" s="104"/>
      <c r="K2063" s="144"/>
      <c r="L2063" s="62"/>
    </row>
    <row r="2064" spans="1:12" x14ac:dyDescent="0.15">
      <c r="A2064" s="165"/>
      <c r="B2064" s="93"/>
      <c r="C2064" s="102"/>
      <c r="D2064" s="62"/>
      <c r="E2064" s="102"/>
      <c r="F2064" s="102"/>
      <c r="G2064" s="102"/>
      <c r="H2064" s="175"/>
      <c r="I2064" s="85"/>
      <c r="J2064" s="104"/>
      <c r="K2064" s="144"/>
      <c r="L2064" s="62"/>
    </row>
    <row r="2065" spans="1:12" x14ac:dyDescent="0.15">
      <c r="A2065" s="165"/>
      <c r="B2065" s="93"/>
      <c r="C2065" s="102"/>
      <c r="D2065" s="62"/>
      <c r="E2065" s="102"/>
      <c r="F2065" s="102"/>
      <c r="G2065" s="102"/>
      <c r="H2065" s="175"/>
      <c r="I2065" s="85"/>
      <c r="J2065" s="104"/>
      <c r="K2065" s="144"/>
      <c r="L2065" s="62"/>
    </row>
    <row r="2066" spans="1:12" x14ac:dyDescent="0.15">
      <c r="A2066" s="165"/>
      <c r="B2066" s="93"/>
      <c r="C2066" s="102"/>
      <c r="D2066" s="62"/>
      <c r="E2066" s="102"/>
      <c r="F2066" s="102"/>
      <c r="G2066" s="102"/>
      <c r="H2066" s="175"/>
      <c r="I2066" s="85"/>
      <c r="J2066" s="104"/>
      <c r="K2066" s="144"/>
      <c r="L2066" s="62"/>
    </row>
    <row r="2067" spans="1:12" x14ac:dyDescent="0.15">
      <c r="A2067" s="165"/>
      <c r="B2067" s="93"/>
      <c r="C2067" s="102"/>
      <c r="D2067" s="62"/>
      <c r="E2067" s="102"/>
      <c r="F2067" s="102"/>
      <c r="G2067" s="102"/>
      <c r="H2067" s="175"/>
      <c r="I2067" s="85"/>
      <c r="J2067" s="104"/>
      <c r="K2067" s="144"/>
      <c r="L2067" s="62"/>
    </row>
    <row r="2068" spans="1:12" x14ac:dyDescent="0.15">
      <c r="A2068" s="165"/>
      <c r="B2068" s="93"/>
      <c r="C2068" s="102"/>
      <c r="D2068" s="62"/>
      <c r="E2068" s="102"/>
      <c r="F2068" s="102"/>
      <c r="G2068" s="102"/>
      <c r="H2068" s="175"/>
      <c r="I2068" s="103"/>
      <c r="J2068" s="98"/>
      <c r="K2068" s="135"/>
      <c r="L2068" s="62"/>
    </row>
    <row r="2069" spans="1:12" x14ac:dyDescent="0.15">
      <c r="A2069" s="165"/>
      <c r="B2069" s="93"/>
      <c r="C2069" s="102"/>
      <c r="D2069" s="62"/>
      <c r="E2069" s="102"/>
      <c r="F2069" s="102"/>
      <c r="G2069" s="102"/>
      <c r="H2069" s="175"/>
      <c r="I2069" s="103"/>
      <c r="J2069" s="98"/>
      <c r="K2069" s="135"/>
      <c r="L2069" s="62"/>
    </row>
    <row r="2070" spans="1:12" x14ac:dyDescent="0.15">
      <c r="A2070" s="165"/>
      <c r="B2070" s="93"/>
      <c r="C2070" s="102"/>
      <c r="D2070" s="62"/>
      <c r="E2070" s="100"/>
      <c r="F2070" s="102"/>
      <c r="G2070" s="102"/>
      <c r="H2070" s="175"/>
      <c r="I2070" s="103"/>
      <c r="J2070" s="98"/>
      <c r="K2070" s="135"/>
      <c r="L2070" s="62"/>
    </row>
    <row r="2071" spans="1:12" x14ac:dyDescent="0.15">
      <c r="A2071" s="165"/>
      <c r="B2071" s="93"/>
      <c r="C2071" s="102"/>
      <c r="D2071" s="62"/>
      <c r="E2071" s="102"/>
      <c r="F2071" s="102"/>
      <c r="G2071" s="102"/>
      <c r="H2071" s="175"/>
      <c r="I2071" s="85"/>
      <c r="J2071" s="104"/>
      <c r="K2071" s="144"/>
      <c r="L2071" s="62"/>
    </row>
    <row r="2072" spans="1:12" x14ac:dyDescent="0.15">
      <c r="A2072" s="165"/>
      <c r="B2072" s="93"/>
      <c r="C2072" s="102"/>
      <c r="D2072" s="62"/>
      <c r="E2072" s="102"/>
      <c r="F2072" s="102"/>
      <c r="G2072" s="102"/>
      <c r="H2072" s="175"/>
      <c r="I2072" s="85"/>
      <c r="J2072" s="104"/>
      <c r="K2072" s="144"/>
      <c r="L2072" s="62"/>
    </row>
    <row r="2073" spans="1:12" x14ac:dyDescent="0.15">
      <c r="A2073" s="165"/>
      <c r="B2073" s="93"/>
      <c r="C2073" s="102"/>
      <c r="D2073" s="62"/>
      <c r="E2073" s="102"/>
      <c r="F2073" s="102"/>
      <c r="G2073" s="102"/>
      <c r="H2073" s="175"/>
      <c r="I2073" s="85"/>
      <c r="J2073" s="104"/>
      <c r="K2073" s="144"/>
      <c r="L2073" s="62"/>
    </row>
    <row r="2074" spans="1:12" x14ac:dyDescent="0.15">
      <c r="A2074" s="165"/>
      <c r="B2074" s="93"/>
      <c r="C2074" s="102"/>
      <c r="D2074" s="62"/>
      <c r="E2074" s="102"/>
      <c r="F2074" s="102"/>
      <c r="G2074" s="102"/>
      <c r="H2074" s="175"/>
      <c r="I2074" s="103"/>
      <c r="J2074" s="98"/>
      <c r="K2074" s="135"/>
      <c r="L2074" s="62"/>
    </row>
    <row r="2075" spans="1:12" x14ac:dyDescent="0.15">
      <c r="A2075" s="165"/>
      <c r="B2075" s="93"/>
      <c r="C2075" s="102"/>
      <c r="D2075" s="62"/>
      <c r="E2075" s="102"/>
      <c r="F2075" s="102"/>
      <c r="G2075" s="102"/>
      <c r="H2075" s="175"/>
      <c r="I2075" s="103"/>
      <c r="J2075" s="98"/>
      <c r="K2075" s="135"/>
      <c r="L2075" s="62"/>
    </row>
    <row r="2076" spans="1:12" x14ac:dyDescent="0.15">
      <c r="A2076" s="165"/>
      <c r="B2076" s="93"/>
      <c r="C2076" s="102"/>
      <c r="D2076" s="62"/>
      <c r="E2076" s="102"/>
      <c r="F2076" s="102"/>
      <c r="G2076" s="102"/>
      <c r="H2076" s="175"/>
      <c r="I2076" s="85"/>
      <c r="J2076" s="104"/>
      <c r="K2076" s="144"/>
      <c r="L2076" s="62"/>
    </row>
    <row r="2077" spans="1:12" x14ac:dyDescent="0.15">
      <c r="A2077" s="165"/>
      <c r="B2077" s="82"/>
      <c r="C2077" s="107"/>
      <c r="D2077" s="62"/>
      <c r="E2077" s="107"/>
      <c r="F2077" s="107"/>
      <c r="G2077" s="107"/>
      <c r="H2077" s="179"/>
      <c r="I2077" s="85"/>
      <c r="J2077" s="104"/>
      <c r="K2077" s="144"/>
      <c r="L2077" s="62"/>
    </row>
    <row r="2078" spans="1:12" x14ac:dyDescent="0.15">
      <c r="A2078" s="165"/>
      <c r="B2078" s="93"/>
      <c r="C2078" s="102"/>
      <c r="D2078" s="62"/>
      <c r="E2078" s="102"/>
      <c r="F2078" s="102"/>
      <c r="G2078" s="102"/>
      <c r="H2078" s="175"/>
      <c r="I2078" s="85"/>
      <c r="J2078" s="104"/>
      <c r="K2078" s="144"/>
      <c r="L2078" s="62"/>
    </row>
    <row r="2079" spans="1:12" x14ac:dyDescent="0.15">
      <c r="A2079" s="165"/>
      <c r="B2079" s="93"/>
      <c r="C2079" s="102"/>
      <c r="D2079" s="62"/>
      <c r="E2079" s="102"/>
      <c r="F2079" s="102"/>
      <c r="G2079" s="102"/>
      <c r="H2079" s="175"/>
      <c r="I2079" s="85"/>
      <c r="J2079" s="104"/>
      <c r="K2079" s="144"/>
      <c r="L2079" s="62"/>
    </row>
    <row r="2080" spans="1:12" x14ac:dyDescent="0.15">
      <c r="A2080" s="165"/>
      <c r="B2080" s="82"/>
      <c r="C2080" s="107"/>
      <c r="D2080" s="62"/>
      <c r="E2080" s="107"/>
      <c r="F2080" s="107"/>
      <c r="G2080" s="107"/>
      <c r="H2080" s="179"/>
      <c r="I2080" s="85"/>
      <c r="J2080" s="104"/>
      <c r="K2080" s="144"/>
      <c r="L2080" s="62"/>
    </row>
    <row r="2081" spans="1:12" x14ac:dyDescent="0.15">
      <c r="A2081" s="165"/>
      <c r="B2081" s="93"/>
      <c r="C2081" s="102"/>
      <c r="D2081" s="62"/>
      <c r="E2081" s="102"/>
      <c r="F2081" s="102"/>
      <c r="G2081" s="102"/>
      <c r="H2081" s="175"/>
      <c r="I2081" s="103"/>
      <c r="J2081" s="98"/>
      <c r="K2081" s="135"/>
      <c r="L2081" s="62"/>
    </row>
    <row r="2082" spans="1:12" x14ac:dyDescent="0.15">
      <c r="A2082" s="165"/>
      <c r="B2082" s="93"/>
      <c r="C2082" s="102"/>
      <c r="D2082" s="62"/>
      <c r="E2082" s="102"/>
      <c r="F2082" s="102"/>
      <c r="G2082" s="102"/>
      <c r="H2082" s="175"/>
      <c r="I2082" s="103"/>
      <c r="J2082" s="98"/>
      <c r="K2082" s="135"/>
      <c r="L2082" s="62"/>
    </row>
    <row r="2083" spans="1:12" x14ac:dyDescent="0.15">
      <c r="A2083" s="165"/>
      <c r="B2083" s="93"/>
      <c r="C2083" s="102"/>
      <c r="D2083" s="62"/>
      <c r="E2083" s="102"/>
      <c r="F2083" s="102"/>
      <c r="G2083" s="102"/>
      <c r="H2083" s="175"/>
      <c r="I2083" s="85"/>
      <c r="J2083" s="104"/>
      <c r="K2083" s="144"/>
      <c r="L2083" s="62"/>
    </row>
    <row r="2084" spans="1:12" x14ac:dyDescent="0.15">
      <c r="A2084" s="165"/>
      <c r="B2084" s="93"/>
      <c r="C2084" s="102"/>
      <c r="D2084" s="62"/>
      <c r="E2084" s="102"/>
      <c r="F2084" s="102"/>
      <c r="G2084" s="102"/>
      <c r="H2084" s="175"/>
      <c r="I2084" s="85"/>
      <c r="J2084" s="104"/>
      <c r="K2084" s="144"/>
      <c r="L2084" s="62"/>
    </row>
    <row r="2085" spans="1:12" x14ac:dyDescent="0.15">
      <c r="A2085" s="165"/>
      <c r="B2085" s="93"/>
      <c r="C2085" s="102"/>
      <c r="D2085" s="62"/>
      <c r="E2085" s="102"/>
      <c r="F2085" s="102"/>
      <c r="G2085" s="102"/>
      <c r="H2085" s="175"/>
      <c r="I2085" s="85"/>
      <c r="J2085" s="104"/>
      <c r="K2085" s="144"/>
      <c r="L2085" s="62"/>
    </row>
    <row r="2086" spans="1:12" x14ac:dyDescent="0.15">
      <c r="A2086" s="165"/>
      <c r="B2086" s="93"/>
      <c r="C2086" s="102"/>
      <c r="D2086" s="62"/>
      <c r="E2086" s="102"/>
      <c r="F2086" s="102"/>
      <c r="G2086" s="102"/>
      <c r="H2086" s="175"/>
      <c r="I2086" s="85"/>
      <c r="J2086" s="104"/>
      <c r="K2086" s="144"/>
      <c r="L2086" s="62"/>
    </row>
    <row r="2087" spans="1:12" x14ac:dyDescent="0.15">
      <c r="A2087" s="165"/>
      <c r="B2087" s="93"/>
      <c r="C2087" s="102"/>
      <c r="D2087" s="62"/>
      <c r="E2087" s="102"/>
      <c r="F2087" s="102"/>
      <c r="G2087" s="102"/>
      <c r="H2087" s="175"/>
      <c r="I2087" s="85"/>
      <c r="J2087" s="104"/>
      <c r="K2087" s="144"/>
      <c r="L2087" s="62"/>
    </row>
    <row r="2088" spans="1:12" x14ac:dyDescent="0.15">
      <c r="A2088" s="165"/>
      <c r="B2088" s="82"/>
      <c r="C2088" s="107"/>
      <c r="D2088" s="62"/>
      <c r="E2088" s="107"/>
      <c r="F2088" s="107"/>
      <c r="G2088" s="107"/>
      <c r="H2088" s="179"/>
      <c r="I2088" s="85"/>
      <c r="J2088" s="104"/>
      <c r="K2088" s="144"/>
      <c r="L2088" s="62"/>
    </row>
    <row r="2089" spans="1:12" x14ac:dyDescent="0.15">
      <c r="A2089" s="165"/>
      <c r="B2089" s="93"/>
      <c r="C2089" s="102"/>
      <c r="D2089" s="62"/>
      <c r="E2089" s="102"/>
      <c r="F2089" s="102"/>
      <c r="G2089" s="102"/>
      <c r="H2089" s="175"/>
      <c r="I2089" s="85"/>
      <c r="J2089" s="104"/>
      <c r="K2089" s="144"/>
      <c r="L2089" s="62"/>
    </row>
    <row r="2090" spans="1:12" x14ac:dyDescent="0.15">
      <c r="A2090" s="165"/>
      <c r="B2090" s="93"/>
      <c r="C2090" s="102"/>
      <c r="D2090" s="62"/>
      <c r="E2090" s="102"/>
      <c r="F2090" s="102"/>
      <c r="G2090" s="102"/>
      <c r="H2090" s="175"/>
      <c r="I2090" s="85"/>
      <c r="J2090" s="104"/>
      <c r="K2090" s="144"/>
      <c r="L2090" s="62"/>
    </row>
    <row r="2091" spans="1:12" x14ac:dyDescent="0.15">
      <c r="A2091" s="165"/>
      <c r="B2091" s="93"/>
      <c r="C2091" s="102"/>
      <c r="D2091" s="62"/>
      <c r="E2091" s="102"/>
      <c r="F2091" s="102"/>
      <c r="G2091" s="102"/>
      <c r="H2091" s="175"/>
      <c r="I2091" s="85"/>
      <c r="J2091" s="104"/>
      <c r="K2091" s="144"/>
      <c r="L2091" s="62"/>
    </row>
    <row r="2092" spans="1:12" x14ac:dyDescent="0.15">
      <c r="A2092" s="165"/>
      <c r="B2092" s="93"/>
      <c r="C2092" s="102"/>
      <c r="D2092" s="62"/>
      <c r="E2092" s="102"/>
      <c r="F2092" s="102"/>
      <c r="G2092" s="102"/>
      <c r="H2092" s="175"/>
      <c r="I2092" s="85"/>
      <c r="J2092" s="98"/>
      <c r="K2092" s="135"/>
      <c r="L2092" s="61"/>
    </row>
    <row r="2093" spans="1:12" x14ac:dyDescent="0.15">
      <c r="A2093" s="165"/>
      <c r="B2093" s="93"/>
      <c r="C2093" s="102"/>
      <c r="D2093" s="62"/>
      <c r="E2093" s="102"/>
      <c r="F2093" s="102"/>
      <c r="G2093" s="102"/>
      <c r="H2093" s="175"/>
      <c r="I2093" s="85"/>
      <c r="J2093" s="104"/>
      <c r="K2093" s="144"/>
      <c r="L2093" s="62"/>
    </row>
    <row r="2094" spans="1:12" x14ac:dyDescent="0.15">
      <c r="A2094" s="165"/>
      <c r="B2094" s="93"/>
      <c r="C2094" s="102"/>
      <c r="D2094" s="62"/>
      <c r="E2094" s="102"/>
      <c r="F2094" s="102"/>
      <c r="G2094" s="102"/>
      <c r="H2094" s="175"/>
      <c r="I2094" s="85"/>
      <c r="J2094" s="104"/>
      <c r="K2094" s="144"/>
      <c r="L2094" s="62"/>
    </row>
    <row r="2095" spans="1:12" x14ac:dyDescent="0.15">
      <c r="A2095" s="165"/>
      <c r="B2095" s="93"/>
      <c r="C2095" s="102"/>
      <c r="D2095" s="62"/>
      <c r="E2095" s="102"/>
      <c r="F2095" s="102"/>
      <c r="G2095" s="102"/>
      <c r="H2095" s="175"/>
      <c r="I2095" s="85"/>
      <c r="J2095" s="104"/>
      <c r="K2095" s="144"/>
      <c r="L2095" s="62"/>
    </row>
    <row r="2096" spans="1:12" x14ac:dyDescent="0.15">
      <c r="A2096" s="165"/>
      <c r="B2096" s="93"/>
      <c r="C2096" s="102"/>
      <c r="D2096" s="62"/>
      <c r="E2096" s="102"/>
      <c r="F2096" s="102"/>
      <c r="G2096" s="102"/>
      <c r="H2096" s="175"/>
      <c r="I2096" s="85"/>
      <c r="J2096" s="104"/>
      <c r="K2096" s="144"/>
      <c r="L2096" s="62"/>
    </row>
    <row r="2097" spans="1:12" x14ac:dyDescent="0.15">
      <c r="A2097" s="165"/>
      <c r="B2097" s="93"/>
      <c r="C2097" s="102"/>
      <c r="D2097" s="62"/>
      <c r="E2097" s="102"/>
      <c r="F2097" s="102"/>
      <c r="G2097" s="102"/>
      <c r="H2097" s="175"/>
      <c r="I2097" s="85"/>
      <c r="J2097" s="98"/>
      <c r="K2097" s="135"/>
      <c r="L2097" s="62"/>
    </row>
    <row r="2098" spans="1:12" x14ac:dyDescent="0.15">
      <c r="A2098" s="165"/>
      <c r="B2098" s="93"/>
      <c r="C2098" s="102"/>
      <c r="D2098" s="62"/>
      <c r="E2098" s="100"/>
      <c r="F2098" s="102"/>
      <c r="G2098" s="102"/>
      <c r="H2098" s="175"/>
      <c r="I2098" s="103"/>
      <c r="J2098" s="98"/>
      <c r="K2098" s="135"/>
      <c r="L2098" s="62"/>
    </row>
    <row r="2099" spans="1:12" x14ac:dyDescent="0.15">
      <c r="A2099" s="165"/>
      <c r="B2099" s="93"/>
      <c r="C2099" s="102"/>
      <c r="D2099" s="62"/>
      <c r="E2099" s="102"/>
      <c r="F2099" s="102"/>
      <c r="G2099" s="102"/>
      <c r="H2099" s="175"/>
      <c r="I2099" s="103"/>
      <c r="J2099" s="98"/>
      <c r="K2099" s="135"/>
      <c r="L2099" s="62"/>
    </row>
    <row r="2100" spans="1:12" x14ac:dyDescent="0.15">
      <c r="A2100" s="165"/>
      <c r="B2100" s="93"/>
      <c r="C2100" s="102"/>
      <c r="D2100" s="62"/>
      <c r="E2100" s="102"/>
      <c r="F2100" s="102"/>
      <c r="G2100" s="102"/>
      <c r="H2100" s="175"/>
      <c r="I2100" s="103"/>
      <c r="J2100" s="98"/>
      <c r="K2100" s="135"/>
      <c r="L2100" s="62"/>
    </row>
    <row r="2101" spans="1:12" x14ac:dyDescent="0.15">
      <c r="A2101" s="165"/>
      <c r="B2101" s="93"/>
      <c r="C2101" s="102"/>
      <c r="D2101" s="62"/>
      <c r="E2101" s="102"/>
      <c r="F2101" s="102"/>
      <c r="G2101" s="102"/>
      <c r="H2101" s="175"/>
      <c r="I2101" s="85"/>
      <c r="J2101" s="104"/>
      <c r="K2101" s="144"/>
      <c r="L2101" s="62"/>
    </row>
    <row r="2102" spans="1:12" x14ac:dyDescent="0.15">
      <c r="A2102" s="165"/>
      <c r="B2102" s="93"/>
      <c r="C2102" s="102"/>
      <c r="D2102" s="62"/>
      <c r="E2102" s="100"/>
      <c r="F2102" s="102"/>
      <c r="G2102" s="102"/>
      <c r="H2102" s="175"/>
      <c r="I2102" s="85"/>
      <c r="J2102" s="104"/>
      <c r="K2102" s="144"/>
      <c r="L2102" s="62"/>
    </row>
    <row r="2103" spans="1:12" x14ac:dyDescent="0.15">
      <c r="A2103" s="165"/>
      <c r="B2103" s="93"/>
      <c r="C2103" s="102"/>
      <c r="D2103" s="62"/>
      <c r="E2103" s="102"/>
      <c r="F2103" s="102"/>
      <c r="G2103" s="102"/>
      <c r="H2103" s="175"/>
      <c r="I2103" s="85"/>
      <c r="J2103" s="104"/>
      <c r="K2103" s="144"/>
      <c r="L2103" s="62"/>
    </row>
    <row r="2104" spans="1:12" x14ac:dyDescent="0.15">
      <c r="A2104" s="165"/>
      <c r="B2104" s="93"/>
      <c r="C2104" s="102"/>
      <c r="D2104" s="62"/>
      <c r="E2104" s="102"/>
      <c r="F2104" s="102"/>
      <c r="G2104" s="102"/>
      <c r="H2104" s="177"/>
      <c r="I2104" s="85"/>
      <c r="J2104" s="104"/>
      <c r="K2104" s="144"/>
      <c r="L2104" s="62"/>
    </row>
    <row r="2105" spans="1:12" x14ac:dyDescent="0.15">
      <c r="A2105" s="165"/>
      <c r="B2105" s="93"/>
      <c r="C2105" s="102"/>
      <c r="D2105" s="62"/>
      <c r="E2105" s="100"/>
      <c r="F2105" s="102"/>
      <c r="G2105" s="102"/>
      <c r="H2105" s="175"/>
      <c r="I2105" s="85"/>
      <c r="J2105" s="104"/>
      <c r="K2105" s="144"/>
      <c r="L2105" s="62"/>
    </row>
    <row r="2106" spans="1:12" x14ac:dyDescent="0.15">
      <c r="A2106" s="165"/>
      <c r="B2106" s="93"/>
      <c r="C2106" s="102"/>
      <c r="D2106" s="62"/>
      <c r="E2106" s="102"/>
      <c r="F2106" s="102"/>
      <c r="G2106" s="102"/>
      <c r="H2106" s="175"/>
      <c r="I2106" s="85"/>
      <c r="J2106" s="104"/>
      <c r="K2106" s="144"/>
      <c r="L2106" s="62"/>
    </row>
    <row r="2107" spans="1:12" x14ac:dyDescent="0.15">
      <c r="A2107" s="165"/>
      <c r="B2107" s="93"/>
      <c r="C2107" s="102"/>
      <c r="D2107" s="62"/>
      <c r="E2107" s="102"/>
      <c r="F2107" s="102"/>
      <c r="G2107" s="102"/>
      <c r="H2107" s="175"/>
      <c r="I2107" s="85"/>
      <c r="J2107" s="104"/>
      <c r="K2107" s="144"/>
      <c r="L2107" s="62"/>
    </row>
    <row r="2108" spans="1:12" x14ac:dyDescent="0.15">
      <c r="A2108" s="165"/>
      <c r="B2108" s="93"/>
      <c r="C2108" s="102"/>
      <c r="D2108" s="62"/>
      <c r="E2108" s="102"/>
      <c r="F2108" s="102"/>
      <c r="G2108" s="102"/>
      <c r="H2108" s="175"/>
      <c r="I2108" s="85"/>
      <c r="J2108" s="104"/>
      <c r="K2108" s="144"/>
      <c r="L2108" s="61"/>
    </row>
    <row r="2109" spans="1:12" x14ac:dyDescent="0.15">
      <c r="A2109" s="165"/>
      <c r="B2109" s="93"/>
      <c r="C2109" s="102"/>
      <c r="D2109" s="62"/>
      <c r="E2109" s="102"/>
      <c r="F2109" s="102"/>
      <c r="G2109" s="102"/>
      <c r="H2109" s="175"/>
      <c r="I2109" s="85"/>
      <c r="J2109" s="104"/>
      <c r="K2109" s="144"/>
      <c r="L2109" s="62"/>
    </row>
    <row r="2110" spans="1:12" x14ac:dyDescent="0.15">
      <c r="A2110" s="165"/>
      <c r="B2110" s="93"/>
      <c r="C2110" s="102"/>
      <c r="D2110" s="62"/>
      <c r="E2110" s="102"/>
      <c r="F2110" s="102"/>
      <c r="G2110" s="102"/>
      <c r="H2110" s="175"/>
      <c r="I2110" s="103"/>
      <c r="J2110" s="98"/>
      <c r="K2110" s="135"/>
      <c r="L2110" s="62"/>
    </row>
    <row r="2111" spans="1:12" x14ac:dyDescent="0.15">
      <c r="A2111" s="165"/>
      <c r="B2111" s="93"/>
      <c r="C2111" s="102"/>
      <c r="D2111" s="62"/>
      <c r="E2111" s="102"/>
      <c r="F2111" s="102"/>
      <c r="G2111" s="102"/>
      <c r="H2111" s="175"/>
      <c r="I2111" s="103"/>
      <c r="J2111" s="98"/>
      <c r="K2111" s="135"/>
      <c r="L2111" s="62"/>
    </row>
    <row r="2112" spans="1:12" x14ac:dyDescent="0.15">
      <c r="A2112" s="165"/>
      <c r="B2112" s="93"/>
      <c r="C2112" s="102"/>
      <c r="D2112" s="62"/>
      <c r="E2112" s="100"/>
      <c r="F2112" s="102"/>
      <c r="G2112" s="102"/>
      <c r="H2112" s="175"/>
      <c r="I2112" s="85"/>
      <c r="J2112" s="104"/>
      <c r="K2112" s="144"/>
      <c r="L2112" s="62"/>
    </row>
    <row r="2113" spans="1:12" x14ac:dyDescent="0.15">
      <c r="A2113" s="165"/>
      <c r="B2113" s="93"/>
      <c r="C2113" s="102"/>
      <c r="D2113" s="62"/>
      <c r="E2113" s="102"/>
      <c r="F2113" s="102"/>
      <c r="G2113" s="102"/>
      <c r="H2113" s="175"/>
      <c r="I2113" s="85"/>
      <c r="J2113" s="98"/>
      <c r="K2113" s="135"/>
      <c r="L2113" s="62"/>
    </row>
    <row r="2114" spans="1:12" x14ac:dyDescent="0.15">
      <c r="A2114" s="165"/>
      <c r="B2114" s="93"/>
      <c r="C2114" s="102"/>
      <c r="D2114" s="62"/>
      <c r="E2114" s="102"/>
      <c r="F2114" s="102"/>
      <c r="G2114" s="102"/>
      <c r="H2114" s="175"/>
      <c r="I2114" s="85"/>
      <c r="J2114" s="104"/>
      <c r="K2114" s="144"/>
      <c r="L2114" s="62"/>
    </row>
    <row r="2115" spans="1:12" x14ac:dyDescent="0.15">
      <c r="A2115" s="165"/>
      <c r="B2115" s="93"/>
      <c r="C2115" s="102"/>
      <c r="D2115" s="62"/>
      <c r="E2115" s="102"/>
      <c r="F2115" s="102"/>
      <c r="G2115" s="102"/>
      <c r="H2115" s="175"/>
      <c r="I2115" s="103"/>
      <c r="J2115" s="98"/>
      <c r="K2115" s="135"/>
      <c r="L2115" s="62"/>
    </row>
    <row r="2116" spans="1:12" x14ac:dyDescent="0.15">
      <c r="A2116" s="165"/>
      <c r="B2116" s="93"/>
      <c r="C2116" s="102"/>
      <c r="D2116" s="62"/>
      <c r="E2116" s="102"/>
      <c r="F2116" s="102"/>
      <c r="G2116" s="102"/>
      <c r="H2116" s="175"/>
      <c r="I2116" s="103"/>
      <c r="J2116" s="98"/>
      <c r="K2116" s="135"/>
      <c r="L2116" s="62"/>
    </row>
    <row r="2117" spans="1:12" x14ac:dyDescent="0.15">
      <c r="A2117" s="165"/>
      <c r="B2117" s="93"/>
      <c r="C2117" s="102"/>
      <c r="D2117" s="62"/>
      <c r="E2117" s="102"/>
      <c r="F2117" s="102"/>
      <c r="G2117" s="102"/>
      <c r="H2117" s="175"/>
      <c r="I2117" s="103"/>
      <c r="J2117" s="98"/>
      <c r="K2117" s="135"/>
      <c r="L2117" s="62"/>
    </row>
    <row r="2118" spans="1:12" x14ac:dyDescent="0.15">
      <c r="A2118" s="165"/>
      <c r="B2118" s="93"/>
      <c r="C2118" s="102"/>
      <c r="D2118" s="62"/>
      <c r="E2118" s="102"/>
      <c r="F2118" s="102"/>
      <c r="G2118" s="102"/>
      <c r="H2118" s="175"/>
      <c r="I2118" s="85"/>
      <c r="J2118" s="104"/>
      <c r="K2118" s="144"/>
      <c r="L2118" s="62"/>
    </row>
    <row r="2119" spans="1:12" x14ac:dyDescent="0.15">
      <c r="A2119" s="165"/>
      <c r="B2119" s="93"/>
      <c r="C2119" s="102"/>
      <c r="D2119" s="62"/>
      <c r="E2119" s="102"/>
      <c r="F2119" s="102"/>
      <c r="G2119" s="102"/>
      <c r="H2119" s="175"/>
      <c r="I2119" s="85"/>
      <c r="J2119" s="104"/>
      <c r="K2119" s="144"/>
      <c r="L2119" s="62"/>
    </row>
    <row r="2120" spans="1:12" x14ac:dyDescent="0.15">
      <c r="A2120" s="165"/>
      <c r="B2120" s="93"/>
      <c r="C2120" s="102"/>
      <c r="D2120" s="62"/>
      <c r="E2120" s="102"/>
      <c r="F2120" s="102"/>
      <c r="G2120" s="102"/>
      <c r="H2120" s="175"/>
      <c r="I2120" s="85"/>
      <c r="J2120" s="104"/>
      <c r="K2120" s="144"/>
      <c r="L2120" s="62"/>
    </row>
    <row r="2121" spans="1:12" x14ac:dyDescent="0.15">
      <c r="A2121" s="165"/>
      <c r="B2121" s="93"/>
      <c r="C2121" s="102"/>
      <c r="D2121" s="62"/>
      <c r="E2121" s="102"/>
      <c r="F2121" s="102"/>
      <c r="G2121" s="102"/>
      <c r="H2121" s="175"/>
      <c r="I2121" s="85"/>
      <c r="J2121" s="104"/>
      <c r="K2121" s="144"/>
      <c r="L2121" s="62"/>
    </row>
    <row r="2122" spans="1:12" x14ac:dyDescent="0.15">
      <c r="A2122" s="165"/>
      <c r="B2122" s="93"/>
      <c r="C2122" s="102"/>
      <c r="D2122" s="62"/>
      <c r="E2122" s="102"/>
      <c r="F2122" s="102"/>
      <c r="G2122" s="102"/>
      <c r="H2122" s="175"/>
      <c r="I2122" s="85"/>
      <c r="J2122" s="104"/>
      <c r="K2122" s="144"/>
      <c r="L2122" s="62"/>
    </row>
    <row r="2123" spans="1:12" x14ac:dyDescent="0.15">
      <c r="A2123" s="165"/>
      <c r="B2123" s="93"/>
      <c r="C2123" s="102"/>
      <c r="D2123" s="62"/>
      <c r="E2123" s="102"/>
      <c r="F2123" s="102"/>
      <c r="G2123" s="102"/>
      <c r="H2123" s="175"/>
      <c r="I2123" s="85"/>
      <c r="J2123" s="104"/>
      <c r="K2123" s="144"/>
      <c r="L2123" s="62"/>
    </row>
    <row r="2124" spans="1:12" x14ac:dyDescent="0.15">
      <c r="A2124" s="165"/>
      <c r="B2124" s="93"/>
      <c r="C2124" s="102"/>
      <c r="D2124" s="62"/>
      <c r="E2124" s="102"/>
      <c r="F2124" s="102"/>
      <c r="G2124" s="102"/>
      <c r="H2124" s="175"/>
      <c r="I2124" s="85"/>
      <c r="J2124" s="104"/>
      <c r="K2124" s="144"/>
      <c r="L2124" s="62"/>
    </row>
    <row r="2125" spans="1:12" x14ac:dyDescent="0.15">
      <c r="A2125" s="165"/>
      <c r="B2125" s="93"/>
      <c r="C2125" s="102"/>
      <c r="D2125" s="62"/>
      <c r="E2125" s="102"/>
      <c r="F2125" s="102"/>
      <c r="G2125" s="102"/>
      <c r="H2125" s="175"/>
      <c r="I2125" s="85"/>
      <c r="J2125" s="104"/>
      <c r="K2125" s="144"/>
      <c r="L2125" s="62"/>
    </row>
    <row r="2126" spans="1:12" x14ac:dyDescent="0.15">
      <c r="A2126" s="165"/>
      <c r="B2126" s="93"/>
      <c r="C2126" s="102"/>
      <c r="D2126" s="62"/>
      <c r="E2126" s="102"/>
      <c r="F2126" s="102"/>
      <c r="G2126" s="102"/>
      <c r="H2126" s="175"/>
      <c r="I2126" s="85"/>
      <c r="J2126" s="104"/>
      <c r="K2126" s="144"/>
      <c r="L2126" s="62"/>
    </row>
    <row r="2127" spans="1:12" x14ac:dyDescent="0.15">
      <c r="A2127" s="165"/>
      <c r="B2127" s="93"/>
      <c r="C2127" s="102"/>
      <c r="D2127" s="62"/>
      <c r="E2127" s="102"/>
      <c r="F2127" s="102"/>
      <c r="G2127" s="102"/>
      <c r="H2127" s="175"/>
      <c r="I2127" s="85"/>
      <c r="J2127" s="104"/>
      <c r="K2127" s="144"/>
      <c r="L2127" s="62"/>
    </row>
    <row r="2128" spans="1:12" x14ac:dyDescent="0.15">
      <c r="A2128" s="165"/>
      <c r="B2128" s="93"/>
      <c r="C2128" s="102"/>
      <c r="D2128" s="62"/>
      <c r="E2128" s="102"/>
      <c r="F2128" s="102"/>
      <c r="G2128" s="102"/>
      <c r="H2128" s="175"/>
      <c r="I2128" s="85"/>
      <c r="J2128" s="104"/>
      <c r="K2128" s="144"/>
      <c r="L2128" s="62"/>
    </row>
    <row r="2129" spans="1:12" x14ac:dyDescent="0.15">
      <c r="A2129" s="165"/>
      <c r="B2129" s="93"/>
      <c r="C2129" s="102"/>
      <c r="D2129" s="62"/>
      <c r="E2129" s="102"/>
      <c r="F2129" s="102"/>
      <c r="G2129" s="102"/>
      <c r="H2129" s="177"/>
      <c r="I2129" s="85"/>
      <c r="J2129" s="104"/>
      <c r="K2129" s="144"/>
      <c r="L2129" s="62"/>
    </row>
    <row r="2130" spans="1:12" x14ac:dyDescent="0.15">
      <c r="A2130" s="165"/>
      <c r="B2130" s="93"/>
      <c r="C2130" s="102"/>
      <c r="D2130" s="62"/>
      <c r="E2130" s="102"/>
      <c r="F2130" s="102"/>
      <c r="G2130" s="102"/>
      <c r="H2130" s="175"/>
      <c r="I2130" s="85"/>
      <c r="J2130" s="104"/>
      <c r="K2130" s="144"/>
      <c r="L2130" s="62"/>
    </row>
    <row r="2131" spans="1:12" x14ac:dyDescent="0.15">
      <c r="A2131" s="165"/>
      <c r="B2131" s="93"/>
      <c r="C2131" s="102"/>
      <c r="D2131" s="62"/>
      <c r="E2131" s="102"/>
      <c r="F2131" s="102"/>
      <c r="G2131" s="102"/>
      <c r="H2131" s="175"/>
      <c r="I2131" s="85"/>
      <c r="J2131" s="104"/>
      <c r="K2131" s="144"/>
      <c r="L2131" s="62"/>
    </row>
    <row r="2132" spans="1:12" x14ac:dyDescent="0.15">
      <c r="A2132" s="165"/>
      <c r="B2132" s="93"/>
      <c r="C2132" s="102"/>
      <c r="D2132" s="62"/>
      <c r="E2132" s="102"/>
      <c r="F2132" s="102"/>
      <c r="G2132" s="102"/>
      <c r="H2132" s="175"/>
      <c r="I2132" s="85"/>
      <c r="J2132" s="104"/>
      <c r="K2132" s="144"/>
      <c r="L2132" s="62"/>
    </row>
    <row r="2133" spans="1:12" x14ac:dyDescent="0.15">
      <c r="A2133" s="165"/>
      <c r="B2133" s="93"/>
      <c r="C2133" s="102"/>
      <c r="D2133" s="62"/>
      <c r="E2133" s="102"/>
      <c r="F2133" s="102"/>
      <c r="G2133" s="102"/>
      <c r="H2133" s="175"/>
      <c r="I2133" s="85"/>
      <c r="J2133" s="104"/>
      <c r="K2133" s="144"/>
      <c r="L2133" s="62"/>
    </row>
    <row r="2134" spans="1:12" x14ac:dyDescent="0.15">
      <c r="A2134" s="165"/>
      <c r="B2134" s="93"/>
      <c r="C2134" s="102"/>
      <c r="D2134" s="62"/>
      <c r="E2134" s="102"/>
      <c r="F2134" s="102"/>
      <c r="G2134" s="102"/>
      <c r="H2134" s="175"/>
      <c r="I2134" s="85"/>
      <c r="J2134" s="98"/>
      <c r="K2134" s="135"/>
      <c r="L2134" s="62"/>
    </row>
    <row r="2135" spans="1:12" x14ac:dyDescent="0.15">
      <c r="A2135" s="165"/>
      <c r="B2135" s="93"/>
      <c r="C2135" s="102"/>
      <c r="D2135" s="62"/>
      <c r="E2135" s="102"/>
      <c r="F2135" s="102"/>
      <c r="G2135" s="102"/>
      <c r="H2135" s="175"/>
      <c r="I2135" s="85"/>
      <c r="J2135" s="104"/>
      <c r="K2135" s="144"/>
      <c r="L2135" s="62"/>
    </row>
    <row r="2136" spans="1:12" x14ac:dyDescent="0.15">
      <c r="A2136" s="165"/>
      <c r="B2136" s="93"/>
      <c r="C2136" s="102"/>
      <c r="D2136" s="62"/>
      <c r="E2136" s="102"/>
      <c r="F2136" s="102"/>
      <c r="G2136" s="102"/>
      <c r="H2136" s="175"/>
      <c r="I2136" s="85"/>
      <c r="J2136" s="98"/>
      <c r="K2136" s="135"/>
      <c r="L2136" s="62"/>
    </row>
    <row r="2137" spans="1:12" x14ac:dyDescent="0.15">
      <c r="A2137" s="165"/>
      <c r="B2137" s="93"/>
      <c r="C2137" s="102"/>
      <c r="D2137" s="62"/>
      <c r="E2137" s="102"/>
      <c r="F2137" s="102"/>
      <c r="G2137" s="102"/>
      <c r="H2137" s="175"/>
      <c r="I2137" s="85"/>
      <c r="J2137" s="104"/>
      <c r="K2137" s="144"/>
      <c r="L2137" s="62"/>
    </row>
    <row r="2138" spans="1:12" x14ac:dyDescent="0.15">
      <c r="A2138" s="165"/>
      <c r="B2138" s="93"/>
      <c r="C2138" s="102"/>
      <c r="D2138" s="62"/>
      <c r="E2138" s="102"/>
      <c r="F2138" s="102"/>
      <c r="G2138" s="102"/>
      <c r="H2138" s="175"/>
      <c r="I2138" s="85"/>
      <c r="J2138" s="104"/>
      <c r="K2138" s="144"/>
      <c r="L2138" s="62"/>
    </row>
    <row r="2139" spans="1:12" x14ac:dyDescent="0.15">
      <c r="A2139" s="165"/>
      <c r="B2139" s="93"/>
      <c r="C2139" s="102"/>
      <c r="D2139" s="62"/>
      <c r="E2139" s="100"/>
      <c r="F2139" s="102"/>
      <c r="G2139" s="102"/>
      <c r="H2139" s="175"/>
      <c r="I2139" s="85"/>
      <c r="J2139" s="104"/>
      <c r="K2139" s="144"/>
      <c r="L2139" s="62"/>
    </row>
    <row r="2140" spans="1:12" x14ac:dyDescent="0.15">
      <c r="A2140" s="165"/>
      <c r="B2140" s="93"/>
      <c r="C2140" s="102"/>
      <c r="D2140" s="62"/>
      <c r="E2140" s="102"/>
      <c r="F2140" s="102"/>
      <c r="G2140" s="102"/>
      <c r="H2140" s="175"/>
      <c r="I2140" s="85"/>
      <c r="J2140" s="104"/>
      <c r="K2140" s="144"/>
      <c r="L2140" s="62"/>
    </row>
    <row r="2141" spans="1:12" x14ac:dyDescent="0.15">
      <c r="A2141" s="165"/>
      <c r="B2141" s="93"/>
      <c r="C2141" s="102"/>
      <c r="D2141" s="62"/>
      <c r="E2141" s="102"/>
      <c r="F2141" s="102"/>
      <c r="G2141" s="102"/>
      <c r="H2141" s="175"/>
      <c r="I2141" s="85"/>
      <c r="J2141" s="104"/>
      <c r="K2141" s="144"/>
      <c r="L2141" s="62"/>
    </row>
    <row r="2142" spans="1:12" x14ac:dyDescent="0.15">
      <c r="A2142" s="165"/>
      <c r="B2142" s="93"/>
      <c r="C2142" s="102"/>
      <c r="D2142" s="62"/>
      <c r="E2142" s="102"/>
      <c r="F2142" s="102"/>
      <c r="G2142" s="102"/>
      <c r="H2142" s="175"/>
      <c r="I2142" s="85"/>
      <c r="J2142" s="104"/>
      <c r="K2142" s="144"/>
      <c r="L2142" s="62"/>
    </row>
    <row r="2143" spans="1:12" x14ac:dyDescent="0.15">
      <c r="A2143" s="165"/>
      <c r="B2143" s="93"/>
      <c r="C2143" s="102"/>
      <c r="D2143" s="62"/>
      <c r="E2143" s="102"/>
      <c r="F2143" s="102"/>
      <c r="G2143" s="102"/>
      <c r="H2143" s="175"/>
      <c r="I2143" s="98"/>
      <c r="J2143" s="98"/>
      <c r="K2143" s="135"/>
      <c r="L2143" s="62"/>
    </row>
    <row r="2144" spans="1:12" x14ac:dyDescent="0.15">
      <c r="A2144" s="165"/>
      <c r="B2144" s="93"/>
      <c r="C2144" s="102"/>
      <c r="D2144" s="62"/>
      <c r="E2144" s="102"/>
      <c r="F2144" s="102"/>
      <c r="G2144" s="102"/>
      <c r="H2144" s="175"/>
      <c r="I2144" s="85"/>
      <c r="J2144" s="104"/>
      <c r="K2144" s="144"/>
      <c r="L2144" s="62"/>
    </row>
    <row r="2145" spans="1:12" x14ac:dyDescent="0.15">
      <c r="A2145" s="165"/>
      <c r="B2145" s="93"/>
      <c r="C2145" s="102"/>
      <c r="D2145" s="62"/>
      <c r="E2145" s="102"/>
      <c r="F2145" s="102"/>
      <c r="G2145" s="102"/>
      <c r="H2145" s="175"/>
      <c r="I2145" s="85"/>
      <c r="J2145" s="104"/>
      <c r="K2145" s="144"/>
      <c r="L2145" s="62"/>
    </row>
    <row r="2146" spans="1:12" x14ac:dyDescent="0.15">
      <c r="A2146" s="165"/>
      <c r="B2146" s="93"/>
      <c r="C2146" s="102"/>
      <c r="D2146" s="62"/>
      <c r="E2146" s="102"/>
      <c r="F2146" s="102"/>
      <c r="G2146" s="102"/>
      <c r="H2146" s="175"/>
      <c r="I2146" s="85"/>
      <c r="J2146" s="104"/>
      <c r="K2146" s="144"/>
      <c r="L2146" s="62"/>
    </row>
    <row r="2147" spans="1:12" x14ac:dyDescent="0.15">
      <c r="A2147" s="165"/>
      <c r="B2147" s="93"/>
      <c r="C2147" s="102"/>
      <c r="D2147" s="62"/>
      <c r="E2147" s="102"/>
      <c r="F2147" s="102"/>
      <c r="G2147" s="102"/>
      <c r="H2147" s="175"/>
      <c r="I2147" s="85"/>
      <c r="J2147" s="104"/>
      <c r="K2147" s="144"/>
      <c r="L2147" s="62"/>
    </row>
    <row r="2148" spans="1:12" x14ac:dyDescent="0.15">
      <c r="A2148" s="165"/>
      <c r="B2148" s="93"/>
      <c r="C2148" s="102"/>
      <c r="D2148" s="62"/>
      <c r="E2148" s="102"/>
      <c r="F2148" s="102"/>
      <c r="G2148" s="102"/>
      <c r="H2148" s="175"/>
      <c r="I2148" s="98"/>
      <c r="J2148" s="98"/>
      <c r="K2148" s="135"/>
      <c r="L2148" s="62"/>
    </row>
    <row r="2149" spans="1:12" x14ac:dyDescent="0.15">
      <c r="A2149" s="165"/>
      <c r="B2149" s="93"/>
      <c r="C2149" s="102"/>
      <c r="D2149" s="62"/>
      <c r="E2149" s="102"/>
      <c r="F2149" s="102"/>
      <c r="G2149" s="102"/>
      <c r="H2149" s="175"/>
      <c r="I2149" s="98"/>
      <c r="J2149" s="98"/>
      <c r="K2149" s="135"/>
      <c r="L2149" s="62"/>
    </row>
    <row r="2150" spans="1:12" x14ac:dyDescent="0.15">
      <c r="A2150" s="165"/>
      <c r="B2150" s="93"/>
      <c r="C2150" s="102"/>
      <c r="D2150" s="62"/>
      <c r="E2150" s="102"/>
      <c r="F2150" s="102"/>
      <c r="G2150" s="102"/>
      <c r="H2150" s="175"/>
      <c r="I2150" s="85"/>
      <c r="J2150" s="104"/>
      <c r="K2150" s="144"/>
      <c r="L2150" s="62"/>
    </row>
    <row r="2151" spans="1:12" x14ac:dyDescent="0.15">
      <c r="A2151" s="165"/>
      <c r="B2151" s="93"/>
      <c r="C2151" s="102"/>
      <c r="D2151" s="62"/>
      <c r="E2151" s="102"/>
      <c r="F2151" s="102"/>
      <c r="G2151" s="102"/>
      <c r="H2151" s="175"/>
      <c r="I2151" s="85"/>
      <c r="J2151" s="104"/>
      <c r="K2151" s="144"/>
      <c r="L2151" s="62"/>
    </row>
    <row r="2152" spans="1:12" x14ac:dyDescent="0.15">
      <c r="A2152" s="165"/>
      <c r="B2152" s="93"/>
      <c r="C2152" s="102"/>
      <c r="D2152" s="62"/>
      <c r="E2152" s="102"/>
      <c r="F2152" s="102"/>
      <c r="G2152" s="102"/>
      <c r="H2152" s="175"/>
      <c r="I2152" s="98"/>
      <c r="J2152" s="98"/>
      <c r="K2152" s="135"/>
      <c r="L2152" s="62"/>
    </row>
    <row r="2153" spans="1:12" x14ac:dyDescent="0.15">
      <c r="A2153" s="165"/>
      <c r="B2153" s="93"/>
      <c r="C2153" s="102"/>
      <c r="D2153" s="62"/>
      <c r="E2153" s="102"/>
      <c r="F2153" s="102"/>
      <c r="G2153" s="102"/>
      <c r="H2153" s="175"/>
      <c r="I2153" s="85"/>
      <c r="J2153" s="104"/>
      <c r="K2153" s="144"/>
      <c r="L2153" s="62"/>
    </row>
    <row r="2154" spans="1:12" x14ac:dyDescent="0.15">
      <c r="A2154" s="165"/>
      <c r="B2154" s="93"/>
      <c r="C2154" s="102"/>
      <c r="D2154" s="62"/>
      <c r="E2154" s="102"/>
      <c r="F2154" s="102"/>
      <c r="G2154" s="102"/>
      <c r="H2154" s="175"/>
      <c r="I2154" s="85"/>
      <c r="J2154" s="104"/>
      <c r="K2154" s="144"/>
      <c r="L2154" s="62"/>
    </row>
    <row r="2155" spans="1:12" x14ac:dyDescent="0.15">
      <c r="A2155" s="165"/>
      <c r="B2155" s="93"/>
      <c r="C2155" s="102"/>
      <c r="D2155" s="62"/>
      <c r="E2155" s="102"/>
      <c r="F2155" s="102"/>
      <c r="G2155" s="102"/>
      <c r="H2155" s="175"/>
      <c r="I2155" s="85"/>
      <c r="J2155" s="104"/>
      <c r="K2155" s="144"/>
      <c r="L2155" s="62"/>
    </row>
    <row r="2156" spans="1:12" x14ac:dyDescent="0.15">
      <c r="A2156" s="165"/>
      <c r="B2156" s="93"/>
      <c r="C2156" s="102"/>
      <c r="D2156" s="62"/>
      <c r="E2156" s="102"/>
      <c r="F2156" s="102"/>
      <c r="G2156" s="102"/>
      <c r="H2156" s="175"/>
      <c r="I2156" s="98"/>
      <c r="J2156" s="98"/>
      <c r="K2156" s="135"/>
      <c r="L2156" s="62"/>
    </row>
    <row r="2157" spans="1:12" x14ac:dyDescent="0.15">
      <c r="A2157" s="165"/>
      <c r="B2157" s="93"/>
      <c r="C2157" s="102"/>
      <c r="D2157" s="62"/>
      <c r="E2157" s="102"/>
      <c r="F2157" s="102"/>
      <c r="G2157" s="102"/>
      <c r="H2157" s="177"/>
      <c r="I2157" s="98"/>
      <c r="J2157" s="98"/>
      <c r="K2157" s="135"/>
      <c r="L2157" s="62"/>
    </row>
    <row r="2158" spans="1:12" x14ac:dyDescent="0.15">
      <c r="A2158" s="165"/>
      <c r="B2158" s="93"/>
      <c r="C2158" s="102"/>
      <c r="D2158" s="62"/>
      <c r="E2158" s="102"/>
      <c r="F2158" s="102"/>
      <c r="G2158" s="102"/>
      <c r="H2158" s="175"/>
      <c r="I2158" s="85"/>
      <c r="J2158" s="104"/>
      <c r="K2158" s="144"/>
      <c r="L2158" s="62"/>
    </row>
    <row r="2159" spans="1:12" x14ac:dyDescent="0.15">
      <c r="A2159" s="165"/>
      <c r="B2159" s="93"/>
      <c r="C2159" s="102"/>
      <c r="D2159" s="62"/>
      <c r="E2159" s="102"/>
      <c r="F2159" s="102"/>
      <c r="G2159" s="102"/>
      <c r="H2159" s="175"/>
      <c r="I2159" s="85"/>
      <c r="J2159" s="104"/>
      <c r="K2159" s="144"/>
      <c r="L2159" s="62"/>
    </row>
    <row r="2160" spans="1:12" x14ac:dyDescent="0.15">
      <c r="A2160" s="165"/>
      <c r="B2160" s="93"/>
      <c r="C2160" s="102"/>
      <c r="D2160" s="62"/>
      <c r="E2160" s="102"/>
      <c r="F2160" s="102"/>
      <c r="G2160" s="102"/>
      <c r="H2160" s="175"/>
      <c r="I2160" s="85"/>
      <c r="J2160" s="104"/>
      <c r="K2160" s="144"/>
      <c r="L2160" s="62"/>
    </row>
    <row r="2161" spans="1:16" x14ac:dyDescent="0.15">
      <c r="A2161" s="165"/>
      <c r="B2161" s="93"/>
      <c r="C2161" s="102"/>
      <c r="D2161" s="62"/>
      <c r="E2161" s="102"/>
      <c r="F2161" s="102"/>
      <c r="G2161" s="102"/>
      <c r="H2161" s="175"/>
      <c r="I2161" s="85"/>
      <c r="J2161" s="104"/>
      <c r="K2161" s="144"/>
      <c r="L2161" s="62"/>
    </row>
    <row r="2162" spans="1:16" x14ac:dyDescent="0.15">
      <c r="A2162" s="165"/>
      <c r="B2162" s="93"/>
      <c r="C2162" s="102"/>
      <c r="D2162" s="62"/>
      <c r="E2162" s="102"/>
      <c r="F2162" s="102"/>
      <c r="G2162" s="102"/>
      <c r="H2162" s="175"/>
      <c r="I2162" s="85"/>
      <c r="J2162" s="104"/>
      <c r="K2162" s="144"/>
      <c r="L2162" s="62"/>
    </row>
    <row r="2163" spans="1:16" x14ac:dyDescent="0.15">
      <c r="A2163" s="165"/>
      <c r="B2163" s="93"/>
      <c r="C2163" s="102"/>
      <c r="D2163" s="62"/>
      <c r="E2163" s="102"/>
      <c r="F2163" s="102"/>
      <c r="G2163" s="102"/>
      <c r="H2163" s="175"/>
      <c r="I2163" s="85"/>
      <c r="J2163" s="104"/>
      <c r="K2163" s="144"/>
      <c r="L2163" s="62"/>
    </row>
    <row r="2164" spans="1:16" x14ac:dyDescent="0.15">
      <c r="A2164" s="165"/>
      <c r="B2164" s="93"/>
      <c r="C2164" s="102"/>
      <c r="D2164" s="62"/>
      <c r="E2164" s="102"/>
      <c r="F2164" s="102"/>
      <c r="G2164" s="102"/>
      <c r="H2164" s="175"/>
      <c r="I2164" s="85"/>
      <c r="J2164" s="104"/>
      <c r="K2164" s="144"/>
      <c r="L2164" s="62"/>
    </row>
    <row r="2165" spans="1:16" x14ac:dyDescent="0.15">
      <c r="A2165" s="165"/>
      <c r="B2165" s="97"/>
      <c r="C2165" s="107"/>
      <c r="D2165" s="62"/>
      <c r="E2165" s="107"/>
      <c r="F2165" s="107"/>
      <c r="G2165" s="107"/>
      <c r="H2165" s="179"/>
      <c r="I2165" s="103"/>
      <c r="J2165" s="104"/>
      <c r="K2165" s="143"/>
      <c r="L2165" s="61"/>
      <c r="M2165" s="35"/>
      <c r="N2165" s="35"/>
      <c r="O2165" s="35"/>
      <c r="P2165" s="35"/>
    </row>
    <row r="2166" spans="1:16" x14ac:dyDescent="0.15">
      <c r="A2166" s="165"/>
      <c r="B2166" s="93"/>
      <c r="C2166" s="102"/>
      <c r="D2166" s="62"/>
      <c r="E2166" s="102"/>
      <c r="F2166" s="102"/>
      <c r="G2166" s="102"/>
      <c r="H2166" s="175"/>
      <c r="I2166" s="98"/>
      <c r="J2166" s="98"/>
      <c r="K2166" s="135"/>
      <c r="L2166" s="62"/>
    </row>
    <row r="2167" spans="1:16" x14ac:dyDescent="0.15">
      <c r="A2167" s="165"/>
      <c r="B2167" s="93"/>
      <c r="C2167" s="102"/>
      <c r="D2167" s="62"/>
      <c r="E2167" s="102"/>
      <c r="F2167" s="102"/>
      <c r="G2167" s="102"/>
      <c r="H2167" s="175"/>
      <c r="I2167" s="98"/>
      <c r="J2167" s="98"/>
      <c r="K2167" s="135"/>
      <c r="L2167" s="62"/>
    </row>
    <row r="2168" spans="1:16" x14ac:dyDescent="0.15">
      <c r="A2168" s="165"/>
      <c r="B2168" s="93"/>
      <c r="C2168" s="102"/>
      <c r="D2168" s="62"/>
      <c r="E2168" s="102"/>
      <c r="F2168" s="102"/>
      <c r="G2168" s="102"/>
      <c r="H2168" s="175"/>
      <c r="I2168" s="85"/>
      <c r="J2168" s="104"/>
      <c r="K2168" s="144"/>
      <c r="L2168" s="62"/>
    </row>
    <row r="2169" spans="1:16" x14ac:dyDescent="0.15">
      <c r="A2169" s="165"/>
      <c r="B2169" s="93"/>
      <c r="C2169" s="102"/>
      <c r="D2169" s="62"/>
      <c r="E2169" s="102"/>
      <c r="F2169" s="102"/>
      <c r="G2169" s="102"/>
      <c r="H2169" s="175"/>
      <c r="I2169" s="85"/>
      <c r="J2169" s="104"/>
      <c r="K2169" s="144"/>
      <c r="L2169" s="62"/>
    </row>
    <row r="2170" spans="1:16" x14ac:dyDescent="0.15">
      <c r="A2170" s="165"/>
      <c r="B2170" s="93"/>
      <c r="C2170" s="102"/>
      <c r="D2170" s="62"/>
      <c r="E2170" s="102"/>
      <c r="F2170" s="102"/>
      <c r="G2170" s="102"/>
      <c r="H2170" s="175"/>
      <c r="I2170" s="98"/>
      <c r="J2170" s="98"/>
      <c r="K2170" s="135"/>
      <c r="L2170" s="62"/>
    </row>
    <row r="2171" spans="1:16" x14ac:dyDescent="0.15">
      <c r="A2171" s="167"/>
      <c r="B2171" s="87"/>
      <c r="C2171" s="88"/>
      <c r="D2171" s="86"/>
      <c r="E2171" s="86"/>
      <c r="F2171" s="86"/>
      <c r="G2171" s="86"/>
      <c r="H2171" s="87"/>
      <c r="I2171" s="85"/>
      <c r="J2171" s="89"/>
      <c r="K2171" s="132"/>
      <c r="L2171" s="68"/>
    </row>
    <row r="2172" spans="1:16" x14ac:dyDescent="0.15">
      <c r="A2172" s="167"/>
      <c r="B2172" s="87"/>
      <c r="C2172" s="88"/>
      <c r="D2172" s="86"/>
      <c r="E2172" s="86"/>
      <c r="F2172" s="86"/>
      <c r="G2172" s="86"/>
      <c r="H2172" s="87"/>
      <c r="I2172" s="85"/>
      <c r="J2172" s="89"/>
      <c r="K2172" s="132"/>
      <c r="L2172" s="68"/>
    </row>
    <row r="2173" spans="1:16" x14ac:dyDescent="0.15">
      <c r="A2173" s="167"/>
      <c r="B2173" s="87"/>
      <c r="C2173" s="88"/>
      <c r="D2173" s="86"/>
      <c r="E2173" s="86"/>
      <c r="F2173" s="86"/>
      <c r="G2173" s="86"/>
      <c r="H2173" s="87"/>
      <c r="I2173" s="85"/>
      <c r="J2173" s="89"/>
      <c r="K2173" s="135"/>
      <c r="L2173" s="61"/>
    </row>
    <row r="2174" spans="1:16" x14ac:dyDescent="0.15">
      <c r="A2174" s="167"/>
      <c r="B2174" s="87"/>
      <c r="C2174" s="88"/>
      <c r="D2174" s="86"/>
      <c r="E2174" s="86"/>
      <c r="F2174" s="86"/>
      <c r="G2174" s="86"/>
      <c r="H2174" s="87"/>
      <c r="I2174" s="85"/>
      <c r="J2174" s="89"/>
      <c r="K2174" s="132"/>
      <c r="L2174" s="61"/>
    </row>
    <row r="2175" spans="1:16" x14ac:dyDescent="0.15">
      <c r="A2175" s="167"/>
      <c r="B2175" s="93"/>
      <c r="C2175" s="70"/>
      <c r="D2175" s="86"/>
      <c r="E2175" s="70"/>
      <c r="F2175" s="70"/>
      <c r="G2175" s="70"/>
      <c r="H2175" s="93"/>
      <c r="I2175" s="85"/>
      <c r="J2175" s="85"/>
      <c r="K2175" s="131"/>
      <c r="L2175" s="61"/>
      <c r="M2175" s="35"/>
    </row>
    <row r="2176" spans="1:16" x14ac:dyDescent="0.15">
      <c r="A2176" s="166"/>
      <c r="B2176" s="82"/>
      <c r="C2176" s="70"/>
      <c r="D2176" s="70"/>
      <c r="E2176" s="70"/>
      <c r="F2176" s="70"/>
      <c r="G2176" s="70"/>
      <c r="H2176" s="93"/>
      <c r="I2176" s="85"/>
      <c r="J2176" s="85"/>
      <c r="K2176" s="131"/>
      <c r="L2176" s="60"/>
    </row>
    <row r="2177" spans="1:16" x14ac:dyDescent="0.15">
      <c r="A2177" s="166"/>
      <c r="B2177" s="82"/>
      <c r="C2177" s="70"/>
      <c r="D2177" s="70"/>
      <c r="E2177" s="70"/>
      <c r="F2177" s="70"/>
      <c r="G2177" s="70"/>
      <c r="H2177" s="93"/>
      <c r="I2177" s="85"/>
      <c r="J2177" s="85"/>
      <c r="K2177" s="131"/>
      <c r="L2177" s="60"/>
      <c r="N2177" s="35"/>
    </row>
    <row r="2178" spans="1:16" x14ac:dyDescent="0.15">
      <c r="A2178" s="166"/>
      <c r="B2178" s="82"/>
      <c r="C2178" s="70"/>
      <c r="D2178" s="70"/>
      <c r="E2178" s="70"/>
      <c r="F2178" s="70"/>
      <c r="G2178" s="70"/>
      <c r="H2178" s="93"/>
      <c r="I2178" s="85"/>
      <c r="J2178" s="85"/>
      <c r="K2178" s="131"/>
      <c r="L2178" s="60"/>
      <c r="N2178" s="35"/>
    </row>
    <row r="2179" spans="1:16" x14ac:dyDescent="0.15">
      <c r="A2179" s="166"/>
      <c r="B2179" s="82"/>
      <c r="C2179" s="70"/>
      <c r="D2179" s="70"/>
      <c r="E2179" s="70"/>
      <c r="F2179" s="70"/>
      <c r="G2179" s="70"/>
      <c r="H2179" s="93"/>
      <c r="I2179" s="85"/>
      <c r="J2179" s="85"/>
      <c r="K2179" s="131"/>
      <c r="L2179" s="60"/>
    </row>
    <row r="2180" spans="1:16" x14ac:dyDescent="0.15">
      <c r="A2180" s="166"/>
      <c r="B2180" s="82"/>
      <c r="C2180" s="70"/>
      <c r="D2180" s="70"/>
      <c r="E2180" s="70"/>
      <c r="F2180" s="70"/>
      <c r="G2180" s="70"/>
      <c r="H2180" s="93"/>
      <c r="I2180" s="85"/>
      <c r="J2180" s="85"/>
      <c r="K2180" s="131"/>
      <c r="L2180" s="60"/>
    </row>
    <row r="2181" spans="1:16" x14ac:dyDescent="0.15">
      <c r="A2181" s="166"/>
      <c r="B2181" s="82"/>
      <c r="C2181" s="70"/>
      <c r="D2181" s="70"/>
      <c r="E2181" s="70"/>
      <c r="F2181" s="70"/>
      <c r="G2181" s="70"/>
      <c r="H2181" s="93"/>
      <c r="I2181" s="85"/>
      <c r="J2181" s="85"/>
      <c r="K2181" s="131"/>
      <c r="L2181" s="60"/>
    </row>
    <row r="2182" spans="1:16" x14ac:dyDescent="0.15">
      <c r="A2182" s="166"/>
      <c r="B2182" s="82"/>
      <c r="C2182" s="70"/>
      <c r="D2182" s="70"/>
      <c r="E2182" s="70"/>
      <c r="F2182" s="70"/>
      <c r="G2182" s="70"/>
      <c r="H2182" s="93"/>
      <c r="I2182" s="85"/>
      <c r="J2182" s="85"/>
      <c r="K2182" s="131"/>
      <c r="L2182" s="60"/>
    </row>
    <row r="2183" spans="1:16" x14ac:dyDescent="0.15">
      <c r="A2183" s="166"/>
      <c r="B2183" s="82"/>
      <c r="C2183" s="70"/>
      <c r="D2183" s="70"/>
      <c r="E2183" s="70"/>
      <c r="F2183" s="70"/>
      <c r="G2183" s="70"/>
      <c r="H2183" s="93"/>
      <c r="I2183" s="85"/>
      <c r="J2183" s="85"/>
      <c r="K2183" s="131"/>
      <c r="L2183" s="60"/>
    </row>
    <row r="2184" spans="1:16" x14ac:dyDescent="0.15">
      <c r="A2184" s="166"/>
      <c r="B2184" s="82"/>
      <c r="C2184" s="70"/>
      <c r="D2184" s="70"/>
      <c r="E2184" s="70"/>
      <c r="F2184" s="70"/>
      <c r="G2184" s="70"/>
      <c r="H2184" s="93"/>
      <c r="I2184" s="85"/>
      <c r="J2184" s="85"/>
      <c r="K2184" s="131"/>
      <c r="L2184" s="60"/>
      <c r="P2184" s="35"/>
    </row>
    <row r="2185" spans="1:16" x14ac:dyDescent="0.15">
      <c r="A2185" s="166"/>
      <c r="B2185" s="82"/>
      <c r="C2185" s="70"/>
      <c r="D2185" s="70"/>
      <c r="E2185" s="70"/>
      <c r="F2185" s="70"/>
      <c r="G2185" s="70"/>
      <c r="H2185" s="93"/>
      <c r="I2185" s="85"/>
      <c r="J2185" s="85"/>
      <c r="K2185" s="131"/>
      <c r="L2185" s="60"/>
    </row>
    <row r="2186" spans="1:16" x14ac:dyDescent="0.15">
      <c r="A2186" s="166"/>
      <c r="B2186" s="82"/>
      <c r="C2186" s="70"/>
      <c r="D2186" s="70"/>
      <c r="E2186" s="70"/>
      <c r="F2186" s="70"/>
      <c r="G2186" s="70"/>
      <c r="H2186" s="93"/>
      <c r="I2186" s="85"/>
      <c r="J2186" s="85"/>
      <c r="K2186" s="131"/>
      <c r="L2186" s="60"/>
    </row>
    <row r="2187" spans="1:16" x14ac:dyDescent="0.15">
      <c r="A2187" s="166"/>
      <c r="B2187" s="82"/>
      <c r="C2187" s="70"/>
      <c r="D2187" s="70"/>
      <c r="E2187" s="70"/>
      <c r="F2187" s="70"/>
      <c r="G2187" s="70"/>
      <c r="H2187" s="93"/>
      <c r="I2187" s="85"/>
      <c r="J2187" s="85"/>
      <c r="K2187" s="131"/>
      <c r="L2187" s="60"/>
    </row>
    <row r="2188" spans="1:16" x14ac:dyDescent="0.15">
      <c r="A2188" s="166"/>
      <c r="B2188" s="82"/>
      <c r="C2188" s="70"/>
      <c r="D2188" s="70"/>
      <c r="E2188" s="70"/>
      <c r="F2188" s="70"/>
      <c r="G2188" s="70"/>
      <c r="H2188" s="93"/>
      <c r="I2188" s="85"/>
      <c r="J2188" s="85"/>
      <c r="K2188" s="131"/>
      <c r="L2188" s="60"/>
    </row>
    <row r="2189" spans="1:16" x14ac:dyDescent="0.15">
      <c r="A2189" s="166"/>
      <c r="B2189" s="82"/>
      <c r="C2189" s="70"/>
      <c r="D2189" s="70"/>
      <c r="E2189" s="70"/>
      <c r="F2189" s="70"/>
      <c r="G2189" s="70"/>
      <c r="H2189" s="93"/>
      <c r="I2189" s="85"/>
      <c r="J2189" s="85"/>
      <c r="K2189" s="131"/>
      <c r="L2189" s="60"/>
    </row>
    <row r="2190" spans="1:16" x14ac:dyDescent="0.15">
      <c r="A2190" s="166"/>
      <c r="B2190" s="82"/>
      <c r="C2190" s="70"/>
      <c r="D2190" s="70"/>
      <c r="E2190" s="70"/>
      <c r="F2190" s="70"/>
      <c r="G2190" s="70"/>
      <c r="H2190" s="93"/>
      <c r="I2190" s="85"/>
      <c r="J2190" s="85"/>
      <c r="K2190" s="131"/>
      <c r="L2190" s="60"/>
    </row>
    <row r="2191" spans="1:16" x14ac:dyDescent="0.15">
      <c r="A2191" s="166"/>
      <c r="B2191" s="82"/>
      <c r="C2191" s="70"/>
      <c r="D2191" s="70"/>
      <c r="E2191" s="70"/>
      <c r="F2191" s="70"/>
      <c r="G2191" s="70"/>
      <c r="H2191" s="93"/>
      <c r="I2191" s="85"/>
      <c r="J2191" s="85"/>
      <c r="K2191" s="131"/>
      <c r="L2191" s="60"/>
    </row>
    <row r="2192" spans="1:16" x14ac:dyDescent="0.15">
      <c r="A2192" s="166"/>
      <c r="B2192" s="82"/>
      <c r="C2192" s="70"/>
      <c r="D2192" s="70"/>
      <c r="E2192" s="70"/>
      <c r="F2192" s="70"/>
      <c r="G2192" s="70"/>
      <c r="H2192" s="93"/>
      <c r="I2192" s="85"/>
      <c r="J2192" s="85"/>
      <c r="K2192" s="131"/>
      <c r="L2192" s="60"/>
    </row>
    <row r="2193" spans="1:16" x14ac:dyDescent="0.15">
      <c r="A2193" s="166"/>
      <c r="B2193" s="82"/>
      <c r="C2193" s="70"/>
      <c r="D2193" s="70"/>
      <c r="E2193" s="70"/>
      <c r="F2193" s="70"/>
      <c r="G2193" s="70"/>
      <c r="H2193" s="93"/>
      <c r="I2193" s="85"/>
      <c r="J2193" s="85"/>
      <c r="K2193" s="131"/>
      <c r="L2193" s="60"/>
    </row>
    <row r="2194" spans="1:16" x14ac:dyDescent="0.15">
      <c r="A2194" s="166"/>
      <c r="B2194" s="82"/>
      <c r="C2194" s="70"/>
      <c r="D2194" s="70"/>
      <c r="E2194" s="70"/>
      <c r="F2194" s="70"/>
      <c r="G2194" s="70"/>
      <c r="H2194" s="93"/>
      <c r="I2194" s="85"/>
      <c r="J2194" s="85"/>
      <c r="K2194" s="131"/>
      <c r="L2194" s="60"/>
      <c r="P2194" s="35"/>
    </row>
    <row r="2195" spans="1:16" ht="16" x14ac:dyDescent="0.2">
      <c r="A2195" s="166"/>
      <c r="B2195" s="82"/>
      <c r="C2195" s="70"/>
      <c r="D2195" s="70"/>
      <c r="E2195" s="70"/>
      <c r="F2195" s="70"/>
      <c r="G2195" s="70"/>
      <c r="H2195" s="93"/>
      <c r="I2195" s="85"/>
      <c r="J2195" s="85"/>
      <c r="K2195" s="131"/>
      <c r="L2195" s="60"/>
      <c r="N2195" s="48"/>
    </row>
    <row r="2196" spans="1:16" x14ac:dyDescent="0.15">
      <c r="A2196" s="166"/>
      <c r="B2196" s="82"/>
      <c r="C2196" s="70"/>
      <c r="D2196" s="70"/>
      <c r="E2196" s="70"/>
      <c r="F2196" s="70"/>
      <c r="G2196" s="70"/>
      <c r="H2196" s="93"/>
      <c r="I2196" s="85"/>
      <c r="J2196" s="85"/>
      <c r="K2196" s="131"/>
      <c r="L2196" s="60"/>
    </row>
    <row r="2197" spans="1:16" x14ac:dyDescent="0.15">
      <c r="A2197" s="166"/>
      <c r="B2197" s="82"/>
      <c r="C2197" s="70"/>
      <c r="D2197" s="70"/>
      <c r="E2197" s="70"/>
      <c r="F2197" s="70"/>
      <c r="G2197" s="70"/>
      <c r="H2197" s="93"/>
      <c r="I2197" s="85"/>
      <c r="J2197" s="85"/>
      <c r="K2197" s="131"/>
      <c r="L2197" s="60"/>
    </row>
    <row r="2198" spans="1:16" x14ac:dyDescent="0.15">
      <c r="A2198" s="166"/>
      <c r="B2198" s="82"/>
      <c r="C2198" s="70"/>
      <c r="D2198" s="70"/>
      <c r="E2198" s="70"/>
      <c r="F2198" s="70"/>
      <c r="G2198" s="70"/>
      <c r="H2198" s="93"/>
      <c r="I2198" s="85"/>
      <c r="J2198" s="85"/>
      <c r="K2198" s="131"/>
      <c r="L2198" s="60"/>
    </row>
    <row r="2199" spans="1:16" x14ac:dyDescent="0.15">
      <c r="A2199" s="166"/>
      <c r="B2199" s="82"/>
      <c r="C2199" s="70"/>
      <c r="D2199" s="70"/>
      <c r="E2199" s="70"/>
      <c r="F2199" s="70"/>
      <c r="G2199" s="70"/>
      <c r="H2199" s="93"/>
      <c r="I2199" s="85"/>
      <c r="J2199" s="85"/>
      <c r="K2199" s="131"/>
      <c r="L2199" s="60"/>
    </row>
    <row r="2200" spans="1:16" ht="16" x14ac:dyDescent="0.2">
      <c r="A2200" s="166"/>
      <c r="B2200" s="82"/>
      <c r="C2200" s="70"/>
      <c r="D2200" s="70"/>
      <c r="E2200" s="70"/>
      <c r="F2200" s="70"/>
      <c r="G2200" s="70"/>
      <c r="H2200" s="93"/>
      <c r="I2200" s="85"/>
      <c r="J2200" s="85"/>
      <c r="K2200" s="131"/>
      <c r="L2200" s="60"/>
      <c r="N2200" s="48"/>
    </row>
    <row r="2201" spans="1:16" ht="16" x14ac:dyDescent="0.2">
      <c r="A2201" s="166"/>
      <c r="B2201" s="82"/>
      <c r="C2201" s="70"/>
      <c r="D2201" s="70"/>
      <c r="E2201" s="70"/>
      <c r="F2201" s="70"/>
      <c r="G2201" s="70"/>
      <c r="H2201" s="93"/>
      <c r="I2201" s="85"/>
      <c r="J2201" s="85"/>
      <c r="K2201" s="131"/>
      <c r="L2201" s="60"/>
      <c r="N2201" s="48"/>
    </row>
    <row r="2202" spans="1:16" x14ac:dyDescent="0.15">
      <c r="A2202" s="166"/>
      <c r="B2202" s="82"/>
      <c r="C2202" s="70"/>
      <c r="D2202" s="70"/>
      <c r="E2202" s="70"/>
      <c r="F2202" s="70"/>
      <c r="G2202" s="70"/>
      <c r="H2202" s="93"/>
      <c r="I2202" s="85"/>
      <c r="J2202" s="85"/>
      <c r="K2202" s="131"/>
      <c r="L2202" s="60"/>
    </row>
    <row r="2203" spans="1:16" x14ac:dyDescent="0.15">
      <c r="A2203" s="166"/>
      <c r="B2203" s="82"/>
      <c r="C2203" s="70"/>
      <c r="D2203" s="70"/>
      <c r="E2203" s="70"/>
      <c r="F2203" s="70"/>
      <c r="G2203" s="70"/>
      <c r="H2203" s="93"/>
      <c r="I2203" s="85"/>
      <c r="J2203" s="85"/>
      <c r="K2203" s="131"/>
      <c r="L2203" s="60"/>
    </row>
    <row r="2204" spans="1:16" x14ac:dyDescent="0.15">
      <c r="A2204" s="166"/>
      <c r="B2204" s="93"/>
      <c r="C2204" s="70"/>
      <c r="D2204" s="70"/>
      <c r="E2204" s="70"/>
      <c r="F2204" s="70"/>
      <c r="G2204" s="70"/>
      <c r="H2204" s="93"/>
      <c r="I2204" s="85"/>
      <c r="J2204" s="85"/>
      <c r="K2204" s="131"/>
      <c r="L2204" s="60"/>
      <c r="M2204" s="33"/>
    </row>
    <row r="2205" spans="1:16" x14ac:dyDescent="0.15">
      <c r="A2205" s="166"/>
      <c r="B2205" s="82"/>
      <c r="C2205" s="70"/>
      <c r="D2205" s="70"/>
      <c r="E2205" s="70"/>
      <c r="F2205" s="70"/>
      <c r="G2205" s="70"/>
      <c r="H2205" s="93"/>
      <c r="I2205" s="85"/>
      <c r="J2205" s="85"/>
      <c r="K2205" s="131"/>
      <c r="L2205" s="60"/>
    </row>
    <row r="2206" spans="1:16" x14ac:dyDescent="0.15">
      <c r="A2206" s="166"/>
      <c r="B2206" s="82"/>
      <c r="C2206" s="70"/>
      <c r="D2206" s="70"/>
      <c r="E2206" s="70"/>
      <c r="F2206" s="70"/>
      <c r="G2206" s="70"/>
      <c r="H2206" s="93"/>
      <c r="I2206" s="85"/>
      <c r="J2206" s="95"/>
      <c r="K2206" s="131"/>
      <c r="L2206" s="60"/>
    </row>
    <row r="2207" spans="1:16" x14ac:dyDescent="0.15">
      <c r="A2207" s="166"/>
      <c r="B2207" s="82"/>
      <c r="C2207" s="70"/>
      <c r="D2207" s="70"/>
      <c r="E2207" s="70"/>
      <c r="F2207" s="70"/>
      <c r="G2207" s="70"/>
      <c r="H2207" s="93"/>
      <c r="I2207" s="85"/>
      <c r="J2207" s="85"/>
      <c r="K2207" s="131"/>
      <c r="L2207" s="60"/>
    </row>
    <row r="2208" spans="1:16" ht="16" x14ac:dyDescent="0.2">
      <c r="A2208" s="166"/>
      <c r="B2208" s="82"/>
      <c r="C2208" s="70"/>
      <c r="D2208" s="70"/>
      <c r="E2208" s="70"/>
      <c r="F2208" s="70"/>
      <c r="G2208" s="70"/>
      <c r="H2208" s="93"/>
      <c r="I2208" s="85"/>
      <c r="J2208" s="85"/>
      <c r="K2208" s="131"/>
      <c r="L2208" s="60"/>
      <c r="N2208" s="48"/>
    </row>
    <row r="2209" spans="1:14" x14ac:dyDescent="0.15">
      <c r="A2209" s="166"/>
      <c r="B2209" s="82"/>
      <c r="C2209" s="70"/>
      <c r="D2209" s="70"/>
      <c r="E2209" s="70"/>
      <c r="F2209" s="70"/>
      <c r="G2209" s="70"/>
      <c r="H2209" s="93"/>
      <c r="I2209" s="85"/>
      <c r="J2209" s="85"/>
      <c r="K2209" s="131"/>
      <c r="L2209" s="60"/>
    </row>
    <row r="2210" spans="1:14" ht="16" x14ac:dyDescent="0.2">
      <c r="A2210" s="166"/>
      <c r="B2210" s="82"/>
      <c r="C2210" s="70"/>
      <c r="D2210" s="70"/>
      <c r="E2210" s="70"/>
      <c r="F2210" s="70"/>
      <c r="G2210" s="70"/>
      <c r="H2210" s="93"/>
      <c r="I2210" s="85"/>
      <c r="J2210" s="85"/>
      <c r="K2210" s="131"/>
      <c r="L2210" s="60"/>
      <c r="N2210" s="48"/>
    </row>
    <row r="2211" spans="1:14" x14ac:dyDescent="0.15">
      <c r="A2211" s="166"/>
      <c r="B2211" s="82"/>
      <c r="C2211" s="70"/>
      <c r="D2211" s="70"/>
      <c r="E2211" s="70"/>
      <c r="F2211" s="70"/>
      <c r="G2211" s="70"/>
      <c r="H2211" s="93"/>
      <c r="I2211" s="85"/>
      <c r="J2211" s="85"/>
      <c r="K2211" s="131"/>
      <c r="L2211" s="60"/>
    </row>
    <row r="2212" spans="1:14" x14ac:dyDescent="0.15">
      <c r="A2212" s="166"/>
      <c r="B2212" s="82"/>
      <c r="C2212" s="73"/>
      <c r="D2212" s="73"/>
      <c r="E2212" s="70"/>
      <c r="F2212" s="73"/>
      <c r="G2212" s="73"/>
      <c r="H2212" s="108"/>
      <c r="I2212" s="85"/>
      <c r="J2212" s="95"/>
      <c r="K2212" s="131"/>
      <c r="L2212" s="60"/>
    </row>
    <row r="2213" spans="1:14" x14ac:dyDescent="0.15">
      <c r="A2213" s="166"/>
      <c r="B2213" s="82"/>
      <c r="C2213" s="70"/>
      <c r="D2213" s="70"/>
      <c r="E2213" s="70"/>
      <c r="F2213" s="70"/>
      <c r="G2213" s="70"/>
      <c r="H2213" s="93"/>
      <c r="I2213" s="85"/>
      <c r="J2213" s="85"/>
      <c r="K2213" s="131"/>
      <c r="L2213" s="60"/>
    </row>
    <row r="2214" spans="1:14" x14ac:dyDescent="0.15">
      <c r="A2214" s="166"/>
      <c r="B2214" s="82"/>
      <c r="C2214" s="70"/>
      <c r="D2214" s="70"/>
      <c r="E2214" s="70"/>
      <c r="F2214" s="70"/>
      <c r="G2214" s="70"/>
      <c r="H2214" s="93"/>
      <c r="I2214" s="85"/>
      <c r="J2214" s="85"/>
      <c r="K2214" s="131"/>
      <c r="L2214" s="60"/>
    </row>
    <row r="2215" spans="1:14" x14ac:dyDescent="0.15">
      <c r="A2215" s="166"/>
      <c r="B2215" s="82"/>
      <c r="C2215" s="70"/>
      <c r="D2215" s="70"/>
      <c r="E2215" s="70"/>
      <c r="F2215" s="70"/>
      <c r="G2215" s="70"/>
      <c r="H2215" s="93"/>
      <c r="I2215" s="85"/>
      <c r="J2215" s="85"/>
      <c r="K2215" s="131"/>
      <c r="L2215" s="60"/>
    </row>
    <row r="2216" spans="1:14" x14ac:dyDescent="0.15">
      <c r="A2216" s="166"/>
      <c r="B2216" s="82"/>
      <c r="C2216" s="70"/>
      <c r="D2216" s="70"/>
      <c r="E2216" s="70"/>
      <c r="F2216" s="70"/>
      <c r="G2216" s="70"/>
      <c r="H2216" s="93"/>
      <c r="I2216" s="85"/>
      <c r="J2216" s="85"/>
      <c r="K2216" s="131"/>
      <c r="L2216" s="60"/>
    </row>
    <row r="2217" spans="1:14" x14ac:dyDescent="0.15">
      <c r="A2217" s="169"/>
      <c r="B2217" s="90"/>
      <c r="C2217" s="91"/>
      <c r="D2217" s="91"/>
      <c r="E2217" s="91"/>
      <c r="F2217" s="91"/>
      <c r="G2217" s="91"/>
      <c r="H2217" s="176"/>
      <c r="I2217" s="85"/>
      <c r="J2217" s="92"/>
      <c r="K2217" s="133"/>
      <c r="L2217" s="65"/>
    </row>
    <row r="2218" spans="1:14" x14ac:dyDescent="0.15">
      <c r="A2218" s="166"/>
      <c r="B2218" s="82"/>
      <c r="C2218" s="70"/>
      <c r="D2218" s="70"/>
      <c r="E2218" s="70"/>
      <c r="F2218" s="70"/>
      <c r="G2218" s="70"/>
      <c r="H2218" s="93"/>
      <c r="I2218" s="85"/>
      <c r="J2218" s="85"/>
      <c r="K2218" s="131"/>
      <c r="L2218" s="60"/>
    </row>
    <row r="2219" spans="1:14" x14ac:dyDescent="0.15">
      <c r="A2219" s="166"/>
      <c r="B2219" s="82"/>
      <c r="C2219" s="70"/>
      <c r="D2219" s="70"/>
      <c r="E2219" s="70"/>
      <c r="F2219" s="70"/>
      <c r="G2219" s="70"/>
      <c r="H2219" s="93"/>
      <c r="I2219" s="85"/>
      <c r="J2219" s="85"/>
      <c r="K2219" s="131"/>
      <c r="L2219" s="60"/>
    </row>
    <row r="2220" spans="1:14" x14ac:dyDescent="0.15">
      <c r="A2220" s="166"/>
      <c r="B2220" s="82"/>
      <c r="C2220" s="70"/>
      <c r="D2220" s="70"/>
      <c r="E2220" s="70"/>
      <c r="F2220" s="70"/>
      <c r="G2220" s="70"/>
      <c r="H2220" s="93"/>
      <c r="I2220" s="85"/>
      <c r="J2220" s="85"/>
      <c r="K2220" s="131"/>
      <c r="L2220" s="60"/>
    </row>
    <row r="2221" spans="1:14" x14ac:dyDescent="0.15">
      <c r="A2221" s="166"/>
      <c r="B2221" s="82"/>
      <c r="C2221" s="70"/>
      <c r="D2221" s="70"/>
      <c r="E2221" s="70"/>
      <c r="F2221" s="70"/>
      <c r="G2221" s="70"/>
      <c r="H2221" s="93"/>
      <c r="I2221" s="85"/>
      <c r="J2221" s="85"/>
      <c r="K2221" s="131"/>
      <c r="L2221" s="60"/>
    </row>
    <row r="2222" spans="1:14" x14ac:dyDescent="0.15">
      <c r="A2222" s="166"/>
      <c r="B2222" s="82"/>
      <c r="C2222" s="70"/>
      <c r="D2222" s="70"/>
      <c r="E2222" s="70"/>
      <c r="F2222" s="70"/>
      <c r="G2222" s="70"/>
      <c r="H2222" s="93"/>
      <c r="I2222" s="85"/>
      <c r="J2222" s="85"/>
      <c r="K2222" s="131"/>
      <c r="L2222" s="60"/>
    </row>
    <row r="2223" spans="1:14" x14ac:dyDescent="0.15">
      <c r="A2223" s="166"/>
      <c r="B2223" s="82"/>
      <c r="C2223" s="73"/>
      <c r="D2223" s="73"/>
      <c r="E2223" s="70"/>
      <c r="F2223" s="73"/>
      <c r="G2223" s="73"/>
      <c r="H2223" s="108"/>
      <c r="I2223" s="85"/>
      <c r="J2223" s="95"/>
      <c r="K2223" s="131"/>
      <c r="L2223" s="60"/>
    </row>
    <row r="2224" spans="1:14" x14ac:dyDescent="0.15">
      <c r="A2224" s="166"/>
      <c r="B2224" s="82"/>
      <c r="C2224" s="70"/>
      <c r="D2224" s="70"/>
      <c r="E2224" s="70"/>
      <c r="F2224" s="70"/>
      <c r="G2224" s="70"/>
      <c r="H2224" s="93"/>
      <c r="I2224" s="85"/>
      <c r="J2224" s="85"/>
      <c r="K2224" s="131"/>
      <c r="L2224" s="60"/>
    </row>
    <row r="2225" spans="1:14" x14ac:dyDescent="0.15">
      <c r="A2225" s="166"/>
      <c r="B2225" s="93"/>
      <c r="C2225" s="70"/>
      <c r="D2225" s="70"/>
      <c r="E2225" s="70"/>
      <c r="F2225" s="70"/>
      <c r="G2225" s="70"/>
      <c r="H2225" s="93"/>
      <c r="I2225" s="85"/>
      <c r="J2225" s="85"/>
      <c r="K2225" s="131"/>
      <c r="L2225" s="60"/>
      <c r="M2225" s="37"/>
      <c r="N2225" s="32"/>
    </row>
    <row r="2226" spans="1:14" x14ac:dyDescent="0.15">
      <c r="A2226" s="166"/>
      <c r="B2226" s="93"/>
      <c r="C2226" s="70"/>
      <c r="D2226" s="70"/>
      <c r="E2226" s="70"/>
      <c r="F2226" s="70"/>
      <c r="G2226" s="70"/>
      <c r="H2226" s="93"/>
      <c r="I2226" s="85"/>
      <c r="J2226" s="85"/>
      <c r="K2226" s="131"/>
      <c r="L2226" s="60"/>
      <c r="M2226" s="37"/>
    </row>
    <row r="2227" spans="1:14" x14ac:dyDescent="0.15">
      <c r="A2227" s="166"/>
      <c r="B2227" s="93"/>
      <c r="C2227" s="70"/>
      <c r="D2227" s="70"/>
      <c r="E2227" s="70"/>
      <c r="F2227" s="70"/>
      <c r="G2227" s="70"/>
      <c r="H2227" s="93"/>
      <c r="I2227" s="85"/>
      <c r="J2227" s="85"/>
      <c r="K2227" s="131"/>
      <c r="L2227" s="60"/>
      <c r="M2227" s="37"/>
      <c r="N2227" s="32"/>
    </row>
    <row r="2228" spans="1:14" x14ac:dyDescent="0.15">
      <c r="A2228" s="166"/>
      <c r="B2228" s="93"/>
      <c r="C2228" s="70"/>
      <c r="D2228" s="70"/>
      <c r="E2228" s="70"/>
      <c r="F2228" s="70"/>
      <c r="G2228" s="70"/>
      <c r="H2228" s="93"/>
      <c r="I2228" s="85"/>
      <c r="J2228" s="85"/>
      <c r="K2228" s="131"/>
      <c r="L2228" s="60"/>
      <c r="M2228" s="37"/>
    </row>
    <row r="2229" spans="1:14" x14ac:dyDescent="0.15">
      <c r="A2229" s="166"/>
      <c r="B2229" s="93"/>
      <c r="C2229" s="70"/>
      <c r="D2229" s="70"/>
      <c r="E2229" s="70"/>
      <c r="F2229" s="70"/>
      <c r="G2229" s="70"/>
      <c r="H2229" s="93"/>
      <c r="I2229" s="85"/>
      <c r="J2229" s="85"/>
      <c r="K2229" s="131"/>
      <c r="L2229" s="60"/>
      <c r="M2229" s="37"/>
      <c r="N2229" s="32"/>
    </row>
    <row r="2230" spans="1:14" x14ac:dyDescent="0.15">
      <c r="A2230" s="166"/>
      <c r="B2230" s="93"/>
      <c r="C2230" s="70"/>
      <c r="D2230" s="70"/>
      <c r="E2230" s="70"/>
      <c r="F2230" s="70"/>
      <c r="G2230" s="70"/>
      <c r="H2230" s="93"/>
      <c r="I2230" s="85"/>
      <c r="J2230" s="85"/>
      <c r="K2230" s="131"/>
      <c r="L2230" s="60"/>
      <c r="M2230" s="37"/>
    </row>
    <row r="2231" spans="1:14" ht="16" x14ac:dyDescent="0.2">
      <c r="A2231" s="166"/>
      <c r="B2231" s="93"/>
      <c r="C2231" s="70"/>
      <c r="D2231" s="70"/>
      <c r="E2231" s="70"/>
      <c r="F2231" s="70"/>
      <c r="G2231" s="70"/>
      <c r="H2231" s="93"/>
      <c r="I2231" s="85"/>
      <c r="J2231" s="85"/>
      <c r="K2231" s="131"/>
      <c r="L2231" s="60"/>
      <c r="M2231" s="33"/>
      <c r="N2231" s="48"/>
    </row>
    <row r="2232" spans="1:14" x14ac:dyDescent="0.15">
      <c r="A2232" s="166"/>
      <c r="B2232" s="93"/>
      <c r="C2232" s="70"/>
      <c r="D2232" s="70"/>
      <c r="E2232" s="70"/>
      <c r="F2232" s="70"/>
      <c r="G2232" s="70"/>
      <c r="H2232" s="93"/>
      <c r="I2232" s="85"/>
      <c r="J2232" s="85"/>
      <c r="K2232" s="131"/>
      <c r="L2232" s="60"/>
      <c r="M2232" s="33"/>
    </row>
    <row r="2233" spans="1:14" x14ac:dyDescent="0.15">
      <c r="A2233" s="166"/>
      <c r="B2233" s="93"/>
      <c r="C2233" s="70"/>
      <c r="D2233" s="70"/>
      <c r="E2233" s="70"/>
      <c r="F2233" s="70"/>
      <c r="G2233" s="70"/>
      <c r="H2233" s="93"/>
      <c r="I2233" s="85"/>
      <c r="J2233" s="85"/>
      <c r="K2233" s="131"/>
      <c r="L2233" s="70"/>
      <c r="M2233" s="33"/>
    </row>
    <row r="2234" spans="1:14" x14ac:dyDescent="0.15">
      <c r="A2234" s="166"/>
      <c r="B2234" s="93"/>
      <c r="C2234" s="70"/>
      <c r="D2234" s="70"/>
      <c r="E2234" s="70"/>
      <c r="F2234" s="70"/>
      <c r="G2234" s="70"/>
      <c r="H2234" s="93"/>
      <c r="I2234" s="85"/>
      <c r="J2234" s="85"/>
      <c r="K2234" s="131"/>
      <c r="L2234" s="60"/>
      <c r="M2234" s="33"/>
    </row>
    <row r="2235" spans="1:14" x14ac:dyDescent="0.15">
      <c r="A2235" s="166"/>
      <c r="B2235" s="93"/>
      <c r="C2235" s="70"/>
      <c r="D2235" s="70"/>
      <c r="E2235" s="70"/>
      <c r="F2235" s="70"/>
      <c r="G2235" s="70"/>
      <c r="H2235" s="93"/>
      <c r="I2235" s="85"/>
      <c r="J2235" s="85"/>
      <c r="K2235" s="131"/>
      <c r="L2235" s="60"/>
      <c r="M2235" s="33"/>
    </row>
    <row r="2236" spans="1:14" x14ac:dyDescent="0.15">
      <c r="A2236" s="166"/>
      <c r="B2236" s="93"/>
      <c r="C2236" s="70"/>
      <c r="D2236" s="70"/>
      <c r="E2236" s="70"/>
      <c r="F2236" s="70"/>
      <c r="G2236" s="70"/>
      <c r="H2236" s="93"/>
      <c r="I2236" s="85"/>
      <c r="J2236" s="85"/>
      <c r="K2236" s="131"/>
      <c r="L2236" s="60"/>
      <c r="M2236" s="37"/>
    </row>
    <row r="2237" spans="1:14" x14ac:dyDescent="0.15">
      <c r="A2237" s="166"/>
      <c r="B2237" s="93"/>
      <c r="C2237" s="70"/>
      <c r="D2237" s="70"/>
      <c r="E2237" s="70"/>
      <c r="F2237" s="70"/>
      <c r="G2237" s="70"/>
      <c r="H2237" s="93"/>
      <c r="I2237" s="85"/>
      <c r="J2237" s="85"/>
      <c r="K2237" s="131"/>
      <c r="L2237" s="60"/>
      <c r="M2237" s="37"/>
    </row>
    <row r="2238" spans="1:14" x14ac:dyDescent="0.15">
      <c r="A2238" s="166"/>
      <c r="B2238" s="93"/>
      <c r="C2238" s="70"/>
      <c r="D2238" s="70"/>
      <c r="E2238" s="70"/>
      <c r="F2238" s="70"/>
      <c r="G2238" s="70"/>
      <c r="H2238" s="93"/>
      <c r="I2238" s="85"/>
      <c r="J2238" s="85"/>
      <c r="K2238" s="131"/>
      <c r="L2238" s="60"/>
      <c r="M2238" s="37"/>
    </row>
    <row r="2239" spans="1:14" x14ac:dyDescent="0.15">
      <c r="A2239" s="166"/>
      <c r="B2239" s="93"/>
      <c r="C2239" s="70"/>
      <c r="D2239" s="70"/>
      <c r="E2239" s="70"/>
      <c r="F2239" s="70"/>
      <c r="G2239" s="70"/>
      <c r="H2239" s="93"/>
      <c r="I2239" s="85"/>
      <c r="J2239" s="85"/>
      <c r="K2239" s="131"/>
      <c r="L2239" s="60"/>
      <c r="N2239" s="32"/>
    </row>
    <row r="2240" spans="1:14" x14ac:dyDescent="0.15">
      <c r="A2240" s="166"/>
      <c r="B2240" s="93"/>
      <c r="C2240" s="70"/>
      <c r="D2240" s="70"/>
      <c r="E2240" s="70"/>
      <c r="F2240" s="70"/>
      <c r="G2240" s="70"/>
      <c r="H2240" s="93"/>
      <c r="I2240" s="85"/>
      <c r="J2240" s="85"/>
      <c r="K2240" s="131"/>
      <c r="L2240" s="60"/>
      <c r="M2240" s="37"/>
    </row>
    <row r="2241" spans="1:13" x14ac:dyDescent="0.15">
      <c r="A2241" s="166"/>
      <c r="B2241" s="93"/>
      <c r="C2241" s="70"/>
      <c r="D2241" s="70"/>
      <c r="E2241" s="70"/>
      <c r="F2241" s="70"/>
      <c r="G2241" s="70"/>
      <c r="H2241" s="93"/>
      <c r="I2241" s="85"/>
      <c r="J2241" s="85"/>
      <c r="K2241" s="131"/>
      <c r="L2241" s="60"/>
      <c r="M2241" s="37"/>
    </row>
    <row r="2242" spans="1:13" x14ac:dyDescent="0.15">
      <c r="A2242" s="166"/>
      <c r="B2242" s="93"/>
      <c r="C2242" s="70"/>
      <c r="D2242" s="70"/>
      <c r="E2242" s="70"/>
      <c r="F2242" s="70"/>
      <c r="G2242" s="70"/>
      <c r="H2242" s="93"/>
      <c r="I2242" s="85"/>
      <c r="J2242" s="85"/>
      <c r="K2242" s="131"/>
      <c r="L2242" s="60"/>
      <c r="M2242" s="37"/>
    </row>
    <row r="2243" spans="1:13" x14ac:dyDescent="0.15">
      <c r="A2243" s="166"/>
      <c r="B2243" s="82"/>
      <c r="C2243" s="70"/>
      <c r="D2243" s="70"/>
      <c r="E2243" s="70"/>
      <c r="F2243" s="70"/>
      <c r="G2243" s="70"/>
      <c r="H2243" s="93"/>
      <c r="I2243" s="85"/>
      <c r="J2243" s="85"/>
      <c r="K2243" s="131"/>
      <c r="L2243" s="60"/>
    </row>
    <row r="2244" spans="1:13" x14ac:dyDescent="0.15">
      <c r="A2244" s="166"/>
      <c r="B2244" s="82"/>
      <c r="C2244" s="70"/>
      <c r="D2244" s="70"/>
      <c r="E2244" s="70"/>
      <c r="F2244" s="70"/>
      <c r="G2244" s="70"/>
      <c r="H2244" s="93"/>
      <c r="I2244" s="85"/>
      <c r="J2244" s="85"/>
      <c r="K2244" s="131"/>
      <c r="L2244" s="60"/>
    </row>
    <row r="2245" spans="1:13" x14ac:dyDescent="0.15">
      <c r="A2245" s="166"/>
      <c r="B2245" s="82"/>
      <c r="C2245" s="70"/>
      <c r="D2245" s="70"/>
      <c r="E2245" s="70"/>
      <c r="F2245" s="70"/>
      <c r="G2245" s="70"/>
      <c r="H2245" s="93"/>
      <c r="I2245" s="85"/>
      <c r="J2245" s="85"/>
      <c r="K2245" s="131"/>
      <c r="L2245" s="60"/>
      <c r="M2245" s="33"/>
    </row>
    <row r="2246" spans="1:13" x14ac:dyDescent="0.15">
      <c r="A2246" s="166"/>
      <c r="B2246" s="93"/>
      <c r="C2246" s="70"/>
      <c r="D2246" s="70"/>
      <c r="E2246" s="70"/>
      <c r="F2246" s="70"/>
      <c r="G2246" s="70"/>
      <c r="H2246" s="93"/>
      <c r="I2246" s="85"/>
      <c r="J2246" s="85"/>
      <c r="K2246" s="131"/>
      <c r="L2246" s="60"/>
      <c r="M2246" s="33"/>
    </row>
    <row r="2247" spans="1:13" ht="16" x14ac:dyDescent="0.2">
      <c r="A2247" s="166"/>
      <c r="B2247" s="82"/>
      <c r="C2247" s="70"/>
      <c r="D2247" s="70"/>
      <c r="E2247" s="70"/>
      <c r="F2247" s="70"/>
      <c r="G2247" s="70"/>
      <c r="H2247" s="93"/>
      <c r="I2247" s="85"/>
      <c r="J2247" s="85"/>
      <c r="K2247" s="131"/>
      <c r="L2247" s="60"/>
      <c r="M2247" s="47"/>
    </row>
    <row r="2248" spans="1:13" x14ac:dyDescent="0.15">
      <c r="A2248" s="166"/>
      <c r="B2248" s="82"/>
      <c r="C2248" s="70"/>
      <c r="D2248" s="70"/>
      <c r="E2248" s="70"/>
      <c r="F2248" s="70"/>
      <c r="G2248" s="70"/>
      <c r="H2248" s="93"/>
      <c r="I2248" s="85"/>
      <c r="J2248" s="85"/>
      <c r="K2248" s="131"/>
      <c r="L2248" s="69"/>
    </row>
    <row r="2249" spans="1:13" x14ac:dyDescent="0.15">
      <c r="A2249" s="166"/>
      <c r="B2249" s="82"/>
      <c r="C2249" s="70"/>
      <c r="D2249" s="70"/>
      <c r="E2249" s="70"/>
      <c r="F2249" s="70"/>
      <c r="G2249" s="70"/>
      <c r="H2249" s="93"/>
      <c r="I2249" s="85"/>
      <c r="J2249" s="85"/>
      <c r="K2249" s="131"/>
      <c r="L2249" s="60"/>
    </row>
    <row r="2250" spans="1:13" x14ac:dyDescent="0.15">
      <c r="A2250" s="166"/>
      <c r="B2250" s="82"/>
      <c r="C2250" s="70"/>
      <c r="D2250" s="70"/>
      <c r="E2250" s="70"/>
      <c r="F2250" s="70"/>
      <c r="G2250" s="70"/>
      <c r="H2250" s="93"/>
      <c r="I2250" s="85"/>
      <c r="J2250" s="85"/>
      <c r="K2250" s="131"/>
      <c r="L2250" s="60"/>
    </row>
    <row r="2251" spans="1:13" x14ac:dyDescent="0.15">
      <c r="A2251" s="166"/>
      <c r="B2251" s="82"/>
      <c r="C2251" s="70"/>
      <c r="D2251" s="70"/>
      <c r="E2251" s="70"/>
      <c r="F2251" s="70"/>
      <c r="G2251" s="70"/>
      <c r="H2251" s="93"/>
      <c r="I2251" s="85"/>
      <c r="J2251" s="85"/>
      <c r="K2251" s="131"/>
      <c r="L2251" s="60"/>
    </row>
    <row r="2252" spans="1:13" x14ac:dyDescent="0.15">
      <c r="A2252" s="166"/>
      <c r="B2252" s="82"/>
      <c r="C2252" s="70"/>
      <c r="D2252" s="70"/>
      <c r="E2252" s="70"/>
      <c r="F2252" s="70"/>
      <c r="G2252" s="70"/>
      <c r="H2252" s="93"/>
      <c r="I2252" s="85"/>
      <c r="J2252" s="85"/>
      <c r="K2252" s="131"/>
      <c r="L2252" s="69"/>
    </row>
    <row r="2253" spans="1:13" x14ac:dyDescent="0.15">
      <c r="A2253" s="166"/>
      <c r="B2253" s="82"/>
      <c r="C2253" s="70"/>
      <c r="D2253" s="70"/>
      <c r="E2253" s="70"/>
      <c r="F2253" s="70"/>
      <c r="G2253" s="70"/>
      <c r="H2253" s="93"/>
      <c r="I2253" s="85"/>
      <c r="J2253" s="85"/>
      <c r="K2253" s="131"/>
      <c r="L2253" s="69"/>
    </row>
    <row r="2254" spans="1:13" x14ac:dyDescent="0.15">
      <c r="A2254" s="166"/>
      <c r="B2254" s="82"/>
      <c r="C2254" s="70"/>
      <c r="D2254" s="70"/>
      <c r="E2254" s="70"/>
      <c r="F2254" s="70"/>
      <c r="G2254" s="70"/>
      <c r="H2254" s="93"/>
      <c r="I2254" s="85"/>
      <c r="J2254" s="85"/>
      <c r="K2254" s="131"/>
      <c r="L2254" s="60"/>
    </row>
    <row r="2255" spans="1:13" x14ac:dyDescent="0.15">
      <c r="A2255" s="166"/>
      <c r="B2255" s="82"/>
      <c r="C2255" s="70"/>
      <c r="D2255" s="70"/>
      <c r="E2255" s="70"/>
      <c r="F2255" s="70"/>
      <c r="G2255" s="70"/>
      <c r="H2255" s="93"/>
      <c r="I2255" s="85"/>
      <c r="J2255" s="85"/>
      <c r="K2255" s="131"/>
      <c r="L2255" s="60"/>
    </row>
    <row r="2256" spans="1:13" x14ac:dyDescent="0.15">
      <c r="A2256" s="166"/>
      <c r="B2256" s="82"/>
      <c r="C2256" s="70"/>
      <c r="D2256" s="70"/>
      <c r="E2256" s="70"/>
      <c r="F2256" s="70"/>
      <c r="G2256" s="70"/>
      <c r="H2256" s="93"/>
      <c r="I2256" s="85"/>
      <c r="J2256" s="85"/>
      <c r="K2256" s="131"/>
      <c r="L2256" s="60"/>
    </row>
    <row r="2257" spans="1:15" x14ac:dyDescent="0.15">
      <c r="A2257" s="166"/>
      <c r="B2257" s="82"/>
      <c r="C2257" s="70"/>
      <c r="D2257" s="70"/>
      <c r="E2257" s="70"/>
      <c r="F2257" s="70"/>
      <c r="G2257" s="70"/>
      <c r="H2257" s="93"/>
      <c r="I2257" s="85"/>
      <c r="J2257" s="85"/>
      <c r="K2257" s="131"/>
      <c r="L2257" s="60"/>
    </row>
    <row r="2258" spans="1:15" x14ac:dyDescent="0.15">
      <c r="A2258" s="166"/>
      <c r="B2258" s="82"/>
      <c r="C2258" s="70"/>
      <c r="D2258" s="70"/>
      <c r="E2258" s="70"/>
      <c r="F2258" s="70"/>
      <c r="G2258" s="70"/>
      <c r="H2258" s="93"/>
      <c r="I2258" s="85"/>
      <c r="J2258" s="85"/>
      <c r="K2258" s="131"/>
      <c r="L2258" s="60"/>
    </row>
    <row r="2259" spans="1:15" x14ac:dyDescent="0.15">
      <c r="A2259" s="166"/>
      <c r="B2259" s="82"/>
      <c r="C2259" s="70"/>
      <c r="D2259" s="70"/>
      <c r="E2259" s="70"/>
      <c r="F2259" s="70"/>
      <c r="G2259" s="70"/>
      <c r="H2259" s="93"/>
      <c r="I2259" s="85"/>
      <c r="J2259" s="85"/>
      <c r="K2259" s="131"/>
      <c r="L2259" s="60"/>
      <c r="M2259" s="50"/>
    </row>
    <row r="2260" spans="1:15" x14ac:dyDescent="0.15">
      <c r="A2260" s="166"/>
      <c r="B2260" s="82"/>
      <c r="C2260" s="70"/>
      <c r="D2260" s="70"/>
      <c r="E2260" s="70"/>
      <c r="F2260" s="70"/>
      <c r="G2260" s="70"/>
      <c r="H2260" s="93"/>
      <c r="I2260" s="85"/>
      <c r="J2260" s="85"/>
      <c r="K2260" s="131"/>
      <c r="L2260" s="60"/>
      <c r="M2260" s="50"/>
    </row>
    <row r="2261" spans="1:15" x14ac:dyDescent="0.15">
      <c r="A2261" s="166"/>
      <c r="B2261" s="82"/>
      <c r="C2261" s="70"/>
      <c r="D2261" s="70"/>
      <c r="E2261" s="70"/>
      <c r="F2261" s="70"/>
      <c r="G2261" s="70"/>
      <c r="H2261" s="93"/>
      <c r="I2261" s="85"/>
      <c r="J2261" s="85"/>
      <c r="K2261" s="131"/>
      <c r="L2261" s="60"/>
      <c r="M2261" s="50"/>
    </row>
    <row r="2262" spans="1:15" x14ac:dyDescent="0.15">
      <c r="A2262" s="166"/>
      <c r="B2262" s="82"/>
      <c r="C2262" s="70"/>
      <c r="D2262" s="70"/>
      <c r="E2262" s="70"/>
      <c r="F2262" s="70"/>
      <c r="G2262" s="70"/>
      <c r="H2262" s="93"/>
      <c r="I2262" s="85"/>
      <c r="J2262" s="85"/>
      <c r="K2262" s="131"/>
      <c r="L2262" s="69"/>
      <c r="M2262" s="50"/>
    </row>
    <row r="2263" spans="1:15" x14ac:dyDescent="0.15">
      <c r="A2263" s="166"/>
      <c r="B2263" s="82"/>
      <c r="C2263" s="70"/>
      <c r="D2263" s="70"/>
      <c r="E2263" s="70"/>
      <c r="F2263" s="70"/>
      <c r="G2263" s="70"/>
      <c r="H2263" s="93"/>
      <c r="I2263" s="85"/>
      <c r="J2263" s="85"/>
      <c r="K2263" s="131"/>
      <c r="L2263" s="69"/>
      <c r="M2263" s="50"/>
    </row>
    <row r="2264" spans="1:15" x14ac:dyDescent="0.15">
      <c r="A2264" s="166"/>
      <c r="B2264" s="82"/>
      <c r="C2264" s="70"/>
      <c r="D2264" s="70"/>
      <c r="E2264" s="70"/>
      <c r="F2264" s="70"/>
      <c r="G2264" s="70"/>
      <c r="H2264" s="93"/>
      <c r="I2264" s="85"/>
      <c r="J2264" s="85"/>
      <c r="K2264" s="131"/>
      <c r="L2264" s="69"/>
      <c r="M2264" s="50"/>
    </row>
    <row r="2265" spans="1:15" x14ac:dyDescent="0.15">
      <c r="A2265" s="166"/>
      <c r="B2265" s="82"/>
      <c r="C2265" s="70"/>
      <c r="D2265" s="70"/>
      <c r="E2265" s="70"/>
      <c r="F2265" s="70"/>
      <c r="G2265" s="70"/>
      <c r="H2265" s="93"/>
      <c r="I2265" s="85"/>
      <c r="J2265" s="85"/>
      <c r="K2265" s="131"/>
      <c r="L2265" s="69"/>
      <c r="M2265" s="50"/>
    </row>
    <row r="2266" spans="1:15" x14ac:dyDescent="0.15">
      <c r="A2266" s="166"/>
      <c r="B2266" s="82"/>
      <c r="C2266" s="70"/>
      <c r="D2266" s="70"/>
      <c r="E2266" s="70"/>
      <c r="F2266" s="70"/>
      <c r="G2266" s="70"/>
      <c r="H2266" s="93"/>
      <c r="I2266" s="85"/>
      <c r="J2266" s="85"/>
      <c r="K2266" s="131"/>
      <c r="L2266" s="69"/>
      <c r="M2266" s="50"/>
      <c r="O2266" s="51"/>
    </row>
    <row r="2267" spans="1:15" x14ac:dyDescent="0.15">
      <c r="A2267" s="166"/>
      <c r="B2267" s="82"/>
      <c r="C2267" s="70"/>
      <c r="D2267" s="70"/>
      <c r="E2267" s="70"/>
      <c r="F2267" s="70"/>
      <c r="G2267" s="70"/>
      <c r="H2267" s="93"/>
      <c r="I2267" s="85"/>
      <c r="J2267" s="85"/>
      <c r="K2267" s="131"/>
      <c r="L2267" s="69"/>
      <c r="M2267" s="50"/>
    </row>
    <row r="2268" spans="1:15" x14ac:dyDescent="0.15">
      <c r="A2268" s="166"/>
      <c r="B2268" s="82"/>
      <c r="C2268" s="70"/>
      <c r="D2268" s="70"/>
      <c r="E2268" s="70"/>
      <c r="F2268" s="70"/>
      <c r="G2268" s="70"/>
      <c r="H2268" s="93"/>
      <c r="I2268" s="85"/>
      <c r="J2268" s="85"/>
      <c r="K2268" s="131"/>
      <c r="L2268" s="69"/>
      <c r="M2268" s="50"/>
    </row>
    <row r="2269" spans="1:15" x14ac:dyDescent="0.15">
      <c r="A2269" s="166"/>
      <c r="B2269" s="82"/>
      <c r="C2269" s="70"/>
      <c r="D2269" s="70"/>
      <c r="E2269" s="70"/>
      <c r="F2269" s="70"/>
      <c r="G2269" s="70"/>
      <c r="H2269" s="93"/>
      <c r="I2269" s="85"/>
      <c r="J2269" s="85"/>
      <c r="K2269" s="131"/>
      <c r="L2269" s="69"/>
      <c r="M2269" s="50"/>
      <c r="N2269" s="35"/>
    </row>
    <row r="2270" spans="1:15" x14ac:dyDescent="0.15">
      <c r="A2270" s="166"/>
      <c r="B2270" s="82"/>
      <c r="C2270" s="70"/>
      <c r="D2270" s="70"/>
      <c r="E2270" s="70"/>
      <c r="F2270" s="70"/>
      <c r="G2270" s="70"/>
      <c r="H2270" s="93"/>
      <c r="I2270" s="85"/>
      <c r="J2270" s="85"/>
      <c r="K2270" s="131"/>
      <c r="L2270" s="69"/>
      <c r="M2270" s="50"/>
    </row>
    <row r="2271" spans="1:15" x14ac:dyDescent="0.15">
      <c r="A2271" s="166"/>
      <c r="B2271" s="82"/>
      <c r="C2271" s="70"/>
      <c r="D2271" s="70"/>
      <c r="E2271" s="70"/>
      <c r="F2271" s="70"/>
      <c r="G2271" s="70"/>
      <c r="H2271" s="108"/>
      <c r="I2271" s="85"/>
      <c r="J2271" s="85"/>
      <c r="K2271" s="131"/>
      <c r="L2271" s="69"/>
      <c r="M2271" s="50"/>
    </row>
    <row r="2272" spans="1:15" x14ac:dyDescent="0.15">
      <c r="A2272" s="166"/>
      <c r="B2272" s="82"/>
      <c r="C2272" s="70"/>
      <c r="D2272" s="70"/>
      <c r="E2272" s="70"/>
      <c r="F2272" s="70"/>
      <c r="G2272" s="70"/>
      <c r="H2272" s="93"/>
      <c r="I2272" s="85"/>
      <c r="J2272" s="85"/>
      <c r="K2272" s="131"/>
      <c r="L2272" s="60"/>
      <c r="M2272" s="50"/>
      <c r="O2272" s="51"/>
    </row>
    <row r="2273" spans="1:15" ht="16" x14ac:dyDescent="0.2">
      <c r="A2273" s="166"/>
      <c r="B2273" s="82"/>
      <c r="C2273" s="70"/>
      <c r="D2273" s="70"/>
      <c r="E2273" s="70"/>
      <c r="F2273" s="70"/>
      <c r="G2273" s="70"/>
      <c r="H2273" s="93"/>
      <c r="I2273" s="85"/>
      <c r="J2273" s="85"/>
      <c r="K2273" s="131"/>
      <c r="L2273" s="69"/>
      <c r="M2273" s="50"/>
      <c r="N2273" s="48"/>
      <c r="O2273" s="51"/>
    </row>
    <row r="2274" spans="1:15" x14ac:dyDescent="0.15">
      <c r="A2274" s="166"/>
      <c r="B2274" s="82"/>
      <c r="C2274" s="70"/>
      <c r="D2274" s="70"/>
      <c r="E2274" s="70"/>
      <c r="F2274" s="70"/>
      <c r="G2274" s="70"/>
      <c r="H2274" s="93"/>
      <c r="I2274" s="85"/>
      <c r="J2274" s="85"/>
      <c r="K2274" s="131"/>
      <c r="L2274" s="69"/>
      <c r="M2274" s="50"/>
    </row>
    <row r="2275" spans="1:15" x14ac:dyDescent="0.15">
      <c r="A2275" s="166"/>
      <c r="B2275" s="82"/>
      <c r="C2275" s="70"/>
      <c r="D2275" s="70"/>
      <c r="E2275" s="70"/>
      <c r="F2275" s="70"/>
      <c r="G2275" s="70"/>
      <c r="H2275" s="93"/>
      <c r="I2275" s="85"/>
      <c r="J2275" s="85"/>
      <c r="K2275" s="131"/>
      <c r="L2275" s="69"/>
      <c r="M2275" s="50"/>
    </row>
    <row r="2276" spans="1:15" x14ac:dyDescent="0.15">
      <c r="A2276" s="166"/>
      <c r="B2276" s="82"/>
      <c r="C2276" s="70"/>
      <c r="D2276" s="70"/>
      <c r="E2276" s="70"/>
      <c r="F2276" s="70"/>
      <c r="G2276" s="70"/>
      <c r="H2276" s="93"/>
      <c r="I2276" s="85"/>
      <c r="J2276" s="85"/>
      <c r="K2276" s="131"/>
      <c r="L2276" s="69"/>
      <c r="M2276" s="50"/>
    </row>
    <row r="2277" spans="1:15" ht="16" x14ac:dyDescent="0.2">
      <c r="A2277" s="166"/>
      <c r="B2277" s="82"/>
      <c r="C2277" s="70"/>
      <c r="D2277" s="70"/>
      <c r="E2277" s="70"/>
      <c r="F2277" s="70"/>
      <c r="G2277" s="70"/>
      <c r="H2277" s="93"/>
      <c r="I2277" s="85"/>
      <c r="J2277" s="85"/>
      <c r="K2277" s="131"/>
      <c r="L2277" s="60"/>
      <c r="M2277" s="50"/>
      <c r="N2277" s="48"/>
    </row>
    <row r="2278" spans="1:15" x14ac:dyDescent="0.15">
      <c r="A2278" s="166"/>
      <c r="B2278" s="82"/>
      <c r="C2278" s="70"/>
      <c r="D2278" s="70"/>
      <c r="E2278" s="70"/>
      <c r="F2278" s="70"/>
      <c r="G2278" s="70"/>
      <c r="H2278" s="93"/>
      <c r="I2278" s="85"/>
      <c r="J2278" s="85"/>
      <c r="K2278" s="131"/>
      <c r="L2278" s="60"/>
      <c r="M2278" s="50"/>
    </row>
    <row r="2279" spans="1:15" x14ac:dyDescent="0.15">
      <c r="A2279" s="166"/>
      <c r="B2279" s="82"/>
      <c r="C2279" s="70"/>
      <c r="D2279" s="70"/>
      <c r="E2279" s="70"/>
      <c r="F2279" s="70"/>
      <c r="G2279" s="70"/>
      <c r="H2279" s="93"/>
      <c r="I2279" s="85"/>
      <c r="J2279" s="85"/>
      <c r="K2279" s="131"/>
      <c r="L2279" s="69"/>
      <c r="M2279" s="50"/>
    </row>
    <row r="2280" spans="1:15" x14ac:dyDescent="0.15">
      <c r="A2280" s="166"/>
      <c r="B2280" s="82"/>
      <c r="C2280" s="70"/>
      <c r="D2280" s="70"/>
      <c r="E2280" s="70"/>
      <c r="F2280" s="70"/>
      <c r="G2280" s="70"/>
      <c r="H2280" s="93"/>
      <c r="I2280" s="85"/>
      <c r="J2280" s="85"/>
      <c r="K2280" s="131"/>
      <c r="L2280" s="60"/>
      <c r="M2280" s="50"/>
    </row>
    <row r="2281" spans="1:15" x14ac:dyDescent="0.15">
      <c r="A2281" s="166"/>
      <c r="B2281" s="82"/>
      <c r="C2281" s="70"/>
      <c r="D2281" s="70"/>
      <c r="E2281" s="70"/>
      <c r="F2281" s="70"/>
      <c r="G2281" s="70"/>
      <c r="H2281" s="93"/>
      <c r="I2281" s="85"/>
      <c r="J2281" s="85"/>
      <c r="K2281" s="131"/>
      <c r="L2281" s="69"/>
    </row>
    <row r="2282" spans="1:15" ht="16" x14ac:dyDescent="0.2">
      <c r="A2282" s="166"/>
      <c r="B2282" s="82"/>
      <c r="C2282" s="70"/>
      <c r="D2282" s="70"/>
      <c r="E2282" s="70"/>
      <c r="F2282" s="70"/>
      <c r="G2282" s="70"/>
      <c r="H2282" s="93"/>
      <c r="I2282" s="85"/>
      <c r="J2282" s="85"/>
      <c r="K2282" s="131"/>
      <c r="L2282" s="69"/>
      <c r="M2282" s="50"/>
      <c r="N2282" s="48"/>
    </row>
    <row r="2283" spans="1:15" x14ac:dyDescent="0.15">
      <c r="A2283" s="166"/>
      <c r="B2283" s="82"/>
      <c r="C2283" s="70"/>
      <c r="D2283" s="70"/>
      <c r="E2283" s="70"/>
      <c r="F2283" s="70"/>
      <c r="G2283" s="70"/>
      <c r="H2283" s="93"/>
      <c r="I2283" s="85"/>
      <c r="J2283" s="85"/>
      <c r="K2283" s="131"/>
      <c r="L2283" s="69"/>
    </row>
    <row r="2284" spans="1:15" x14ac:dyDescent="0.15">
      <c r="A2284" s="166"/>
      <c r="B2284" s="82"/>
      <c r="C2284" s="70"/>
      <c r="D2284" s="70"/>
      <c r="E2284" s="70"/>
      <c r="F2284" s="70"/>
      <c r="G2284" s="70"/>
      <c r="H2284" s="93"/>
      <c r="I2284" s="85"/>
      <c r="J2284" s="85"/>
      <c r="K2284" s="131"/>
      <c r="L2284" s="69"/>
      <c r="M2284" s="50"/>
    </row>
    <row r="2285" spans="1:15" x14ac:dyDescent="0.15">
      <c r="A2285" s="166"/>
      <c r="B2285" s="82"/>
      <c r="C2285" s="70"/>
      <c r="D2285" s="70"/>
      <c r="E2285" s="70"/>
      <c r="F2285" s="70"/>
      <c r="G2285" s="70"/>
      <c r="H2285" s="93"/>
      <c r="I2285" s="85"/>
      <c r="J2285" s="85"/>
      <c r="K2285" s="131"/>
      <c r="L2285" s="69"/>
      <c r="M2285" s="50"/>
    </row>
    <row r="2286" spans="1:15" x14ac:dyDescent="0.15">
      <c r="A2286" s="166"/>
      <c r="B2286" s="82"/>
      <c r="C2286" s="70"/>
      <c r="D2286" s="70"/>
      <c r="E2286" s="70"/>
      <c r="F2286" s="70"/>
      <c r="G2286" s="70"/>
      <c r="H2286" s="93"/>
      <c r="I2286" s="85"/>
      <c r="J2286" s="85"/>
      <c r="K2286" s="131"/>
      <c r="L2286" s="69"/>
      <c r="M2286" s="50"/>
      <c r="O2286" s="51"/>
    </row>
    <row r="2287" spans="1:15" x14ac:dyDescent="0.15">
      <c r="A2287" s="166"/>
      <c r="B2287" s="82"/>
      <c r="C2287" s="70"/>
      <c r="D2287" s="70"/>
      <c r="E2287" s="70"/>
      <c r="F2287" s="70"/>
      <c r="G2287" s="70"/>
      <c r="H2287" s="93"/>
      <c r="I2287" s="85"/>
      <c r="J2287" s="85"/>
      <c r="K2287" s="131"/>
      <c r="L2287" s="60"/>
      <c r="M2287" s="50"/>
    </row>
    <row r="2288" spans="1:15" x14ac:dyDescent="0.15">
      <c r="A2288" s="166"/>
      <c r="B2288" s="82"/>
      <c r="C2288" s="70"/>
      <c r="D2288" s="70"/>
      <c r="E2288" s="70"/>
      <c r="F2288" s="70"/>
      <c r="G2288" s="70"/>
      <c r="H2288" s="93"/>
      <c r="I2288" s="85"/>
      <c r="J2288" s="85"/>
      <c r="K2288" s="131"/>
      <c r="L2288" s="60"/>
      <c r="M2288" s="50"/>
    </row>
    <row r="2289" spans="1:12" x14ac:dyDescent="0.15">
      <c r="A2289" s="166"/>
      <c r="B2289" s="82"/>
      <c r="C2289" s="70"/>
      <c r="D2289" s="70"/>
      <c r="E2289" s="70"/>
      <c r="F2289" s="70"/>
      <c r="G2289" s="70"/>
      <c r="H2289" s="93"/>
      <c r="I2289" s="85"/>
      <c r="J2289" s="85"/>
      <c r="K2289" s="131"/>
      <c r="L2289" s="69"/>
    </row>
    <row r="2290" spans="1:12" x14ac:dyDescent="0.15">
      <c r="A2290" s="166"/>
      <c r="B2290" s="82"/>
      <c r="C2290" s="70"/>
      <c r="D2290" s="70"/>
      <c r="E2290" s="70"/>
      <c r="F2290" s="70"/>
      <c r="G2290" s="70"/>
      <c r="H2290" s="93"/>
      <c r="I2290" s="85"/>
      <c r="J2290" s="85"/>
      <c r="K2290" s="131"/>
      <c r="L2290" s="69"/>
    </row>
    <row r="2291" spans="1:12" x14ac:dyDescent="0.15">
      <c r="A2291" s="166"/>
      <c r="B2291" s="82"/>
      <c r="C2291" s="70"/>
      <c r="D2291" s="70"/>
      <c r="E2291" s="70"/>
      <c r="F2291" s="70"/>
      <c r="G2291" s="70"/>
      <c r="H2291" s="93"/>
      <c r="I2291" s="85"/>
      <c r="J2291" s="85"/>
      <c r="K2291" s="131"/>
      <c r="L2291" s="69"/>
    </row>
    <row r="2292" spans="1:12" x14ac:dyDescent="0.15">
      <c r="A2292" s="166"/>
      <c r="B2292" s="82"/>
      <c r="C2292" s="70"/>
      <c r="D2292" s="70"/>
      <c r="E2292" s="70"/>
      <c r="F2292" s="70"/>
      <c r="G2292" s="70"/>
      <c r="H2292" s="93"/>
      <c r="I2292" s="85"/>
      <c r="J2292" s="85"/>
      <c r="K2292" s="131"/>
      <c r="L2292" s="69"/>
    </row>
    <row r="2293" spans="1:12" x14ac:dyDescent="0.15">
      <c r="A2293" s="166"/>
      <c r="B2293" s="82"/>
      <c r="C2293" s="70"/>
      <c r="D2293" s="70"/>
      <c r="E2293" s="70"/>
      <c r="F2293" s="70"/>
      <c r="G2293" s="70"/>
      <c r="H2293" s="93"/>
      <c r="I2293" s="85"/>
      <c r="J2293" s="85"/>
      <c r="K2293" s="131"/>
      <c r="L2293" s="69"/>
    </row>
    <row r="2294" spans="1:12" x14ac:dyDescent="0.15">
      <c r="A2294" s="166"/>
      <c r="B2294" s="82"/>
      <c r="C2294" s="70"/>
      <c r="D2294" s="70"/>
      <c r="E2294" s="70"/>
      <c r="F2294" s="70"/>
      <c r="G2294" s="70"/>
      <c r="H2294" s="93"/>
      <c r="I2294" s="85"/>
      <c r="J2294" s="85"/>
      <c r="K2294" s="131"/>
      <c r="L2294" s="69"/>
    </row>
    <row r="2295" spans="1:12" x14ac:dyDescent="0.15">
      <c r="A2295" s="166"/>
      <c r="B2295" s="82"/>
      <c r="C2295" s="70"/>
      <c r="D2295" s="70"/>
      <c r="E2295" s="70"/>
      <c r="F2295" s="70"/>
      <c r="G2295" s="70"/>
      <c r="H2295" s="93"/>
      <c r="I2295" s="85"/>
      <c r="J2295" s="85"/>
      <c r="K2295" s="131"/>
      <c r="L2295" s="60"/>
    </row>
    <row r="2296" spans="1:12" x14ac:dyDescent="0.15">
      <c r="A2296" s="166"/>
      <c r="B2296" s="82"/>
      <c r="C2296" s="70"/>
      <c r="D2296" s="70"/>
      <c r="E2296" s="70"/>
      <c r="F2296" s="70"/>
      <c r="G2296" s="70"/>
      <c r="H2296" s="93"/>
      <c r="I2296" s="85"/>
      <c r="J2296" s="85"/>
      <c r="K2296" s="131"/>
      <c r="L2296" s="69"/>
    </row>
    <row r="2297" spans="1:12" x14ac:dyDescent="0.15">
      <c r="A2297" s="166"/>
      <c r="B2297" s="82"/>
      <c r="C2297" s="70"/>
      <c r="D2297" s="70"/>
      <c r="E2297" s="70"/>
      <c r="F2297" s="70"/>
      <c r="G2297" s="70"/>
      <c r="H2297" s="93"/>
      <c r="I2297" s="85"/>
      <c r="J2297" s="85"/>
      <c r="K2297" s="131"/>
      <c r="L2297" s="60"/>
    </row>
    <row r="2298" spans="1:12" x14ac:dyDescent="0.15">
      <c r="A2298" s="166"/>
      <c r="B2298" s="82"/>
      <c r="C2298" s="70"/>
      <c r="D2298" s="70"/>
      <c r="E2298" s="70"/>
      <c r="F2298" s="70"/>
      <c r="G2298" s="70"/>
      <c r="H2298" s="93"/>
      <c r="I2298" s="85"/>
      <c r="J2298" s="85"/>
      <c r="K2298" s="131"/>
      <c r="L2298" s="69"/>
    </row>
    <row r="2299" spans="1:12" x14ac:dyDescent="0.15">
      <c r="A2299" s="166"/>
      <c r="B2299" s="82"/>
      <c r="C2299" s="70"/>
      <c r="D2299" s="70"/>
      <c r="E2299" s="70"/>
      <c r="F2299" s="70"/>
      <c r="G2299" s="70"/>
      <c r="H2299" s="93"/>
      <c r="I2299" s="85"/>
      <c r="J2299" s="85"/>
      <c r="K2299" s="131"/>
      <c r="L2299" s="69"/>
    </row>
    <row r="2300" spans="1:12" x14ac:dyDescent="0.15">
      <c r="A2300" s="166"/>
      <c r="B2300" s="82"/>
      <c r="C2300" s="70"/>
      <c r="D2300" s="70"/>
      <c r="E2300" s="70"/>
      <c r="F2300" s="70"/>
      <c r="G2300" s="70"/>
      <c r="H2300" s="93"/>
      <c r="I2300" s="85"/>
      <c r="J2300" s="85"/>
      <c r="K2300" s="131"/>
      <c r="L2300" s="69"/>
    </row>
    <row r="2301" spans="1:12" x14ac:dyDescent="0.15">
      <c r="A2301" s="166"/>
      <c r="B2301" s="82"/>
      <c r="C2301" s="70"/>
      <c r="D2301" s="70"/>
      <c r="E2301" s="70"/>
      <c r="F2301" s="70"/>
      <c r="G2301" s="70"/>
      <c r="H2301" s="93"/>
      <c r="I2301" s="85"/>
      <c r="J2301" s="85"/>
      <c r="K2301" s="131"/>
      <c r="L2301" s="60"/>
    </row>
    <row r="2302" spans="1:12" x14ac:dyDescent="0.15">
      <c r="A2302" s="166"/>
      <c r="B2302" s="82"/>
      <c r="C2302" s="70"/>
      <c r="D2302" s="70"/>
      <c r="E2302" s="70"/>
      <c r="F2302" s="70"/>
      <c r="G2302" s="70"/>
      <c r="H2302" s="93"/>
      <c r="I2302" s="85"/>
      <c r="J2302" s="85"/>
      <c r="K2302" s="131"/>
      <c r="L2302" s="60"/>
    </row>
    <row r="2303" spans="1:12" x14ac:dyDescent="0.15">
      <c r="A2303" s="166"/>
      <c r="B2303" s="82"/>
      <c r="C2303" s="70"/>
      <c r="D2303" s="70"/>
      <c r="E2303" s="70"/>
      <c r="F2303" s="70"/>
      <c r="G2303" s="70"/>
      <c r="H2303" s="93"/>
      <c r="I2303" s="85"/>
      <c r="J2303" s="85"/>
      <c r="K2303" s="131"/>
      <c r="L2303" s="69"/>
    </row>
    <row r="2304" spans="1:12" x14ac:dyDescent="0.15">
      <c r="A2304" s="166"/>
      <c r="B2304" s="82"/>
      <c r="C2304" s="70"/>
      <c r="D2304" s="70"/>
      <c r="E2304" s="70"/>
      <c r="F2304" s="70"/>
      <c r="G2304" s="70"/>
      <c r="H2304" s="93"/>
      <c r="I2304" s="85"/>
      <c r="J2304" s="85"/>
      <c r="K2304" s="131"/>
      <c r="L2304" s="69"/>
    </row>
    <row r="2305" spans="1:28" x14ac:dyDescent="0.15">
      <c r="A2305" s="166"/>
      <c r="B2305" s="82"/>
      <c r="C2305" s="70"/>
      <c r="D2305" s="70"/>
      <c r="E2305" s="70"/>
      <c r="F2305" s="70"/>
      <c r="G2305" s="70"/>
      <c r="H2305" s="93"/>
      <c r="I2305" s="85"/>
      <c r="J2305" s="85"/>
      <c r="K2305" s="131"/>
      <c r="L2305" s="69"/>
    </row>
    <row r="2306" spans="1:28" x14ac:dyDescent="0.15">
      <c r="A2306" s="166"/>
      <c r="B2306" s="82"/>
      <c r="C2306" s="70"/>
      <c r="D2306" s="70"/>
      <c r="E2306" s="70"/>
      <c r="F2306" s="70"/>
      <c r="G2306" s="70"/>
      <c r="H2306" s="93"/>
      <c r="I2306" s="85"/>
      <c r="J2306" s="85"/>
      <c r="K2306" s="131"/>
      <c r="L2306" s="69"/>
    </row>
    <row r="2307" spans="1:28" x14ac:dyDescent="0.15">
      <c r="A2307" s="166"/>
      <c r="B2307" s="82"/>
      <c r="C2307" s="70"/>
      <c r="D2307" s="70"/>
      <c r="E2307" s="70"/>
      <c r="F2307" s="70"/>
      <c r="G2307" s="70"/>
      <c r="H2307" s="93"/>
      <c r="I2307" s="85"/>
      <c r="J2307" s="85"/>
      <c r="K2307" s="131"/>
      <c r="L2307" s="69"/>
    </row>
    <row r="2308" spans="1:28" x14ac:dyDescent="0.15">
      <c r="A2308" s="166"/>
      <c r="B2308" s="82"/>
      <c r="C2308" s="70"/>
      <c r="D2308" s="70"/>
      <c r="E2308" s="70"/>
      <c r="F2308" s="70"/>
      <c r="G2308" s="70"/>
      <c r="H2308" s="93"/>
      <c r="I2308" s="85"/>
      <c r="J2308" s="85"/>
      <c r="K2308" s="131"/>
      <c r="L2308" s="69"/>
    </row>
    <row r="2309" spans="1:28" x14ac:dyDescent="0.15">
      <c r="A2309" s="166"/>
      <c r="B2309" s="82"/>
      <c r="C2309" s="70"/>
      <c r="D2309" s="70"/>
      <c r="E2309" s="70"/>
      <c r="F2309" s="70"/>
      <c r="G2309" s="70"/>
      <c r="H2309" s="93"/>
      <c r="I2309" s="85"/>
      <c r="J2309" s="85"/>
      <c r="K2309" s="131"/>
      <c r="L2309" s="69"/>
    </row>
    <row r="2310" spans="1:28" x14ac:dyDescent="0.15">
      <c r="A2310" s="166"/>
      <c r="B2310" s="82"/>
      <c r="C2310" s="70"/>
      <c r="D2310" s="70"/>
      <c r="E2310" s="70"/>
      <c r="F2310" s="70"/>
      <c r="G2310" s="70"/>
      <c r="H2310" s="93"/>
      <c r="I2310" s="85"/>
      <c r="J2310" s="85"/>
      <c r="K2310" s="131"/>
      <c r="L2310" s="69"/>
    </row>
    <row r="2311" spans="1:28" x14ac:dyDescent="0.15">
      <c r="A2311" s="166"/>
      <c r="B2311" s="82"/>
      <c r="C2311" s="70"/>
      <c r="D2311" s="70"/>
      <c r="E2311" s="70"/>
      <c r="F2311" s="70"/>
      <c r="G2311" s="70"/>
      <c r="H2311" s="93"/>
      <c r="I2311" s="85"/>
      <c r="J2311" s="85"/>
      <c r="K2311" s="131"/>
      <c r="L2311" s="69"/>
    </row>
    <row r="2312" spans="1:28" x14ac:dyDescent="0.15">
      <c r="A2312" s="166"/>
      <c r="B2312" s="82"/>
      <c r="C2312" s="70"/>
      <c r="D2312" s="70"/>
      <c r="E2312" s="70"/>
      <c r="F2312" s="70"/>
      <c r="G2312" s="70"/>
      <c r="H2312" s="93"/>
      <c r="I2312" s="85"/>
      <c r="J2312" s="85"/>
      <c r="K2312" s="131"/>
      <c r="L2312" s="69"/>
      <c r="O2312" s="51"/>
    </row>
    <row r="2313" spans="1:28" ht="16" x14ac:dyDescent="0.2">
      <c r="A2313" s="166"/>
      <c r="B2313" s="82"/>
      <c r="C2313" s="70"/>
      <c r="D2313" s="70"/>
      <c r="E2313" s="70"/>
      <c r="F2313" s="70"/>
      <c r="G2313" s="70"/>
      <c r="H2313" s="93"/>
      <c r="I2313" s="85"/>
      <c r="J2313" s="85"/>
      <c r="K2313" s="131"/>
      <c r="L2313" s="69"/>
      <c r="N2313" s="48"/>
    </row>
    <row r="2314" spans="1:28" x14ac:dyDescent="0.15">
      <c r="A2314" s="166"/>
      <c r="B2314" s="82"/>
      <c r="C2314" s="70"/>
      <c r="D2314" s="70"/>
      <c r="E2314" s="70"/>
      <c r="F2314" s="70"/>
      <c r="G2314" s="70"/>
      <c r="H2314" s="93"/>
      <c r="I2314" s="85"/>
      <c r="J2314" s="85"/>
      <c r="K2314" s="131"/>
      <c r="L2314" s="69"/>
    </row>
    <row r="2315" spans="1:28" x14ac:dyDescent="0.15">
      <c r="A2315" s="167"/>
      <c r="B2315" s="87"/>
      <c r="C2315" s="88"/>
      <c r="D2315" s="86"/>
      <c r="E2315" s="86"/>
      <c r="F2315" s="86"/>
      <c r="G2315" s="86"/>
      <c r="H2315" s="87"/>
      <c r="I2315" s="85"/>
      <c r="J2315" s="89"/>
      <c r="K2315" s="132"/>
      <c r="L2315" s="68"/>
    </row>
    <row r="2316" spans="1:28" x14ac:dyDescent="0.15">
      <c r="A2316" s="167"/>
      <c r="B2316" s="87"/>
      <c r="C2316" s="88"/>
      <c r="D2316" s="86"/>
      <c r="E2316" s="86"/>
      <c r="F2316" s="86"/>
      <c r="G2316" s="86"/>
      <c r="H2316" s="87"/>
      <c r="I2316" s="85"/>
      <c r="J2316" s="89"/>
      <c r="K2316" s="132"/>
      <c r="L2316" s="68"/>
    </row>
    <row r="2317" spans="1:28" x14ac:dyDescent="0.15">
      <c r="A2317" s="166"/>
      <c r="B2317" s="82"/>
      <c r="C2317" s="70"/>
      <c r="D2317" s="70"/>
      <c r="E2317" s="70"/>
      <c r="F2317" s="70"/>
      <c r="G2317" s="70"/>
      <c r="H2317" s="93"/>
      <c r="I2317" s="85"/>
      <c r="J2317" s="85"/>
      <c r="K2317" s="131"/>
      <c r="L2317" s="60"/>
      <c r="S2317" s="187"/>
      <c r="T2317" s="187"/>
      <c r="U2317" s="187"/>
      <c r="V2317" s="187"/>
      <c r="W2317" s="187"/>
      <c r="X2317" s="187"/>
      <c r="Y2317" s="187"/>
      <c r="Z2317" s="188"/>
      <c r="AA2317" s="189"/>
      <c r="AB2317" s="189"/>
    </row>
    <row r="2318" spans="1:28" x14ac:dyDescent="0.15">
      <c r="A2318" s="167"/>
      <c r="B2318" s="87"/>
      <c r="C2318" s="88"/>
      <c r="D2318" s="86"/>
      <c r="E2318" s="86"/>
      <c r="F2318" s="86"/>
      <c r="G2318" s="86"/>
      <c r="H2318" s="87"/>
      <c r="I2318" s="85"/>
      <c r="J2318" s="89"/>
      <c r="K2318" s="132"/>
      <c r="L2318" s="68"/>
    </row>
    <row r="2319" spans="1:28" x14ac:dyDescent="0.15">
      <c r="A2319" s="167"/>
      <c r="B2319" s="87"/>
      <c r="C2319" s="88"/>
      <c r="D2319" s="86"/>
      <c r="E2319" s="86"/>
      <c r="F2319" s="86"/>
      <c r="G2319" s="86"/>
      <c r="H2319" s="87"/>
      <c r="I2319" s="85"/>
      <c r="J2319" s="89"/>
      <c r="K2319" s="132"/>
      <c r="L2319" s="68"/>
    </row>
    <row r="2320" spans="1:28" x14ac:dyDescent="0.15">
      <c r="A2320" s="167"/>
      <c r="B2320" s="87"/>
      <c r="C2320" s="88"/>
      <c r="D2320" s="86"/>
      <c r="E2320" s="86"/>
      <c r="F2320" s="86"/>
      <c r="G2320" s="86"/>
      <c r="H2320" s="87"/>
      <c r="I2320" s="85"/>
      <c r="J2320" s="89"/>
      <c r="K2320" s="132"/>
      <c r="L2320" s="68"/>
    </row>
    <row r="2321" spans="1:16" x14ac:dyDescent="0.15">
      <c r="A2321" s="167"/>
      <c r="B2321" s="87"/>
      <c r="C2321" s="88"/>
      <c r="D2321" s="86"/>
      <c r="E2321" s="86"/>
      <c r="F2321" s="86"/>
      <c r="G2321" s="86"/>
      <c r="H2321" s="87"/>
      <c r="I2321" s="85"/>
      <c r="J2321" s="89"/>
      <c r="K2321" s="132"/>
      <c r="L2321" s="62"/>
    </row>
    <row r="2322" spans="1:16" x14ac:dyDescent="0.15">
      <c r="A2322" s="167"/>
      <c r="B2322" s="87"/>
      <c r="C2322" s="88"/>
      <c r="D2322" s="86"/>
      <c r="E2322" s="86"/>
      <c r="F2322" s="86"/>
      <c r="G2322" s="86"/>
      <c r="H2322" s="87"/>
      <c r="I2322" s="85"/>
      <c r="J2322" s="89"/>
      <c r="K2322" s="132"/>
      <c r="L2322" s="62"/>
    </row>
    <row r="2323" spans="1:16" x14ac:dyDescent="0.15">
      <c r="A2323" s="167"/>
      <c r="B2323" s="87"/>
      <c r="C2323" s="88"/>
      <c r="D2323" s="86"/>
      <c r="E2323" s="86"/>
      <c r="F2323" s="86"/>
      <c r="G2323" s="86"/>
      <c r="H2323" s="87"/>
      <c r="I2323" s="85"/>
      <c r="J2323" s="89"/>
      <c r="K2323" s="132"/>
      <c r="L2323" s="61"/>
    </row>
    <row r="2324" spans="1:16" x14ac:dyDescent="0.15">
      <c r="A2324" s="167"/>
      <c r="B2324" s="87"/>
      <c r="C2324" s="88"/>
      <c r="D2324" s="86"/>
      <c r="E2324" s="86"/>
      <c r="F2324" s="86"/>
      <c r="G2324" s="86"/>
      <c r="H2324" s="87"/>
      <c r="I2324" s="85"/>
      <c r="J2324" s="89"/>
      <c r="K2324" s="132"/>
      <c r="L2324" s="61"/>
    </row>
    <row r="2325" spans="1:16" x14ac:dyDescent="0.15">
      <c r="A2325" s="167"/>
      <c r="B2325" s="87"/>
      <c r="C2325" s="88"/>
      <c r="D2325" s="86"/>
      <c r="E2325" s="86"/>
      <c r="F2325" s="86"/>
      <c r="G2325" s="86"/>
      <c r="H2325" s="87"/>
      <c r="I2325" s="85"/>
      <c r="J2325" s="89"/>
      <c r="K2325" s="132"/>
      <c r="L2325" s="61"/>
    </row>
    <row r="2326" spans="1:16" x14ac:dyDescent="0.15">
      <c r="A2326" s="167"/>
      <c r="B2326" s="87"/>
      <c r="C2326" s="88"/>
      <c r="D2326" s="86"/>
      <c r="E2326" s="86"/>
      <c r="F2326" s="86"/>
      <c r="G2326" s="86"/>
      <c r="H2326" s="87"/>
      <c r="I2326" s="85"/>
      <c r="J2326" s="89"/>
      <c r="K2326" s="132"/>
      <c r="L2326" s="61"/>
    </row>
    <row r="2327" spans="1:16" x14ac:dyDescent="0.15">
      <c r="A2327" s="167"/>
      <c r="B2327" s="87"/>
      <c r="C2327" s="88"/>
      <c r="D2327" s="86"/>
      <c r="E2327" s="86"/>
      <c r="F2327" s="86"/>
      <c r="G2327" s="86"/>
      <c r="H2327" s="87"/>
      <c r="I2327" s="85"/>
      <c r="J2327" s="89"/>
      <c r="K2327" s="132"/>
      <c r="L2327" s="61"/>
    </row>
    <row r="2328" spans="1:16" x14ac:dyDescent="0.15">
      <c r="A2328" s="167"/>
      <c r="B2328" s="87"/>
      <c r="C2328" s="88"/>
      <c r="D2328" s="86"/>
      <c r="E2328" s="86"/>
      <c r="F2328" s="86"/>
      <c r="G2328" s="86"/>
      <c r="H2328" s="87"/>
      <c r="I2328" s="85"/>
      <c r="J2328" s="89"/>
      <c r="K2328" s="132"/>
      <c r="L2328" s="62"/>
    </row>
    <row r="2329" spans="1:16" x14ac:dyDescent="0.15">
      <c r="A2329" s="167"/>
      <c r="B2329" s="87"/>
      <c r="C2329" s="88"/>
      <c r="D2329" s="86"/>
      <c r="E2329" s="86"/>
      <c r="F2329" s="86"/>
      <c r="G2329" s="86"/>
      <c r="H2329" s="87"/>
      <c r="I2329" s="85"/>
      <c r="J2329" s="89"/>
      <c r="K2329" s="132"/>
      <c r="L2329" s="61"/>
    </row>
    <row r="2330" spans="1:16" x14ac:dyDescent="0.15">
      <c r="A2330" s="167"/>
      <c r="B2330" s="87"/>
      <c r="C2330" s="88"/>
      <c r="D2330" s="86"/>
      <c r="E2330" s="86"/>
      <c r="F2330" s="86"/>
      <c r="G2330" s="86"/>
      <c r="H2330" s="87"/>
      <c r="I2330" s="85"/>
      <c r="J2330" s="89"/>
      <c r="K2330" s="132"/>
      <c r="L2330" s="61"/>
    </row>
    <row r="2331" spans="1:16" x14ac:dyDescent="0.15">
      <c r="A2331" s="167"/>
      <c r="B2331" s="87"/>
      <c r="C2331" s="88"/>
      <c r="D2331" s="86"/>
      <c r="E2331" s="86"/>
      <c r="F2331" s="86"/>
      <c r="G2331" s="86"/>
      <c r="H2331" s="87"/>
      <c r="I2331" s="85"/>
      <c r="J2331" s="89"/>
      <c r="K2331" s="132"/>
      <c r="L2331" s="61"/>
    </row>
    <row r="2332" spans="1:16" x14ac:dyDescent="0.15">
      <c r="A2332" s="167"/>
      <c r="B2332" s="87"/>
      <c r="C2332" s="88"/>
      <c r="D2332" s="86"/>
      <c r="E2332" s="86"/>
      <c r="F2332" s="86"/>
      <c r="G2332" s="86"/>
      <c r="H2332" s="87"/>
      <c r="I2332" s="85"/>
      <c r="J2332" s="89"/>
      <c r="K2332" s="132"/>
      <c r="L2332" s="61"/>
    </row>
    <row r="2333" spans="1:16" x14ac:dyDescent="0.15">
      <c r="A2333" s="167"/>
      <c r="B2333" s="87"/>
      <c r="C2333" s="88"/>
      <c r="D2333" s="86"/>
      <c r="E2333" s="86"/>
      <c r="F2333" s="86"/>
      <c r="G2333" s="86"/>
      <c r="H2333" s="87"/>
      <c r="I2333" s="85"/>
      <c r="J2333" s="89"/>
      <c r="K2333" s="132"/>
      <c r="L2333" s="61"/>
    </row>
    <row r="2334" spans="1:16" x14ac:dyDescent="0.15">
      <c r="A2334" s="167"/>
      <c r="B2334" s="87"/>
      <c r="C2334" s="88"/>
      <c r="D2334" s="86"/>
      <c r="E2334" s="86"/>
      <c r="F2334" s="86"/>
      <c r="G2334" s="86"/>
      <c r="H2334" s="87"/>
      <c r="I2334" s="85"/>
      <c r="J2334" s="89"/>
      <c r="K2334" s="132"/>
      <c r="L2334" s="61"/>
      <c r="P2334" s="33"/>
    </row>
    <row r="2335" spans="1:16" x14ac:dyDescent="0.15">
      <c r="A2335" s="167"/>
      <c r="B2335" s="87"/>
      <c r="C2335" s="88"/>
      <c r="D2335" s="86"/>
      <c r="E2335" s="86"/>
      <c r="F2335" s="86"/>
      <c r="G2335" s="86"/>
      <c r="H2335" s="87"/>
      <c r="I2335" s="85"/>
      <c r="J2335" s="89"/>
      <c r="K2335" s="132"/>
      <c r="L2335" s="61"/>
    </row>
    <row r="2336" spans="1:16" x14ac:dyDescent="0.15">
      <c r="A2336" s="167"/>
      <c r="B2336" s="87"/>
      <c r="C2336" s="88"/>
      <c r="D2336" s="86"/>
      <c r="E2336" s="86"/>
      <c r="F2336" s="86"/>
      <c r="G2336" s="86"/>
      <c r="H2336" s="87"/>
      <c r="I2336" s="85"/>
      <c r="J2336" s="89"/>
      <c r="K2336" s="132"/>
      <c r="L2336" s="61"/>
    </row>
    <row r="2337" spans="1:12" x14ac:dyDescent="0.15">
      <c r="A2337" s="167"/>
      <c r="B2337" s="87"/>
      <c r="C2337" s="88"/>
      <c r="D2337" s="86"/>
      <c r="E2337" s="86"/>
      <c r="F2337" s="86"/>
      <c r="G2337" s="86"/>
      <c r="H2337" s="87"/>
      <c r="I2337" s="85"/>
      <c r="J2337" s="89"/>
      <c r="K2337" s="132"/>
      <c r="L2337" s="61"/>
    </row>
    <row r="2338" spans="1:12" x14ac:dyDescent="0.15">
      <c r="A2338" s="167"/>
      <c r="B2338" s="87"/>
      <c r="C2338" s="88"/>
      <c r="D2338" s="86"/>
      <c r="E2338" s="86"/>
      <c r="F2338" s="86"/>
      <c r="G2338" s="86"/>
      <c r="H2338" s="87"/>
      <c r="I2338" s="85"/>
      <c r="J2338" s="89"/>
      <c r="K2338" s="132"/>
      <c r="L2338" s="61"/>
    </row>
    <row r="2339" spans="1:12" x14ac:dyDescent="0.15">
      <c r="A2339" s="167"/>
      <c r="B2339" s="87"/>
      <c r="C2339" s="88"/>
      <c r="D2339" s="86"/>
      <c r="E2339" s="86"/>
      <c r="F2339" s="86"/>
      <c r="G2339" s="86"/>
      <c r="H2339" s="87"/>
      <c r="I2339" s="85"/>
      <c r="J2339" s="89"/>
      <c r="K2339" s="132"/>
      <c r="L2339" s="61"/>
    </row>
    <row r="2340" spans="1:12" x14ac:dyDescent="0.15">
      <c r="A2340" s="167"/>
      <c r="B2340" s="87"/>
      <c r="C2340" s="88"/>
      <c r="D2340" s="86"/>
      <c r="E2340" s="86"/>
      <c r="F2340" s="86"/>
      <c r="G2340" s="86"/>
      <c r="H2340" s="87"/>
      <c r="I2340" s="85"/>
      <c r="J2340" s="89"/>
      <c r="K2340" s="132"/>
      <c r="L2340" s="61"/>
    </row>
    <row r="2341" spans="1:12" x14ac:dyDescent="0.15">
      <c r="A2341" s="167"/>
      <c r="B2341" s="87"/>
      <c r="C2341" s="88"/>
      <c r="D2341" s="86"/>
      <c r="E2341" s="86"/>
      <c r="F2341" s="86"/>
      <c r="G2341" s="86"/>
      <c r="H2341" s="87"/>
      <c r="I2341" s="85"/>
      <c r="J2341" s="89"/>
      <c r="K2341" s="132"/>
      <c r="L2341" s="61"/>
    </row>
    <row r="2342" spans="1:12" x14ac:dyDescent="0.15">
      <c r="A2342" s="167"/>
      <c r="B2342" s="87"/>
      <c r="C2342" s="88"/>
      <c r="D2342" s="86"/>
      <c r="E2342" s="86"/>
      <c r="F2342" s="86"/>
      <c r="G2342" s="86"/>
      <c r="H2342" s="87"/>
      <c r="I2342" s="85"/>
      <c r="J2342" s="89"/>
      <c r="K2342" s="132"/>
      <c r="L2342" s="61"/>
    </row>
    <row r="2343" spans="1:12" x14ac:dyDescent="0.15">
      <c r="A2343" s="167"/>
      <c r="B2343" s="87"/>
      <c r="C2343" s="88"/>
      <c r="D2343" s="86"/>
      <c r="E2343" s="86"/>
      <c r="F2343" s="86"/>
      <c r="G2343" s="86"/>
      <c r="H2343" s="87"/>
      <c r="I2343" s="85"/>
      <c r="J2343" s="89"/>
      <c r="K2343" s="132"/>
      <c r="L2343" s="61"/>
    </row>
    <row r="2344" spans="1:12" x14ac:dyDescent="0.15">
      <c r="A2344" s="167"/>
      <c r="B2344" s="87"/>
      <c r="C2344" s="88"/>
      <c r="D2344" s="86"/>
      <c r="E2344" s="86"/>
      <c r="F2344" s="86"/>
      <c r="G2344" s="86"/>
      <c r="H2344" s="87"/>
      <c r="I2344" s="85"/>
      <c r="J2344" s="89"/>
      <c r="K2344" s="132"/>
      <c r="L2344" s="61"/>
    </row>
    <row r="2345" spans="1:12" x14ac:dyDescent="0.15">
      <c r="A2345" s="167"/>
      <c r="B2345" s="87"/>
      <c r="C2345" s="88"/>
      <c r="D2345" s="86"/>
      <c r="E2345" s="86"/>
      <c r="F2345" s="86"/>
      <c r="G2345" s="86"/>
      <c r="H2345" s="87"/>
      <c r="I2345" s="85"/>
      <c r="J2345" s="89"/>
      <c r="K2345" s="132"/>
      <c r="L2345" s="61"/>
    </row>
    <row r="2346" spans="1:12" x14ac:dyDescent="0.15">
      <c r="A2346" s="167"/>
      <c r="B2346" s="87"/>
      <c r="C2346" s="88"/>
      <c r="D2346" s="86"/>
      <c r="E2346" s="86"/>
      <c r="F2346" s="86"/>
      <c r="G2346" s="86"/>
      <c r="H2346" s="87"/>
      <c r="I2346" s="85"/>
      <c r="J2346" s="89"/>
      <c r="K2346" s="132"/>
      <c r="L2346" s="61"/>
    </row>
    <row r="2347" spans="1:12" x14ac:dyDescent="0.15">
      <c r="A2347" s="167"/>
      <c r="B2347" s="87"/>
      <c r="C2347" s="88"/>
      <c r="D2347" s="86"/>
      <c r="E2347" s="86"/>
      <c r="F2347" s="86"/>
      <c r="G2347" s="86"/>
      <c r="H2347" s="87"/>
      <c r="I2347" s="85"/>
      <c r="J2347" s="89"/>
      <c r="K2347" s="132"/>
      <c r="L2347" s="61"/>
    </row>
    <row r="2348" spans="1:12" x14ac:dyDescent="0.15">
      <c r="A2348" s="167"/>
      <c r="B2348" s="87"/>
      <c r="C2348" s="88"/>
      <c r="D2348" s="86"/>
      <c r="E2348" s="86"/>
      <c r="F2348" s="86"/>
      <c r="G2348" s="86"/>
      <c r="H2348" s="87"/>
      <c r="I2348" s="85"/>
      <c r="J2348" s="89"/>
      <c r="K2348" s="132"/>
      <c r="L2348" s="61"/>
    </row>
    <row r="2349" spans="1:12" x14ac:dyDescent="0.15">
      <c r="A2349" s="167"/>
      <c r="B2349" s="87"/>
      <c r="C2349" s="88"/>
      <c r="D2349" s="86"/>
      <c r="E2349" s="86"/>
      <c r="F2349" s="86"/>
      <c r="G2349" s="86"/>
      <c r="H2349" s="87"/>
      <c r="I2349" s="85"/>
      <c r="J2349" s="89"/>
      <c r="K2349" s="132"/>
      <c r="L2349" s="61"/>
    </row>
    <row r="2350" spans="1:12" x14ac:dyDescent="0.15">
      <c r="A2350" s="167"/>
      <c r="B2350" s="87"/>
      <c r="C2350" s="88"/>
      <c r="D2350" s="86"/>
      <c r="E2350" s="86"/>
      <c r="F2350" s="86"/>
      <c r="G2350" s="86"/>
      <c r="H2350" s="87"/>
      <c r="I2350" s="85"/>
      <c r="J2350" s="89"/>
      <c r="K2350" s="132"/>
      <c r="L2350" s="61"/>
    </row>
    <row r="2351" spans="1:12" x14ac:dyDescent="0.15">
      <c r="A2351" s="167"/>
      <c r="B2351" s="87"/>
      <c r="C2351" s="88"/>
      <c r="D2351" s="86"/>
      <c r="E2351" s="86"/>
      <c r="F2351" s="86"/>
      <c r="G2351" s="86"/>
      <c r="H2351" s="87"/>
      <c r="I2351" s="85"/>
      <c r="J2351" s="89"/>
      <c r="K2351" s="132"/>
      <c r="L2351" s="61"/>
    </row>
    <row r="2352" spans="1:12" x14ac:dyDescent="0.15">
      <c r="A2352" s="167"/>
      <c r="B2352" s="87"/>
      <c r="C2352" s="88"/>
      <c r="D2352" s="86"/>
      <c r="E2352" s="86"/>
      <c r="F2352" s="86"/>
      <c r="G2352" s="86"/>
      <c r="H2352" s="87"/>
      <c r="I2352" s="85"/>
      <c r="J2352" s="89"/>
      <c r="K2352" s="132"/>
      <c r="L2352" s="61"/>
    </row>
    <row r="2353" spans="1:26" x14ac:dyDescent="0.15">
      <c r="A2353" s="167"/>
      <c r="B2353" s="87"/>
      <c r="C2353" s="88"/>
      <c r="D2353" s="86"/>
      <c r="E2353" s="86"/>
      <c r="F2353" s="86"/>
      <c r="G2353" s="86"/>
      <c r="H2353" s="87"/>
      <c r="I2353" s="85"/>
      <c r="J2353" s="89"/>
      <c r="K2353" s="132"/>
      <c r="L2353" s="61"/>
    </row>
    <row r="2354" spans="1:26" x14ac:dyDescent="0.15">
      <c r="A2354" s="167"/>
      <c r="B2354" s="87"/>
      <c r="C2354" s="88"/>
      <c r="D2354" s="86"/>
      <c r="E2354" s="86"/>
      <c r="F2354" s="86"/>
      <c r="G2354" s="86"/>
      <c r="H2354" s="87"/>
      <c r="I2354" s="85"/>
      <c r="J2354" s="89"/>
      <c r="K2354" s="132"/>
      <c r="L2354" s="61"/>
    </row>
    <row r="2355" spans="1:26" x14ac:dyDescent="0.15">
      <c r="A2355" s="167"/>
      <c r="B2355" s="87"/>
      <c r="C2355" s="88"/>
      <c r="D2355" s="86"/>
      <c r="E2355" s="86"/>
      <c r="F2355" s="86"/>
      <c r="G2355" s="86"/>
      <c r="H2355" s="87"/>
      <c r="I2355" s="85"/>
      <c r="J2355" s="89"/>
      <c r="K2355" s="132"/>
      <c r="L2355" s="61"/>
    </row>
    <row r="2356" spans="1:26" x14ac:dyDescent="0.15">
      <c r="A2356" s="167"/>
      <c r="B2356" s="87"/>
      <c r="C2356" s="88"/>
      <c r="D2356" s="86"/>
      <c r="E2356" s="86"/>
      <c r="F2356" s="86"/>
      <c r="G2356" s="86"/>
      <c r="H2356" s="87"/>
      <c r="I2356" s="85"/>
      <c r="J2356" s="89"/>
      <c r="K2356" s="132"/>
      <c r="L2356" s="62"/>
      <c r="S2356"/>
      <c r="T2356"/>
      <c r="U2356"/>
      <c r="V2356"/>
      <c r="W2356"/>
      <c r="X2356"/>
      <c r="Y2356"/>
      <c r="Z2356"/>
    </row>
    <row r="2357" spans="1:26" x14ac:dyDescent="0.15">
      <c r="A2357" s="167"/>
      <c r="B2357" s="87"/>
      <c r="C2357" s="88"/>
      <c r="D2357" s="86"/>
      <c r="E2357" s="86"/>
      <c r="F2357" s="86"/>
      <c r="G2357" s="86"/>
      <c r="H2357" s="87"/>
      <c r="I2357" s="85"/>
      <c r="J2357" s="89"/>
      <c r="K2357" s="132"/>
      <c r="L2357" s="62"/>
      <c r="S2357"/>
      <c r="T2357"/>
      <c r="U2357"/>
      <c r="V2357"/>
      <c r="W2357"/>
      <c r="X2357"/>
      <c r="Y2357"/>
      <c r="Z2357"/>
    </row>
    <row r="2358" spans="1:26" x14ac:dyDescent="0.15">
      <c r="A2358" s="167"/>
      <c r="B2358" s="87"/>
      <c r="C2358" s="88"/>
      <c r="D2358" s="86"/>
      <c r="E2358" s="86"/>
      <c r="F2358" s="86"/>
      <c r="G2358" s="86"/>
      <c r="H2358" s="87"/>
      <c r="I2358" s="85"/>
      <c r="J2358" s="89"/>
      <c r="K2358" s="132"/>
      <c r="L2358" s="61"/>
    </row>
    <row r="2359" spans="1:26" x14ac:dyDescent="0.15">
      <c r="A2359" s="167"/>
      <c r="B2359" s="87"/>
      <c r="C2359" s="88"/>
      <c r="D2359" s="86"/>
      <c r="E2359" s="86"/>
      <c r="F2359" s="86"/>
      <c r="G2359" s="86"/>
      <c r="H2359" s="87"/>
      <c r="I2359" s="85"/>
      <c r="J2359" s="89"/>
      <c r="K2359" s="132"/>
      <c r="L2359" s="62"/>
    </row>
    <row r="2360" spans="1:26" x14ac:dyDescent="0.15">
      <c r="A2360" s="167"/>
      <c r="B2360" s="87"/>
      <c r="C2360" s="88"/>
      <c r="D2360" s="86"/>
      <c r="E2360" s="86"/>
      <c r="F2360" s="86"/>
      <c r="G2360" s="86"/>
      <c r="H2360" s="87"/>
      <c r="I2360" s="85"/>
      <c r="J2360" s="89"/>
      <c r="K2360" s="132"/>
      <c r="L2360" s="62"/>
    </row>
    <row r="2361" spans="1:26" ht="16" x14ac:dyDescent="0.2">
      <c r="A2361" s="227"/>
      <c r="B2361" s="93"/>
      <c r="C2361" s="62"/>
      <c r="D2361" s="62"/>
      <c r="E2361" s="62"/>
      <c r="F2361" s="70"/>
      <c r="G2361" s="70"/>
      <c r="H2361" s="93"/>
      <c r="I2361" s="85"/>
      <c r="J2361" s="85"/>
      <c r="K2361" s="131"/>
      <c r="L2361" s="61"/>
      <c r="M2361" s="35"/>
      <c r="N2361" s="48"/>
    </row>
    <row r="2362" spans="1:26" x14ac:dyDescent="0.15">
      <c r="A2362" s="227"/>
      <c r="B2362" s="93"/>
      <c r="C2362" s="62"/>
      <c r="D2362" s="62"/>
      <c r="E2362" s="62"/>
      <c r="F2362" s="70"/>
      <c r="G2362" s="70"/>
      <c r="H2362" s="93"/>
      <c r="I2362" s="85"/>
      <c r="J2362" s="85"/>
      <c r="K2362" s="131"/>
      <c r="L2362" s="61"/>
      <c r="M2362" s="35"/>
    </row>
    <row r="2363" spans="1:26" x14ac:dyDescent="0.15">
      <c r="A2363" s="227"/>
      <c r="B2363" s="93"/>
      <c r="C2363" s="62"/>
      <c r="D2363" s="62"/>
      <c r="E2363" s="62"/>
      <c r="F2363" s="70"/>
      <c r="G2363" s="70"/>
      <c r="H2363" s="93"/>
      <c r="I2363" s="85"/>
      <c r="J2363" s="85"/>
      <c r="K2363" s="131"/>
      <c r="L2363" s="61"/>
      <c r="M2363" s="35"/>
    </row>
    <row r="2364" spans="1:26" x14ac:dyDescent="0.15">
      <c r="A2364" s="227"/>
      <c r="B2364" s="93"/>
      <c r="C2364" s="62"/>
      <c r="D2364" s="62"/>
      <c r="E2364" s="62"/>
      <c r="F2364" s="70"/>
      <c r="G2364" s="70"/>
      <c r="H2364" s="93"/>
      <c r="I2364" s="85"/>
      <c r="J2364" s="85"/>
      <c r="K2364" s="131"/>
      <c r="L2364" s="61"/>
      <c r="M2364" s="35"/>
    </row>
    <row r="2365" spans="1:26" x14ac:dyDescent="0.15">
      <c r="A2365" s="167"/>
      <c r="B2365" s="93"/>
      <c r="C2365" s="70"/>
      <c r="D2365" s="70"/>
      <c r="E2365" s="70"/>
      <c r="F2365" s="70"/>
      <c r="G2365" s="70"/>
      <c r="H2365" s="93"/>
      <c r="I2365" s="85"/>
      <c r="J2365" s="85"/>
      <c r="K2365" s="131"/>
      <c r="L2365" s="61"/>
      <c r="M2365" s="35"/>
    </row>
    <row r="2366" spans="1:26" x14ac:dyDescent="0.15">
      <c r="A2366" s="167"/>
      <c r="B2366" s="93"/>
      <c r="C2366" s="70"/>
      <c r="D2366" s="70"/>
      <c r="E2366" s="70"/>
      <c r="F2366" s="70"/>
      <c r="G2366" s="70"/>
      <c r="H2366" s="93"/>
      <c r="I2366" s="85"/>
      <c r="J2366" s="85"/>
      <c r="K2366" s="131"/>
      <c r="L2366" s="61"/>
      <c r="M2366" s="35"/>
    </row>
    <row r="2367" spans="1:26" x14ac:dyDescent="0.15">
      <c r="A2367" s="227"/>
      <c r="B2367" s="93"/>
      <c r="C2367" s="62"/>
      <c r="D2367" s="62"/>
      <c r="E2367" s="62"/>
      <c r="F2367" s="70"/>
      <c r="G2367" s="70"/>
      <c r="H2367" s="93"/>
      <c r="I2367" s="85"/>
      <c r="J2367" s="85"/>
      <c r="K2367" s="131"/>
      <c r="L2367" s="61"/>
      <c r="M2367" s="35"/>
    </row>
    <row r="2368" spans="1:26" x14ac:dyDescent="0.15">
      <c r="A2368" s="227"/>
      <c r="B2368" s="93"/>
      <c r="C2368" s="62"/>
      <c r="D2368" s="62"/>
      <c r="E2368" s="62"/>
      <c r="F2368" s="70"/>
      <c r="G2368" s="70"/>
      <c r="H2368" s="93"/>
      <c r="I2368" s="85"/>
      <c r="J2368" s="98"/>
      <c r="K2368" s="131"/>
      <c r="L2368" s="61"/>
      <c r="M2368" s="35"/>
    </row>
    <row r="2369" spans="1:13" x14ac:dyDescent="0.15">
      <c r="A2369" s="227"/>
      <c r="B2369" s="93"/>
      <c r="C2369" s="62"/>
      <c r="D2369" s="62"/>
      <c r="E2369" s="62"/>
      <c r="F2369" s="70"/>
      <c r="G2369" s="70"/>
      <c r="H2369" s="93"/>
      <c r="I2369" s="85"/>
      <c r="J2369" s="85"/>
      <c r="K2369" s="131"/>
      <c r="L2369" s="61"/>
      <c r="M2369" s="35"/>
    </row>
    <row r="2370" spans="1:13" x14ac:dyDescent="0.15">
      <c r="A2370" s="166"/>
      <c r="B2370" s="82"/>
      <c r="C2370" s="70"/>
      <c r="D2370" s="70"/>
      <c r="E2370" s="70"/>
      <c r="F2370" s="70"/>
      <c r="G2370" s="70"/>
      <c r="H2370" s="93"/>
      <c r="I2370" s="85"/>
      <c r="J2370" s="85"/>
      <c r="K2370" s="131"/>
      <c r="L2370" s="60"/>
    </row>
    <row r="2371" spans="1:13" x14ac:dyDescent="0.15">
      <c r="A2371" s="166"/>
      <c r="B2371" s="82"/>
      <c r="C2371" s="70"/>
      <c r="D2371" s="70"/>
      <c r="E2371" s="70"/>
      <c r="F2371" s="70"/>
      <c r="G2371" s="70"/>
      <c r="H2371" s="93"/>
      <c r="I2371" s="85"/>
      <c r="J2371" s="85"/>
      <c r="K2371" s="131"/>
      <c r="L2371" s="60"/>
    </row>
    <row r="2372" spans="1:13" x14ac:dyDescent="0.15">
      <c r="A2372" s="166"/>
      <c r="B2372" s="82"/>
      <c r="C2372" s="70"/>
      <c r="D2372" s="70"/>
      <c r="E2372" s="70"/>
      <c r="F2372" s="70"/>
      <c r="G2372" s="70"/>
      <c r="H2372" s="93"/>
      <c r="I2372" s="85"/>
      <c r="J2372" s="85"/>
      <c r="K2372" s="131"/>
      <c r="L2372" s="60"/>
    </row>
    <row r="2373" spans="1:13" x14ac:dyDescent="0.15">
      <c r="A2373" s="166"/>
      <c r="B2373" s="82"/>
      <c r="C2373" s="70"/>
      <c r="D2373" s="70"/>
      <c r="E2373" s="70"/>
      <c r="F2373" s="70"/>
      <c r="G2373" s="70"/>
      <c r="H2373" s="93"/>
      <c r="I2373" s="85"/>
      <c r="J2373" s="85"/>
      <c r="K2373" s="131"/>
      <c r="L2373" s="60"/>
    </row>
    <row r="2374" spans="1:13" x14ac:dyDescent="0.15">
      <c r="A2374" s="166"/>
      <c r="B2374" s="82"/>
      <c r="C2374" s="70"/>
      <c r="D2374" s="70"/>
      <c r="E2374" s="70"/>
      <c r="F2374" s="70"/>
      <c r="G2374" s="70"/>
      <c r="H2374" s="93"/>
      <c r="I2374" s="85"/>
      <c r="J2374" s="85"/>
      <c r="K2374" s="131"/>
      <c r="L2374" s="60"/>
    </row>
    <row r="2375" spans="1:13" x14ac:dyDescent="0.15">
      <c r="A2375" s="166"/>
      <c r="B2375" s="82"/>
      <c r="C2375" s="70"/>
      <c r="D2375" s="70"/>
      <c r="E2375" s="70"/>
      <c r="F2375" s="70"/>
      <c r="G2375" s="70"/>
      <c r="H2375" s="93"/>
      <c r="I2375" s="85"/>
      <c r="J2375" s="85"/>
      <c r="K2375" s="131"/>
      <c r="L2375" s="60"/>
    </row>
    <row r="2376" spans="1:13" x14ac:dyDescent="0.15">
      <c r="A2376" s="166"/>
      <c r="B2376" s="82"/>
      <c r="C2376" s="70"/>
      <c r="D2376" s="70"/>
      <c r="E2376" s="70"/>
      <c r="F2376" s="70"/>
      <c r="G2376" s="70"/>
      <c r="H2376" s="93"/>
      <c r="I2376" s="85"/>
      <c r="J2376" s="85"/>
      <c r="K2376" s="131"/>
      <c r="L2376" s="60"/>
    </row>
    <row r="2377" spans="1:13" x14ac:dyDescent="0.15">
      <c r="A2377" s="166"/>
      <c r="B2377" s="82"/>
      <c r="C2377" s="70"/>
      <c r="D2377" s="70"/>
      <c r="E2377" s="70"/>
      <c r="F2377" s="70"/>
      <c r="G2377" s="70"/>
      <c r="H2377" s="93"/>
      <c r="I2377" s="85"/>
      <c r="J2377" s="85"/>
      <c r="K2377" s="131"/>
      <c r="L2377" s="60"/>
    </row>
    <row r="2378" spans="1:13" x14ac:dyDescent="0.15">
      <c r="A2378" s="166"/>
      <c r="B2378" s="82"/>
      <c r="C2378" s="70"/>
      <c r="D2378" s="70"/>
      <c r="E2378" s="70"/>
      <c r="F2378" s="70"/>
      <c r="G2378" s="70"/>
      <c r="H2378" s="93"/>
      <c r="I2378" s="85"/>
      <c r="J2378" s="85"/>
      <c r="K2378" s="131"/>
      <c r="L2378" s="60"/>
    </row>
    <row r="2379" spans="1:13" x14ac:dyDescent="0.15">
      <c r="A2379" s="166"/>
      <c r="B2379" s="82"/>
      <c r="C2379" s="70"/>
      <c r="D2379" s="70"/>
      <c r="E2379" s="70"/>
      <c r="F2379" s="70"/>
      <c r="G2379" s="70"/>
      <c r="H2379" s="93"/>
      <c r="I2379" s="85"/>
      <c r="J2379" s="85"/>
      <c r="K2379" s="131"/>
      <c r="L2379" s="60"/>
    </row>
    <row r="2380" spans="1:13" x14ac:dyDescent="0.15">
      <c r="A2380" s="166"/>
      <c r="B2380" s="82"/>
      <c r="C2380" s="70"/>
      <c r="D2380" s="70"/>
      <c r="E2380" s="70"/>
      <c r="F2380" s="70"/>
      <c r="G2380" s="70"/>
      <c r="H2380" s="93"/>
      <c r="I2380" s="85"/>
      <c r="J2380" s="85"/>
      <c r="K2380" s="131"/>
      <c r="L2380" s="60"/>
    </row>
    <row r="2381" spans="1:13" x14ac:dyDescent="0.15">
      <c r="A2381" s="166"/>
      <c r="B2381" s="82"/>
      <c r="C2381" s="70"/>
      <c r="D2381" s="70"/>
      <c r="E2381" s="70"/>
      <c r="F2381" s="70"/>
      <c r="G2381" s="70"/>
      <c r="H2381" s="93"/>
      <c r="I2381" s="85"/>
      <c r="J2381" s="85"/>
      <c r="K2381" s="131"/>
      <c r="L2381" s="60"/>
    </row>
    <row r="2382" spans="1:13" x14ac:dyDescent="0.15">
      <c r="A2382" s="166"/>
      <c r="B2382" s="82"/>
      <c r="C2382" s="70"/>
      <c r="D2382" s="70"/>
      <c r="E2382" s="70"/>
      <c r="F2382" s="70"/>
      <c r="G2382" s="70"/>
      <c r="H2382" s="93"/>
      <c r="I2382" s="85"/>
      <c r="J2382" s="85"/>
      <c r="K2382" s="131"/>
      <c r="L2382" s="60"/>
    </row>
    <row r="2383" spans="1:13" x14ac:dyDescent="0.15">
      <c r="A2383" s="166"/>
      <c r="B2383" s="82"/>
      <c r="C2383" s="70"/>
      <c r="D2383" s="70"/>
      <c r="E2383" s="70"/>
      <c r="F2383" s="70"/>
      <c r="G2383" s="70"/>
      <c r="H2383" s="93"/>
      <c r="I2383" s="85"/>
      <c r="J2383" s="85"/>
      <c r="K2383" s="131"/>
      <c r="L2383" s="60"/>
    </row>
    <row r="2384" spans="1:13" x14ac:dyDescent="0.15">
      <c r="A2384" s="166"/>
      <c r="B2384" s="82"/>
      <c r="C2384" s="70"/>
      <c r="D2384" s="70"/>
      <c r="E2384" s="70"/>
      <c r="F2384" s="70"/>
      <c r="G2384" s="70"/>
      <c r="H2384" s="93"/>
      <c r="I2384" s="85"/>
      <c r="J2384" s="85"/>
      <c r="K2384" s="131"/>
      <c r="L2384" s="60"/>
    </row>
    <row r="2385" spans="1:12" x14ac:dyDescent="0.15">
      <c r="A2385" s="166"/>
      <c r="B2385" s="82"/>
      <c r="C2385" s="70"/>
      <c r="D2385" s="70"/>
      <c r="E2385" s="70"/>
      <c r="F2385" s="70"/>
      <c r="G2385" s="70"/>
      <c r="H2385" s="93"/>
      <c r="I2385" s="85"/>
      <c r="J2385" s="85"/>
      <c r="K2385" s="131"/>
      <c r="L2385" s="60"/>
    </row>
    <row r="2386" spans="1:12" x14ac:dyDescent="0.15">
      <c r="A2386" s="166"/>
      <c r="B2386" s="82"/>
      <c r="C2386" s="70"/>
      <c r="D2386" s="70"/>
      <c r="E2386" s="70"/>
      <c r="F2386" s="70"/>
      <c r="G2386" s="70"/>
      <c r="H2386" s="93"/>
      <c r="I2386" s="85"/>
      <c r="J2386" s="85"/>
      <c r="K2386" s="131"/>
      <c r="L2386" s="60"/>
    </row>
    <row r="2387" spans="1:12" x14ac:dyDescent="0.15">
      <c r="A2387" s="166"/>
      <c r="B2387" s="82"/>
      <c r="C2387" s="70"/>
      <c r="D2387" s="70"/>
      <c r="E2387" s="73"/>
      <c r="F2387" s="70"/>
      <c r="G2387" s="70"/>
      <c r="H2387" s="93"/>
      <c r="I2387" s="85"/>
      <c r="J2387" s="85"/>
      <c r="K2387" s="131"/>
      <c r="L2387" s="60"/>
    </row>
    <row r="2388" spans="1:12" x14ac:dyDescent="0.15">
      <c r="A2388" s="166"/>
      <c r="B2388" s="82"/>
      <c r="C2388" s="70"/>
      <c r="D2388" s="70"/>
      <c r="E2388" s="70"/>
      <c r="F2388" s="70"/>
      <c r="G2388" s="70"/>
      <c r="H2388" s="93"/>
      <c r="I2388" s="85"/>
      <c r="J2388" s="85"/>
      <c r="K2388" s="131"/>
      <c r="L2388" s="60"/>
    </row>
    <row r="2389" spans="1:12" x14ac:dyDescent="0.15">
      <c r="A2389" s="166"/>
      <c r="B2389" s="82"/>
      <c r="C2389" s="70"/>
      <c r="D2389" s="70"/>
      <c r="E2389" s="70"/>
      <c r="F2389" s="70"/>
      <c r="G2389" s="70"/>
      <c r="H2389" s="93"/>
      <c r="I2389" s="85"/>
      <c r="J2389" s="85"/>
      <c r="K2389" s="131"/>
      <c r="L2389" s="60"/>
    </row>
    <row r="2390" spans="1:12" x14ac:dyDescent="0.15">
      <c r="A2390" s="166"/>
      <c r="B2390" s="82"/>
      <c r="C2390" s="70"/>
      <c r="D2390" s="70"/>
      <c r="E2390" s="70"/>
      <c r="F2390" s="70"/>
      <c r="G2390" s="70"/>
      <c r="H2390" s="93"/>
      <c r="I2390" s="85"/>
      <c r="J2390" s="85"/>
      <c r="K2390" s="131"/>
      <c r="L2390" s="60"/>
    </row>
    <row r="2391" spans="1:12" x14ac:dyDescent="0.15">
      <c r="A2391" s="166"/>
      <c r="B2391" s="82"/>
      <c r="C2391" s="70"/>
      <c r="D2391" s="70"/>
      <c r="E2391" s="70"/>
      <c r="F2391" s="70"/>
      <c r="G2391" s="70"/>
      <c r="H2391" s="93"/>
      <c r="I2391" s="85"/>
      <c r="J2391" s="85"/>
      <c r="K2391" s="131"/>
      <c r="L2391" s="60"/>
    </row>
    <row r="2392" spans="1:12" x14ac:dyDescent="0.15">
      <c r="A2392" s="166"/>
      <c r="B2392" s="82"/>
      <c r="C2392" s="70"/>
      <c r="D2392" s="70"/>
      <c r="E2392" s="70"/>
      <c r="F2392" s="70"/>
      <c r="G2392" s="70"/>
      <c r="H2392" s="93"/>
      <c r="I2392" s="85"/>
      <c r="J2392" s="85"/>
      <c r="K2392" s="131"/>
      <c r="L2392" s="60"/>
    </row>
    <row r="2393" spans="1:12" x14ac:dyDescent="0.15">
      <c r="A2393" s="166"/>
      <c r="B2393" s="82"/>
      <c r="C2393" s="70"/>
      <c r="D2393" s="70"/>
      <c r="E2393" s="70"/>
      <c r="F2393" s="70"/>
      <c r="G2393" s="70"/>
      <c r="H2393" s="93"/>
      <c r="I2393" s="85"/>
      <c r="J2393" s="85"/>
      <c r="K2393" s="131"/>
      <c r="L2393" s="60"/>
    </row>
    <row r="2394" spans="1:12" x14ac:dyDescent="0.15">
      <c r="A2394" s="166"/>
      <c r="B2394" s="82"/>
      <c r="C2394" s="70"/>
      <c r="D2394" s="70"/>
      <c r="E2394" s="70"/>
      <c r="F2394" s="70"/>
      <c r="G2394" s="70"/>
      <c r="H2394" s="93"/>
      <c r="I2394" s="85"/>
      <c r="J2394" s="85"/>
      <c r="K2394" s="146"/>
      <c r="L2394" s="60"/>
    </row>
    <row r="2395" spans="1:12" x14ac:dyDescent="0.15">
      <c r="A2395" s="166"/>
      <c r="B2395" s="82"/>
      <c r="C2395" s="70"/>
      <c r="D2395" s="70"/>
      <c r="E2395" s="70"/>
      <c r="F2395" s="70"/>
      <c r="G2395" s="70"/>
      <c r="H2395" s="93"/>
      <c r="I2395" s="85"/>
      <c r="J2395" s="85"/>
      <c r="K2395" s="131"/>
      <c r="L2395" s="60"/>
    </row>
    <row r="2396" spans="1:12" x14ac:dyDescent="0.15">
      <c r="A2396" s="166"/>
      <c r="B2396" s="82"/>
      <c r="C2396" s="70"/>
      <c r="D2396" s="70"/>
      <c r="E2396" s="70"/>
      <c r="F2396" s="70"/>
      <c r="G2396" s="70"/>
      <c r="H2396" s="93"/>
      <c r="I2396" s="85"/>
      <c r="J2396" s="85"/>
      <c r="K2396" s="131"/>
      <c r="L2396" s="60"/>
    </row>
    <row r="2397" spans="1:12" x14ac:dyDescent="0.15">
      <c r="A2397" s="166"/>
      <c r="B2397" s="82"/>
      <c r="C2397" s="70"/>
      <c r="D2397" s="70"/>
      <c r="E2397" s="70"/>
      <c r="F2397" s="70"/>
      <c r="G2397" s="70"/>
      <c r="H2397" s="93"/>
      <c r="I2397" s="85"/>
      <c r="J2397" s="85"/>
      <c r="K2397" s="131"/>
      <c r="L2397" s="60"/>
    </row>
    <row r="2398" spans="1:12" x14ac:dyDescent="0.15">
      <c r="A2398" s="166"/>
      <c r="B2398" s="82"/>
      <c r="C2398" s="70"/>
      <c r="D2398" s="70"/>
      <c r="E2398" s="70"/>
      <c r="F2398" s="70"/>
      <c r="G2398" s="70"/>
      <c r="H2398" s="93"/>
      <c r="I2398" s="85"/>
      <c r="J2398" s="85"/>
      <c r="K2398" s="131"/>
      <c r="L2398" s="60"/>
    </row>
    <row r="2399" spans="1:12" x14ac:dyDescent="0.15">
      <c r="A2399" s="166"/>
      <c r="B2399" s="82"/>
      <c r="C2399" s="70"/>
      <c r="D2399" s="70"/>
      <c r="E2399" s="70"/>
      <c r="F2399" s="70"/>
      <c r="G2399" s="70"/>
      <c r="H2399" s="93"/>
      <c r="I2399" s="85"/>
      <c r="J2399" s="85"/>
      <c r="K2399" s="131"/>
      <c r="L2399" s="60"/>
    </row>
    <row r="2400" spans="1:12" x14ac:dyDescent="0.15">
      <c r="A2400" s="166"/>
      <c r="B2400" s="82"/>
      <c r="C2400" s="70"/>
      <c r="D2400" s="70"/>
      <c r="E2400" s="70"/>
      <c r="F2400" s="70"/>
      <c r="G2400" s="70"/>
      <c r="H2400" s="93"/>
      <c r="I2400" s="85"/>
      <c r="J2400" s="85"/>
      <c r="K2400" s="131"/>
      <c r="L2400" s="60"/>
    </row>
    <row r="2401" spans="1:12" x14ac:dyDescent="0.15">
      <c r="A2401" s="166"/>
      <c r="B2401" s="82"/>
      <c r="C2401" s="70"/>
      <c r="D2401" s="70"/>
      <c r="E2401" s="70"/>
      <c r="F2401" s="70"/>
      <c r="G2401" s="70"/>
      <c r="H2401" s="93"/>
      <c r="I2401" s="85"/>
      <c r="J2401" s="85"/>
      <c r="K2401" s="131"/>
      <c r="L2401" s="60"/>
    </row>
    <row r="2402" spans="1:12" x14ac:dyDescent="0.15">
      <c r="A2402" s="166"/>
      <c r="B2402" s="82"/>
      <c r="C2402" s="70"/>
      <c r="D2402" s="70"/>
      <c r="E2402" s="70"/>
      <c r="F2402" s="70"/>
      <c r="G2402" s="70"/>
      <c r="H2402" s="93"/>
      <c r="I2402" s="85"/>
      <c r="J2402" s="85"/>
      <c r="K2402" s="131"/>
      <c r="L2402" s="60"/>
    </row>
    <row r="2403" spans="1:12" x14ac:dyDescent="0.15">
      <c r="A2403" s="166"/>
      <c r="B2403" s="82"/>
      <c r="C2403" s="70"/>
      <c r="D2403" s="70"/>
      <c r="E2403" s="70"/>
      <c r="F2403" s="70"/>
      <c r="G2403" s="70"/>
      <c r="H2403" s="93"/>
      <c r="I2403" s="85"/>
      <c r="J2403" s="85"/>
      <c r="K2403" s="131"/>
      <c r="L2403" s="60"/>
    </row>
    <row r="2404" spans="1:12" x14ac:dyDescent="0.15">
      <c r="A2404" s="166"/>
      <c r="B2404" s="82"/>
      <c r="C2404" s="70"/>
      <c r="D2404" s="70"/>
      <c r="E2404" s="70"/>
      <c r="F2404" s="70"/>
      <c r="G2404" s="70"/>
      <c r="H2404" s="93"/>
      <c r="I2404" s="85"/>
      <c r="J2404" s="85"/>
      <c r="K2404" s="131"/>
      <c r="L2404" s="60"/>
    </row>
    <row r="2405" spans="1:12" x14ac:dyDescent="0.15">
      <c r="A2405" s="166"/>
      <c r="B2405" s="82"/>
      <c r="C2405" s="70"/>
      <c r="D2405" s="70"/>
      <c r="E2405" s="70"/>
      <c r="F2405" s="70"/>
      <c r="G2405" s="70"/>
      <c r="H2405" s="93"/>
      <c r="I2405" s="85"/>
      <c r="J2405" s="85"/>
      <c r="K2405" s="131"/>
      <c r="L2405" s="60"/>
    </row>
    <row r="2406" spans="1:12" x14ac:dyDescent="0.15">
      <c r="A2406" s="166"/>
      <c r="B2406" s="82"/>
      <c r="C2406" s="70"/>
      <c r="D2406" s="70"/>
      <c r="E2406" s="70"/>
      <c r="F2406" s="70"/>
      <c r="G2406" s="70"/>
      <c r="H2406" s="93"/>
      <c r="I2406" s="85"/>
      <c r="J2406" s="85"/>
      <c r="K2406" s="131"/>
      <c r="L2406" s="60"/>
    </row>
    <row r="2407" spans="1:12" x14ac:dyDescent="0.15">
      <c r="A2407" s="166"/>
      <c r="B2407" s="82"/>
      <c r="C2407" s="70"/>
      <c r="D2407" s="70"/>
      <c r="E2407" s="70"/>
      <c r="F2407" s="70"/>
      <c r="G2407" s="70"/>
      <c r="H2407" s="93"/>
      <c r="I2407" s="85"/>
      <c r="J2407" s="85"/>
      <c r="K2407" s="131"/>
      <c r="L2407" s="60"/>
    </row>
    <row r="2408" spans="1:12" x14ac:dyDescent="0.15">
      <c r="A2408" s="166"/>
      <c r="B2408" s="82"/>
      <c r="C2408" s="70"/>
      <c r="D2408" s="70"/>
      <c r="E2408" s="70"/>
      <c r="F2408" s="70"/>
      <c r="G2408" s="70"/>
      <c r="H2408" s="93"/>
      <c r="I2408" s="85"/>
      <c r="J2408" s="85"/>
      <c r="K2408" s="131"/>
      <c r="L2408" s="60"/>
    </row>
    <row r="2409" spans="1:12" x14ac:dyDescent="0.15">
      <c r="A2409" s="166"/>
      <c r="B2409" s="82"/>
      <c r="C2409" s="70"/>
      <c r="D2409" s="70"/>
      <c r="E2409" s="70"/>
      <c r="F2409" s="70"/>
      <c r="G2409" s="70"/>
      <c r="H2409" s="93"/>
      <c r="I2409" s="85"/>
      <c r="J2409" s="85"/>
      <c r="K2409" s="131"/>
      <c r="L2409" s="60"/>
    </row>
    <row r="2410" spans="1:12" x14ac:dyDescent="0.15">
      <c r="A2410" s="166"/>
      <c r="B2410" s="82"/>
      <c r="C2410" s="70"/>
      <c r="D2410" s="70"/>
      <c r="E2410" s="70"/>
      <c r="F2410" s="70"/>
      <c r="G2410" s="70"/>
      <c r="H2410" s="93"/>
      <c r="I2410" s="85"/>
      <c r="J2410" s="85"/>
      <c r="K2410" s="131"/>
      <c r="L2410" s="60"/>
    </row>
    <row r="2411" spans="1:12" x14ac:dyDescent="0.15">
      <c r="A2411" s="166"/>
      <c r="B2411" s="82"/>
      <c r="C2411" s="70"/>
      <c r="D2411" s="70"/>
      <c r="E2411" s="70"/>
      <c r="F2411" s="70"/>
      <c r="G2411" s="70"/>
      <c r="H2411" s="93"/>
      <c r="I2411" s="85"/>
      <c r="J2411" s="85"/>
      <c r="K2411" s="131"/>
      <c r="L2411" s="60"/>
    </row>
    <row r="2412" spans="1:12" x14ac:dyDescent="0.15">
      <c r="A2412" s="166"/>
      <c r="B2412" s="82"/>
      <c r="C2412" s="70"/>
      <c r="D2412" s="70"/>
      <c r="E2412" s="70"/>
      <c r="F2412" s="70"/>
      <c r="G2412" s="70"/>
      <c r="H2412" s="93"/>
      <c r="I2412" s="85"/>
      <c r="J2412" s="85"/>
      <c r="K2412" s="131"/>
      <c r="L2412" s="60"/>
    </row>
    <row r="2413" spans="1:12" x14ac:dyDescent="0.15">
      <c r="A2413" s="166"/>
      <c r="B2413" s="82"/>
      <c r="C2413" s="70"/>
      <c r="D2413" s="70"/>
      <c r="E2413" s="70"/>
      <c r="F2413" s="70"/>
      <c r="G2413" s="70"/>
      <c r="H2413" s="93"/>
      <c r="I2413" s="85"/>
      <c r="J2413" s="85"/>
      <c r="K2413" s="131"/>
      <c r="L2413" s="60"/>
    </row>
    <row r="2414" spans="1:12" x14ac:dyDescent="0.15">
      <c r="A2414" s="166"/>
      <c r="B2414" s="82"/>
      <c r="C2414" s="70"/>
      <c r="D2414" s="70"/>
      <c r="E2414" s="70"/>
      <c r="F2414" s="70"/>
      <c r="G2414" s="70"/>
      <c r="H2414" s="93"/>
      <c r="I2414" s="85"/>
      <c r="J2414" s="85"/>
      <c r="K2414" s="131"/>
      <c r="L2414" s="60"/>
    </row>
    <row r="2415" spans="1:12" x14ac:dyDescent="0.15">
      <c r="A2415" s="166"/>
      <c r="B2415" s="82"/>
      <c r="C2415" s="70"/>
      <c r="D2415" s="70"/>
      <c r="E2415" s="70"/>
      <c r="F2415" s="70"/>
      <c r="G2415" s="70"/>
      <c r="H2415" s="93"/>
      <c r="I2415" s="85"/>
      <c r="J2415" s="85"/>
      <c r="K2415" s="131"/>
      <c r="L2415" s="60"/>
    </row>
    <row r="2416" spans="1:12" x14ac:dyDescent="0.15">
      <c r="A2416" s="166"/>
      <c r="B2416" s="82"/>
      <c r="C2416" s="70"/>
      <c r="D2416" s="70"/>
      <c r="E2416" s="70"/>
      <c r="F2416" s="70"/>
      <c r="G2416" s="70"/>
      <c r="H2416" s="93"/>
      <c r="I2416" s="85"/>
      <c r="J2416" s="85"/>
      <c r="K2416" s="131"/>
      <c r="L2416" s="60"/>
    </row>
    <row r="2417" spans="1:13" x14ac:dyDescent="0.15">
      <c r="A2417" s="166"/>
      <c r="B2417" s="82"/>
      <c r="C2417" s="70"/>
      <c r="D2417" s="70"/>
      <c r="E2417" s="70"/>
      <c r="F2417" s="70"/>
      <c r="G2417" s="70"/>
      <c r="H2417" s="93"/>
      <c r="I2417" s="85"/>
      <c r="J2417" s="85"/>
      <c r="K2417" s="131"/>
      <c r="L2417" s="60"/>
    </row>
    <row r="2418" spans="1:13" x14ac:dyDescent="0.15">
      <c r="A2418" s="166"/>
      <c r="B2418" s="82"/>
      <c r="C2418" s="70"/>
      <c r="D2418" s="70"/>
      <c r="E2418" s="70"/>
      <c r="F2418" s="70"/>
      <c r="G2418" s="70"/>
      <c r="H2418" s="93"/>
      <c r="I2418" s="85"/>
      <c r="J2418" s="85"/>
      <c r="K2418" s="131"/>
      <c r="L2418" s="60"/>
    </row>
    <row r="2419" spans="1:13" x14ac:dyDescent="0.15">
      <c r="A2419" s="166"/>
      <c r="B2419" s="82"/>
      <c r="C2419" s="70"/>
      <c r="D2419" s="70"/>
      <c r="E2419" s="70"/>
      <c r="F2419" s="70"/>
      <c r="G2419" s="70"/>
      <c r="H2419" s="93"/>
      <c r="I2419" s="85"/>
      <c r="J2419" s="85"/>
      <c r="K2419" s="131"/>
      <c r="L2419" s="60"/>
    </row>
    <row r="2420" spans="1:13" x14ac:dyDescent="0.15">
      <c r="A2420" s="166"/>
      <c r="B2420" s="93"/>
      <c r="C2420" s="70"/>
      <c r="D2420" s="70"/>
      <c r="E2420" s="70"/>
      <c r="F2420" s="70"/>
      <c r="G2420" s="70"/>
      <c r="H2420" s="93"/>
      <c r="I2420" s="85"/>
      <c r="J2420" s="85"/>
      <c r="K2420" s="131"/>
      <c r="L2420" s="60"/>
      <c r="M2420" s="54"/>
    </row>
    <row r="2421" spans="1:13" x14ac:dyDescent="0.15">
      <c r="A2421" s="166"/>
      <c r="B2421" s="82"/>
      <c r="C2421" s="70"/>
      <c r="D2421" s="70"/>
      <c r="E2421" s="70"/>
      <c r="F2421" s="70"/>
      <c r="G2421" s="70"/>
      <c r="H2421" s="93"/>
      <c r="I2421" s="85"/>
      <c r="J2421" s="85"/>
      <c r="K2421" s="131"/>
      <c r="L2421" s="60"/>
    </row>
    <row r="2422" spans="1:13" x14ac:dyDescent="0.15">
      <c r="A2422" s="166"/>
      <c r="B2422" s="82"/>
      <c r="C2422" s="70"/>
      <c r="D2422" s="70"/>
      <c r="E2422" s="70"/>
      <c r="F2422" s="70"/>
      <c r="G2422" s="70"/>
      <c r="H2422" s="93"/>
      <c r="I2422" s="85"/>
      <c r="J2422" s="85"/>
      <c r="K2422" s="131"/>
      <c r="L2422" s="60"/>
    </row>
    <row r="2423" spans="1:13" x14ac:dyDescent="0.15">
      <c r="A2423" s="166"/>
      <c r="B2423" s="82"/>
      <c r="C2423" s="70"/>
      <c r="D2423" s="70"/>
      <c r="E2423" s="70"/>
      <c r="F2423" s="70"/>
      <c r="G2423" s="70"/>
      <c r="H2423" s="93"/>
      <c r="I2423" s="85"/>
      <c r="J2423" s="85"/>
      <c r="K2423" s="131"/>
      <c r="L2423" s="60"/>
    </row>
    <row r="2424" spans="1:13" x14ac:dyDescent="0.15">
      <c r="A2424" s="166"/>
      <c r="B2424" s="82"/>
      <c r="C2424" s="70"/>
      <c r="D2424" s="70"/>
      <c r="E2424" s="70"/>
      <c r="F2424" s="70"/>
      <c r="G2424" s="70"/>
      <c r="H2424" s="93"/>
      <c r="I2424" s="85"/>
      <c r="J2424" s="85"/>
      <c r="K2424" s="131"/>
      <c r="L2424" s="60"/>
    </row>
    <row r="2425" spans="1:13" x14ac:dyDescent="0.15">
      <c r="A2425" s="166"/>
      <c r="B2425" s="82"/>
      <c r="C2425" s="70"/>
      <c r="D2425" s="70"/>
      <c r="E2425" s="70"/>
      <c r="F2425" s="70"/>
      <c r="G2425" s="70"/>
      <c r="H2425" s="93"/>
      <c r="I2425" s="85"/>
      <c r="J2425" s="85"/>
      <c r="K2425" s="131"/>
      <c r="L2425" s="60"/>
    </row>
    <row r="2426" spans="1:13" x14ac:dyDescent="0.15">
      <c r="A2426" s="166"/>
      <c r="B2426" s="82"/>
      <c r="C2426" s="70"/>
      <c r="D2426" s="70"/>
      <c r="E2426" s="70"/>
      <c r="F2426" s="70"/>
      <c r="G2426" s="70"/>
      <c r="H2426" s="93"/>
      <c r="I2426" s="85"/>
      <c r="J2426" s="85"/>
      <c r="K2426" s="131"/>
      <c r="L2426" s="60"/>
    </row>
    <row r="2427" spans="1:13" x14ac:dyDescent="0.15">
      <c r="A2427" s="166"/>
      <c r="B2427" s="82"/>
      <c r="C2427" s="70"/>
      <c r="D2427" s="70"/>
      <c r="E2427" s="70"/>
      <c r="F2427" s="70"/>
      <c r="G2427" s="70"/>
      <c r="H2427" s="93"/>
      <c r="I2427" s="85"/>
      <c r="J2427" s="85"/>
      <c r="K2427" s="131"/>
      <c r="L2427" s="60"/>
    </row>
    <row r="2428" spans="1:13" x14ac:dyDescent="0.15">
      <c r="A2428" s="166"/>
      <c r="B2428" s="82"/>
      <c r="C2428" s="70"/>
      <c r="D2428" s="70"/>
      <c r="E2428" s="70"/>
      <c r="F2428" s="70"/>
      <c r="G2428" s="70"/>
      <c r="H2428" s="93"/>
      <c r="I2428" s="85"/>
      <c r="J2428" s="85"/>
      <c r="K2428" s="131"/>
      <c r="L2428" s="60"/>
    </row>
    <row r="2429" spans="1:13" x14ac:dyDescent="0.15">
      <c r="A2429" s="166"/>
      <c r="B2429" s="82"/>
      <c r="C2429" s="70"/>
      <c r="D2429" s="70"/>
      <c r="E2429" s="70"/>
      <c r="F2429" s="70"/>
      <c r="G2429" s="70"/>
      <c r="H2429" s="93"/>
      <c r="I2429" s="85"/>
      <c r="J2429" s="85"/>
      <c r="K2429" s="131"/>
      <c r="L2429" s="60"/>
    </row>
    <row r="2430" spans="1:13" x14ac:dyDescent="0.15">
      <c r="A2430" s="166"/>
      <c r="B2430" s="82"/>
      <c r="C2430" s="70"/>
      <c r="D2430" s="70"/>
      <c r="E2430" s="70"/>
      <c r="F2430" s="70"/>
      <c r="G2430" s="70"/>
      <c r="H2430" s="93"/>
      <c r="I2430" s="85"/>
      <c r="J2430" s="85"/>
      <c r="K2430" s="131"/>
      <c r="L2430" s="60"/>
    </row>
    <row r="2431" spans="1:13" x14ac:dyDescent="0.15">
      <c r="A2431" s="166"/>
      <c r="B2431" s="82"/>
      <c r="C2431" s="70"/>
      <c r="D2431" s="70"/>
      <c r="E2431" s="70"/>
      <c r="F2431" s="70"/>
      <c r="G2431" s="70"/>
      <c r="H2431" s="93"/>
      <c r="I2431" s="85"/>
      <c r="J2431" s="85"/>
      <c r="K2431" s="131"/>
      <c r="L2431" s="60"/>
    </row>
    <row r="2432" spans="1:13" x14ac:dyDescent="0.15">
      <c r="A2432" s="166"/>
      <c r="B2432" s="82"/>
      <c r="C2432" s="70"/>
      <c r="D2432" s="70"/>
      <c r="E2432" s="70"/>
      <c r="F2432" s="70"/>
      <c r="G2432" s="70"/>
      <c r="H2432" s="93"/>
      <c r="I2432" s="85"/>
      <c r="J2432" s="85"/>
      <c r="K2432" s="131"/>
      <c r="L2432" s="60"/>
    </row>
    <row r="2433" spans="1:14" x14ac:dyDescent="0.15">
      <c r="A2433" s="166"/>
      <c r="B2433" s="82"/>
      <c r="C2433" s="70"/>
      <c r="D2433" s="70"/>
      <c r="E2433" s="70"/>
      <c r="F2433" s="70"/>
      <c r="G2433" s="70"/>
      <c r="H2433" s="93"/>
      <c r="I2433" s="85"/>
      <c r="J2433" s="85"/>
      <c r="K2433" s="131"/>
      <c r="L2433" s="60"/>
    </row>
    <row r="2434" spans="1:14" x14ac:dyDescent="0.15">
      <c r="A2434" s="166"/>
      <c r="B2434" s="82"/>
      <c r="C2434" s="70"/>
      <c r="D2434" s="70"/>
      <c r="E2434" s="70"/>
      <c r="F2434" s="70"/>
      <c r="G2434" s="70"/>
      <c r="H2434" s="93"/>
      <c r="I2434" s="85"/>
      <c r="J2434" s="85"/>
      <c r="K2434" s="131"/>
      <c r="L2434" s="60"/>
    </row>
    <row r="2435" spans="1:14" x14ac:dyDescent="0.15">
      <c r="A2435" s="166"/>
      <c r="B2435" s="82"/>
      <c r="C2435" s="70"/>
      <c r="D2435" s="70"/>
      <c r="E2435" s="70"/>
      <c r="F2435" s="70"/>
      <c r="G2435" s="70"/>
      <c r="H2435" s="93"/>
      <c r="I2435" s="85"/>
      <c r="J2435" s="85"/>
      <c r="K2435" s="131"/>
      <c r="L2435" s="60"/>
    </row>
    <row r="2436" spans="1:14" x14ac:dyDescent="0.15">
      <c r="A2436" s="166"/>
      <c r="B2436" s="82"/>
      <c r="C2436" s="70"/>
      <c r="D2436" s="70"/>
      <c r="E2436" s="70"/>
      <c r="F2436" s="70"/>
      <c r="G2436" s="70"/>
      <c r="H2436" s="93"/>
      <c r="I2436" s="85"/>
      <c r="J2436" s="85"/>
      <c r="K2436" s="131"/>
      <c r="L2436" s="60"/>
    </row>
    <row r="2437" spans="1:14" x14ac:dyDescent="0.15">
      <c r="A2437" s="166"/>
      <c r="B2437" s="82"/>
      <c r="C2437" s="70"/>
      <c r="D2437" s="70"/>
      <c r="E2437" s="70"/>
      <c r="F2437" s="70"/>
      <c r="G2437" s="70"/>
      <c r="H2437" s="93"/>
      <c r="I2437" s="85"/>
      <c r="J2437" s="85"/>
      <c r="K2437" s="131"/>
      <c r="L2437" s="60"/>
    </row>
    <row r="2438" spans="1:14" x14ac:dyDescent="0.15">
      <c r="A2438" s="166"/>
      <c r="B2438" s="82"/>
      <c r="C2438" s="70"/>
      <c r="D2438" s="70"/>
      <c r="E2438" s="70"/>
      <c r="F2438" s="70"/>
      <c r="G2438" s="70"/>
      <c r="H2438" s="93"/>
      <c r="I2438" s="85"/>
      <c r="J2438" s="85"/>
      <c r="K2438" s="131"/>
      <c r="L2438" s="60"/>
    </row>
    <row r="2439" spans="1:14" x14ac:dyDescent="0.15">
      <c r="A2439" s="166"/>
      <c r="B2439" s="82"/>
      <c r="C2439" s="70"/>
      <c r="D2439" s="70"/>
      <c r="E2439" s="70"/>
      <c r="F2439" s="70"/>
      <c r="G2439" s="70"/>
      <c r="H2439" s="93"/>
      <c r="I2439" s="85"/>
      <c r="J2439" s="85"/>
      <c r="K2439" s="131"/>
      <c r="L2439" s="60"/>
    </row>
    <row r="2440" spans="1:14" x14ac:dyDescent="0.15">
      <c r="A2440" s="166"/>
      <c r="B2440" s="82"/>
      <c r="C2440" s="70"/>
      <c r="D2440" s="70"/>
      <c r="E2440" s="70"/>
      <c r="F2440" s="70"/>
      <c r="G2440" s="70"/>
      <c r="H2440" s="93"/>
      <c r="I2440" s="85"/>
      <c r="J2440" s="85"/>
      <c r="K2440" s="131"/>
      <c r="L2440" s="60"/>
    </row>
    <row r="2441" spans="1:14" x14ac:dyDescent="0.15">
      <c r="A2441" s="166"/>
      <c r="B2441" s="82"/>
      <c r="C2441" s="70"/>
      <c r="D2441" s="70"/>
      <c r="E2441" s="70"/>
      <c r="F2441" s="70"/>
      <c r="G2441" s="70"/>
      <c r="H2441" s="93"/>
      <c r="I2441" s="85"/>
      <c r="J2441" s="85"/>
      <c r="K2441" s="131"/>
      <c r="L2441" s="60"/>
    </row>
    <row r="2442" spans="1:14" x14ac:dyDescent="0.15">
      <c r="A2442" s="166"/>
      <c r="B2442" s="93"/>
      <c r="C2442" s="70"/>
      <c r="D2442" s="70"/>
      <c r="E2442" s="70"/>
      <c r="F2442" s="70"/>
      <c r="G2442" s="70"/>
      <c r="H2442" s="93"/>
      <c r="I2442" s="85"/>
      <c r="J2442" s="85"/>
      <c r="K2442" s="131"/>
      <c r="L2442" s="60"/>
      <c r="M2442" s="37"/>
    </row>
    <row r="2443" spans="1:14" x14ac:dyDescent="0.15">
      <c r="A2443" s="165"/>
      <c r="B2443" s="93"/>
      <c r="C2443" s="61"/>
      <c r="D2443" s="61"/>
      <c r="E2443" s="61"/>
      <c r="F2443" s="61"/>
      <c r="G2443" s="61"/>
      <c r="H2443" s="115"/>
      <c r="I2443" s="85"/>
      <c r="J2443" s="103"/>
      <c r="K2443" s="141"/>
      <c r="L2443" s="67"/>
      <c r="M2443" s="35"/>
    </row>
    <row r="2444" spans="1:14" x14ac:dyDescent="0.15">
      <c r="A2444" s="165"/>
      <c r="B2444" s="93"/>
      <c r="C2444" s="62"/>
      <c r="D2444" s="62"/>
      <c r="E2444" s="61"/>
      <c r="F2444" s="62"/>
      <c r="G2444" s="62"/>
      <c r="H2444" s="97"/>
      <c r="I2444" s="85"/>
      <c r="J2444" s="98"/>
      <c r="K2444" s="141"/>
      <c r="L2444" s="67"/>
      <c r="M2444" s="35"/>
    </row>
    <row r="2445" spans="1:14" x14ac:dyDescent="0.15">
      <c r="A2445" s="165"/>
      <c r="B2445" s="93"/>
      <c r="C2445" s="62"/>
      <c r="D2445" s="62"/>
      <c r="E2445" s="61"/>
      <c r="F2445" s="62"/>
      <c r="G2445" s="62"/>
      <c r="H2445" s="97"/>
      <c r="I2445" s="85"/>
      <c r="J2445" s="98"/>
      <c r="K2445" s="131"/>
      <c r="L2445" s="67"/>
      <c r="M2445" s="53"/>
      <c r="N2445" s="32"/>
    </row>
    <row r="2446" spans="1:14" x14ac:dyDescent="0.15">
      <c r="A2446" s="166"/>
      <c r="B2446" s="93"/>
      <c r="C2446" s="70"/>
      <c r="D2446" s="70"/>
      <c r="E2446" s="70"/>
      <c r="F2446" s="70"/>
      <c r="G2446" s="70"/>
      <c r="H2446" s="93"/>
      <c r="I2446" s="85"/>
      <c r="J2446" s="85"/>
      <c r="K2446" s="131"/>
      <c r="L2446" s="60"/>
      <c r="M2446" s="37"/>
    </row>
    <row r="2447" spans="1:14" x14ac:dyDescent="0.15">
      <c r="A2447" s="166"/>
      <c r="B2447" s="93"/>
      <c r="C2447" s="70"/>
      <c r="D2447" s="70"/>
      <c r="E2447" s="70"/>
      <c r="F2447" s="70"/>
      <c r="G2447" s="70"/>
      <c r="H2447" s="93"/>
      <c r="I2447" s="85"/>
      <c r="J2447" s="85"/>
      <c r="K2447" s="131"/>
      <c r="L2447" s="60"/>
      <c r="M2447" s="37"/>
    </row>
    <row r="2448" spans="1:14" x14ac:dyDescent="0.15">
      <c r="A2448" s="166"/>
      <c r="B2448" s="93"/>
      <c r="C2448" s="70"/>
      <c r="D2448" s="70"/>
      <c r="E2448" s="70"/>
      <c r="F2448" s="70"/>
      <c r="G2448" s="70"/>
      <c r="H2448" s="93"/>
      <c r="I2448" s="85"/>
      <c r="J2448" s="85"/>
      <c r="K2448" s="131"/>
      <c r="L2448" s="60"/>
      <c r="M2448" s="53"/>
      <c r="N2448" s="32"/>
    </row>
    <row r="2449" spans="1:15" ht="16" x14ac:dyDescent="0.2">
      <c r="A2449" s="166"/>
      <c r="B2449" s="93"/>
      <c r="C2449" s="70"/>
      <c r="D2449" s="70"/>
      <c r="E2449" s="70"/>
      <c r="F2449" s="70"/>
      <c r="G2449" s="70"/>
      <c r="H2449" s="93"/>
      <c r="I2449" s="85"/>
      <c r="J2449" s="85"/>
      <c r="K2449" s="131"/>
      <c r="L2449" s="60"/>
      <c r="M2449" s="37"/>
      <c r="N2449" s="48"/>
    </row>
    <row r="2450" spans="1:15" x14ac:dyDescent="0.15">
      <c r="A2450" s="166"/>
      <c r="B2450" s="93"/>
      <c r="C2450" s="70"/>
      <c r="D2450" s="70"/>
      <c r="E2450" s="70"/>
      <c r="F2450" s="70"/>
      <c r="G2450" s="70"/>
      <c r="H2450" s="93"/>
      <c r="I2450" s="85"/>
      <c r="J2450" s="85"/>
      <c r="K2450" s="131"/>
      <c r="L2450" s="60"/>
      <c r="M2450" s="33"/>
    </row>
    <row r="2451" spans="1:15" x14ac:dyDescent="0.15">
      <c r="A2451" s="166"/>
      <c r="B2451" s="93"/>
      <c r="C2451" s="70"/>
      <c r="D2451" s="70"/>
      <c r="E2451" s="70"/>
      <c r="F2451" s="70"/>
      <c r="G2451" s="70"/>
      <c r="H2451" s="93"/>
      <c r="I2451" s="85"/>
      <c r="J2451" s="85"/>
      <c r="K2451" s="131"/>
      <c r="L2451" s="60"/>
      <c r="M2451" s="37"/>
    </row>
    <row r="2452" spans="1:15" x14ac:dyDescent="0.15">
      <c r="A2452" s="166"/>
      <c r="B2452" s="93"/>
      <c r="C2452" s="70"/>
      <c r="D2452" s="70"/>
      <c r="E2452" s="70"/>
      <c r="F2452" s="70"/>
      <c r="G2452" s="70"/>
      <c r="H2452" s="93"/>
      <c r="I2452" s="85"/>
      <c r="J2452" s="85"/>
      <c r="K2452" s="131"/>
      <c r="L2452" s="60"/>
      <c r="M2452" s="33"/>
      <c r="N2452" s="32"/>
    </row>
    <row r="2453" spans="1:15" ht="16" x14ac:dyDescent="0.2">
      <c r="A2453" s="166"/>
      <c r="B2453" s="93"/>
      <c r="C2453" s="70"/>
      <c r="D2453" s="70"/>
      <c r="E2453" s="70"/>
      <c r="F2453" s="70"/>
      <c r="G2453" s="70"/>
      <c r="H2453" s="93"/>
      <c r="I2453" s="85"/>
      <c r="J2453" s="85"/>
      <c r="K2453" s="131"/>
      <c r="L2453" s="60"/>
      <c r="M2453" s="37"/>
      <c r="N2453" s="48"/>
    </row>
    <row r="2454" spans="1:15" x14ac:dyDescent="0.15">
      <c r="A2454" s="166"/>
      <c r="B2454" s="93"/>
      <c r="C2454" s="70"/>
      <c r="D2454" s="70"/>
      <c r="E2454" s="70"/>
      <c r="F2454" s="70"/>
      <c r="G2454" s="70"/>
      <c r="H2454" s="93"/>
      <c r="I2454" s="85"/>
      <c r="J2454" s="85"/>
      <c r="K2454" s="131"/>
      <c r="L2454" s="60"/>
      <c r="M2454" s="37"/>
    </row>
    <row r="2455" spans="1:15" x14ac:dyDescent="0.15">
      <c r="A2455" s="166"/>
      <c r="B2455" s="93"/>
      <c r="C2455" s="70"/>
      <c r="D2455" s="70"/>
      <c r="E2455" s="70"/>
      <c r="F2455" s="70"/>
      <c r="G2455" s="70"/>
      <c r="H2455" s="93"/>
      <c r="I2455" s="85"/>
      <c r="J2455" s="85"/>
      <c r="K2455" s="131"/>
      <c r="L2455" s="60"/>
      <c r="M2455" s="33"/>
    </row>
    <row r="2456" spans="1:15" x14ac:dyDescent="0.15">
      <c r="A2456" s="166"/>
      <c r="B2456" s="93"/>
      <c r="C2456" s="70"/>
      <c r="D2456" s="70"/>
      <c r="E2456" s="70"/>
      <c r="F2456" s="70"/>
      <c r="G2456" s="70"/>
      <c r="H2456" s="93"/>
      <c r="I2456" s="85"/>
      <c r="J2456" s="85"/>
      <c r="K2456" s="131"/>
      <c r="L2456" s="60"/>
      <c r="M2456" s="33"/>
    </row>
    <row r="2457" spans="1:15" x14ac:dyDescent="0.15">
      <c r="A2457" s="166"/>
      <c r="B2457" s="93"/>
      <c r="C2457" s="70"/>
      <c r="D2457" s="70"/>
      <c r="E2457" s="70"/>
      <c r="F2457" s="70"/>
      <c r="G2457" s="70"/>
      <c r="H2457" s="93"/>
      <c r="I2457" s="85"/>
      <c r="J2457" s="85"/>
      <c r="K2457" s="131"/>
      <c r="L2457" s="60"/>
      <c r="M2457" s="33"/>
    </row>
    <row r="2458" spans="1:15" x14ac:dyDescent="0.15">
      <c r="A2458" s="166"/>
      <c r="B2458" s="93"/>
      <c r="C2458" s="70"/>
      <c r="D2458" s="70"/>
      <c r="E2458" s="70"/>
      <c r="F2458" s="70"/>
      <c r="G2458" s="70"/>
      <c r="H2458" s="93"/>
      <c r="I2458" s="85"/>
      <c r="J2458" s="85"/>
      <c r="K2458" s="131"/>
      <c r="L2458" s="60"/>
      <c r="M2458" s="37"/>
    </row>
    <row r="2459" spans="1:15" x14ac:dyDescent="0.15">
      <c r="A2459" s="166"/>
      <c r="B2459" s="93"/>
      <c r="C2459" s="70"/>
      <c r="D2459" s="70"/>
      <c r="E2459" s="70"/>
      <c r="F2459" s="70"/>
      <c r="G2459" s="70"/>
      <c r="H2459" s="93"/>
      <c r="I2459" s="85"/>
      <c r="J2459" s="85"/>
      <c r="K2459" s="131"/>
      <c r="L2459" s="60"/>
      <c r="M2459" s="33"/>
      <c r="O2459" s="32"/>
    </row>
    <row r="2460" spans="1:15" x14ac:dyDescent="0.15">
      <c r="A2460" s="165"/>
      <c r="B2460" s="93"/>
      <c r="C2460" s="61"/>
      <c r="D2460" s="61"/>
      <c r="E2460" s="61"/>
      <c r="F2460" s="61"/>
      <c r="G2460" s="61"/>
      <c r="H2460" s="115"/>
      <c r="I2460" s="85"/>
      <c r="J2460" s="103"/>
      <c r="K2460" s="131"/>
      <c r="L2460" s="67"/>
      <c r="M2460" s="35"/>
    </row>
    <row r="2461" spans="1:15" x14ac:dyDescent="0.15">
      <c r="A2461" s="166"/>
      <c r="B2461" s="93"/>
      <c r="C2461" s="70"/>
      <c r="D2461" s="70"/>
      <c r="E2461" s="70"/>
      <c r="F2461" s="70"/>
      <c r="G2461" s="70"/>
      <c r="H2461" s="93"/>
      <c r="I2461" s="85"/>
      <c r="J2461" s="85"/>
      <c r="K2461" s="131"/>
      <c r="L2461" s="60"/>
      <c r="M2461" s="37"/>
    </row>
    <row r="2462" spans="1:15" x14ac:dyDescent="0.15">
      <c r="A2462" s="165"/>
      <c r="B2462" s="93"/>
      <c r="C2462" s="62"/>
      <c r="D2462" s="62"/>
      <c r="E2462" s="62"/>
      <c r="F2462" s="62"/>
      <c r="G2462" s="62"/>
      <c r="H2462" s="97"/>
      <c r="I2462" s="85"/>
      <c r="J2462" s="98"/>
      <c r="K2462" s="131"/>
      <c r="L2462" s="67"/>
      <c r="M2462" s="35"/>
    </row>
    <row r="2463" spans="1:15" x14ac:dyDescent="0.15">
      <c r="A2463" s="166"/>
      <c r="B2463" s="93"/>
      <c r="C2463" s="70"/>
      <c r="D2463" s="70"/>
      <c r="E2463" s="70"/>
      <c r="F2463" s="70"/>
      <c r="G2463" s="70"/>
      <c r="H2463" s="93"/>
      <c r="I2463" s="85"/>
      <c r="J2463" s="98"/>
      <c r="K2463" s="131"/>
      <c r="L2463" s="60"/>
      <c r="M2463" s="32"/>
      <c r="N2463" s="32"/>
    </row>
    <row r="2464" spans="1:15" x14ac:dyDescent="0.15">
      <c r="A2464" s="166"/>
      <c r="B2464" s="93"/>
      <c r="C2464" s="70"/>
      <c r="D2464" s="70"/>
      <c r="E2464" s="70"/>
      <c r="F2464" s="70"/>
      <c r="G2464" s="70"/>
      <c r="H2464" s="93"/>
      <c r="I2464" s="103"/>
      <c r="J2464" s="85"/>
      <c r="K2464" s="131"/>
      <c r="L2464" s="60"/>
      <c r="M2464" s="37"/>
    </row>
    <row r="2465" spans="1:14" x14ac:dyDescent="0.15">
      <c r="A2465" s="166"/>
      <c r="B2465" s="93"/>
      <c r="C2465" s="70"/>
      <c r="D2465" s="70"/>
      <c r="E2465" s="70"/>
      <c r="F2465" s="70"/>
      <c r="G2465" s="70"/>
      <c r="H2465" s="93"/>
      <c r="I2465" s="85"/>
      <c r="J2465" s="85"/>
      <c r="K2465" s="131"/>
      <c r="L2465" s="60"/>
      <c r="M2465" s="37"/>
    </row>
    <row r="2466" spans="1:14" x14ac:dyDescent="0.15">
      <c r="A2466" s="166"/>
      <c r="B2466" s="93"/>
      <c r="C2466" s="70"/>
      <c r="D2466" s="70"/>
      <c r="E2466" s="70"/>
      <c r="F2466" s="70"/>
      <c r="G2466" s="70"/>
      <c r="H2466" s="93"/>
      <c r="I2466" s="85"/>
      <c r="J2466" s="85"/>
      <c r="K2466" s="131"/>
      <c r="L2466" s="60"/>
      <c r="M2466" s="32"/>
      <c r="N2466" s="32"/>
    </row>
    <row r="2467" spans="1:14" x14ac:dyDescent="0.15">
      <c r="A2467" s="166"/>
      <c r="B2467" s="93"/>
      <c r="C2467" s="70"/>
      <c r="D2467" s="70"/>
      <c r="E2467" s="70"/>
      <c r="F2467" s="70"/>
      <c r="G2467" s="70"/>
      <c r="H2467" s="93"/>
      <c r="I2467" s="85"/>
      <c r="J2467" s="85"/>
      <c r="K2467" s="131"/>
      <c r="L2467" s="60"/>
      <c r="M2467" s="37"/>
      <c r="N2467" s="32"/>
    </row>
    <row r="2468" spans="1:14" x14ac:dyDescent="0.15">
      <c r="A2468" s="166"/>
      <c r="B2468" s="93"/>
      <c r="C2468" s="70"/>
      <c r="D2468" s="70"/>
      <c r="E2468" s="70"/>
      <c r="F2468" s="70"/>
      <c r="G2468" s="70"/>
      <c r="H2468" s="93"/>
      <c r="I2468" s="85"/>
      <c r="J2468" s="85"/>
      <c r="K2468" s="131"/>
      <c r="L2468" s="60"/>
      <c r="M2468" s="33"/>
    </row>
    <row r="2469" spans="1:14" x14ac:dyDescent="0.15">
      <c r="A2469" s="166"/>
      <c r="B2469" s="93"/>
      <c r="C2469" s="70"/>
      <c r="D2469" s="70"/>
      <c r="E2469" s="70"/>
      <c r="F2469" s="70"/>
      <c r="G2469" s="70"/>
      <c r="H2469" s="93"/>
      <c r="I2469" s="85"/>
      <c r="J2469" s="85"/>
      <c r="K2469" s="131"/>
      <c r="L2469" s="60"/>
      <c r="M2469" s="37"/>
    </row>
    <row r="2470" spans="1:14" x14ac:dyDescent="0.15">
      <c r="A2470" s="166"/>
      <c r="B2470" s="93"/>
      <c r="C2470" s="70"/>
      <c r="D2470" s="70"/>
      <c r="E2470" s="70"/>
      <c r="F2470" s="70"/>
      <c r="G2470" s="70"/>
      <c r="H2470" s="93"/>
      <c r="I2470" s="85"/>
      <c r="J2470" s="85"/>
      <c r="K2470" s="131"/>
      <c r="L2470" s="60"/>
      <c r="M2470" s="37"/>
    </row>
    <row r="2471" spans="1:14" x14ac:dyDescent="0.15">
      <c r="A2471" s="165"/>
      <c r="B2471" s="93"/>
      <c r="C2471" s="61"/>
      <c r="D2471" s="61"/>
      <c r="E2471" s="61"/>
      <c r="F2471" s="61"/>
      <c r="G2471" s="61"/>
      <c r="H2471" s="115"/>
      <c r="I2471" s="85"/>
      <c r="J2471" s="103"/>
      <c r="K2471" s="131"/>
      <c r="L2471" s="67"/>
      <c r="M2471" s="35"/>
    </row>
    <row r="2472" spans="1:14" x14ac:dyDescent="0.15">
      <c r="A2472" s="166"/>
      <c r="B2472" s="93"/>
      <c r="C2472" s="70"/>
      <c r="D2472" s="70"/>
      <c r="E2472" s="70"/>
      <c r="F2472" s="70"/>
      <c r="G2472" s="70"/>
      <c r="H2472" s="93"/>
      <c r="I2472" s="85"/>
      <c r="J2472" s="85"/>
      <c r="K2472" s="131"/>
      <c r="L2472" s="60"/>
      <c r="M2472" s="37"/>
    </row>
    <row r="2473" spans="1:14" ht="16" x14ac:dyDescent="0.2">
      <c r="A2473" s="166"/>
      <c r="B2473" s="82"/>
      <c r="C2473" s="70"/>
      <c r="D2473" s="70"/>
      <c r="E2473" s="70"/>
      <c r="F2473" s="70"/>
      <c r="G2473" s="70"/>
      <c r="H2473" s="93"/>
      <c r="I2473" s="85"/>
      <c r="J2473" s="85"/>
      <c r="K2473" s="131"/>
      <c r="L2473" s="60"/>
      <c r="M2473" s="33"/>
      <c r="N2473" s="47"/>
    </row>
    <row r="2474" spans="1:14" ht="16" x14ac:dyDescent="0.2">
      <c r="A2474" s="166"/>
      <c r="B2474" s="82"/>
      <c r="C2474" s="70"/>
      <c r="D2474" s="70"/>
      <c r="E2474" s="70"/>
      <c r="F2474" s="70"/>
      <c r="G2474" s="70"/>
      <c r="H2474" s="93"/>
      <c r="I2474" s="85"/>
      <c r="J2474" s="85"/>
      <c r="K2474" s="131"/>
      <c r="L2474" s="60"/>
      <c r="M2474" s="33"/>
      <c r="N2474" s="47"/>
    </row>
    <row r="2475" spans="1:14" x14ac:dyDescent="0.15">
      <c r="A2475" s="166"/>
      <c r="B2475" s="93"/>
      <c r="C2475" s="70"/>
      <c r="D2475" s="70"/>
      <c r="E2475" s="70"/>
      <c r="F2475" s="70"/>
      <c r="G2475" s="70"/>
      <c r="H2475" s="93"/>
      <c r="I2475" s="85"/>
      <c r="J2475" s="85"/>
      <c r="K2475" s="131"/>
      <c r="L2475" s="60"/>
      <c r="M2475" s="33"/>
    </row>
    <row r="2476" spans="1:14" x14ac:dyDescent="0.15">
      <c r="A2476" s="166"/>
      <c r="B2476" s="93"/>
      <c r="C2476" s="70"/>
      <c r="D2476" s="70"/>
      <c r="E2476" s="70"/>
      <c r="F2476" s="70"/>
      <c r="G2476" s="70"/>
      <c r="H2476" s="93"/>
      <c r="I2476" s="85"/>
      <c r="J2476" s="85"/>
      <c r="K2476" s="131"/>
      <c r="L2476" s="60"/>
      <c r="M2476" s="33"/>
    </row>
    <row r="2477" spans="1:14" ht="16" x14ac:dyDescent="0.2">
      <c r="A2477" s="166"/>
      <c r="B2477" s="93"/>
      <c r="C2477" s="70"/>
      <c r="D2477" s="70"/>
      <c r="E2477" s="70"/>
      <c r="F2477" s="70"/>
      <c r="G2477" s="70"/>
      <c r="H2477" s="93"/>
      <c r="I2477" s="85"/>
      <c r="J2477" s="85"/>
      <c r="K2477" s="131"/>
      <c r="L2477" s="60"/>
      <c r="M2477" s="48"/>
    </row>
    <row r="2478" spans="1:14" x14ac:dyDescent="0.15">
      <c r="A2478" s="166"/>
      <c r="B2478" s="93"/>
      <c r="C2478" s="70"/>
      <c r="D2478" s="70"/>
      <c r="E2478" s="70"/>
      <c r="F2478" s="70"/>
      <c r="G2478" s="70"/>
      <c r="H2478" s="93"/>
      <c r="I2478" s="85"/>
      <c r="J2478" s="85"/>
      <c r="K2478" s="131"/>
      <c r="L2478" s="60"/>
    </row>
    <row r="2479" spans="1:14" ht="16" x14ac:dyDescent="0.2">
      <c r="A2479" s="166"/>
      <c r="B2479" s="93"/>
      <c r="C2479" s="70"/>
      <c r="D2479" s="70"/>
      <c r="E2479" s="70"/>
      <c r="F2479" s="70"/>
      <c r="G2479" s="70"/>
      <c r="H2479" s="93"/>
      <c r="I2479" s="85"/>
      <c r="J2479" s="85"/>
      <c r="K2479" s="131"/>
      <c r="L2479" s="60"/>
      <c r="M2479" s="48"/>
    </row>
    <row r="2480" spans="1:14" x14ac:dyDescent="0.15">
      <c r="A2480" s="166"/>
      <c r="B2480" s="93"/>
      <c r="C2480" s="70"/>
      <c r="D2480" s="70"/>
      <c r="E2480" s="70"/>
      <c r="F2480" s="70"/>
      <c r="G2480" s="70"/>
      <c r="H2480" s="93"/>
      <c r="I2480" s="85"/>
      <c r="J2480" s="85"/>
      <c r="K2480" s="131"/>
      <c r="L2480" s="60"/>
      <c r="M2480" s="33"/>
      <c r="N2480" s="33"/>
    </row>
    <row r="2481" spans="1:14" ht="16" x14ac:dyDescent="0.2">
      <c r="A2481" s="166"/>
      <c r="B2481" s="93"/>
      <c r="C2481" s="70"/>
      <c r="D2481" s="70"/>
      <c r="E2481" s="70"/>
      <c r="F2481" s="70"/>
      <c r="G2481" s="70"/>
      <c r="H2481" s="93"/>
      <c r="I2481" s="85"/>
      <c r="J2481" s="85"/>
      <c r="K2481" s="131"/>
      <c r="L2481" s="60"/>
      <c r="M2481" s="48"/>
      <c r="N2481" s="32"/>
    </row>
    <row r="2482" spans="1:14" ht="16" x14ac:dyDescent="0.2">
      <c r="A2482" s="166"/>
      <c r="B2482" s="93"/>
      <c r="C2482" s="70"/>
      <c r="D2482" s="70"/>
      <c r="E2482" s="70"/>
      <c r="F2482" s="70"/>
      <c r="G2482" s="70"/>
      <c r="H2482" s="93"/>
      <c r="I2482" s="85"/>
      <c r="J2482" s="85"/>
      <c r="K2482" s="131"/>
      <c r="L2482" s="60"/>
      <c r="M2482" s="48"/>
    </row>
    <row r="2483" spans="1:14" x14ac:dyDescent="0.15">
      <c r="A2483" s="166"/>
      <c r="B2483" s="93"/>
      <c r="C2483" s="70"/>
      <c r="D2483" s="70"/>
      <c r="E2483" s="70"/>
      <c r="F2483" s="70"/>
      <c r="G2483" s="70"/>
      <c r="H2483" s="93"/>
      <c r="I2483" s="85"/>
      <c r="J2483" s="85"/>
      <c r="K2483" s="131"/>
      <c r="L2483" s="60"/>
      <c r="M2483" s="37"/>
    </row>
    <row r="2484" spans="1:14" ht="16" x14ac:dyDescent="0.2">
      <c r="A2484" s="166"/>
      <c r="B2484" s="93"/>
      <c r="C2484" s="70"/>
      <c r="D2484" s="70"/>
      <c r="E2484" s="70"/>
      <c r="F2484" s="70"/>
      <c r="G2484" s="70"/>
      <c r="H2484" s="93"/>
      <c r="I2484" s="85"/>
      <c r="J2484" s="85"/>
      <c r="K2484" s="131"/>
      <c r="L2484" s="60"/>
      <c r="M2484" s="48"/>
    </row>
    <row r="2485" spans="1:14" ht="16" x14ac:dyDescent="0.2">
      <c r="A2485" s="166"/>
      <c r="B2485" s="93"/>
      <c r="C2485" s="70"/>
      <c r="D2485" s="70"/>
      <c r="E2485" s="70"/>
      <c r="F2485" s="70"/>
      <c r="G2485" s="70"/>
      <c r="H2485" s="93"/>
      <c r="I2485" s="85"/>
      <c r="J2485" s="85"/>
      <c r="K2485" s="131"/>
      <c r="L2485" s="60"/>
      <c r="M2485" s="48"/>
    </row>
    <row r="2486" spans="1:14" ht="16" x14ac:dyDescent="0.2">
      <c r="A2486" s="166"/>
      <c r="B2486" s="93"/>
      <c r="C2486" s="70"/>
      <c r="D2486" s="70"/>
      <c r="E2486" s="70"/>
      <c r="F2486" s="70"/>
      <c r="G2486" s="70"/>
      <c r="H2486" s="93"/>
      <c r="I2486" s="85"/>
      <c r="J2486" s="85"/>
      <c r="K2486" s="131"/>
      <c r="L2486" s="60"/>
      <c r="M2486" s="48"/>
      <c r="N2486" s="32"/>
    </row>
    <row r="2487" spans="1:14" x14ac:dyDescent="0.15">
      <c r="A2487" s="166"/>
      <c r="B2487" s="93"/>
      <c r="C2487" s="70"/>
      <c r="D2487" s="70"/>
      <c r="E2487" s="70"/>
      <c r="F2487" s="70"/>
      <c r="G2487" s="70"/>
      <c r="H2487" s="93"/>
      <c r="I2487" s="85"/>
      <c r="J2487" s="85"/>
      <c r="K2487" s="131"/>
      <c r="L2487" s="60"/>
      <c r="M2487" s="33"/>
    </row>
    <row r="2488" spans="1:14" x14ac:dyDescent="0.15">
      <c r="A2488" s="166"/>
      <c r="B2488" s="93"/>
      <c r="C2488" s="70"/>
      <c r="D2488" s="70"/>
      <c r="E2488" s="70"/>
      <c r="F2488" s="70"/>
      <c r="G2488" s="70"/>
      <c r="H2488" s="93"/>
      <c r="I2488" s="85"/>
      <c r="J2488" s="85"/>
      <c r="K2488" s="131"/>
      <c r="L2488" s="60"/>
      <c r="M2488" s="33"/>
    </row>
    <row r="2489" spans="1:14" x14ac:dyDescent="0.15">
      <c r="A2489" s="166"/>
      <c r="B2489" s="93"/>
      <c r="C2489" s="70"/>
      <c r="D2489" s="70"/>
      <c r="E2489" s="70"/>
      <c r="F2489" s="70"/>
      <c r="G2489" s="70"/>
      <c r="H2489" s="93"/>
      <c r="I2489" s="85"/>
      <c r="J2489" s="85"/>
      <c r="K2489" s="131"/>
      <c r="L2489" s="60"/>
      <c r="M2489" s="37"/>
    </row>
    <row r="2490" spans="1:14" x14ac:dyDescent="0.15">
      <c r="A2490" s="166"/>
      <c r="B2490" s="93"/>
      <c r="C2490" s="70"/>
      <c r="D2490" s="70"/>
      <c r="E2490" s="70"/>
      <c r="F2490" s="70"/>
      <c r="G2490" s="70"/>
      <c r="H2490" s="93"/>
      <c r="I2490" s="85"/>
      <c r="J2490" s="85"/>
      <c r="K2490" s="131"/>
      <c r="L2490" s="60"/>
    </row>
    <row r="2491" spans="1:14" x14ac:dyDescent="0.15">
      <c r="A2491" s="166"/>
      <c r="B2491" s="93"/>
      <c r="C2491" s="70"/>
      <c r="D2491" s="70"/>
      <c r="E2491" s="70"/>
      <c r="F2491" s="70"/>
      <c r="G2491" s="70"/>
      <c r="H2491" s="93"/>
      <c r="I2491" s="85"/>
      <c r="J2491" s="85"/>
      <c r="K2491" s="131"/>
      <c r="L2491" s="60"/>
      <c r="M2491" s="37"/>
    </row>
    <row r="2492" spans="1:14" x14ac:dyDescent="0.15">
      <c r="A2492" s="166"/>
      <c r="B2492" s="93"/>
      <c r="C2492" s="70"/>
      <c r="D2492" s="70"/>
      <c r="E2492" s="70"/>
      <c r="F2492" s="70"/>
      <c r="G2492" s="70"/>
      <c r="H2492" s="93"/>
      <c r="I2492" s="85"/>
      <c r="J2492" s="85"/>
      <c r="K2492" s="131"/>
      <c r="L2492" s="60"/>
      <c r="M2492" s="37"/>
      <c r="N2492" s="32"/>
    </row>
    <row r="2493" spans="1:14" x14ac:dyDescent="0.15">
      <c r="A2493" s="166"/>
      <c r="B2493" s="82"/>
      <c r="C2493" s="70"/>
      <c r="D2493" s="70"/>
      <c r="E2493" s="70"/>
      <c r="F2493" s="70"/>
      <c r="G2493" s="70"/>
      <c r="H2493" s="93"/>
      <c r="I2493" s="85"/>
      <c r="J2493" s="85"/>
      <c r="K2493" s="131"/>
      <c r="L2493" s="60"/>
      <c r="M2493" s="33"/>
    </row>
    <row r="2494" spans="1:14" x14ac:dyDescent="0.15">
      <c r="A2494" s="166"/>
      <c r="B2494" s="93"/>
      <c r="C2494" s="70"/>
      <c r="D2494" s="70"/>
      <c r="E2494" s="70"/>
      <c r="F2494" s="70"/>
      <c r="G2494" s="70"/>
      <c r="H2494" s="93"/>
      <c r="I2494" s="85"/>
      <c r="J2494" s="85"/>
      <c r="K2494" s="131"/>
      <c r="L2494" s="60"/>
      <c r="M2494" s="37"/>
    </row>
    <row r="2495" spans="1:14" x14ac:dyDescent="0.15">
      <c r="A2495" s="166"/>
      <c r="B2495" s="93"/>
      <c r="C2495" s="70"/>
      <c r="D2495" s="70"/>
      <c r="E2495" s="70"/>
      <c r="F2495" s="70"/>
      <c r="G2495" s="70"/>
      <c r="H2495" s="93"/>
      <c r="I2495" s="85"/>
      <c r="J2495" s="85"/>
      <c r="K2495" s="131"/>
      <c r="L2495" s="60"/>
      <c r="M2495" s="37"/>
    </row>
    <row r="2496" spans="1:14" x14ac:dyDescent="0.15">
      <c r="A2496" s="166"/>
      <c r="B2496" s="93"/>
      <c r="C2496" s="70"/>
      <c r="D2496" s="70"/>
      <c r="E2496" s="70"/>
      <c r="F2496" s="70"/>
      <c r="G2496" s="70"/>
      <c r="H2496" s="93"/>
      <c r="I2496" s="85"/>
      <c r="J2496" s="85"/>
      <c r="K2496" s="131"/>
      <c r="L2496" s="60"/>
      <c r="M2496" s="37"/>
    </row>
    <row r="2497" spans="1:28" x14ac:dyDescent="0.15">
      <c r="A2497" s="166"/>
      <c r="B2497" s="93"/>
      <c r="C2497" s="70"/>
      <c r="D2497" s="70"/>
      <c r="E2497" s="70"/>
      <c r="F2497" s="70"/>
      <c r="G2497" s="70"/>
      <c r="H2497" s="93"/>
      <c r="I2497" s="85"/>
      <c r="J2497" s="85"/>
      <c r="K2497" s="131"/>
      <c r="L2497" s="60"/>
      <c r="M2497" s="33"/>
      <c r="N2497" s="32"/>
    </row>
    <row r="2498" spans="1:28" x14ac:dyDescent="0.15">
      <c r="A2498" s="166"/>
      <c r="B2498" s="93"/>
      <c r="C2498" s="70"/>
      <c r="D2498" s="70"/>
      <c r="E2498" s="70"/>
      <c r="F2498" s="70"/>
      <c r="G2498" s="70"/>
      <c r="H2498" s="93"/>
      <c r="I2498" s="85"/>
      <c r="J2498" s="85"/>
      <c r="K2498" s="131"/>
      <c r="L2498" s="60"/>
      <c r="M2498" s="37"/>
      <c r="N2498" s="32"/>
    </row>
    <row r="2499" spans="1:28" x14ac:dyDescent="0.15">
      <c r="A2499" s="166"/>
      <c r="B2499" s="93"/>
      <c r="C2499" s="70"/>
      <c r="D2499" s="70"/>
      <c r="E2499" s="70"/>
      <c r="F2499" s="70"/>
      <c r="G2499" s="70"/>
      <c r="H2499" s="93"/>
      <c r="I2499" s="85"/>
      <c r="J2499" s="85"/>
      <c r="K2499" s="131"/>
      <c r="L2499" s="60"/>
      <c r="M2499" s="37"/>
      <c r="N2499" s="32"/>
    </row>
    <row r="2500" spans="1:28" x14ac:dyDescent="0.15">
      <c r="A2500" s="166"/>
      <c r="B2500" s="93"/>
      <c r="C2500" s="70"/>
      <c r="D2500" s="70"/>
      <c r="E2500" s="70"/>
      <c r="F2500" s="70"/>
      <c r="G2500" s="70"/>
      <c r="H2500" s="93"/>
      <c r="I2500" s="85"/>
      <c r="J2500" s="85"/>
      <c r="K2500" s="131"/>
      <c r="L2500" s="60"/>
      <c r="M2500" s="37"/>
    </row>
    <row r="2501" spans="1:28" x14ac:dyDescent="0.15">
      <c r="A2501" s="166"/>
      <c r="B2501" s="93"/>
      <c r="C2501" s="70"/>
      <c r="D2501" s="70"/>
      <c r="E2501" s="70"/>
      <c r="F2501" s="70"/>
      <c r="G2501" s="70"/>
      <c r="H2501" s="93"/>
      <c r="I2501" s="85"/>
      <c r="J2501" s="85"/>
      <c r="K2501" s="131"/>
      <c r="L2501" s="60"/>
      <c r="M2501" s="37"/>
    </row>
    <row r="2502" spans="1:28" x14ac:dyDescent="0.15">
      <c r="A2502" s="166"/>
      <c r="B2502" s="82"/>
      <c r="C2502" s="70"/>
      <c r="D2502" s="70"/>
      <c r="E2502" s="70"/>
      <c r="F2502" s="70"/>
      <c r="G2502" s="70"/>
      <c r="H2502" s="93"/>
      <c r="I2502" s="85"/>
      <c r="J2502" s="85"/>
      <c r="K2502" s="131"/>
      <c r="L2502" s="60"/>
    </row>
    <row r="2503" spans="1:28" x14ac:dyDescent="0.15">
      <c r="A2503" s="166"/>
      <c r="B2503" s="82"/>
      <c r="C2503" s="70"/>
      <c r="D2503" s="70"/>
      <c r="E2503" s="70"/>
      <c r="F2503" s="70"/>
      <c r="G2503" s="70"/>
      <c r="H2503" s="93"/>
      <c r="I2503" s="85"/>
      <c r="J2503" s="85"/>
      <c r="K2503" s="131"/>
      <c r="L2503" s="60"/>
    </row>
    <row r="2504" spans="1:28" x14ac:dyDescent="0.15">
      <c r="A2504" s="166"/>
      <c r="B2504" s="82"/>
      <c r="C2504" s="70"/>
      <c r="D2504" s="70"/>
      <c r="E2504" s="70"/>
      <c r="F2504" s="70"/>
      <c r="G2504" s="70"/>
      <c r="H2504" s="93"/>
      <c r="I2504" s="85"/>
      <c r="J2504" s="85"/>
      <c r="K2504" s="131"/>
      <c r="L2504" s="60"/>
    </row>
    <row r="2505" spans="1:28" ht="16" x14ac:dyDescent="0.2">
      <c r="A2505" s="166"/>
      <c r="B2505" s="93"/>
      <c r="C2505" s="70"/>
      <c r="D2505" s="70"/>
      <c r="E2505" s="70"/>
      <c r="F2505" s="70"/>
      <c r="G2505" s="70"/>
      <c r="H2505" s="93"/>
      <c r="I2505" s="85"/>
      <c r="J2505" s="85"/>
      <c r="K2505" s="131"/>
      <c r="L2505" s="60"/>
      <c r="M2505" s="33"/>
      <c r="N2505" s="48"/>
    </row>
    <row r="2506" spans="1:28" x14ac:dyDescent="0.15">
      <c r="A2506" s="166"/>
      <c r="B2506" s="82"/>
      <c r="C2506" s="70"/>
      <c r="D2506" s="70"/>
      <c r="E2506" s="70"/>
      <c r="F2506" s="70"/>
      <c r="G2506" s="70"/>
      <c r="H2506" s="93"/>
      <c r="I2506" s="85"/>
      <c r="J2506" s="85"/>
      <c r="K2506" s="131"/>
      <c r="L2506" s="60"/>
    </row>
    <row r="2507" spans="1:28" x14ac:dyDescent="0.15">
      <c r="A2507" s="166"/>
      <c r="B2507" s="82"/>
      <c r="C2507" s="70"/>
      <c r="D2507" s="70"/>
      <c r="E2507" s="70"/>
      <c r="F2507" s="70"/>
      <c r="G2507" s="70"/>
      <c r="H2507" s="93"/>
      <c r="I2507" s="85"/>
      <c r="J2507" s="85"/>
      <c r="K2507" s="131"/>
      <c r="L2507" s="60"/>
    </row>
    <row r="2508" spans="1:28" x14ac:dyDescent="0.15">
      <c r="A2508" s="166"/>
      <c r="B2508" s="82"/>
      <c r="C2508" s="70"/>
      <c r="D2508" s="70"/>
      <c r="E2508" s="70"/>
      <c r="F2508" s="70"/>
      <c r="G2508" s="70"/>
      <c r="H2508" s="93"/>
      <c r="I2508" s="85"/>
      <c r="J2508" s="85"/>
      <c r="K2508" s="131"/>
      <c r="L2508" s="60"/>
    </row>
    <row r="2509" spans="1:28" x14ac:dyDescent="0.15">
      <c r="A2509" s="166"/>
      <c r="B2509" s="93"/>
      <c r="C2509" s="70"/>
      <c r="D2509" s="70"/>
      <c r="E2509" s="70"/>
      <c r="F2509" s="70"/>
      <c r="G2509" s="70"/>
      <c r="H2509" s="93"/>
      <c r="I2509" s="85"/>
      <c r="J2509" s="85"/>
      <c r="K2509" s="131"/>
      <c r="L2509" s="63"/>
      <c r="M2509" s="33"/>
    </row>
    <row r="2510" spans="1:28" s="15" customFormat="1" x14ac:dyDescent="0.15">
      <c r="A2510" s="166"/>
      <c r="B2510" s="93"/>
      <c r="C2510" s="70"/>
      <c r="D2510" s="70"/>
      <c r="E2510" s="70"/>
      <c r="F2510" s="70"/>
      <c r="G2510" s="70"/>
      <c r="H2510" s="93"/>
      <c r="I2510" s="85"/>
      <c r="J2510" s="85"/>
      <c r="K2510" s="131"/>
      <c r="L2510" s="60"/>
      <c r="M2510" s="33"/>
      <c r="N2510" s="37"/>
      <c r="O2510" s="37"/>
      <c r="P2510" s="37"/>
      <c r="Q2510" s="3"/>
      <c r="R2510" s="3"/>
      <c r="S2510" s="3"/>
      <c r="T2510" s="3"/>
      <c r="U2510" s="3"/>
      <c r="V2510" s="3"/>
      <c r="W2510" s="3"/>
      <c r="X2510" s="3"/>
      <c r="Y2510" s="3"/>
      <c r="Z2510" s="4"/>
      <c r="AA2510"/>
      <c r="AB2510"/>
    </row>
    <row r="2511" spans="1:28" x14ac:dyDescent="0.15">
      <c r="A2511" s="166"/>
      <c r="B2511" s="93"/>
      <c r="C2511" s="70"/>
      <c r="D2511" s="70"/>
      <c r="E2511" s="70"/>
      <c r="F2511" s="70"/>
      <c r="G2511" s="70"/>
      <c r="H2511" s="93"/>
      <c r="I2511" s="85"/>
      <c r="J2511" s="85"/>
      <c r="K2511" s="131"/>
      <c r="L2511" s="60"/>
      <c r="M2511" s="33"/>
    </row>
    <row r="2512" spans="1:28" x14ac:dyDescent="0.15">
      <c r="A2512" s="166"/>
      <c r="B2512" s="93"/>
      <c r="C2512" s="70"/>
      <c r="D2512" s="70"/>
      <c r="E2512" s="70"/>
      <c r="F2512" s="70"/>
      <c r="G2512" s="70"/>
      <c r="H2512" s="93"/>
      <c r="I2512" s="85"/>
      <c r="J2512" s="85"/>
      <c r="K2512" s="131"/>
      <c r="L2512" s="63"/>
      <c r="M2512" s="33"/>
    </row>
    <row r="2513" spans="1:28" x14ac:dyDescent="0.15">
      <c r="A2513" s="166"/>
      <c r="B2513" s="93"/>
      <c r="C2513" s="70"/>
      <c r="D2513" s="70"/>
      <c r="E2513" s="70"/>
      <c r="F2513" s="70"/>
      <c r="G2513" s="70"/>
      <c r="H2513" s="93"/>
      <c r="I2513" s="85"/>
      <c r="J2513" s="85"/>
      <c r="K2513" s="131"/>
      <c r="L2513" s="60"/>
      <c r="M2513" s="33"/>
    </row>
    <row r="2514" spans="1:28" x14ac:dyDescent="0.15">
      <c r="A2514" s="166"/>
      <c r="B2514" s="93"/>
      <c r="C2514" s="70"/>
      <c r="D2514" s="70"/>
      <c r="E2514" s="70"/>
      <c r="F2514" s="70"/>
      <c r="G2514" s="70"/>
      <c r="H2514" s="93"/>
      <c r="I2514" s="85"/>
      <c r="J2514" s="85"/>
      <c r="K2514" s="131"/>
      <c r="L2514" s="63"/>
      <c r="M2514" s="33"/>
      <c r="S2514" s="187"/>
      <c r="T2514" s="187"/>
      <c r="U2514" s="187"/>
      <c r="V2514" s="187"/>
      <c r="W2514" s="187"/>
      <c r="X2514" s="187"/>
      <c r="Y2514" s="187"/>
      <c r="Z2514" s="188"/>
      <c r="AA2514" s="189"/>
      <c r="AB2514" s="189"/>
    </row>
    <row r="2515" spans="1:28" x14ac:dyDescent="0.15">
      <c r="A2515" s="166"/>
      <c r="B2515" s="93"/>
      <c r="C2515" s="70"/>
      <c r="D2515" s="70"/>
      <c r="E2515" s="70"/>
      <c r="F2515" s="70"/>
      <c r="G2515" s="70"/>
      <c r="H2515" s="93"/>
      <c r="I2515" s="85"/>
      <c r="J2515" s="85"/>
      <c r="K2515" s="131"/>
      <c r="L2515" s="63"/>
      <c r="M2515" s="33"/>
      <c r="S2515" s="187"/>
      <c r="T2515" s="187"/>
      <c r="U2515" s="187"/>
      <c r="V2515" s="187"/>
      <c r="W2515" s="187"/>
      <c r="X2515" s="187"/>
      <c r="Y2515" s="187"/>
      <c r="Z2515" s="188"/>
      <c r="AA2515" s="189"/>
      <c r="AB2515" s="189"/>
    </row>
    <row r="2516" spans="1:28" x14ac:dyDescent="0.15">
      <c r="A2516" s="166"/>
      <c r="B2516" s="93"/>
      <c r="C2516" s="70"/>
      <c r="D2516" s="70"/>
      <c r="E2516" s="70"/>
      <c r="F2516" s="70"/>
      <c r="G2516" s="70"/>
      <c r="H2516" s="93"/>
      <c r="I2516" s="85"/>
      <c r="J2516" s="85"/>
      <c r="K2516" s="131"/>
      <c r="L2516" s="60"/>
      <c r="M2516" s="33"/>
    </row>
    <row r="2517" spans="1:28" x14ac:dyDescent="0.15">
      <c r="A2517" s="166"/>
      <c r="B2517" s="93"/>
      <c r="C2517" s="70"/>
      <c r="D2517" s="70"/>
      <c r="E2517" s="70"/>
      <c r="F2517" s="70"/>
      <c r="G2517" s="70"/>
      <c r="H2517" s="93"/>
      <c r="I2517" s="85"/>
      <c r="J2517" s="85"/>
      <c r="K2517" s="131"/>
      <c r="L2517" s="60"/>
      <c r="M2517" s="33"/>
    </row>
    <row r="2518" spans="1:28" x14ac:dyDescent="0.15">
      <c r="A2518" s="166"/>
      <c r="B2518" s="82"/>
      <c r="C2518" s="70"/>
      <c r="D2518" s="70"/>
      <c r="E2518" s="70"/>
      <c r="F2518" s="70"/>
      <c r="G2518" s="70"/>
      <c r="H2518" s="93"/>
      <c r="I2518" s="85"/>
      <c r="J2518" s="85"/>
      <c r="K2518" s="131"/>
      <c r="L2518" s="60"/>
    </row>
    <row r="2519" spans="1:28" x14ac:dyDescent="0.15">
      <c r="A2519" s="166"/>
      <c r="B2519" s="82"/>
      <c r="C2519" s="70"/>
      <c r="D2519" s="70"/>
      <c r="E2519" s="70"/>
      <c r="F2519" s="70"/>
      <c r="G2519" s="70"/>
      <c r="H2519" s="93"/>
      <c r="I2519" s="85"/>
      <c r="J2519" s="85"/>
      <c r="K2519" s="131"/>
      <c r="L2519" s="60"/>
      <c r="M2519" s="33"/>
      <c r="Q2519" s="14"/>
      <c r="R2519" s="14"/>
    </row>
    <row r="2520" spans="1:28" x14ac:dyDescent="0.15">
      <c r="A2520" s="166"/>
      <c r="B2520" s="82"/>
      <c r="C2520" s="70"/>
      <c r="D2520" s="70"/>
      <c r="E2520" s="70"/>
      <c r="F2520" s="70"/>
      <c r="G2520" s="70"/>
      <c r="H2520" s="93"/>
      <c r="I2520" s="85"/>
      <c r="J2520" s="85"/>
      <c r="K2520" s="131"/>
      <c r="L2520" s="60"/>
    </row>
    <row r="2521" spans="1:28" x14ac:dyDescent="0.15">
      <c r="A2521" s="166"/>
      <c r="B2521" s="82"/>
      <c r="C2521" s="70"/>
      <c r="D2521" s="70"/>
      <c r="E2521" s="70"/>
      <c r="F2521" s="70"/>
      <c r="G2521" s="70"/>
      <c r="H2521" s="93"/>
      <c r="I2521" s="85"/>
      <c r="J2521" s="85"/>
      <c r="K2521" s="131"/>
      <c r="L2521" s="60"/>
    </row>
    <row r="2522" spans="1:28" x14ac:dyDescent="0.15">
      <c r="A2522" s="166"/>
      <c r="B2522" s="82"/>
      <c r="C2522" s="70"/>
      <c r="D2522" s="70"/>
      <c r="E2522" s="70"/>
      <c r="F2522" s="70"/>
      <c r="G2522" s="70"/>
      <c r="H2522" s="93"/>
      <c r="I2522" s="85"/>
      <c r="J2522" s="85"/>
      <c r="K2522" s="131"/>
      <c r="L2522" s="60"/>
    </row>
    <row r="2523" spans="1:28" x14ac:dyDescent="0.15">
      <c r="A2523" s="166"/>
      <c r="B2523" s="93"/>
      <c r="C2523" s="70"/>
      <c r="D2523" s="70"/>
      <c r="E2523" s="70"/>
      <c r="F2523" s="70"/>
      <c r="G2523" s="70"/>
      <c r="H2523" s="93"/>
      <c r="I2523" s="85"/>
      <c r="J2523" s="85"/>
      <c r="K2523" s="131"/>
      <c r="L2523" s="60"/>
      <c r="M2523" s="33"/>
    </row>
    <row r="2524" spans="1:28" x14ac:dyDescent="0.15">
      <c r="A2524" s="166"/>
      <c r="B2524" s="93"/>
      <c r="C2524" s="70"/>
      <c r="D2524" s="70"/>
      <c r="E2524" s="70"/>
      <c r="F2524" s="70"/>
      <c r="G2524" s="70"/>
      <c r="H2524" s="93"/>
      <c r="I2524" s="85"/>
      <c r="J2524" s="85"/>
      <c r="K2524" s="131"/>
      <c r="L2524" s="60"/>
      <c r="M2524" s="33"/>
    </row>
    <row r="2525" spans="1:28" x14ac:dyDescent="0.15">
      <c r="A2525" s="166"/>
      <c r="B2525" s="93"/>
      <c r="C2525" s="70"/>
      <c r="D2525" s="70"/>
      <c r="E2525" s="70"/>
      <c r="F2525" s="70"/>
      <c r="G2525" s="70"/>
      <c r="H2525" s="93"/>
      <c r="I2525" s="85"/>
      <c r="J2525" s="85"/>
      <c r="K2525" s="131"/>
      <c r="L2525" s="60"/>
      <c r="M2525" s="33"/>
    </row>
    <row r="2526" spans="1:28" x14ac:dyDescent="0.15">
      <c r="A2526" s="166"/>
      <c r="B2526" s="93"/>
      <c r="C2526" s="70"/>
      <c r="D2526" s="70"/>
      <c r="E2526" s="70"/>
      <c r="F2526" s="70"/>
      <c r="G2526" s="70"/>
      <c r="H2526" s="93"/>
      <c r="I2526" s="85"/>
      <c r="J2526" s="85"/>
      <c r="K2526" s="131"/>
      <c r="L2526" s="60"/>
      <c r="M2526" s="33"/>
    </row>
    <row r="2527" spans="1:28" x14ac:dyDescent="0.15">
      <c r="A2527" s="166"/>
      <c r="B2527" s="82"/>
      <c r="C2527" s="70"/>
      <c r="D2527" s="70"/>
      <c r="E2527" s="70"/>
      <c r="F2527" s="70"/>
      <c r="G2527" s="70"/>
      <c r="H2527" s="93"/>
      <c r="I2527" s="85"/>
      <c r="J2527" s="85"/>
      <c r="K2527" s="131"/>
      <c r="L2527" s="60"/>
    </row>
    <row r="2528" spans="1:28" x14ac:dyDescent="0.15">
      <c r="A2528" s="166"/>
      <c r="B2528" s="93"/>
      <c r="C2528" s="70"/>
      <c r="D2528" s="70"/>
      <c r="E2528" s="70"/>
      <c r="F2528" s="70"/>
      <c r="G2528" s="70"/>
      <c r="H2528" s="93"/>
      <c r="I2528" s="85"/>
      <c r="J2528" s="110"/>
      <c r="K2528" s="131"/>
      <c r="L2528" s="60"/>
      <c r="M2528" s="33"/>
    </row>
    <row r="2529" spans="1:14" x14ac:dyDescent="0.15">
      <c r="A2529" s="166"/>
      <c r="B2529" s="82"/>
      <c r="C2529" s="70"/>
      <c r="D2529" s="70"/>
      <c r="E2529" s="70"/>
      <c r="F2529" s="70"/>
      <c r="G2529" s="70"/>
      <c r="H2529" s="93"/>
      <c r="I2529" s="85"/>
      <c r="J2529" s="85"/>
      <c r="K2529" s="131"/>
      <c r="L2529" s="60"/>
    </row>
    <row r="2530" spans="1:14" x14ac:dyDescent="0.15">
      <c r="A2530" s="166"/>
      <c r="B2530" s="82"/>
      <c r="C2530" s="70"/>
      <c r="D2530" s="70"/>
      <c r="E2530" s="70"/>
      <c r="F2530" s="70"/>
      <c r="G2530" s="70"/>
      <c r="H2530" s="93"/>
      <c r="I2530" s="85"/>
      <c r="J2530" s="85"/>
      <c r="K2530" s="131"/>
      <c r="L2530" s="60"/>
    </row>
    <row r="2531" spans="1:14" x14ac:dyDescent="0.15">
      <c r="A2531" s="166"/>
      <c r="B2531" s="82"/>
      <c r="C2531" s="70"/>
      <c r="D2531" s="70"/>
      <c r="E2531" s="70"/>
      <c r="F2531" s="70"/>
      <c r="G2531" s="70"/>
      <c r="H2531" s="93"/>
      <c r="I2531" s="85"/>
      <c r="J2531" s="85"/>
      <c r="K2531" s="131"/>
      <c r="L2531" s="60"/>
    </row>
    <row r="2532" spans="1:14" x14ac:dyDescent="0.15">
      <c r="A2532" s="166"/>
      <c r="B2532" s="82"/>
      <c r="C2532" s="70"/>
      <c r="D2532" s="70"/>
      <c r="E2532" s="70"/>
      <c r="F2532" s="70"/>
      <c r="G2532" s="70"/>
      <c r="H2532" s="93"/>
      <c r="I2532" s="85"/>
      <c r="J2532" s="85"/>
      <c r="K2532" s="131"/>
      <c r="L2532" s="60"/>
    </row>
    <row r="2533" spans="1:14" x14ac:dyDescent="0.15">
      <c r="A2533" s="166"/>
      <c r="B2533" s="93"/>
      <c r="C2533" s="70"/>
      <c r="D2533" s="70"/>
      <c r="E2533" s="70"/>
      <c r="F2533" s="70"/>
      <c r="G2533" s="70"/>
      <c r="H2533" s="93"/>
      <c r="I2533" s="85"/>
      <c r="J2533" s="85"/>
      <c r="K2533" s="131"/>
      <c r="L2533" s="60"/>
      <c r="M2533" s="33"/>
    </row>
    <row r="2534" spans="1:14" x14ac:dyDescent="0.15">
      <c r="A2534" s="166"/>
      <c r="B2534" s="93"/>
      <c r="C2534" s="70"/>
      <c r="D2534" s="70"/>
      <c r="E2534" s="70"/>
      <c r="F2534" s="70"/>
      <c r="G2534" s="70"/>
      <c r="H2534" s="93"/>
      <c r="I2534" s="85"/>
      <c r="J2534" s="110"/>
      <c r="K2534" s="131"/>
      <c r="L2534" s="60"/>
      <c r="M2534" s="33"/>
    </row>
    <row r="2535" spans="1:14" x14ac:dyDescent="0.15">
      <c r="A2535" s="166"/>
      <c r="B2535" s="82"/>
      <c r="C2535" s="70"/>
      <c r="D2535" s="70"/>
      <c r="E2535" s="70"/>
      <c r="F2535" s="70"/>
      <c r="G2535" s="70"/>
      <c r="H2535" s="93"/>
      <c r="I2535" s="85"/>
      <c r="J2535" s="85"/>
      <c r="K2535" s="131"/>
      <c r="L2535" s="60"/>
    </row>
    <row r="2536" spans="1:14" x14ac:dyDescent="0.15">
      <c r="A2536" s="166"/>
      <c r="B2536" s="82"/>
      <c r="C2536" s="70"/>
      <c r="D2536" s="70"/>
      <c r="E2536" s="70"/>
      <c r="F2536" s="70"/>
      <c r="G2536" s="70"/>
      <c r="H2536" s="93"/>
      <c r="I2536" s="85"/>
      <c r="J2536" s="85"/>
      <c r="K2536" s="131"/>
      <c r="L2536" s="60"/>
      <c r="M2536" s="33"/>
    </row>
    <row r="2537" spans="1:14" x14ac:dyDescent="0.15">
      <c r="A2537" s="166"/>
      <c r="B2537" s="82"/>
      <c r="C2537" s="70"/>
      <c r="D2537" s="70"/>
      <c r="E2537" s="70"/>
      <c r="F2537" s="70"/>
      <c r="G2537" s="70"/>
      <c r="H2537" s="93"/>
      <c r="I2537" s="85"/>
      <c r="J2537" s="85"/>
      <c r="K2537" s="131"/>
      <c r="L2537" s="60"/>
    </row>
    <row r="2538" spans="1:14" x14ac:dyDescent="0.15">
      <c r="A2538" s="166"/>
      <c r="B2538" s="82"/>
      <c r="C2538" s="70"/>
      <c r="D2538" s="70"/>
      <c r="E2538" s="70"/>
      <c r="F2538" s="70"/>
      <c r="G2538" s="70"/>
      <c r="H2538" s="93"/>
      <c r="I2538" s="85"/>
      <c r="J2538" s="85"/>
      <c r="K2538" s="131"/>
      <c r="L2538" s="60"/>
    </row>
    <row r="2539" spans="1:14" x14ac:dyDescent="0.15">
      <c r="A2539" s="166"/>
      <c r="B2539" s="82"/>
      <c r="C2539" s="70"/>
      <c r="D2539" s="70"/>
      <c r="E2539" s="70"/>
      <c r="F2539" s="70"/>
      <c r="G2539" s="70"/>
      <c r="H2539" s="93"/>
      <c r="I2539" s="85"/>
      <c r="J2539" s="85"/>
      <c r="K2539" s="131"/>
      <c r="L2539" s="60"/>
    </row>
    <row r="2540" spans="1:14" x14ac:dyDescent="0.15">
      <c r="A2540" s="166"/>
      <c r="B2540" s="82"/>
      <c r="C2540" s="70"/>
      <c r="D2540" s="70"/>
      <c r="E2540" s="70"/>
      <c r="F2540" s="70"/>
      <c r="G2540" s="70"/>
      <c r="H2540" s="93"/>
      <c r="I2540" s="85"/>
      <c r="J2540" s="85"/>
      <c r="K2540" s="131"/>
      <c r="L2540" s="60"/>
    </row>
    <row r="2541" spans="1:14" x14ac:dyDescent="0.15">
      <c r="A2541" s="166"/>
      <c r="B2541" s="93"/>
      <c r="C2541" s="70"/>
      <c r="D2541" s="70"/>
      <c r="E2541" s="70"/>
      <c r="F2541" s="70"/>
      <c r="G2541" s="70"/>
      <c r="H2541" s="93"/>
      <c r="I2541" s="85"/>
      <c r="J2541" s="85"/>
      <c r="K2541" s="131"/>
      <c r="L2541" s="60"/>
      <c r="M2541" s="33"/>
    </row>
    <row r="2542" spans="1:14" ht="16" x14ac:dyDescent="0.2">
      <c r="A2542" s="166"/>
      <c r="B2542" s="82"/>
      <c r="C2542" s="70"/>
      <c r="D2542" s="70"/>
      <c r="E2542" s="70"/>
      <c r="F2542" s="70"/>
      <c r="G2542" s="70"/>
      <c r="H2542" s="93"/>
      <c r="I2542" s="85"/>
      <c r="J2542" s="85"/>
      <c r="K2542" s="131"/>
      <c r="L2542" s="60"/>
      <c r="M2542" s="33"/>
      <c r="N2542" s="48"/>
    </row>
    <row r="2543" spans="1:14" x14ac:dyDescent="0.15">
      <c r="A2543" s="166"/>
      <c r="B2543" s="82"/>
      <c r="C2543" s="70"/>
      <c r="D2543" s="70"/>
      <c r="E2543" s="70"/>
      <c r="F2543" s="70"/>
      <c r="G2543" s="70"/>
      <c r="H2543" s="93"/>
      <c r="I2543" s="85"/>
      <c r="J2543" s="85"/>
      <c r="K2543" s="131"/>
      <c r="L2543" s="60"/>
      <c r="M2543" s="33"/>
    </row>
    <row r="2544" spans="1:14" x14ac:dyDescent="0.15">
      <c r="A2544" s="166"/>
      <c r="B2544" s="82"/>
      <c r="C2544" s="70"/>
      <c r="D2544" s="70"/>
      <c r="E2544" s="70"/>
      <c r="F2544" s="70"/>
      <c r="G2544" s="70"/>
      <c r="H2544" s="93"/>
      <c r="I2544" s="85"/>
      <c r="J2544" s="85"/>
      <c r="K2544" s="131"/>
      <c r="L2544" s="60"/>
      <c r="M2544" s="33"/>
    </row>
    <row r="2545" spans="1:14" ht="16" x14ac:dyDescent="0.2">
      <c r="A2545" s="166"/>
      <c r="B2545" s="82"/>
      <c r="C2545" s="70"/>
      <c r="D2545" s="70"/>
      <c r="E2545" s="70"/>
      <c r="F2545" s="70"/>
      <c r="G2545" s="70"/>
      <c r="H2545" s="93"/>
      <c r="I2545" s="85"/>
      <c r="J2545" s="85"/>
      <c r="K2545" s="131"/>
      <c r="L2545" s="60"/>
      <c r="M2545" s="33"/>
      <c r="N2545" s="48"/>
    </row>
    <row r="2546" spans="1:14" x14ac:dyDescent="0.15">
      <c r="A2546" s="166"/>
      <c r="B2546" s="82"/>
      <c r="C2546" s="70"/>
      <c r="D2546" s="70"/>
      <c r="E2546" s="70"/>
      <c r="F2546" s="70"/>
      <c r="G2546" s="70"/>
      <c r="H2546" s="93"/>
      <c r="I2546" s="85"/>
      <c r="J2546" s="85"/>
      <c r="K2546" s="131"/>
      <c r="L2546" s="60"/>
      <c r="M2546" s="33"/>
    </row>
    <row r="2547" spans="1:14" x14ac:dyDescent="0.15">
      <c r="A2547" s="166"/>
      <c r="B2547" s="93"/>
      <c r="C2547" s="70"/>
      <c r="D2547" s="70"/>
      <c r="E2547" s="70"/>
      <c r="F2547" s="70"/>
      <c r="G2547" s="70"/>
      <c r="H2547" s="93"/>
      <c r="I2547" s="85"/>
      <c r="J2547" s="85"/>
      <c r="K2547" s="141"/>
      <c r="L2547" s="60"/>
      <c r="M2547" s="33"/>
    </row>
    <row r="2548" spans="1:14" x14ac:dyDescent="0.15">
      <c r="A2548" s="166"/>
      <c r="B2548" s="82"/>
      <c r="C2548" s="70"/>
      <c r="D2548" s="70"/>
      <c r="E2548" s="70"/>
      <c r="F2548" s="70"/>
      <c r="G2548" s="70"/>
      <c r="H2548" s="93"/>
      <c r="I2548" s="85"/>
      <c r="J2548" s="85"/>
      <c r="K2548" s="131"/>
      <c r="L2548" s="60"/>
      <c r="M2548" s="33"/>
    </row>
    <row r="2549" spans="1:14" x14ac:dyDescent="0.15">
      <c r="A2549" s="166"/>
      <c r="B2549" s="82"/>
      <c r="C2549" s="70"/>
      <c r="D2549" s="70"/>
      <c r="E2549" s="70"/>
      <c r="F2549" s="70"/>
      <c r="G2549" s="70"/>
      <c r="H2549" s="93"/>
      <c r="I2549" s="85"/>
      <c r="J2549" s="85"/>
      <c r="K2549" s="141"/>
      <c r="L2549" s="60"/>
      <c r="M2549" s="33"/>
    </row>
    <row r="2550" spans="1:14" x14ac:dyDescent="0.15">
      <c r="A2550" s="166"/>
      <c r="B2550" s="82"/>
      <c r="C2550" s="70"/>
      <c r="D2550" s="70"/>
      <c r="E2550" s="70"/>
      <c r="F2550" s="70"/>
      <c r="G2550" s="70"/>
      <c r="H2550" s="93"/>
      <c r="I2550" s="85"/>
      <c r="J2550" s="85"/>
      <c r="K2550" s="131"/>
      <c r="L2550" s="60"/>
      <c r="M2550" s="33"/>
    </row>
    <row r="2551" spans="1:14" x14ac:dyDescent="0.15">
      <c r="A2551" s="166"/>
      <c r="B2551" s="82"/>
      <c r="C2551" s="70"/>
      <c r="D2551" s="70"/>
      <c r="E2551" s="70"/>
      <c r="F2551" s="70"/>
      <c r="G2551" s="70"/>
      <c r="H2551" s="93"/>
      <c r="I2551" s="85"/>
      <c r="J2551" s="85"/>
      <c r="K2551" s="141"/>
      <c r="L2551" s="60"/>
      <c r="M2551" s="33"/>
    </row>
    <row r="2552" spans="1:14" ht="16" x14ac:dyDescent="0.2">
      <c r="A2552" s="166"/>
      <c r="B2552" s="93"/>
      <c r="C2552" s="70"/>
      <c r="D2552" s="70"/>
      <c r="E2552" s="70"/>
      <c r="F2552" s="70"/>
      <c r="G2552" s="70"/>
      <c r="H2552" s="93"/>
      <c r="I2552" s="85"/>
      <c r="J2552" s="85"/>
      <c r="K2552" s="141"/>
      <c r="L2552" s="60"/>
      <c r="M2552" s="33"/>
      <c r="N2552" s="48"/>
    </row>
    <row r="2553" spans="1:14" ht="16" x14ac:dyDescent="0.2">
      <c r="A2553" s="166"/>
      <c r="B2553" s="82"/>
      <c r="C2553" s="70"/>
      <c r="D2553" s="70"/>
      <c r="E2553" s="70"/>
      <c r="F2553" s="70"/>
      <c r="G2553" s="70"/>
      <c r="H2553" s="93"/>
      <c r="I2553" s="85"/>
      <c r="J2553" s="85"/>
      <c r="K2553" s="141"/>
      <c r="L2553" s="60"/>
      <c r="M2553" s="33"/>
      <c r="N2553" s="48"/>
    </row>
    <row r="2554" spans="1:14" ht="16" x14ac:dyDescent="0.2">
      <c r="A2554" s="166"/>
      <c r="B2554" s="82"/>
      <c r="C2554" s="70"/>
      <c r="D2554" s="70"/>
      <c r="E2554" s="70"/>
      <c r="F2554" s="70"/>
      <c r="G2554" s="70"/>
      <c r="H2554" s="93"/>
      <c r="I2554" s="85"/>
      <c r="J2554" s="85"/>
      <c r="K2554" s="141"/>
      <c r="L2554" s="60"/>
      <c r="M2554" s="33"/>
      <c r="N2554" s="48"/>
    </row>
    <row r="2555" spans="1:14" ht="16" x14ac:dyDescent="0.2">
      <c r="A2555" s="166"/>
      <c r="B2555" s="82"/>
      <c r="C2555" s="70"/>
      <c r="D2555" s="70"/>
      <c r="E2555" s="70"/>
      <c r="F2555" s="70"/>
      <c r="G2555" s="70"/>
      <c r="H2555" s="93"/>
      <c r="I2555" s="85"/>
      <c r="J2555" s="85"/>
      <c r="K2555" s="141"/>
      <c r="L2555" s="60"/>
      <c r="M2555" s="33"/>
      <c r="N2555" s="48"/>
    </row>
    <row r="2556" spans="1:14" ht="16" x14ac:dyDescent="0.2">
      <c r="A2556" s="166"/>
      <c r="B2556" s="82"/>
      <c r="C2556" s="70"/>
      <c r="D2556" s="70"/>
      <c r="E2556" s="70"/>
      <c r="F2556" s="70"/>
      <c r="G2556" s="70"/>
      <c r="H2556" s="93"/>
      <c r="I2556" s="85"/>
      <c r="J2556" s="85"/>
      <c r="K2556" s="141"/>
      <c r="L2556" s="60"/>
      <c r="M2556" s="33"/>
      <c r="N2556" s="48"/>
    </row>
    <row r="2557" spans="1:14" x14ac:dyDescent="0.15">
      <c r="A2557" s="166"/>
      <c r="B2557" s="82"/>
      <c r="C2557" s="70"/>
      <c r="D2557" s="70"/>
      <c r="E2557" s="70"/>
      <c r="F2557" s="70"/>
      <c r="G2557" s="70"/>
      <c r="H2557" s="93"/>
      <c r="I2557" s="85"/>
      <c r="J2557" s="85"/>
      <c r="K2557" s="141"/>
      <c r="L2557" s="60"/>
      <c r="M2557" s="33"/>
    </row>
    <row r="2558" spans="1:14" x14ac:dyDescent="0.15">
      <c r="A2558" s="166"/>
      <c r="B2558" s="82"/>
      <c r="C2558" s="70"/>
      <c r="D2558" s="70"/>
      <c r="E2558" s="70"/>
      <c r="F2558" s="70"/>
      <c r="G2558" s="70"/>
      <c r="H2558" s="93"/>
      <c r="I2558" s="85"/>
      <c r="J2558" s="85"/>
      <c r="K2558" s="141"/>
      <c r="L2558" s="60"/>
      <c r="M2558" s="33"/>
    </row>
    <row r="2559" spans="1:14" ht="16" x14ac:dyDescent="0.2">
      <c r="A2559" s="166"/>
      <c r="B2559" s="93"/>
      <c r="C2559" s="70"/>
      <c r="D2559" s="70"/>
      <c r="E2559" s="70"/>
      <c r="F2559" s="70"/>
      <c r="G2559" s="70"/>
      <c r="H2559" s="93"/>
      <c r="I2559" s="85"/>
      <c r="J2559" s="85"/>
      <c r="K2559" s="141"/>
      <c r="L2559" s="60"/>
      <c r="M2559" s="33"/>
      <c r="N2559" s="48"/>
    </row>
    <row r="2560" spans="1:14" ht="16" x14ac:dyDescent="0.2">
      <c r="A2560" s="166"/>
      <c r="B2560" s="82"/>
      <c r="C2560" s="70"/>
      <c r="D2560" s="70"/>
      <c r="E2560" s="70"/>
      <c r="F2560" s="70"/>
      <c r="G2560" s="70"/>
      <c r="H2560" s="93"/>
      <c r="I2560" s="85"/>
      <c r="J2560" s="85"/>
      <c r="K2560" s="141"/>
      <c r="L2560" s="60"/>
      <c r="M2560" s="33"/>
      <c r="N2560" s="48"/>
    </row>
    <row r="2561" spans="1:26" x14ac:dyDescent="0.15">
      <c r="A2561" s="166"/>
      <c r="B2561" s="82"/>
      <c r="C2561" s="70"/>
      <c r="D2561" s="70"/>
      <c r="E2561" s="70"/>
      <c r="F2561" s="70"/>
      <c r="G2561" s="70"/>
      <c r="H2561" s="93"/>
      <c r="I2561" s="85"/>
      <c r="J2561" s="85"/>
      <c r="K2561" s="131"/>
      <c r="L2561" s="60"/>
      <c r="M2561" s="33"/>
    </row>
    <row r="2562" spans="1:26" x14ac:dyDescent="0.15">
      <c r="A2562" s="166"/>
      <c r="B2562" s="82"/>
      <c r="C2562" s="70"/>
      <c r="D2562" s="70"/>
      <c r="E2562" s="70"/>
      <c r="F2562" s="70"/>
      <c r="G2562" s="70"/>
      <c r="H2562" s="93"/>
      <c r="I2562" s="85"/>
      <c r="J2562" s="85"/>
      <c r="K2562" s="141"/>
      <c r="L2562" s="60"/>
      <c r="M2562" s="33"/>
    </row>
    <row r="2563" spans="1:26" x14ac:dyDescent="0.15">
      <c r="A2563" s="166"/>
      <c r="B2563" s="82"/>
      <c r="C2563" s="70"/>
      <c r="D2563" s="70"/>
      <c r="E2563" s="70"/>
      <c r="F2563" s="70"/>
      <c r="G2563" s="70"/>
      <c r="H2563" s="93"/>
      <c r="I2563" s="85"/>
      <c r="J2563" s="85"/>
      <c r="K2563" s="141"/>
      <c r="L2563" s="60"/>
      <c r="M2563" s="33"/>
    </row>
    <row r="2564" spans="1:26" ht="16" x14ac:dyDescent="0.2">
      <c r="A2564" s="166"/>
      <c r="B2564" s="82"/>
      <c r="C2564" s="70"/>
      <c r="D2564" s="70"/>
      <c r="E2564" s="70"/>
      <c r="F2564" s="70"/>
      <c r="G2564" s="70"/>
      <c r="H2564" s="93"/>
      <c r="I2564" s="85"/>
      <c r="J2564" s="85"/>
      <c r="K2564" s="141"/>
      <c r="L2564" s="60"/>
      <c r="M2564" s="33"/>
      <c r="N2564" s="48"/>
    </row>
    <row r="2565" spans="1:26" x14ac:dyDescent="0.15">
      <c r="A2565" s="166"/>
      <c r="B2565" s="82"/>
      <c r="C2565" s="70"/>
      <c r="D2565" s="70"/>
      <c r="E2565" s="70"/>
      <c r="F2565" s="70"/>
      <c r="G2565" s="70"/>
      <c r="H2565" s="93"/>
      <c r="I2565" s="85"/>
      <c r="J2565" s="85"/>
      <c r="K2565" s="131"/>
      <c r="L2565" s="60"/>
      <c r="M2565" s="33"/>
    </row>
    <row r="2566" spans="1:26" x14ac:dyDescent="0.15">
      <c r="A2566" s="166"/>
      <c r="B2566" s="82"/>
      <c r="C2566" s="70"/>
      <c r="D2566" s="70"/>
      <c r="E2566" s="70"/>
      <c r="F2566" s="70"/>
      <c r="G2566" s="70"/>
      <c r="H2566" s="93"/>
      <c r="I2566" s="85"/>
      <c r="J2566" s="85"/>
      <c r="K2566" s="141"/>
      <c r="L2566" s="60"/>
      <c r="M2566" s="33"/>
    </row>
    <row r="2567" spans="1:26" x14ac:dyDescent="0.15">
      <c r="A2567" s="166"/>
      <c r="B2567" s="82"/>
      <c r="C2567" s="70"/>
      <c r="D2567" s="70"/>
      <c r="E2567" s="70"/>
      <c r="F2567" s="70"/>
      <c r="G2567" s="70"/>
      <c r="H2567" s="93"/>
      <c r="I2567" s="85"/>
      <c r="J2567" s="85"/>
      <c r="K2567" s="141"/>
      <c r="L2567" s="60"/>
      <c r="M2567" s="33"/>
    </row>
    <row r="2568" spans="1:26" x14ac:dyDescent="0.15">
      <c r="A2568" s="166"/>
      <c r="B2568" s="82"/>
      <c r="C2568" s="70"/>
      <c r="D2568" s="70"/>
      <c r="E2568" s="70"/>
      <c r="F2568" s="70"/>
      <c r="G2568" s="70"/>
      <c r="H2568" s="93"/>
      <c r="I2568" s="85"/>
      <c r="J2568" s="85"/>
      <c r="K2568" s="131"/>
      <c r="L2568" s="60"/>
      <c r="M2568" s="33"/>
    </row>
    <row r="2569" spans="1:26" x14ac:dyDescent="0.15">
      <c r="A2569" s="166"/>
      <c r="B2569" s="82"/>
      <c r="C2569" s="70"/>
      <c r="D2569" s="70"/>
      <c r="E2569" s="70"/>
      <c r="F2569" s="70"/>
      <c r="G2569" s="70"/>
      <c r="H2569" s="93"/>
      <c r="I2569" s="85"/>
      <c r="J2569" s="85"/>
      <c r="K2569" s="131"/>
      <c r="L2569" s="60"/>
      <c r="M2569" s="33"/>
    </row>
    <row r="2570" spans="1:26" x14ac:dyDescent="0.15">
      <c r="A2570" s="166"/>
      <c r="B2570" s="82"/>
      <c r="C2570" s="70"/>
      <c r="D2570" s="70"/>
      <c r="E2570" s="70"/>
      <c r="F2570" s="70"/>
      <c r="G2570" s="70"/>
      <c r="H2570" s="93"/>
      <c r="I2570" s="85"/>
      <c r="J2570" s="85"/>
      <c r="K2570" s="131"/>
      <c r="L2570" s="60"/>
      <c r="M2570" s="33"/>
      <c r="S2570"/>
      <c r="T2570"/>
      <c r="U2570"/>
      <c r="V2570"/>
      <c r="W2570"/>
      <c r="X2570"/>
      <c r="Y2570"/>
      <c r="Z2570"/>
    </row>
    <row r="2571" spans="1:26" x14ac:dyDescent="0.15">
      <c r="A2571" s="166"/>
      <c r="B2571" s="82"/>
      <c r="C2571" s="70"/>
      <c r="D2571" s="70"/>
      <c r="E2571" s="70"/>
      <c r="F2571" s="70"/>
      <c r="G2571" s="70"/>
      <c r="H2571" s="93"/>
      <c r="I2571" s="85"/>
      <c r="J2571" s="85"/>
      <c r="K2571" s="131"/>
      <c r="L2571" s="60"/>
      <c r="M2571" s="33"/>
    </row>
    <row r="2572" spans="1:26" x14ac:dyDescent="0.15">
      <c r="A2572" s="166"/>
      <c r="B2572" s="82"/>
      <c r="C2572" s="70"/>
      <c r="D2572" s="70"/>
      <c r="E2572" s="70"/>
      <c r="F2572" s="70"/>
      <c r="G2572" s="70"/>
      <c r="H2572" s="93"/>
      <c r="I2572" s="85"/>
      <c r="J2572" s="85"/>
      <c r="K2572" s="131"/>
      <c r="L2572" s="60"/>
      <c r="M2572" s="33"/>
    </row>
    <row r="2573" spans="1:26" x14ac:dyDescent="0.15">
      <c r="A2573" s="166"/>
      <c r="B2573" s="82"/>
      <c r="C2573" s="70"/>
      <c r="D2573" s="70"/>
      <c r="E2573" s="70"/>
      <c r="F2573" s="70"/>
      <c r="G2573" s="70"/>
      <c r="H2573" s="93"/>
      <c r="I2573" s="85"/>
      <c r="J2573" s="85"/>
      <c r="K2573" s="131"/>
      <c r="L2573" s="60"/>
      <c r="M2573" s="33"/>
    </row>
    <row r="2574" spans="1:26" x14ac:dyDescent="0.15">
      <c r="A2574" s="166"/>
      <c r="B2574" s="82"/>
      <c r="C2574" s="70"/>
      <c r="D2574" s="70"/>
      <c r="E2574" s="70"/>
      <c r="F2574" s="70"/>
      <c r="G2574" s="70"/>
      <c r="H2574" s="93"/>
      <c r="I2574" s="85"/>
      <c r="J2574" s="85"/>
      <c r="K2574" s="131"/>
      <c r="L2574" s="60"/>
      <c r="M2574" s="33"/>
    </row>
    <row r="2575" spans="1:26" x14ac:dyDescent="0.15">
      <c r="A2575" s="166"/>
      <c r="B2575" s="82"/>
      <c r="C2575" s="70"/>
      <c r="D2575" s="70"/>
      <c r="E2575" s="70"/>
      <c r="F2575" s="70"/>
      <c r="G2575" s="70"/>
      <c r="H2575" s="93"/>
      <c r="I2575" s="85"/>
      <c r="J2575" s="85"/>
      <c r="K2575" s="141"/>
      <c r="L2575" s="60"/>
      <c r="M2575" s="33"/>
    </row>
    <row r="2576" spans="1:26" x14ac:dyDescent="0.15">
      <c r="A2576" s="166"/>
      <c r="B2576" s="82"/>
      <c r="C2576" s="70"/>
      <c r="D2576" s="70"/>
      <c r="E2576" s="70"/>
      <c r="F2576" s="70"/>
      <c r="G2576" s="70"/>
      <c r="H2576" s="93"/>
      <c r="I2576" s="85"/>
      <c r="J2576" s="85"/>
      <c r="K2576" s="141"/>
      <c r="L2576" s="60"/>
      <c r="M2576" s="33"/>
    </row>
    <row r="2577" spans="1:14" x14ac:dyDescent="0.15">
      <c r="A2577" s="166"/>
      <c r="B2577" s="82"/>
      <c r="C2577" s="70"/>
      <c r="D2577" s="70"/>
      <c r="E2577" s="70"/>
      <c r="F2577" s="70"/>
      <c r="G2577" s="70"/>
      <c r="H2577" s="93"/>
      <c r="I2577" s="85"/>
      <c r="J2577" s="85"/>
      <c r="K2577" s="141"/>
      <c r="L2577" s="60"/>
      <c r="M2577" s="33"/>
    </row>
    <row r="2578" spans="1:14" x14ac:dyDescent="0.15">
      <c r="A2578" s="166"/>
      <c r="B2578" s="93"/>
      <c r="C2578" s="70"/>
      <c r="D2578" s="70"/>
      <c r="E2578" s="70"/>
      <c r="F2578" s="70"/>
      <c r="G2578" s="70"/>
      <c r="H2578" s="93"/>
      <c r="I2578" s="85"/>
      <c r="J2578" s="85"/>
      <c r="K2578" s="141"/>
      <c r="L2578" s="60"/>
      <c r="M2578" s="33"/>
    </row>
    <row r="2579" spans="1:14" x14ac:dyDescent="0.15">
      <c r="A2579" s="166"/>
      <c r="B2579" s="82"/>
      <c r="C2579" s="70"/>
      <c r="D2579" s="70"/>
      <c r="E2579" s="70"/>
      <c r="F2579" s="70"/>
      <c r="G2579" s="70"/>
      <c r="H2579" s="93"/>
      <c r="I2579" s="85"/>
      <c r="J2579" s="85"/>
      <c r="K2579" s="131"/>
      <c r="L2579" s="60"/>
      <c r="M2579" s="33"/>
    </row>
    <row r="2580" spans="1:14" x14ac:dyDescent="0.15">
      <c r="A2580" s="166"/>
      <c r="B2580" s="82"/>
      <c r="C2580" s="70"/>
      <c r="D2580" s="70"/>
      <c r="E2580" s="70"/>
      <c r="F2580" s="70"/>
      <c r="G2580" s="70"/>
      <c r="H2580" s="93"/>
      <c r="I2580" s="85"/>
      <c r="J2580" s="85"/>
      <c r="K2580" s="141"/>
      <c r="L2580" s="60"/>
      <c r="M2580" s="33"/>
    </row>
    <row r="2581" spans="1:14" x14ac:dyDescent="0.15">
      <c r="A2581" s="166"/>
      <c r="B2581" s="82"/>
      <c r="C2581" s="70"/>
      <c r="D2581" s="70"/>
      <c r="E2581" s="70"/>
      <c r="F2581" s="70"/>
      <c r="G2581" s="70"/>
      <c r="H2581" s="93"/>
      <c r="I2581" s="85"/>
      <c r="J2581" s="85"/>
      <c r="K2581" s="131"/>
      <c r="L2581" s="60"/>
      <c r="M2581" s="33"/>
    </row>
    <row r="2582" spans="1:14" ht="16" x14ac:dyDescent="0.2">
      <c r="A2582" s="166"/>
      <c r="B2582" s="82"/>
      <c r="C2582" s="70"/>
      <c r="D2582" s="70"/>
      <c r="E2582" s="70"/>
      <c r="F2582" s="70"/>
      <c r="G2582" s="70"/>
      <c r="H2582" s="93"/>
      <c r="I2582" s="85"/>
      <c r="J2582" s="85"/>
      <c r="K2582" s="141"/>
      <c r="L2582" s="60"/>
      <c r="M2582" s="33"/>
      <c r="N2582" s="48"/>
    </row>
    <row r="2583" spans="1:14" x14ac:dyDescent="0.15">
      <c r="A2583" s="166"/>
      <c r="B2583" s="82"/>
      <c r="C2583" s="70"/>
      <c r="D2583" s="70"/>
      <c r="E2583" s="70"/>
      <c r="F2583" s="70"/>
      <c r="G2583" s="70"/>
      <c r="H2583" s="93"/>
      <c r="I2583" s="85"/>
      <c r="J2583" s="85"/>
      <c r="K2583" s="141"/>
      <c r="L2583" s="60"/>
      <c r="M2583" s="33"/>
    </row>
    <row r="2584" spans="1:14" x14ac:dyDescent="0.15">
      <c r="A2584" s="166"/>
      <c r="B2584" s="82"/>
      <c r="C2584" s="70"/>
      <c r="D2584" s="70"/>
      <c r="E2584" s="70"/>
      <c r="F2584" s="70"/>
      <c r="G2584" s="70"/>
      <c r="H2584" s="93"/>
      <c r="I2584" s="85"/>
      <c r="J2584" s="85"/>
      <c r="K2584" s="131"/>
      <c r="L2584" s="60"/>
      <c r="M2584" s="33"/>
    </row>
    <row r="2585" spans="1:14" x14ac:dyDescent="0.15">
      <c r="A2585" s="166"/>
      <c r="B2585" s="82"/>
      <c r="C2585" s="70"/>
      <c r="D2585" s="70"/>
      <c r="E2585" s="70"/>
      <c r="F2585" s="70"/>
      <c r="G2585" s="70"/>
      <c r="H2585" s="93"/>
      <c r="I2585" s="85"/>
      <c r="J2585" s="85"/>
      <c r="K2585" s="141"/>
      <c r="L2585" s="60"/>
      <c r="M2585" s="33"/>
    </row>
    <row r="2586" spans="1:14" x14ac:dyDescent="0.15">
      <c r="A2586" s="166"/>
      <c r="B2586" s="82"/>
      <c r="C2586" s="70"/>
      <c r="D2586" s="70"/>
      <c r="E2586" s="70"/>
      <c r="F2586" s="70"/>
      <c r="G2586" s="70"/>
      <c r="H2586" s="93"/>
      <c r="I2586" s="85"/>
      <c r="J2586" s="85"/>
      <c r="K2586" s="131"/>
      <c r="L2586" s="60"/>
      <c r="M2586" s="33"/>
    </row>
    <row r="2587" spans="1:14" x14ac:dyDescent="0.15">
      <c r="A2587" s="166"/>
      <c r="B2587" s="82"/>
      <c r="C2587" s="70"/>
      <c r="D2587" s="70"/>
      <c r="E2587" s="70"/>
      <c r="F2587" s="70"/>
      <c r="G2587" s="70"/>
      <c r="H2587" s="93"/>
      <c r="I2587" s="85"/>
      <c r="J2587" s="85"/>
      <c r="K2587" s="141"/>
      <c r="L2587" s="60"/>
      <c r="M2587" s="33"/>
    </row>
    <row r="2588" spans="1:14" x14ac:dyDescent="0.15">
      <c r="A2588" s="166"/>
      <c r="B2588" s="82"/>
      <c r="C2588" s="70"/>
      <c r="D2588" s="70"/>
      <c r="E2588" s="70"/>
      <c r="F2588" s="70"/>
      <c r="G2588" s="70"/>
      <c r="H2588" s="93"/>
      <c r="I2588" s="85"/>
      <c r="J2588" s="85"/>
      <c r="K2588" s="131"/>
      <c r="L2588" s="60"/>
      <c r="M2588" s="33"/>
    </row>
    <row r="2589" spans="1:14" x14ac:dyDescent="0.15">
      <c r="A2589" s="166"/>
      <c r="B2589" s="82"/>
      <c r="C2589" s="70"/>
      <c r="D2589" s="70"/>
      <c r="E2589" s="70"/>
      <c r="F2589" s="70"/>
      <c r="G2589" s="70"/>
      <c r="H2589" s="93"/>
      <c r="I2589" s="85"/>
      <c r="J2589" s="85"/>
      <c r="K2589" s="141"/>
      <c r="L2589" s="60"/>
      <c r="M2589" s="33"/>
    </row>
    <row r="2590" spans="1:14" x14ac:dyDescent="0.15">
      <c r="A2590" s="166"/>
      <c r="B2590" s="82"/>
      <c r="C2590" s="70"/>
      <c r="D2590" s="70"/>
      <c r="E2590" s="70"/>
      <c r="F2590" s="70"/>
      <c r="G2590" s="70"/>
      <c r="H2590" s="93"/>
      <c r="I2590" s="85"/>
      <c r="J2590" s="85"/>
      <c r="K2590" s="131"/>
      <c r="L2590" s="60"/>
      <c r="M2590" s="33"/>
    </row>
    <row r="2591" spans="1:14" x14ac:dyDescent="0.15">
      <c r="A2591" s="166"/>
      <c r="B2591" s="82"/>
      <c r="C2591" s="70"/>
      <c r="D2591" s="70"/>
      <c r="E2591" s="70"/>
      <c r="F2591" s="70"/>
      <c r="G2591" s="70"/>
      <c r="H2591" s="93"/>
      <c r="I2591" s="85"/>
      <c r="J2591" s="85"/>
      <c r="K2591" s="131"/>
      <c r="L2591" s="60"/>
    </row>
    <row r="2592" spans="1:14" x14ac:dyDescent="0.15">
      <c r="A2592" s="166"/>
      <c r="B2592" s="82"/>
      <c r="C2592" s="70"/>
      <c r="D2592" s="70"/>
      <c r="E2592" s="70"/>
      <c r="F2592" s="70"/>
      <c r="G2592" s="70"/>
      <c r="H2592" s="93"/>
      <c r="I2592" s="85"/>
      <c r="J2592" s="85"/>
      <c r="K2592" s="131"/>
      <c r="L2592" s="60"/>
    </row>
    <row r="2593" spans="1:14" x14ac:dyDescent="0.15">
      <c r="A2593" s="166"/>
      <c r="B2593" s="82"/>
      <c r="C2593" s="70"/>
      <c r="D2593" s="70"/>
      <c r="E2593" s="70"/>
      <c r="F2593" s="70"/>
      <c r="G2593" s="70"/>
      <c r="H2593" s="93"/>
      <c r="I2593" s="85"/>
      <c r="J2593" s="85"/>
      <c r="K2593" s="131"/>
      <c r="L2593" s="60"/>
    </row>
    <row r="2594" spans="1:14" x14ac:dyDescent="0.15">
      <c r="A2594" s="166"/>
      <c r="B2594" s="82"/>
      <c r="C2594" s="70"/>
      <c r="D2594" s="70"/>
      <c r="E2594" s="70"/>
      <c r="F2594" s="70"/>
      <c r="G2594" s="70"/>
      <c r="H2594" s="93"/>
      <c r="I2594" s="85"/>
      <c r="J2594" s="85"/>
      <c r="K2594" s="131"/>
      <c r="L2594" s="60"/>
    </row>
    <row r="2595" spans="1:14" ht="16" x14ac:dyDescent="0.2">
      <c r="A2595" s="166"/>
      <c r="B2595" s="82"/>
      <c r="C2595" s="70"/>
      <c r="D2595" s="70"/>
      <c r="E2595" s="70"/>
      <c r="F2595" s="70"/>
      <c r="G2595" s="70"/>
      <c r="H2595" s="93"/>
      <c r="I2595" s="85"/>
      <c r="J2595" s="85"/>
      <c r="K2595" s="131"/>
      <c r="L2595" s="60"/>
      <c r="N2595" s="48"/>
    </row>
    <row r="2596" spans="1:14" x14ac:dyDescent="0.15">
      <c r="A2596" s="166"/>
      <c r="B2596" s="82"/>
      <c r="C2596" s="70"/>
      <c r="D2596" s="70"/>
      <c r="E2596" s="70"/>
      <c r="F2596" s="70"/>
      <c r="G2596" s="70"/>
      <c r="H2596" s="93"/>
      <c r="I2596" s="85"/>
      <c r="J2596" s="85"/>
      <c r="K2596" s="131"/>
      <c r="L2596" s="67"/>
    </row>
    <row r="2597" spans="1:14" x14ac:dyDescent="0.15">
      <c r="A2597" s="166"/>
      <c r="B2597" s="82"/>
      <c r="C2597" s="70"/>
      <c r="D2597" s="70"/>
      <c r="E2597" s="70"/>
      <c r="F2597" s="70"/>
      <c r="G2597" s="70"/>
      <c r="H2597" s="93"/>
      <c r="I2597" s="85"/>
      <c r="J2597" s="85"/>
      <c r="K2597" s="131"/>
      <c r="L2597" s="60"/>
    </row>
    <row r="2598" spans="1:14" x14ac:dyDescent="0.15">
      <c r="A2598" s="166"/>
      <c r="B2598" s="82"/>
      <c r="C2598" s="70"/>
      <c r="D2598" s="70"/>
      <c r="E2598" s="70"/>
      <c r="F2598" s="70"/>
      <c r="G2598" s="70"/>
      <c r="H2598" s="93"/>
      <c r="I2598" s="85"/>
      <c r="J2598" s="85"/>
      <c r="K2598" s="131"/>
      <c r="L2598" s="60"/>
    </row>
    <row r="2599" spans="1:14" x14ac:dyDescent="0.15">
      <c r="A2599" s="166"/>
      <c r="B2599" s="82"/>
      <c r="C2599" s="70"/>
      <c r="D2599" s="70"/>
      <c r="E2599" s="70"/>
      <c r="F2599" s="70"/>
      <c r="G2599" s="70"/>
      <c r="H2599" s="93"/>
      <c r="I2599" s="85"/>
      <c r="J2599" s="85"/>
      <c r="K2599" s="131"/>
      <c r="L2599" s="60"/>
    </row>
    <row r="2600" spans="1:14" x14ac:dyDescent="0.15">
      <c r="A2600" s="166"/>
      <c r="B2600" s="82"/>
      <c r="C2600" s="70"/>
      <c r="D2600" s="70"/>
      <c r="E2600" s="70"/>
      <c r="F2600" s="70"/>
      <c r="G2600" s="70"/>
      <c r="H2600" s="93"/>
      <c r="I2600" s="85"/>
      <c r="J2600" s="85"/>
      <c r="K2600" s="131"/>
      <c r="L2600" s="60"/>
    </row>
    <row r="2601" spans="1:14" ht="16" x14ac:dyDescent="0.2">
      <c r="A2601" s="166"/>
      <c r="B2601" s="82"/>
      <c r="C2601" s="70"/>
      <c r="D2601" s="70"/>
      <c r="E2601" s="70"/>
      <c r="F2601" s="70"/>
      <c r="G2601" s="70"/>
      <c r="H2601" s="93"/>
      <c r="I2601" s="85"/>
      <c r="J2601" s="85"/>
      <c r="K2601" s="131"/>
      <c r="L2601" s="60"/>
      <c r="N2601" s="48"/>
    </row>
    <row r="2602" spans="1:14" x14ac:dyDescent="0.15">
      <c r="A2602" s="166"/>
      <c r="B2602" s="82"/>
      <c r="C2602" s="70"/>
      <c r="D2602" s="70"/>
      <c r="E2602" s="70"/>
      <c r="F2602" s="70"/>
      <c r="G2602" s="70"/>
      <c r="H2602" s="93"/>
      <c r="I2602" s="85"/>
      <c r="J2602" s="85"/>
      <c r="K2602" s="131"/>
      <c r="L2602" s="60"/>
    </row>
    <row r="2603" spans="1:14" ht="16" x14ac:dyDescent="0.2">
      <c r="A2603" s="166"/>
      <c r="B2603" s="82"/>
      <c r="C2603" s="70"/>
      <c r="D2603" s="70"/>
      <c r="E2603" s="70"/>
      <c r="F2603" s="70"/>
      <c r="G2603" s="70"/>
      <c r="H2603" s="93"/>
      <c r="I2603" s="85"/>
      <c r="J2603" s="85"/>
      <c r="K2603" s="141"/>
      <c r="L2603" s="60"/>
      <c r="N2603" s="48"/>
    </row>
    <row r="2604" spans="1:14" x14ac:dyDescent="0.15">
      <c r="A2604" s="166"/>
      <c r="B2604" s="82"/>
      <c r="C2604" s="70"/>
      <c r="D2604" s="70"/>
      <c r="E2604" s="70"/>
      <c r="F2604" s="70"/>
      <c r="G2604" s="70"/>
      <c r="H2604" s="93"/>
      <c r="I2604" s="85"/>
      <c r="J2604" s="85"/>
      <c r="K2604" s="131"/>
      <c r="L2604" s="60"/>
    </row>
    <row r="2605" spans="1:14" ht="16" x14ac:dyDescent="0.2">
      <c r="A2605" s="166"/>
      <c r="B2605" s="82"/>
      <c r="C2605" s="70"/>
      <c r="D2605" s="70"/>
      <c r="E2605" s="70"/>
      <c r="F2605" s="70"/>
      <c r="G2605" s="70"/>
      <c r="H2605" s="93"/>
      <c r="I2605" s="85"/>
      <c r="J2605" s="85"/>
      <c r="K2605" s="131"/>
      <c r="L2605" s="60"/>
      <c r="N2605" s="48"/>
    </row>
    <row r="2606" spans="1:14" x14ac:dyDescent="0.15">
      <c r="A2606" s="166"/>
      <c r="B2606" s="96"/>
      <c r="C2606" s="70"/>
      <c r="D2606" s="70"/>
      <c r="E2606" s="70"/>
      <c r="F2606" s="70"/>
      <c r="G2606" s="70"/>
      <c r="H2606" s="93"/>
      <c r="I2606" s="85"/>
      <c r="J2606" s="110"/>
      <c r="K2606" s="134"/>
      <c r="L2606" s="63"/>
      <c r="M2606" s="33"/>
    </row>
    <row r="2607" spans="1:14" x14ac:dyDescent="0.15">
      <c r="A2607" s="166"/>
      <c r="B2607" s="82"/>
      <c r="C2607" s="70"/>
      <c r="D2607" s="70"/>
      <c r="E2607" s="70"/>
      <c r="F2607" s="70"/>
      <c r="G2607" s="70"/>
      <c r="H2607" s="93"/>
      <c r="I2607" s="85"/>
      <c r="J2607" s="85"/>
      <c r="K2607" s="141"/>
      <c r="L2607" s="60"/>
    </row>
    <row r="2608" spans="1:14" x14ac:dyDescent="0.15">
      <c r="A2608" s="166"/>
      <c r="B2608" s="82"/>
      <c r="C2608" s="70"/>
      <c r="D2608" s="70"/>
      <c r="E2608" s="70"/>
      <c r="F2608" s="70"/>
      <c r="G2608" s="70"/>
      <c r="H2608" s="93"/>
      <c r="I2608" s="85"/>
      <c r="J2608" s="85"/>
      <c r="K2608" s="131"/>
      <c r="L2608" s="60"/>
    </row>
    <row r="2609" spans="1:14" x14ac:dyDescent="0.15">
      <c r="A2609" s="166"/>
      <c r="B2609" s="82"/>
      <c r="C2609" s="70"/>
      <c r="D2609" s="70"/>
      <c r="E2609" s="70"/>
      <c r="F2609" s="70"/>
      <c r="G2609" s="70"/>
      <c r="H2609" s="93"/>
      <c r="I2609" s="85"/>
      <c r="J2609" s="85"/>
      <c r="K2609" s="131"/>
      <c r="L2609" s="60"/>
    </row>
    <row r="2610" spans="1:14" x14ac:dyDescent="0.15">
      <c r="A2610" s="166"/>
      <c r="B2610" s="82"/>
      <c r="C2610" s="70"/>
      <c r="D2610" s="70"/>
      <c r="E2610" s="70"/>
      <c r="F2610" s="70"/>
      <c r="G2610" s="70"/>
      <c r="H2610" s="93"/>
      <c r="I2610" s="85"/>
      <c r="J2610" s="85"/>
      <c r="K2610" s="131"/>
      <c r="L2610" s="60"/>
    </row>
    <row r="2611" spans="1:14" x14ac:dyDescent="0.15">
      <c r="A2611" s="166"/>
      <c r="B2611" s="82"/>
      <c r="C2611" s="70"/>
      <c r="D2611" s="70"/>
      <c r="E2611" s="70"/>
      <c r="F2611" s="70"/>
      <c r="G2611" s="70"/>
      <c r="H2611" s="93"/>
      <c r="I2611" s="85"/>
      <c r="J2611" s="85"/>
      <c r="K2611" s="131"/>
      <c r="L2611" s="60"/>
    </row>
    <row r="2612" spans="1:14" x14ac:dyDescent="0.15">
      <c r="A2612" s="166"/>
      <c r="B2612" s="82"/>
      <c r="C2612" s="70"/>
      <c r="D2612" s="70"/>
      <c r="E2612" s="70"/>
      <c r="F2612" s="70"/>
      <c r="G2612" s="70"/>
      <c r="H2612" s="93"/>
      <c r="I2612" s="85"/>
      <c r="J2612" s="85"/>
      <c r="K2612" s="131"/>
      <c r="L2612" s="60"/>
    </row>
    <row r="2613" spans="1:14" ht="16" x14ac:dyDescent="0.2">
      <c r="A2613" s="166"/>
      <c r="B2613" s="82"/>
      <c r="C2613" s="70"/>
      <c r="D2613" s="70"/>
      <c r="E2613" s="70"/>
      <c r="F2613" s="70"/>
      <c r="G2613" s="70"/>
      <c r="H2613" s="93"/>
      <c r="I2613" s="85"/>
      <c r="J2613" s="85"/>
      <c r="K2613" s="131"/>
      <c r="L2613" s="60"/>
      <c r="N2613" s="48"/>
    </row>
    <row r="2614" spans="1:14" x14ac:dyDescent="0.15">
      <c r="A2614" s="166"/>
      <c r="B2614" s="82"/>
      <c r="C2614" s="70"/>
      <c r="D2614" s="70"/>
      <c r="E2614" s="70"/>
      <c r="F2614" s="70"/>
      <c r="G2614" s="70"/>
      <c r="H2614" s="93"/>
      <c r="I2614" s="85"/>
      <c r="J2614" s="85"/>
      <c r="K2614" s="131"/>
      <c r="L2614" s="60"/>
    </row>
    <row r="2615" spans="1:14" x14ac:dyDescent="0.15">
      <c r="A2615" s="166"/>
      <c r="B2615" s="82"/>
      <c r="C2615" s="70"/>
      <c r="D2615" s="70"/>
      <c r="E2615" s="70"/>
      <c r="F2615" s="70"/>
      <c r="G2615" s="70"/>
      <c r="H2615" s="93"/>
      <c r="I2615" s="85"/>
      <c r="J2615" s="85"/>
      <c r="K2615" s="141"/>
      <c r="L2615" s="60"/>
      <c r="M2615" s="33"/>
    </row>
    <row r="2616" spans="1:14" x14ac:dyDescent="0.15">
      <c r="A2616" s="166"/>
      <c r="B2616" s="82"/>
      <c r="C2616" s="70"/>
      <c r="D2616" s="70"/>
      <c r="E2616" s="70"/>
      <c r="F2616" s="70"/>
      <c r="G2616" s="70"/>
      <c r="H2616" s="93"/>
      <c r="I2616" s="85"/>
      <c r="J2616" s="85"/>
      <c r="K2616" s="131"/>
      <c r="L2616" s="60"/>
    </row>
    <row r="2617" spans="1:14" x14ac:dyDescent="0.15">
      <c r="A2617" s="166"/>
      <c r="B2617" s="82"/>
      <c r="C2617" s="70"/>
      <c r="D2617" s="70"/>
      <c r="E2617" s="70"/>
      <c r="F2617" s="70"/>
      <c r="G2617" s="70"/>
      <c r="H2617" s="93"/>
      <c r="I2617" s="85"/>
      <c r="J2617" s="85"/>
      <c r="K2617" s="131"/>
      <c r="L2617" s="60"/>
    </row>
    <row r="2618" spans="1:14" x14ac:dyDescent="0.15">
      <c r="A2618" s="166"/>
      <c r="B2618" s="82"/>
      <c r="C2618" s="70"/>
      <c r="D2618" s="70"/>
      <c r="E2618" s="70"/>
      <c r="F2618" s="70"/>
      <c r="G2618" s="70"/>
      <c r="H2618" s="93"/>
      <c r="I2618" s="85"/>
      <c r="J2618" s="85"/>
      <c r="K2618" s="131"/>
      <c r="L2618" s="60"/>
    </row>
    <row r="2619" spans="1:14" x14ac:dyDescent="0.15">
      <c r="A2619" s="166"/>
      <c r="B2619" s="82"/>
      <c r="C2619" s="70"/>
      <c r="D2619" s="70"/>
      <c r="E2619" s="70"/>
      <c r="F2619" s="70"/>
      <c r="G2619" s="70"/>
      <c r="H2619" s="93"/>
      <c r="I2619" s="85"/>
      <c r="J2619" s="85"/>
      <c r="K2619" s="131"/>
      <c r="L2619" s="60"/>
      <c r="M2619" s="33"/>
    </row>
    <row r="2620" spans="1:14" x14ac:dyDescent="0.15">
      <c r="A2620" s="166"/>
      <c r="B2620" s="82"/>
      <c r="C2620" s="70"/>
      <c r="D2620" s="70"/>
      <c r="E2620" s="70"/>
      <c r="F2620" s="70"/>
      <c r="G2620" s="70"/>
      <c r="H2620" s="93"/>
      <c r="I2620" s="85"/>
      <c r="J2620" s="85"/>
      <c r="K2620" s="131"/>
      <c r="L2620" s="60"/>
      <c r="M2620" s="33"/>
    </row>
    <row r="2621" spans="1:14" x14ac:dyDescent="0.15">
      <c r="A2621" s="166"/>
      <c r="B2621" s="82"/>
      <c r="C2621" s="70"/>
      <c r="D2621" s="70"/>
      <c r="E2621" s="70"/>
      <c r="F2621" s="70"/>
      <c r="G2621" s="70"/>
      <c r="H2621" s="93"/>
      <c r="I2621" s="85"/>
      <c r="J2621" s="85"/>
      <c r="K2621" s="131"/>
      <c r="L2621" s="60"/>
    </row>
    <row r="2622" spans="1:14" ht="16" x14ac:dyDescent="0.2">
      <c r="A2622" s="166"/>
      <c r="B2622" s="82"/>
      <c r="C2622" s="70"/>
      <c r="D2622" s="70"/>
      <c r="E2622" s="70"/>
      <c r="F2622" s="70"/>
      <c r="G2622" s="70"/>
      <c r="H2622" s="93"/>
      <c r="I2622" s="85"/>
      <c r="J2622" s="85"/>
      <c r="K2622" s="135"/>
      <c r="L2622" s="60"/>
      <c r="N2622" s="48"/>
    </row>
    <row r="2623" spans="1:14" x14ac:dyDescent="0.15">
      <c r="A2623" s="166"/>
      <c r="B2623" s="82"/>
      <c r="C2623" s="70"/>
      <c r="D2623" s="70"/>
      <c r="E2623" s="70"/>
      <c r="F2623" s="70"/>
      <c r="G2623" s="70"/>
      <c r="H2623" s="93"/>
      <c r="I2623" s="85"/>
      <c r="J2623" s="85"/>
      <c r="K2623" s="131"/>
      <c r="L2623" s="60"/>
    </row>
    <row r="2624" spans="1:14" x14ac:dyDescent="0.15">
      <c r="A2624" s="166"/>
      <c r="B2624" s="82"/>
      <c r="C2624" s="70"/>
      <c r="D2624" s="70"/>
      <c r="E2624" s="70"/>
      <c r="F2624" s="70"/>
      <c r="G2624" s="70"/>
      <c r="H2624" s="93"/>
      <c r="I2624" s="85"/>
      <c r="J2624" s="85"/>
      <c r="K2624" s="131"/>
      <c r="L2624" s="60"/>
    </row>
    <row r="2625" spans="1:14" x14ac:dyDescent="0.15">
      <c r="A2625" s="166"/>
      <c r="B2625" s="82"/>
      <c r="C2625" s="70"/>
      <c r="D2625" s="70"/>
      <c r="E2625" s="70"/>
      <c r="F2625" s="70"/>
      <c r="G2625" s="70"/>
      <c r="H2625" s="93"/>
      <c r="I2625" s="85"/>
      <c r="J2625" s="85"/>
      <c r="K2625" s="141"/>
      <c r="L2625" s="60"/>
    </row>
    <row r="2626" spans="1:14" x14ac:dyDescent="0.15">
      <c r="A2626" s="166"/>
      <c r="B2626" s="82"/>
      <c r="C2626" s="70"/>
      <c r="D2626" s="70"/>
      <c r="E2626" s="70"/>
      <c r="F2626" s="70"/>
      <c r="G2626" s="70"/>
      <c r="H2626" s="93"/>
      <c r="I2626" s="85"/>
      <c r="J2626" s="85"/>
      <c r="K2626" s="131"/>
      <c r="L2626" s="60"/>
    </row>
    <row r="2627" spans="1:14" x14ac:dyDescent="0.15">
      <c r="A2627" s="166"/>
      <c r="B2627" s="82"/>
      <c r="C2627" s="70"/>
      <c r="D2627" s="70"/>
      <c r="E2627" s="70"/>
      <c r="F2627" s="70"/>
      <c r="G2627" s="70"/>
      <c r="H2627" s="93"/>
      <c r="I2627" s="85"/>
      <c r="J2627" s="85"/>
      <c r="K2627" s="141"/>
      <c r="L2627" s="60"/>
    </row>
    <row r="2628" spans="1:14" ht="16" x14ac:dyDescent="0.2">
      <c r="A2628" s="166"/>
      <c r="B2628" s="96"/>
      <c r="C2628" s="70"/>
      <c r="D2628" s="70"/>
      <c r="E2628" s="70"/>
      <c r="F2628" s="70"/>
      <c r="G2628" s="70"/>
      <c r="H2628" s="93"/>
      <c r="I2628" s="85"/>
      <c r="J2628" s="110"/>
      <c r="K2628" s="131"/>
      <c r="L2628" s="60"/>
      <c r="M2628" s="33"/>
      <c r="N2628" s="48"/>
    </row>
    <row r="2629" spans="1:14" x14ac:dyDescent="0.15">
      <c r="A2629" s="166"/>
      <c r="B2629" s="82"/>
      <c r="C2629" s="70"/>
      <c r="D2629" s="70"/>
      <c r="E2629" s="70"/>
      <c r="F2629" s="70"/>
      <c r="G2629" s="70"/>
      <c r="H2629" s="93"/>
      <c r="I2629" s="85"/>
      <c r="J2629" s="85"/>
      <c r="K2629" s="131"/>
      <c r="L2629" s="60"/>
      <c r="M2629" s="33"/>
    </row>
    <row r="2630" spans="1:14" x14ac:dyDescent="0.15">
      <c r="A2630" s="166"/>
      <c r="B2630" s="82"/>
      <c r="C2630" s="70"/>
      <c r="D2630" s="70"/>
      <c r="E2630" s="70"/>
      <c r="F2630" s="70"/>
      <c r="G2630" s="70"/>
      <c r="H2630" s="93"/>
      <c r="I2630" s="85"/>
      <c r="J2630" s="85"/>
      <c r="K2630" s="134"/>
      <c r="L2630" s="60"/>
    </row>
    <row r="2631" spans="1:14" x14ac:dyDescent="0.15">
      <c r="A2631" s="166"/>
      <c r="B2631" s="82"/>
      <c r="C2631" s="70"/>
      <c r="D2631" s="70"/>
      <c r="E2631" s="70"/>
      <c r="F2631" s="70"/>
      <c r="G2631" s="70"/>
      <c r="H2631" s="93"/>
      <c r="I2631" s="85"/>
      <c r="J2631" s="85"/>
      <c r="K2631" s="131"/>
      <c r="L2631" s="60"/>
    </row>
    <row r="2632" spans="1:14" x14ac:dyDescent="0.15">
      <c r="A2632" s="166"/>
      <c r="B2632" s="82"/>
      <c r="C2632" s="70"/>
      <c r="D2632" s="70"/>
      <c r="E2632" s="70"/>
      <c r="F2632" s="70"/>
      <c r="G2632" s="70"/>
      <c r="H2632" s="93"/>
      <c r="I2632" s="85"/>
      <c r="J2632" s="85"/>
      <c r="K2632" s="141"/>
      <c r="L2632" s="60"/>
    </row>
    <row r="2633" spans="1:14" ht="16" x14ac:dyDescent="0.2">
      <c r="A2633" s="166"/>
      <c r="B2633" s="82"/>
      <c r="C2633" s="70"/>
      <c r="D2633" s="70"/>
      <c r="E2633" s="70"/>
      <c r="F2633" s="70"/>
      <c r="G2633" s="70"/>
      <c r="H2633" s="93"/>
      <c r="I2633" s="85"/>
      <c r="J2633" s="85"/>
      <c r="K2633" s="131"/>
      <c r="L2633" s="60"/>
      <c r="N2633" s="48"/>
    </row>
    <row r="2634" spans="1:14" ht="16" x14ac:dyDescent="0.2">
      <c r="A2634" s="166"/>
      <c r="B2634" s="82"/>
      <c r="C2634" s="70"/>
      <c r="D2634" s="70"/>
      <c r="E2634" s="70"/>
      <c r="F2634" s="70"/>
      <c r="G2634" s="70"/>
      <c r="H2634" s="93"/>
      <c r="I2634" s="85"/>
      <c r="J2634" s="85"/>
      <c r="K2634" s="141"/>
      <c r="L2634" s="60"/>
      <c r="N2634" s="48"/>
    </row>
    <row r="2635" spans="1:14" x14ac:dyDescent="0.15">
      <c r="A2635" s="166"/>
      <c r="B2635" s="82"/>
      <c r="C2635" s="70"/>
      <c r="D2635" s="70"/>
      <c r="E2635" s="70"/>
      <c r="F2635" s="70"/>
      <c r="G2635" s="70"/>
      <c r="H2635" s="93"/>
      <c r="I2635" s="85"/>
      <c r="J2635" s="85"/>
      <c r="K2635" s="131"/>
      <c r="L2635" s="60"/>
    </row>
    <row r="2636" spans="1:14" x14ac:dyDescent="0.15">
      <c r="A2636" s="166"/>
      <c r="B2636" s="82"/>
      <c r="C2636" s="70"/>
      <c r="D2636" s="70"/>
      <c r="E2636" s="70"/>
      <c r="F2636" s="70"/>
      <c r="G2636" s="70"/>
      <c r="H2636" s="93"/>
      <c r="I2636" s="85"/>
      <c r="J2636" s="85"/>
      <c r="K2636" s="131"/>
      <c r="L2636" s="60"/>
    </row>
    <row r="2637" spans="1:14" ht="16" x14ac:dyDescent="0.2">
      <c r="A2637" s="166"/>
      <c r="B2637" s="82"/>
      <c r="C2637" s="70"/>
      <c r="D2637" s="70"/>
      <c r="E2637" s="70"/>
      <c r="F2637" s="70"/>
      <c r="G2637" s="70"/>
      <c r="H2637" s="93"/>
      <c r="I2637" s="85"/>
      <c r="J2637" s="85"/>
      <c r="K2637" s="131"/>
      <c r="L2637" s="60"/>
      <c r="N2637" s="48"/>
    </row>
    <row r="2638" spans="1:14" ht="16" x14ac:dyDescent="0.2">
      <c r="A2638" s="166"/>
      <c r="B2638" s="82"/>
      <c r="C2638" s="70"/>
      <c r="D2638" s="70"/>
      <c r="E2638" s="70"/>
      <c r="F2638" s="70"/>
      <c r="G2638" s="70"/>
      <c r="H2638" s="93"/>
      <c r="I2638" s="85"/>
      <c r="J2638" s="85"/>
      <c r="K2638" s="141"/>
      <c r="L2638" s="60"/>
      <c r="N2638" s="48"/>
    </row>
    <row r="2639" spans="1:14" x14ac:dyDescent="0.15">
      <c r="A2639" s="166"/>
      <c r="B2639" s="82"/>
      <c r="C2639" s="70"/>
      <c r="D2639" s="70"/>
      <c r="E2639" s="70"/>
      <c r="F2639" s="70"/>
      <c r="G2639" s="70"/>
      <c r="H2639" s="93"/>
      <c r="I2639" s="85"/>
      <c r="J2639" s="85"/>
      <c r="K2639" s="141"/>
      <c r="L2639" s="60"/>
    </row>
    <row r="2640" spans="1:14" x14ac:dyDescent="0.15">
      <c r="A2640" s="166"/>
      <c r="B2640" s="82"/>
      <c r="C2640" s="70"/>
      <c r="D2640" s="70"/>
      <c r="E2640" s="70"/>
      <c r="F2640" s="70"/>
      <c r="G2640" s="70"/>
      <c r="H2640" s="93"/>
      <c r="I2640" s="85"/>
      <c r="J2640" s="85"/>
      <c r="K2640" s="131"/>
      <c r="L2640" s="60"/>
    </row>
    <row r="2641" spans="1:14" x14ac:dyDescent="0.15">
      <c r="A2641" s="166"/>
      <c r="B2641" s="82"/>
      <c r="C2641" s="70"/>
      <c r="D2641" s="70"/>
      <c r="E2641" s="70"/>
      <c r="F2641" s="70"/>
      <c r="G2641" s="70"/>
      <c r="H2641" s="93"/>
      <c r="I2641" s="85"/>
      <c r="J2641" s="85"/>
      <c r="K2641" s="131"/>
      <c r="L2641" s="60"/>
      <c r="M2641" s="33"/>
    </row>
    <row r="2642" spans="1:14" x14ac:dyDescent="0.15">
      <c r="A2642" s="166"/>
      <c r="B2642" s="82"/>
      <c r="C2642" s="70"/>
      <c r="D2642" s="70"/>
      <c r="E2642" s="70"/>
      <c r="F2642" s="70"/>
      <c r="G2642" s="70"/>
      <c r="H2642" s="93"/>
      <c r="I2642" s="85"/>
      <c r="J2642" s="85"/>
      <c r="K2642" s="131"/>
      <c r="L2642" s="60"/>
      <c r="M2642" s="33"/>
    </row>
    <row r="2643" spans="1:14" x14ac:dyDescent="0.15">
      <c r="A2643" s="166"/>
      <c r="B2643" s="82"/>
      <c r="C2643" s="70"/>
      <c r="D2643" s="70"/>
      <c r="E2643" s="70"/>
      <c r="F2643" s="70"/>
      <c r="G2643" s="70"/>
      <c r="H2643" s="93"/>
      <c r="I2643" s="85"/>
      <c r="J2643" s="85"/>
      <c r="K2643" s="131"/>
      <c r="L2643" s="60"/>
    </row>
    <row r="2644" spans="1:14" x14ac:dyDescent="0.15">
      <c r="A2644" s="166"/>
      <c r="B2644" s="82"/>
      <c r="C2644" s="70"/>
      <c r="D2644" s="70"/>
      <c r="E2644" s="70"/>
      <c r="F2644" s="70"/>
      <c r="G2644" s="70"/>
      <c r="H2644" s="93"/>
      <c r="I2644" s="85"/>
      <c r="J2644" s="85"/>
      <c r="K2644" s="141"/>
      <c r="L2644" s="60"/>
    </row>
    <row r="2645" spans="1:14" x14ac:dyDescent="0.15">
      <c r="A2645" s="166"/>
      <c r="B2645" s="82"/>
      <c r="C2645" s="70"/>
      <c r="D2645" s="70"/>
      <c r="E2645" s="70"/>
      <c r="F2645" s="70"/>
      <c r="G2645" s="70"/>
      <c r="H2645" s="93"/>
      <c r="I2645" s="85"/>
      <c r="J2645" s="85"/>
      <c r="K2645" s="135"/>
      <c r="L2645" s="60"/>
    </row>
    <row r="2646" spans="1:14" ht="16" x14ac:dyDescent="0.2">
      <c r="A2646" s="166"/>
      <c r="B2646" s="82"/>
      <c r="C2646" s="70"/>
      <c r="D2646" s="70"/>
      <c r="E2646" s="70"/>
      <c r="F2646" s="70"/>
      <c r="G2646" s="70"/>
      <c r="H2646" s="93"/>
      <c r="I2646" s="85"/>
      <c r="J2646" s="110"/>
      <c r="K2646" s="134"/>
      <c r="L2646" s="63"/>
      <c r="M2646" s="33"/>
      <c r="N2646" s="55"/>
    </row>
    <row r="2647" spans="1:14" x14ac:dyDescent="0.15">
      <c r="A2647" s="166"/>
      <c r="B2647" s="82"/>
      <c r="C2647" s="70"/>
      <c r="D2647" s="70"/>
      <c r="E2647" s="70"/>
      <c r="F2647" s="70"/>
      <c r="G2647" s="70"/>
      <c r="H2647" s="93"/>
      <c r="I2647" s="85"/>
      <c r="J2647" s="85"/>
      <c r="K2647" s="131"/>
      <c r="L2647" s="60"/>
    </row>
    <row r="2648" spans="1:14" x14ac:dyDescent="0.15">
      <c r="A2648" s="166"/>
      <c r="B2648" s="93"/>
      <c r="C2648" s="70"/>
      <c r="D2648" s="70"/>
      <c r="E2648" s="70"/>
      <c r="F2648" s="70"/>
      <c r="G2648" s="70"/>
      <c r="H2648" s="93"/>
      <c r="I2648" s="85"/>
      <c r="J2648" s="85"/>
      <c r="K2648" s="131"/>
      <c r="L2648" s="60"/>
      <c r="M2648" s="33"/>
    </row>
    <row r="2649" spans="1:14" x14ac:dyDescent="0.15">
      <c r="A2649" s="166"/>
      <c r="B2649" s="93"/>
      <c r="C2649" s="70"/>
      <c r="D2649" s="70"/>
      <c r="E2649" s="70"/>
      <c r="F2649" s="70"/>
      <c r="G2649" s="70"/>
      <c r="H2649" s="93"/>
      <c r="I2649" s="85"/>
      <c r="J2649" s="85"/>
      <c r="K2649" s="131"/>
      <c r="L2649" s="60"/>
      <c r="M2649" s="33"/>
    </row>
    <row r="2650" spans="1:14" ht="16" x14ac:dyDescent="0.2">
      <c r="A2650" s="166"/>
      <c r="B2650" s="93"/>
      <c r="C2650" s="70"/>
      <c r="D2650" s="70"/>
      <c r="E2650" s="70"/>
      <c r="F2650" s="70"/>
      <c r="G2650" s="70"/>
      <c r="H2650" s="93"/>
      <c r="I2650" s="85"/>
      <c r="J2650" s="85"/>
      <c r="K2650" s="131"/>
      <c r="L2650" s="60"/>
      <c r="M2650" s="47"/>
    </row>
    <row r="2651" spans="1:14" ht="16" x14ac:dyDescent="0.2">
      <c r="A2651" s="166"/>
      <c r="B2651" s="93"/>
      <c r="C2651" s="70"/>
      <c r="D2651" s="70"/>
      <c r="E2651" s="70"/>
      <c r="F2651" s="70"/>
      <c r="G2651" s="70"/>
      <c r="H2651" s="93"/>
      <c r="I2651" s="85"/>
      <c r="J2651" s="85"/>
      <c r="K2651" s="135"/>
      <c r="L2651" s="60"/>
      <c r="M2651" s="33"/>
      <c r="N2651" s="48"/>
    </row>
    <row r="2652" spans="1:14" x14ac:dyDescent="0.15">
      <c r="A2652" s="166"/>
      <c r="B2652" s="93"/>
      <c r="C2652" s="70"/>
      <c r="D2652" s="70"/>
      <c r="E2652" s="70"/>
      <c r="F2652" s="70"/>
      <c r="G2652" s="70"/>
      <c r="H2652" s="93"/>
      <c r="I2652" s="85"/>
      <c r="J2652" s="85"/>
      <c r="K2652" s="141"/>
      <c r="L2652" s="60"/>
      <c r="M2652" s="33"/>
    </row>
    <row r="2653" spans="1:14" x14ac:dyDescent="0.15">
      <c r="A2653" s="166"/>
      <c r="B2653" s="93"/>
      <c r="C2653" s="70"/>
      <c r="D2653" s="70"/>
      <c r="E2653" s="70"/>
      <c r="F2653" s="70"/>
      <c r="G2653" s="70"/>
      <c r="H2653" s="93"/>
      <c r="I2653" s="85"/>
      <c r="J2653" s="85"/>
      <c r="K2653" s="141"/>
      <c r="L2653" s="60"/>
      <c r="M2653" s="33"/>
    </row>
    <row r="2654" spans="1:14" x14ac:dyDescent="0.15">
      <c r="A2654" s="166"/>
      <c r="B2654" s="93"/>
      <c r="C2654" s="70"/>
      <c r="D2654" s="70"/>
      <c r="E2654" s="70"/>
      <c r="F2654" s="70"/>
      <c r="G2654" s="70"/>
      <c r="H2654" s="93"/>
      <c r="I2654" s="85"/>
      <c r="J2654" s="85"/>
      <c r="K2654" s="141"/>
      <c r="L2654" s="60"/>
      <c r="M2654" s="33"/>
    </row>
    <row r="2655" spans="1:14" x14ac:dyDescent="0.15">
      <c r="A2655" s="166"/>
      <c r="B2655" s="93"/>
      <c r="C2655" s="70"/>
      <c r="D2655" s="70"/>
      <c r="E2655" s="70"/>
      <c r="F2655" s="70"/>
      <c r="G2655" s="70"/>
      <c r="H2655" s="93"/>
      <c r="I2655" s="85"/>
      <c r="J2655" s="85"/>
      <c r="K2655" s="135"/>
      <c r="L2655" s="60"/>
      <c r="M2655" s="33"/>
    </row>
    <row r="2656" spans="1:14" x14ac:dyDescent="0.15">
      <c r="A2656" s="166"/>
      <c r="B2656" s="93"/>
      <c r="C2656" s="70"/>
      <c r="D2656" s="70"/>
      <c r="E2656" s="70"/>
      <c r="F2656" s="70"/>
      <c r="G2656" s="70"/>
      <c r="H2656" s="93"/>
      <c r="I2656" s="85"/>
      <c r="J2656" s="85"/>
      <c r="K2656" s="131"/>
      <c r="L2656" s="60"/>
      <c r="M2656" s="33"/>
    </row>
    <row r="2657" spans="1:14" x14ac:dyDescent="0.15">
      <c r="A2657" s="166"/>
      <c r="B2657" s="93"/>
      <c r="C2657" s="70"/>
      <c r="D2657" s="70"/>
      <c r="E2657" s="70"/>
      <c r="F2657" s="70"/>
      <c r="G2657" s="70"/>
      <c r="H2657" s="93"/>
      <c r="I2657" s="85"/>
      <c r="J2657" s="85"/>
      <c r="K2657" s="141"/>
      <c r="L2657" s="60"/>
      <c r="M2657" s="33"/>
    </row>
    <row r="2658" spans="1:14" x14ac:dyDescent="0.15">
      <c r="A2658" s="166"/>
      <c r="B2658" s="82"/>
      <c r="C2658" s="70"/>
      <c r="D2658" s="70"/>
      <c r="E2658" s="70"/>
      <c r="F2658" s="70"/>
      <c r="G2658" s="70"/>
      <c r="H2658" s="93"/>
      <c r="I2658" s="85"/>
      <c r="J2658" s="85"/>
      <c r="K2658" s="131"/>
      <c r="L2658" s="60"/>
    </row>
    <row r="2659" spans="1:14" x14ac:dyDescent="0.15">
      <c r="A2659" s="166"/>
      <c r="B2659" s="82"/>
      <c r="C2659" s="70"/>
      <c r="D2659" s="70"/>
      <c r="E2659" s="70"/>
      <c r="F2659" s="70"/>
      <c r="G2659" s="70"/>
      <c r="H2659" s="93"/>
      <c r="I2659" s="85"/>
      <c r="J2659" s="85"/>
      <c r="K2659" s="131"/>
      <c r="L2659" s="60"/>
    </row>
    <row r="2660" spans="1:14" ht="16" x14ac:dyDescent="0.2">
      <c r="A2660" s="166"/>
      <c r="B2660" s="93"/>
      <c r="C2660" s="70"/>
      <c r="D2660" s="70"/>
      <c r="E2660" s="70"/>
      <c r="F2660" s="70"/>
      <c r="G2660" s="70"/>
      <c r="H2660" s="93"/>
      <c r="I2660" s="85"/>
      <c r="J2660" s="85"/>
      <c r="K2660" s="131"/>
      <c r="L2660" s="60"/>
      <c r="M2660" s="33"/>
      <c r="N2660" s="48"/>
    </row>
    <row r="2661" spans="1:14" x14ac:dyDescent="0.15">
      <c r="A2661" s="166"/>
      <c r="B2661" s="93"/>
      <c r="C2661" s="70"/>
      <c r="D2661" s="70"/>
      <c r="E2661" s="70"/>
      <c r="F2661" s="70"/>
      <c r="G2661" s="70"/>
      <c r="H2661" s="93"/>
      <c r="I2661" s="85"/>
      <c r="J2661" s="85"/>
      <c r="K2661" s="131"/>
      <c r="L2661" s="60"/>
      <c r="M2661" s="33"/>
    </row>
    <row r="2662" spans="1:14" x14ac:dyDescent="0.15">
      <c r="A2662" s="166"/>
      <c r="B2662" s="93"/>
      <c r="C2662" s="70"/>
      <c r="D2662" s="70"/>
      <c r="E2662" s="70"/>
      <c r="F2662" s="70"/>
      <c r="G2662" s="70"/>
      <c r="H2662" s="93"/>
      <c r="I2662" s="85"/>
      <c r="J2662" s="85"/>
      <c r="K2662" s="131"/>
      <c r="L2662" s="60"/>
      <c r="M2662" s="33"/>
    </row>
    <row r="2663" spans="1:14" ht="16" x14ac:dyDescent="0.2">
      <c r="A2663" s="166"/>
      <c r="B2663" s="82"/>
      <c r="C2663" s="70"/>
      <c r="D2663" s="70"/>
      <c r="E2663" s="70"/>
      <c r="F2663" s="70"/>
      <c r="G2663" s="70"/>
      <c r="H2663" s="93"/>
      <c r="I2663" s="85"/>
      <c r="J2663" s="85"/>
      <c r="K2663" s="131"/>
      <c r="L2663" s="60"/>
      <c r="N2663" s="48"/>
    </row>
    <row r="2664" spans="1:14" x14ac:dyDescent="0.15">
      <c r="A2664" s="166"/>
      <c r="B2664" s="82"/>
      <c r="C2664" s="73"/>
      <c r="D2664" s="73"/>
      <c r="E2664" s="70"/>
      <c r="F2664" s="73"/>
      <c r="G2664" s="73"/>
      <c r="H2664" s="108"/>
      <c r="I2664" s="85"/>
      <c r="J2664" s="95"/>
      <c r="K2664" s="131"/>
      <c r="L2664" s="60"/>
    </row>
    <row r="2665" spans="1:14" x14ac:dyDescent="0.15">
      <c r="A2665" s="166"/>
      <c r="B2665" s="82"/>
      <c r="C2665" s="70"/>
      <c r="D2665" s="70"/>
      <c r="E2665" s="70"/>
      <c r="F2665" s="70"/>
      <c r="G2665" s="70"/>
      <c r="H2665" s="93"/>
      <c r="I2665" s="85"/>
      <c r="J2665" s="85"/>
      <c r="K2665" s="131"/>
      <c r="L2665" s="60"/>
    </row>
    <row r="2666" spans="1:14" x14ac:dyDescent="0.15">
      <c r="A2666" s="166"/>
      <c r="B2666" s="82"/>
      <c r="C2666" s="70"/>
      <c r="D2666" s="70"/>
      <c r="E2666" s="70"/>
      <c r="F2666" s="70"/>
      <c r="G2666" s="70"/>
      <c r="H2666" s="93"/>
      <c r="I2666" s="85"/>
      <c r="J2666" s="85"/>
      <c r="K2666" s="131"/>
      <c r="L2666" s="60"/>
    </row>
    <row r="2667" spans="1:14" x14ac:dyDescent="0.15">
      <c r="A2667" s="166"/>
      <c r="B2667" s="82"/>
      <c r="C2667" s="70"/>
      <c r="D2667" s="70"/>
      <c r="E2667" s="70"/>
      <c r="F2667" s="70"/>
      <c r="G2667" s="70"/>
      <c r="H2667" s="93"/>
      <c r="I2667" s="85"/>
      <c r="J2667" s="85"/>
      <c r="K2667" s="131"/>
      <c r="L2667" s="60"/>
    </row>
    <row r="2668" spans="1:14" x14ac:dyDescent="0.15">
      <c r="A2668" s="166"/>
      <c r="B2668" s="96"/>
      <c r="C2668" s="70"/>
      <c r="D2668" s="70"/>
      <c r="E2668" s="70"/>
      <c r="F2668" s="70"/>
      <c r="G2668" s="70"/>
      <c r="H2668" s="93"/>
      <c r="I2668" s="85"/>
      <c r="J2668" s="85"/>
      <c r="K2668" s="131"/>
      <c r="L2668" s="60"/>
    </row>
    <row r="2669" spans="1:14" x14ac:dyDescent="0.15">
      <c r="A2669" s="166"/>
      <c r="B2669" s="82"/>
      <c r="C2669" s="70"/>
      <c r="D2669" s="70"/>
      <c r="E2669" s="70"/>
      <c r="F2669" s="70"/>
      <c r="G2669" s="70"/>
      <c r="H2669" s="93"/>
      <c r="I2669" s="85"/>
      <c r="J2669" s="85"/>
      <c r="K2669" s="131"/>
      <c r="L2669" s="60"/>
    </row>
    <row r="2670" spans="1:14" x14ac:dyDescent="0.15">
      <c r="A2670" s="166"/>
      <c r="B2670" s="82"/>
      <c r="C2670" s="70"/>
      <c r="D2670" s="70"/>
      <c r="E2670" s="70"/>
      <c r="F2670" s="70"/>
      <c r="G2670" s="70"/>
      <c r="H2670" s="93"/>
      <c r="I2670" s="85"/>
      <c r="J2670" s="85"/>
      <c r="K2670" s="131"/>
      <c r="L2670" s="60"/>
    </row>
    <row r="2671" spans="1:14" x14ac:dyDescent="0.15">
      <c r="A2671" s="166"/>
      <c r="B2671" s="93"/>
      <c r="C2671" s="70"/>
      <c r="D2671" s="70"/>
      <c r="E2671" s="73"/>
      <c r="F2671" s="70"/>
      <c r="G2671" s="70"/>
      <c r="H2671" s="93"/>
      <c r="I2671" s="85"/>
      <c r="J2671" s="85"/>
      <c r="K2671" s="131"/>
      <c r="L2671" s="60"/>
    </row>
    <row r="2672" spans="1:14" x14ac:dyDescent="0.15">
      <c r="A2672" s="166"/>
      <c r="B2672" s="93"/>
      <c r="C2672" s="70"/>
      <c r="D2672" s="70"/>
      <c r="E2672" s="70"/>
      <c r="F2672" s="70"/>
      <c r="G2672" s="70"/>
      <c r="H2672" s="93"/>
      <c r="I2672" s="85"/>
      <c r="J2672" s="85"/>
      <c r="K2672" s="131"/>
      <c r="L2672" s="60"/>
    </row>
    <row r="2673" spans="1:14" x14ac:dyDescent="0.15">
      <c r="A2673" s="166"/>
      <c r="B2673" s="93"/>
      <c r="C2673" s="70"/>
      <c r="D2673" s="70"/>
      <c r="E2673" s="70"/>
      <c r="F2673" s="70"/>
      <c r="G2673" s="70"/>
      <c r="H2673" s="93"/>
      <c r="I2673" s="85"/>
      <c r="J2673" s="85"/>
      <c r="K2673" s="131"/>
      <c r="L2673" s="60"/>
      <c r="M2673" s="33"/>
    </row>
    <row r="2674" spans="1:14" x14ac:dyDescent="0.15">
      <c r="A2674" s="166"/>
      <c r="B2674" s="93"/>
      <c r="C2674" s="70"/>
      <c r="D2674" s="70"/>
      <c r="E2674" s="70"/>
      <c r="F2674" s="70"/>
      <c r="G2674" s="70"/>
      <c r="H2674" s="93"/>
      <c r="I2674" s="85"/>
      <c r="J2674" s="85"/>
      <c r="K2674" s="131"/>
      <c r="L2674" s="60"/>
      <c r="M2674" s="33"/>
    </row>
    <row r="2675" spans="1:14" x14ac:dyDescent="0.15">
      <c r="A2675" s="166"/>
      <c r="B2675" s="93"/>
      <c r="C2675" s="70"/>
      <c r="D2675" s="70"/>
      <c r="E2675" s="70"/>
      <c r="F2675" s="70"/>
      <c r="G2675" s="70"/>
      <c r="H2675" s="93"/>
      <c r="I2675" s="85"/>
      <c r="J2675" s="85"/>
      <c r="K2675" s="131"/>
      <c r="L2675" s="60"/>
      <c r="M2675" s="33"/>
    </row>
    <row r="2676" spans="1:14" x14ac:dyDescent="0.15">
      <c r="A2676" s="166"/>
      <c r="B2676" s="93"/>
      <c r="C2676" s="70"/>
      <c r="D2676" s="70"/>
      <c r="E2676" s="70"/>
      <c r="F2676" s="70"/>
      <c r="G2676" s="70"/>
      <c r="H2676" s="93"/>
      <c r="I2676" s="85"/>
      <c r="J2676" s="85"/>
      <c r="K2676" s="131"/>
      <c r="L2676" s="60"/>
      <c r="M2676" s="33"/>
    </row>
    <row r="2677" spans="1:14" ht="14" x14ac:dyDescent="0.15">
      <c r="A2677" s="166"/>
      <c r="B2677" s="93"/>
      <c r="C2677" s="73"/>
      <c r="D2677" s="73"/>
      <c r="E2677" s="73"/>
      <c r="F2677" s="73"/>
      <c r="G2677" s="73"/>
      <c r="H2677" s="108"/>
      <c r="I2677" s="95"/>
      <c r="J2677" s="112"/>
      <c r="K2677" s="134"/>
      <c r="L2677" s="63"/>
      <c r="M2677" s="33"/>
    </row>
    <row r="2678" spans="1:14" x14ac:dyDescent="0.15">
      <c r="A2678" s="166"/>
      <c r="B2678" s="82"/>
      <c r="C2678" s="70"/>
      <c r="D2678" s="70"/>
      <c r="E2678" s="70"/>
      <c r="F2678" s="70"/>
      <c r="G2678" s="70"/>
      <c r="H2678" s="93"/>
      <c r="I2678" s="85"/>
      <c r="J2678" s="85"/>
      <c r="K2678" s="131"/>
      <c r="L2678" s="60"/>
    </row>
    <row r="2679" spans="1:14" ht="16" x14ac:dyDescent="0.2">
      <c r="A2679" s="166"/>
      <c r="B2679" s="93"/>
      <c r="C2679" s="70"/>
      <c r="D2679" s="70"/>
      <c r="E2679" s="70"/>
      <c r="F2679" s="70"/>
      <c r="G2679" s="70"/>
      <c r="H2679" s="93"/>
      <c r="I2679" s="85"/>
      <c r="J2679" s="85"/>
      <c r="K2679" s="131"/>
      <c r="L2679" s="60"/>
      <c r="M2679" s="33"/>
      <c r="N2679" s="48"/>
    </row>
    <row r="2680" spans="1:14" x14ac:dyDescent="0.15">
      <c r="A2680" s="166"/>
      <c r="B2680" s="82"/>
      <c r="C2680" s="70"/>
      <c r="D2680" s="70"/>
      <c r="E2680" s="70"/>
      <c r="F2680" s="70"/>
      <c r="G2680" s="70"/>
      <c r="H2680" s="93"/>
      <c r="I2680" s="85"/>
      <c r="J2680" s="85"/>
      <c r="K2680" s="131"/>
      <c r="L2680" s="60"/>
    </row>
    <row r="2681" spans="1:14" ht="14" x14ac:dyDescent="0.15">
      <c r="A2681" s="166"/>
      <c r="B2681" s="93"/>
      <c r="C2681" s="70"/>
      <c r="D2681" s="70"/>
      <c r="E2681" s="70"/>
      <c r="F2681" s="70"/>
      <c r="G2681" s="70"/>
      <c r="H2681" s="93"/>
      <c r="I2681" s="85"/>
      <c r="J2681" s="113"/>
      <c r="K2681" s="131"/>
      <c r="L2681" s="60"/>
      <c r="M2681" s="33"/>
    </row>
    <row r="2682" spans="1:14" x14ac:dyDescent="0.15">
      <c r="A2682" s="166"/>
      <c r="B2682" s="82"/>
      <c r="C2682" s="70"/>
      <c r="D2682" s="70"/>
      <c r="E2682" s="70"/>
      <c r="F2682" s="70"/>
      <c r="G2682" s="70"/>
      <c r="H2682" s="93"/>
      <c r="I2682" s="85"/>
      <c r="J2682" s="85"/>
      <c r="K2682" s="131"/>
      <c r="L2682" s="60"/>
    </row>
    <row r="2683" spans="1:14" x14ac:dyDescent="0.15">
      <c r="A2683" s="166"/>
      <c r="B2683" s="82"/>
      <c r="C2683" s="70"/>
      <c r="D2683" s="70"/>
      <c r="E2683" s="70"/>
      <c r="F2683" s="70"/>
      <c r="G2683" s="70"/>
      <c r="H2683" s="93"/>
      <c r="I2683" s="85"/>
      <c r="J2683" s="85"/>
      <c r="K2683" s="141"/>
      <c r="L2683" s="60"/>
    </row>
    <row r="2684" spans="1:14" x14ac:dyDescent="0.15">
      <c r="A2684" s="166"/>
      <c r="B2684" s="82"/>
      <c r="C2684" s="70"/>
      <c r="D2684" s="70"/>
      <c r="E2684" s="70"/>
      <c r="F2684" s="70"/>
      <c r="G2684" s="70"/>
      <c r="H2684" s="93"/>
      <c r="I2684" s="85"/>
      <c r="J2684" s="85"/>
      <c r="K2684" s="141"/>
      <c r="L2684" s="60"/>
    </row>
    <row r="2685" spans="1:14" x14ac:dyDescent="0.15">
      <c r="A2685" s="166"/>
      <c r="B2685" s="82"/>
      <c r="C2685" s="70"/>
      <c r="D2685" s="70"/>
      <c r="E2685" s="70"/>
      <c r="F2685" s="70"/>
      <c r="G2685" s="70"/>
      <c r="H2685" s="93"/>
      <c r="I2685" s="85"/>
      <c r="J2685" s="85"/>
      <c r="K2685" s="131"/>
      <c r="L2685" s="60"/>
    </row>
    <row r="2686" spans="1:14" ht="16" x14ac:dyDescent="0.2">
      <c r="A2686" s="166"/>
      <c r="B2686" s="82"/>
      <c r="C2686" s="70"/>
      <c r="D2686" s="70"/>
      <c r="E2686" s="70"/>
      <c r="F2686" s="70"/>
      <c r="G2686" s="70"/>
      <c r="H2686" s="93"/>
      <c r="I2686" s="85"/>
      <c r="J2686" s="85"/>
      <c r="K2686" s="131"/>
      <c r="L2686" s="60"/>
      <c r="M2686" s="47"/>
    </row>
    <row r="2687" spans="1:14" x14ac:dyDescent="0.15">
      <c r="A2687" s="166"/>
      <c r="B2687" s="82"/>
      <c r="C2687" s="70"/>
      <c r="D2687" s="70"/>
      <c r="E2687" s="70"/>
      <c r="F2687" s="70"/>
      <c r="G2687" s="70"/>
      <c r="H2687" s="93"/>
      <c r="I2687" s="85"/>
      <c r="J2687" s="85"/>
      <c r="K2687" s="131"/>
      <c r="L2687" s="60"/>
      <c r="M2687" s="33"/>
    </row>
    <row r="2688" spans="1:14" x14ac:dyDescent="0.15">
      <c r="A2688" s="166"/>
      <c r="B2688" s="82"/>
      <c r="C2688" s="70"/>
      <c r="D2688" s="70"/>
      <c r="E2688" s="70"/>
      <c r="F2688" s="70"/>
      <c r="G2688" s="70"/>
      <c r="H2688" s="93"/>
      <c r="I2688" s="85"/>
      <c r="J2688" s="85"/>
      <c r="K2688" s="131"/>
      <c r="L2688" s="60"/>
    </row>
    <row r="2689" spans="1:14" x14ac:dyDescent="0.15">
      <c r="A2689" s="166"/>
      <c r="B2689" s="82"/>
      <c r="C2689" s="70"/>
      <c r="D2689" s="70"/>
      <c r="E2689" s="70"/>
      <c r="F2689" s="70"/>
      <c r="G2689" s="70"/>
      <c r="H2689" s="93"/>
      <c r="I2689" s="85"/>
      <c r="J2689" s="85"/>
      <c r="K2689" s="131"/>
      <c r="L2689" s="60"/>
    </row>
    <row r="2690" spans="1:14" x14ac:dyDescent="0.15">
      <c r="A2690" s="166"/>
      <c r="B2690" s="93"/>
      <c r="C2690" s="70"/>
      <c r="D2690" s="70"/>
      <c r="E2690" s="70"/>
      <c r="F2690" s="70"/>
      <c r="G2690" s="70"/>
      <c r="H2690" s="93"/>
      <c r="I2690" s="85"/>
      <c r="J2690" s="85"/>
      <c r="K2690" s="131"/>
      <c r="L2690" s="60"/>
      <c r="M2690" s="33"/>
    </row>
    <row r="2691" spans="1:14" x14ac:dyDescent="0.15">
      <c r="A2691" s="166"/>
      <c r="B2691" s="93"/>
      <c r="C2691" s="70"/>
      <c r="D2691" s="70"/>
      <c r="E2691" s="70"/>
      <c r="F2691" s="70"/>
      <c r="G2691" s="70"/>
      <c r="H2691" s="93"/>
      <c r="I2691" s="85"/>
      <c r="J2691" s="85"/>
      <c r="K2691" s="131"/>
      <c r="L2691" s="60"/>
      <c r="M2691" s="52"/>
    </row>
    <row r="2692" spans="1:14" ht="16" x14ac:dyDescent="0.2">
      <c r="A2692" s="166"/>
      <c r="B2692" s="82"/>
      <c r="C2692" s="70"/>
      <c r="D2692" s="70"/>
      <c r="E2692" s="70"/>
      <c r="F2692" s="70"/>
      <c r="G2692" s="70"/>
      <c r="H2692" s="93"/>
      <c r="I2692" s="85"/>
      <c r="J2692" s="85"/>
      <c r="K2692" s="131"/>
      <c r="L2692" s="60"/>
      <c r="M2692" s="47"/>
    </row>
    <row r="2693" spans="1:14" x14ac:dyDescent="0.15">
      <c r="A2693" s="166"/>
      <c r="B2693" s="82"/>
      <c r="C2693" s="70"/>
      <c r="D2693" s="70"/>
      <c r="E2693" s="70"/>
      <c r="F2693" s="70"/>
      <c r="G2693" s="70"/>
      <c r="H2693" s="93"/>
      <c r="I2693" s="85"/>
      <c r="J2693" s="85"/>
      <c r="K2693" s="131"/>
      <c r="L2693" s="60"/>
    </row>
    <row r="2694" spans="1:14" x14ac:dyDescent="0.15">
      <c r="A2694" s="166"/>
      <c r="B2694" s="82"/>
      <c r="C2694" s="70"/>
      <c r="D2694" s="70"/>
      <c r="E2694" s="70"/>
      <c r="F2694" s="70"/>
      <c r="G2694" s="70"/>
      <c r="H2694" s="93"/>
      <c r="I2694" s="85"/>
      <c r="J2694" s="85"/>
      <c r="K2694" s="131"/>
      <c r="L2694" s="60"/>
    </row>
    <row r="2695" spans="1:14" ht="16" x14ac:dyDescent="0.2">
      <c r="A2695" s="166"/>
      <c r="B2695" s="82"/>
      <c r="C2695" s="70"/>
      <c r="D2695" s="70"/>
      <c r="E2695" s="70"/>
      <c r="F2695" s="70"/>
      <c r="G2695" s="70"/>
      <c r="H2695" s="93"/>
      <c r="I2695" s="85"/>
      <c r="J2695" s="85"/>
      <c r="K2695" s="131"/>
      <c r="L2695" s="60"/>
      <c r="M2695" s="47"/>
    </row>
    <row r="2696" spans="1:14" x14ac:dyDescent="0.15">
      <c r="A2696" s="166"/>
      <c r="B2696" s="82"/>
      <c r="C2696" s="70"/>
      <c r="D2696" s="70"/>
      <c r="E2696" s="70"/>
      <c r="F2696" s="70"/>
      <c r="G2696" s="70"/>
      <c r="H2696" s="93"/>
      <c r="I2696" s="85"/>
      <c r="J2696" s="85"/>
      <c r="K2696" s="131"/>
      <c r="L2696" s="60"/>
    </row>
    <row r="2697" spans="1:14" x14ac:dyDescent="0.15">
      <c r="A2697" s="166"/>
      <c r="B2697" s="93"/>
      <c r="C2697" s="70"/>
      <c r="D2697" s="70"/>
      <c r="E2697" s="70"/>
      <c r="F2697" s="70"/>
      <c r="G2697" s="70"/>
      <c r="H2697" s="93"/>
      <c r="I2697" s="85"/>
      <c r="J2697" s="85"/>
      <c r="K2697" s="131"/>
      <c r="L2697" s="60"/>
    </row>
    <row r="2698" spans="1:14" x14ac:dyDescent="0.15">
      <c r="A2698" s="166"/>
      <c r="B2698" s="82"/>
      <c r="C2698" s="70"/>
      <c r="D2698" s="70"/>
      <c r="E2698" s="70"/>
      <c r="F2698" s="70"/>
      <c r="G2698" s="70"/>
      <c r="H2698" s="93"/>
      <c r="I2698" s="85"/>
      <c r="J2698" s="85"/>
      <c r="K2698" s="131"/>
      <c r="L2698" s="60"/>
      <c r="M2698" s="33"/>
    </row>
    <row r="2699" spans="1:14" x14ac:dyDescent="0.15">
      <c r="A2699" s="166"/>
      <c r="B2699" s="82"/>
      <c r="C2699" s="70"/>
      <c r="D2699" s="70"/>
      <c r="E2699" s="70"/>
      <c r="F2699" s="70"/>
      <c r="G2699" s="70"/>
      <c r="H2699" s="93"/>
      <c r="I2699" s="85"/>
      <c r="J2699" s="85"/>
      <c r="K2699" s="131"/>
      <c r="L2699" s="60"/>
      <c r="M2699" s="33"/>
    </row>
    <row r="2700" spans="1:14" x14ac:dyDescent="0.15">
      <c r="A2700" s="166"/>
      <c r="B2700" s="82"/>
      <c r="C2700" s="70"/>
      <c r="D2700" s="70"/>
      <c r="E2700" s="70"/>
      <c r="F2700" s="70"/>
      <c r="G2700" s="70"/>
      <c r="H2700" s="93"/>
      <c r="I2700" s="85"/>
      <c r="J2700" s="85"/>
      <c r="K2700" s="131"/>
      <c r="L2700" s="60"/>
      <c r="M2700" s="33"/>
      <c r="N2700" s="35"/>
    </row>
    <row r="2701" spans="1:14" x14ac:dyDescent="0.15">
      <c r="A2701" s="166"/>
      <c r="B2701" s="82"/>
      <c r="C2701" s="70"/>
      <c r="D2701" s="70"/>
      <c r="E2701" s="70"/>
      <c r="F2701" s="70"/>
      <c r="G2701" s="70"/>
      <c r="H2701" s="93"/>
      <c r="I2701" s="85"/>
      <c r="J2701" s="85"/>
      <c r="K2701" s="131"/>
      <c r="L2701" s="60"/>
      <c r="M2701" s="33"/>
    </row>
    <row r="2702" spans="1:14" x14ac:dyDescent="0.15">
      <c r="A2702" s="166"/>
      <c r="B2702" s="82"/>
      <c r="C2702" s="70"/>
      <c r="D2702" s="70"/>
      <c r="E2702" s="70"/>
      <c r="F2702" s="70"/>
      <c r="G2702" s="70"/>
      <c r="H2702" s="93"/>
      <c r="I2702" s="85"/>
      <c r="J2702" s="85"/>
      <c r="K2702" s="131"/>
      <c r="L2702" s="60"/>
      <c r="M2702" s="33"/>
    </row>
    <row r="2703" spans="1:14" x14ac:dyDescent="0.15">
      <c r="A2703" s="166"/>
      <c r="B2703" s="82"/>
      <c r="C2703" s="70"/>
      <c r="D2703" s="70"/>
      <c r="E2703" s="70"/>
      <c r="F2703" s="70"/>
      <c r="G2703" s="70"/>
      <c r="H2703" s="93"/>
      <c r="I2703" s="85"/>
      <c r="J2703" s="85"/>
      <c r="K2703" s="131"/>
      <c r="L2703" s="60"/>
      <c r="M2703" s="33"/>
    </row>
    <row r="2704" spans="1:14" x14ac:dyDescent="0.15">
      <c r="A2704" s="166"/>
      <c r="B2704" s="82"/>
      <c r="C2704" s="70"/>
      <c r="D2704" s="70"/>
      <c r="E2704" s="70"/>
      <c r="F2704" s="70"/>
      <c r="G2704" s="70"/>
      <c r="H2704" s="93"/>
      <c r="I2704" s="85"/>
      <c r="J2704" s="85"/>
      <c r="K2704" s="131"/>
      <c r="L2704" s="60"/>
      <c r="M2704" s="33"/>
    </row>
    <row r="2705" spans="1:15" x14ac:dyDescent="0.15">
      <c r="A2705" s="166"/>
      <c r="B2705" s="93"/>
      <c r="C2705" s="70"/>
      <c r="D2705" s="70"/>
      <c r="E2705" s="70"/>
      <c r="F2705" s="70"/>
      <c r="G2705" s="70"/>
      <c r="H2705" s="93"/>
      <c r="I2705" s="85"/>
      <c r="J2705" s="85"/>
      <c r="K2705" s="131"/>
      <c r="L2705" s="60"/>
      <c r="M2705" s="33"/>
    </row>
    <row r="2706" spans="1:15" ht="16" x14ac:dyDescent="0.2">
      <c r="A2706" s="166"/>
      <c r="B2706" s="82"/>
      <c r="C2706" s="70"/>
      <c r="D2706" s="70"/>
      <c r="E2706" s="70"/>
      <c r="F2706" s="70"/>
      <c r="G2706" s="70"/>
      <c r="H2706" s="93"/>
      <c r="I2706" s="85"/>
      <c r="J2706" s="85"/>
      <c r="K2706" s="131"/>
      <c r="L2706" s="60"/>
      <c r="M2706" s="47"/>
    </row>
    <row r="2707" spans="1:15" x14ac:dyDescent="0.15">
      <c r="A2707" s="166"/>
      <c r="B2707" s="82"/>
      <c r="C2707" s="70"/>
      <c r="D2707" s="70"/>
      <c r="E2707" s="70"/>
      <c r="F2707" s="70"/>
      <c r="G2707" s="70"/>
      <c r="H2707" s="93"/>
      <c r="I2707" s="85"/>
      <c r="J2707" s="85"/>
      <c r="K2707" s="131"/>
      <c r="L2707" s="60"/>
      <c r="M2707" s="33"/>
    </row>
    <row r="2708" spans="1:15" x14ac:dyDescent="0.15">
      <c r="A2708" s="166"/>
      <c r="B2708" s="93"/>
      <c r="C2708" s="70"/>
      <c r="D2708" s="70"/>
      <c r="E2708" s="70"/>
      <c r="F2708" s="70"/>
      <c r="G2708" s="70"/>
      <c r="H2708" s="93"/>
      <c r="I2708" s="85"/>
      <c r="J2708" s="85"/>
      <c r="K2708" s="131"/>
      <c r="L2708" s="60"/>
      <c r="M2708" s="33"/>
    </row>
    <row r="2709" spans="1:15" x14ac:dyDescent="0.15">
      <c r="A2709" s="166"/>
      <c r="B2709" s="82"/>
      <c r="C2709" s="70"/>
      <c r="D2709" s="70"/>
      <c r="E2709" s="70"/>
      <c r="F2709" s="70"/>
      <c r="G2709" s="70"/>
      <c r="H2709" s="93"/>
      <c r="I2709" s="85"/>
      <c r="J2709" s="85"/>
      <c r="K2709" s="131"/>
      <c r="L2709" s="60"/>
      <c r="M2709" s="33"/>
    </row>
    <row r="2710" spans="1:15" ht="16" x14ac:dyDescent="0.2">
      <c r="A2710" s="166"/>
      <c r="B2710" s="82"/>
      <c r="C2710" s="70"/>
      <c r="D2710" s="70"/>
      <c r="E2710" s="70"/>
      <c r="F2710" s="70"/>
      <c r="G2710" s="70"/>
      <c r="H2710" s="93"/>
      <c r="I2710" s="85"/>
      <c r="J2710" s="85"/>
      <c r="K2710" s="131"/>
      <c r="L2710" s="60"/>
      <c r="M2710" s="47"/>
    </row>
    <row r="2711" spans="1:15" x14ac:dyDescent="0.15">
      <c r="A2711" s="166"/>
      <c r="B2711" s="82"/>
      <c r="C2711" s="70"/>
      <c r="D2711" s="70"/>
      <c r="E2711" s="70"/>
      <c r="F2711" s="70"/>
      <c r="G2711" s="70"/>
      <c r="H2711" s="93"/>
      <c r="I2711" s="85"/>
      <c r="J2711" s="85"/>
      <c r="K2711" s="131"/>
      <c r="L2711" s="60"/>
      <c r="M2711" s="33"/>
    </row>
    <row r="2712" spans="1:15" ht="16" x14ac:dyDescent="0.2">
      <c r="A2712" s="166"/>
      <c r="B2712" s="82"/>
      <c r="C2712" s="70"/>
      <c r="D2712" s="70"/>
      <c r="E2712" s="70"/>
      <c r="F2712" s="70"/>
      <c r="G2712" s="70"/>
      <c r="H2712" s="93"/>
      <c r="I2712" s="85"/>
      <c r="J2712" s="85"/>
      <c r="K2712" s="131"/>
      <c r="L2712" s="60"/>
      <c r="M2712" s="47"/>
      <c r="O2712" s="49"/>
    </row>
    <row r="2713" spans="1:15" ht="16" x14ac:dyDescent="0.2">
      <c r="A2713" s="166"/>
      <c r="B2713" s="82"/>
      <c r="C2713" s="70"/>
      <c r="D2713" s="70"/>
      <c r="E2713" s="70"/>
      <c r="F2713" s="70"/>
      <c r="G2713" s="70"/>
      <c r="H2713" s="93"/>
      <c r="I2713" s="85"/>
      <c r="J2713" s="85"/>
      <c r="K2713" s="141"/>
      <c r="L2713" s="60"/>
      <c r="M2713" s="47"/>
      <c r="O2713" s="49"/>
    </row>
    <row r="2714" spans="1:15" x14ac:dyDescent="0.15">
      <c r="A2714" s="166"/>
      <c r="B2714" s="82"/>
      <c r="C2714" s="70"/>
      <c r="D2714" s="70"/>
      <c r="E2714" s="70"/>
      <c r="F2714" s="70"/>
      <c r="G2714" s="70"/>
      <c r="H2714" s="93"/>
      <c r="I2714" s="85"/>
      <c r="J2714" s="85"/>
      <c r="K2714" s="131"/>
      <c r="L2714" s="60"/>
      <c r="M2714" s="33"/>
    </row>
    <row r="2715" spans="1:15" x14ac:dyDescent="0.15">
      <c r="A2715" s="170"/>
      <c r="B2715" s="82"/>
      <c r="C2715" s="81"/>
      <c r="D2715" s="81"/>
      <c r="E2715" s="81"/>
      <c r="F2715" s="81"/>
      <c r="G2715" s="81"/>
      <c r="H2715" s="96"/>
      <c r="I2715" s="85"/>
      <c r="J2715" s="111"/>
      <c r="K2715" s="147"/>
      <c r="L2715" s="72"/>
      <c r="M2715" s="31"/>
    </row>
    <row r="2716" spans="1:15" ht="16" x14ac:dyDescent="0.2">
      <c r="A2716" s="166"/>
      <c r="B2716" s="93"/>
      <c r="C2716" s="70"/>
      <c r="D2716" s="70"/>
      <c r="E2716" s="70"/>
      <c r="F2716" s="70"/>
      <c r="G2716" s="70"/>
      <c r="H2716" s="93"/>
      <c r="I2716" s="85"/>
      <c r="J2716" s="85"/>
      <c r="K2716" s="131"/>
      <c r="L2716" s="60"/>
      <c r="M2716" s="47"/>
      <c r="N2716" s="48"/>
    </row>
    <row r="2717" spans="1:15" x14ac:dyDescent="0.15">
      <c r="A2717" s="166"/>
      <c r="B2717" s="82"/>
      <c r="C2717" s="70"/>
      <c r="D2717" s="70"/>
      <c r="E2717" s="70"/>
      <c r="F2717" s="70"/>
      <c r="G2717" s="70"/>
      <c r="H2717" s="93"/>
      <c r="I2717" s="85"/>
      <c r="J2717" s="85"/>
      <c r="K2717" s="131"/>
      <c r="L2717" s="60"/>
      <c r="M2717" s="33"/>
    </row>
    <row r="2718" spans="1:15" x14ac:dyDescent="0.15">
      <c r="A2718" s="166"/>
      <c r="B2718" s="93"/>
      <c r="C2718" s="70"/>
      <c r="D2718" s="70"/>
      <c r="E2718" s="70"/>
      <c r="F2718" s="70"/>
      <c r="G2718" s="70"/>
      <c r="H2718" s="93"/>
      <c r="I2718" s="85"/>
      <c r="J2718" s="85"/>
      <c r="K2718" s="131"/>
      <c r="L2718" s="60"/>
      <c r="M2718" s="33"/>
    </row>
    <row r="2719" spans="1:15" x14ac:dyDescent="0.15">
      <c r="A2719" s="166"/>
      <c r="B2719" s="82"/>
      <c r="C2719" s="70"/>
      <c r="D2719" s="70"/>
      <c r="E2719" s="70"/>
      <c r="F2719" s="70"/>
      <c r="G2719" s="70"/>
      <c r="H2719" s="93"/>
      <c r="I2719" s="85"/>
      <c r="J2719" s="85"/>
      <c r="K2719" s="131"/>
      <c r="L2719" s="60"/>
    </row>
    <row r="2720" spans="1:15" x14ac:dyDescent="0.15">
      <c r="A2720" s="166"/>
      <c r="B2720" s="82"/>
      <c r="C2720" s="70"/>
      <c r="D2720" s="70"/>
      <c r="E2720" s="70"/>
      <c r="F2720" s="70"/>
      <c r="G2720" s="70"/>
      <c r="H2720" s="93"/>
      <c r="I2720" s="85"/>
      <c r="J2720" s="85"/>
      <c r="K2720" s="131"/>
      <c r="L2720" s="60"/>
      <c r="M2720" s="33"/>
    </row>
    <row r="2721" spans="1:16" x14ac:dyDescent="0.15">
      <c r="A2721" s="166"/>
      <c r="B2721" s="93"/>
      <c r="C2721" s="70"/>
      <c r="D2721" s="70"/>
      <c r="E2721" s="70"/>
      <c r="F2721" s="70"/>
      <c r="G2721" s="70"/>
      <c r="H2721" s="93"/>
      <c r="I2721" s="85"/>
      <c r="J2721" s="85"/>
      <c r="K2721" s="141"/>
      <c r="L2721" s="60"/>
      <c r="M2721" s="33"/>
      <c r="P2721" s="33"/>
    </row>
    <row r="2722" spans="1:16" x14ac:dyDescent="0.15">
      <c r="A2722" s="166"/>
      <c r="B2722" s="82"/>
      <c r="C2722" s="70"/>
      <c r="D2722" s="70"/>
      <c r="E2722" s="70"/>
      <c r="F2722" s="70"/>
      <c r="G2722" s="70"/>
      <c r="H2722" s="93"/>
      <c r="I2722" s="85"/>
      <c r="J2722" s="85"/>
      <c r="K2722" s="131"/>
      <c r="L2722" s="60"/>
    </row>
    <row r="2723" spans="1:16" ht="16" x14ac:dyDescent="0.2">
      <c r="A2723" s="166"/>
      <c r="B2723" s="82"/>
      <c r="C2723" s="70"/>
      <c r="D2723" s="70"/>
      <c r="E2723" s="70"/>
      <c r="F2723" s="70"/>
      <c r="G2723" s="70"/>
      <c r="H2723" s="93"/>
      <c r="I2723" s="85"/>
      <c r="J2723" s="85"/>
      <c r="K2723" s="131"/>
      <c r="L2723" s="60"/>
      <c r="M2723" s="47"/>
    </row>
    <row r="2724" spans="1:16" x14ac:dyDescent="0.15">
      <c r="A2724" s="166"/>
      <c r="B2724" s="82"/>
      <c r="C2724" s="70"/>
      <c r="D2724" s="70"/>
      <c r="E2724" s="70"/>
      <c r="F2724" s="70"/>
      <c r="G2724" s="70"/>
      <c r="H2724" s="93"/>
      <c r="I2724" s="85"/>
      <c r="J2724" s="85"/>
      <c r="K2724" s="131"/>
      <c r="L2724" s="60"/>
      <c r="M2724" s="33"/>
    </row>
    <row r="2725" spans="1:16" ht="16" x14ac:dyDescent="0.2">
      <c r="A2725" s="166"/>
      <c r="B2725" s="82"/>
      <c r="C2725" s="70"/>
      <c r="D2725" s="70"/>
      <c r="E2725" s="70"/>
      <c r="F2725" s="70"/>
      <c r="G2725" s="70"/>
      <c r="H2725" s="93"/>
      <c r="I2725" s="85"/>
      <c r="J2725" s="85"/>
      <c r="K2725" s="131"/>
      <c r="L2725" s="60"/>
      <c r="M2725" s="47"/>
    </row>
    <row r="2726" spans="1:16" x14ac:dyDescent="0.15">
      <c r="A2726" s="166"/>
      <c r="B2726" s="93"/>
      <c r="C2726" s="70"/>
      <c r="D2726" s="70"/>
      <c r="E2726" s="70"/>
      <c r="F2726" s="70"/>
      <c r="G2726" s="70"/>
      <c r="H2726" s="93"/>
      <c r="I2726" s="85"/>
      <c r="J2726" s="85"/>
      <c r="K2726" s="131"/>
      <c r="L2726" s="60"/>
      <c r="M2726" s="33"/>
    </row>
    <row r="2727" spans="1:16" x14ac:dyDescent="0.15">
      <c r="A2727" s="166"/>
      <c r="B2727" s="93"/>
      <c r="C2727" s="70"/>
      <c r="D2727" s="70"/>
      <c r="E2727" s="70"/>
      <c r="F2727" s="70"/>
      <c r="G2727" s="70"/>
      <c r="H2727" s="93"/>
      <c r="I2727" s="85"/>
      <c r="J2727" s="85"/>
      <c r="K2727" s="131"/>
      <c r="L2727" s="60"/>
      <c r="M2727" s="33"/>
    </row>
    <row r="2728" spans="1:16" x14ac:dyDescent="0.15">
      <c r="A2728" s="166"/>
      <c r="B2728" s="82"/>
      <c r="C2728" s="70"/>
      <c r="D2728" s="70"/>
      <c r="E2728" s="70"/>
      <c r="F2728" s="70"/>
      <c r="G2728" s="70"/>
      <c r="H2728" s="93"/>
      <c r="I2728" s="85"/>
      <c r="J2728" s="85"/>
      <c r="K2728" s="131"/>
      <c r="L2728" s="60"/>
      <c r="P2728" s="33"/>
    </row>
    <row r="2729" spans="1:16" ht="16" x14ac:dyDescent="0.2">
      <c r="A2729" s="166"/>
      <c r="B2729" s="82"/>
      <c r="C2729" s="70"/>
      <c r="D2729" s="70"/>
      <c r="E2729" s="70"/>
      <c r="F2729" s="70"/>
      <c r="G2729" s="70"/>
      <c r="H2729" s="93"/>
      <c r="I2729" s="85"/>
      <c r="J2729" s="85"/>
      <c r="K2729" s="131"/>
      <c r="L2729" s="60"/>
      <c r="M2729" s="47"/>
    </row>
    <row r="2730" spans="1:16" x14ac:dyDescent="0.15">
      <c r="A2730" s="170"/>
      <c r="B2730" s="82"/>
      <c r="C2730" s="70"/>
      <c r="D2730" s="70"/>
      <c r="E2730" s="70"/>
      <c r="F2730" s="70"/>
      <c r="G2730" s="70"/>
      <c r="H2730" s="93"/>
      <c r="I2730" s="85"/>
      <c r="J2730" s="85"/>
      <c r="K2730" s="131"/>
      <c r="L2730" s="60"/>
      <c r="M2730" s="33"/>
    </row>
    <row r="2731" spans="1:16" x14ac:dyDescent="0.15">
      <c r="A2731" s="166"/>
      <c r="B2731" s="93"/>
      <c r="C2731" s="70"/>
      <c r="D2731" s="70"/>
      <c r="E2731" s="70"/>
      <c r="F2731" s="70"/>
      <c r="G2731" s="70"/>
      <c r="H2731" s="93"/>
      <c r="I2731" s="85"/>
      <c r="J2731" s="85"/>
      <c r="K2731" s="131"/>
      <c r="L2731" s="60"/>
      <c r="M2731" s="33"/>
    </row>
    <row r="2732" spans="1:16" x14ac:dyDescent="0.15">
      <c r="A2732" s="166"/>
      <c r="B2732" s="93"/>
      <c r="C2732" s="70"/>
      <c r="D2732" s="70"/>
      <c r="E2732" s="70"/>
      <c r="F2732" s="70"/>
      <c r="G2732" s="70"/>
      <c r="H2732" s="93"/>
      <c r="I2732" s="85"/>
      <c r="J2732" s="85"/>
      <c r="K2732" s="131"/>
      <c r="L2732" s="60"/>
      <c r="M2732" s="33"/>
    </row>
    <row r="2733" spans="1:16" x14ac:dyDescent="0.15">
      <c r="A2733" s="166"/>
      <c r="B2733" s="93"/>
      <c r="C2733" s="70"/>
      <c r="D2733" s="70"/>
      <c r="E2733" s="70"/>
      <c r="F2733" s="70"/>
      <c r="G2733" s="70"/>
      <c r="H2733" s="93"/>
      <c r="I2733" s="85"/>
      <c r="J2733" s="85"/>
      <c r="K2733" s="131"/>
      <c r="L2733" s="60"/>
      <c r="M2733" s="33"/>
    </row>
    <row r="2734" spans="1:16" x14ac:dyDescent="0.15">
      <c r="A2734" s="166"/>
      <c r="B2734" s="93"/>
      <c r="C2734" s="70"/>
      <c r="D2734" s="70"/>
      <c r="E2734" s="70"/>
      <c r="F2734" s="70"/>
      <c r="G2734" s="70"/>
      <c r="H2734" s="93"/>
      <c r="I2734" s="85"/>
      <c r="J2734" s="85"/>
      <c r="K2734" s="131"/>
      <c r="L2734" s="60"/>
      <c r="M2734" s="33"/>
    </row>
    <row r="2735" spans="1:16" x14ac:dyDescent="0.15">
      <c r="A2735" s="166"/>
      <c r="B2735" s="93"/>
      <c r="C2735" s="70"/>
      <c r="D2735" s="70"/>
      <c r="E2735" s="70"/>
      <c r="F2735" s="70"/>
      <c r="G2735" s="70"/>
      <c r="H2735" s="93"/>
      <c r="I2735" s="85"/>
      <c r="J2735" s="85"/>
      <c r="K2735" s="131"/>
      <c r="L2735" s="60"/>
      <c r="M2735" s="33"/>
    </row>
    <row r="2736" spans="1:16" x14ac:dyDescent="0.15">
      <c r="A2736" s="166"/>
      <c r="B2736" s="93"/>
      <c r="C2736" s="70"/>
      <c r="D2736" s="70"/>
      <c r="E2736" s="70"/>
      <c r="F2736" s="70"/>
      <c r="G2736" s="70"/>
      <c r="H2736" s="93"/>
      <c r="I2736" s="85"/>
      <c r="J2736" s="85"/>
      <c r="K2736" s="131"/>
      <c r="L2736" s="60"/>
      <c r="M2736" s="33"/>
    </row>
    <row r="2737" spans="1:14" x14ac:dyDescent="0.15">
      <c r="A2737" s="166"/>
      <c r="B2737" s="93"/>
      <c r="C2737" s="70"/>
      <c r="D2737" s="70"/>
      <c r="E2737" s="70"/>
      <c r="F2737" s="70"/>
      <c r="G2737" s="70"/>
      <c r="H2737" s="93"/>
      <c r="I2737" s="85"/>
      <c r="J2737" s="85"/>
      <c r="K2737" s="131"/>
      <c r="L2737" s="60"/>
      <c r="M2737" s="33"/>
    </row>
    <row r="2738" spans="1:14" x14ac:dyDescent="0.15">
      <c r="A2738" s="166"/>
      <c r="B2738" s="93"/>
      <c r="C2738" s="70"/>
      <c r="D2738" s="70"/>
      <c r="E2738" s="70"/>
      <c r="F2738" s="70"/>
      <c r="G2738" s="70"/>
      <c r="H2738" s="93"/>
      <c r="I2738" s="85"/>
      <c r="J2738" s="85"/>
      <c r="K2738" s="131"/>
      <c r="L2738" s="60"/>
      <c r="M2738" s="33"/>
    </row>
    <row r="2739" spans="1:14" x14ac:dyDescent="0.15">
      <c r="A2739" s="166"/>
      <c r="B2739" s="93"/>
      <c r="C2739" s="70"/>
      <c r="D2739" s="70"/>
      <c r="E2739" s="70"/>
      <c r="F2739" s="70"/>
      <c r="G2739" s="61"/>
      <c r="H2739" s="115"/>
      <c r="I2739" s="85"/>
      <c r="J2739" s="85"/>
      <c r="K2739" s="131"/>
      <c r="L2739" s="60"/>
      <c r="M2739" s="33"/>
    </row>
    <row r="2740" spans="1:14" x14ac:dyDescent="0.15">
      <c r="A2740" s="166"/>
      <c r="B2740" s="93"/>
      <c r="C2740" s="70"/>
      <c r="D2740" s="70"/>
      <c r="E2740" s="70"/>
      <c r="F2740" s="70"/>
      <c r="G2740" s="70"/>
      <c r="H2740" s="93"/>
      <c r="I2740" s="85"/>
      <c r="J2740" s="85"/>
      <c r="K2740" s="131"/>
      <c r="L2740" s="60"/>
      <c r="M2740" s="33"/>
    </row>
    <row r="2741" spans="1:14" x14ac:dyDescent="0.15">
      <c r="A2741" s="166"/>
      <c r="B2741" s="93"/>
      <c r="C2741" s="70"/>
      <c r="D2741" s="70"/>
      <c r="E2741" s="70"/>
      <c r="F2741" s="70"/>
      <c r="G2741" s="70"/>
      <c r="H2741" s="93"/>
      <c r="I2741" s="85"/>
      <c r="J2741" s="85"/>
      <c r="K2741" s="131"/>
      <c r="L2741" s="60"/>
      <c r="M2741" s="33"/>
    </row>
    <row r="2742" spans="1:14" x14ac:dyDescent="0.15">
      <c r="A2742" s="166"/>
      <c r="B2742" s="93"/>
      <c r="C2742" s="70"/>
      <c r="D2742" s="70"/>
      <c r="E2742" s="70"/>
      <c r="F2742" s="70"/>
      <c r="G2742" s="70"/>
      <c r="H2742" s="93"/>
      <c r="I2742" s="85"/>
      <c r="J2742" s="85"/>
      <c r="K2742" s="131"/>
      <c r="L2742" s="60"/>
      <c r="M2742" s="33"/>
    </row>
    <row r="2743" spans="1:14" x14ac:dyDescent="0.15">
      <c r="A2743" s="166"/>
      <c r="B2743" s="82"/>
      <c r="C2743" s="70"/>
      <c r="D2743" s="70"/>
      <c r="E2743" s="70"/>
      <c r="F2743" s="70"/>
      <c r="G2743" s="70"/>
      <c r="H2743" s="93"/>
      <c r="I2743" s="85"/>
      <c r="J2743" s="85"/>
      <c r="K2743" s="131"/>
      <c r="L2743" s="60"/>
    </row>
    <row r="2744" spans="1:14" x14ac:dyDescent="0.15">
      <c r="A2744" s="166"/>
      <c r="B2744" s="93"/>
      <c r="C2744" s="70"/>
      <c r="D2744" s="70"/>
      <c r="E2744" s="70"/>
      <c r="F2744" s="70"/>
      <c r="G2744" s="70"/>
      <c r="H2744" s="93"/>
      <c r="I2744" s="85"/>
      <c r="J2744" s="85"/>
      <c r="K2744" s="131"/>
      <c r="L2744" s="60"/>
      <c r="M2744" s="33"/>
    </row>
    <row r="2745" spans="1:14" x14ac:dyDescent="0.15">
      <c r="A2745" s="166"/>
      <c r="B2745" s="82"/>
      <c r="C2745" s="70"/>
      <c r="D2745" s="70"/>
      <c r="E2745" s="70"/>
      <c r="F2745" s="70"/>
      <c r="G2745" s="70"/>
      <c r="H2745" s="93"/>
      <c r="I2745" s="85"/>
      <c r="J2745" s="85"/>
      <c r="K2745" s="131"/>
      <c r="L2745" s="60"/>
      <c r="M2745" s="33"/>
    </row>
    <row r="2746" spans="1:14" x14ac:dyDescent="0.15">
      <c r="A2746" s="166"/>
      <c r="B2746" s="93"/>
      <c r="C2746" s="70"/>
      <c r="D2746" s="70"/>
      <c r="E2746" s="70"/>
      <c r="F2746" s="70"/>
      <c r="G2746" s="70"/>
      <c r="H2746" s="93"/>
      <c r="I2746" s="85"/>
      <c r="J2746" s="85"/>
      <c r="K2746" s="131"/>
      <c r="L2746" s="60"/>
      <c r="M2746" s="33"/>
    </row>
    <row r="2747" spans="1:14" ht="16" x14ac:dyDescent="0.2">
      <c r="A2747" s="166"/>
      <c r="B2747" s="82"/>
      <c r="C2747" s="70"/>
      <c r="D2747" s="70"/>
      <c r="E2747" s="70"/>
      <c r="F2747" s="70"/>
      <c r="G2747" s="70"/>
      <c r="H2747" s="93"/>
      <c r="I2747" s="85"/>
      <c r="J2747" s="85"/>
      <c r="K2747" s="131"/>
      <c r="L2747" s="60"/>
      <c r="M2747" s="47"/>
    </row>
    <row r="2748" spans="1:14" x14ac:dyDescent="0.15">
      <c r="A2748" s="166"/>
      <c r="B2748" s="93"/>
      <c r="C2748" s="70"/>
      <c r="D2748" s="70"/>
      <c r="E2748" s="70"/>
      <c r="F2748" s="70"/>
      <c r="G2748" s="70"/>
      <c r="H2748" s="93"/>
      <c r="I2748" s="85"/>
      <c r="J2748" s="85"/>
      <c r="K2748" s="131"/>
      <c r="L2748" s="60"/>
      <c r="M2748" s="33"/>
    </row>
    <row r="2749" spans="1:14" x14ac:dyDescent="0.15">
      <c r="A2749" s="166"/>
      <c r="B2749" s="82"/>
      <c r="C2749" s="70"/>
      <c r="D2749" s="70"/>
      <c r="E2749" s="70"/>
      <c r="F2749" s="70"/>
      <c r="G2749" s="70"/>
      <c r="H2749" s="93"/>
      <c r="I2749" s="85"/>
      <c r="J2749" s="85"/>
      <c r="K2749" s="131"/>
      <c r="L2749" s="60"/>
    </row>
    <row r="2750" spans="1:14" x14ac:dyDescent="0.15">
      <c r="A2750" s="166"/>
      <c r="B2750" s="82"/>
      <c r="C2750" s="70"/>
      <c r="D2750" s="70"/>
      <c r="E2750" s="70"/>
      <c r="F2750" s="70"/>
      <c r="G2750" s="70"/>
      <c r="H2750" s="93"/>
      <c r="I2750" s="85"/>
      <c r="K2750" s="148"/>
      <c r="L2750" s="60"/>
      <c r="M2750" s="33"/>
    </row>
    <row r="2751" spans="1:14" x14ac:dyDescent="0.15">
      <c r="A2751" s="166"/>
      <c r="B2751" s="93"/>
      <c r="C2751" s="70"/>
      <c r="D2751" s="70"/>
      <c r="E2751" s="70"/>
      <c r="F2751" s="70"/>
      <c r="G2751" s="70"/>
      <c r="H2751" s="93"/>
      <c r="I2751" s="85"/>
      <c r="J2751" s="85"/>
      <c r="K2751" s="131"/>
      <c r="L2751" s="60"/>
      <c r="M2751" s="33"/>
    </row>
    <row r="2752" spans="1:14" x14ac:dyDescent="0.15">
      <c r="A2752" s="166"/>
      <c r="B2752" s="82"/>
      <c r="C2752" s="70"/>
      <c r="D2752" s="70"/>
      <c r="E2752" s="70"/>
      <c r="F2752" s="70"/>
      <c r="G2752" s="70"/>
      <c r="H2752" s="93"/>
      <c r="I2752" s="85"/>
      <c r="J2752" s="85"/>
      <c r="K2752" s="131"/>
      <c r="L2752" s="60"/>
      <c r="M2752" s="33"/>
      <c r="N2752" s="46"/>
    </row>
    <row r="2753" spans="1:15" x14ac:dyDescent="0.15">
      <c r="A2753" s="166"/>
      <c r="B2753" s="93"/>
      <c r="C2753" s="70"/>
      <c r="D2753" s="70"/>
      <c r="E2753" s="70"/>
      <c r="F2753" s="70"/>
      <c r="G2753" s="70"/>
      <c r="H2753" s="93"/>
      <c r="I2753" s="85"/>
      <c r="J2753" s="85"/>
      <c r="K2753" s="131"/>
      <c r="L2753" s="60"/>
      <c r="M2753" s="33"/>
    </row>
    <row r="2754" spans="1:15" x14ac:dyDescent="0.15">
      <c r="A2754" s="166"/>
      <c r="B2754" s="93"/>
      <c r="C2754" s="70"/>
      <c r="D2754" s="70"/>
      <c r="E2754" s="70"/>
      <c r="F2754" s="70"/>
      <c r="G2754" s="70"/>
      <c r="H2754" s="93"/>
      <c r="I2754" s="85"/>
      <c r="J2754" s="85"/>
      <c r="K2754" s="131"/>
      <c r="L2754" s="60"/>
      <c r="M2754" s="33"/>
      <c r="O2754" s="33"/>
    </row>
    <row r="2755" spans="1:15" x14ac:dyDescent="0.15">
      <c r="A2755" s="166"/>
      <c r="B2755" s="82"/>
      <c r="C2755" s="70"/>
      <c r="D2755" s="70"/>
      <c r="E2755" s="70"/>
      <c r="F2755" s="70"/>
      <c r="G2755" s="70"/>
      <c r="H2755" s="93"/>
      <c r="I2755" s="85"/>
      <c r="J2755" s="85"/>
      <c r="K2755" s="131"/>
      <c r="L2755" s="60"/>
    </row>
    <row r="2756" spans="1:15" x14ac:dyDescent="0.15">
      <c r="A2756" s="166"/>
      <c r="B2756" s="93"/>
      <c r="C2756" s="70"/>
      <c r="D2756" s="70"/>
      <c r="E2756" s="70"/>
      <c r="F2756" s="70"/>
      <c r="G2756" s="70"/>
      <c r="H2756" s="93"/>
      <c r="I2756" s="85"/>
      <c r="J2756" s="85"/>
      <c r="K2756" s="131"/>
      <c r="L2756" s="60"/>
      <c r="M2756" s="33"/>
    </row>
    <row r="2757" spans="1:15" x14ac:dyDescent="0.15">
      <c r="A2757" s="166"/>
      <c r="B2757" s="93"/>
      <c r="C2757" s="73"/>
      <c r="D2757" s="70"/>
      <c r="E2757" s="70"/>
      <c r="F2757" s="73"/>
      <c r="G2757" s="73"/>
      <c r="H2757" s="108"/>
      <c r="I2757" s="85"/>
      <c r="J2757" s="95"/>
      <c r="K2757" s="131"/>
      <c r="L2757" s="60"/>
      <c r="M2757" s="33"/>
    </row>
    <row r="2758" spans="1:15" x14ac:dyDescent="0.15">
      <c r="A2758" s="166"/>
      <c r="B2758" s="82"/>
      <c r="C2758" s="70"/>
      <c r="D2758" s="70"/>
      <c r="E2758" s="70"/>
      <c r="F2758" s="70"/>
      <c r="G2758" s="70"/>
      <c r="H2758" s="93"/>
      <c r="I2758" s="85"/>
      <c r="J2758" s="85"/>
      <c r="K2758" s="131"/>
      <c r="L2758" s="60"/>
    </row>
    <row r="2759" spans="1:15" x14ac:dyDescent="0.15">
      <c r="A2759" s="166"/>
      <c r="B2759" s="82"/>
      <c r="C2759" s="70"/>
      <c r="D2759" s="70"/>
      <c r="E2759" s="70"/>
      <c r="F2759" s="70"/>
      <c r="G2759" s="70"/>
      <c r="H2759" s="93"/>
      <c r="I2759" s="85"/>
      <c r="J2759" s="85"/>
      <c r="K2759" s="131"/>
      <c r="L2759" s="60"/>
      <c r="M2759" s="33"/>
      <c r="N2759" s="46"/>
    </row>
    <row r="2760" spans="1:15" x14ac:dyDescent="0.15">
      <c r="A2760" s="166"/>
      <c r="B2760" s="93"/>
      <c r="C2760" s="70"/>
      <c r="D2760" s="70"/>
      <c r="E2760" s="70"/>
      <c r="F2760" s="70"/>
      <c r="G2760" s="70"/>
      <c r="H2760" s="93"/>
      <c r="I2760" s="85"/>
      <c r="J2760" s="85"/>
      <c r="K2760" s="131"/>
      <c r="L2760" s="60"/>
      <c r="M2760" s="33"/>
    </row>
    <row r="2761" spans="1:15" x14ac:dyDescent="0.15">
      <c r="A2761" s="166"/>
      <c r="B2761" s="93"/>
      <c r="C2761" s="70"/>
      <c r="D2761" s="70"/>
      <c r="E2761" s="70"/>
      <c r="F2761" s="70"/>
      <c r="G2761" s="70"/>
      <c r="H2761" s="93"/>
      <c r="I2761" s="85"/>
      <c r="J2761" s="85"/>
      <c r="K2761" s="131"/>
      <c r="L2761" s="60"/>
      <c r="M2761" s="33"/>
    </row>
    <row r="2762" spans="1:15" x14ac:dyDescent="0.15">
      <c r="A2762" s="166"/>
      <c r="B2762" s="93"/>
      <c r="C2762" s="70"/>
      <c r="D2762" s="70"/>
      <c r="E2762" s="70"/>
      <c r="F2762" s="70"/>
      <c r="G2762" s="70"/>
      <c r="H2762" s="93"/>
      <c r="I2762" s="85"/>
      <c r="J2762" s="85"/>
      <c r="K2762" s="131"/>
      <c r="L2762" s="60"/>
      <c r="M2762" s="33"/>
    </row>
    <row r="2763" spans="1:15" x14ac:dyDescent="0.15">
      <c r="A2763" s="166"/>
      <c r="B2763" s="93"/>
      <c r="C2763" s="70"/>
      <c r="D2763" s="70"/>
      <c r="E2763" s="70"/>
      <c r="F2763" s="70"/>
      <c r="G2763" s="70"/>
      <c r="H2763" s="93"/>
      <c r="I2763" s="85"/>
      <c r="J2763" s="85"/>
      <c r="K2763" s="131"/>
      <c r="L2763" s="60"/>
      <c r="M2763" s="33"/>
    </row>
    <row r="2764" spans="1:15" ht="16" x14ac:dyDescent="0.2">
      <c r="A2764" s="166"/>
      <c r="B2764" s="93"/>
      <c r="C2764" s="70"/>
      <c r="D2764" s="70"/>
      <c r="E2764" s="70"/>
      <c r="F2764" s="70"/>
      <c r="G2764" s="70"/>
      <c r="H2764" s="93"/>
      <c r="I2764" s="85"/>
      <c r="J2764" s="85"/>
      <c r="K2764" s="131"/>
      <c r="L2764" s="60"/>
      <c r="M2764" s="47"/>
    </row>
    <row r="2765" spans="1:15" x14ac:dyDescent="0.15">
      <c r="A2765" s="166"/>
      <c r="B2765" s="93"/>
      <c r="C2765" s="70"/>
      <c r="D2765" s="70"/>
      <c r="E2765" s="70"/>
      <c r="F2765" s="70"/>
      <c r="G2765" s="70"/>
      <c r="H2765" s="93"/>
      <c r="I2765" s="85"/>
      <c r="J2765" s="85"/>
      <c r="K2765" s="131"/>
      <c r="L2765" s="60"/>
      <c r="M2765" s="33"/>
    </row>
    <row r="2766" spans="1:15" x14ac:dyDescent="0.15">
      <c r="A2766" s="166"/>
      <c r="B2766" s="93"/>
      <c r="C2766" s="70"/>
      <c r="D2766" s="70"/>
      <c r="E2766" s="70"/>
      <c r="F2766" s="70"/>
      <c r="G2766" s="70"/>
      <c r="H2766" s="93"/>
      <c r="I2766" s="85"/>
      <c r="J2766" s="85"/>
      <c r="K2766" s="131"/>
      <c r="L2766" s="60"/>
      <c r="M2766" s="33"/>
    </row>
    <row r="2767" spans="1:15" x14ac:dyDescent="0.15">
      <c r="A2767" s="166"/>
      <c r="B2767" s="93"/>
      <c r="C2767" s="70"/>
      <c r="D2767" s="70"/>
      <c r="E2767" s="70"/>
      <c r="F2767" s="70"/>
      <c r="G2767" s="70"/>
      <c r="H2767" s="93"/>
      <c r="I2767" s="85"/>
      <c r="J2767" s="85"/>
      <c r="K2767" s="131"/>
      <c r="L2767" s="60"/>
      <c r="M2767" s="33"/>
      <c r="O2767" s="33"/>
    </row>
    <row r="2768" spans="1:15" x14ac:dyDescent="0.15">
      <c r="A2768" s="166"/>
      <c r="B2768" s="93"/>
      <c r="C2768" s="70"/>
      <c r="D2768" s="70"/>
      <c r="E2768" s="70"/>
      <c r="F2768" s="70"/>
      <c r="G2768" s="70"/>
      <c r="H2768" s="93"/>
      <c r="I2768" s="85"/>
      <c r="J2768" s="85"/>
      <c r="K2768" s="131"/>
      <c r="L2768" s="60"/>
      <c r="M2768" s="33"/>
    </row>
    <row r="2769" spans="1:14" x14ac:dyDescent="0.15">
      <c r="A2769" s="166"/>
      <c r="B2769" s="82"/>
      <c r="C2769" s="70"/>
      <c r="D2769" s="70"/>
      <c r="E2769" s="70"/>
      <c r="F2769" s="70"/>
      <c r="G2769" s="70"/>
      <c r="H2769" s="93"/>
      <c r="I2769" s="85"/>
      <c r="J2769" s="85"/>
      <c r="K2769" s="131"/>
      <c r="L2769" s="60"/>
      <c r="M2769" s="33"/>
    </row>
    <row r="2770" spans="1:14" x14ac:dyDescent="0.15">
      <c r="A2770" s="166"/>
      <c r="B2770" s="93"/>
      <c r="C2770" s="70"/>
      <c r="D2770" s="70"/>
      <c r="E2770" s="70"/>
      <c r="F2770" s="70"/>
      <c r="G2770" s="70"/>
      <c r="H2770" s="93"/>
      <c r="I2770" s="85"/>
      <c r="J2770" s="85"/>
      <c r="K2770" s="131"/>
      <c r="L2770" s="60"/>
      <c r="M2770" s="33"/>
    </row>
    <row r="2771" spans="1:14" x14ac:dyDescent="0.15">
      <c r="A2771" s="166"/>
      <c r="B2771" s="82"/>
      <c r="C2771" s="70"/>
      <c r="D2771" s="70"/>
      <c r="E2771" s="70"/>
      <c r="F2771" s="70"/>
      <c r="G2771" s="70"/>
      <c r="H2771" s="93"/>
      <c r="I2771" s="85"/>
      <c r="J2771" s="85"/>
      <c r="K2771" s="131"/>
      <c r="L2771" s="60"/>
      <c r="M2771" s="33"/>
    </row>
    <row r="2772" spans="1:14" x14ac:dyDescent="0.15">
      <c r="A2772" s="166"/>
      <c r="B2772" s="93"/>
      <c r="C2772" s="70"/>
      <c r="D2772" s="70"/>
      <c r="E2772" s="70"/>
      <c r="F2772" s="70"/>
      <c r="G2772" s="70"/>
      <c r="H2772" s="93"/>
      <c r="I2772" s="85"/>
      <c r="J2772" s="85"/>
      <c r="K2772" s="131"/>
      <c r="L2772" s="60"/>
      <c r="M2772" s="33"/>
    </row>
    <row r="2773" spans="1:14" x14ac:dyDescent="0.15">
      <c r="A2773" s="166"/>
      <c r="B2773" s="93"/>
      <c r="C2773" s="70"/>
      <c r="D2773" s="70"/>
      <c r="E2773" s="70"/>
      <c r="F2773" s="70"/>
      <c r="G2773" s="70"/>
      <c r="H2773" s="93"/>
      <c r="I2773" s="85"/>
      <c r="J2773" s="85"/>
      <c r="K2773" s="131"/>
      <c r="L2773" s="60"/>
      <c r="M2773" s="33"/>
      <c r="N2773" s="32"/>
    </row>
    <row r="2774" spans="1:14" x14ac:dyDescent="0.15">
      <c r="A2774" s="166"/>
      <c r="B2774" s="93"/>
      <c r="C2774" s="70"/>
      <c r="D2774" s="70"/>
      <c r="E2774" s="70"/>
      <c r="F2774" s="70"/>
      <c r="G2774" s="70"/>
      <c r="H2774" s="93"/>
      <c r="I2774" s="85"/>
      <c r="J2774" s="85"/>
      <c r="K2774" s="131"/>
      <c r="L2774" s="60"/>
    </row>
    <row r="2775" spans="1:14" x14ac:dyDescent="0.15">
      <c r="A2775" s="166"/>
      <c r="B2775" s="82"/>
      <c r="C2775" s="70"/>
      <c r="D2775" s="70"/>
      <c r="E2775" s="70"/>
      <c r="F2775" s="70"/>
      <c r="G2775" s="70"/>
      <c r="H2775" s="93"/>
      <c r="I2775" s="85"/>
      <c r="J2775" s="85"/>
      <c r="K2775" s="131"/>
      <c r="L2775" s="60"/>
    </row>
    <row r="2776" spans="1:14" ht="16" x14ac:dyDescent="0.2">
      <c r="A2776" s="166"/>
      <c r="B2776" s="82"/>
      <c r="C2776" s="70"/>
      <c r="D2776" s="70"/>
      <c r="E2776" s="70"/>
      <c r="F2776" s="70"/>
      <c r="G2776" s="70"/>
      <c r="H2776" s="93"/>
      <c r="I2776" s="85"/>
      <c r="J2776" s="85"/>
      <c r="K2776" s="131"/>
      <c r="L2776" s="60"/>
      <c r="M2776" s="47"/>
    </row>
    <row r="2777" spans="1:14" x14ac:dyDescent="0.15">
      <c r="A2777" s="166"/>
      <c r="B2777" s="93"/>
      <c r="C2777" s="70"/>
      <c r="D2777" s="70"/>
      <c r="E2777" s="70"/>
      <c r="F2777" s="70"/>
      <c r="G2777" s="70"/>
      <c r="H2777" s="93"/>
      <c r="I2777" s="85"/>
      <c r="J2777" s="85"/>
      <c r="K2777" s="131"/>
      <c r="L2777" s="60"/>
      <c r="M2777" s="33"/>
    </row>
    <row r="2778" spans="1:14" x14ac:dyDescent="0.15">
      <c r="A2778" s="166"/>
      <c r="B2778" s="93"/>
      <c r="C2778" s="70"/>
      <c r="D2778" s="70"/>
      <c r="E2778" s="70"/>
      <c r="F2778" s="70"/>
      <c r="G2778" s="70"/>
      <c r="H2778" s="93"/>
      <c r="I2778" s="85"/>
      <c r="J2778" s="85"/>
      <c r="K2778" s="131"/>
      <c r="L2778" s="60"/>
      <c r="M2778" s="33"/>
    </row>
    <row r="2779" spans="1:14" x14ac:dyDescent="0.15">
      <c r="A2779" s="166"/>
      <c r="B2779" s="93"/>
      <c r="C2779" s="70"/>
      <c r="D2779" s="70"/>
      <c r="E2779" s="70"/>
      <c r="F2779" s="70"/>
      <c r="G2779" s="70"/>
      <c r="H2779" s="93"/>
      <c r="I2779" s="85"/>
      <c r="J2779" s="85"/>
      <c r="K2779" s="131"/>
      <c r="L2779" s="60"/>
      <c r="M2779" s="33"/>
    </row>
    <row r="2780" spans="1:14" x14ac:dyDescent="0.15">
      <c r="A2780" s="166"/>
      <c r="B2780" s="93"/>
      <c r="C2780" s="70"/>
      <c r="D2780" s="70"/>
      <c r="E2780" s="70"/>
      <c r="F2780" s="70"/>
      <c r="G2780" s="70"/>
      <c r="H2780" s="93"/>
      <c r="I2780" s="85"/>
      <c r="J2780" s="85"/>
      <c r="K2780" s="131"/>
      <c r="L2780" s="60"/>
      <c r="M2780" s="33"/>
    </row>
    <row r="2781" spans="1:14" x14ac:dyDescent="0.15">
      <c r="A2781" s="166"/>
      <c r="B2781" s="93"/>
      <c r="C2781" s="70"/>
      <c r="D2781" s="70"/>
      <c r="E2781" s="70"/>
      <c r="F2781" s="70"/>
      <c r="G2781" s="70"/>
      <c r="H2781" s="93"/>
      <c r="I2781" s="85"/>
      <c r="J2781" s="85"/>
      <c r="K2781" s="131"/>
      <c r="L2781" s="60"/>
      <c r="M2781" s="33"/>
    </row>
    <row r="2782" spans="1:14" x14ac:dyDescent="0.15">
      <c r="A2782" s="166"/>
      <c r="B2782" s="93"/>
      <c r="C2782" s="70"/>
      <c r="D2782" s="70"/>
      <c r="E2782" s="70"/>
      <c r="F2782" s="70"/>
      <c r="G2782" s="70"/>
      <c r="H2782" s="93"/>
      <c r="I2782" s="85"/>
      <c r="J2782" s="85"/>
      <c r="K2782" s="131"/>
      <c r="L2782" s="60"/>
      <c r="M2782" s="33"/>
    </row>
    <row r="2783" spans="1:14" x14ac:dyDescent="0.15">
      <c r="A2783" s="166"/>
      <c r="B2783" s="93"/>
      <c r="C2783" s="70"/>
      <c r="D2783" s="70"/>
      <c r="E2783" s="70"/>
      <c r="F2783" s="70"/>
      <c r="G2783" s="70"/>
      <c r="H2783" s="93"/>
      <c r="I2783" s="85"/>
      <c r="J2783" s="85"/>
      <c r="K2783" s="131"/>
      <c r="L2783" s="60"/>
      <c r="M2783" s="33"/>
    </row>
    <row r="2784" spans="1:14" x14ac:dyDescent="0.15">
      <c r="A2784" s="166"/>
      <c r="B2784" s="93"/>
      <c r="C2784" s="70"/>
      <c r="D2784" s="70"/>
      <c r="E2784" s="70"/>
      <c r="F2784" s="70"/>
      <c r="G2784" s="70"/>
      <c r="H2784" s="93"/>
      <c r="I2784" s="85"/>
      <c r="J2784" s="85"/>
      <c r="K2784" s="131"/>
      <c r="L2784" s="60"/>
      <c r="M2784" s="33"/>
    </row>
    <row r="2785" spans="1:16" x14ac:dyDescent="0.15">
      <c r="A2785" s="166"/>
      <c r="B2785" s="108"/>
      <c r="C2785" s="70"/>
      <c r="D2785" s="70"/>
      <c r="E2785" s="70"/>
      <c r="F2785" s="70"/>
      <c r="G2785" s="70"/>
      <c r="H2785" s="93"/>
      <c r="I2785" s="85"/>
      <c r="J2785" s="85"/>
      <c r="K2785" s="131"/>
      <c r="L2785" s="60"/>
      <c r="M2785" s="33"/>
    </row>
    <row r="2786" spans="1:16" x14ac:dyDescent="0.15">
      <c r="A2786" s="166"/>
      <c r="B2786" s="93"/>
      <c r="C2786" s="70"/>
      <c r="D2786" s="70"/>
      <c r="E2786" s="70"/>
      <c r="F2786" s="70"/>
      <c r="G2786" s="70"/>
      <c r="H2786" s="93"/>
      <c r="I2786" s="85"/>
      <c r="J2786" s="85"/>
      <c r="K2786" s="131"/>
      <c r="L2786" s="60"/>
      <c r="M2786" s="33"/>
      <c r="O2786" s="33"/>
    </row>
    <row r="2787" spans="1:16" x14ac:dyDescent="0.15">
      <c r="A2787" s="166"/>
      <c r="B2787" s="93"/>
      <c r="C2787" s="70"/>
      <c r="D2787" s="70"/>
      <c r="E2787" s="73"/>
      <c r="F2787" s="70"/>
      <c r="G2787" s="70"/>
      <c r="H2787" s="93"/>
      <c r="I2787" s="85"/>
      <c r="J2787" s="85"/>
      <c r="K2787" s="131"/>
      <c r="L2787" s="60"/>
      <c r="M2787" s="33"/>
    </row>
    <row r="2788" spans="1:16" x14ac:dyDescent="0.15">
      <c r="A2788" s="166"/>
      <c r="B2788" s="93"/>
      <c r="C2788" s="70"/>
      <c r="D2788" s="70"/>
      <c r="E2788" s="70"/>
      <c r="F2788" s="70"/>
      <c r="G2788" s="70"/>
      <c r="H2788" s="93"/>
      <c r="I2788" s="85"/>
      <c r="J2788" s="85"/>
      <c r="K2788" s="131"/>
      <c r="L2788" s="60"/>
      <c r="M2788" s="33"/>
    </row>
    <row r="2789" spans="1:16" x14ac:dyDescent="0.15">
      <c r="A2789" s="166"/>
      <c r="B2789" s="93"/>
      <c r="C2789" s="70"/>
      <c r="D2789" s="70"/>
      <c r="E2789" s="70"/>
      <c r="F2789" s="70"/>
      <c r="G2789" s="70"/>
      <c r="H2789" s="93"/>
      <c r="I2789" s="85"/>
      <c r="J2789" s="85"/>
      <c r="K2789" s="131"/>
      <c r="L2789" s="60"/>
      <c r="M2789" s="33"/>
      <c r="P2789" s="33"/>
    </row>
    <row r="2790" spans="1:16" x14ac:dyDescent="0.15">
      <c r="A2790" s="166"/>
      <c r="B2790" s="82"/>
      <c r="C2790" s="70"/>
      <c r="D2790" s="70"/>
      <c r="E2790" s="70"/>
      <c r="F2790" s="70"/>
      <c r="G2790" s="70"/>
      <c r="H2790" s="93"/>
      <c r="I2790" s="85"/>
      <c r="J2790" s="85"/>
      <c r="K2790" s="131"/>
      <c r="L2790" s="60"/>
    </row>
    <row r="2791" spans="1:16" x14ac:dyDescent="0.15">
      <c r="A2791" s="166"/>
      <c r="B2791" s="93"/>
      <c r="C2791" s="70"/>
      <c r="D2791" s="70"/>
      <c r="E2791" s="70"/>
      <c r="F2791" s="70"/>
      <c r="G2791" s="70"/>
      <c r="H2791" s="93"/>
      <c r="I2791" s="85"/>
      <c r="J2791" s="85"/>
      <c r="K2791" s="131"/>
      <c r="L2791" s="60"/>
      <c r="M2791" s="33"/>
    </row>
    <row r="2792" spans="1:16" x14ac:dyDescent="0.15">
      <c r="A2792" s="166"/>
      <c r="B2792" s="93"/>
      <c r="C2792" s="70"/>
      <c r="D2792" s="70"/>
      <c r="E2792" s="70"/>
      <c r="F2792" s="70"/>
      <c r="G2792" s="70"/>
      <c r="H2792" s="93"/>
      <c r="I2792" s="85"/>
      <c r="J2792" s="85"/>
      <c r="K2792" s="131"/>
      <c r="L2792" s="60"/>
      <c r="M2792" s="33"/>
    </row>
    <row r="2793" spans="1:16" ht="16" x14ac:dyDescent="0.2">
      <c r="A2793" s="166"/>
      <c r="B2793" s="93"/>
      <c r="C2793" s="70"/>
      <c r="D2793" s="70"/>
      <c r="E2793" s="70"/>
      <c r="F2793" s="70"/>
      <c r="G2793" s="70"/>
      <c r="H2793" s="93"/>
      <c r="I2793" s="85"/>
      <c r="J2793" s="85"/>
      <c r="K2793" s="131"/>
      <c r="L2793" s="60"/>
      <c r="M2793" s="47"/>
    </row>
    <row r="2794" spans="1:16" x14ac:dyDescent="0.15">
      <c r="A2794" s="166"/>
      <c r="B2794" s="82"/>
      <c r="C2794" s="70"/>
      <c r="D2794" s="70"/>
      <c r="E2794" s="70"/>
      <c r="F2794" s="70"/>
      <c r="G2794" s="70"/>
      <c r="H2794" s="93"/>
      <c r="I2794" s="85"/>
      <c r="J2794" s="85"/>
      <c r="K2794" s="131"/>
      <c r="L2794" s="60"/>
      <c r="M2794" s="33"/>
      <c r="N2794" s="46"/>
    </row>
    <row r="2795" spans="1:16" x14ac:dyDescent="0.15">
      <c r="A2795" s="166"/>
      <c r="B2795" s="82"/>
      <c r="C2795" s="70"/>
      <c r="D2795" s="70"/>
      <c r="E2795" s="70"/>
      <c r="F2795" s="70"/>
      <c r="G2795" s="70"/>
      <c r="H2795" s="93"/>
      <c r="I2795" s="85"/>
      <c r="J2795" s="85"/>
      <c r="K2795" s="131"/>
      <c r="L2795" s="60"/>
      <c r="M2795" s="33"/>
      <c r="N2795" s="46"/>
    </row>
    <row r="2796" spans="1:16" ht="16" x14ac:dyDescent="0.2">
      <c r="A2796" s="166"/>
      <c r="B2796" s="93"/>
      <c r="C2796" s="70"/>
      <c r="D2796" s="70"/>
      <c r="E2796" s="70"/>
      <c r="F2796" s="70"/>
      <c r="G2796" s="70"/>
      <c r="H2796" s="93"/>
      <c r="I2796" s="85"/>
      <c r="J2796" s="85"/>
      <c r="K2796" s="131"/>
      <c r="L2796" s="60"/>
      <c r="M2796" s="33"/>
      <c r="N2796" s="48"/>
    </row>
    <row r="2797" spans="1:16" x14ac:dyDescent="0.15">
      <c r="A2797" s="166"/>
      <c r="B2797" s="93"/>
      <c r="C2797" s="70"/>
      <c r="D2797" s="70"/>
      <c r="E2797" s="70"/>
      <c r="F2797" s="70"/>
      <c r="G2797" s="70"/>
      <c r="H2797" s="93"/>
      <c r="I2797" s="85"/>
      <c r="J2797" s="85"/>
      <c r="K2797" s="131"/>
      <c r="L2797" s="60"/>
      <c r="M2797" s="33"/>
    </row>
    <row r="2798" spans="1:16" x14ac:dyDescent="0.15">
      <c r="A2798" s="166"/>
      <c r="B2798" s="93"/>
      <c r="C2798" s="70"/>
      <c r="D2798" s="70"/>
      <c r="E2798" s="70"/>
      <c r="F2798" s="70"/>
      <c r="G2798" s="70"/>
      <c r="H2798" s="93"/>
      <c r="I2798" s="85"/>
      <c r="J2798" s="85"/>
      <c r="K2798" s="131"/>
      <c r="L2798" s="60"/>
      <c r="M2798" s="33"/>
    </row>
    <row r="2799" spans="1:16" ht="16" x14ac:dyDescent="0.2">
      <c r="A2799" s="166"/>
      <c r="B2799" s="93"/>
      <c r="C2799" s="70"/>
      <c r="D2799" s="70"/>
      <c r="E2799" s="70"/>
      <c r="F2799" s="70"/>
      <c r="G2799" s="70"/>
      <c r="H2799" s="93"/>
      <c r="I2799" s="85"/>
      <c r="J2799" s="85"/>
      <c r="K2799" s="131"/>
      <c r="L2799" s="60"/>
      <c r="M2799" s="47"/>
    </row>
    <row r="2800" spans="1:16" ht="16" x14ac:dyDescent="0.2">
      <c r="A2800" s="166"/>
      <c r="B2800" s="82"/>
      <c r="C2800" s="70"/>
      <c r="D2800" s="70"/>
      <c r="E2800" s="70"/>
      <c r="F2800" s="70"/>
      <c r="G2800" s="70"/>
      <c r="H2800" s="93"/>
      <c r="I2800" s="85"/>
      <c r="J2800" s="85"/>
      <c r="K2800" s="131"/>
      <c r="L2800" s="60"/>
      <c r="M2800" s="47"/>
    </row>
    <row r="2801" spans="1:13" x14ac:dyDescent="0.15">
      <c r="A2801" s="166"/>
      <c r="B2801" s="93"/>
      <c r="C2801" s="70"/>
      <c r="D2801" s="70"/>
      <c r="E2801" s="70"/>
      <c r="F2801" s="70"/>
      <c r="G2801" s="70"/>
      <c r="H2801" s="93"/>
      <c r="I2801" s="85"/>
      <c r="J2801" s="85"/>
      <c r="K2801" s="131"/>
      <c r="L2801" s="60"/>
      <c r="M2801" s="33"/>
    </row>
    <row r="2802" spans="1:13" x14ac:dyDescent="0.15">
      <c r="A2802" s="166"/>
      <c r="B2802" s="82"/>
      <c r="C2802" s="73"/>
      <c r="D2802" s="73"/>
      <c r="E2802" s="73"/>
      <c r="F2802" s="73"/>
      <c r="G2802" s="73"/>
      <c r="H2802" s="108"/>
      <c r="I2802" s="85"/>
      <c r="J2802" s="95"/>
      <c r="K2802" s="131"/>
      <c r="L2802" s="60"/>
      <c r="M2802" s="33"/>
    </row>
    <row r="2803" spans="1:13" x14ac:dyDescent="0.15">
      <c r="A2803" s="166"/>
      <c r="B2803" s="93"/>
      <c r="C2803" s="70"/>
      <c r="D2803" s="70"/>
      <c r="E2803" s="70"/>
      <c r="F2803" s="70"/>
      <c r="G2803" s="70"/>
      <c r="H2803" s="93"/>
      <c r="I2803" s="85"/>
      <c r="J2803" s="85"/>
      <c r="K2803" s="131"/>
      <c r="L2803" s="60"/>
      <c r="M2803" s="33"/>
    </row>
    <row r="2804" spans="1:13" x14ac:dyDescent="0.15">
      <c r="A2804" s="166"/>
      <c r="B2804" s="93"/>
      <c r="C2804" s="70"/>
      <c r="D2804" s="70"/>
      <c r="E2804" s="70"/>
      <c r="F2804" s="70"/>
      <c r="G2804" s="70"/>
      <c r="H2804" s="93"/>
      <c r="I2804" s="85"/>
      <c r="J2804" s="85"/>
      <c r="K2804" s="131"/>
      <c r="L2804" s="60"/>
      <c r="M2804" s="33"/>
    </row>
    <row r="2805" spans="1:13" ht="16" x14ac:dyDescent="0.2">
      <c r="A2805" s="166"/>
      <c r="B2805" s="93"/>
      <c r="C2805" s="70"/>
      <c r="D2805" s="70"/>
      <c r="E2805" s="70"/>
      <c r="F2805" s="70"/>
      <c r="G2805" s="70"/>
      <c r="H2805" s="93"/>
      <c r="I2805" s="85"/>
      <c r="J2805" s="85"/>
      <c r="K2805" s="131"/>
      <c r="L2805" s="60"/>
      <c r="M2805" s="47"/>
    </row>
    <row r="2806" spans="1:13" x14ac:dyDescent="0.15">
      <c r="A2806" s="166"/>
      <c r="B2806" s="93"/>
      <c r="C2806" s="70"/>
      <c r="D2806" s="70"/>
      <c r="E2806" s="70"/>
      <c r="F2806" s="70"/>
      <c r="G2806" s="70"/>
      <c r="H2806" s="93"/>
      <c r="I2806" s="85"/>
      <c r="J2806" s="85"/>
      <c r="K2806" s="131"/>
      <c r="L2806" s="60"/>
    </row>
    <row r="2807" spans="1:13" x14ac:dyDescent="0.15">
      <c r="A2807" s="166"/>
      <c r="B2807" s="93"/>
      <c r="C2807" s="70"/>
      <c r="D2807" s="70"/>
      <c r="E2807" s="70"/>
      <c r="F2807" s="70"/>
      <c r="G2807" s="70"/>
      <c r="H2807" s="93"/>
      <c r="I2807" s="85"/>
      <c r="J2807" s="85"/>
      <c r="K2807" s="131"/>
      <c r="L2807" s="60"/>
      <c r="M2807" s="33"/>
    </row>
    <row r="2808" spans="1:13" x14ac:dyDescent="0.15">
      <c r="A2808" s="166"/>
      <c r="B2808" s="93"/>
      <c r="C2808" s="70"/>
      <c r="D2808" s="70"/>
      <c r="E2808" s="70"/>
      <c r="F2808" s="70"/>
      <c r="G2808" s="70"/>
      <c r="H2808" s="93"/>
      <c r="I2808" s="85"/>
      <c r="J2808" s="85"/>
      <c r="K2808" s="131"/>
      <c r="L2808" s="60"/>
      <c r="M2808" s="33"/>
    </row>
    <row r="2809" spans="1:13" x14ac:dyDescent="0.15">
      <c r="A2809" s="166"/>
      <c r="B2809" s="82"/>
      <c r="C2809" s="70"/>
      <c r="D2809" s="70"/>
      <c r="E2809" s="70"/>
      <c r="F2809" s="70"/>
      <c r="G2809" s="70"/>
      <c r="H2809" s="93"/>
      <c r="I2809" s="85"/>
      <c r="J2809" s="85"/>
      <c r="K2809" s="131"/>
      <c r="L2809" s="60"/>
      <c r="M2809" s="33"/>
    </row>
    <row r="2810" spans="1:13" x14ac:dyDescent="0.15">
      <c r="A2810" s="166"/>
      <c r="B2810" s="93"/>
      <c r="C2810" s="70"/>
      <c r="D2810" s="70"/>
      <c r="E2810" s="70"/>
      <c r="F2810" s="70"/>
      <c r="G2810" s="70"/>
      <c r="H2810" s="93"/>
      <c r="I2810" s="85"/>
      <c r="J2810" s="85"/>
      <c r="K2810" s="131"/>
      <c r="L2810" s="60"/>
      <c r="M2810" s="33"/>
    </row>
    <row r="2811" spans="1:13" x14ac:dyDescent="0.15">
      <c r="A2811" s="166"/>
      <c r="B2811" s="82"/>
      <c r="C2811" s="70"/>
      <c r="D2811" s="70"/>
      <c r="E2811" s="70"/>
      <c r="F2811" s="70"/>
      <c r="G2811" s="70"/>
      <c r="H2811" s="93"/>
      <c r="I2811" s="85"/>
      <c r="J2811" s="85"/>
      <c r="K2811" s="131"/>
      <c r="L2811" s="60"/>
      <c r="M2811" s="33"/>
    </row>
    <row r="2812" spans="1:13" x14ac:dyDescent="0.15">
      <c r="A2812" s="166"/>
      <c r="B2812" s="82"/>
      <c r="C2812" s="70"/>
      <c r="D2812" s="70"/>
      <c r="E2812" s="70"/>
      <c r="F2812" s="70"/>
      <c r="G2812" s="70"/>
      <c r="H2812" s="93"/>
      <c r="I2812" s="85"/>
      <c r="J2812" s="85"/>
      <c r="K2812" s="131"/>
      <c r="L2812" s="60"/>
      <c r="M2812" s="33"/>
    </row>
    <row r="2813" spans="1:13" x14ac:dyDescent="0.15">
      <c r="A2813" s="166"/>
      <c r="B2813" s="93"/>
      <c r="C2813" s="70"/>
      <c r="D2813" s="70"/>
      <c r="E2813" s="70"/>
      <c r="F2813" s="70"/>
      <c r="G2813" s="70"/>
      <c r="H2813" s="93"/>
      <c r="I2813" s="85"/>
      <c r="J2813" s="85"/>
      <c r="K2813" s="131"/>
      <c r="L2813" s="60"/>
      <c r="M2813" s="33"/>
    </row>
    <row r="2814" spans="1:13" x14ac:dyDescent="0.15">
      <c r="A2814" s="166"/>
      <c r="B2814" s="93"/>
      <c r="C2814" s="70"/>
      <c r="D2814" s="70"/>
      <c r="E2814" s="70"/>
      <c r="F2814" s="70"/>
      <c r="G2814" s="70"/>
      <c r="H2814" s="93"/>
      <c r="I2814" s="85"/>
      <c r="J2814" s="85"/>
      <c r="K2814" s="131"/>
      <c r="L2814" s="60"/>
      <c r="M2814" s="33"/>
    </row>
    <row r="2815" spans="1:13" x14ac:dyDescent="0.15">
      <c r="A2815" s="166"/>
      <c r="B2815" s="93"/>
      <c r="C2815" s="70"/>
      <c r="D2815" s="70"/>
      <c r="E2815" s="70"/>
      <c r="F2815" s="70"/>
      <c r="G2815" s="70"/>
      <c r="H2815" s="93"/>
      <c r="I2815" s="85"/>
      <c r="J2815" s="85"/>
      <c r="K2815" s="141"/>
      <c r="L2815" s="60"/>
      <c r="M2815" s="33"/>
    </row>
    <row r="2816" spans="1:13" x14ac:dyDescent="0.15">
      <c r="A2816" s="166"/>
      <c r="B2816" s="93"/>
      <c r="C2816" s="70"/>
      <c r="D2816" s="70"/>
      <c r="E2816" s="70"/>
      <c r="F2816" s="70"/>
      <c r="G2816" s="70"/>
      <c r="H2816" s="93"/>
      <c r="I2816" s="85"/>
      <c r="J2816" s="85"/>
      <c r="K2816" s="131"/>
      <c r="L2816" s="60"/>
      <c r="M2816" s="33"/>
    </row>
    <row r="2817" spans="1:14" x14ac:dyDescent="0.15">
      <c r="A2817" s="166"/>
      <c r="B2817" s="93"/>
      <c r="C2817" s="70"/>
      <c r="D2817" s="70"/>
      <c r="E2817" s="70"/>
      <c r="F2817" s="70"/>
      <c r="G2817" s="70"/>
      <c r="H2817" s="93"/>
      <c r="I2817" s="85"/>
      <c r="J2817" s="85"/>
      <c r="K2817" s="131"/>
      <c r="L2817" s="60"/>
      <c r="M2817" s="33"/>
    </row>
    <row r="2818" spans="1:14" x14ac:dyDescent="0.15">
      <c r="A2818" s="166"/>
      <c r="B2818" s="93"/>
      <c r="C2818" s="70"/>
      <c r="D2818" s="70"/>
      <c r="E2818" s="70"/>
      <c r="F2818" s="70"/>
      <c r="G2818" s="70"/>
      <c r="H2818" s="93"/>
      <c r="I2818" s="85"/>
      <c r="J2818" s="85"/>
      <c r="K2818" s="131"/>
      <c r="L2818" s="60"/>
      <c r="M2818" s="33"/>
    </row>
    <row r="2819" spans="1:14" x14ac:dyDescent="0.15">
      <c r="A2819" s="166"/>
      <c r="B2819" s="93"/>
      <c r="C2819" s="70"/>
      <c r="D2819" s="70"/>
      <c r="E2819" s="70"/>
      <c r="F2819" s="70"/>
      <c r="G2819" s="70"/>
      <c r="H2819" s="93"/>
      <c r="I2819" s="85"/>
      <c r="J2819" s="85"/>
      <c r="K2819" s="131"/>
      <c r="L2819" s="60"/>
      <c r="M2819" s="33"/>
    </row>
    <row r="2820" spans="1:14" x14ac:dyDescent="0.15">
      <c r="A2820" s="166"/>
      <c r="B2820" s="93"/>
      <c r="C2820" s="70"/>
      <c r="D2820" s="70"/>
      <c r="E2820" s="70"/>
      <c r="F2820" s="70"/>
      <c r="G2820" s="70"/>
      <c r="H2820" s="93"/>
      <c r="I2820" s="85"/>
      <c r="J2820" s="85"/>
      <c r="K2820" s="131"/>
      <c r="L2820" s="60"/>
      <c r="M2820" s="33"/>
    </row>
    <row r="2821" spans="1:14" x14ac:dyDescent="0.15">
      <c r="A2821" s="166"/>
      <c r="B2821" s="93"/>
      <c r="C2821" s="70"/>
      <c r="D2821" s="70"/>
      <c r="E2821" s="70"/>
      <c r="F2821" s="70"/>
      <c r="G2821" s="70"/>
      <c r="H2821" s="93"/>
      <c r="I2821" s="85"/>
      <c r="J2821" s="85"/>
      <c r="K2821" s="141"/>
      <c r="L2821" s="60"/>
      <c r="M2821" s="33"/>
    </row>
    <row r="2822" spans="1:14" ht="16" x14ac:dyDescent="0.2">
      <c r="A2822" s="166"/>
      <c r="B2822" s="93"/>
      <c r="C2822" s="70"/>
      <c r="D2822" s="70"/>
      <c r="E2822" s="70"/>
      <c r="F2822" s="70"/>
      <c r="G2822" s="70"/>
      <c r="H2822" s="93"/>
      <c r="I2822" s="85"/>
      <c r="J2822" s="85"/>
      <c r="K2822" s="131"/>
      <c r="L2822" s="60"/>
      <c r="M2822" s="47"/>
    </row>
    <row r="2823" spans="1:14" x14ac:dyDescent="0.15">
      <c r="A2823" s="166"/>
      <c r="B2823" s="93"/>
      <c r="C2823" s="70"/>
      <c r="D2823" s="70"/>
      <c r="E2823" s="70"/>
      <c r="F2823" s="70"/>
      <c r="G2823" s="70"/>
      <c r="H2823" s="93"/>
      <c r="I2823" s="85"/>
      <c r="J2823" s="85"/>
      <c r="K2823" s="131"/>
      <c r="L2823" s="60"/>
      <c r="M2823" s="33"/>
    </row>
    <row r="2824" spans="1:14" ht="16" x14ac:dyDescent="0.2">
      <c r="A2824" s="166"/>
      <c r="B2824" s="93"/>
      <c r="C2824" s="70"/>
      <c r="D2824" s="70"/>
      <c r="E2824" s="70"/>
      <c r="F2824" s="70"/>
      <c r="G2824" s="70"/>
      <c r="H2824" s="93"/>
      <c r="I2824" s="85"/>
      <c r="J2824" s="85"/>
      <c r="K2824" s="131"/>
      <c r="L2824" s="60"/>
      <c r="M2824" s="47"/>
    </row>
    <row r="2825" spans="1:14" x14ac:dyDescent="0.15">
      <c r="A2825" s="166"/>
      <c r="B2825" s="93"/>
      <c r="C2825" s="70"/>
      <c r="D2825" s="70"/>
      <c r="E2825" s="70"/>
      <c r="F2825" s="70"/>
      <c r="G2825" s="70"/>
      <c r="H2825" s="93"/>
      <c r="I2825" s="85"/>
      <c r="J2825" s="85"/>
      <c r="K2825" s="131"/>
      <c r="L2825" s="60"/>
      <c r="M2825" s="33"/>
    </row>
    <row r="2826" spans="1:14" x14ac:dyDescent="0.15">
      <c r="A2826" s="166"/>
      <c r="B2826" s="82"/>
      <c r="C2826" s="70"/>
      <c r="D2826" s="70"/>
      <c r="E2826" s="70"/>
      <c r="F2826" s="70"/>
      <c r="G2826" s="70"/>
      <c r="H2826" s="93"/>
      <c r="I2826" s="85"/>
      <c r="J2826" s="85"/>
      <c r="K2826" s="131"/>
      <c r="L2826" s="60"/>
      <c r="M2826" s="33"/>
    </row>
    <row r="2827" spans="1:14" x14ac:dyDescent="0.15">
      <c r="A2827" s="166"/>
      <c r="B2827" s="82"/>
      <c r="C2827" s="70"/>
      <c r="D2827" s="70"/>
      <c r="E2827" s="70"/>
      <c r="F2827" s="70"/>
      <c r="G2827" s="70"/>
      <c r="H2827" s="93"/>
      <c r="I2827" s="85"/>
      <c r="J2827" s="85"/>
      <c r="K2827" s="131"/>
      <c r="L2827" s="60"/>
      <c r="M2827" s="33"/>
    </row>
    <row r="2828" spans="1:14" x14ac:dyDescent="0.15">
      <c r="A2828" s="166"/>
      <c r="B2828" s="82"/>
      <c r="C2828" s="70"/>
      <c r="D2828" s="70"/>
      <c r="E2828" s="70"/>
      <c r="F2828" s="70"/>
      <c r="G2828" s="70"/>
      <c r="H2828" s="93"/>
      <c r="I2828" s="85"/>
      <c r="J2828" s="85"/>
      <c r="K2828" s="131"/>
      <c r="L2828" s="60"/>
      <c r="M2828" s="33"/>
    </row>
    <row r="2829" spans="1:14" x14ac:dyDescent="0.15">
      <c r="A2829" s="166"/>
      <c r="B2829" s="93"/>
      <c r="C2829" s="70"/>
      <c r="D2829" s="70"/>
      <c r="E2829" s="70"/>
      <c r="F2829" s="70"/>
      <c r="G2829" s="70"/>
      <c r="H2829" s="93"/>
      <c r="I2829" s="85"/>
      <c r="J2829" s="85"/>
      <c r="K2829" s="131"/>
      <c r="L2829" s="60"/>
      <c r="M2829" s="33"/>
    </row>
    <row r="2830" spans="1:14" x14ac:dyDescent="0.15">
      <c r="A2830" s="166"/>
      <c r="B2830" s="82"/>
      <c r="C2830" s="70"/>
      <c r="D2830" s="70"/>
      <c r="E2830" s="70"/>
      <c r="F2830" s="70"/>
      <c r="G2830" s="70"/>
      <c r="H2830" s="93"/>
      <c r="I2830" s="85"/>
      <c r="J2830" s="85"/>
      <c r="K2830" s="141"/>
      <c r="L2830" s="60"/>
      <c r="M2830" s="33"/>
    </row>
    <row r="2831" spans="1:14" x14ac:dyDescent="0.15">
      <c r="A2831" s="166"/>
      <c r="B2831" s="93"/>
      <c r="C2831" s="70"/>
      <c r="D2831" s="70"/>
      <c r="E2831" s="70"/>
      <c r="F2831" s="70"/>
      <c r="G2831" s="70"/>
      <c r="H2831" s="93"/>
      <c r="I2831" s="85"/>
      <c r="J2831" s="85"/>
      <c r="K2831" s="131"/>
      <c r="L2831" s="60"/>
      <c r="M2831" s="33"/>
      <c r="N2831" s="32"/>
    </row>
    <row r="2832" spans="1:14" x14ac:dyDescent="0.15">
      <c r="A2832" s="166"/>
      <c r="B2832" s="93"/>
      <c r="C2832" s="70"/>
      <c r="D2832" s="70"/>
      <c r="E2832" s="70"/>
      <c r="F2832" s="70"/>
      <c r="G2832" s="70"/>
      <c r="H2832" s="93"/>
      <c r="I2832" s="85"/>
      <c r="J2832" s="85"/>
      <c r="K2832" s="131"/>
      <c r="L2832" s="60"/>
      <c r="M2832" s="33"/>
    </row>
    <row r="2833" spans="1:14" x14ac:dyDescent="0.15">
      <c r="A2833" s="166"/>
      <c r="B2833" s="93"/>
      <c r="C2833" s="70"/>
      <c r="D2833" s="70"/>
      <c r="E2833" s="70"/>
      <c r="F2833" s="70"/>
      <c r="G2833" s="70"/>
      <c r="H2833" s="93"/>
      <c r="I2833" s="85"/>
      <c r="J2833" s="85"/>
      <c r="K2833" s="131"/>
      <c r="L2833" s="60"/>
      <c r="M2833" s="33"/>
    </row>
    <row r="2834" spans="1:14" x14ac:dyDescent="0.15">
      <c r="A2834" s="166"/>
      <c r="B2834" s="82"/>
      <c r="C2834" s="70"/>
      <c r="D2834" s="70"/>
      <c r="E2834" s="70"/>
      <c r="F2834" s="70"/>
      <c r="G2834" s="70"/>
      <c r="H2834" s="93"/>
      <c r="I2834" s="85"/>
      <c r="J2834" s="85"/>
      <c r="K2834" s="131"/>
      <c r="L2834" s="60"/>
      <c r="M2834" s="33"/>
    </row>
    <row r="2835" spans="1:14" ht="16" x14ac:dyDescent="0.2">
      <c r="A2835" s="166"/>
      <c r="B2835" s="93"/>
      <c r="C2835" s="70"/>
      <c r="D2835" s="70"/>
      <c r="E2835" s="70"/>
      <c r="F2835" s="70"/>
      <c r="G2835" s="70"/>
      <c r="H2835" s="93"/>
      <c r="I2835" s="85"/>
      <c r="J2835" s="85"/>
      <c r="K2835" s="131"/>
      <c r="L2835" s="60"/>
      <c r="M2835" s="33"/>
      <c r="N2835" s="48"/>
    </row>
    <row r="2836" spans="1:14" ht="16" x14ac:dyDescent="0.2">
      <c r="A2836" s="166"/>
      <c r="B2836" s="93"/>
      <c r="C2836" s="70"/>
      <c r="D2836" s="70"/>
      <c r="E2836" s="70"/>
      <c r="F2836" s="70"/>
      <c r="G2836" s="70"/>
      <c r="H2836" s="93"/>
      <c r="I2836" s="85"/>
      <c r="J2836" s="85"/>
      <c r="K2836" s="131"/>
      <c r="L2836" s="60"/>
      <c r="M2836" s="47"/>
    </row>
    <row r="2837" spans="1:14" x14ac:dyDescent="0.15">
      <c r="A2837" s="166"/>
      <c r="B2837" s="93"/>
      <c r="C2837" s="70"/>
      <c r="D2837" s="70"/>
      <c r="E2837" s="70"/>
      <c r="F2837" s="70"/>
      <c r="G2837" s="70"/>
      <c r="H2837" s="93"/>
      <c r="I2837" s="85"/>
      <c r="J2837" s="85"/>
      <c r="K2837" s="131"/>
      <c r="L2837" s="60"/>
      <c r="M2837" s="33"/>
    </row>
    <row r="2838" spans="1:14" x14ac:dyDescent="0.15">
      <c r="A2838" s="166"/>
      <c r="B2838" s="93"/>
      <c r="C2838" s="70"/>
      <c r="D2838" s="70"/>
      <c r="E2838" s="70"/>
      <c r="F2838" s="70"/>
      <c r="G2838" s="70"/>
      <c r="H2838" s="93"/>
      <c r="I2838" s="85"/>
      <c r="J2838" s="85"/>
      <c r="K2838" s="131"/>
      <c r="L2838" s="60"/>
      <c r="M2838" s="33"/>
    </row>
    <row r="2839" spans="1:14" x14ac:dyDescent="0.15">
      <c r="A2839" s="166"/>
      <c r="B2839" s="93"/>
      <c r="C2839" s="70"/>
      <c r="D2839" s="70"/>
      <c r="E2839" s="70"/>
      <c r="F2839" s="70"/>
      <c r="G2839" s="70"/>
      <c r="H2839" s="93"/>
      <c r="I2839" s="85"/>
      <c r="J2839" s="85"/>
      <c r="K2839" s="131"/>
      <c r="L2839" s="60"/>
      <c r="M2839" s="33"/>
    </row>
    <row r="2840" spans="1:14" ht="16" x14ac:dyDescent="0.2">
      <c r="A2840" s="166"/>
      <c r="B2840" s="93"/>
      <c r="C2840" s="70"/>
      <c r="D2840" s="70"/>
      <c r="E2840" s="70"/>
      <c r="F2840" s="70"/>
      <c r="G2840" s="70"/>
      <c r="H2840" s="93"/>
      <c r="I2840" s="85"/>
      <c r="J2840" s="85"/>
      <c r="K2840" s="131"/>
      <c r="L2840" s="60"/>
      <c r="M2840" s="47"/>
    </row>
    <row r="2841" spans="1:14" x14ac:dyDescent="0.15">
      <c r="A2841" s="166"/>
      <c r="B2841" s="93"/>
      <c r="C2841" s="70"/>
      <c r="D2841" s="70"/>
      <c r="E2841" s="70"/>
      <c r="F2841" s="70"/>
      <c r="G2841" s="70"/>
      <c r="H2841" s="93"/>
      <c r="I2841" s="85"/>
      <c r="J2841" s="85"/>
      <c r="K2841" s="131"/>
      <c r="L2841" s="60"/>
      <c r="M2841" s="33"/>
    </row>
    <row r="2842" spans="1:14" x14ac:dyDescent="0.15">
      <c r="A2842" s="166"/>
      <c r="B2842" s="93"/>
      <c r="C2842" s="70"/>
      <c r="D2842" s="70"/>
      <c r="E2842" s="70"/>
      <c r="F2842" s="70"/>
      <c r="G2842" s="70"/>
      <c r="H2842" s="93"/>
      <c r="I2842" s="85"/>
      <c r="J2842" s="85"/>
      <c r="K2842" s="131"/>
      <c r="L2842" s="60"/>
      <c r="M2842" s="33"/>
    </row>
    <row r="2843" spans="1:14" x14ac:dyDescent="0.15">
      <c r="A2843" s="166"/>
      <c r="B2843" s="93"/>
      <c r="C2843" s="70"/>
      <c r="D2843" s="70"/>
      <c r="E2843" s="70"/>
      <c r="F2843" s="70"/>
      <c r="G2843" s="70"/>
      <c r="H2843" s="93"/>
      <c r="I2843" s="85"/>
      <c r="J2843" s="85"/>
      <c r="K2843" s="131"/>
      <c r="L2843" s="60"/>
      <c r="M2843" s="33"/>
    </row>
    <row r="2844" spans="1:14" x14ac:dyDescent="0.15">
      <c r="A2844" s="166"/>
      <c r="B2844" s="93"/>
      <c r="C2844" s="70"/>
      <c r="D2844" s="70"/>
      <c r="E2844" s="70"/>
      <c r="F2844" s="70"/>
      <c r="G2844" s="70"/>
      <c r="H2844" s="93"/>
      <c r="I2844" s="85"/>
      <c r="J2844" s="85"/>
      <c r="K2844" s="131"/>
      <c r="L2844" s="60"/>
      <c r="M2844" s="33"/>
      <c r="N2844" s="32"/>
    </row>
    <row r="2845" spans="1:14" x14ac:dyDescent="0.15">
      <c r="A2845" s="166"/>
      <c r="B2845" s="93"/>
      <c r="C2845" s="70"/>
      <c r="D2845" s="70"/>
      <c r="E2845" s="70"/>
      <c r="F2845" s="70"/>
      <c r="G2845" s="70"/>
      <c r="H2845" s="93"/>
      <c r="I2845" s="85"/>
      <c r="J2845" s="85"/>
      <c r="K2845" s="131"/>
      <c r="L2845" s="60"/>
      <c r="M2845" s="33"/>
    </row>
    <row r="2846" spans="1:14" x14ac:dyDescent="0.15">
      <c r="A2846" s="166"/>
      <c r="B2846" s="93"/>
      <c r="C2846" s="70"/>
      <c r="D2846" s="70"/>
      <c r="E2846" s="70"/>
      <c r="F2846" s="70"/>
      <c r="G2846" s="70"/>
      <c r="H2846" s="93"/>
      <c r="I2846" s="85"/>
      <c r="J2846" s="85"/>
      <c r="K2846" s="131"/>
      <c r="L2846" s="60"/>
      <c r="M2846" s="33"/>
    </row>
    <row r="2847" spans="1:14" ht="16" x14ac:dyDescent="0.2">
      <c r="A2847" s="166"/>
      <c r="B2847" s="93"/>
      <c r="C2847" s="70"/>
      <c r="D2847" s="70"/>
      <c r="E2847" s="70"/>
      <c r="F2847" s="70"/>
      <c r="G2847" s="70"/>
      <c r="H2847" s="93"/>
      <c r="I2847" s="85"/>
      <c r="J2847" s="85"/>
      <c r="K2847" s="131"/>
      <c r="L2847" s="60"/>
      <c r="M2847" s="47"/>
    </row>
    <row r="2848" spans="1:14" x14ac:dyDescent="0.15">
      <c r="A2848" s="166"/>
      <c r="B2848" s="93"/>
      <c r="C2848" s="70"/>
      <c r="D2848" s="70"/>
      <c r="E2848" s="70"/>
      <c r="F2848" s="70"/>
      <c r="G2848" s="70"/>
      <c r="H2848" s="93"/>
      <c r="I2848" s="85"/>
      <c r="J2848" s="85"/>
      <c r="K2848" s="131"/>
      <c r="L2848" s="60"/>
      <c r="M2848" s="33"/>
    </row>
    <row r="2849" spans="1:14" x14ac:dyDescent="0.15">
      <c r="A2849" s="166"/>
      <c r="B2849" s="93"/>
      <c r="C2849" s="70"/>
      <c r="D2849" s="70"/>
      <c r="E2849" s="70"/>
      <c r="F2849" s="70"/>
      <c r="G2849" s="70"/>
      <c r="H2849" s="93"/>
      <c r="I2849" s="85"/>
      <c r="J2849" s="85"/>
      <c r="K2849" s="131"/>
      <c r="L2849" s="60"/>
      <c r="M2849" s="33"/>
    </row>
    <row r="2850" spans="1:14" ht="16" x14ac:dyDescent="0.2">
      <c r="A2850" s="166"/>
      <c r="B2850" s="93"/>
      <c r="C2850" s="70"/>
      <c r="D2850" s="70"/>
      <c r="E2850" s="70"/>
      <c r="F2850" s="70"/>
      <c r="G2850" s="70"/>
      <c r="H2850" s="93"/>
      <c r="I2850" s="85"/>
      <c r="J2850" s="85"/>
      <c r="K2850" s="131"/>
      <c r="L2850" s="60"/>
      <c r="M2850" s="47"/>
    </row>
    <row r="2851" spans="1:14" ht="16" x14ac:dyDescent="0.2">
      <c r="A2851" s="166"/>
      <c r="B2851" s="93"/>
      <c r="C2851" s="70"/>
      <c r="D2851" s="70"/>
      <c r="E2851" s="70"/>
      <c r="F2851" s="70"/>
      <c r="G2851" s="70"/>
      <c r="H2851" s="93"/>
      <c r="I2851" s="85"/>
      <c r="J2851" s="85"/>
      <c r="K2851" s="131"/>
      <c r="L2851" s="60"/>
      <c r="M2851" s="47"/>
    </row>
    <row r="2852" spans="1:14" x14ac:dyDescent="0.15">
      <c r="A2852" s="166"/>
      <c r="B2852" s="93"/>
      <c r="C2852" s="70"/>
      <c r="D2852" s="70"/>
      <c r="E2852" s="70"/>
      <c r="F2852" s="70"/>
      <c r="G2852" s="70"/>
      <c r="H2852" s="93"/>
      <c r="I2852" s="85"/>
      <c r="J2852" s="110"/>
      <c r="K2852" s="131"/>
      <c r="L2852" s="63"/>
      <c r="M2852" s="33"/>
    </row>
    <row r="2853" spans="1:14" ht="16" x14ac:dyDescent="0.2">
      <c r="A2853" s="166"/>
      <c r="B2853" s="93"/>
      <c r="C2853" s="70"/>
      <c r="D2853" s="70"/>
      <c r="E2853" s="70"/>
      <c r="F2853" s="70"/>
      <c r="G2853" s="70"/>
      <c r="H2853" s="93"/>
      <c r="I2853" s="85"/>
      <c r="J2853" s="85"/>
      <c r="K2853" s="131"/>
      <c r="L2853" s="60"/>
      <c r="M2853" s="47"/>
    </row>
    <row r="2854" spans="1:14" ht="16" x14ac:dyDescent="0.2">
      <c r="A2854" s="166"/>
      <c r="B2854" s="93"/>
      <c r="C2854" s="70"/>
      <c r="D2854" s="70"/>
      <c r="E2854" s="70"/>
      <c r="F2854" s="70"/>
      <c r="G2854" s="70"/>
      <c r="H2854" s="93"/>
      <c r="I2854" s="85"/>
      <c r="J2854" s="85"/>
      <c r="K2854" s="131"/>
      <c r="L2854" s="60"/>
      <c r="M2854" s="33"/>
      <c r="N2854" s="48"/>
    </row>
    <row r="2855" spans="1:14" x14ac:dyDescent="0.15">
      <c r="A2855" s="166"/>
      <c r="B2855" s="93"/>
      <c r="C2855" s="70"/>
      <c r="D2855" s="70"/>
      <c r="E2855" s="70"/>
      <c r="F2855" s="70"/>
      <c r="G2855" s="70"/>
      <c r="H2855" s="93"/>
      <c r="I2855" s="85"/>
      <c r="J2855" s="85"/>
      <c r="K2855" s="131"/>
      <c r="L2855" s="60"/>
      <c r="M2855" s="33"/>
    </row>
    <row r="2856" spans="1:14" x14ac:dyDescent="0.15">
      <c r="A2856" s="166"/>
      <c r="B2856" s="93"/>
      <c r="C2856" s="70"/>
      <c r="D2856" s="70"/>
      <c r="E2856" s="70"/>
      <c r="F2856" s="70"/>
      <c r="G2856" s="70"/>
      <c r="H2856" s="93"/>
      <c r="I2856" s="85"/>
      <c r="J2856" s="85"/>
      <c r="K2856" s="131"/>
      <c r="L2856" s="60"/>
      <c r="M2856" s="33"/>
    </row>
    <row r="2857" spans="1:14" x14ac:dyDescent="0.15">
      <c r="A2857" s="166"/>
      <c r="B2857" s="93"/>
      <c r="C2857" s="70"/>
      <c r="D2857" s="70"/>
      <c r="E2857" s="70"/>
      <c r="F2857" s="70"/>
      <c r="G2857" s="70"/>
      <c r="H2857" s="93"/>
      <c r="I2857" s="85"/>
      <c r="J2857" s="85"/>
      <c r="K2857" s="131"/>
      <c r="L2857" s="60"/>
      <c r="M2857" s="33"/>
    </row>
    <row r="2858" spans="1:14" x14ac:dyDescent="0.15">
      <c r="A2858" s="166"/>
      <c r="B2858" s="93"/>
      <c r="C2858" s="70"/>
      <c r="D2858" s="70"/>
      <c r="E2858" s="70"/>
      <c r="F2858" s="70"/>
      <c r="G2858" s="70"/>
      <c r="H2858" s="93"/>
      <c r="I2858" s="85"/>
      <c r="J2858" s="85"/>
      <c r="K2858" s="131"/>
      <c r="L2858" s="60"/>
      <c r="M2858" s="33"/>
    </row>
    <row r="2859" spans="1:14" x14ac:dyDescent="0.15">
      <c r="A2859" s="166"/>
      <c r="B2859" s="93"/>
      <c r="C2859" s="70"/>
      <c r="D2859" s="70"/>
      <c r="E2859" s="70"/>
      <c r="F2859" s="70"/>
      <c r="G2859" s="70"/>
      <c r="H2859" s="93"/>
      <c r="I2859" s="85"/>
      <c r="J2859" s="85"/>
      <c r="K2859" s="131"/>
      <c r="L2859" s="60"/>
      <c r="M2859" s="33"/>
    </row>
    <row r="2860" spans="1:14" x14ac:dyDescent="0.15">
      <c r="A2860" s="166"/>
      <c r="B2860" s="82"/>
      <c r="C2860" s="70"/>
      <c r="D2860" s="70"/>
      <c r="E2860" s="70"/>
      <c r="F2860" s="70"/>
      <c r="G2860" s="70"/>
      <c r="H2860" s="93"/>
      <c r="I2860" s="85"/>
      <c r="J2860" s="85"/>
      <c r="K2860" s="131"/>
      <c r="L2860" s="60"/>
      <c r="M2860" s="33"/>
      <c r="N2860" s="32"/>
    </row>
    <row r="2861" spans="1:14" x14ac:dyDescent="0.15">
      <c r="A2861" s="166"/>
      <c r="B2861" s="93"/>
      <c r="C2861" s="70"/>
      <c r="D2861" s="70"/>
      <c r="E2861" s="70"/>
      <c r="F2861" s="70"/>
      <c r="G2861" s="70"/>
      <c r="H2861" s="93"/>
      <c r="I2861" s="85"/>
      <c r="J2861" s="85"/>
      <c r="K2861" s="131"/>
      <c r="L2861" s="60"/>
      <c r="M2861" s="33"/>
    </row>
    <row r="2862" spans="1:14" x14ac:dyDescent="0.15">
      <c r="A2862" s="166"/>
      <c r="B2862" s="93"/>
      <c r="C2862" s="70"/>
      <c r="D2862" s="70"/>
      <c r="E2862" s="70"/>
      <c r="F2862" s="70"/>
      <c r="G2862" s="70"/>
      <c r="H2862" s="93"/>
      <c r="I2862" s="85"/>
      <c r="J2862" s="85"/>
      <c r="K2862" s="131"/>
      <c r="L2862" s="60"/>
      <c r="M2862" s="33"/>
    </row>
    <row r="2863" spans="1:14" x14ac:dyDescent="0.15">
      <c r="A2863" s="166"/>
      <c r="B2863" s="93"/>
      <c r="C2863" s="70"/>
      <c r="D2863" s="70"/>
      <c r="E2863" s="70"/>
      <c r="F2863" s="70"/>
      <c r="G2863" s="70"/>
      <c r="H2863" s="93"/>
      <c r="I2863" s="85"/>
      <c r="J2863" s="85"/>
      <c r="K2863" s="131"/>
      <c r="L2863" s="60"/>
      <c r="M2863" s="37"/>
    </row>
    <row r="2864" spans="1:14" x14ac:dyDescent="0.15">
      <c r="A2864" s="166"/>
      <c r="B2864" s="93"/>
      <c r="C2864" s="70"/>
      <c r="D2864" s="70"/>
      <c r="E2864" s="70"/>
      <c r="F2864" s="70"/>
      <c r="G2864" s="70"/>
      <c r="H2864" s="93"/>
      <c r="I2864" s="85"/>
      <c r="J2864" s="85"/>
      <c r="K2864" s="131"/>
      <c r="L2864" s="60"/>
      <c r="M2864" s="53"/>
    </row>
    <row r="2865" spans="1:14" x14ac:dyDescent="0.15">
      <c r="A2865" s="166"/>
      <c r="B2865" s="82"/>
      <c r="C2865" s="70"/>
      <c r="D2865" s="70"/>
      <c r="E2865" s="70"/>
      <c r="F2865" s="70"/>
      <c r="G2865" s="70"/>
      <c r="H2865" s="93"/>
      <c r="I2865" s="85"/>
      <c r="J2865" s="85"/>
      <c r="K2865" s="131"/>
      <c r="L2865" s="60"/>
      <c r="M2865" s="33"/>
    </row>
    <row r="2866" spans="1:14" x14ac:dyDescent="0.15">
      <c r="A2866" s="166"/>
      <c r="B2866" s="93"/>
      <c r="C2866" s="70"/>
      <c r="D2866" s="70"/>
      <c r="E2866" s="70"/>
      <c r="F2866" s="70"/>
      <c r="G2866" s="70"/>
      <c r="H2866" s="93"/>
      <c r="I2866" s="85"/>
      <c r="J2866" s="85"/>
      <c r="K2866" s="131"/>
      <c r="L2866" s="60"/>
      <c r="M2866" s="37"/>
    </row>
    <row r="2867" spans="1:14" x14ac:dyDescent="0.15">
      <c r="A2867" s="166"/>
      <c r="B2867" s="93"/>
      <c r="C2867" s="70"/>
      <c r="D2867" s="70"/>
      <c r="E2867" s="70"/>
      <c r="F2867" s="70"/>
      <c r="G2867" s="70"/>
      <c r="H2867" s="93"/>
      <c r="I2867" s="85"/>
      <c r="J2867" s="85"/>
      <c r="K2867" s="131"/>
      <c r="L2867" s="60"/>
      <c r="M2867" s="33"/>
      <c r="N2867" s="32"/>
    </row>
    <row r="2868" spans="1:14" ht="16" x14ac:dyDescent="0.2">
      <c r="A2868" s="166"/>
      <c r="B2868" s="93"/>
      <c r="C2868" s="70"/>
      <c r="D2868" s="70"/>
      <c r="E2868" s="70"/>
      <c r="F2868" s="70"/>
      <c r="G2868" s="70"/>
      <c r="H2868" s="93"/>
      <c r="I2868" s="85"/>
      <c r="J2868" s="85"/>
      <c r="K2868" s="131"/>
      <c r="L2868" s="60"/>
      <c r="M2868" s="37"/>
      <c r="N2868" s="48"/>
    </row>
    <row r="2869" spans="1:14" x14ac:dyDescent="0.15">
      <c r="A2869" s="166"/>
      <c r="B2869" s="93"/>
      <c r="C2869" s="70"/>
      <c r="D2869" s="70"/>
      <c r="E2869" s="70"/>
      <c r="F2869" s="70"/>
      <c r="G2869" s="70"/>
      <c r="H2869" s="93"/>
      <c r="I2869" s="85"/>
      <c r="J2869" s="85"/>
      <c r="K2869" s="131"/>
      <c r="L2869" s="60"/>
      <c r="M2869" s="33"/>
    </row>
    <row r="2870" spans="1:14" x14ac:dyDescent="0.15">
      <c r="A2870" s="166"/>
      <c r="B2870" s="93"/>
      <c r="C2870" s="70"/>
      <c r="D2870" s="70"/>
      <c r="E2870" s="70"/>
      <c r="F2870" s="70"/>
      <c r="G2870" s="70"/>
      <c r="H2870" s="93"/>
      <c r="I2870" s="85"/>
      <c r="J2870" s="85"/>
      <c r="K2870" s="131"/>
      <c r="L2870" s="60"/>
      <c r="M2870" s="33"/>
    </row>
    <row r="2871" spans="1:14" x14ac:dyDescent="0.15">
      <c r="A2871" s="166"/>
      <c r="B2871" s="93"/>
      <c r="C2871" s="70"/>
      <c r="D2871" s="70"/>
      <c r="E2871" s="70"/>
      <c r="F2871" s="70"/>
      <c r="G2871" s="70"/>
      <c r="H2871" s="93"/>
      <c r="I2871" s="85"/>
      <c r="J2871" s="85"/>
      <c r="K2871" s="131"/>
      <c r="L2871" s="60"/>
      <c r="M2871" s="53"/>
    </row>
    <row r="2872" spans="1:14" x14ac:dyDescent="0.15">
      <c r="A2872" s="166"/>
      <c r="B2872" s="93"/>
      <c r="C2872" s="70"/>
      <c r="D2872" s="70"/>
      <c r="E2872" s="70"/>
      <c r="F2872" s="70"/>
      <c r="G2872" s="70"/>
      <c r="H2872" s="93"/>
      <c r="I2872" s="85"/>
      <c r="J2872" s="85"/>
      <c r="K2872" s="131"/>
      <c r="L2872" s="60"/>
      <c r="M2872" s="33"/>
    </row>
    <row r="2873" spans="1:14" x14ac:dyDescent="0.15">
      <c r="A2873" s="166"/>
      <c r="B2873" s="93"/>
      <c r="C2873" s="70"/>
      <c r="D2873" s="70"/>
      <c r="E2873" s="70"/>
      <c r="F2873" s="70"/>
      <c r="G2873" s="70"/>
      <c r="H2873" s="93"/>
      <c r="I2873" s="85"/>
      <c r="J2873" s="85"/>
      <c r="K2873" s="131"/>
      <c r="L2873" s="60"/>
      <c r="M2873" s="33"/>
    </row>
    <row r="2874" spans="1:14" x14ac:dyDescent="0.15">
      <c r="A2874" s="166"/>
      <c r="B2874" s="93"/>
      <c r="C2874" s="70"/>
      <c r="D2874" s="70"/>
      <c r="E2874" s="70"/>
      <c r="F2874" s="70"/>
      <c r="G2874" s="70"/>
      <c r="H2874" s="93"/>
      <c r="I2874" s="85"/>
      <c r="J2874" s="85"/>
      <c r="K2874" s="131"/>
      <c r="L2874" s="60"/>
      <c r="M2874" s="52"/>
    </row>
    <row r="2875" spans="1:14" x14ac:dyDescent="0.15">
      <c r="A2875" s="166"/>
      <c r="B2875" s="93"/>
      <c r="C2875" s="70"/>
      <c r="D2875" s="70"/>
      <c r="E2875" s="70"/>
      <c r="F2875" s="70"/>
      <c r="G2875" s="70"/>
      <c r="H2875" s="93"/>
      <c r="I2875" s="85"/>
      <c r="J2875" s="85"/>
      <c r="K2875" s="131"/>
      <c r="L2875" s="60"/>
      <c r="M2875" s="33"/>
    </row>
    <row r="2876" spans="1:14" x14ac:dyDescent="0.15">
      <c r="A2876" s="166"/>
      <c r="B2876" s="93"/>
      <c r="C2876" s="70"/>
      <c r="D2876" s="70"/>
      <c r="E2876" s="70"/>
      <c r="F2876" s="70"/>
      <c r="G2876" s="70"/>
      <c r="H2876" s="93"/>
      <c r="I2876" s="85"/>
      <c r="J2876" s="85"/>
      <c r="K2876" s="131"/>
      <c r="L2876" s="60"/>
      <c r="M2876" s="33"/>
    </row>
    <row r="2877" spans="1:14" x14ac:dyDescent="0.15">
      <c r="A2877" s="166"/>
      <c r="B2877" s="93"/>
      <c r="C2877" s="70"/>
      <c r="D2877" s="70"/>
      <c r="E2877" s="70"/>
      <c r="F2877" s="70"/>
      <c r="G2877" s="70"/>
      <c r="H2877" s="93"/>
      <c r="I2877" s="85"/>
      <c r="J2877" s="85"/>
      <c r="K2877" s="131"/>
      <c r="L2877" s="60"/>
      <c r="M2877" s="33"/>
    </row>
    <row r="2878" spans="1:14" x14ac:dyDescent="0.15">
      <c r="A2878" s="166"/>
      <c r="B2878" s="93"/>
      <c r="C2878" s="70"/>
      <c r="D2878" s="70"/>
      <c r="E2878" s="70"/>
      <c r="F2878" s="70"/>
      <c r="G2878" s="70"/>
      <c r="H2878" s="93"/>
      <c r="I2878" s="85"/>
      <c r="J2878" s="85"/>
      <c r="K2878" s="131"/>
      <c r="L2878" s="60"/>
      <c r="M2878" s="33"/>
    </row>
    <row r="2879" spans="1:14" x14ac:dyDescent="0.15">
      <c r="A2879" s="166"/>
      <c r="B2879" s="93"/>
      <c r="C2879" s="70"/>
      <c r="D2879" s="70"/>
      <c r="E2879" s="70"/>
      <c r="F2879" s="70"/>
      <c r="G2879" s="70"/>
      <c r="H2879" s="93"/>
      <c r="I2879" s="85"/>
      <c r="J2879" s="85"/>
      <c r="K2879" s="131"/>
      <c r="L2879" s="60"/>
      <c r="M2879" s="33"/>
    </row>
    <row r="2880" spans="1:14" x14ac:dyDescent="0.15">
      <c r="A2880" s="166"/>
      <c r="B2880" s="93"/>
      <c r="C2880" s="70"/>
      <c r="D2880" s="70"/>
      <c r="E2880" s="70"/>
      <c r="F2880" s="70"/>
      <c r="G2880" s="70"/>
      <c r="H2880" s="93"/>
      <c r="I2880" s="85"/>
      <c r="J2880" s="85"/>
      <c r="K2880" s="131"/>
      <c r="L2880" s="60"/>
      <c r="M2880" s="33"/>
    </row>
    <row r="2881" spans="1:14" x14ac:dyDescent="0.15">
      <c r="A2881" s="166"/>
      <c r="B2881" s="93"/>
      <c r="C2881" s="70"/>
      <c r="D2881" s="70"/>
      <c r="E2881" s="70"/>
      <c r="F2881" s="70"/>
      <c r="G2881" s="70"/>
      <c r="H2881" s="93"/>
      <c r="I2881" s="85"/>
      <c r="J2881" s="85"/>
      <c r="K2881" s="131"/>
      <c r="L2881" s="60"/>
      <c r="M2881" s="33"/>
    </row>
    <row r="2882" spans="1:14" x14ac:dyDescent="0.15">
      <c r="A2882" s="166"/>
      <c r="B2882" s="93"/>
      <c r="C2882" s="70"/>
      <c r="D2882" s="70"/>
      <c r="E2882" s="70"/>
      <c r="F2882" s="70"/>
      <c r="G2882" s="70"/>
      <c r="H2882" s="93"/>
      <c r="I2882" s="85"/>
      <c r="J2882" s="85"/>
      <c r="K2882" s="131"/>
      <c r="L2882" s="60"/>
    </row>
    <row r="2883" spans="1:14" x14ac:dyDescent="0.15">
      <c r="A2883" s="166"/>
      <c r="B2883" s="93"/>
      <c r="C2883" s="70"/>
      <c r="D2883" s="70"/>
      <c r="E2883" s="70"/>
      <c r="F2883" s="70"/>
      <c r="G2883" s="70"/>
      <c r="H2883" s="93"/>
      <c r="I2883" s="85"/>
      <c r="J2883" s="85"/>
      <c r="K2883" s="131"/>
      <c r="L2883" s="60"/>
    </row>
    <row r="2884" spans="1:14" x14ac:dyDescent="0.15">
      <c r="A2884" s="166"/>
      <c r="B2884" s="93"/>
      <c r="C2884" s="70"/>
      <c r="D2884" s="70"/>
      <c r="E2884" s="70"/>
      <c r="F2884" s="70"/>
      <c r="G2884" s="70"/>
      <c r="H2884" s="93"/>
      <c r="I2884" s="85"/>
      <c r="J2884" s="85"/>
      <c r="K2884" s="131"/>
      <c r="L2884" s="60"/>
      <c r="M2884" s="37"/>
    </row>
    <row r="2885" spans="1:14" x14ac:dyDescent="0.15">
      <c r="A2885" s="166"/>
      <c r="B2885" s="93"/>
      <c r="C2885" s="70"/>
      <c r="D2885" s="70"/>
      <c r="E2885" s="70"/>
      <c r="F2885" s="70"/>
      <c r="G2885" s="70"/>
      <c r="H2885" s="93"/>
      <c r="I2885" s="85"/>
      <c r="J2885" s="85"/>
      <c r="K2885" s="131"/>
      <c r="L2885" s="60"/>
      <c r="M2885" s="37"/>
    </row>
    <row r="2886" spans="1:14" x14ac:dyDescent="0.15">
      <c r="A2886" s="166"/>
      <c r="B2886" s="93"/>
      <c r="C2886" s="70"/>
      <c r="D2886" s="70"/>
      <c r="E2886" s="70"/>
      <c r="F2886" s="70"/>
      <c r="G2886" s="70"/>
      <c r="H2886" s="93"/>
      <c r="I2886" s="85"/>
      <c r="J2886" s="85"/>
      <c r="K2886" s="142"/>
      <c r="L2886" s="60"/>
      <c r="M2886" s="37"/>
    </row>
    <row r="2887" spans="1:14" x14ac:dyDescent="0.15">
      <c r="A2887" s="166"/>
      <c r="B2887" s="93"/>
      <c r="C2887" s="73"/>
      <c r="D2887" s="73"/>
      <c r="E2887" s="73"/>
      <c r="F2887" s="73"/>
      <c r="G2887" s="73"/>
      <c r="H2887" s="108"/>
      <c r="I2887" s="85"/>
      <c r="J2887" s="95"/>
      <c r="K2887" s="131"/>
      <c r="L2887" s="60"/>
    </row>
    <row r="2888" spans="1:14" x14ac:dyDescent="0.15">
      <c r="A2888" s="166"/>
      <c r="B2888" s="82"/>
      <c r="C2888" s="70"/>
      <c r="D2888" s="70"/>
      <c r="E2888" s="70"/>
      <c r="F2888" s="70"/>
      <c r="G2888" s="70"/>
      <c r="H2888" s="93"/>
      <c r="I2888" s="85"/>
      <c r="J2888" s="85"/>
      <c r="K2888" s="142"/>
      <c r="L2888" s="60"/>
      <c r="M2888" s="37"/>
    </row>
    <row r="2889" spans="1:14" x14ac:dyDescent="0.15">
      <c r="A2889" s="166"/>
      <c r="B2889" s="82"/>
      <c r="C2889" s="70"/>
      <c r="D2889" s="70"/>
      <c r="E2889" s="70"/>
      <c r="F2889" s="70"/>
      <c r="G2889" s="70"/>
      <c r="H2889" s="93"/>
      <c r="I2889" s="85"/>
      <c r="J2889" s="85"/>
      <c r="K2889" s="131"/>
      <c r="L2889" s="60"/>
      <c r="M2889" s="37"/>
    </row>
    <row r="2890" spans="1:14" x14ac:dyDescent="0.15">
      <c r="A2890" s="166"/>
      <c r="B2890" s="82"/>
      <c r="C2890" s="70"/>
      <c r="D2890" s="70"/>
      <c r="E2890" s="70"/>
      <c r="F2890" s="70"/>
      <c r="G2890" s="70"/>
      <c r="H2890" s="93"/>
      <c r="I2890" s="85"/>
      <c r="J2890" s="85"/>
      <c r="K2890" s="131"/>
      <c r="L2890" s="60"/>
      <c r="M2890" s="37"/>
    </row>
    <row r="2891" spans="1:14" ht="16" x14ac:dyDescent="0.2">
      <c r="A2891" s="165"/>
      <c r="B2891" s="97"/>
      <c r="C2891" s="62"/>
      <c r="D2891" s="62"/>
      <c r="E2891" s="62"/>
      <c r="F2891" s="62"/>
      <c r="G2891" s="70"/>
      <c r="H2891" s="93"/>
      <c r="I2891" s="85"/>
      <c r="J2891" s="85"/>
      <c r="K2891" s="131"/>
      <c r="L2891" s="60"/>
      <c r="M2891" s="37"/>
      <c r="N2891" s="48"/>
    </row>
    <row r="2892" spans="1:14" x14ac:dyDescent="0.15">
      <c r="A2892" s="166"/>
      <c r="B2892" s="82"/>
      <c r="C2892" s="70"/>
      <c r="D2892" s="70"/>
      <c r="E2892" s="70"/>
      <c r="F2892" s="70"/>
      <c r="G2892" s="70"/>
      <c r="H2892" s="93"/>
      <c r="I2892" s="85"/>
      <c r="J2892" s="85"/>
      <c r="K2892" s="141"/>
      <c r="L2892" s="60"/>
      <c r="M2892" s="37"/>
    </row>
    <row r="2893" spans="1:14" x14ac:dyDescent="0.15">
      <c r="A2893" s="166"/>
      <c r="B2893" s="93"/>
      <c r="C2893" s="70"/>
      <c r="D2893" s="70"/>
      <c r="E2893" s="70"/>
      <c r="F2893" s="70"/>
      <c r="G2893" s="70"/>
      <c r="H2893" s="93"/>
      <c r="I2893" s="85"/>
      <c r="J2893" s="85"/>
      <c r="K2893" s="131"/>
      <c r="L2893" s="60"/>
      <c r="M2893" s="37"/>
    </row>
    <row r="2894" spans="1:14" x14ac:dyDescent="0.15">
      <c r="A2894" s="166"/>
      <c r="B2894" s="82"/>
      <c r="C2894" s="70"/>
      <c r="D2894" s="70"/>
      <c r="E2894" s="70"/>
      <c r="F2894" s="70"/>
      <c r="G2894" s="70"/>
      <c r="H2894" s="93"/>
      <c r="I2894" s="85"/>
      <c r="J2894" s="85"/>
      <c r="K2894" s="131"/>
      <c r="L2894" s="60"/>
      <c r="M2894" s="37"/>
    </row>
    <row r="2895" spans="1:14" x14ac:dyDescent="0.15">
      <c r="A2895" s="166"/>
      <c r="B2895" s="93"/>
      <c r="C2895" s="70"/>
      <c r="D2895" s="70"/>
      <c r="E2895" s="70"/>
      <c r="F2895" s="70"/>
      <c r="G2895" s="70"/>
      <c r="H2895" s="93"/>
      <c r="I2895" s="85"/>
      <c r="J2895" s="85"/>
      <c r="K2895" s="131"/>
      <c r="L2895" s="60"/>
      <c r="M2895" s="37"/>
    </row>
    <row r="2896" spans="1:14" x14ac:dyDescent="0.15">
      <c r="A2896" s="166"/>
      <c r="B2896" s="82"/>
      <c r="C2896" s="70"/>
      <c r="D2896" s="70"/>
      <c r="E2896" s="70"/>
      <c r="F2896" s="70"/>
      <c r="G2896" s="70"/>
      <c r="H2896" s="93"/>
      <c r="I2896" s="85"/>
      <c r="J2896" s="85"/>
      <c r="K2896" s="131"/>
      <c r="L2896" s="60"/>
      <c r="M2896" s="37"/>
    </row>
    <row r="2897" spans="1:13" ht="16" x14ac:dyDescent="0.2">
      <c r="A2897" s="166"/>
      <c r="B2897" s="82"/>
      <c r="C2897" s="70"/>
      <c r="D2897" s="70"/>
      <c r="E2897" s="70"/>
      <c r="F2897" s="70"/>
      <c r="G2897" s="70"/>
      <c r="H2897" s="93"/>
      <c r="I2897" s="85"/>
      <c r="J2897" s="85"/>
      <c r="K2897" s="131"/>
      <c r="L2897" s="60"/>
      <c r="M2897" s="48"/>
    </row>
    <row r="2898" spans="1:13" x14ac:dyDescent="0.15">
      <c r="A2898" s="165"/>
      <c r="B2898" s="97"/>
      <c r="C2898" s="62"/>
      <c r="D2898" s="62"/>
      <c r="E2898" s="62"/>
      <c r="F2898" s="62"/>
      <c r="G2898" s="70"/>
      <c r="H2898" s="93"/>
      <c r="I2898" s="85"/>
      <c r="J2898" s="85"/>
      <c r="K2898" s="131"/>
      <c r="L2898" s="60"/>
      <c r="M2898" s="37"/>
    </row>
    <row r="2899" spans="1:13" x14ac:dyDescent="0.15">
      <c r="A2899" s="165"/>
      <c r="B2899" s="97"/>
      <c r="C2899" s="62"/>
      <c r="D2899" s="62"/>
      <c r="E2899" s="62"/>
      <c r="F2899" s="62"/>
      <c r="G2899" s="70"/>
      <c r="H2899" s="93"/>
      <c r="I2899" s="85"/>
      <c r="J2899" s="85"/>
      <c r="K2899" s="131"/>
      <c r="L2899" s="60"/>
      <c r="M2899" s="37"/>
    </row>
    <row r="2900" spans="1:13" x14ac:dyDescent="0.15">
      <c r="A2900" s="166"/>
      <c r="B2900" s="82"/>
      <c r="C2900" s="70"/>
      <c r="D2900" s="70"/>
      <c r="E2900" s="70"/>
      <c r="F2900" s="70"/>
      <c r="G2900" s="70"/>
      <c r="H2900" s="93"/>
      <c r="I2900" s="85"/>
      <c r="J2900" s="85"/>
      <c r="K2900" s="141"/>
      <c r="L2900" s="60"/>
      <c r="M2900" s="35"/>
    </row>
    <row r="2901" spans="1:13" x14ac:dyDescent="0.15">
      <c r="A2901" s="166"/>
      <c r="B2901" s="82"/>
      <c r="C2901" s="70"/>
      <c r="D2901" s="70"/>
      <c r="E2901" s="70"/>
      <c r="F2901" s="70"/>
      <c r="G2901" s="70"/>
      <c r="H2901" s="93"/>
      <c r="I2901" s="85"/>
      <c r="J2901" s="85"/>
      <c r="K2901" s="142"/>
      <c r="L2901" s="60"/>
      <c r="M2901" s="37"/>
    </row>
    <row r="2902" spans="1:13" x14ac:dyDescent="0.15">
      <c r="A2902" s="166"/>
      <c r="B2902" s="82"/>
      <c r="C2902" s="70"/>
      <c r="D2902" s="70"/>
      <c r="E2902" s="70"/>
      <c r="F2902" s="70"/>
      <c r="G2902" s="70"/>
      <c r="H2902" s="93"/>
      <c r="I2902" s="85"/>
      <c r="J2902" s="85"/>
      <c r="K2902" s="131"/>
      <c r="L2902" s="60"/>
      <c r="M2902" s="37"/>
    </row>
    <row r="2903" spans="1:13" x14ac:dyDescent="0.15">
      <c r="A2903" s="166"/>
      <c r="B2903" s="93"/>
      <c r="C2903" s="70"/>
      <c r="D2903" s="70"/>
      <c r="E2903" s="70"/>
      <c r="F2903" s="70"/>
      <c r="G2903" s="70"/>
      <c r="H2903" s="93"/>
      <c r="I2903" s="85"/>
      <c r="J2903" s="85"/>
      <c r="K2903" s="131"/>
      <c r="L2903" s="60"/>
    </row>
    <row r="2904" spans="1:13" x14ac:dyDescent="0.15">
      <c r="A2904" s="166"/>
      <c r="B2904" s="82"/>
      <c r="C2904" s="70"/>
      <c r="D2904" s="70"/>
      <c r="E2904" s="70"/>
      <c r="F2904" s="70"/>
      <c r="G2904" s="70"/>
      <c r="H2904" s="93"/>
      <c r="I2904" s="85"/>
      <c r="J2904" s="85"/>
      <c r="K2904" s="142"/>
      <c r="L2904" s="60"/>
      <c r="M2904" s="37"/>
    </row>
    <row r="2905" spans="1:13" x14ac:dyDescent="0.15">
      <c r="A2905" s="166"/>
      <c r="B2905" s="93"/>
      <c r="C2905" s="70"/>
      <c r="D2905" s="70"/>
      <c r="E2905" s="70"/>
      <c r="F2905" s="70"/>
      <c r="G2905" s="70"/>
      <c r="H2905" s="93"/>
      <c r="I2905" s="85"/>
      <c r="J2905" s="85"/>
      <c r="K2905" s="131"/>
      <c r="L2905" s="60"/>
    </row>
    <row r="2906" spans="1:13" x14ac:dyDescent="0.15">
      <c r="A2906" s="166"/>
      <c r="B2906" s="82"/>
      <c r="C2906" s="70"/>
      <c r="D2906" s="70"/>
      <c r="E2906" s="70"/>
      <c r="F2906" s="70"/>
      <c r="G2906" s="70"/>
      <c r="H2906" s="93"/>
      <c r="I2906" s="85"/>
      <c r="J2906" s="85"/>
      <c r="K2906" s="131"/>
      <c r="L2906" s="60"/>
      <c r="M2906" s="37"/>
    </row>
    <row r="2907" spans="1:13" x14ac:dyDescent="0.15">
      <c r="A2907" s="166"/>
      <c r="B2907" s="82"/>
      <c r="C2907" s="70"/>
      <c r="D2907" s="70"/>
      <c r="E2907" s="70"/>
      <c r="F2907" s="70"/>
      <c r="G2907" s="70"/>
      <c r="H2907" s="93"/>
      <c r="I2907" s="85"/>
      <c r="J2907" s="85"/>
      <c r="K2907" s="131"/>
      <c r="L2907" s="60"/>
      <c r="M2907" s="37"/>
    </row>
    <row r="2908" spans="1:13" x14ac:dyDescent="0.15">
      <c r="A2908" s="166"/>
      <c r="B2908" s="82"/>
      <c r="C2908" s="70"/>
      <c r="D2908" s="70"/>
      <c r="E2908" s="70"/>
      <c r="F2908" s="70"/>
      <c r="G2908" s="70"/>
      <c r="H2908" s="93"/>
      <c r="I2908" s="85"/>
      <c r="J2908" s="85"/>
      <c r="K2908" s="131"/>
      <c r="L2908" s="60"/>
      <c r="M2908" s="37"/>
    </row>
    <row r="2909" spans="1:13" x14ac:dyDescent="0.15">
      <c r="A2909" s="166"/>
      <c r="B2909" s="93"/>
      <c r="C2909" s="70"/>
      <c r="D2909" s="70"/>
      <c r="E2909" s="70"/>
      <c r="F2909" s="70"/>
      <c r="G2909" s="70"/>
      <c r="H2909" s="93"/>
      <c r="I2909" s="85"/>
      <c r="J2909" s="85"/>
      <c r="K2909" s="131"/>
      <c r="L2909" s="60"/>
    </row>
    <row r="2910" spans="1:13" x14ac:dyDescent="0.15">
      <c r="A2910" s="166"/>
      <c r="B2910" s="93"/>
      <c r="C2910" s="70"/>
      <c r="D2910" s="70"/>
      <c r="E2910" s="70"/>
      <c r="F2910" s="70"/>
      <c r="G2910" s="70"/>
      <c r="H2910" s="93"/>
      <c r="I2910" s="85"/>
      <c r="J2910" s="85"/>
      <c r="K2910" s="131"/>
      <c r="L2910" s="60"/>
    </row>
    <row r="2911" spans="1:13" x14ac:dyDescent="0.15">
      <c r="A2911" s="166"/>
      <c r="B2911" s="82"/>
      <c r="C2911" s="70"/>
      <c r="D2911" s="70"/>
      <c r="E2911" s="70"/>
      <c r="F2911" s="70"/>
      <c r="G2911" s="70"/>
      <c r="H2911" s="93"/>
      <c r="I2911" s="85"/>
      <c r="J2911" s="85"/>
      <c r="K2911" s="131"/>
      <c r="L2911" s="60"/>
    </row>
    <row r="2912" spans="1:13" x14ac:dyDescent="0.15">
      <c r="A2912" s="166"/>
      <c r="B2912" s="82"/>
      <c r="C2912" s="70"/>
      <c r="D2912" s="70"/>
      <c r="E2912" s="70"/>
      <c r="F2912" s="70"/>
      <c r="G2912" s="70"/>
      <c r="H2912" s="93"/>
      <c r="I2912" s="85"/>
      <c r="J2912" s="85"/>
      <c r="K2912" s="131"/>
      <c r="L2912" s="60"/>
      <c r="M2912" s="33"/>
    </row>
    <row r="2913" spans="1:14" x14ac:dyDescent="0.15">
      <c r="A2913" s="166"/>
      <c r="B2913" s="82"/>
      <c r="C2913" s="70"/>
      <c r="D2913" s="70"/>
      <c r="E2913" s="70"/>
      <c r="F2913" s="70"/>
      <c r="G2913" s="70"/>
      <c r="H2913" s="93"/>
      <c r="I2913" s="85"/>
      <c r="J2913" s="85"/>
      <c r="K2913" s="131"/>
      <c r="L2913" s="60"/>
    </row>
    <row r="2914" spans="1:14" ht="16" x14ac:dyDescent="0.2">
      <c r="A2914" s="166"/>
      <c r="B2914" s="82"/>
      <c r="C2914" s="70"/>
      <c r="D2914" s="70"/>
      <c r="E2914" s="70"/>
      <c r="F2914" s="70"/>
      <c r="G2914" s="70"/>
      <c r="H2914" s="93"/>
      <c r="I2914" s="85"/>
      <c r="J2914" s="85"/>
      <c r="K2914" s="131"/>
      <c r="L2914" s="69"/>
      <c r="N2914" s="48"/>
    </row>
    <row r="2915" spans="1:14" x14ac:dyDescent="0.15">
      <c r="A2915" s="166"/>
      <c r="B2915" s="93"/>
      <c r="C2915" s="70"/>
      <c r="D2915" s="70"/>
      <c r="E2915" s="70"/>
      <c r="F2915" s="70"/>
      <c r="G2915" s="70"/>
      <c r="H2915" s="93"/>
      <c r="I2915" s="85"/>
      <c r="J2915" s="85"/>
      <c r="K2915" s="131"/>
      <c r="L2915" s="60"/>
      <c r="M2915" s="33"/>
    </row>
    <row r="2916" spans="1:14" x14ac:dyDescent="0.15">
      <c r="A2916" s="166"/>
      <c r="B2916" s="82"/>
      <c r="C2916" s="70"/>
      <c r="D2916" s="70"/>
      <c r="E2916" s="70"/>
      <c r="F2916" s="70"/>
      <c r="G2916" s="70"/>
      <c r="H2916" s="93"/>
      <c r="I2916" s="85"/>
      <c r="J2916" s="85"/>
      <c r="K2916" s="131"/>
      <c r="L2916" s="69"/>
    </row>
    <row r="2917" spans="1:14" x14ac:dyDescent="0.15">
      <c r="A2917" s="166"/>
      <c r="B2917" s="93"/>
      <c r="C2917" s="70"/>
      <c r="D2917" s="70"/>
      <c r="E2917" s="70"/>
      <c r="F2917" s="70"/>
      <c r="G2917" s="70"/>
      <c r="H2917" s="93"/>
      <c r="I2917" s="85"/>
      <c r="J2917" s="85"/>
      <c r="K2917" s="131"/>
      <c r="L2917" s="60"/>
      <c r="M2917" s="33"/>
    </row>
    <row r="2918" spans="1:14" x14ac:dyDescent="0.15">
      <c r="A2918" s="166"/>
      <c r="B2918" s="82"/>
      <c r="C2918" s="70"/>
      <c r="D2918" s="70"/>
      <c r="E2918" s="70"/>
      <c r="F2918" s="70"/>
      <c r="G2918" s="70"/>
      <c r="H2918" s="93"/>
      <c r="I2918" s="85"/>
      <c r="J2918" s="85"/>
      <c r="K2918" s="131"/>
      <c r="L2918" s="69"/>
    </row>
    <row r="2919" spans="1:14" x14ac:dyDescent="0.15">
      <c r="A2919" s="166"/>
      <c r="B2919" s="82"/>
      <c r="C2919" s="70"/>
      <c r="D2919" s="70"/>
      <c r="E2919" s="70"/>
      <c r="F2919" s="70"/>
      <c r="G2919" s="70"/>
      <c r="H2919" s="93"/>
      <c r="I2919" s="85"/>
      <c r="J2919" s="85"/>
      <c r="K2919" s="131"/>
      <c r="L2919" s="69"/>
    </row>
    <row r="2920" spans="1:14" x14ac:dyDescent="0.15">
      <c r="A2920" s="166"/>
      <c r="B2920" s="82"/>
      <c r="C2920" s="70"/>
      <c r="D2920" s="70"/>
      <c r="E2920" s="70"/>
      <c r="F2920" s="70"/>
      <c r="G2920" s="70"/>
      <c r="H2920" s="93"/>
      <c r="I2920" s="85"/>
      <c r="J2920" s="85"/>
      <c r="K2920" s="131"/>
      <c r="L2920" s="69"/>
    </row>
    <row r="2921" spans="1:14" x14ac:dyDescent="0.15">
      <c r="A2921" s="166"/>
      <c r="B2921" s="93"/>
      <c r="C2921" s="70"/>
      <c r="D2921" s="70"/>
      <c r="E2921" s="70"/>
      <c r="F2921" s="70"/>
      <c r="G2921" s="70"/>
      <c r="H2921" s="93"/>
      <c r="I2921" s="85"/>
      <c r="J2921" s="85"/>
      <c r="K2921" s="131"/>
      <c r="L2921" s="60"/>
      <c r="M2921" s="33"/>
    </row>
    <row r="2922" spans="1:14" x14ac:dyDescent="0.15">
      <c r="A2922" s="166"/>
      <c r="B2922" s="82"/>
      <c r="C2922" s="70"/>
      <c r="D2922" s="70"/>
      <c r="E2922" s="70"/>
      <c r="F2922" s="70"/>
      <c r="G2922" s="70"/>
      <c r="H2922" s="93"/>
      <c r="I2922" s="85"/>
      <c r="J2922" s="85"/>
      <c r="K2922" s="131"/>
      <c r="L2922" s="69"/>
    </row>
    <row r="2923" spans="1:14" ht="16" x14ac:dyDescent="0.2">
      <c r="A2923" s="166"/>
      <c r="B2923" s="82"/>
      <c r="C2923" s="70"/>
      <c r="D2923" s="70"/>
      <c r="E2923" s="70"/>
      <c r="F2923" s="70"/>
      <c r="G2923" s="70"/>
      <c r="H2923" s="93"/>
      <c r="I2923" s="85"/>
      <c r="J2923" s="85"/>
      <c r="K2923" s="131"/>
      <c r="L2923" s="69"/>
      <c r="N2923" s="48"/>
    </row>
    <row r="2924" spans="1:14" x14ac:dyDescent="0.15">
      <c r="A2924" s="166"/>
      <c r="B2924" s="82"/>
      <c r="C2924" s="70"/>
      <c r="D2924" s="70"/>
      <c r="E2924" s="70"/>
      <c r="F2924" s="70"/>
      <c r="G2924" s="70"/>
      <c r="H2924" s="93"/>
      <c r="I2924" s="85"/>
      <c r="J2924" s="85"/>
      <c r="K2924" s="131"/>
      <c r="L2924" s="60"/>
    </row>
    <row r="2925" spans="1:14" x14ac:dyDescent="0.15">
      <c r="A2925" s="166"/>
      <c r="B2925" s="82"/>
      <c r="C2925" s="70"/>
      <c r="D2925" s="70"/>
      <c r="E2925" s="70"/>
      <c r="F2925" s="70"/>
      <c r="G2925" s="70"/>
      <c r="H2925" s="93"/>
      <c r="I2925" s="85"/>
      <c r="J2925" s="85"/>
      <c r="K2925" s="131"/>
      <c r="L2925" s="60"/>
    </row>
    <row r="2926" spans="1:14" ht="16" x14ac:dyDescent="0.2">
      <c r="A2926" s="166"/>
      <c r="B2926" s="82"/>
      <c r="C2926" s="70"/>
      <c r="D2926" s="70"/>
      <c r="E2926" s="70"/>
      <c r="F2926" s="70"/>
      <c r="G2926" s="70"/>
      <c r="H2926" s="93"/>
      <c r="I2926" s="85"/>
      <c r="J2926" s="85"/>
      <c r="K2926" s="131"/>
      <c r="L2926" s="60"/>
      <c r="N2926" s="48"/>
    </row>
    <row r="2927" spans="1:14" x14ac:dyDescent="0.15">
      <c r="A2927" s="166"/>
      <c r="B2927" s="82"/>
      <c r="C2927" s="70"/>
      <c r="D2927" s="70"/>
      <c r="E2927" s="70"/>
      <c r="F2927" s="70"/>
      <c r="G2927" s="70"/>
      <c r="H2927" s="93"/>
      <c r="I2927" s="85"/>
      <c r="J2927" s="85"/>
      <c r="K2927" s="131"/>
      <c r="L2927" s="60"/>
    </row>
    <row r="2928" spans="1:14" x14ac:dyDescent="0.15">
      <c r="A2928" s="166"/>
      <c r="B2928" s="82"/>
      <c r="C2928" s="70"/>
      <c r="D2928" s="70"/>
      <c r="E2928" s="70"/>
      <c r="F2928" s="70"/>
      <c r="G2928" s="70"/>
      <c r="H2928" s="93"/>
      <c r="I2928" s="85"/>
      <c r="J2928" s="85"/>
      <c r="K2928" s="131"/>
      <c r="L2928" s="60"/>
    </row>
    <row r="2929" spans="1:28" x14ac:dyDescent="0.15">
      <c r="A2929" s="166"/>
      <c r="B2929" s="82"/>
      <c r="C2929" s="70"/>
      <c r="D2929" s="70"/>
      <c r="E2929" s="70"/>
      <c r="F2929" s="70"/>
      <c r="G2929" s="70"/>
      <c r="H2929" s="93"/>
      <c r="I2929" s="85"/>
      <c r="J2929" s="85"/>
      <c r="K2929" s="131"/>
      <c r="L2929" s="69"/>
    </row>
    <row r="2930" spans="1:28" x14ac:dyDescent="0.15">
      <c r="A2930" s="166"/>
      <c r="B2930" s="93"/>
      <c r="C2930" s="70"/>
      <c r="D2930" s="70"/>
      <c r="E2930" s="70"/>
      <c r="F2930" s="70"/>
      <c r="G2930" s="70"/>
      <c r="H2930" s="93"/>
      <c r="I2930" s="85"/>
      <c r="J2930" s="85"/>
      <c r="K2930" s="131"/>
      <c r="L2930" s="60"/>
      <c r="M2930" s="33"/>
    </row>
    <row r="2931" spans="1:28" x14ac:dyDescent="0.15">
      <c r="A2931" s="166"/>
      <c r="B2931" s="82"/>
      <c r="C2931" s="70"/>
      <c r="D2931" s="70"/>
      <c r="E2931" s="70"/>
      <c r="F2931" s="70"/>
      <c r="G2931" s="70"/>
      <c r="H2931" s="93"/>
      <c r="I2931" s="85"/>
      <c r="J2931" s="85"/>
      <c r="K2931" s="131"/>
      <c r="L2931" s="60"/>
    </row>
    <row r="2932" spans="1:28" x14ac:dyDescent="0.15">
      <c r="A2932" s="166"/>
      <c r="B2932" s="93"/>
      <c r="C2932" s="70"/>
      <c r="D2932" s="70"/>
      <c r="E2932" s="70"/>
      <c r="F2932" s="70"/>
      <c r="G2932" s="70"/>
      <c r="H2932" s="93"/>
      <c r="I2932" s="85"/>
      <c r="J2932" s="85"/>
      <c r="K2932" s="131"/>
      <c r="L2932" s="60"/>
      <c r="M2932" s="33"/>
    </row>
    <row r="2933" spans="1:28" x14ac:dyDescent="0.15">
      <c r="A2933" s="166"/>
      <c r="B2933" s="82"/>
      <c r="C2933" s="70"/>
      <c r="D2933" s="70"/>
      <c r="E2933" s="70"/>
      <c r="F2933" s="70"/>
      <c r="G2933" s="70"/>
      <c r="H2933" s="93"/>
      <c r="I2933" s="85"/>
      <c r="J2933" s="85"/>
      <c r="K2933" s="131"/>
      <c r="L2933" s="60"/>
      <c r="S2933" s="6"/>
      <c r="T2933" s="6"/>
      <c r="U2933" s="6"/>
      <c r="V2933" s="6"/>
      <c r="W2933" s="6"/>
      <c r="X2933" s="6"/>
      <c r="Y2933" s="6"/>
      <c r="Z2933" s="6"/>
      <c r="AA2933" s="2"/>
      <c r="AB2933" s="2"/>
    </row>
    <row r="2934" spans="1:28" x14ac:dyDescent="0.15">
      <c r="A2934" s="166"/>
      <c r="B2934" s="82"/>
      <c r="C2934" s="70"/>
      <c r="D2934" s="70"/>
      <c r="E2934" s="70"/>
      <c r="F2934" s="70"/>
      <c r="G2934" s="70"/>
      <c r="H2934" s="93"/>
      <c r="I2934" s="85"/>
      <c r="J2934" s="85"/>
      <c r="K2934" s="131"/>
      <c r="L2934" s="60"/>
      <c r="S2934" s="6"/>
      <c r="T2934" s="6"/>
      <c r="U2934" s="6"/>
      <c r="V2934" s="6"/>
      <c r="W2934" s="6"/>
      <c r="X2934" s="6"/>
      <c r="Y2934" s="6"/>
      <c r="Z2934" s="6"/>
      <c r="AA2934" s="2"/>
      <c r="AB2934" s="2"/>
    </row>
    <row r="2935" spans="1:28" x14ac:dyDescent="0.15">
      <c r="A2935" s="166"/>
      <c r="B2935" s="82"/>
      <c r="C2935" s="70"/>
      <c r="D2935" s="70"/>
      <c r="E2935" s="70"/>
      <c r="F2935" s="70"/>
      <c r="G2935" s="70"/>
      <c r="H2935" s="93"/>
      <c r="I2935" s="85"/>
      <c r="J2935" s="85"/>
      <c r="K2935" s="131"/>
      <c r="L2935" s="60"/>
      <c r="S2935" s="6"/>
      <c r="T2935" s="6"/>
      <c r="U2935" s="6"/>
      <c r="V2935" s="6"/>
      <c r="W2935" s="6"/>
      <c r="X2935" s="6"/>
      <c r="Y2935" s="6"/>
      <c r="Z2935" s="6"/>
      <c r="AA2935" s="2"/>
      <c r="AB2935" s="2"/>
    </row>
    <row r="2936" spans="1:28" x14ac:dyDescent="0.15">
      <c r="A2936" s="166"/>
      <c r="B2936" s="82"/>
      <c r="C2936" s="70"/>
      <c r="D2936" s="70"/>
      <c r="E2936" s="70"/>
      <c r="F2936" s="70"/>
      <c r="G2936" s="70"/>
      <c r="H2936" s="93"/>
      <c r="I2936" s="85"/>
      <c r="J2936" s="85"/>
      <c r="K2936" s="131"/>
      <c r="L2936" s="60"/>
      <c r="S2936" s="6"/>
      <c r="T2936" s="6"/>
      <c r="U2936" s="6"/>
      <c r="V2936" s="6"/>
      <c r="W2936" s="6"/>
      <c r="X2936" s="6"/>
      <c r="Y2936" s="6"/>
      <c r="Z2936" s="6"/>
      <c r="AA2936" s="2"/>
      <c r="AB2936" s="2"/>
    </row>
    <row r="2937" spans="1:28" x14ac:dyDescent="0.15">
      <c r="A2937" s="166"/>
      <c r="B2937" s="82"/>
      <c r="C2937" s="70"/>
      <c r="D2937" s="70"/>
      <c r="E2937" s="70"/>
      <c r="F2937" s="70"/>
      <c r="G2937" s="70"/>
      <c r="H2937" s="93"/>
      <c r="I2937" s="85"/>
      <c r="J2937" s="85"/>
      <c r="K2937" s="131"/>
      <c r="L2937" s="60"/>
      <c r="S2937" s="6"/>
      <c r="T2937" s="6"/>
      <c r="U2937" s="6"/>
      <c r="V2937" s="6"/>
      <c r="W2937" s="6"/>
      <c r="X2937" s="6"/>
      <c r="Y2937" s="6"/>
      <c r="Z2937" s="6"/>
      <c r="AA2937" s="2"/>
      <c r="AB2937" s="2"/>
    </row>
    <row r="2938" spans="1:28" x14ac:dyDescent="0.15">
      <c r="A2938" s="166"/>
      <c r="B2938" s="82"/>
      <c r="C2938" s="70"/>
      <c r="D2938" s="70"/>
      <c r="E2938" s="70"/>
      <c r="F2938" s="70"/>
      <c r="G2938" s="70"/>
      <c r="H2938" s="93"/>
      <c r="I2938" s="85"/>
      <c r="J2938" s="85"/>
      <c r="K2938" s="131"/>
      <c r="L2938" s="60"/>
      <c r="S2938" s="6"/>
      <c r="T2938" s="6"/>
      <c r="U2938" s="6"/>
      <c r="V2938" s="6"/>
      <c r="W2938" s="6"/>
      <c r="X2938" s="6"/>
      <c r="Y2938" s="6"/>
      <c r="Z2938" s="6"/>
      <c r="AA2938" s="2"/>
      <c r="AB2938" s="2"/>
    </row>
    <row r="2939" spans="1:28" x14ac:dyDescent="0.15">
      <c r="A2939" s="166"/>
      <c r="B2939" s="82"/>
      <c r="C2939" s="73"/>
      <c r="D2939" s="73"/>
      <c r="E2939" s="70"/>
      <c r="F2939" s="73"/>
      <c r="G2939" s="73"/>
      <c r="H2939" s="108"/>
      <c r="I2939" s="85"/>
      <c r="J2939" s="95"/>
      <c r="K2939" s="131"/>
      <c r="L2939" s="69"/>
      <c r="S2939" s="6"/>
      <c r="T2939" s="6"/>
      <c r="U2939" s="6"/>
      <c r="V2939" s="6"/>
      <c r="W2939" s="6"/>
      <c r="X2939" s="6"/>
      <c r="Y2939" s="6"/>
      <c r="Z2939" s="6"/>
      <c r="AA2939" s="2"/>
      <c r="AB2939" s="2"/>
    </row>
    <row r="2940" spans="1:28" ht="16" x14ac:dyDescent="0.2">
      <c r="A2940" s="166"/>
      <c r="B2940" s="82"/>
      <c r="C2940" s="70"/>
      <c r="D2940" s="70"/>
      <c r="E2940" s="70"/>
      <c r="F2940" s="70"/>
      <c r="G2940" s="70"/>
      <c r="H2940" s="93"/>
      <c r="I2940" s="85"/>
      <c r="J2940" s="85"/>
      <c r="K2940" s="131"/>
      <c r="L2940" s="60"/>
      <c r="N2940" s="48"/>
      <c r="S2940" s="6"/>
      <c r="T2940" s="6"/>
      <c r="U2940" s="6"/>
      <c r="V2940" s="6"/>
      <c r="W2940" s="6"/>
      <c r="X2940" s="6"/>
      <c r="Y2940" s="6"/>
      <c r="Z2940" s="6"/>
      <c r="AA2940" s="2"/>
      <c r="AB2940" s="2"/>
    </row>
    <row r="2941" spans="1:28" x14ac:dyDescent="0.15">
      <c r="A2941" s="166"/>
      <c r="B2941" s="82"/>
      <c r="C2941" s="70"/>
      <c r="D2941" s="70"/>
      <c r="E2941" s="70"/>
      <c r="F2941" s="70"/>
      <c r="G2941" s="70"/>
      <c r="H2941" s="93"/>
      <c r="I2941" s="85"/>
      <c r="J2941" s="85"/>
      <c r="K2941" s="131"/>
      <c r="L2941" s="60"/>
      <c r="S2941" s="6"/>
      <c r="T2941" s="6"/>
      <c r="U2941" s="6"/>
      <c r="V2941" s="6"/>
      <c r="W2941" s="6"/>
      <c r="X2941" s="6"/>
      <c r="Y2941" s="6"/>
      <c r="Z2941" s="6"/>
      <c r="AA2941" s="2"/>
      <c r="AB2941" s="2"/>
    </row>
    <row r="2942" spans="1:28" x14ac:dyDescent="0.15">
      <c r="A2942" s="166"/>
      <c r="B2942" s="82"/>
      <c r="C2942" s="70"/>
      <c r="D2942" s="70"/>
      <c r="E2942" s="70"/>
      <c r="F2942" s="70"/>
      <c r="G2942" s="70"/>
      <c r="H2942" s="93"/>
      <c r="I2942" s="85"/>
      <c r="J2942" s="85"/>
      <c r="K2942" s="131"/>
      <c r="L2942" s="60"/>
      <c r="S2942" s="6"/>
      <c r="T2942" s="6"/>
      <c r="U2942" s="6"/>
      <c r="V2942" s="6"/>
      <c r="W2942" s="6"/>
      <c r="X2942" s="6"/>
      <c r="Y2942" s="6"/>
      <c r="Z2942" s="6"/>
      <c r="AA2942" s="2"/>
      <c r="AB2942" s="2"/>
    </row>
    <row r="2943" spans="1:28" x14ac:dyDescent="0.15">
      <c r="A2943" s="166"/>
      <c r="B2943" s="82"/>
      <c r="C2943" s="70"/>
      <c r="D2943" s="70"/>
      <c r="E2943" s="70"/>
      <c r="F2943" s="70"/>
      <c r="G2943" s="70"/>
      <c r="H2943" s="93"/>
      <c r="I2943" s="85"/>
      <c r="J2943" s="85"/>
      <c r="K2943" s="131"/>
      <c r="L2943" s="60"/>
      <c r="S2943" s="6"/>
      <c r="T2943" s="6"/>
      <c r="U2943" s="6"/>
      <c r="V2943" s="6"/>
      <c r="W2943" s="6"/>
      <c r="X2943" s="6"/>
      <c r="Y2943" s="6"/>
      <c r="Z2943" s="6"/>
      <c r="AA2943" s="2"/>
      <c r="AB2943" s="2"/>
    </row>
    <row r="2944" spans="1:28" x14ac:dyDescent="0.15">
      <c r="A2944" s="166"/>
      <c r="B2944" s="82"/>
      <c r="C2944" s="70"/>
      <c r="D2944" s="70"/>
      <c r="E2944" s="70"/>
      <c r="F2944" s="70"/>
      <c r="G2944" s="70"/>
      <c r="H2944" s="93"/>
      <c r="I2944" s="85"/>
      <c r="J2944" s="85"/>
      <c r="K2944" s="131"/>
      <c r="L2944" s="69"/>
      <c r="S2944" s="6"/>
      <c r="T2944" s="6"/>
      <c r="U2944" s="6"/>
      <c r="V2944" s="6"/>
      <c r="W2944" s="6"/>
      <c r="X2944" s="6"/>
      <c r="Y2944" s="6"/>
      <c r="Z2944" s="6"/>
      <c r="AA2944" s="2"/>
      <c r="AB2944" s="2"/>
    </row>
    <row r="2945" spans="1:28" x14ac:dyDescent="0.15">
      <c r="A2945" s="166"/>
      <c r="B2945" s="82"/>
      <c r="C2945" s="70"/>
      <c r="D2945" s="70"/>
      <c r="E2945" s="70"/>
      <c r="F2945" s="70"/>
      <c r="G2945" s="70"/>
      <c r="H2945" s="93"/>
      <c r="I2945" s="85"/>
      <c r="J2945" s="85"/>
      <c r="K2945" s="131"/>
      <c r="L2945" s="69"/>
      <c r="S2945" s="6"/>
      <c r="T2945" s="6"/>
      <c r="U2945" s="6"/>
      <c r="V2945" s="6"/>
      <c r="W2945" s="6"/>
      <c r="X2945" s="6"/>
      <c r="Y2945" s="6"/>
      <c r="Z2945" s="6"/>
      <c r="AA2945" s="2"/>
      <c r="AB2945" s="2"/>
    </row>
    <row r="2946" spans="1:28" x14ac:dyDescent="0.15">
      <c r="A2946" s="166"/>
      <c r="B2946" s="82"/>
      <c r="C2946" s="70"/>
      <c r="D2946" s="70"/>
      <c r="E2946" s="70"/>
      <c r="F2946" s="70"/>
      <c r="G2946" s="70"/>
      <c r="H2946" s="93"/>
      <c r="I2946" s="85"/>
      <c r="J2946" s="85"/>
      <c r="K2946" s="131"/>
      <c r="L2946" s="69"/>
      <c r="S2946" s="6"/>
      <c r="T2946" s="6"/>
      <c r="U2946" s="6"/>
      <c r="V2946" s="6"/>
      <c r="W2946" s="6"/>
      <c r="X2946" s="6"/>
      <c r="Y2946" s="6"/>
      <c r="Z2946" s="6"/>
      <c r="AA2946" s="2"/>
      <c r="AB2946" s="2"/>
    </row>
    <row r="2947" spans="1:28" x14ac:dyDescent="0.15">
      <c r="A2947" s="166"/>
      <c r="B2947" s="82"/>
      <c r="C2947" s="70"/>
      <c r="D2947" s="70"/>
      <c r="E2947" s="70"/>
      <c r="F2947" s="70"/>
      <c r="G2947" s="70"/>
      <c r="H2947" s="93"/>
      <c r="I2947" s="85"/>
      <c r="J2947" s="85"/>
      <c r="K2947" s="131"/>
      <c r="L2947" s="69"/>
      <c r="S2947" s="6"/>
      <c r="T2947" s="6"/>
      <c r="U2947" s="6"/>
      <c r="V2947" s="6"/>
      <c r="W2947" s="6"/>
      <c r="X2947" s="6"/>
      <c r="Y2947" s="6"/>
      <c r="Z2947" s="6"/>
      <c r="AA2947" s="2"/>
      <c r="AB2947" s="2"/>
    </row>
    <row r="2948" spans="1:28" x14ac:dyDescent="0.15">
      <c r="A2948" s="166"/>
      <c r="B2948" s="82"/>
      <c r="C2948" s="70"/>
      <c r="D2948" s="70"/>
      <c r="E2948" s="70"/>
      <c r="F2948" s="70"/>
      <c r="G2948" s="70"/>
      <c r="H2948" s="93"/>
      <c r="I2948" s="85"/>
      <c r="J2948" s="85"/>
      <c r="K2948" s="131"/>
      <c r="L2948" s="69"/>
      <c r="S2948" s="6"/>
      <c r="T2948" s="6"/>
      <c r="U2948" s="6"/>
      <c r="V2948" s="6"/>
      <c r="W2948" s="6"/>
      <c r="X2948" s="6"/>
      <c r="Y2948" s="6"/>
      <c r="Z2948" s="6"/>
      <c r="AA2948" s="2"/>
      <c r="AB2948" s="2"/>
    </row>
    <row r="2949" spans="1:28" x14ac:dyDescent="0.15">
      <c r="A2949" s="166"/>
      <c r="B2949" s="82"/>
      <c r="C2949" s="70"/>
      <c r="D2949" s="70"/>
      <c r="E2949" s="70"/>
      <c r="F2949" s="70"/>
      <c r="G2949" s="70"/>
      <c r="H2949" s="93"/>
      <c r="I2949" s="85"/>
      <c r="J2949" s="85"/>
      <c r="K2949" s="131"/>
      <c r="L2949" s="69"/>
      <c r="S2949" s="6"/>
      <c r="T2949" s="6"/>
      <c r="U2949" s="6"/>
      <c r="V2949" s="6"/>
      <c r="W2949" s="6"/>
      <c r="X2949" s="6"/>
      <c r="Y2949" s="6"/>
      <c r="Z2949" s="6"/>
      <c r="AA2949" s="2"/>
      <c r="AB2949" s="2"/>
    </row>
    <row r="2950" spans="1:28" ht="16" x14ac:dyDescent="0.2">
      <c r="A2950" s="166"/>
      <c r="B2950" s="82"/>
      <c r="C2950" s="70"/>
      <c r="D2950" s="70"/>
      <c r="E2950" s="70"/>
      <c r="F2950" s="70"/>
      <c r="G2950" s="70"/>
      <c r="H2950" s="93"/>
      <c r="I2950" s="85"/>
      <c r="J2950" s="85"/>
      <c r="K2950" s="131"/>
      <c r="L2950" s="69"/>
      <c r="N2950" s="48"/>
      <c r="S2950" s="6"/>
      <c r="T2950" s="6"/>
      <c r="U2950" s="6"/>
      <c r="V2950" s="6"/>
      <c r="W2950" s="6"/>
      <c r="X2950" s="6"/>
      <c r="Y2950" s="6"/>
      <c r="Z2950" s="6"/>
      <c r="AA2950" s="2"/>
      <c r="AB2950" s="2"/>
    </row>
    <row r="2951" spans="1:28" x14ac:dyDescent="0.15">
      <c r="A2951" s="166"/>
      <c r="B2951" s="82"/>
      <c r="C2951" s="70"/>
      <c r="D2951" s="70"/>
      <c r="E2951" s="70"/>
      <c r="F2951" s="70"/>
      <c r="G2951" s="70"/>
      <c r="H2951" s="93"/>
      <c r="I2951" s="85"/>
      <c r="J2951" s="85"/>
      <c r="K2951" s="131"/>
      <c r="L2951" s="60"/>
      <c r="S2951" s="6"/>
      <c r="T2951" s="6"/>
      <c r="U2951" s="6"/>
      <c r="V2951" s="6"/>
      <c r="W2951" s="6"/>
      <c r="X2951" s="6"/>
      <c r="Y2951" s="6"/>
      <c r="Z2951" s="6"/>
      <c r="AA2951" s="2"/>
      <c r="AB2951" s="2"/>
    </row>
    <row r="2952" spans="1:28" x14ac:dyDescent="0.15">
      <c r="A2952" s="166"/>
      <c r="B2952" s="93"/>
      <c r="C2952" s="70"/>
      <c r="D2952" s="70"/>
      <c r="E2952" s="70"/>
      <c r="F2952" s="70"/>
      <c r="G2952" s="70"/>
      <c r="H2952" s="93"/>
      <c r="I2952" s="85"/>
      <c r="J2952" s="85"/>
      <c r="K2952" s="131"/>
      <c r="L2952" s="60"/>
      <c r="M2952" s="33"/>
      <c r="S2952" s="6"/>
      <c r="T2952" s="6"/>
      <c r="U2952" s="6"/>
      <c r="V2952" s="6"/>
      <c r="W2952" s="6"/>
      <c r="X2952" s="6"/>
      <c r="Y2952" s="6"/>
      <c r="Z2952" s="6"/>
      <c r="AA2952" s="2"/>
      <c r="AB2952" s="2"/>
    </row>
    <row r="2953" spans="1:28" x14ac:dyDescent="0.15">
      <c r="A2953" s="166"/>
      <c r="B2953" s="82"/>
      <c r="C2953" s="70"/>
      <c r="D2953" s="70"/>
      <c r="E2953" s="70"/>
      <c r="F2953" s="70"/>
      <c r="G2953" s="70"/>
      <c r="H2953" s="93"/>
      <c r="I2953" s="85"/>
      <c r="J2953" s="85"/>
      <c r="K2953" s="131"/>
      <c r="L2953" s="60"/>
      <c r="S2953" s="6"/>
      <c r="T2953" s="6"/>
      <c r="U2953" s="6"/>
      <c r="V2953" s="6"/>
      <c r="W2953" s="6"/>
      <c r="X2953" s="6"/>
      <c r="Y2953" s="6"/>
      <c r="Z2953" s="6"/>
      <c r="AA2953" s="2"/>
      <c r="AB2953" s="2"/>
    </row>
    <row r="2954" spans="1:28" x14ac:dyDescent="0.15">
      <c r="A2954" s="166"/>
      <c r="B2954" s="82"/>
      <c r="C2954" s="70"/>
      <c r="D2954" s="70"/>
      <c r="E2954" s="70"/>
      <c r="F2954" s="70"/>
      <c r="G2954" s="70"/>
      <c r="H2954" s="93"/>
      <c r="I2954" s="85"/>
      <c r="J2954" s="85"/>
      <c r="K2954" s="131"/>
      <c r="L2954" s="60"/>
      <c r="S2954" s="6"/>
      <c r="T2954" s="6"/>
      <c r="U2954" s="6"/>
      <c r="V2954" s="6"/>
      <c r="W2954" s="6"/>
      <c r="X2954" s="6"/>
      <c r="Y2954" s="6"/>
      <c r="Z2954" s="6"/>
      <c r="AA2954" s="2"/>
      <c r="AB2954" s="2"/>
    </row>
    <row r="2955" spans="1:28" x14ac:dyDescent="0.15">
      <c r="A2955" s="166"/>
      <c r="B2955" s="93"/>
      <c r="C2955" s="70"/>
      <c r="D2955" s="70"/>
      <c r="E2955" s="70"/>
      <c r="F2955" s="70"/>
      <c r="G2955" s="70"/>
      <c r="H2955" s="93"/>
      <c r="I2955" s="85"/>
      <c r="J2955" s="85"/>
      <c r="K2955" s="131"/>
      <c r="L2955" s="60"/>
      <c r="S2955" s="6"/>
      <c r="T2955" s="6"/>
      <c r="U2955" s="6"/>
      <c r="V2955" s="6"/>
      <c r="W2955" s="6"/>
      <c r="X2955" s="6"/>
      <c r="Y2955" s="6"/>
      <c r="Z2955" s="6"/>
      <c r="AA2955" s="2"/>
      <c r="AB2955" s="2"/>
    </row>
    <row r="2956" spans="1:28" x14ac:dyDescent="0.15">
      <c r="A2956" s="166"/>
      <c r="B2956" s="82"/>
      <c r="C2956" s="70"/>
      <c r="D2956" s="70"/>
      <c r="E2956" s="70"/>
      <c r="F2956" s="70"/>
      <c r="G2956" s="70"/>
      <c r="H2956" s="93"/>
      <c r="I2956" s="85"/>
      <c r="J2956" s="85"/>
      <c r="K2956" s="131"/>
      <c r="L2956" s="60"/>
      <c r="S2956" s="6"/>
      <c r="T2956" s="6"/>
      <c r="U2956" s="6"/>
      <c r="V2956" s="6"/>
      <c r="W2956" s="6"/>
      <c r="X2956" s="6"/>
      <c r="Y2956" s="6"/>
      <c r="Z2956" s="6"/>
      <c r="AA2956" s="2"/>
      <c r="AB2956" s="2"/>
    </row>
    <row r="2957" spans="1:28" ht="16" x14ac:dyDescent="0.2">
      <c r="A2957" s="166"/>
      <c r="B2957" s="82"/>
      <c r="C2957" s="70"/>
      <c r="D2957" s="70"/>
      <c r="E2957" s="70"/>
      <c r="F2957" s="70"/>
      <c r="G2957" s="70"/>
      <c r="H2957" s="93"/>
      <c r="I2957" s="85"/>
      <c r="J2957" s="85"/>
      <c r="K2957" s="131"/>
      <c r="L2957" s="60"/>
      <c r="N2957" s="48"/>
      <c r="S2957" s="6"/>
      <c r="T2957" s="6"/>
      <c r="U2957" s="6"/>
      <c r="V2957" s="6"/>
      <c r="W2957" s="6"/>
      <c r="X2957" s="6"/>
      <c r="Y2957" s="6"/>
      <c r="Z2957" s="6"/>
      <c r="AA2957" s="2"/>
      <c r="AB2957" s="2"/>
    </row>
    <row r="2958" spans="1:28" x14ac:dyDescent="0.15">
      <c r="A2958" s="166"/>
      <c r="B2958" s="82"/>
      <c r="C2958" s="73"/>
      <c r="D2958" s="73"/>
      <c r="E2958" s="70"/>
      <c r="F2958" s="70"/>
      <c r="G2958" s="70"/>
      <c r="H2958" s="93"/>
      <c r="I2958" s="85"/>
      <c r="J2958" s="85"/>
      <c r="K2958" s="131"/>
      <c r="L2958" s="69"/>
      <c r="S2958" s="6"/>
      <c r="T2958" s="6"/>
      <c r="U2958" s="6"/>
      <c r="V2958" s="6"/>
      <c r="W2958" s="6"/>
      <c r="X2958" s="6"/>
      <c r="Y2958" s="6"/>
      <c r="Z2958" s="6"/>
      <c r="AA2958" s="2"/>
      <c r="AB2958" s="2"/>
    </row>
    <row r="2959" spans="1:28" ht="16" x14ac:dyDescent="0.2">
      <c r="A2959" s="166"/>
      <c r="B2959" s="82"/>
      <c r="C2959" s="70"/>
      <c r="D2959" s="70"/>
      <c r="E2959" s="70"/>
      <c r="F2959" s="70"/>
      <c r="G2959" s="70"/>
      <c r="H2959" s="93"/>
      <c r="I2959" s="85"/>
      <c r="J2959" s="85"/>
      <c r="K2959" s="131"/>
      <c r="L2959" s="60"/>
      <c r="N2959" s="48"/>
      <c r="S2959" s="6"/>
      <c r="T2959" s="6"/>
      <c r="U2959" s="6"/>
      <c r="V2959" s="6"/>
      <c r="W2959" s="6"/>
      <c r="X2959" s="6"/>
      <c r="Y2959" s="6"/>
      <c r="Z2959" s="6"/>
      <c r="AA2959" s="2"/>
      <c r="AB2959" s="2"/>
    </row>
    <row r="2960" spans="1:28" x14ac:dyDescent="0.15">
      <c r="A2960" s="166"/>
      <c r="B2960" s="82"/>
      <c r="C2960" s="70"/>
      <c r="D2960" s="70"/>
      <c r="E2960" s="70"/>
      <c r="F2960" s="70"/>
      <c r="G2960" s="70"/>
      <c r="H2960" s="93"/>
      <c r="I2960" s="85"/>
      <c r="J2960" s="85"/>
      <c r="K2960" s="131"/>
      <c r="L2960" s="60"/>
      <c r="S2960" s="6"/>
      <c r="T2960" s="6"/>
      <c r="U2960" s="6"/>
      <c r="V2960" s="6"/>
      <c r="W2960" s="6"/>
      <c r="X2960" s="6"/>
      <c r="Y2960" s="6"/>
      <c r="Z2960" s="6"/>
      <c r="AA2960" s="2"/>
      <c r="AB2960" s="2"/>
    </row>
    <row r="2961" spans="1:28" x14ac:dyDescent="0.15">
      <c r="A2961" s="166"/>
      <c r="B2961" s="82"/>
      <c r="C2961" s="70"/>
      <c r="D2961" s="70"/>
      <c r="E2961" s="70"/>
      <c r="F2961" s="70"/>
      <c r="G2961" s="70"/>
      <c r="H2961" s="93"/>
      <c r="I2961" s="85"/>
      <c r="J2961" s="85"/>
      <c r="K2961" s="131"/>
      <c r="L2961" s="60"/>
      <c r="S2961" s="6"/>
      <c r="T2961" s="6"/>
      <c r="U2961" s="6"/>
      <c r="V2961" s="6"/>
      <c r="W2961" s="6"/>
      <c r="X2961" s="6"/>
      <c r="Y2961" s="6"/>
      <c r="Z2961" s="6"/>
      <c r="AA2961" s="2"/>
      <c r="AB2961" s="2"/>
    </row>
    <row r="2962" spans="1:28" x14ac:dyDescent="0.15">
      <c r="A2962" s="166"/>
      <c r="B2962" s="82"/>
      <c r="C2962" s="70"/>
      <c r="D2962" s="70"/>
      <c r="E2962" s="70"/>
      <c r="F2962" s="70"/>
      <c r="G2962" s="70"/>
      <c r="H2962" s="93"/>
      <c r="I2962" s="85"/>
      <c r="J2962" s="85"/>
      <c r="K2962" s="131"/>
      <c r="L2962" s="60"/>
      <c r="S2962" s="6"/>
      <c r="T2962" s="6"/>
      <c r="U2962" s="6"/>
      <c r="V2962" s="6"/>
      <c r="W2962" s="6"/>
      <c r="X2962" s="6"/>
      <c r="Y2962" s="6"/>
      <c r="Z2962" s="6"/>
      <c r="AA2962" s="2"/>
      <c r="AB2962" s="2"/>
    </row>
    <row r="2963" spans="1:28" x14ac:dyDescent="0.15">
      <c r="A2963" s="166"/>
      <c r="B2963" s="82"/>
      <c r="C2963" s="70"/>
      <c r="D2963" s="70"/>
      <c r="E2963" s="70"/>
      <c r="F2963" s="70"/>
      <c r="G2963" s="70"/>
      <c r="H2963" s="93"/>
      <c r="I2963" s="85"/>
      <c r="J2963" s="85"/>
      <c r="K2963" s="131"/>
      <c r="L2963" s="60"/>
      <c r="S2963" s="6"/>
      <c r="T2963" s="6"/>
      <c r="U2963" s="6"/>
      <c r="V2963" s="6"/>
      <c r="W2963" s="6"/>
      <c r="X2963" s="6"/>
      <c r="Y2963" s="6"/>
      <c r="Z2963" s="6"/>
      <c r="AA2963" s="2"/>
      <c r="AB2963" s="2"/>
    </row>
    <row r="2964" spans="1:28" x14ac:dyDescent="0.15">
      <c r="A2964" s="166"/>
      <c r="B2964" s="82"/>
      <c r="C2964" s="70"/>
      <c r="D2964" s="70"/>
      <c r="E2964" s="70"/>
      <c r="F2964" s="70"/>
      <c r="G2964" s="70"/>
      <c r="H2964" s="93"/>
      <c r="I2964" s="85"/>
      <c r="J2964" s="85"/>
      <c r="K2964" s="131"/>
      <c r="L2964" s="60"/>
      <c r="S2964" s="6"/>
      <c r="T2964" s="6"/>
      <c r="U2964" s="6"/>
      <c r="V2964" s="6"/>
      <c r="W2964" s="6"/>
      <c r="X2964" s="6"/>
      <c r="Y2964" s="6"/>
      <c r="Z2964" s="6"/>
      <c r="AA2964" s="2"/>
      <c r="AB2964" s="2"/>
    </row>
    <row r="2965" spans="1:28" ht="16" x14ac:dyDescent="0.2">
      <c r="A2965" s="166"/>
      <c r="B2965" s="82"/>
      <c r="C2965" s="70"/>
      <c r="D2965" s="70"/>
      <c r="E2965" s="70"/>
      <c r="F2965" s="70"/>
      <c r="G2965" s="70"/>
      <c r="H2965" s="93"/>
      <c r="I2965" s="85"/>
      <c r="J2965" s="85"/>
      <c r="K2965" s="131"/>
      <c r="L2965" s="60"/>
      <c r="N2965" s="48"/>
      <c r="S2965" s="6"/>
      <c r="T2965" s="6"/>
      <c r="U2965" s="6"/>
      <c r="V2965" s="6"/>
      <c r="W2965" s="6"/>
      <c r="X2965" s="6"/>
      <c r="Y2965" s="6"/>
      <c r="Z2965" s="6"/>
      <c r="AA2965" s="2"/>
      <c r="AB2965" s="2"/>
    </row>
    <row r="2966" spans="1:28" x14ac:dyDescent="0.15">
      <c r="A2966" s="166"/>
      <c r="B2966" s="82"/>
      <c r="C2966" s="70"/>
      <c r="D2966" s="70"/>
      <c r="E2966" s="70"/>
      <c r="F2966" s="70"/>
      <c r="G2966" s="70"/>
      <c r="H2966" s="93"/>
      <c r="I2966" s="85"/>
      <c r="J2966" s="85"/>
      <c r="K2966" s="131"/>
      <c r="L2966" s="60"/>
      <c r="S2966" s="6"/>
      <c r="T2966" s="6"/>
      <c r="U2966" s="6"/>
      <c r="V2966" s="6"/>
      <c r="W2966" s="6"/>
      <c r="X2966" s="6"/>
      <c r="Y2966" s="6"/>
      <c r="Z2966" s="6"/>
      <c r="AA2966" s="2"/>
      <c r="AB2966" s="2"/>
    </row>
    <row r="2967" spans="1:28" x14ac:dyDescent="0.15">
      <c r="A2967" s="166"/>
      <c r="B2967" s="82"/>
      <c r="C2967" s="70"/>
      <c r="D2967" s="70"/>
      <c r="E2967" s="70"/>
      <c r="F2967" s="70"/>
      <c r="G2967" s="70"/>
      <c r="H2967" s="93"/>
      <c r="I2967" s="85"/>
      <c r="J2967" s="85"/>
      <c r="K2967" s="131"/>
      <c r="L2967" s="69"/>
    </row>
    <row r="2968" spans="1:28" ht="16" x14ac:dyDescent="0.2">
      <c r="A2968" s="166"/>
      <c r="B2968" s="82"/>
      <c r="C2968" s="70"/>
      <c r="D2968" s="70"/>
      <c r="E2968" s="70"/>
      <c r="F2968" s="70"/>
      <c r="G2968" s="70"/>
      <c r="H2968" s="93"/>
      <c r="I2968" s="85"/>
      <c r="J2968" s="85"/>
      <c r="K2968" s="131"/>
      <c r="L2968" s="69"/>
      <c r="N2968" s="48"/>
    </row>
    <row r="2969" spans="1:28" x14ac:dyDescent="0.15">
      <c r="A2969" s="166"/>
      <c r="B2969" s="82"/>
      <c r="C2969" s="70"/>
      <c r="D2969" s="70"/>
      <c r="E2969" s="70"/>
      <c r="F2969" s="70"/>
      <c r="G2969" s="70"/>
      <c r="H2969" s="93"/>
      <c r="I2969" s="85"/>
      <c r="J2969" s="85"/>
      <c r="K2969" s="131"/>
      <c r="L2969" s="69"/>
    </row>
    <row r="2970" spans="1:28" x14ac:dyDescent="0.15">
      <c r="A2970" s="166"/>
      <c r="B2970" s="82"/>
      <c r="C2970" s="70"/>
      <c r="D2970" s="70"/>
      <c r="E2970" s="70"/>
      <c r="F2970" s="70"/>
      <c r="G2970" s="70"/>
      <c r="H2970" s="93"/>
      <c r="I2970" s="85"/>
      <c r="J2970" s="85"/>
      <c r="K2970" s="131"/>
      <c r="L2970" s="69"/>
    </row>
    <row r="2971" spans="1:28" x14ac:dyDescent="0.15">
      <c r="A2971" s="166"/>
      <c r="B2971" s="82"/>
      <c r="C2971" s="70"/>
      <c r="D2971" s="70"/>
      <c r="E2971" s="70"/>
      <c r="F2971" s="70"/>
      <c r="G2971" s="70"/>
      <c r="H2971" s="93"/>
      <c r="I2971" s="85"/>
      <c r="J2971" s="85"/>
      <c r="K2971" s="131"/>
      <c r="L2971" s="69"/>
    </row>
    <row r="2972" spans="1:28" x14ac:dyDescent="0.15">
      <c r="A2972" s="166"/>
      <c r="B2972" s="82"/>
      <c r="C2972" s="70"/>
      <c r="D2972" s="70"/>
      <c r="E2972" s="70"/>
      <c r="F2972" s="70"/>
      <c r="G2972" s="70"/>
      <c r="H2972" s="93"/>
      <c r="I2972" s="85"/>
      <c r="J2972" s="85"/>
      <c r="K2972" s="131"/>
      <c r="L2972" s="69"/>
    </row>
    <row r="2973" spans="1:28" x14ac:dyDescent="0.15">
      <c r="A2973" s="166"/>
      <c r="B2973" s="82"/>
      <c r="C2973" s="70"/>
      <c r="D2973" s="70"/>
      <c r="E2973" s="70"/>
      <c r="F2973" s="70"/>
      <c r="G2973" s="70"/>
      <c r="H2973" s="93"/>
      <c r="I2973" s="85"/>
      <c r="J2973" s="85"/>
      <c r="K2973" s="131"/>
      <c r="L2973" s="63"/>
    </row>
    <row r="2974" spans="1:28" ht="16" x14ac:dyDescent="0.2">
      <c r="A2974" s="166"/>
      <c r="B2974" s="93"/>
      <c r="C2974" s="70"/>
      <c r="D2974" s="70"/>
      <c r="E2974" s="70"/>
      <c r="F2974" s="70"/>
      <c r="G2974" s="70"/>
      <c r="H2974" s="93"/>
      <c r="I2974" s="85"/>
      <c r="J2974" s="85"/>
      <c r="K2974" s="131"/>
      <c r="L2974" s="60"/>
      <c r="M2974" s="33"/>
      <c r="N2974" s="48"/>
    </row>
    <row r="2975" spans="1:28" x14ac:dyDescent="0.15">
      <c r="A2975" s="167"/>
      <c r="B2975" s="87"/>
      <c r="C2975" s="88"/>
      <c r="D2975" s="86"/>
      <c r="E2975" s="70"/>
      <c r="F2975" s="86"/>
      <c r="G2975" s="86"/>
      <c r="H2975" s="87"/>
      <c r="I2975" s="85"/>
      <c r="J2975" s="89"/>
      <c r="K2975" s="132"/>
      <c r="L2975" s="61"/>
    </row>
    <row r="2976" spans="1:28" x14ac:dyDescent="0.15">
      <c r="A2976" s="167"/>
      <c r="B2976" s="87"/>
      <c r="C2976" s="88"/>
      <c r="D2976" s="86"/>
      <c r="E2976" s="70"/>
      <c r="F2976" s="86"/>
      <c r="G2976" s="86"/>
      <c r="H2976" s="87"/>
      <c r="I2976" s="85"/>
      <c r="J2976" s="89"/>
      <c r="K2976" s="132"/>
      <c r="L2976" s="61"/>
    </row>
    <row r="2977" spans="1:13" x14ac:dyDescent="0.15">
      <c r="A2977" s="167"/>
      <c r="B2977" s="87"/>
      <c r="C2977" s="88"/>
      <c r="D2977" s="86"/>
      <c r="E2977" s="70"/>
      <c r="F2977" s="86"/>
      <c r="G2977" s="86"/>
      <c r="H2977" s="87"/>
      <c r="I2977" s="85"/>
      <c r="J2977" s="89"/>
      <c r="K2977" s="132"/>
      <c r="L2977" s="61"/>
    </row>
    <row r="2978" spans="1:13" x14ac:dyDescent="0.15">
      <c r="A2978" s="166"/>
      <c r="B2978" s="82"/>
      <c r="C2978" s="70"/>
      <c r="D2978" s="70"/>
      <c r="E2978" s="70"/>
      <c r="F2978" s="70"/>
      <c r="G2978" s="70"/>
      <c r="H2978" s="93"/>
      <c r="I2978" s="85"/>
      <c r="J2978" s="85"/>
      <c r="K2978" s="131"/>
      <c r="L2978" s="60"/>
    </row>
    <row r="2979" spans="1:13" x14ac:dyDescent="0.15">
      <c r="A2979" s="166"/>
      <c r="B2979" s="93"/>
      <c r="C2979" s="70"/>
      <c r="D2979" s="70"/>
      <c r="E2979" s="70"/>
      <c r="F2979" s="70"/>
      <c r="G2979" s="70"/>
      <c r="H2979" s="93"/>
      <c r="I2979" s="85"/>
      <c r="J2979" s="85"/>
      <c r="K2979" s="131"/>
      <c r="L2979" s="60"/>
      <c r="M2979" s="33"/>
    </row>
    <row r="2980" spans="1:13" x14ac:dyDescent="0.15">
      <c r="A2980" s="166"/>
      <c r="B2980" s="82"/>
      <c r="C2980" s="70"/>
      <c r="D2980" s="70"/>
      <c r="E2980" s="70"/>
      <c r="F2980" s="70"/>
      <c r="G2980" s="70"/>
      <c r="H2980" s="93"/>
      <c r="I2980" s="85"/>
      <c r="J2980" s="85"/>
      <c r="K2980" s="131"/>
      <c r="L2980" s="60"/>
      <c r="M2980" s="33"/>
    </row>
    <row r="2981" spans="1:13" x14ac:dyDescent="0.15">
      <c r="A2981" s="166"/>
      <c r="B2981" s="82"/>
      <c r="C2981" s="70"/>
      <c r="D2981" s="70"/>
      <c r="E2981" s="70"/>
      <c r="F2981" s="70"/>
      <c r="G2981" s="70"/>
      <c r="H2981" s="93"/>
      <c r="I2981" s="85"/>
      <c r="J2981" s="85"/>
      <c r="K2981" s="131"/>
      <c r="L2981" s="60"/>
    </row>
    <row r="2982" spans="1:13" x14ac:dyDescent="0.15">
      <c r="A2982" s="166"/>
      <c r="B2982" s="82"/>
      <c r="C2982" s="70"/>
      <c r="D2982" s="70"/>
      <c r="E2982" s="70"/>
      <c r="F2982" s="70"/>
      <c r="G2982" s="70"/>
      <c r="H2982" s="93"/>
      <c r="I2982" s="85"/>
      <c r="J2982" s="85"/>
      <c r="K2982" s="131"/>
      <c r="L2982" s="60"/>
    </row>
    <row r="2983" spans="1:13" x14ac:dyDescent="0.15">
      <c r="A2983" s="166"/>
      <c r="B2983" s="93"/>
      <c r="C2983" s="70"/>
      <c r="D2983" s="70"/>
      <c r="E2983" s="70"/>
      <c r="F2983" s="70"/>
      <c r="G2983" s="70"/>
      <c r="H2983" s="93"/>
      <c r="I2983" s="85"/>
      <c r="J2983" s="85"/>
      <c r="K2983" s="131"/>
      <c r="L2983" s="60"/>
    </row>
    <row r="2984" spans="1:13" x14ac:dyDescent="0.15">
      <c r="A2984" s="166"/>
      <c r="B2984" s="82"/>
      <c r="C2984" s="70"/>
      <c r="D2984" s="70"/>
      <c r="E2984" s="70"/>
      <c r="F2984" s="70"/>
      <c r="G2984" s="70"/>
      <c r="H2984" s="93"/>
      <c r="I2984" s="85"/>
      <c r="J2984" s="85"/>
      <c r="K2984" s="131"/>
      <c r="L2984" s="60"/>
    </row>
    <row r="2985" spans="1:13" x14ac:dyDescent="0.15">
      <c r="A2985" s="166"/>
      <c r="B2985" s="82"/>
      <c r="C2985" s="70"/>
      <c r="D2985" s="70"/>
      <c r="E2985" s="70"/>
      <c r="F2985" s="70"/>
      <c r="G2985" s="70"/>
      <c r="H2985" s="93"/>
      <c r="I2985" s="85"/>
      <c r="J2985" s="85"/>
      <c r="K2985" s="131"/>
      <c r="L2985" s="60"/>
    </row>
    <row r="2986" spans="1:13" x14ac:dyDescent="0.15">
      <c r="A2986" s="166"/>
      <c r="B2986" s="82"/>
      <c r="C2986" s="70"/>
      <c r="D2986" s="70"/>
      <c r="E2986" s="70"/>
      <c r="F2986" s="70"/>
      <c r="G2986" s="70"/>
      <c r="H2986" s="93"/>
      <c r="I2986" s="85"/>
      <c r="J2986" s="85"/>
      <c r="K2986" s="131"/>
      <c r="L2986" s="60"/>
    </row>
    <row r="2987" spans="1:13" x14ac:dyDescent="0.15">
      <c r="A2987" s="166"/>
      <c r="B2987" s="82"/>
      <c r="C2987" s="70"/>
      <c r="D2987" s="70"/>
      <c r="E2987" s="70"/>
      <c r="F2987" s="70"/>
      <c r="G2987" s="70"/>
      <c r="H2987" s="93"/>
      <c r="I2987" s="85"/>
      <c r="J2987" s="85"/>
      <c r="K2987" s="131"/>
      <c r="L2987" s="60"/>
    </row>
    <row r="2988" spans="1:13" x14ac:dyDescent="0.15">
      <c r="A2988" s="166"/>
      <c r="B2988" s="82"/>
      <c r="C2988" s="70"/>
      <c r="D2988" s="70"/>
      <c r="E2988" s="70"/>
      <c r="F2988" s="70"/>
      <c r="G2988" s="70"/>
      <c r="H2988" s="93"/>
      <c r="I2988" s="85"/>
      <c r="J2988" s="85"/>
      <c r="K2988" s="131"/>
      <c r="L2988" s="60"/>
    </row>
    <row r="2989" spans="1:13" x14ac:dyDescent="0.15">
      <c r="A2989" s="166"/>
      <c r="B2989" s="82"/>
      <c r="C2989" s="70"/>
      <c r="D2989" s="70"/>
      <c r="E2989" s="70"/>
      <c r="F2989" s="70"/>
      <c r="G2989" s="70"/>
      <c r="H2989" s="93"/>
      <c r="I2989" s="85"/>
      <c r="J2989" s="85"/>
      <c r="K2989" s="131"/>
      <c r="L2989" s="60"/>
    </row>
    <row r="2990" spans="1:13" x14ac:dyDescent="0.15">
      <c r="A2990" s="166"/>
      <c r="B2990" s="82"/>
      <c r="C2990" s="70"/>
      <c r="D2990" s="70"/>
      <c r="E2990" s="70"/>
      <c r="F2990" s="70"/>
      <c r="G2990" s="70"/>
      <c r="H2990" s="93"/>
      <c r="I2990" s="85"/>
      <c r="J2990" s="85"/>
      <c r="K2990" s="131"/>
      <c r="L2990" s="60"/>
      <c r="M2990" s="33"/>
    </row>
    <row r="2991" spans="1:13" x14ac:dyDescent="0.15">
      <c r="A2991" s="166"/>
      <c r="B2991" s="93"/>
      <c r="C2991" s="70"/>
      <c r="D2991" s="70"/>
      <c r="E2991" s="70"/>
      <c r="F2991" s="70"/>
      <c r="G2991" s="70"/>
      <c r="H2991" s="93"/>
      <c r="I2991" s="85"/>
      <c r="J2991" s="85"/>
      <c r="K2991" s="131"/>
      <c r="L2991" s="60"/>
      <c r="M2991" s="33"/>
    </row>
    <row r="2992" spans="1:13" x14ac:dyDescent="0.15">
      <c r="A2992" s="166"/>
      <c r="B2992" s="93"/>
      <c r="C2992" s="70"/>
      <c r="D2992" s="70"/>
      <c r="E2992" s="70"/>
      <c r="F2992" s="70"/>
      <c r="G2992" s="70"/>
      <c r="H2992" s="93"/>
      <c r="I2992" s="85"/>
      <c r="J2992" s="85"/>
      <c r="K2992" s="131"/>
      <c r="L2992" s="60"/>
      <c r="M2992" s="33"/>
    </row>
    <row r="2993" spans="1:16" x14ac:dyDescent="0.15">
      <c r="A2993" s="166"/>
      <c r="B2993" s="93"/>
      <c r="C2993" s="70"/>
      <c r="D2993" s="70"/>
      <c r="E2993" s="70"/>
      <c r="F2993" s="70"/>
      <c r="G2993" s="70"/>
      <c r="H2993" s="93"/>
      <c r="I2993" s="85"/>
      <c r="J2993" s="85"/>
      <c r="K2993" s="131"/>
      <c r="L2993" s="60"/>
      <c r="M2993" s="33"/>
    </row>
    <row r="2994" spans="1:16" x14ac:dyDescent="0.15">
      <c r="A2994" s="166"/>
      <c r="B2994" s="93"/>
      <c r="C2994" s="70"/>
      <c r="D2994" s="70"/>
      <c r="E2994" s="70"/>
      <c r="F2994" s="70"/>
      <c r="G2994" s="70"/>
      <c r="H2994" s="93"/>
      <c r="I2994" s="85"/>
      <c r="J2994" s="85"/>
      <c r="K2994" s="131"/>
      <c r="L2994" s="60"/>
      <c r="M2994" s="33"/>
    </row>
    <row r="2995" spans="1:16" x14ac:dyDescent="0.15">
      <c r="A2995" s="170"/>
      <c r="B2995" s="93"/>
      <c r="C2995" s="70"/>
      <c r="D2995" s="70"/>
      <c r="E2995" s="70"/>
      <c r="F2995" s="70"/>
      <c r="G2995" s="70"/>
      <c r="H2995" s="93"/>
      <c r="I2995" s="85"/>
      <c r="J2995" s="85"/>
      <c r="K2995" s="131"/>
      <c r="L2995" s="60"/>
      <c r="M2995" s="33"/>
    </row>
    <row r="2996" spans="1:16" x14ac:dyDescent="0.15">
      <c r="A2996" s="166"/>
      <c r="B2996" s="93"/>
      <c r="C2996" s="70"/>
      <c r="D2996" s="70"/>
      <c r="E2996" s="70"/>
      <c r="F2996" s="70"/>
      <c r="G2996" s="70"/>
      <c r="H2996" s="93"/>
      <c r="I2996" s="85"/>
      <c r="J2996" s="85"/>
      <c r="K2996" s="131"/>
      <c r="L2996" s="60"/>
      <c r="M2996" s="33"/>
    </row>
    <row r="2997" spans="1:16" ht="16" x14ac:dyDescent="0.2">
      <c r="A2997" s="166"/>
      <c r="B2997" s="93"/>
      <c r="C2997" s="70"/>
      <c r="D2997" s="70"/>
      <c r="E2997" s="70"/>
      <c r="F2997" s="70"/>
      <c r="G2997" s="70"/>
      <c r="H2997" s="93"/>
      <c r="I2997" s="85"/>
      <c r="J2997" s="85"/>
      <c r="K2997" s="131"/>
      <c r="L2997" s="60"/>
      <c r="M2997" s="47"/>
    </row>
    <row r="2998" spans="1:16" x14ac:dyDescent="0.15">
      <c r="A2998" s="166"/>
      <c r="B2998" s="82"/>
      <c r="C2998" s="70"/>
      <c r="D2998" s="70"/>
      <c r="E2998" s="70"/>
      <c r="F2998" s="70"/>
      <c r="G2998" s="70"/>
      <c r="H2998" s="93"/>
      <c r="I2998" s="85"/>
      <c r="J2998" s="85"/>
      <c r="K2998" s="131"/>
      <c r="L2998" s="67"/>
    </row>
    <row r="2999" spans="1:16" x14ac:dyDescent="0.15">
      <c r="A2999" s="166"/>
      <c r="B2999" s="93"/>
      <c r="C2999" s="70"/>
      <c r="D2999" s="70"/>
      <c r="E2999" s="70"/>
      <c r="F2999" s="70"/>
      <c r="G2999" s="70"/>
      <c r="H2999" s="93"/>
      <c r="I2999" s="85"/>
      <c r="J2999" s="85"/>
      <c r="K2999" s="131"/>
      <c r="L2999" s="60"/>
      <c r="M2999" s="33"/>
    </row>
    <row r="3000" spans="1:16" x14ac:dyDescent="0.15">
      <c r="A3000" s="166"/>
      <c r="B3000" s="93"/>
      <c r="C3000" s="70"/>
      <c r="D3000" s="70"/>
      <c r="E3000" s="70"/>
      <c r="F3000" s="70"/>
      <c r="G3000" s="70"/>
      <c r="H3000" s="93"/>
      <c r="I3000" s="85"/>
      <c r="J3000" s="85"/>
      <c r="K3000" s="131"/>
      <c r="L3000" s="60"/>
      <c r="M3000" s="33"/>
    </row>
    <row r="3001" spans="1:16" ht="16" x14ac:dyDescent="0.2">
      <c r="A3001" s="166"/>
      <c r="B3001" s="93"/>
      <c r="C3001" s="70"/>
      <c r="D3001" s="70"/>
      <c r="E3001" s="70"/>
      <c r="F3001" s="70"/>
      <c r="G3001" s="70"/>
      <c r="H3001" s="93"/>
      <c r="I3001" s="85"/>
      <c r="J3001" s="85"/>
      <c r="K3001" s="131"/>
      <c r="L3001" s="60"/>
      <c r="M3001" s="47"/>
    </row>
    <row r="3002" spans="1:16" ht="16" x14ac:dyDescent="0.2">
      <c r="A3002" s="166"/>
      <c r="B3002" s="82"/>
      <c r="C3002" s="70"/>
      <c r="D3002" s="70"/>
      <c r="E3002" s="70"/>
      <c r="F3002" s="70"/>
      <c r="G3002" s="70"/>
      <c r="H3002" s="93"/>
      <c r="I3002" s="85"/>
      <c r="J3002" s="85"/>
      <c r="K3002" s="131"/>
      <c r="L3002" s="60"/>
      <c r="M3002" s="47"/>
      <c r="P3002" s="33"/>
    </row>
    <row r="3003" spans="1:16" ht="16" x14ac:dyDescent="0.2">
      <c r="A3003" s="166"/>
      <c r="B3003" s="82"/>
      <c r="C3003" s="70"/>
      <c r="D3003" s="70"/>
      <c r="E3003" s="70"/>
      <c r="F3003" s="70"/>
      <c r="G3003" s="70"/>
      <c r="H3003" s="93"/>
      <c r="I3003" s="85"/>
      <c r="J3003" s="85"/>
      <c r="K3003" s="131"/>
      <c r="L3003" s="60"/>
      <c r="M3003" s="47"/>
    </row>
    <row r="3004" spans="1:16" x14ac:dyDescent="0.15">
      <c r="A3004" s="166"/>
      <c r="B3004" s="82"/>
      <c r="C3004" s="70"/>
      <c r="D3004" s="70"/>
      <c r="E3004" s="70"/>
      <c r="F3004" s="70"/>
      <c r="G3004" s="70"/>
      <c r="H3004" s="93"/>
      <c r="I3004" s="85"/>
      <c r="J3004" s="85"/>
      <c r="K3004" s="131"/>
      <c r="L3004" s="60"/>
      <c r="M3004" s="33"/>
    </row>
    <row r="3005" spans="1:16" x14ac:dyDescent="0.15">
      <c r="A3005" s="166"/>
      <c r="B3005" s="93"/>
      <c r="C3005" s="70"/>
      <c r="D3005" s="70"/>
      <c r="E3005" s="70"/>
      <c r="F3005" s="70"/>
      <c r="G3005" s="70"/>
      <c r="H3005" s="93"/>
      <c r="I3005" s="85"/>
      <c r="J3005" s="85"/>
      <c r="K3005" s="131"/>
      <c r="L3005" s="60"/>
      <c r="M3005" s="33"/>
    </row>
    <row r="3006" spans="1:16" x14ac:dyDescent="0.15">
      <c r="A3006" s="170"/>
      <c r="B3006" s="82"/>
      <c r="C3006" s="81"/>
      <c r="D3006" s="81"/>
      <c r="E3006" s="81"/>
      <c r="F3006" s="81"/>
      <c r="G3006" s="81"/>
      <c r="H3006" s="96"/>
      <c r="I3006" s="85"/>
      <c r="J3006" s="111"/>
      <c r="K3006" s="139"/>
      <c r="L3006" s="72"/>
      <c r="M3006" s="31"/>
    </row>
    <row r="3007" spans="1:16" x14ac:dyDescent="0.15">
      <c r="A3007" s="166"/>
      <c r="B3007" s="93"/>
      <c r="C3007" s="70"/>
      <c r="D3007" s="70"/>
      <c r="E3007" s="70"/>
      <c r="F3007" s="70"/>
      <c r="G3007" s="70"/>
      <c r="H3007" s="93"/>
      <c r="I3007" s="85"/>
      <c r="J3007" s="85"/>
      <c r="K3007" s="131"/>
      <c r="L3007" s="60"/>
      <c r="M3007" s="33"/>
      <c r="P3007" s="33"/>
    </row>
    <row r="3008" spans="1:16" ht="16" x14ac:dyDescent="0.2">
      <c r="A3008" s="166"/>
      <c r="B3008" s="93"/>
      <c r="C3008" s="70"/>
      <c r="D3008" s="70"/>
      <c r="E3008" s="70"/>
      <c r="F3008" s="70"/>
      <c r="G3008" s="70"/>
      <c r="H3008" s="93"/>
      <c r="I3008" s="85"/>
      <c r="J3008" s="85"/>
      <c r="K3008" s="131"/>
      <c r="L3008" s="60"/>
      <c r="M3008" s="47"/>
    </row>
    <row r="3009" spans="1:13" x14ac:dyDescent="0.15">
      <c r="A3009" s="166"/>
      <c r="B3009" s="93"/>
      <c r="C3009" s="70"/>
      <c r="D3009" s="70"/>
      <c r="E3009" s="70"/>
      <c r="F3009" s="70"/>
      <c r="G3009" s="70"/>
      <c r="H3009" s="93"/>
      <c r="I3009" s="85"/>
      <c r="J3009" s="85"/>
      <c r="K3009" s="131"/>
      <c r="L3009" s="60"/>
      <c r="M3009" s="33"/>
    </row>
    <row r="3010" spans="1:13" x14ac:dyDescent="0.15">
      <c r="A3010" s="166"/>
      <c r="B3010" s="93"/>
      <c r="C3010" s="70"/>
      <c r="D3010" s="70"/>
      <c r="E3010" s="70"/>
      <c r="F3010" s="70"/>
      <c r="G3010" s="70"/>
      <c r="H3010" s="93"/>
      <c r="I3010" s="85"/>
      <c r="J3010" s="85"/>
      <c r="K3010" s="131"/>
      <c r="L3010" s="60"/>
      <c r="M3010" s="33"/>
    </row>
    <row r="3011" spans="1:13" ht="16" x14ac:dyDescent="0.2">
      <c r="A3011" s="166"/>
      <c r="B3011" s="93"/>
      <c r="C3011" s="70"/>
      <c r="D3011" s="70"/>
      <c r="E3011" s="70"/>
      <c r="F3011" s="70"/>
      <c r="G3011" s="70"/>
      <c r="H3011" s="93"/>
      <c r="I3011" s="85"/>
      <c r="J3011" s="85"/>
      <c r="K3011" s="131"/>
      <c r="L3011" s="60"/>
      <c r="M3011" s="47"/>
    </row>
    <row r="3012" spans="1:13" x14ac:dyDescent="0.15">
      <c r="A3012" s="166"/>
      <c r="B3012" s="93"/>
      <c r="C3012" s="70"/>
      <c r="D3012" s="70"/>
      <c r="E3012" s="70"/>
      <c r="F3012" s="70"/>
      <c r="G3012" s="70"/>
      <c r="H3012" s="93"/>
      <c r="I3012" s="85"/>
      <c r="J3012" s="85"/>
      <c r="K3012" s="131"/>
      <c r="L3012" s="60"/>
      <c r="M3012" s="33"/>
    </row>
    <row r="3013" spans="1:13" x14ac:dyDescent="0.15">
      <c r="A3013" s="166"/>
      <c r="B3013" s="93"/>
      <c r="C3013" s="70"/>
      <c r="D3013" s="70"/>
      <c r="E3013" s="70"/>
      <c r="F3013" s="70"/>
      <c r="G3013" s="70"/>
      <c r="H3013" s="93"/>
      <c r="I3013" s="85"/>
      <c r="J3013" s="85"/>
      <c r="K3013" s="131"/>
      <c r="L3013" s="60"/>
      <c r="M3013" s="33"/>
    </row>
    <row r="3014" spans="1:13" ht="16" x14ac:dyDescent="0.2">
      <c r="A3014" s="166"/>
      <c r="B3014" s="93"/>
      <c r="C3014" s="70"/>
      <c r="D3014" s="70"/>
      <c r="E3014" s="70"/>
      <c r="F3014" s="70"/>
      <c r="G3014" s="70"/>
      <c r="H3014" s="93"/>
      <c r="I3014" s="85"/>
      <c r="J3014" s="85"/>
      <c r="K3014" s="131"/>
      <c r="L3014" s="60"/>
      <c r="M3014" s="47"/>
    </row>
    <row r="3015" spans="1:13" x14ac:dyDescent="0.15">
      <c r="A3015" s="166"/>
      <c r="B3015" s="93"/>
      <c r="C3015" s="70"/>
      <c r="D3015" s="70"/>
      <c r="E3015" s="70"/>
      <c r="F3015" s="70"/>
      <c r="G3015" s="70"/>
      <c r="H3015" s="93"/>
      <c r="I3015" s="85"/>
      <c r="J3015" s="85"/>
      <c r="K3015" s="131"/>
      <c r="L3015" s="60"/>
      <c r="M3015" s="33"/>
    </row>
    <row r="3016" spans="1:13" x14ac:dyDescent="0.15">
      <c r="A3016" s="166"/>
      <c r="B3016" s="93"/>
      <c r="C3016" s="70"/>
      <c r="D3016" s="70"/>
      <c r="E3016" s="70"/>
      <c r="F3016" s="70"/>
      <c r="G3016" s="70"/>
      <c r="H3016" s="93"/>
      <c r="I3016" s="85"/>
      <c r="J3016" s="85"/>
      <c r="K3016" s="131"/>
      <c r="L3016" s="60"/>
      <c r="M3016" s="33"/>
    </row>
    <row r="3017" spans="1:13" x14ac:dyDescent="0.15">
      <c r="A3017" s="166"/>
      <c r="B3017" s="93"/>
      <c r="C3017" s="70"/>
      <c r="D3017" s="70"/>
      <c r="E3017" s="70"/>
      <c r="F3017" s="70"/>
      <c r="G3017" s="70"/>
      <c r="H3017" s="93"/>
      <c r="I3017" s="85"/>
      <c r="J3017" s="85"/>
      <c r="K3017" s="131"/>
      <c r="L3017" s="60"/>
      <c r="M3017" s="33"/>
    </row>
    <row r="3018" spans="1:13" x14ac:dyDescent="0.15">
      <c r="A3018" s="166"/>
      <c r="B3018" s="93"/>
      <c r="C3018" s="70"/>
      <c r="D3018" s="70"/>
      <c r="E3018" s="70"/>
      <c r="F3018" s="70"/>
      <c r="G3018" s="70"/>
      <c r="H3018" s="93"/>
      <c r="I3018" s="85"/>
      <c r="J3018" s="85"/>
      <c r="K3018" s="131"/>
      <c r="L3018" s="60"/>
      <c r="M3018" s="33"/>
    </row>
    <row r="3019" spans="1:13" x14ac:dyDescent="0.15">
      <c r="A3019" s="166"/>
      <c r="B3019" s="93"/>
      <c r="C3019" s="70"/>
      <c r="D3019" s="70"/>
      <c r="E3019" s="70"/>
      <c r="F3019" s="70"/>
      <c r="G3019" s="70"/>
      <c r="H3019" s="93"/>
      <c r="I3019" s="85"/>
      <c r="J3019" s="85"/>
      <c r="K3019" s="131"/>
      <c r="L3019" s="60"/>
      <c r="M3019" s="33"/>
    </row>
    <row r="3020" spans="1:13" x14ac:dyDescent="0.15">
      <c r="A3020" s="166"/>
      <c r="B3020" s="93"/>
      <c r="C3020" s="73"/>
      <c r="D3020" s="73"/>
      <c r="E3020" s="70"/>
      <c r="F3020" s="73"/>
      <c r="G3020" s="73"/>
      <c r="H3020" s="108"/>
      <c r="I3020" s="85"/>
      <c r="J3020" s="95"/>
      <c r="K3020" s="131"/>
      <c r="L3020" s="60"/>
      <c r="M3020" s="33"/>
    </row>
    <row r="3021" spans="1:13" x14ac:dyDescent="0.15">
      <c r="A3021" s="166"/>
      <c r="B3021" s="93"/>
      <c r="C3021" s="70"/>
      <c r="D3021" s="70"/>
      <c r="E3021" s="70"/>
      <c r="F3021" s="70"/>
      <c r="G3021" s="70"/>
      <c r="H3021" s="93"/>
      <c r="I3021" s="85"/>
      <c r="J3021" s="85"/>
      <c r="K3021" s="131"/>
      <c r="L3021" s="60"/>
      <c r="M3021" s="33"/>
    </row>
    <row r="3022" spans="1:13" x14ac:dyDescent="0.15">
      <c r="A3022" s="166"/>
      <c r="B3022" s="93"/>
      <c r="C3022" s="70"/>
      <c r="D3022" s="70"/>
      <c r="E3022" s="70"/>
      <c r="F3022" s="70"/>
      <c r="G3022" s="70"/>
      <c r="H3022" s="93"/>
      <c r="I3022" s="85"/>
      <c r="J3022" s="85"/>
      <c r="K3022" s="131"/>
      <c r="L3022" s="60"/>
      <c r="M3022" s="33"/>
    </row>
    <row r="3023" spans="1:13" x14ac:dyDescent="0.15">
      <c r="A3023" s="166"/>
      <c r="B3023" s="93"/>
      <c r="C3023" s="70"/>
      <c r="D3023" s="70"/>
      <c r="E3023" s="70"/>
      <c r="F3023" s="70"/>
      <c r="G3023" s="70"/>
      <c r="H3023" s="93"/>
      <c r="I3023" s="85"/>
      <c r="J3023" s="85"/>
      <c r="K3023" s="131"/>
      <c r="L3023" s="60"/>
      <c r="M3023" s="33"/>
    </row>
    <row r="3024" spans="1:13" x14ac:dyDescent="0.15">
      <c r="A3024" s="166"/>
      <c r="B3024" s="93"/>
      <c r="C3024" s="70"/>
      <c r="D3024" s="70"/>
      <c r="E3024" s="70"/>
      <c r="F3024" s="70"/>
      <c r="G3024" s="70"/>
      <c r="H3024" s="93"/>
      <c r="I3024" s="85"/>
      <c r="J3024" s="85"/>
      <c r="K3024" s="131"/>
      <c r="L3024" s="60"/>
      <c r="M3024" s="33"/>
    </row>
    <row r="3025" spans="1:28" x14ac:dyDescent="0.15">
      <c r="A3025" s="166"/>
      <c r="B3025" s="93"/>
      <c r="C3025" s="70"/>
      <c r="D3025" s="70"/>
      <c r="E3025" s="70"/>
      <c r="F3025" s="70"/>
      <c r="G3025" s="70"/>
      <c r="H3025" s="93"/>
      <c r="I3025" s="85"/>
      <c r="J3025" s="85"/>
      <c r="K3025" s="131"/>
      <c r="L3025" s="60"/>
      <c r="M3025" s="33"/>
    </row>
    <row r="3026" spans="1:28" x14ac:dyDescent="0.15">
      <c r="A3026" s="166"/>
      <c r="B3026" s="93"/>
      <c r="C3026" s="70"/>
      <c r="D3026" s="70"/>
      <c r="E3026" s="70"/>
      <c r="F3026" s="70"/>
      <c r="G3026" s="70"/>
      <c r="H3026" s="93"/>
      <c r="I3026" s="85"/>
      <c r="J3026" s="85"/>
      <c r="K3026" s="131"/>
      <c r="L3026" s="60"/>
      <c r="M3026" s="33"/>
    </row>
    <row r="3027" spans="1:28" x14ac:dyDescent="0.15">
      <c r="A3027" s="166"/>
      <c r="B3027" s="93"/>
      <c r="C3027" s="70"/>
      <c r="D3027" s="70"/>
      <c r="E3027" s="70"/>
      <c r="F3027" s="70"/>
      <c r="G3027" s="70"/>
      <c r="H3027" s="93"/>
      <c r="I3027" s="85"/>
      <c r="J3027" s="85"/>
      <c r="K3027" s="131"/>
      <c r="L3027" s="60"/>
    </row>
    <row r="3028" spans="1:28" x14ac:dyDescent="0.15">
      <c r="A3028" s="166"/>
      <c r="B3028" s="93"/>
      <c r="C3028" s="70"/>
      <c r="D3028" s="70"/>
      <c r="E3028" s="70"/>
      <c r="F3028" s="70"/>
      <c r="G3028" s="70"/>
      <c r="H3028" s="93"/>
      <c r="I3028" s="85"/>
      <c r="J3028" s="85"/>
      <c r="K3028" s="131"/>
      <c r="L3028" s="60"/>
      <c r="M3028" s="33"/>
    </row>
    <row r="3029" spans="1:28" x14ac:dyDescent="0.15">
      <c r="A3029" s="166"/>
      <c r="B3029" s="93"/>
      <c r="C3029" s="70"/>
      <c r="D3029" s="70"/>
      <c r="E3029" s="70"/>
      <c r="F3029" s="70"/>
      <c r="G3029" s="70"/>
      <c r="H3029" s="93"/>
      <c r="I3029" s="85"/>
      <c r="J3029" s="85"/>
      <c r="K3029" s="131"/>
      <c r="L3029" s="60"/>
      <c r="M3029" s="33"/>
    </row>
    <row r="3030" spans="1:28" x14ac:dyDescent="0.15">
      <c r="A3030" s="166"/>
      <c r="B3030" s="93"/>
      <c r="C3030" s="70"/>
      <c r="D3030" s="70"/>
      <c r="E3030" s="70"/>
      <c r="F3030" s="70"/>
      <c r="G3030" s="70"/>
      <c r="H3030" s="93"/>
      <c r="I3030" s="85"/>
      <c r="J3030" s="85"/>
      <c r="K3030" s="131"/>
      <c r="L3030" s="60"/>
      <c r="M3030" s="33"/>
    </row>
    <row r="3031" spans="1:28" x14ac:dyDescent="0.15">
      <c r="A3031" s="166"/>
      <c r="B3031" s="93"/>
      <c r="C3031" s="70"/>
      <c r="D3031" s="70"/>
      <c r="E3031" s="70"/>
      <c r="F3031" s="70"/>
      <c r="G3031" s="70"/>
      <c r="H3031" s="93"/>
      <c r="I3031" s="85"/>
      <c r="J3031" s="85"/>
      <c r="K3031" s="131"/>
      <c r="L3031" s="60"/>
      <c r="M3031" s="33"/>
    </row>
    <row r="3032" spans="1:28" x14ac:dyDescent="0.15">
      <c r="A3032" s="170"/>
      <c r="B3032" s="93"/>
      <c r="C3032" s="70"/>
      <c r="D3032" s="70"/>
      <c r="E3032" s="70"/>
      <c r="F3032" s="70"/>
      <c r="G3032" s="70"/>
      <c r="H3032" s="93"/>
      <c r="I3032" s="85"/>
      <c r="J3032" s="85"/>
      <c r="K3032" s="131"/>
      <c r="L3032" s="60"/>
      <c r="M3032" s="33"/>
    </row>
    <row r="3033" spans="1:28" x14ac:dyDescent="0.15">
      <c r="A3033" s="166"/>
      <c r="B3033" s="93"/>
      <c r="C3033" s="70"/>
      <c r="D3033" s="70"/>
      <c r="E3033" s="70"/>
      <c r="F3033" s="70"/>
      <c r="G3033" s="70"/>
      <c r="H3033" s="93"/>
      <c r="I3033" s="85"/>
      <c r="J3033" s="85"/>
      <c r="K3033" s="131"/>
      <c r="L3033" s="60"/>
      <c r="M3033" s="33"/>
    </row>
    <row r="3034" spans="1:28" x14ac:dyDescent="0.15">
      <c r="A3034" s="166"/>
      <c r="B3034" s="82"/>
      <c r="C3034" s="70"/>
      <c r="D3034" s="70"/>
      <c r="E3034" s="70"/>
      <c r="F3034" s="70"/>
      <c r="G3034" s="70"/>
      <c r="H3034" s="93"/>
      <c r="I3034" s="85"/>
      <c r="J3034" s="85"/>
      <c r="K3034" s="131"/>
      <c r="L3034" s="67"/>
      <c r="M3034" s="33"/>
    </row>
    <row r="3035" spans="1:28" x14ac:dyDescent="0.15">
      <c r="A3035" s="166"/>
      <c r="B3035" s="93"/>
      <c r="C3035" s="70"/>
      <c r="D3035" s="70"/>
      <c r="E3035" s="70"/>
      <c r="F3035" s="70"/>
      <c r="G3035" s="70"/>
      <c r="H3035" s="93"/>
      <c r="I3035" s="85"/>
      <c r="J3035" s="85"/>
      <c r="K3035" s="131"/>
      <c r="L3035" s="60"/>
      <c r="M3035" s="33"/>
    </row>
    <row r="3036" spans="1:28" x14ac:dyDescent="0.15">
      <c r="A3036" s="166"/>
      <c r="B3036" s="93"/>
      <c r="C3036" s="70"/>
      <c r="D3036" s="70"/>
      <c r="E3036" s="70"/>
      <c r="F3036" s="70"/>
      <c r="G3036" s="70"/>
      <c r="H3036" s="93"/>
      <c r="I3036" s="85"/>
      <c r="J3036" s="85"/>
      <c r="K3036" s="131"/>
      <c r="L3036" s="60"/>
      <c r="M3036" s="33"/>
    </row>
    <row r="3037" spans="1:28" x14ac:dyDescent="0.15">
      <c r="A3037" s="166"/>
      <c r="B3037" s="93"/>
      <c r="C3037" s="70"/>
      <c r="D3037" s="70"/>
      <c r="E3037" s="70"/>
      <c r="F3037" s="70"/>
      <c r="G3037" s="70"/>
      <c r="H3037" s="93"/>
      <c r="I3037" s="85"/>
      <c r="J3037" s="85"/>
      <c r="K3037" s="131"/>
      <c r="L3037" s="60"/>
      <c r="M3037" s="33"/>
    </row>
    <row r="3038" spans="1:28" x14ac:dyDescent="0.15">
      <c r="A3038" s="166"/>
      <c r="B3038" s="93"/>
      <c r="C3038" s="70"/>
      <c r="D3038" s="70"/>
      <c r="E3038" s="70"/>
      <c r="F3038" s="70"/>
      <c r="G3038" s="70"/>
      <c r="H3038" s="93"/>
      <c r="I3038" s="85"/>
      <c r="J3038" s="85"/>
      <c r="K3038" s="131"/>
      <c r="L3038" s="60"/>
      <c r="M3038" s="33"/>
    </row>
    <row r="3039" spans="1:28" x14ac:dyDescent="0.15">
      <c r="A3039" s="166"/>
      <c r="B3039" s="82"/>
      <c r="C3039" s="70"/>
      <c r="D3039" s="70"/>
      <c r="E3039" s="70"/>
      <c r="F3039" s="70"/>
      <c r="G3039" s="70"/>
      <c r="H3039" s="93"/>
      <c r="I3039" s="85"/>
      <c r="J3039" s="85"/>
      <c r="K3039" s="131"/>
      <c r="L3039" s="60"/>
      <c r="S3039" s="6"/>
      <c r="T3039" s="6"/>
      <c r="U3039" s="6"/>
      <c r="V3039" s="6"/>
      <c r="W3039" s="6"/>
      <c r="X3039" s="6"/>
      <c r="Y3039" s="6"/>
      <c r="Z3039" s="6"/>
      <c r="AA3039" s="2"/>
      <c r="AB3039" s="2"/>
    </row>
    <row r="3040" spans="1:28" x14ac:dyDescent="0.15">
      <c r="A3040" s="166"/>
      <c r="B3040" s="82"/>
      <c r="C3040" s="70"/>
      <c r="D3040" s="70"/>
      <c r="E3040" s="70"/>
      <c r="F3040" s="70"/>
      <c r="G3040" s="70"/>
      <c r="H3040" s="93"/>
      <c r="I3040" s="85"/>
      <c r="J3040" s="85"/>
      <c r="K3040" s="131"/>
      <c r="L3040" s="69"/>
      <c r="S3040" s="6"/>
      <c r="T3040" s="6"/>
      <c r="U3040" s="6"/>
      <c r="V3040" s="6"/>
      <c r="W3040" s="6"/>
      <c r="X3040" s="6"/>
      <c r="Y3040" s="6"/>
      <c r="Z3040" s="6"/>
      <c r="AA3040" s="2"/>
      <c r="AB3040" s="2"/>
    </row>
    <row r="3041" spans="1:28" x14ac:dyDescent="0.15">
      <c r="A3041" s="166"/>
      <c r="B3041" s="82"/>
      <c r="C3041" s="70"/>
      <c r="D3041" s="70"/>
      <c r="E3041" s="70"/>
      <c r="F3041" s="70"/>
      <c r="G3041" s="70"/>
      <c r="H3041" s="93"/>
      <c r="I3041" s="85"/>
      <c r="J3041" s="85"/>
      <c r="K3041" s="131"/>
      <c r="L3041" s="60"/>
      <c r="S3041" s="6"/>
      <c r="T3041" s="6"/>
      <c r="U3041" s="6"/>
      <c r="V3041" s="6"/>
      <c r="W3041" s="6"/>
      <c r="X3041" s="6"/>
      <c r="Y3041" s="6"/>
      <c r="Z3041" s="6"/>
      <c r="AA3041" s="2"/>
      <c r="AB3041" s="2"/>
    </row>
    <row r="3042" spans="1:28" x14ac:dyDescent="0.15">
      <c r="A3042" s="166"/>
      <c r="B3042" s="82"/>
      <c r="C3042" s="70"/>
      <c r="D3042" s="70"/>
      <c r="E3042" s="70"/>
      <c r="F3042" s="70"/>
      <c r="G3042" s="70"/>
      <c r="H3042" s="93"/>
      <c r="I3042" s="85"/>
      <c r="J3042" s="85"/>
      <c r="K3042" s="131"/>
      <c r="L3042" s="60"/>
      <c r="S3042" s="6"/>
      <c r="T3042" s="6"/>
      <c r="U3042" s="6"/>
      <c r="V3042" s="6"/>
      <c r="W3042" s="6"/>
      <c r="X3042" s="6"/>
      <c r="Y3042" s="6"/>
      <c r="Z3042" s="6"/>
      <c r="AA3042" s="2"/>
      <c r="AB3042" s="2"/>
    </row>
    <row r="3043" spans="1:28" x14ac:dyDescent="0.15">
      <c r="A3043" s="166"/>
      <c r="B3043" s="82"/>
      <c r="C3043" s="70"/>
      <c r="D3043" s="70"/>
      <c r="E3043" s="70"/>
      <c r="F3043" s="70"/>
      <c r="G3043" s="70"/>
      <c r="H3043" s="93"/>
      <c r="I3043" s="85"/>
      <c r="J3043" s="85"/>
      <c r="K3043" s="131"/>
      <c r="L3043" s="60"/>
      <c r="S3043" s="6"/>
      <c r="T3043" s="6"/>
      <c r="U3043" s="6"/>
      <c r="V3043" s="6"/>
      <c r="W3043" s="6"/>
      <c r="X3043" s="6"/>
      <c r="Y3043" s="6"/>
      <c r="Z3043" s="6"/>
      <c r="AA3043" s="2"/>
      <c r="AB3043" s="2"/>
    </row>
    <row r="3044" spans="1:28" x14ac:dyDescent="0.15">
      <c r="A3044" s="166"/>
      <c r="B3044" s="82"/>
      <c r="C3044" s="70"/>
      <c r="D3044" s="70"/>
      <c r="E3044" s="70"/>
      <c r="F3044" s="70"/>
      <c r="G3044" s="70"/>
      <c r="H3044" s="93"/>
      <c r="I3044" s="85"/>
      <c r="J3044" s="85"/>
      <c r="K3044" s="131"/>
      <c r="L3044" s="69"/>
      <c r="S3044" s="6"/>
      <c r="T3044" s="6"/>
      <c r="U3044" s="6"/>
      <c r="V3044" s="6"/>
      <c r="W3044" s="6"/>
      <c r="X3044" s="6"/>
      <c r="Y3044" s="6"/>
      <c r="Z3044" s="6"/>
      <c r="AA3044" s="2"/>
      <c r="AB3044" s="2"/>
    </row>
    <row r="3045" spans="1:28" x14ac:dyDescent="0.15">
      <c r="A3045" s="166"/>
      <c r="B3045" s="82"/>
      <c r="C3045" s="70"/>
      <c r="D3045" s="70"/>
      <c r="E3045" s="70"/>
      <c r="F3045" s="70"/>
      <c r="G3045" s="70"/>
      <c r="H3045" s="93"/>
      <c r="I3045" s="85"/>
      <c r="J3045" s="85"/>
      <c r="K3045" s="131"/>
      <c r="L3045" s="60"/>
      <c r="S3045" s="6"/>
      <c r="T3045" s="6"/>
      <c r="U3045" s="6"/>
      <c r="V3045" s="6"/>
      <c r="W3045" s="6"/>
      <c r="X3045" s="6"/>
      <c r="Y3045" s="6"/>
      <c r="Z3045" s="6"/>
      <c r="AA3045" s="2"/>
      <c r="AB3045" s="2"/>
    </row>
    <row r="3046" spans="1:28" x14ac:dyDescent="0.15">
      <c r="A3046" s="166"/>
      <c r="B3046" s="82"/>
      <c r="C3046" s="70"/>
      <c r="D3046" s="70"/>
      <c r="E3046" s="70"/>
      <c r="F3046" s="70"/>
      <c r="G3046" s="70"/>
      <c r="H3046" s="93"/>
      <c r="I3046" s="85"/>
      <c r="J3046" s="85"/>
      <c r="K3046" s="131"/>
      <c r="L3046" s="60"/>
      <c r="S3046" s="2"/>
      <c r="T3046" s="2"/>
      <c r="U3046" s="2"/>
      <c r="V3046" s="2"/>
      <c r="W3046" s="2"/>
      <c r="X3046" s="2"/>
      <c r="Y3046" s="2"/>
      <c r="Z3046" s="2"/>
      <c r="AA3046" s="2"/>
      <c r="AB3046" s="2"/>
    </row>
    <row r="3047" spans="1:28" x14ac:dyDescent="0.15">
      <c r="A3047" s="166"/>
      <c r="B3047" s="82"/>
      <c r="C3047" s="70"/>
      <c r="D3047" s="70"/>
      <c r="E3047" s="70"/>
      <c r="F3047" s="70"/>
      <c r="G3047" s="70"/>
      <c r="H3047" s="93"/>
      <c r="I3047" s="85"/>
      <c r="J3047" s="85"/>
      <c r="K3047" s="131"/>
      <c r="L3047" s="60"/>
      <c r="S3047"/>
      <c r="T3047"/>
      <c r="U3047"/>
      <c r="V3047"/>
      <c r="W3047"/>
      <c r="X3047"/>
      <c r="Y3047"/>
      <c r="Z3047"/>
    </row>
    <row r="3048" spans="1:28" x14ac:dyDescent="0.15">
      <c r="A3048" s="166"/>
      <c r="B3048" s="82"/>
      <c r="C3048" s="70"/>
      <c r="D3048" s="70"/>
      <c r="E3048" s="70"/>
      <c r="F3048" s="70"/>
      <c r="G3048" s="70"/>
      <c r="H3048" s="93"/>
      <c r="I3048" s="85"/>
      <c r="J3048" s="85"/>
      <c r="K3048" s="131"/>
      <c r="L3048" s="60"/>
      <c r="S3048"/>
      <c r="T3048"/>
      <c r="U3048"/>
      <c r="V3048"/>
      <c r="W3048"/>
      <c r="X3048"/>
      <c r="Y3048"/>
      <c r="Z3048"/>
    </row>
    <row r="3049" spans="1:28" x14ac:dyDescent="0.15">
      <c r="A3049" s="166"/>
      <c r="B3049" s="93"/>
      <c r="C3049" s="70"/>
      <c r="D3049" s="70"/>
      <c r="E3049" s="70"/>
      <c r="F3049" s="70"/>
      <c r="G3049" s="70"/>
      <c r="H3049" s="93"/>
      <c r="I3049" s="85"/>
      <c r="J3049" s="85"/>
      <c r="K3049" s="131"/>
      <c r="L3049" s="60"/>
      <c r="M3049" s="33"/>
      <c r="S3049"/>
      <c r="T3049"/>
      <c r="U3049"/>
      <c r="V3049"/>
      <c r="W3049"/>
      <c r="X3049"/>
      <c r="Y3049"/>
      <c r="Z3049"/>
    </row>
    <row r="3050" spans="1:28" x14ac:dyDescent="0.15">
      <c r="A3050" s="166"/>
      <c r="B3050" s="82"/>
      <c r="C3050" s="70"/>
      <c r="D3050" s="70"/>
      <c r="E3050" s="70"/>
      <c r="F3050" s="70"/>
      <c r="G3050" s="70"/>
      <c r="H3050" s="93"/>
      <c r="I3050" s="85"/>
      <c r="J3050" s="85"/>
      <c r="K3050" s="131"/>
      <c r="L3050" s="60"/>
      <c r="S3050"/>
      <c r="T3050"/>
      <c r="U3050"/>
      <c r="V3050"/>
      <c r="W3050"/>
      <c r="X3050"/>
      <c r="Y3050"/>
      <c r="Z3050"/>
    </row>
    <row r="3051" spans="1:28" x14ac:dyDescent="0.15">
      <c r="A3051" s="166"/>
      <c r="B3051" s="82"/>
      <c r="C3051" s="70"/>
      <c r="D3051" s="70"/>
      <c r="E3051" s="70"/>
      <c r="F3051" s="70"/>
      <c r="G3051" s="70"/>
      <c r="H3051" s="93"/>
      <c r="I3051" s="85"/>
      <c r="J3051" s="85"/>
      <c r="K3051" s="131"/>
      <c r="L3051" s="60"/>
      <c r="S3051"/>
      <c r="T3051"/>
      <c r="U3051"/>
      <c r="V3051"/>
      <c r="W3051"/>
      <c r="X3051"/>
      <c r="Y3051"/>
      <c r="Z3051"/>
    </row>
    <row r="3052" spans="1:28" x14ac:dyDescent="0.15">
      <c r="A3052" s="166"/>
      <c r="B3052" s="82"/>
      <c r="C3052" s="70"/>
      <c r="D3052" s="70"/>
      <c r="E3052" s="70"/>
      <c r="F3052" s="70"/>
      <c r="G3052" s="70"/>
      <c r="H3052" s="93"/>
      <c r="I3052" s="85"/>
      <c r="J3052" s="85"/>
      <c r="K3052" s="131"/>
      <c r="L3052" s="60"/>
      <c r="S3052"/>
      <c r="T3052"/>
      <c r="U3052"/>
      <c r="V3052"/>
      <c r="W3052"/>
      <c r="X3052"/>
      <c r="Y3052"/>
      <c r="Z3052"/>
    </row>
    <row r="3053" spans="1:28" x14ac:dyDescent="0.15">
      <c r="A3053" s="166"/>
      <c r="B3053" s="82"/>
      <c r="C3053" s="70"/>
      <c r="D3053" s="70"/>
      <c r="E3053" s="70"/>
      <c r="F3053" s="70"/>
      <c r="G3053" s="70"/>
      <c r="H3053" s="93"/>
      <c r="I3053" s="85"/>
      <c r="J3053" s="85"/>
      <c r="K3053" s="131"/>
      <c r="L3053" s="60"/>
      <c r="S3053"/>
      <c r="T3053"/>
      <c r="U3053"/>
      <c r="V3053"/>
      <c r="W3053"/>
      <c r="X3053"/>
      <c r="Y3053"/>
      <c r="Z3053"/>
    </row>
    <row r="3054" spans="1:28" x14ac:dyDescent="0.15">
      <c r="A3054" s="166"/>
      <c r="B3054" s="82"/>
      <c r="C3054" s="70"/>
      <c r="D3054" s="70"/>
      <c r="E3054" s="70"/>
      <c r="F3054" s="70"/>
      <c r="G3054" s="70"/>
      <c r="H3054" s="93"/>
      <c r="I3054" s="85"/>
      <c r="J3054" s="85"/>
      <c r="K3054" s="131"/>
      <c r="L3054" s="69"/>
      <c r="S3054"/>
      <c r="T3054"/>
      <c r="U3054"/>
      <c r="V3054"/>
      <c r="W3054"/>
      <c r="X3054"/>
      <c r="Y3054"/>
      <c r="Z3054"/>
    </row>
    <row r="3055" spans="1:28" x14ac:dyDescent="0.15">
      <c r="A3055" s="166"/>
      <c r="B3055" s="82"/>
      <c r="C3055" s="70"/>
      <c r="D3055" s="70"/>
      <c r="E3055" s="70"/>
      <c r="F3055" s="70"/>
      <c r="G3055" s="70"/>
      <c r="H3055" s="93"/>
      <c r="I3055" s="85"/>
      <c r="J3055" s="85"/>
      <c r="K3055" s="131"/>
      <c r="L3055" s="67"/>
      <c r="S3055"/>
      <c r="T3055"/>
      <c r="U3055"/>
      <c r="V3055"/>
      <c r="W3055"/>
      <c r="X3055"/>
      <c r="Y3055"/>
      <c r="Z3055"/>
    </row>
    <row r="3056" spans="1:28" x14ac:dyDescent="0.15">
      <c r="A3056" s="166"/>
      <c r="B3056" s="82"/>
      <c r="C3056" s="70"/>
      <c r="D3056" s="70"/>
      <c r="E3056" s="70"/>
      <c r="F3056" s="70"/>
      <c r="G3056" s="70"/>
      <c r="H3056" s="93"/>
      <c r="I3056" s="85"/>
      <c r="J3056" s="85"/>
      <c r="K3056" s="131"/>
      <c r="L3056" s="60"/>
      <c r="S3056"/>
      <c r="T3056"/>
      <c r="U3056"/>
      <c r="V3056"/>
      <c r="W3056"/>
      <c r="X3056"/>
      <c r="Y3056"/>
      <c r="Z3056"/>
    </row>
    <row r="3057" spans="1:26" x14ac:dyDescent="0.15">
      <c r="A3057" s="166"/>
      <c r="B3057" s="82"/>
      <c r="C3057" s="70"/>
      <c r="D3057" s="70"/>
      <c r="E3057" s="70"/>
      <c r="F3057" s="70"/>
      <c r="G3057" s="70"/>
      <c r="H3057" s="93"/>
      <c r="I3057" s="85"/>
      <c r="J3057" s="85"/>
      <c r="K3057" s="131"/>
      <c r="L3057" s="60"/>
      <c r="S3057"/>
      <c r="T3057"/>
      <c r="U3057"/>
      <c r="V3057"/>
      <c r="W3057"/>
      <c r="X3057"/>
      <c r="Y3057"/>
      <c r="Z3057"/>
    </row>
    <row r="3058" spans="1:26" x14ac:dyDescent="0.15">
      <c r="A3058" s="166"/>
      <c r="B3058" s="82"/>
      <c r="C3058" s="70"/>
      <c r="D3058" s="70"/>
      <c r="E3058" s="70"/>
      <c r="F3058" s="70"/>
      <c r="G3058" s="70"/>
      <c r="H3058" s="93"/>
      <c r="I3058" s="85"/>
      <c r="J3058" s="85"/>
      <c r="K3058" s="131"/>
      <c r="L3058" s="60"/>
      <c r="S3058"/>
      <c r="T3058"/>
      <c r="U3058"/>
      <c r="V3058"/>
      <c r="W3058"/>
      <c r="X3058"/>
      <c r="Y3058"/>
      <c r="Z3058"/>
    </row>
    <row r="3059" spans="1:26" x14ac:dyDescent="0.15">
      <c r="A3059" s="166"/>
      <c r="B3059" s="82"/>
      <c r="C3059" s="70"/>
      <c r="D3059" s="70"/>
      <c r="E3059" s="70"/>
      <c r="F3059" s="70"/>
      <c r="G3059" s="70"/>
      <c r="H3059" s="93"/>
      <c r="I3059" s="85"/>
      <c r="J3059" s="85"/>
      <c r="K3059" s="131"/>
      <c r="L3059" s="69"/>
      <c r="S3059"/>
      <c r="T3059"/>
      <c r="U3059"/>
      <c r="V3059"/>
      <c r="W3059"/>
      <c r="X3059"/>
      <c r="Y3059"/>
      <c r="Z3059"/>
    </row>
    <row r="3060" spans="1:26" x14ac:dyDescent="0.15">
      <c r="A3060" s="166"/>
      <c r="B3060" s="82"/>
      <c r="C3060" s="70"/>
      <c r="D3060" s="70"/>
      <c r="E3060" s="70"/>
      <c r="F3060" s="70"/>
      <c r="G3060" s="70"/>
      <c r="H3060" s="93"/>
      <c r="I3060" s="85"/>
      <c r="J3060" s="85"/>
      <c r="K3060" s="131"/>
      <c r="L3060" s="69"/>
      <c r="S3060"/>
      <c r="T3060"/>
      <c r="U3060"/>
      <c r="V3060"/>
      <c r="W3060"/>
      <c r="X3060"/>
      <c r="Y3060"/>
      <c r="Z3060"/>
    </row>
    <row r="3061" spans="1:26" x14ac:dyDescent="0.15">
      <c r="A3061" s="166"/>
      <c r="B3061" s="82"/>
      <c r="C3061" s="70"/>
      <c r="D3061" s="70"/>
      <c r="E3061" s="70"/>
      <c r="F3061" s="70"/>
      <c r="G3061" s="70"/>
      <c r="H3061" s="93"/>
      <c r="I3061" s="85"/>
      <c r="J3061" s="85"/>
      <c r="K3061" s="131"/>
      <c r="L3061" s="60"/>
      <c r="S3061"/>
      <c r="T3061"/>
      <c r="U3061"/>
      <c r="V3061"/>
      <c r="W3061"/>
      <c r="X3061"/>
      <c r="Y3061"/>
      <c r="Z3061"/>
    </row>
    <row r="3062" spans="1:26" x14ac:dyDescent="0.15">
      <c r="A3062" s="166"/>
      <c r="B3062" s="82"/>
      <c r="C3062" s="70"/>
      <c r="D3062" s="70"/>
      <c r="E3062" s="70"/>
      <c r="F3062" s="70"/>
      <c r="G3062" s="70"/>
      <c r="H3062" s="93"/>
      <c r="I3062" s="85"/>
      <c r="J3062" s="85"/>
      <c r="K3062" s="131"/>
      <c r="L3062" s="60"/>
      <c r="S3062"/>
      <c r="T3062"/>
      <c r="U3062"/>
      <c r="V3062"/>
      <c r="W3062"/>
      <c r="X3062"/>
      <c r="Y3062"/>
      <c r="Z3062"/>
    </row>
    <row r="3063" spans="1:26" x14ac:dyDescent="0.15">
      <c r="A3063" s="166"/>
      <c r="B3063" s="82"/>
      <c r="C3063" s="70"/>
      <c r="D3063" s="70"/>
      <c r="E3063" s="70"/>
      <c r="F3063" s="70"/>
      <c r="G3063" s="70"/>
      <c r="H3063" s="93"/>
      <c r="I3063" s="85"/>
      <c r="J3063" s="85"/>
      <c r="K3063" s="131"/>
      <c r="L3063" s="60"/>
    </row>
    <row r="3064" spans="1:26" x14ac:dyDescent="0.15">
      <c r="A3064" s="166"/>
      <c r="B3064" s="82"/>
      <c r="C3064" s="70"/>
      <c r="D3064" s="70"/>
      <c r="E3064" s="70"/>
      <c r="F3064" s="70"/>
      <c r="G3064" s="70"/>
      <c r="H3064" s="93"/>
      <c r="I3064" s="85"/>
      <c r="J3064" s="85"/>
      <c r="K3064" s="131"/>
      <c r="L3064" s="60"/>
      <c r="O3064" s="51"/>
    </row>
    <row r="3065" spans="1:26" x14ac:dyDescent="0.15">
      <c r="A3065" s="167"/>
      <c r="B3065" s="87"/>
      <c r="C3065" s="88"/>
      <c r="D3065" s="86"/>
      <c r="E3065" s="86"/>
      <c r="F3065" s="86"/>
      <c r="G3065" s="86"/>
      <c r="H3065" s="87"/>
      <c r="I3065" s="85"/>
      <c r="J3065" s="89"/>
      <c r="K3065" s="132"/>
      <c r="L3065" s="62"/>
    </row>
    <row r="3066" spans="1:26" x14ac:dyDescent="0.15">
      <c r="A3066" s="167"/>
      <c r="B3066" s="87"/>
      <c r="C3066" s="88"/>
      <c r="D3066" s="86"/>
      <c r="E3066" s="86"/>
      <c r="F3066" s="86"/>
      <c r="G3066" s="86"/>
      <c r="H3066" s="87"/>
      <c r="I3066" s="85"/>
      <c r="J3066" s="89"/>
      <c r="K3066" s="132"/>
      <c r="L3066" s="61"/>
    </row>
    <row r="3067" spans="1:26" x14ac:dyDescent="0.15">
      <c r="A3067" s="166"/>
      <c r="B3067" s="93"/>
      <c r="C3067" s="70"/>
      <c r="D3067" s="70"/>
      <c r="E3067" s="70"/>
      <c r="F3067" s="70"/>
      <c r="G3067" s="70"/>
      <c r="H3067" s="93"/>
      <c r="I3067" s="85"/>
      <c r="J3067" s="85"/>
      <c r="K3067" s="131"/>
      <c r="L3067" s="60"/>
      <c r="M3067" s="33"/>
    </row>
    <row r="3068" spans="1:26" x14ac:dyDescent="0.15">
      <c r="A3068" s="166"/>
      <c r="B3068" s="82"/>
      <c r="C3068" s="70"/>
      <c r="D3068" s="70"/>
      <c r="E3068" s="70"/>
      <c r="F3068" s="70"/>
      <c r="G3068" s="70"/>
      <c r="H3068" s="93"/>
      <c r="I3068" s="85"/>
      <c r="J3068" s="85"/>
      <c r="K3068" s="131"/>
      <c r="L3068" s="60"/>
    </row>
    <row r="3069" spans="1:26" x14ac:dyDescent="0.15">
      <c r="A3069" s="166"/>
      <c r="B3069" s="82"/>
      <c r="C3069" s="70"/>
      <c r="D3069" s="70"/>
      <c r="E3069" s="70"/>
      <c r="F3069" s="70"/>
      <c r="G3069" s="70"/>
      <c r="H3069" s="93"/>
      <c r="I3069" s="85"/>
      <c r="J3069" s="85"/>
      <c r="K3069" s="131"/>
      <c r="L3069" s="60"/>
    </row>
    <row r="3070" spans="1:26" x14ac:dyDescent="0.15">
      <c r="A3070" s="166"/>
      <c r="B3070" s="82"/>
      <c r="C3070" s="70"/>
      <c r="D3070" s="70"/>
      <c r="E3070" s="70"/>
      <c r="F3070" s="70"/>
      <c r="G3070" s="70"/>
      <c r="H3070" s="93"/>
      <c r="I3070" s="85"/>
      <c r="J3070" s="85"/>
      <c r="K3070" s="131"/>
      <c r="L3070" s="60"/>
    </row>
    <row r="3071" spans="1:26" x14ac:dyDescent="0.15">
      <c r="A3071" s="166"/>
      <c r="B3071" s="82"/>
      <c r="C3071" s="70"/>
      <c r="D3071" s="70"/>
      <c r="E3071" s="70"/>
      <c r="F3071" s="70"/>
      <c r="G3071" s="70"/>
      <c r="H3071" s="93"/>
      <c r="I3071" s="85"/>
      <c r="J3071" s="85"/>
      <c r="K3071" s="131"/>
      <c r="L3071" s="60"/>
    </row>
    <row r="3072" spans="1:26" x14ac:dyDescent="0.15">
      <c r="A3072" s="166"/>
      <c r="B3072" s="82"/>
      <c r="C3072" s="70"/>
      <c r="D3072" s="70"/>
      <c r="E3072" s="70"/>
      <c r="F3072" s="70"/>
      <c r="G3072" s="70"/>
      <c r="H3072" s="93"/>
      <c r="I3072" s="85"/>
      <c r="J3072" s="85"/>
      <c r="K3072" s="131"/>
      <c r="L3072" s="60"/>
    </row>
    <row r="3073" spans="1:16" x14ac:dyDescent="0.15">
      <c r="A3073" s="166"/>
      <c r="B3073" s="82"/>
      <c r="C3073" s="70"/>
      <c r="D3073" s="70"/>
      <c r="E3073" s="70"/>
      <c r="F3073" s="70"/>
      <c r="G3073" s="70"/>
      <c r="H3073" s="93"/>
      <c r="I3073" s="85"/>
      <c r="J3073" s="85"/>
      <c r="K3073" s="131"/>
      <c r="L3073" s="60"/>
    </row>
    <row r="3074" spans="1:16" x14ac:dyDescent="0.15">
      <c r="A3074" s="166"/>
      <c r="B3074" s="82"/>
      <c r="C3074" s="70"/>
      <c r="D3074" s="70"/>
      <c r="E3074" s="70"/>
      <c r="F3074" s="70"/>
      <c r="G3074" s="70"/>
      <c r="H3074" s="93"/>
      <c r="I3074" s="85"/>
      <c r="J3074" s="85"/>
      <c r="K3074" s="131"/>
      <c r="L3074" s="60"/>
    </row>
    <row r="3075" spans="1:16" ht="16" x14ac:dyDescent="0.2">
      <c r="A3075" s="166"/>
      <c r="B3075" s="82"/>
      <c r="C3075" s="70"/>
      <c r="D3075" s="70"/>
      <c r="E3075" s="70"/>
      <c r="F3075" s="70"/>
      <c r="G3075" s="70"/>
      <c r="H3075" s="93"/>
      <c r="I3075" s="85"/>
      <c r="J3075" s="85"/>
      <c r="K3075" s="131"/>
      <c r="L3075" s="60"/>
      <c r="N3075" s="48"/>
    </row>
    <row r="3076" spans="1:16" x14ac:dyDescent="0.15">
      <c r="A3076" s="166"/>
      <c r="B3076" s="82"/>
      <c r="C3076" s="70"/>
      <c r="D3076" s="70"/>
      <c r="E3076" s="70"/>
      <c r="F3076" s="70"/>
      <c r="G3076" s="70"/>
      <c r="H3076" s="93"/>
      <c r="I3076" s="85"/>
      <c r="J3076" s="85"/>
      <c r="K3076" s="131"/>
      <c r="L3076" s="60"/>
    </row>
    <row r="3077" spans="1:16" x14ac:dyDescent="0.15">
      <c r="A3077" s="166"/>
      <c r="B3077" s="82"/>
      <c r="C3077" s="70"/>
      <c r="D3077" s="70"/>
      <c r="E3077" s="70"/>
      <c r="F3077" s="70"/>
      <c r="G3077" s="70"/>
      <c r="H3077" s="93"/>
      <c r="I3077" s="85"/>
      <c r="J3077" s="85"/>
      <c r="K3077" s="131"/>
      <c r="L3077" s="60"/>
    </row>
    <row r="3078" spans="1:16" x14ac:dyDescent="0.15">
      <c r="A3078" s="166"/>
      <c r="B3078" s="82"/>
      <c r="C3078" s="70"/>
      <c r="D3078" s="70"/>
      <c r="E3078" s="70"/>
      <c r="F3078" s="70"/>
      <c r="G3078" s="70"/>
      <c r="H3078" s="93"/>
      <c r="I3078" s="85"/>
      <c r="J3078" s="85"/>
      <c r="K3078" s="131"/>
      <c r="L3078" s="60"/>
    </row>
    <row r="3079" spans="1:16" x14ac:dyDescent="0.15">
      <c r="A3079" s="166"/>
      <c r="B3079" s="93"/>
      <c r="C3079" s="70"/>
      <c r="D3079" s="70"/>
      <c r="E3079" s="70"/>
      <c r="F3079" s="70"/>
      <c r="G3079" s="70"/>
      <c r="H3079" s="93"/>
      <c r="I3079" s="85"/>
      <c r="J3079" s="85"/>
      <c r="K3079" s="131"/>
      <c r="L3079" s="60"/>
    </row>
    <row r="3080" spans="1:16" x14ac:dyDescent="0.15">
      <c r="A3080" s="166"/>
      <c r="B3080" s="82"/>
      <c r="C3080" s="70"/>
      <c r="D3080" s="70"/>
      <c r="E3080" s="70"/>
      <c r="F3080" s="70"/>
      <c r="G3080" s="70"/>
      <c r="H3080" s="93"/>
      <c r="I3080" s="85"/>
      <c r="J3080" s="85"/>
      <c r="K3080" s="131"/>
      <c r="L3080" s="60"/>
    </row>
    <row r="3081" spans="1:16" x14ac:dyDescent="0.15">
      <c r="A3081" s="166"/>
      <c r="B3081" s="82"/>
      <c r="C3081" s="70"/>
      <c r="D3081" s="70"/>
      <c r="E3081" s="70"/>
      <c r="F3081" s="70"/>
      <c r="G3081" s="70"/>
      <c r="H3081" s="93"/>
      <c r="I3081" s="85"/>
      <c r="J3081" s="85"/>
      <c r="K3081" s="131"/>
      <c r="L3081" s="60"/>
    </row>
    <row r="3082" spans="1:16" x14ac:dyDescent="0.15">
      <c r="A3082" s="166"/>
      <c r="B3082" s="82"/>
      <c r="C3082" s="70"/>
      <c r="D3082" s="70"/>
      <c r="E3082" s="70"/>
      <c r="F3082" s="70"/>
      <c r="G3082" s="70"/>
      <c r="H3082" s="93"/>
      <c r="I3082" s="85"/>
      <c r="J3082" s="85"/>
      <c r="K3082" s="131"/>
      <c r="L3082" s="60"/>
    </row>
    <row r="3083" spans="1:16" x14ac:dyDescent="0.15">
      <c r="A3083" s="167"/>
      <c r="B3083" s="87"/>
      <c r="C3083" s="88"/>
      <c r="D3083" s="86"/>
      <c r="E3083" s="86"/>
      <c r="F3083" s="86"/>
      <c r="G3083" s="86"/>
      <c r="H3083" s="87"/>
      <c r="I3083" s="85"/>
      <c r="J3083" s="89"/>
      <c r="K3083" s="132"/>
      <c r="L3083" s="61"/>
    </row>
    <row r="3084" spans="1:16" x14ac:dyDescent="0.15">
      <c r="A3084" s="167"/>
      <c r="B3084" s="87"/>
      <c r="C3084" s="88"/>
      <c r="D3084" s="86"/>
      <c r="E3084" s="86"/>
      <c r="F3084" s="86"/>
      <c r="G3084" s="86"/>
      <c r="H3084" s="87"/>
      <c r="I3084" s="85"/>
      <c r="J3084" s="89"/>
      <c r="K3084" s="132"/>
      <c r="L3084" s="62"/>
    </row>
    <row r="3085" spans="1:16" x14ac:dyDescent="0.15">
      <c r="A3085" s="166"/>
      <c r="B3085" s="82"/>
      <c r="C3085" s="70"/>
      <c r="D3085" s="70"/>
      <c r="E3085" s="70"/>
      <c r="F3085" s="70"/>
      <c r="G3085" s="70"/>
      <c r="H3085" s="93"/>
      <c r="I3085" s="85"/>
      <c r="J3085" s="85"/>
      <c r="K3085" s="131"/>
      <c r="L3085" s="60"/>
      <c r="P3085" s="49"/>
    </row>
    <row r="3086" spans="1:16" x14ac:dyDescent="0.15">
      <c r="A3086" s="166"/>
      <c r="B3086" s="82"/>
      <c r="C3086" s="70"/>
      <c r="D3086" s="70"/>
      <c r="E3086" s="70"/>
      <c r="F3086" s="70"/>
      <c r="G3086" s="70"/>
      <c r="H3086" s="93"/>
      <c r="I3086" s="85"/>
      <c r="J3086" s="85"/>
      <c r="K3086" s="131"/>
      <c r="L3086" s="60"/>
    </row>
    <row r="3087" spans="1:16" x14ac:dyDescent="0.15">
      <c r="A3087" s="166"/>
      <c r="B3087" s="82"/>
      <c r="C3087" s="70"/>
      <c r="D3087" s="70"/>
      <c r="E3087" s="70"/>
      <c r="F3087" s="70"/>
      <c r="G3087" s="70"/>
      <c r="H3087" s="93"/>
      <c r="I3087" s="85"/>
      <c r="J3087" s="85"/>
      <c r="K3087" s="131"/>
      <c r="L3087" s="60"/>
    </row>
    <row r="3088" spans="1:16" x14ac:dyDescent="0.15">
      <c r="A3088" s="166"/>
      <c r="B3088" s="93"/>
      <c r="C3088" s="70"/>
      <c r="D3088" s="70"/>
      <c r="E3088" s="70"/>
      <c r="F3088" s="70"/>
      <c r="G3088" s="70"/>
      <c r="H3088" s="93"/>
      <c r="I3088" s="85"/>
      <c r="J3088" s="85"/>
      <c r="K3088" s="131"/>
      <c r="L3088" s="60"/>
      <c r="M3088" s="37"/>
    </row>
    <row r="3089" spans="1:15" x14ac:dyDescent="0.15">
      <c r="A3089" s="167"/>
      <c r="B3089" s="93"/>
      <c r="C3089" s="88"/>
      <c r="D3089" s="86"/>
      <c r="E3089" s="86"/>
      <c r="F3089" s="86"/>
      <c r="G3089" s="86"/>
      <c r="H3089" s="87"/>
      <c r="I3089" s="85"/>
      <c r="J3089" s="89"/>
      <c r="K3089" s="146"/>
      <c r="L3089" s="63"/>
      <c r="M3089" s="37"/>
      <c r="N3089" s="34"/>
    </row>
    <row r="3090" spans="1:15" x14ac:dyDescent="0.15">
      <c r="A3090" s="166"/>
      <c r="B3090" s="82"/>
      <c r="C3090" s="70"/>
      <c r="D3090" s="70"/>
      <c r="E3090" s="70"/>
      <c r="F3090" s="70"/>
      <c r="G3090" s="70"/>
      <c r="H3090" s="93"/>
      <c r="I3090" s="85"/>
      <c r="J3090" s="110"/>
      <c r="K3090" s="146"/>
      <c r="L3090" s="60"/>
      <c r="M3090" s="33"/>
    </row>
    <row r="3091" spans="1:15" x14ac:dyDescent="0.15">
      <c r="A3091" s="166"/>
      <c r="B3091" s="82"/>
      <c r="C3091" s="70"/>
      <c r="D3091" s="70"/>
      <c r="E3091" s="70"/>
      <c r="F3091" s="70"/>
      <c r="G3091" s="70"/>
      <c r="H3091" s="93"/>
      <c r="I3091" s="85"/>
      <c r="J3091" s="85"/>
      <c r="K3091" s="146"/>
      <c r="L3091" s="60"/>
    </row>
    <row r="3092" spans="1:15" x14ac:dyDescent="0.15">
      <c r="A3092" s="167"/>
      <c r="B3092" s="87"/>
      <c r="C3092" s="88"/>
      <c r="D3092" s="86"/>
      <c r="E3092" s="86"/>
      <c r="F3092" s="86"/>
      <c r="G3092" s="86"/>
      <c r="H3092" s="87"/>
      <c r="I3092" s="85"/>
      <c r="J3092" s="89"/>
      <c r="K3092" s="132"/>
      <c r="L3092" s="62"/>
      <c r="O3092" s="51"/>
    </row>
    <row r="3093" spans="1:15" x14ac:dyDescent="0.15">
      <c r="A3093" s="167"/>
      <c r="B3093" s="87"/>
      <c r="C3093" s="88"/>
      <c r="D3093" s="86"/>
      <c r="E3093" s="86"/>
      <c r="F3093" s="86"/>
      <c r="G3093" s="86"/>
      <c r="H3093" s="87"/>
      <c r="I3093" s="85"/>
      <c r="J3093" s="89"/>
      <c r="K3093" s="132"/>
      <c r="L3093" s="62"/>
      <c r="O3093" s="51"/>
    </row>
    <row r="3094" spans="1:15" x14ac:dyDescent="0.15">
      <c r="A3094" s="167"/>
      <c r="B3094" s="87"/>
      <c r="C3094" s="88"/>
      <c r="D3094" s="86"/>
      <c r="E3094" s="86"/>
      <c r="F3094" s="86"/>
      <c r="G3094" s="86"/>
      <c r="H3094" s="87"/>
      <c r="I3094" s="85"/>
      <c r="J3094" s="89"/>
      <c r="K3094" s="132"/>
      <c r="L3094" s="62"/>
      <c r="O3094" s="51"/>
    </row>
    <row r="3095" spans="1:15" x14ac:dyDescent="0.15">
      <c r="A3095" s="167"/>
      <c r="B3095" s="87"/>
      <c r="C3095" s="88"/>
      <c r="D3095" s="86"/>
      <c r="E3095" s="86"/>
      <c r="F3095" s="86"/>
      <c r="G3095" s="86"/>
      <c r="H3095" s="87"/>
      <c r="I3095" s="85"/>
      <c r="J3095" s="89"/>
      <c r="K3095" s="132"/>
      <c r="L3095" s="62"/>
      <c r="O3095" s="51"/>
    </row>
    <row r="3096" spans="1:15" x14ac:dyDescent="0.15">
      <c r="A3096" s="167"/>
      <c r="B3096" s="87"/>
      <c r="C3096" s="88"/>
      <c r="D3096" s="86"/>
      <c r="E3096" s="86"/>
      <c r="F3096" s="86"/>
      <c r="G3096" s="86"/>
      <c r="H3096" s="87"/>
      <c r="I3096" s="85"/>
      <c r="J3096" s="89"/>
      <c r="K3096" s="132"/>
      <c r="L3096" s="61"/>
    </row>
    <row r="3097" spans="1:15" x14ac:dyDescent="0.15">
      <c r="A3097" s="169"/>
      <c r="B3097" s="90"/>
      <c r="C3097" s="91"/>
      <c r="D3097" s="70"/>
      <c r="E3097" s="91"/>
      <c r="F3097" s="91"/>
      <c r="G3097" s="91"/>
      <c r="H3097" s="176"/>
      <c r="I3097" s="85"/>
      <c r="J3097" s="92"/>
      <c r="K3097" s="133"/>
      <c r="L3097" s="65"/>
    </row>
    <row r="3098" spans="1:15" ht="16" x14ac:dyDescent="0.2">
      <c r="A3098" s="169"/>
      <c r="B3098" s="90"/>
      <c r="C3098" s="91"/>
      <c r="D3098" s="70"/>
      <c r="E3098" s="91"/>
      <c r="F3098" s="91"/>
      <c r="G3098" s="91"/>
      <c r="H3098" s="176"/>
      <c r="I3098" s="85"/>
      <c r="J3098" s="92"/>
      <c r="K3098" s="133"/>
      <c r="L3098" s="65"/>
      <c r="N3098" s="48"/>
    </row>
    <row r="3099" spans="1:15" x14ac:dyDescent="0.15">
      <c r="A3099" s="169"/>
      <c r="B3099" s="90"/>
      <c r="C3099" s="91"/>
      <c r="D3099" s="70"/>
      <c r="E3099" s="91"/>
      <c r="F3099" s="91"/>
      <c r="G3099" s="91"/>
      <c r="H3099" s="176"/>
      <c r="I3099" s="85"/>
      <c r="J3099" s="92"/>
      <c r="K3099" s="133"/>
      <c r="L3099" s="65"/>
    </row>
    <row r="3100" spans="1:15" x14ac:dyDescent="0.15">
      <c r="A3100" s="166"/>
      <c r="B3100" s="82"/>
      <c r="C3100" s="70"/>
      <c r="D3100" s="70"/>
      <c r="E3100" s="70"/>
      <c r="F3100" s="70"/>
      <c r="G3100" s="70"/>
      <c r="H3100" s="93"/>
      <c r="I3100" s="85"/>
      <c r="J3100" s="85"/>
      <c r="K3100" s="131"/>
      <c r="L3100" s="69"/>
    </row>
    <row r="3101" spans="1:15" x14ac:dyDescent="0.15">
      <c r="A3101" s="166"/>
      <c r="B3101" s="82"/>
      <c r="C3101" s="70"/>
      <c r="D3101" s="70"/>
      <c r="E3101" s="70"/>
      <c r="F3101" s="70"/>
      <c r="G3101" s="70"/>
      <c r="H3101" s="93"/>
      <c r="I3101" s="85"/>
      <c r="J3101" s="85"/>
      <c r="K3101" s="131"/>
      <c r="L3101" s="69"/>
    </row>
    <row r="3102" spans="1:15" x14ac:dyDescent="0.15">
      <c r="A3102" s="167"/>
      <c r="B3102" s="87"/>
      <c r="C3102" s="88"/>
      <c r="D3102" s="86"/>
      <c r="E3102" s="86"/>
      <c r="F3102" s="86"/>
      <c r="G3102" s="86"/>
      <c r="H3102" s="87"/>
      <c r="I3102" s="85"/>
      <c r="J3102" s="89"/>
      <c r="K3102" s="132"/>
      <c r="L3102" s="68"/>
    </row>
    <row r="3103" spans="1:15" x14ac:dyDescent="0.15">
      <c r="A3103" s="167"/>
      <c r="B3103" s="87"/>
      <c r="C3103" s="88"/>
      <c r="D3103" s="86"/>
      <c r="E3103" s="86"/>
      <c r="F3103" s="86"/>
      <c r="G3103" s="86"/>
      <c r="H3103" s="87"/>
      <c r="I3103" s="85"/>
      <c r="J3103" s="89"/>
      <c r="K3103" s="132"/>
      <c r="L3103" s="68"/>
      <c r="M3103" s="54"/>
    </row>
    <row r="3104" spans="1:15" x14ac:dyDescent="0.15">
      <c r="A3104" s="167"/>
      <c r="B3104" s="87"/>
      <c r="C3104" s="88"/>
      <c r="D3104" s="86"/>
      <c r="E3104" s="86"/>
      <c r="F3104" s="86"/>
      <c r="G3104" s="86"/>
      <c r="H3104" s="87"/>
      <c r="I3104" s="85"/>
      <c r="J3104" s="89"/>
      <c r="K3104" s="132"/>
      <c r="L3104" s="68"/>
    </row>
    <row r="3105" spans="1:13" x14ac:dyDescent="0.15">
      <c r="A3105" s="167"/>
      <c r="B3105" s="87"/>
      <c r="C3105" s="88"/>
      <c r="D3105" s="86"/>
      <c r="E3105" s="86"/>
      <c r="F3105" s="86"/>
      <c r="G3105" s="86"/>
      <c r="H3105" s="87"/>
      <c r="I3105" s="85"/>
      <c r="J3105" s="89"/>
      <c r="K3105" s="132"/>
      <c r="L3105" s="61"/>
    </row>
    <row r="3106" spans="1:13" x14ac:dyDescent="0.15">
      <c r="A3106" s="166"/>
      <c r="B3106" s="82"/>
      <c r="C3106" s="70"/>
      <c r="D3106" s="70"/>
      <c r="E3106" s="70"/>
      <c r="F3106" s="70"/>
      <c r="G3106" s="70"/>
      <c r="H3106" s="93"/>
      <c r="I3106" s="85"/>
      <c r="J3106" s="85"/>
      <c r="K3106" s="131"/>
      <c r="L3106" s="60"/>
    </row>
    <row r="3107" spans="1:13" x14ac:dyDescent="0.15">
      <c r="A3107" s="166"/>
      <c r="B3107" s="82"/>
      <c r="C3107" s="70"/>
      <c r="D3107" s="70"/>
      <c r="E3107" s="70"/>
      <c r="F3107" s="70"/>
      <c r="G3107" s="70"/>
      <c r="H3107" s="93"/>
      <c r="I3107" s="85"/>
      <c r="J3107" s="85"/>
      <c r="K3107" s="131"/>
      <c r="L3107" s="60"/>
    </row>
    <row r="3108" spans="1:13" x14ac:dyDescent="0.15">
      <c r="A3108" s="166"/>
      <c r="B3108" s="82"/>
      <c r="C3108" s="70"/>
      <c r="D3108" s="70"/>
      <c r="E3108" s="70"/>
      <c r="F3108" s="70"/>
      <c r="G3108" s="70"/>
      <c r="H3108" s="93"/>
      <c r="I3108" s="85"/>
      <c r="J3108" s="85"/>
      <c r="K3108" s="131"/>
      <c r="L3108" s="60"/>
    </row>
    <row r="3109" spans="1:13" x14ac:dyDescent="0.15">
      <c r="A3109" s="166"/>
      <c r="B3109" s="82"/>
      <c r="C3109" s="70"/>
      <c r="D3109" s="70"/>
      <c r="E3109" s="70"/>
      <c r="F3109" s="70"/>
      <c r="G3109" s="70"/>
      <c r="H3109" s="93"/>
      <c r="I3109" s="85"/>
      <c r="J3109" s="85"/>
      <c r="K3109" s="131"/>
      <c r="L3109" s="60"/>
    </row>
    <row r="3110" spans="1:13" x14ac:dyDescent="0.15">
      <c r="A3110" s="166"/>
      <c r="B3110" s="82"/>
      <c r="C3110" s="70"/>
      <c r="D3110" s="70"/>
      <c r="E3110" s="70"/>
      <c r="F3110" s="70"/>
      <c r="G3110" s="70"/>
      <c r="H3110" s="93"/>
      <c r="I3110" s="85"/>
      <c r="J3110" s="85"/>
      <c r="K3110" s="131"/>
      <c r="L3110" s="60"/>
    </row>
    <row r="3111" spans="1:13" x14ac:dyDescent="0.15">
      <c r="A3111" s="166"/>
      <c r="B3111" s="82"/>
      <c r="C3111" s="70"/>
      <c r="D3111" s="70"/>
      <c r="E3111" s="70"/>
      <c r="F3111" s="70"/>
      <c r="G3111" s="70"/>
      <c r="H3111" s="93"/>
      <c r="I3111" s="85"/>
      <c r="J3111" s="85"/>
      <c r="K3111" s="131"/>
      <c r="L3111" s="60"/>
    </row>
    <row r="3112" spans="1:13" x14ac:dyDescent="0.15">
      <c r="A3112" s="166"/>
      <c r="B3112" s="82"/>
      <c r="C3112" s="70"/>
      <c r="D3112" s="70"/>
      <c r="E3112" s="70"/>
      <c r="F3112" s="70"/>
      <c r="G3112" s="70"/>
      <c r="H3112" s="93"/>
      <c r="I3112" s="85"/>
      <c r="J3112" s="85"/>
      <c r="K3112" s="131"/>
      <c r="L3112" s="60"/>
    </row>
    <row r="3113" spans="1:13" x14ac:dyDescent="0.15">
      <c r="A3113" s="166"/>
      <c r="B3113" s="82"/>
      <c r="C3113" s="70"/>
      <c r="D3113" s="70"/>
      <c r="E3113" s="70"/>
      <c r="F3113" s="70"/>
      <c r="G3113" s="70"/>
      <c r="H3113" s="93"/>
      <c r="I3113" s="85"/>
      <c r="J3113" s="85"/>
      <c r="K3113" s="131"/>
      <c r="L3113" s="60"/>
    </row>
    <row r="3114" spans="1:13" x14ac:dyDescent="0.15">
      <c r="A3114" s="165"/>
      <c r="B3114" s="93"/>
      <c r="C3114" s="61"/>
      <c r="D3114" s="61"/>
      <c r="E3114" s="61"/>
      <c r="F3114" s="61"/>
      <c r="G3114" s="61"/>
      <c r="H3114" s="115"/>
      <c r="I3114" s="85"/>
      <c r="J3114" s="103"/>
      <c r="K3114" s="131"/>
      <c r="L3114" s="67"/>
      <c r="M3114" s="35"/>
    </row>
    <row r="3115" spans="1:13" x14ac:dyDescent="0.15">
      <c r="A3115" s="166"/>
      <c r="B3115" s="82"/>
      <c r="C3115" s="70"/>
      <c r="D3115" s="70"/>
      <c r="E3115" s="70"/>
      <c r="F3115" s="70"/>
      <c r="G3115" s="70"/>
      <c r="H3115" s="93"/>
      <c r="I3115" s="85"/>
      <c r="J3115" s="85"/>
      <c r="K3115" s="131"/>
      <c r="L3115" s="60"/>
      <c r="M3115" s="33"/>
    </row>
    <row r="3116" spans="1:13" x14ac:dyDescent="0.15">
      <c r="A3116" s="166"/>
      <c r="B3116" s="82"/>
      <c r="C3116" s="70"/>
      <c r="D3116" s="70"/>
      <c r="E3116" s="70"/>
      <c r="F3116" s="70"/>
      <c r="G3116" s="70"/>
      <c r="H3116" s="93"/>
      <c r="I3116" s="85"/>
      <c r="J3116" s="85"/>
      <c r="K3116" s="131"/>
      <c r="L3116" s="60"/>
    </row>
    <row r="3117" spans="1:13" ht="16" x14ac:dyDescent="0.2">
      <c r="A3117" s="166"/>
      <c r="B3117" s="93"/>
      <c r="C3117" s="70"/>
      <c r="D3117" s="70"/>
      <c r="E3117" s="70"/>
      <c r="F3117" s="70"/>
      <c r="G3117" s="70"/>
      <c r="H3117" s="93"/>
      <c r="I3117" s="85"/>
      <c r="J3117" s="85"/>
      <c r="K3117" s="131"/>
      <c r="L3117" s="60"/>
      <c r="M3117" s="47"/>
    </row>
    <row r="3118" spans="1:13" x14ac:dyDescent="0.15">
      <c r="A3118" s="166"/>
      <c r="B3118" s="108"/>
      <c r="C3118" s="70"/>
      <c r="D3118" s="70"/>
      <c r="E3118" s="70"/>
      <c r="F3118" s="70"/>
      <c r="G3118" s="70"/>
      <c r="H3118" s="93"/>
      <c r="I3118" s="85"/>
      <c r="J3118" s="85"/>
      <c r="K3118" s="131"/>
      <c r="L3118" s="60"/>
      <c r="M3118" s="37"/>
    </row>
    <row r="3119" spans="1:13" x14ac:dyDescent="0.15">
      <c r="A3119" s="166"/>
      <c r="B3119" s="93"/>
      <c r="C3119" s="70"/>
      <c r="D3119" s="70"/>
      <c r="E3119" s="70"/>
      <c r="F3119" s="70"/>
      <c r="G3119" s="70"/>
      <c r="H3119" s="93"/>
      <c r="I3119" s="85"/>
      <c r="J3119" s="85"/>
      <c r="K3119" s="131"/>
      <c r="L3119" s="60"/>
      <c r="M3119" s="37"/>
    </row>
    <row r="3120" spans="1:13" x14ac:dyDescent="0.15">
      <c r="A3120" s="166"/>
      <c r="B3120" s="93"/>
      <c r="C3120" s="70"/>
      <c r="D3120" s="70"/>
      <c r="E3120" s="70"/>
      <c r="F3120" s="70"/>
      <c r="G3120" s="70"/>
      <c r="H3120" s="93"/>
      <c r="I3120" s="85"/>
      <c r="J3120" s="85"/>
      <c r="K3120" s="131"/>
      <c r="L3120" s="60"/>
      <c r="M3120" s="37"/>
    </row>
    <row r="3121" spans="1:18" x14ac:dyDescent="0.15">
      <c r="A3121" s="166"/>
      <c r="B3121" s="93"/>
      <c r="C3121" s="70"/>
      <c r="D3121" s="70"/>
      <c r="E3121" s="70"/>
      <c r="F3121" s="70"/>
      <c r="G3121" s="70"/>
      <c r="H3121" s="93"/>
      <c r="I3121" s="85"/>
      <c r="J3121" s="85"/>
      <c r="K3121" s="131"/>
      <c r="L3121" s="60"/>
      <c r="M3121" s="37"/>
      <c r="N3121" s="32"/>
    </row>
    <row r="3122" spans="1:18" x14ac:dyDescent="0.15">
      <c r="A3122" s="166"/>
      <c r="B3122" s="93"/>
      <c r="C3122" s="70"/>
      <c r="D3122" s="70"/>
      <c r="E3122" s="70"/>
      <c r="F3122" s="70"/>
      <c r="G3122" s="70"/>
      <c r="H3122" s="93"/>
      <c r="I3122" s="85"/>
      <c r="J3122" s="85"/>
      <c r="K3122" s="131"/>
      <c r="L3122" s="60"/>
    </row>
    <row r="3123" spans="1:18" x14ac:dyDescent="0.15">
      <c r="A3123" s="166"/>
      <c r="B3123" s="93"/>
      <c r="C3123" s="70"/>
      <c r="D3123" s="70"/>
      <c r="E3123" s="70"/>
      <c r="F3123" s="70"/>
      <c r="G3123" s="70"/>
      <c r="H3123" s="93"/>
      <c r="I3123" s="85"/>
      <c r="J3123" s="85"/>
      <c r="K3123" s="131"/>
      <c r="L3123" s="60"/>
      <c r="M3123" s="37"/>
    </row>
    <row r="3124" spans="1:18" x14ac:dyDescent="0.15">
      <c r="A3124" s="166"/>
      <c r="B3124" s="93"/>
      <c r="C3124" s="70"/>
      <c r="D3124" s="70"/>
      <c r="E3124" s="70"/>
      <c r="F3124" s="70"/>
      <c r="G3124" s="70"/>
      <c r="H3124" s="93"/>
      <c r="I3124" s="85"/>
      <c r="J3124" s="85"/>
      <c r="K3124" s="131"/>
      <c r="L3124" s="60"/>
      <c r="M3124" s="37"/>
    </row>
    <row r="3125" spans="1:18" x14ac:dyDescent="0.15">
      <c r="A3125" s="166"/>
      <c r="B3125" s="93"/>
      <c r="C3125" s="70"/>
      <c r="D3125" s="70"/>
      <c r="E3125" s="70"/>
      <c r="F3125" s="70"/>
      <c r="G3125" s="70"/>
      <c r="H3125" s="93"/>
      <c r="I3125" s="85"/>
      <c r="J3125" s="85"/>
      <c r="K3125" s="131"/>
      <c r="L3125" s="60"/>
      <c r="M3125" s="37"/>
    </row>
    <row r="3126" spans="1:18" x14ac:dyDescent="0.15">
      <c r="A3126" s="166"/>
      <c r="B3126" s="93"/>
      <c r="C3126" s="70"/>
      <c r="D3126" s="70"/>
      <c r="E3126" s="70"/>
      <c r="F3126" s="70"/>
      <c r="G3126" s="70"/>
      <c r="H3126" s="93"/>
      <c r="I3126" s="85"/>
      <c r="J3126" s="85"/>
      <c r="K3126" s="131"/>
      <c r="L3126" s="60"/>
      <c r="M3126" s="37"/>
    </row>
    <row r="3127" spans="1:18" x14ac:dyDescent="0.15">
      <c r="A3127" s="166"/>
      <c r="B3127" s="93"/>
      <c r="C3127" s="70"/>
      <c r="D3127" s="70"/>
      <c r="E3127" s="70"/>
      <c r="F3127" s="70"/>
      <c r="G3127" s="70"/>
      <c r="H3127" s="93"/>
      <c r="I3127" s="85"/>
      <c r="J3127" s="85"/>
      <c r="K3127" s="131"/>
      <c r="L3127" s="60"/>
      <c r="M3127" s="33"/>
    </row>
    <row r="3128" spans="1:18" x14ac:dyDescent="0.15">
      <c r="A3128" s="169"/>
      <c r="B3128" s="90"/>
      <c r="C3128" s="70"/>
      <c r="D3128" s="91"/>
      <c r="E3128" s="91"/>
      <c r="F3128" s="91"/>
      <c r="G3128" s="91"/>
      <c r="H3128" s="176"/>
      <c r="I3128" s="85"/>
      <c r="J3128" s="92"/>
      <c r="K3128" s="133"/>
      <c r="L3128" s="64"/>
    </row>
    <row r="3129" spans="1:18" x14ac:dyDescent="0.15">
      <c r="A3129" s="225"/>
      <c r="B3129" s="191"/>
      <c r="C3129" s="192"/>
      <c r="D3129" s="190"/>
      <c r="E3129" s="190"/>
      <c r="F3129" s="190"/>
      <c r="G3129" s="190"/>
      <c r="H3129" s="190"/>
      <c r="I3129" s="183"/>
      <c r="J3129" s="193"/>
      <c r="K3129" s="194"/>
      <c r="L3129" s="195"/>
      <c r="M3129" s="186"/>
      <c r="N3129" s="186"/>
      <c r="O3129" s="186"/>
      <c r="P3129" s="186"/>
      <c r="Q3129" s="187"/>
      <c r="R3129" s="187"/>
    </row>
    <row r="3130" spans="1:18" x14ac:dyDescent="0.15">
      <c r="A3130" s="226"/>
      <c r="B3130" s="181"/>
      <c r="C3130" s="180"/>
      <c r="D3130" s="180"/>
      <c r="E3130" s="180"/>
      <c r="F3130" s="180"/>
      <c r="G3130" s="180"/>
      <c r="H3130" s="182"/>
      <c r="I3130" s="183"/>
      <c r="J3130" s="183"/>
      <c r="K3130" s="184"/>
      <c r="L3130" s="185"/>
      <c r="M3130" s="186"/>
      <c r="N3130" s="186"/>
      <c r="O3130" s="186"/>
      <c r="P3130" s="186"/>
      <c r="Q3130" s="187"/>
      <c r="R3130" s="187"/>
    </row>
    <row r="3131" spans="1:18" x14ac:dyDescent="0.15">
      <c r="A3131" s="167"/>
      <c r="B3131" s="87"/>
      <c r="C3131" s="88"/>
      <c r="D3131" s="86"/>
      <c r="E3131" s="86"/>
      <c r="F3131" s="86"/>
      <c r="G3131" s="86"/>
      <c r="H3131" s="87"/>
      <c r="I3131" s="85"/>
      <c r="J3131" s="89"/>
      <c r="K3131" s="132"/>
      <c r="L3131" s="61"/>
    </row>
    <row r="3132" spans="1:18" x14ac:dyDescent="0.15">
      <c r="A3132" s="167"/>
      <c r="B3132" s="87"/>
      <c r="C3132" s="88"/>
      <c r="D3132" s="86"/>
      <c r="E3132" s="86"/>
      <c r="F3132" s="86"/>
      <c r="G3132" s="86"/>
      <c r="H3132" s="87"/>
      <c r="I3132" s="85"/>
      <c r="J3132" s="89"/>
      <c r="K3132" s="132"/>
      <c r="L3132" s="61"/>
    </row>
    <row r="3133" spans="1:18" x14ac:dyDescent="0.15">
      <c r="A3133" s="167"/>
      <c r="B3133" s="87"/>
      <c r="C3133" s="88"/>
      <c r="D3133" s="86"/>
      <c r="E3133" s="86"/>
      <c r="F3133" s="86"/>
      <c r="G3133" s="86"/>
      <c r="H3133" s="87"/>
      <c r="I3133" s="85"/>
      <c r="J3133" s="89"/>
      <c r="K3133" s="132"/>
      <c r="L3133" s="61"/>
    </row>
    <row r="3134" spans="1:18" x14ac:dyDescent="0.15">
      <c r="A3134" s="166"/>
      <c r="B3134" s="82"/>
      <c r="C3134" s="70"/>
      <c r="D3134" s="70"/>
      <c r="E3134" s="70"/>
      <c r="F3134" s="70"/>
      <c r="G3134" s="70"/>
      <c r="H3134" s="93"/>
      <c r="I3134" s="85"/>
      <c r="J3134" s="85"/>
      <c r="K3134" s="131"/>
      <c r="L3134" s="60"/>
    </row>
    <row r="3135" spans="1:18" x14ac:dyDescent="0.15">
      <c r="A3135" s="165"/>
      <c r="B3135" s="93"/>
      <c r="C3135" s="102"/>
      <c r="D3135" s="70"/>
      <c r="E3135" s="70"/>
      <c r="F3135" s="102"/>
      <c r="G3135" s="102"/>
      <c r="H3135" s="175"/>
      <c r="I3135" s="85"/>
      <c r="J3135" s="104"/>
      <c r="K3135" s="144"/>
      <c r="L3135" s="62"/>
    </row>
    <row r="3136" spans="1:18" x14ac:dyDescent="0.15">
      <c r="A3136" s="165"/>
      <c r="B3136" s="93"/>
      <c r="C3136" s="102"/>
      <c r="D3136" s="70"/>
      <c r="E3136" s="70"/>
      <c r="F3136" s="102"/>
      <c r="G3136" s="102"/>
      <c r="H3136" s="175"/>
      <c r="I3136" s="85"/>
      <c r="J3136" s="104"/>
      <c r="K3136" s="144"/>
      <c r="L3136" s="62"/>
    </row>
    <row r="3137" spans="1:13" x14ac:dyDescent="0.15">
      <c r="A3137" s="166"/>
      <c r="B3137" s="82"/>
      <c r="C3137" s="70"/>
      <c r="D3137" s="70"/>
      <c r="E3137" s="70"/>
      <c r="F3137" s="70"/>
      <c r="G3137" s="70"/>
      <c r="H3137" s="93"/>
      <c r="I3137" s="85"/>
      <c r="J3137" s="85"/>
      <c r="K3137" s="131"/>
      <c r="L3137" s="61"/>
      <c r="M3137" s="33"/>
    </row>
    <row r="3138" spans="1:13" x14ac:dyDescent="0.15">
      <c r="A3138" s="167"/>
      <c r="B3138" s="87"/>
      <c r="C3138" s="88"/>
      <c r="D3138" s="86"/>
      <c r="E3138" s="86"/>
      <c r="F3138" s="86"/>
      <c r="G3138" s="86"/>
      <c r="H3138" s="87"/>
      <c r="I3138" s="85"/>
      <c r="J3138" s="89"/>
      <c r="K3138" s="132"/>
      <c r="L3138" s="61"/>
    </row>
    <row r="3139" spans="1:13" x14ac:dyDescent="0.15">
      <c r="A3139" s="167"/>
      <c r="B3139" s="87"/>
      <c r="C3139" s="88"/>
      <c r="D3139" s="86"/>
      <c r="E3139" s="86"/>
      <c r="F3139" s="86"/>
      <c r="G3139" s="86"/>
      <c r="H3139" s="87"/>
      <c r="I3139" s="85"/>
      <c r="J3139" s="89"/>
      <c r="K3139" s="132"/>
      <c r="L3139" s="61"/>
    </row>
    <row r="3140" spans="1:13" x14ac:dyDescent="0.15">
      <c r="A3140" s="167"/>
      <c r="B3140" s="87"/>
      <c r="C3140" s="88"/>
      <c r="D3140" s="86"/>
      <c r="E3140" s="86"/>
      <c r="F3140" s="86"/>
      <c r="G3140" s="86"/>
      <c r="H3140" s="87"/>
      <c r="I3140" s="85"/>
      <c r="J3140" s="89"/>
      <c r="K3140" s="132"/>
      <c r="L3140" s="61"/>
    </row>
    <row r="3141" spans="1:13" x14ac:dyDescent="0.15">
      <c r="A3141" s="167"/>
      <c r="B3141" s="87"/>
      <c r="C3141" s="88"/>
      <c r="D3141" s="86"/>
      <c r="E3141" s="86"/>
      <c r="F3141" s="86"/>
      <c r="G3141" s="86"/>
      <c r="H3141" s="87"/>
      <c r="I3141" s="85"/>
      <c r="J3141" s="89"/>
      <c r="K3141" s="132"/>
      <c r="L3141" s="61"/>
    </row>
    <row r="3142" spans="1:13" x14ac:dyDescent="0.15">
      <c r="A3142" s="167"/>
      <c r="B3142" s="87"/>
      <c r="C3142" s="88"/>
      <c r="D3142" s="86"/>
      <c r="E3142" s="86"/>
      <c r="F3142" s="86"/>
      <c r="G3142" s="86"/>
      <c r="H3142" s="87"/>
      <c r="I3142" s="85"/>
      <c r="J3142" s="89"/>
      <c r="K3142" s="132"/>
      <c r="L3142" s="61"/>
    </row>
    <row r="3143" spans="1:13" x14ac:dyDescent="0.15">
      <c r="A3143" s="167"/>
      <c r="B3143" s="87"/>
      <c r="C3143" s="88"/>
      <c r="D3143" s="86"/>
      <c r="E3143" s="86"/>
      <c r="F3143" s="86"/>
      <c r="G3143" s="86"/>
      <c r="H3143" s="87"/>
      <c r="I3143" s="85"/>
      <c r="J3143" s="89"/>
      <c r="K3143" s="132"/>
      <c r="L3143" s="61"/>
    </row>
    <row r="3144" spans="1:13" x14ac:dyDescent="0.15">
      <c r="A3144" s="167"/>
      <c r="B3144" s="87"/>
      <c r="C3144" s="88"/>
      <c r="D3144" s="86"/>
      <c r="E3144" s="86"/>
      <c r="F3144" s="86"/>
      <c r="G3144" s="86"/>
      <c r="H3144" s="87"/>
      <c r="I3144" s="85"/>
      <c r="J3144" s="89"/>
      <c r="K3144" s="132"/>
      <c r="L3144" s="61"/>
    </row>
    <row r="3145" spans="1:13" x14ac:dyDescent="0.15">
      <c r="A3145" s="167"/>
      <c r="B3145" s="87"/>
      <c r="C3145" s="88"/>
      <c r="D3145" s="86"/>
      <c r="E3145" s="86"/>
      <c r="F3145" s="86"/>
      <c r="G3145" s="86"/>
      <c r="H3145" s="87"/>
      <c r="I3145" s="85"/>
      <c r="J3145" s="89"/>
      <c r="K3145" s="132"/>
      <c r="L3145" s="61"/>
    </row>
    <row r="3146" spans="1:13" x14ac:dyDescent="0.15">
      <c r="A3146" s="167"/>
      <c r="B3146" s="87"/>
      <c r="C3146" s="88"/>
      <c r="D3146" s="86"/>
      <c r="E3146" s="86"/>
      <c r="F3146" s="86"/>
      <c r="G3146" s="86"/>
      <c r="H3146" s="87"/>
      <c r="I3146" s="85"/>
      <c r="J3146" s="89"/>
      <c r="K3146" s="132"/>
      <c r="L3146" s="61"/>
    </row>
    <row r="3147" spans="1:13" x14ac:dyDescent="0.15">
      <c r="A3147" s="167"/>
      <c r="B3147" s="87"/>
      <c r="C3147" s="88"/>
      <c r="D3147" s="86"/>
      <c r="E3147" s="86"/>
      <c r="F3147" s="86"/>
      <c r="G3147" s="86"/>
      <c r="H3147" s="87"/>
      <c r="I3147" s="85"/>
      <c r="J3147" s="89"/>
      <c r="K3147" s="132"/>
      <c r="L3147" s="61"/>
    </row>
    <row r="3148" spans="1:13" x14ac:dyDescent="0.15">
      <c r="A3148" s="167"/>
      <c r="B3148" s="87"/>
      <c r="C3148" s="88"/>
      <c r="D3148" s="86"/>
      <c r="E3148" s="86"/>
      <c r="F3148" s="86"/>
      <c r="G3148" s="86"/>
      <c r="H3148" s="87"/>
      <c r="I3148" s="85"/>
      <c r="J3148" s="89"/>
      <c r="K3148" s="132"/>
      <c r="L3148" s="61"/>
    </row>
    <row r="3149" spans="1:13" x14ac:dyDescent="0.15">
      <c r="A3149" s="167"/>
      <c r="B3149" s="87"/>
      <c r="C3149" s="88"/>
      <c r="D3149" s="86"/>
      <c r="E3149" s="86"/>
      <c r="F3149" s="86"/>
      <c r="G3149" s="86"/>
      <c r="H3149" s="87"/>
      <c r="I3149" s="85"/>
      <c r="J3149" s="89"/>
      <c r="K3149" s="132"/>
      <c r="L3149" s="61"/>
    </row>
    <row r="3150" spans="1:13" x14ac:dyDescent="0.15">
      <c r="A3150" s="167"/>
      <c r="B3150" s="87"/>
      <c r="C3150" s="88"/>
      <c r="D3150" s="86"/>
      <c r="E3150" s="86"/>
      <c r="F3150" s="86"/>
      <c r="G3150" s="86"/>
      <c r="H3150" s="87"/>
      <c r="I3150" s="85"/>
      <c r="J3150" s="89"/>
      <c r="K3150" s="132"/>
      <c r="L3150" s="61"/>
    </row>
    <row r="3151" spans="1:13" x14ac:dyDescent="0.15">
      <c r="A3151" s="167"/>
      <c r="B3151" s="87"/>
      <c r="C3151" s="88"/>
      <c r="D3151" s="86"/>
      <c r="E3151" s="86"/>
      <c r="F3151" s="86"/>
      <c r="G3151" s="86"/>
      <c r="H3151" s="87"/>
      <c r="I3151" s="85"/>
      <c r="J3151" s="89"/>
      <c r="K3151" s="132"/>
      <c r="L3151" s="61"/>
    </row>
    <row r="3152" spans="1:13" x14ac:dyDescent="0.15">
      <c r="A3152" s="167"/>
      <c r="B3152" s="87"/>
      <c r="C3152" s="88"/>
      <c r="D3152" s="86"/>
      <c r="E3152" s="86"/>
      <c r="F3152" s="86"/>
      <c r="G3152" s="86"/>
      <c r="H3152" s="87"/>
      <c r="I3152" s="85"/>
      <c r="J3152" s="89"/>
      <c r="K3152" s="132"/>
      <c r="L3152" s="62"/>
    </row>
    <row r="3153" spans="1:13" x14ac:dyDescent="0.15">
      <c r="A3153" s="167"/>
      <c r="B3153" s="87"/>
      <c r="C3153" s="88"/>
      <c r="D3153" s="86"/>
      <c r="E3153" s="86"/>
      <c r="F3153" s="86"/>
      <c r="G3153" s="86"/>
      <c r="H3153" s="87"/>
      <c r="I3153" s="85"/>
      <c r="J3153" s="89"/>
      <c r="K3153" s="132"/>
      <c r="L3153" s="62"/>
    </row>
    <row r="3154" spans="1:13" x14ac:dyDescent="0.15">
      <c r="A3154" s="167"/>
      <c r="B3154" s="87"/>
      <c r="C3154" s="88"/>
      <c r="D3154" s="86"/>
      <c r="E3154" s="86"/>
      <c r="F3154" s="86"/>
      <c r="G3154" s="86"/>
      <c r="H3154" s="87"/>
      <c r="I3154" s="85"/>
      <c r="J3154" s="89"/>
      <c r="K3154" s="132"/>
      <c r="L3154" s="62"/>
    </row>
    <row r="3155" spans="1:13" x14ac:dyDescent="0.15">
      <c r="A3155" s="167"/>
      <c r="B3155" s="87"/>
      <c r="C3155" s="88"/>
      <c r="D3155" s="86"/>
      <c r="E3155" s="86"/>
      <c r="F3155" s="86"/>
      <c r="G3155" s="86"/>
      <c r="H3155" s="87"/>
      <c r="I3155" s="85"/>
      <c r="J3155" s="89"/>
      <c r="K3155" s="132"/>
      <c r="L3155" s="62"/>
    </row>
    <row r="3156" spans="1:13" x14ac:dyDescent="0.15">
      <c r="A3156" s="167"/>
      <c r="B3156" s="87"/>
      <c r="C3156" s="88"/>
      <c r="D3156" s="86"/>
      <c r="E3156" s="86"/>
      <c r="F3156" s="86"/>
      <c r="G3156" s="86"/>
      <c r="H3156" s="87"/>
      <c r="I3156" s="85"/>
      <c r="J3156" s="89"/>
      <c r="K3156" s="132"/>
      <c r="L3156" s="62"/>
    </row>
    <row r="3157" spans="1:13" x14ac:dyDescent="0.15">
      <c r="A3157" s="167"/>
      <c r="B3157" s="87"/>
      <c r="C3157" s="88"/>
      <c r="D3157" s="86"/>
      <c r="E3157" s="86"/>
      <c r="F3157" s="86"/>
      <c r="G3157" s="86"/>
      <c r="H3157" s="87"/>
      <c r="I3157" s="85"/>
      <c r="J3157" s="89"/>
      <c r="K3157" s="132"/>
      <c r="L3157" s="61"/>
    </row>
    <row r="3158" spans="1:13" x14ac:dyDescent="0.15">
      <c r="A3158" s="167"/>
      <c r="B3158" s="87"/>
      <c r="C3158" s="88"/>
      <c r="D3158" s="86"/>
      <c r="E3158" s="86"/>
      <c r="F3158" s="86"/>
      <c r="G3158" s="86"/>
      <c r="H3158" s="87"/>
      <c r="I3158" s="85"/>
      <c r="J3158" s="89"/>
      <c r="K3158" s="132"/>
      <c r="L3158" s="61"/>
    </row>
    <row r="3159" spans="1:13" x14ac:dyDescent="0.15">
      <c r="A3159" s="167"/>
      <c r="B3159" s="87"/>
      <c r="C3159" s="88"/>
      <c r="D3159" s="86"/>
      <c r="E3159" s="86"/>
      <c r="F3159" s="86"/>
      <c r="G3159" s="86"/>
      <c r="H3159" s="87"/>
      <c r="I3159" s="85"/>
      <c r="J3159" s="89"/>
      <c r="K3159" s="132"/>
      <c r="L3159" s="62"/>
    </row>
    <row r="3160" spans="1:13" x14ac:dyDescent="0.15">
      <c r="A3160" s="166"/>
      <c r="B3160" s="82"/>
      <c r="C3160" s="70"/>
      <c r="D3160" s="70"/>
      <c r="E3160" s="70"/>
      <c r="F3160" s="70"/>
      <c r="G3160" s="70"/>
      <c r="H3160" s="93"/>
      <c r="I3160" s="85"/>
      <c r="J3160" s="85"/>
      <c r="K3160" s="131"/>
      <c r="L3160" s="60"/>
    </row>
    <row r="3161" spans="1:13" x14ac:dyDescent="0.15">
      <c r="A3161" s="166"/>
      <c r="B3161" s="82"/>
      <c r="C3161" s="70"/>
      <c r="D3161" s="70"/>
      <c r="E3161" s="70"/>
      <c r="F3161" s="70"/>
      <c r="G3161" s="70"/>
      <c r="H3161" s="93"/>
      <c r="I3161" s="85"/>
      <c r="J3161" s="85"/>
      <c r="K3161" s="131"/>
      <c r="L3161" s="60"/>
    </row>
    <row r="3162" spans="1:13" x14ac:dyDescent="0.15">
      <c r="A3162" s="166"/>
      <c r="B3162" s="82"/>
      <c r="C3162" s="70"/>
      <c r="D3162" s="70"/>
      <c r="E3162" s="70"/>
      <c r="F3162" s="70"/>
      <c r="G3162" s="70"/>
      <c r="H3162" s="93"/>
      <c r="I3162" s="85"/>
      <c r="J3162" s="85"/>
      <c r="K3162" s="131"/>
      <c r="L3162" s="60"/>
    </row>
    <row r="3163" spans="1:13" x14ac:dyDescent="0.15">
      <c r="A3163" s="166"/>
      <c r="B3163" s="82"/>
      <c r="C3163" s="70"/>
      <c r="D3163" s="70"/>
      <c r="E3163" s="70"/>
      <c r="F3163" s="70"/>
      <c r="G3163" s="70"/>
      <c r="H3163" s="93"/>
      <c r="I3163" s="85"/>
      <c r="J3163" s="85"/>
      <c r="K3163" s="131"/>
      <c r="L3163" s="60"/>
    </row>
    <row r="3164" spans="1:13" x14ac:dyDescent="0.15">
      <c r="A3164" s="166"/>
      <c r="B3164" s="82"/>
      <c r="C3164" s="70"/>
      <c r="D3164" s="70"/>
      <c r="E3164" s="70"/>
      <c r="F3164" s="70"/>
      <c r="G3164" s="70"/>
      <c r="H3164" s="93"/>
      <c r="I3164" s="85"/>
      <c r="J3164" s="85"/>
      <c r="K3164" s="131"/>
      <c r="L3164" s="60"/>
    </row>
    <row r="3165" spans="1:13" x14ac:dyDescent="0.15">
      <c r="A3165" s="166"/>
      <c r="B3165" s="82"/>
      <c r="C3165" s="70"/>
      <c r="D3165" s="70"/>
      <c r="E3165" s="70"/>
      <c r="F3165" s="70"/>
      <c r="G3165" s="70"/>
      <c r="H3165" s="93"/>
      <c r="I3165" s="85"/>
      <c r="J3165" s="85"/>
      <c r="K3165" s="131"/>
      <c r="L3165" s="60"/>
    </row>
    <row r="3166" spans="1:13" x14ac:dyDescent="0.15">
      <c r="A3166" s="166"/>
      <c r="B3166" s="82"/>
      <c r="C3166" s="70"/>
      <c r="D3166" s="70"/>
      <c r="E3166" s="70"/>
      <c r="F3166" s="70"/>
      <c r="G3166" s="70"/>
      <c r="H3166" s="93"/>
      <c r="I3166" s="85"/>
      <c r="J3166" s="85"/>
      <c r="K3166" s="131"/>
      <c r="L3166" s="63"/>
    </row>
    <row r="3167" spans="1:13" x14ac:dyDescent="0.15">
      <c r="A3167" s="166"/>
      <c r="B3167" s="82"/>
      <c r="C3167" s="70"/>
      <c r="D3167" s="70"/>
      <c r="E3167" s="70"/>
      <c r="F3167" s="70"/>
      <c r="G3167" s="70"/>
      <c r="H3167" s="93"/>
      <c r="I3167" s="85"/>
      <c r="J3167" s="85"/>
      <c r="K3167" s="131"/>
      <c r="L3167" s="60"/>
    </row>
    <row r="3168" spans="1:13" ht="16" x14ac:dyDescent="0.2">
      <c r="A3168" s="166"/>
      <c r="B3168" s="82"/>
      <c r="C3168" s="70"/>
      <c r="D3168" s="70"/>
      <c r="E3168" s="70"/>
      <c r="F3168" s="70"/>
      <c r="G3168" s="70"/>
      <c r="H3168" s="93"/>
      <c r="I3168" s="85"/>
      <c r="J3168" s="85"/>
      <c r="K3168" s="135"/>
      <c r="L3168" s="60"/>
      <c r="M3168" s="47"/>
    </row>
    <row r="3169" spans="1:26" x14ac:dyDescent="0.15">
      <c r="A3169" s="166"/>
      <c r="B3169" s="82"/>
      <c r="C3169" s="70"/>
      <c r="D3169" s="70"/>
      <c r="E3169" s="70"/>
      <c r="F3169" s="70"/>
      <c r="G3169" s="70"/>
      <c r="H3169" s="93"/>
      <c r="I3169" s="85"/>
      <c r="J3169" s="85"/>
      <c r="K3169" s="131"/>
      <c r="L3169" s="60"/>
    </row>
    <row r="3170" spans="1:26" ht="16" x14ac:dyDescent="0.2">
      <c r="A3170" s="166"/>
      <c r="B3170" s="82"/>
      <c r="C3170" s="70"/>
      <c r="D3170" s="70"/>
      <c r="E3170" s="70"/>
      <c r="F3170" s="70"/>
      <c r="G3170" s="70"/>
      <c r="H3170" s="93"/>
      <c r="I3170" s="85"/>
      <c r="J3170" s="85"/>
      <c r="K3170" s="131"/>
      <c r="L3170" s="60"/>
      <c r="M3170" s="47"/>
    </row>
    <row r="3171" spans="1:26" x14ac:dyDescent="0.15">
      <c r="A3171" s="166"/>
      <c r="B3171" s="82"/>
      <c r="C3171" s="70"/>
      <c r="D3171" s="70"/>
      <c r="E3171" s="70"/>
      <c r="F3171" s="70"/>
      <c r="G3171" s="70"/>
      <c r="H3171" s="93"/>
      <c r="I3171" s="85"/>
      <c r="J3171" s="85"/>
      <c r="K3171" s="131"/>
      <c r="L3171" s="60"/>
    </row>
    <row r="3172" spans="1:26" x14ac:dyDescent="0.15">
      <c r="A3172" s="166"/>
      <c r="B3172" s="82"/>
      <c r="C3172" s="70"/>
      <c r="D3172" s="70"/>
      <c r="E3172" s="70"/>
      <c r="F3172" s="70"/>
      <c r="G3172" s="70"/>
      <c r="H3172" s="93"/>
      <c r="I3172" s="85"/>
      <c r="J3172" s="85"/>
      <c r="K3172" s="131"/>
      <c r="L3172" s="60"/>
    </row>
    <row r="3173" spans="1:26" x14ac:dyDescent="0.15">
      <c r="A3173" s="166"/>
      <c r="B3173" s="82"/>
      <c r="C3173" s="70"/>
      <c r="D3173" s="70"/>
      <c r="E3173" s="70"/>
      <c r="F3173" s="70"/>
      <c r="G3173" s="70"/>
      <c r="H3173" s="93"/>
      <c r="I3173" s="85"/>
      <c r="J3173" s="85"/>
      <c r="K3173" s="131"/>
      <c r="L3173" s="60"/>
    </row>
    <row r="3174" spans="1:26" ht="16" x14ac:dyDescent="0.2">
      <c r="A3174" s="166"/>
      <c r="B3174" s="82"/>
      <c r="C3174" s="70"/>
      <c r="D3174" s="70"/>
      <c r="E3174" s="70"/>
      <c r="F3174" s="70"/>
      <c r="G3174" s="70"/>
      <c r="H3174" s="93"/>
      <c r="I3174" s="85"/>
      <c r="J3174" s="85"/>
      <c r="K3174" s="131"/>
      <c r="L3174" s="60"/>
      <c r="M3174" s="47"/>
    </row>
    <row r="3175" spans="1:26" x14ac:dyDescent="0.15">
      <c r="A3175" s="166"/>
      <c r="B3175" s="82"/>
      <c r="C3175" s="70"/>
      <c r="D3175" s="70"/>
      <c r="E3175" s="70"/>
      <c r="F3175" s="70"/>
      <c r="G3175" s="70"/>
      <c r="H3175" s="93"/>
      <c r="I3175" s="85"/>
      <c r="J3175" s="85"/>
      <c r="K3175" s="131"/>
      <c r="L3175" s="69"/>
      <c r="S3175"/>
      <c r="T3175"/>
      <c r="U3175"/>
      <c r="V3175"/>
      <c r="W3175"/>
      <c r="X3175"/>
      <c r="Y3175"/>
      <c r="Z3175"/>
    </row>
    <row r="3176" spans="1:26" x14ac:dyDescent="0.15">
      <c r="A3176" s="166"/>
      <c r="B3176" s="82"/>
      <c r="C3176" s="70"/>
      <c r="D3176" s="70"/>
      <c r="E3176" s="70"/>
      <c r="F3176" s="70"/>
      <c r="G3176" s="70"/>
      <c r="H3176" s="93"/>
      <c r="I3176" s="85"/>
      <c r="J3176" s="85"/>
      <c r="K3176" s="131"/>
      <c r="L3176" s="69"/>
    </row>
    <row r="3177" spans="1:26" x14ac:dyDescent="0.15">
      <c r="A3177" s="166"/>
      <c r="B3177" s="82"/>
      <c r="C3177" s="70"/>
      <c r="D3177" s="70"/>
      <c r="E3177" s="70"/>
      <c r="F3177" s="70"/>
      <c r="G3177" s="70"/>
      <c r="H3177" s="93"/>
      <c r="I3177" s="85"/>
      <c r="J3177" s="85"/>
      <c r="K3177" s="131"/>
      <c r="L3177" s="60"/>
    </row>
    <row r="3178" spans="1:26" x14ac:dyDescent="0.15">
      <c r="A3178" s="166"/>
      <c r="B3178" s="82"/>
      <c r="C3178" s="70"/>
      <c r="D3178" s="70"/>
      <c r="E3178" s="70"/>
      <c r="F3178" s="70"/>
      <c r="G3178" s="70"/>
      <c r="H3178" s="93"/>
      <c r="I3178" s="85"/>
      <c r="J3178" s="85"/>
      <c r="K3178" s="131"/>
      <c r="L3178" s="69"/>
    </row>
    <row r="3179" spans="1:26" x14ac:dyDescent="0.15">
      <c r="A3179" s="166"/>
      <c r="B3179" s="82"/>
      <c r="C3179" s="70"/>
      <c r="D3179" s="70"/>
      <c r="E3179" s="70"/>
      <c r="F3179" s="70"/>
      <c r="G3179" s="70"/>
      <c r="H3179" s="93"/>
      <c r="I3179" s="85"/>
      <c r="J3179" s="85"/>
      <c r="K3179" s="131"/>
      <c r="L3179" s="60"/>
    </row>
    <row r="3180" spans="1:26" x14ac:dyDescent="0.15">
      <c r="A3180" s="166"/>
      <c r="B3180" s="82"/>
      <c r="C3180" s="70"/>
      <c r="D3180" s="70"/>
      <c r="E3180" s="70"/>
      <c r="F3180" s="70"/>
      <c r="G3180" s="70"/>
      <c r="H3180" s="93"/>
      <c r="I3180" s="85"/>
      <c r="J3180" s="85"/>
      <c r="K3180" s="131"/>
      <c r="L3180" s="60"/>
    </row>
    <row r="3181" spans="1:26" x14ac:dyDescent="0.15">
      <c r="A3181" s="166"/>
      <c r="B3181" s="82"/>
      <c r="C3181" s="70"/>
      <c r="D3181" s="70"/>
      <c r="E3181" s="70"/>
      <c r="F3181" s="70"/>
      <c r="G3181" s="70"/>
      <c r="H3181" s="93"/>
      <c r="I3181" s="85"/>
      <c r="J3181" s="85"/>
      <c r="K3181" s="131"/>
      <c r="L3181" s="60"/>
    </row>
    <row r="3182" spans="1:26" x14ac:dyDescent="0.15">
      <c r="A3182" s="166"/>
      <c r="B3182" s="82"/>
      <c r="C3182" s="70"/>
      <c r="D3182" s="70"/>
      <c r="E3182" s="70"/>
      <c r="F3182" s="70"/>
      <c r="G3182" s="70"/>
      <c r="H3182" s="93"/>
      <c r="I3182" s="85"/>
      <c r="J3182" s="85"/>
      <c r="K3182" s="131"/>
      <c r="L3182" s="60"/>
    </row>
    <row r="3183" spans="1:26" ht="16" x14ac:dyDescent="0.2">
      <c r="A3183" s="166"/>
      <c r="B3183" s="82"/>
      <c r="C3183" s="70"/>
      <c r="D3183" s="70"/>
      <c r="E3183" s="70"/>
      <c r="F3183" s="70"/>
      <c r="G3183" s="70"/>
      <c r="H3183" s="93"/>
      <c r="I3183" s="85"/>
      <c r="J3183" s="85"/>
      <c r="K3183" s="131"/>
      <c r="L3183" s="60"/>
      <c r="M3183" s="47"/>
    </row>
    <row r="3184" spans="1:26" x14ac:dyDescent="0.15">
      <c r="A3184" s="166"/>
      <c r="B3184" s="93"/>
      <c r="C3184" s="70"/>
      <c r="D3184" s="70"/>
      <c r="E3184" s="70"/>
      <c r="F3184" s="70"/>
      <c r="G3184" s="70"/>
      <c r="H3184" s="93"/>
      <c r="I3184" s="85"/>
      <c r="J3184" s="85"/>
      <c r="K3184" s="131"/>
      <c r="L3184" s="60"/>
    </row>
    <row r="3185" spans="1:14" x14ac:dyDescent="0.15">
      <c r="A3185" s="166"/>
      <c r="B3185" s="82"/>
      <c r="C3185" s="70"/>
      <c r="D3185" s="70"/>
      <c r="E3185" s="70"/>
      <c r="F3185" s="70"/>
      <c r="G3185" s="70"/>
      <c r="H3185" s="93"/>
      <c r="I3185" s="85"/>
      <c r="J3185" s="85"/>
      <c r="K3185" s="131"/>
      <c r="L3185" s="60"/>
    </row>
    <row r="3186" spans="1:14" ht="16" x14ac:dyDescent="0.2">
      <c r="A3186" s="166"/>
      <c r="B3186" s="82"/>
      <c r="C3186" s="70"/>
      <c r="D3186" s="70"/>
      <c r="E3186" s="70"/>
      <c r="F3186" s="70"/>
      <c r="G3186" s="70"/>
      <c r="H3186" s="93"/>
      <c r="I3186" s="85"/>
      <c r="J3186" s="85"/>
      <c r="K3186" s="134"/>
      <c r="L3186" s="63"/>
      <c r="M3186" s="47"/>
    </row>
    <row r="3187" spans="1:14" x14ac:dyDescent="0.15">
      <c r="A3187" s="166"/>
      <c r="B3187" s="93"/>
      <c r="C3187" s="70"/>
      <c r="D3187" s="70"/>
      <c r="E3187" s="70"/>
      <c r="F3187" s="70"/>
      <c r="G3187" s="70"/>
      <c r="H3187" s="93"/>
      <c r="I3187" s="85"/>
      <c r="J3187" s="98"/>
      <c r="K3187" s="131"/>
      <c r="L3187" s="70"/>
      <c r="M3187" s="35"/>
    </row>
    <row r="3188" spans="1:14" x14ac:dyDescent="0.15">
      <c r="A3188" s="166"/>
      <c r="B3188" s="93"/>
      <c r="C3188" s="70"/>
      <c r="D3188" s="70"/>
      <c r="E3188" s="70"/>
      <c r="F3188" s="70"/>
      <c r="G3188" s="70"/>
      <c r="H3188" s="93"/>
      <c r="I3188" s="85"/>
      <c r="J3188" s="98"/>
      <c r="K3188" s="131"/>
      <c r="L3188" s="70"/>
      <c r="M3188" s="35"/>
    </row>
    <row r="3189" spans="1:14" x14ac:dyDescent="0.15">
      <c r="A3189" s="166"/>
      <c r="B3189" s="93"/>
      <c r="C3189" s="70"/>
      <c r="D3189" s="70"/>
      <c r="E3189" s="70"/>
      <c r="F3189" s="70"/>
      <c r="G3189" s="70"/>
      <c r="H3189" s="93"/>
      <c r="I3189" s="85"/>
      <c r="J3189" s="98"/>
      <c r="K3189" s="131"/>
      <c r="L3189" s="70"/>
      <c r="M3189" s="35"/>
    </row>
    <row r="3190" spans="1:14" x14ac:dyDescent="0.15">
      <c r="A3190" s="166"/>
      <c r="B3190" s="93"/>
      <c r="C3190" s="70"/>
      <c r="D3190" s="70"/>
      <c r="E3190" s="70"/>
      <c r="F3190" s="70"/>
      <c r="G3190" s="70"/>
      <c r="H3190" s="93"/>
      <c r="I3190" s="85"/>
      <c r="J3190" s="98"/>
      <c r="K3190" s="131"/>
      <c r="L3190" s="70"/>
      <c r="M3190" s="35"/>
    </row>
    <row r="3191" spans="1:14" x14ac:dyDescent="0.15">
      <c r="A3191" s="166"/>
      <c r="B3191" s="93"/>
      <c r="C3191" s="70"/>
      <c r="D3191" s="70"/>
      <c r="E3191" s="70"/>
      <c r="F3191" s="70"/>
      <c r="G3191" s="70"/>
      <c r="H3191" s="93"/>
      <c r="I3191" s="85"/>
      <c r="J3191" s="98"/>
      <c r="K3191" s="131"/>
      <c r="L3191" s="73"/>
      <c r="M3191" s="35"/>
    </row>
    <row r="3192" spans="1:14" ht="16" x14ac:dyDescent="0.2">
      <c r="A3192" s="166"/>
      <c r="B3192" s="93"/>
      <c r="C3192" s="70"/>
      <c r="D3192" s="70"/>
      <c r="E3192" s="70"/>
      <c r="F3192" s="70"/>
      <c r="G3192" s="70"/>
      <c r="H3192" s="93"/>
      <c r="I3192" s="85"/>
      <c r="J3192" s="98"/>
      <c r="K3192" s="131"/>
      <c r="L3192" s="70"/>
      <c r="M3192" s="35"/>
      <c r="N3192" s="48"/>
    </row>
    <row r="3193" spans="1:14" x14ac:dyDescent="0.15">
      <c r="A3193" s="166"/>
      <c r="B3193" s="93"/>
      <c r="C3193" s="70"/>
      <c r="D3193" s="70"/>
      <c r="E3193" s="70"/>
      <c r="F3193" s="70"/>
      <c r="G3193" s="70"/>
      <c r="H3193" s="93"/>
      <c r="I3193" s="85"/>
      <c r="J3193" s="98"/>
      <c r="K3193" s="131"/>
      <c r="L3193" s="70"/>
      <c r="M3193" s="35"/>
    </row>
    <row r="3194" spans="1:14" x14ac:dyDescent="0.15">
      <c r="A3194" s="166"/>
      <c r="B3194" s="93"/>
      <c r="C3194" s="88"/>
      <c r="D3194" s="70"/>
      <c r="E3194" s="70"/>
      <c r="F3194" s="70"/>
      <c r="G3194" s="70"/>
      <c r="H3194" s="93"/>
      <c r="I3194" s="85"/>
      <c r="J3194" s="98"/>
      <c r="K3194" s="131"/>
      <c r="L3194" s="61"/>
      <c r="M3194" s="35"/>
    </row>
    <row r="3195" spans="1:14" x14ac:dyDescent="0.15">
      <c r="A3195" s="166"/>
      <c r="B3195" s="93"/>
      <c r="C3195" s="70"/>
      <c r="D3195" s="70"/>
      <c r="E3195" s="70"/>
      <c r="F3195" s="70"/>
      <c r="G3195" s="70"/>
      <c r="H3195" s="93"/>
      <c r="I3195" s="85"/>
      <c r="J3195" s="85"/>
      <c r="K3195" s="131"/>
      <c r="L3195" s="61"/>
      <c r="M3195" s="37"/>
    </row>
    <row r="3196" spans="1:14" x14ac:dyDescent="0.15">
      <c r="A3196" s="166"/>
      <c r="B3196" s="93"/>
      <c r="C3196" s="88"/>
      <c r="D3196" s="70"/>
      <c r="E3196" s="70"/>
      <c r="F3196" s="70"/>
      <c r="G3196" s="70"/>
      <c r="H3196" s="93"/>
      <c r="I3196" s="85"/>
      <c r="J3196" s="98"/>
      <c r="K3196" s="131"/>
      <c r="L3196" s="61"/>
      <c r="M3196" s="35"/>
    </row>
    <row r="3197" spans="1:14" ht="16" x14ac:dyDescent="0.2">
      <c r="A3197" s="166"/>
      <c r="B3197" s="93"/>
      <c r="C3197" s="88"/>
      <c r="D3197" s="70"/>
      <c r="E3197" s="70"/>
      <c r="F3197" s="70"/>
      <c r="G3197" s="70"/>
      <c r="H3197" s="93"/>
      <c r="I3197" s="85"/>
      <c r="J3197" s="98"/>
      <c r="K3197" s="131"/>
      <c r="L3197" s="61"/>
      <c r="M3197" s="35"/>
      <c r="N3197" s="48"/>
    </row>
    <row r="3198" spans="1:14" x14ac:dyDescent="0.15">
      <c r="A3198" s="166"/>
      <c r="B3198" s="93"/>
      <c r="C3198" s="88"/>
      <c r="D3198" s="70"/>
      <c r="E3198" s="70"/>
      <c r="F3198" s="70"/>
      <c r="G3198" s="70"/>
      <c r="H3198" s="93"/>
      <c r="I3198" s="85"/>
      <c r="J3198" s="98"/>
      <c r="K3198" s="131"/>
      <c r="L3198" s="61"/>
      <c r="M3198" s="35"/>
    </row>
    <row r="3199" spans="1:14" x14ac:dyDescent="0.15">
      <c r="A3199" s="166"/>
      <c r="B3199" s="93"/>
      <c r="C3199" s="88"/>
      <c r="D3199" s="70"/>
      <c r="E3199" s="70"/>
      <c r="F3199" s="70"/>
      <c r="G3199" s="70"/>
      <c r="H3199" s="93"/>
      <c r="I3199" s="85"/>
      <c r="J3199" s="98"/>
      <c r="K3199" s="131"/>
      <c r="L3199" s="61"/>
      <c r="M3199" s="35"/>
    </row>
    <row r="3200" spans="1:14" x14ac:dyDescent="0.15">
      <c r="A3200" s="166"/>
      <c r="B3200" s="93"/>
      <c r="C3200" s="88"/>
      <c r="D3200" s="70"/>
      <c r="E3200" s="70"/>
      <c r="F3200" s="70"/>
      <c r="G3200" s="70"/>
      <c r="H3200" s="93"/>
      <c r="I3200" s="85"/>
      <c r="J3200" s="98"/>
      <c r="K3200" s="131"/>
      <c r="L3200" s="61"/>
      <c r="M3200" s="35"/>
    </row>
    <row r="3201" spans="1:13" x14ac:dyDescent="0.15">
      <c r="A3201" s="166"/>
      <c r="B3201" s="93"/>
      <c r="C3201" s="88"/>
      <c r="D3201" s="70"/>
      <c r="E3201" s="70"/>
      <c r="F3201" s="70"/>
      <c r="G3201" s="70"/>
      <c r="H3201" s="93"/>
      <c r="I3201" s="85"/>
      <c r="J3201" s="98"/>
      <c r="K3201" s="135"/>
      <c r="L3201" s="61"/>
      <c r="M3201" s="35"/>
    </row>
    <row r="3202" spans="1:13" x14ac:dyDescent="0.15">
      <c r="A3202" s="166"/>
      <c r="B3202" s="93"/>
      <c r="C3202" s="88"/>
      <c r="D3202" s="70"/>
      <c r="E3202" s="70"/>
      <c r="F3202" s="70"/>
      <c r="G3202" s="70"/>
      <c r="H3202" s="93"/>
      <c r="I3202" s="85"/>
      <c r="J3202" s="98"/>
      <c r="K3202" s="131"/>
      <c r="L3202" s="61"/>
      <c r="M3202" s="35"/>
    </row>
    <row r="3203" spans="1:13" x14ac:dyDescent="0.15">
      <c r="A3203" s="167"/>
      <c r="B3203" s="87"/>
      <c r="C3203" s="88"/>
      <c r="D3203" s="86"/>
      <c r="E3203" s="86"/>
      <c r="F3203" s="86"/>
      <c r="G3203" s="86"/>
      <c r="H3203" s="87"/>
      <c r="I3203" s="85"/>
      <c r="J3203" s="89"/>
      <c r="K3203" s="132"/>
      <c r="L3203" s="61"/>
    </row>
    <row r="3204" spans="1:13" x14ac:dyDescent="0.15">
      <c r="A3204" s="166"/>
      <c r="B3204" s="82"/>
      <c r="C3204" s="70"/>
      <c r="D3204" s="70"/>
      <c r="E3204" s="70"/>
      <c r="F3204" s="70"/>
      <c r="G3204" s="70"/>
      <c r="H3204" s="93"/>
      <c r="I3204" s="85"/>
      <c r="J3204" s="85"/>
      <c r="K3204" s="131"/>
      <c r="L3204" s="60"/>
    </row>
    <row r="3205" spans="1:13" x14ac:dyDescent="0.15">
      <c r="A3205" s="166"/>
      <c r="B3205" s="82"/>
      <c r="C3205" s="70"/>
      <c r="D3205" s="70"/>
      <c r="E3205" s="70"/>
      <c r="F3205" s="70"/>
      <c r="G3205" s="70"/>
      <c r="H3205" s="93"/>
      <c r="I3205" s="85"/>
      <c r="J3205" s="85"/>
      <c r="K3205" s="131"/>
      <c r="L3205" s="60"/>
    </row>
    <row r="3206" spans="1:13" x14ac:dyDescent="0.15">
      <c r="A3206" s="166"/>
      <c r="B3206" s="82"/>
      <c r="C3206" s="70"/>
      <c r="D3206" s="70"/>
      <c r="E3206" s="70"/>
      <c r="F3206" s="70"/>
      <c r="G3206" s="70"/>
      <c r="H3206" s="93"/>
      <c r="I3206" s="85"/>
      <c r="J3206" s="85"/>
      <c r="K3206" s="131"/>
      <c r="L3206" s="60"/>
    </row>
    <row r="3207" spans="1:13" x14ac:dyDescent="0.15">
      <c r="A3207" s="166"/>
      <c r="B3207" s="82"/>
      <c r="C3207" s="73"/>
      <c r="D3207" s="73"/>
      <c r="E3207" s="70"/>
      <c r="F3207" s="73"/>
      <c r="G3207" s="73"/>
      <c r="H3207" s="108"/>
      <c r="I3207" s="85"/>
      <c r="J3207" s="95"/>
      <c r="K3207" s="131"/>
      <c r="L3207" s="60"/>
    </row>
    <row r="3208" spans="1:13" x14ac:dyDescent="0.15">
      <c r="A3208" s="166"/>
      <c r="B3208" s="82"/>
      <c r="C3208" s="70"/>
      <c r="D3208" s="70"/>
      <c r="E3208" s="70"/>
      <c r="F3208" s="70"/>
      <c r="G3208" s="70"/>
      <c r="H3208" s="93"/>
      <c r="I3208" s="85"/>
      <c r="J3208" s="85"/>
      <c r="K3208" s="131"/>
      <c r="L3208" s="60"/>
    </row>
    <row r="3209" spans="1:13" x14ac:dyDescent="0.15">
      <c r="A3209" s="166"/>
      <c r="B3209" s="82"/>
      <c r="C3209" s="70"/>
      <c r="D3209" s="70"/>
      <c r="E3209" s="70"/>
      <c r="F3209" s="70"/>
      <c r="G3209" s="70"/>
      <c r="H3209" s="93"/>
      <c r="I3209" s="85"/>
      <c r="J3209" s="85"/>
      <c r="K3209" s="131"/>
      <c r="L3209" s="60"/>
    </row>
    <row r="3210" spans="1:13" x14ac:dyDescent="0.15">
      <c r="A3210" s="166"/>
      <c r="B3210" s="82"/>
      <c r="C3210" s="70"/>
      <c r="D3210" s="70"/>
      <c r="E3210" s="70"/>
      <c r="F3210" s="70"/>
      <c r="G3210" s="70"/>
      <c r="H3210" s="93"/>
      <c r="I3210" s="85"/>
      <c r="J3210" s="85"/>
      <c r="K3210" s="131"/>
      <c r="L3210" s="60"/>
    </row>
    <row r="3211" spans="1:13" x14ac:dyDescent="0.15">
      <c r="A3211" s="166"/>
      <c r="B3211" s="82"/>
      <c r="C3211" s="70"/>
      <c r="D3211" s="70"/>
      <c r="E3211" s="70"/>
      <c r="F3211" s="70"/>
      <c r="G3211" s="70"/>
      <c r="H3211" s="93"/>
      <c r="I3211" s="85"/>
      <c r="J3211" s="85"/>
      <c r="K3211" s="141"/>
      <c r="L3211" s="60"/>
    </row>
    <row r="3212" spans="1:13" x14ac:dyDescent="0.15">
      <c r="A3212" s="166"/>
      <c r="B3212" s="82"/>
      <c r="C3212" s="70"/>
      <c r="D3212" s="70"/>
      <c r="E3212" s="70"/>
      <c r="F3212" s="70"/>
      <c r="G3212" s="70"/>
      <c r="H3212" s="93"/>
      <c r="I3212" s="85"/>
      <c r="J3212" s="85"/>
      <c r="K3212" s="131"/>
      <c r="L3212" s="60"/>
    </row>
    <row r="3213" spans="1:13" x14ac:dyDescent="0.15">
      <c r="A3213" s="166"/>
      <c r="B3213" s="82"/>
      <c r="C3213" s="70"/>
      <c r="D3213" s="70"/>
      <c r="E3213" s="70"/>
      <c r="F3213" s="70"/>
      <c r="G3213" s="70"/>
      <c r="H3213" s="93"/>
      <c r="I3213" s="85"/>
      <c r="J3213" s="85"/>
      <c r="K3213" s="131"/>
      <c r="L3213" s="60"/>
    </row>
    <row r="3214" spans="1:13" x14ac:dyDescent="0.15">
      <c r="A3214" s="166"/>
      <c r="B3214" s="82"/>
      <c r="C3214" s="70"/>
      <c r="D3214" s="70"/>
      <c r="E3214" s="70"/>
      <c r="F3214" s="70"/>
      <c r="G3214" s="70"/>
      <c r="H3214" s="93"/>
      <c r="I3214" s="85"/>
      <c r="J3214" s="85"/>
      <c r="K3214" s="131"/>
      <c r="L3214" s="60"/>
    </row>
    <row r="3215" spans="1:13" x14ac:dyDescent="0.15">
      <c r="A3215" s="166"/>
      <c r="B3215" s="82"/>
      <c r="C3215" s="70"/>
      <c r="D3215" s="70"/>
      <c r="E3215" s="70"/>
      <c r="F3215" s="70"/>
      <c r="G3215" s="70"/>
      <c r="H3215" s="93"/>
      <c r="I3215" s="85"/>
      <c r="J3215" s="85"/>
      <c r="K3215" s="131"/>
      <c r="L3215" s="60"/>
    </row>
    <row r="3216" spans="1:13" x14ac:dyDescent="0.15">
      <c r="A3216" s="166"/>
      <c r="B3216" s="82"/>
      <c r="C3216" s="70"/>
      <c r="D3216" s="70"/>
      <c r="E3216" s="70"/>
      <c r="F3216" s="70"/>
      <c r="G3216" s="70"/>
      <c r="H3216" s="93"/>
      <c r="I3216" s="85"/>
      <c r="J3216" s="85"/>
      <c r="K3216" s="131"/>
      <c r="L3216" s="60"/>
    </row>
    <row r="3217" spans="1:12" x14ac:dyDescent="0.15">
      <c r="A3217" s="166"/>
      <c r="B3217" s="82"/>
      <c r="C3217" s="70"/>
      <c r="D3217" s="70"/>
      <c r="E3217" s="70"/>
      <c r="F3217" s="70"/>
      <c r="G3217" s="70"/>
      <c r="H3217" s="93"/>
      <c r="I3217" s="85"/>
      <c r="J3217" s="85"/>
      <c r="K3217" s="131"/>
      <c r="L3217" s="60"/>
    </row>
    <row r="3218" spans="1:12" x14ac:dyDescent="0.15">
      <c r="A3218" s="166"/>
      <c r="B3218" s="82"/>
      <c r="C3218" s="70"/>
      <c r="D3218" s="70"/>
      <c r="E3218" s="70"/>
      <c r="F3218" s="70"/>
      <c r="G3218" s="70"/>
      <c r="H3218" s="93"/>
      <c r="I3218" s="85"/>
      <c r="J3218" s="85"/>
      <c r="K3218" s="131"/>
      <c r="L3218" s="60"/>
    </row>
    <row r="3219" spans="1:12" x14ac:dyDescent="0.15">
      <c r="A3219" s="166"/>
      <c r="B3219" s="82"/>
      <c r="C3219" s="70"/>
      <c r="D3219" s="70"/>
      <c r="E3219" s="70"/>
      <c r="F3219" s="70"/>
      <c r="G3219" s="70"/>
      <c r="H3219" s="93"/>
      <c r="I3219" s="85"/>
      <c r="J3219" s="85"/>
      <c r="K3219" s="131"/>
      <c r="L3219" s="60"/>
    </row>
    <row r="3220" spans="1:12" x14ac:dyDescent="0.15">
      <c r="A3220" s="166"/>
      <c r="B3220" s="82"/>
      <c r="C3220" s="70"/>
      <c r="D3220" s="70"/>
      <c r="E3220" s="70"/>
      <c r="F3220" s="70"/>
      <c r="G3220" s="70"/>
      <c r="H3220" s="93"/>
      <c r="I3220" s="85"/>
      <c r="J3220" s="85"/>
      <c r="K3220" s="131"/>
      <c r="L3220" s="60"/>
    </row>
    <row r="3221" spans="1:12" x14ac:dyDescent="0.15">
      <c r="A3221" s="166"/>
      <c r="B3221" s="82"/>
      <c r="C3221" s="70"/>
      <c r="D3221" s="70"/>
      <c r="E3221" s="70"/>
      <c r="F3221" s="70"/>
      <c r="G3221" s="70"/>
      <c r="H3221" s="93"/>
      <c r="I3221" s="85"/>
      <c r="J3221" s="85"/>
      <c r="K3221" s="131"/>
      <c r="L3221" s="60"/>
    </row>
    <row r="3222" spans="1:12" x14ac:dyDescent="0.15">
      <c r="A3222" s="166"/>
      <c r="B3222" s="82"/>
      <c r="C3222" s="70"/>
      <c r="D3222" s="70"/>
      <c r="E3222" s="70"/>
      <c r="F3222" s="70"/>
      <c r="G3222" s="70"/>
      <c r="H3222" s="93"/>
      <c r="I3222" s="85"/>
      <c r="J3222" s="85"/>
      <c r="K3222" s="131"/>
      <c r="L3222" s="60"/>
    </row>
    <row r="3223" spans="1:12" x14ac:dyDescent="0.15">
      <c r="A3223" s="166"/>
      <c r="B3223" s="82"/>
      <c r="C3223" s="70"/>
      <c r="D3223" s="70"/>
      <c r="E3223" s="70"/>
      <c r="F3223" s="70"/>
      <c r="G3223" s="70"/>
      <c r="H3223" s="93"/>
      <c r="I3223" s="85"/>
      <c r="J3223" s="85"/>
      <c r="K3223" s="131"/>
      <c r="L3223" s="60"/>
    </row>
    <row r="3224" spans="1:12" x14ac:dyDescent="0.15">
      <c r="A3224" s="166"/>
      <c r="B3224" s="82"/>
      <c r="C3224" s="70"/>
      <c r="D3224" s="70"/>
      <c r="E3224" s="70"/>
      <c r="F3224" s="70"/>
      <c r="G3224" s="70"/>
      <c r="H3224" s="93"/>
      <c r="I3224" s="85"/>
      <c r="J3224" s="85"/>
      <c r="K3224" s="131"/>
      <c r="L3224" s="60"/>
    </row>
    <row r="3225" spans="1:12" x14ac:dyDescent="0.15">
      <c r="A3225" s="166"/>
      <c r="B3225" s="82"/>
      <c r="C3225" s="70"/>
      <c r="D3225" s="70"/>
      <c r="E3225" s="70"/>
      <c r="F3225" s="70"/>
      <c r="G3225" s="70"/>
      <c r="H3225" s="93"/>
      <c r="I3225" s="85"/>
      <c r="J3225" s="85"/>
      <c r="K3225" s="141"/>
      <c r="L3225" s="60"/>
    </row>
    <row r="3226" spans="1:12" x14ac:dyDescent="0.15">
      <c r="A3226" s="166"/>
      <c r="B3226" s="82"/>
      <c r="C3226" s="70"/>
      <c r="D3226" s="70"/>
      <c r="E3226" s="70"/>
      <c r="F3226" s="70"/>
      <c r="G3226" s="70"/>
      <c r="H3226" s="93"/>
      <c r="I3226" s="85"/>
      <c r="J3226" s="85"/>
      <c r="K3226" s="131"/>
      <c r="L3226" s="60"/>
    </row>
    <row r="3227" spans="1:12" x14ac:dyDescent="0.15">
      <c r="A3227" s="166"/>
      <c r="B3227" s="82"/>
      <c r="C3227" s="70"/>
      <c r="D3227" s="70"/>
      <c r="E3227" s="70"/>
      <c r="F3227" s="70"/>
      <c r="G3227" s="70"/>
      <c r="H3227" s="93"/>
      <c r="I3227" s="85"/>
      <c r="J3227" s="85"/>
      <c r="K3227" s="131"/>
      <c r="L3227" s="67"/>
    </row>
    <row r="3228" spans="1:12" x14ac:dyDescent="0.15">
      <c r="A3228" s="166"/>
      <c r="B3228" s="82"/>
      <c r="C3228" s="70"/>
      <c r="D3228" s="70"/>
      <c r="E3228" s="70"/>
      <c r="F3228" s="70"/>
      <c r="G3228" s="70"/>
      <c r="H3228" s="93"/>
      <c r="I3228" s="85"/>
      <c r="J3228" s="85"/>
      <c r="K3228" s="131"/>
      <c r="L3228" s="60"/>
    </row>
    <row r="3229" spans="1:12" x14ac:dyDescent="0.15">
      <c r="A3229" s="166"/>
      <c r="B3229" s="93"/>
      <c r="C3229" s="70"/>
      <c r="D3229" s="70"/>
      <c r="E3229" s="70"/>
      <c r="F3229" s="70"/>
      <c r="G3229" s="70"/>
      <c r="H3229" s="93"/>
      <c r="I3229" s="85"/>
      <c r="J3229" s="85"/>
      <c r="K3229" s="131"/>
      <c r="L3229" s="60"/>
    </row>
    <row r="3230" spans="1:12" x14ac:dyDescent="0.15">
      <c r="A3230" s="166"/>
      <c r="B3230" s="82"/>
      <c r="C3230" s="70"/>
      <c r="D3230" s="70"/>
      <c r="E3230" s="70"/>
      <c r="F3230" s="70"/>
      <c r="G3230" s="70"/>
      <c r="H3230" s="93"/>
      <c r="I3230" s="85"/>
      <c r="J3230" s="85"/>
      <c r="K3230" s="131"/>
      <c r="L3230" s="60"/>
    </row>
    <row r="3231" spans="1:12" x14ac:dyDescent="0.15">
      <c r="A3231" s="166"/>
      <c r="B3231" s="82"/>
      <c r="C3231" s="70"/>
      <c r="D3231" s="70"/>
      <c r="E3231" s="70"/>
      <c r="F3231" s="70"/>
      <c r="G3231" s="70"/>
      <c r="H3231" s="93"/>
      <c r="I3231" s="85"/>
      <c r="J3231" s="85"/>
      <c r="K3231" s="131"/>
      <c r="L3231" s="60"/>
    </row>
    <row r="3232" spans="1:12" x14ac:dyDescent="0.15">
      <c r="A3232" s="166"/>
      <c r="B3232" s="82"/>
      <c r="C3232" s="70"/>
      <c r="D3232" s="70"/>
      <c r="E3232" s="70"/>
      <c r="F3232" s="70"/>
      <c r="G3232" s="70"/>
      <c r="H3232" s="93"/>
      <c r="I3232" s="85"/>
      <c r="J3232" s="85"/>
      <c r="K3232" s="131"/>
      <c r="L3232" s="60"/>
    </row>
    <row r="3233" spans="1:12" x14ac:dyDescent="0.15">
      <c r="A3233" s="166"/>
      <c r="B3233" s="82"/>
      <c r="C3233" s="70"/>
      <c r="D3233" s="70"/>
      <c r="E3233" s="70"/>
      <c r="F3233" s="70"/>
      <c r="G3233" s="70"/>
      <c r="H3233" s="93"/>
      <c r="I3233" s="85"/>
      <c r="J3233" s="85"/>
      <c r="K3233" s="131"/>
      <c r="L3233" s="60"/>
    </row>
    <row r="3234" spans="1:12" x14ac:dyDescent="0.15">
      <c r="A3234" s="166"/>
      <c r="B3234" s="82"/>
      <c r="C3234" s="70"/>
      <c r="D3234" s="70"/>
      <c r="E3234" s="70"/>
      <c r="F3234" s="70"/>
      <c r="G3234" s="70"/>
      <c r="H3234" s="93"/>
      <c r="I3234" s="85"/>
      <c r="J3234" s="85"/>
      <c r="K3234" s="131"/>
      <c r="L3234" s="60"/>
    </row>
    <row r="3235" spans="1:12" x14ac:dyDescent="0.15">
      <c r="A3235" s="166"/>
      <c r="B3235" s="82"/>
      <c r="C3235" s="70"/>
      <c r="D3235" s="70"/>
      <c r="E3235" s="70"/>
      <c r="F3235" s="70"/>
      <c r="G3235" s="70"/>
      <c r="H3235" s="93"/>
      <c r="I3235" s="85"/>
      <c r="J3235" s="85"/>
      <c r="K3235" s="131"/>
      <c r="L3235" s="60"/>
    </row>
    <row r="3236" spans="1:12" x14ac:dyDescent="0.15">
      <c r="A3236" s="166"/>
      <c r="B3236" s="82"/>
      <c r="C3236" s="70"/>
      <c r="D3236" s="70"/>
      <c r="E3236" s="70"/>
      <c r="F3236" s="70"/>
      <c r="G3236" s="70"/>
      <c r="H3236" s="93"/>
      <c r="I3236" s="85"/>
      <c r="J3236" s="85"/>
      <c r="K3236" s="131"/>
      <c r="L3236" s="60"/>
    </row>
    <row r="3237" spans="1:12" x14ac:dyDescent="0.15">
      <c r="A3237" s="166"/>
      <c r="B3237" s="82"/>
      <c r="C3237" s="70"/>
      <c r="D3237" s="70"/>
      <c r="E3237" s="70"/>
      <c r="F3237" s="70"/>
      <c r="G3237" s="70"/>
      <c r="H3237" s="93"/>
      <c r="I3237" s="85"/>
      <c r="J3237" s="85"/>
      <c r="K3237" s="131"/>
      <c r="L3237" s="60"/>
    </row>
    <row r="3238" spans="1:12" x14ac:dyDescent="0.15">
      <c r="A3238" s="166"/>
      <c r="B3238" s="82"/>
      <c r="C3238" s="70"/>
      <c r="D3238" s="70"/>
      <c r="E3238" s="70"/>
      <c r="F3238" s="70"/>
      <c r="G3238" s="70"/>
      <c r="H3238" s="93"/>
      <c r="I3238" s="85"/>
      <c r="J3238" s="85"/>
      <c r="K3238" s="131"/>
      <c r="L3238" s="60"/>
    </row>
    <row r="3239" spans="1:12" x14ac:dyDescent="0.15">
      <c r="A3239" s="166"/>
      <c r="B3239" s="82"/>
      <c r="C3239" s="70"/>
      <c r="D3239" s="70"/>
      <c r="E3239" s="70"/>
      <c r="F3239" s="70"/>
      <c r="G3239" s="70"/>
      <c r="H3239" s="93"/>
      <c r="I3239" s="85"/>
      <c r="J3239" s="85"/>
      <c r="K3239" s="131"/>
      <c r="L3239" s="60"/>
    </row>
    <row r="3240" spans="1:12" x14ac:dyDescent="0.15">
      <c r="A3240" s="166"/>
      <c r="B3240" s="93"/>
      <c r="C3240" s="70"/>
      <c r="D3240" s="70"/>
      <c r="E3240" s="70"/>
      <c r="F3240" s="70"/>
      <c r="G3240" s="70"/>
      <c r="H3240" s="93"/>
      <c r="I3240" s="85"/>
      <c r="J3240" s="85"/>
      <c r="K3240" s="131"/>
      <c r="L3240" s="60"/>
    </row>
    <row r="3241" spans="1:12" x14ac:dyDescent="0.15">
      <c r="A3241" s="166"/>
      <c r="B3241" s="82"/>
      <c r="C3241" s="70"/>
      <c r="D3241" s="70"/>
      <c r="E3241" s="70"/>
      <c r="F3241" s="70"/>
      <c r="G3241" s="70"/>
      <c r="H3241" s="93"/>
      <c r="I3241" s="85"/>
      <c r="J3241" s="85"/>
      <c r="K3241" s="131"/>
      <c r="L3241" s="67"/>
    </row>
    <row r="3242" spans="1:12" x14ac:dyDescent="0.15">
      <c r="A3242" s="166"/>
      <c r="B3242" s="93"/>
      <c r="C3242" s="70"/>
      <c r="D3242" s="70"/>
      <c r="E3242" s="70"/>
      <c r="F3242" s="70"/>
      <c r="G3242" s="70"/>
      <c r="H3242" s="93"/>
      <c r="I3242" s="85"/>
      <c r="J3242" s="85"/>
      <c r="K3242" s="131"/>
      <c r="L3242" s="60"/>
    </row>
    <row r="3243" spans="1:12" x14ac:dyDescent="0.15">
      <c r="A3243" s="166"/>
      <c r="B3243" s="93"/>
      <c r="C3243" s="70"/>
      <c r="D3243" s="70"/>
      <c r="E3243" s="70"/>
      <c r="F3243" s="70"/>
      <c r="G3243" s="70"/>
      <c r="H3243" s="93"/>
      <c r="I3243" s="85"/>
      <c r="J3243" s="85"/>
      <c r="K3243" s="131"/>
      <c r="L3243" s="60"/>
    </row>
    <row r="3244" spans="1:12" x14ac:dyDescent="0.15">
      <c r="A3244" s="166"/>
      <c r="B3244" s="82"/>
      <c r="C3244" s="70"/>
      <c r="D3244" s="70"/>
      <c r="E3244" s="70"/>
      <c r="F3244" s="70"/>
      <c r="G3244" s="70"/>
      <c r="H3244" s="93"/>
      <c r="I3244" s="85"/>
      <c r="J3244" s="85"/>
      <c r="K3244" s="131"/>
      <c r="L3244" s="60"/>
    </row>
    <row r="3245" spans="1:12" x14ac:dyDescent="0.15">
      <c r="A3245" s="166"/>
      <c r="B3245" s="82"/>
      <c r="C3245" s="70"/>
      <c r="D3245" s="70"/>
      <c r="E3245" s="70"/>
      <c r="F3245" s="70"/>
      <c r="G3245" s="70"/>
      <c r="H3245" s="93"/>
      <c r="I3245" s="85"/>
      <c r="J3245" s="85"/>
      <c r="K3245" s="131"/>
      <c r="L3245" s="60"/>
    </row>
    <row r="3246" spans="1:12" x14ac:dyDescent="0.15">
      <c r="A3246" s="166"/>
      <c r="B3246" s="82"/>
      <c r="C3246" s="70"/>
      <c r="D3246" s="70"/>
      <c r="E3246" s="70"/>
      <c r="F3246" s="70"/>
      <c r="G3246" s="70"/>
      <c r="H3246" s="93"/>
      <c r="I3246" s="85"/>
      <c r="J3246" s="85"/>
      <c r="K3246" s="131"/>
      <c r="L3246" s="60"/>
    </row>
    <row r="3247" spans="1:12" x14ac:dyDescent="0.15">
      <c r="A3247" s="166"/>
      <c r="B3247" s="82"/>
      <c r="C3247" s="70"/>
      <c r="D3247" s="70"/>
      <c r="E3247" s="70"/>
      <c r="F3247" s="70"/>
      <c r="G3247" s="70"/>
      <c r="H3247" s="93"/>
      <c r="I3247" s="85"/>
      <c r="J3247" s="85"/>
      <c r="K3247" s="131"/>
      <c r="L3247" s="60"/>
    </row>
    <row r="3248" spans="1:12" x14ac:dyDescent="0.15">
      <c r="A3248" s="166"/>
      <c r="B3248" s="82"/>
      <c r="C3248" s="70"/>
      <c r="D3248" s="70"/>
      <c r="E3248" s="70"/>
      <c r="F3248" s="70"/>
      <c r="G3248" s="70"/>
      <c r="H3248" s="93"/>
      <c r="I3248" s="85"/>
      <c r="J3248" s="85"/>
      <c r="K3248" s="131"/>
      <c r="L3248" s="67"/>
    </row>
    <row r="3249" spans="1:15" x14ac:dyDescent="0.15">
      <c r="A3249" s="166"/>
      <c r="B3249" s="82"/>
      <c r="C3249" s="70"/>
      <c r="D3249" s="70"/>
      <c r="E3249" s="70"/>
      <c r="F3249" s="70"/>
      <c r="G3249" s="70"/>
      <c r="H3249" s="93"/>
      <c r="I3249" s="85"/>
      <c r="J3249" s="85"/>
      <c r="K3249" s="131"/>
      <c r="L3249" s="60"/>
    </row>
    <row r="3250" spans="1:15" x14ac:dyDescent="0.15">
      <c r="A3250" s="166"/>
      <c r="B3250" s="93"/>
      <c r="C3250" s="70"/>
      <c r="D3250" s="70"/>
      <c r="E3250" s="70"/>
      <c r="F3250" s="70"/>
      <c r="G3250" s="70"/>
      <c r="H3250" s="93"/>
      <c r="I3250" s="85"/>
      <c r="J3250" s="85"/>
      <c r="K3250" s="131"/>
      <c r="L3250" s="60"/>
    </row>
    <row r="3251" spans="1:15" x14ac:dyDescent="0.15">
      <c r="A3251" s="166"/>
      <c r="B3251" s="82"/>
      <c r="C3251" s="70"/>
      <c r="D3251" s="70"/>
      <c r="E3251" s="70"/>
      <c r="F3251" s="70"/>
      <c r="G3251" s="70"/>
      <c r="H3251" s="93"/>
      <c r="I3251" s="85"/>
      <c r="J3251" s="85"/>
      <c r="K3251" s="131"/>
      <c r="L3251" s="60"/>
      <c r="N3251" s="49"/>
    </row>
    <row r="3252" spans="1:15" ht="16" x14ac:dyDescent="0.2">
      <c r="A3252" s="166"/>
      <c r="B3252" s="82"/>
      <c r="C3252" s="70"/>
      <c r="D3252" s="70"/>
      <c r="E3252" s="70"/>
      <c r="F3252" s="70"/>
      <c r="G3252" s="70"/>
      <c r="H3252" s="93"/>
      <c r="I3252" s="85"/>
      <c r="J3252" s="85"/>
      <c r="K3252" s="131"/>
      <c r="L3252" s="60"/>
      <c r="N3252" s="48"/>
    </row>
    <row r="3253" spans="1:15" x14ac:dyDescent="0.15">
      <c r="A3253" s="166"/>
      <c r="B3253" s="82"/>
      <c r="C3253" s="70"/>
      <c r="D3253" s="70"/>
      <c r="E3253" s="70"/>
      <c r="F3253" s="70"/>
      <c r="G3253" s="70"/>
      <c r="H3253" s="93"/>
      <c r="I3253" s="85"/>
      <c r="J3253" s="85"/>
      <c r="K3253" s="131"/>
      <c r="L3253" s="60"/>
    </row>
    <row r="3254" spans="1:15" x14ac:dyDescent="0.15">
      <c r="A3254" s="166"/>
      <c r="B3254" s="82"/>
      <c r="C3254" s="70"/>
      <c r="D3254" s="70"/>
      <c r="E3254" s="70"/>
      <c r="F3254" s="70"/>
      <c r="G3254" s="70"/>
      <c r="H3254" s="93"/>
      <c r="I3254" s="85"/>
      <c r="J3254" s="85"/>
      <c r="K3254" s="131"/>
      <c r="L3254" s="60"/>
    </row>
    <row r="3255" spans="1:15" x14ac:dyDescent="0.15">
      <c r="A3255" s="166"/>
      <c r="B3255" s="82"/>
      <c r="C3255" s="70"/>
      <c r="D3255" s="70"/>
      <c r="E3255" s="70"/>
      <c r="F3255" s="70"/>
      <c r="G3255" s="70"/>
      <c r="H3255" s="93"/>
      <c r="I3255" s="85"/>
      <c r="J3255" s="85"/>
      <c r="K3255" s="131"/>
      <c r="L3255" s="67"/>
    </row>
    <row r="3256" spans="1:15" x14ac:dyDescent="0.15">
      <c r="A3256" s="166"/>
      <c r="B3256" s="82"/>
      <c r="C3256" s="70"/>
      <c r="D3256" s="70"/>
      <c r="E3256" s="70"/>
      <c r="F3256" s="70"/>
      <c r="G3256" s="70"/>
      <c r="H3256" s="93"/>
      <c r="I3256" s="85"/>
      <c r="J3256" s="85"/>
      <c r="K3256" s="131"/>
      <c r="L3256" s="60"/>
    </row>
    <row r="3257" spans="1:15" x14ac:dyDescent="0.15">
      <c r="A3257" s="166"/>
      <c r="B3257" s="82"/>
      <c r="C3257" s="70"/>
      <c r="D3257" s="70"/>
      <c r="E3257" s="70"/>
      <c r="F3257" s="70"/>
      <c r="G3257" s="70"/>
      <c r="H3257" s="93"/>
      <c r="I3257" s="85"/>
      <c r="J3257" s="85"/>
      <c r="K3257" s="131"/>
      <c r="L3257" s="60"/>
    </row>
    <row r="3258" spans="1:15" x14ac:dyDescent="0.15">
      <c r="A3258" s="166"/>
      <c r="B3258" s="82"/>
      <c r="C3258" s="70"/>
      <c r="D3258" s="70"/>
      <c r="E3258" s="70"/>
      <c r="F3258" s="70"/>
      <c r="G3258" s="70"/>
      <c r="H3258" s="93"/>
      <c r="I3258" s="85"/>
      <c r="J3258" s="85"/>
      <c r="K3258" s="131"/>
      <c r="L3258" s="60"/>
    </row>
    <row r="3259" spans="1:15" x14ac:dyDescent="0.15">
      <c r="A3259" s="166"/>
      <c r="B3259" s="82"/>
      <c r="C3259" s="70"/>
      <c r="D3259" s="70"/>
      <c r="E3259" s="70"/>
      <c r="F3259" s="70"/>
      <c r="G3259" s="70"/>
      <c r="H3259" s="93"/>
      <c r="I3259" s="85"/>
      <c r="J3259" s="85"/>
      <c r="K3259" s="131"/>
      <c r="L3259" s="60"/>
      <c r="O3259" s="49"/>
    </row>
    <row r="3260" spans="1:15" x14ac:dyDescent="0.15">
      <c r="A3260" s="166"/>
      <c r="B3260" s="82"/>
      <c r="C3260" s="70"/>
      <c r="D3260" s="70"/>
      <c r="E3260" s="70"/>
      <c r="F3260" s="70"/>
      <c r="G3260" s="70"/>
      <c r="H3260" s="93"/>
      <c r="I3260" s="85"/>
      <c r="J3260" s="85"/>
      <c r="K3260" s="131"/>
      <c r="L3260" s="60"/>
    </row>
    <row r="3261" spans="1:15" x14ac:dyDescent="0.15">
      <c r="A3261" s="166"/>
      <c r="B3261" s="82"/>
      <c r="C3261" s="70"/>
      <c r="D3261" s="70"/>
      <c r="E3261" s="70"/>
      <c r="F3261" s="70"/>
      <c r="G3261" s="70"/>
      <c r="H3261" s="93"/>
      <c r="I3261" s="85"/>
      <c r="J3261" s="85"/>
      <c r="K3261" s="131"/>
      <c r="L3261" s="60"/>
    </row>
    <row r="3262" spans="1:15" x14ac:dyDescent="0.15">
      <c r="A3262" s="166"/>
      <c r="B3262" s="82"/>
      <c r="C3262" s="70"/>
      <c r="D3262" s="70"/>
      <c r="E3262" s="70"/>
      <c r="F3262" s="70"/>
      <c r="G3262" s="70"/>
      <c r="H3262" s="93"/>
      <c r="I3262" s="85"/>
      <c r="J3262" s="85"/>
      <c r="K3262" s="131"/>
      <c r="L3262" s="60"/>
    </row>
    <row r="3263" spans="1:15" x14ac:dyDescent="0.15">
      <c r="A3263" s="166"/>
      <c r="B3263" s="82"/>
      <c r="C3263" s="70"/>
      <c r="D3263" s="70"/>
      <c r="E3263" s="70"/>
      <c r="F3263" s="70"/>
      <c r="G3263" s="70"/>
      <c r="H3263" s="93"/>
      <c r="I3263" s="85"/>
      <c r="J3263" s="85"/>
      <c r="K3263" s="131"/>
      <c r="L3263" s="60"/>
    </row>
    <row r="3264" spans="1:15" x14ac:dyDescent="0.15">
      <c r="A3264" s="166"/>
      <c r="B3264" s="82"/>
      <c r="C3264" s="70"/>
      <c r="D3264" s="70"/>
      <c r="E3264" s="70"/>
      <c r="F3264" s="70"/>
      <c r="G3264" s="70"/>
      <c r="H3264" s="93"/>
      <c r="I3264" s="85"/>
      <c r="J3264" s="85"/>
      <c r="K3264" s="131"/>
      <c r="L3264" s="60"/>
    </row>
    <row r="3265" spans="1:16" x14ac:dyDescent="0.15">
      <c r="A3265" s="166"/>
      <c r="B3265" s="82"/>
      <c r="C3265" s="70"/>
      <c r="D3265" s="70"/>
      <c r="E3265" s="70"/>
      <c r="F3265" s="70"/>
      <c r="G3265" s="70"/>
      <c r="H3265" s="93"/>
      <c r="I3265" s="85"/>
      <c r="J3265" s="85"/>
      <c r="K3265" s="131"/>
      <c r="L3265" s="60"/>
    </row>
    <row r="3266" spans="1:16" x14ac:dyDescent="0.15">
      <c r="A3266" s="166"/>
      <c r="B3266" s="82"/>
      <c r="C3266" s="70"/>
      <c r="D3266" s="70"/>
      <c r="E3266" s="70"/>
      <c r="F3266" s="70"/>
      <c r="G3266" s="70"/>
      <c r="H3266" s="93"/>
      <c r="I3266" s="85"/>
      <c r="J3266" s="85"/>
      <c r="K3266" s="131"/>
      <c r="L3266" s="60"/>
    </row>
    <row r="3267" spans="1:16" ht="16" x14ac:dyDescent="0.2">
      <c r="A3267" s="166"/>
      <c r="B3267" s="82"/>
      <c r="C3267" s="70"/>
      <c r="D3267" s="70"/>
      <c r="E3267" s="70"/>
      <c r="F3267" s="70"/>
      <c r="G3267" s="70"/>
      <c r="H3267" s="93"/>
      <c r="I3267" s="85"/>
      <c r="J3267" s="85"/>
      <c r="K3267" s="131"/>
      <c r="L3267" s="60"/>
      <c r="M3267" s="47"/>
    </row>
    <row r="3268" spans="1:16" ht="16" x14ac:dyDescent="0.2">
      <c r="A3268" s="166"/>
      <c r="B3268" s="93"/>
      <c r="C3268" s="70"/>
      <c r="D3268" s="70"/>
      <c r="E3268" s="70"/>
      <c r="F3268" s="70"/>
      <c r="G3268" s="70"/>
      <c r="H3268" s="93"/>
      <c r="I3268" s="85"/>
      <c r="J3268" s="85"/>
      <c r="K3268" s="131"/>
      <c r="L3268" s="60"/>
      <c r="M3268" s="47"/>
    </row>
    <row r="3269" spans="1:16" x14ac:dyDescent="0.15">
      <c r="A3269" s="166"/>
      <c r="B3269" s="93"/>
      <c r="C3269" s="70"/>
      <c r="D3269" s="70"/>
      <c r="E3269" s="70"/>
      <c r="F3269" s="70"/>
      <c r="G3269" s="70"/>
      <c r="H3269" s="93"/>
      <c r="I3269" s="85"/>
      <c r="J3269" s="85"/>
      <c r="K3269" s="131"/>
      <c r="L3269" s="60"/>
    </row>
    <row r="3270" spans="1:16" x14ac:dyDescent="0.15">
      <c r="A3270" s="166"/>
      <c r="B3270" s="82"/>
      <c r="C3270" s="70"/>
      <c r="D3270" s="70"/>
      <c r="E3270" s="70"/>
      <c r="F3270" s="70"/>
      <c r="G3270" s="70"/>
      <c r="H3270" s="93"/>
      <c r="I3270" s="85"/>
      <c r="J3270" s="85"/>
      <c r="K3270" s="131"/>
      <c r="L3270" s="60"/>
    </row>
    <row r="3271" spans="1:16" x14ac:dyDescent="0.15">
      <c r="A3271" s="166"/>
      <c r="B3271" s="93"/>
      <c r="C3271" s="70"/>
      <c r="D3271" s="70"/>
      <c r="E3271" s="70"/>
      <c r="F3271" s="70"/>
      <c r="G3271" s="70"/>
      <c r="H3271" s="93"/>
      <c r="I3271" s="85"/>
      <c r="J3271" s="85"/>
      <c r="K3271" s="131"/>
      <c r="L3271" s="60"/>
      <c r="M3271" s="33"/>
    </row>
    <row r="3272" spans="1:16" x14ac:dyDescent="0.15">
      <c r="A3272" s="166"/>
      <c r="B3272" s="93"/>
      <c r="C3272" s="70"/>
      <c r="D3272" s="70"/>
      <c r="E3272" s="70"/>
      <c r="F3272" s="70"/>
      <c r="G3272" s="70"/>
      <c r="H3272" s="93"/>
      <c r="I3272" s="85"/>
      <c r="J3272" s="85"/>
      <c r="K3272" s="131"/>
      <c r="L3272" s="60"/>
      <c r="M3272" s="33"/>
    </row>
    <row r="3273" spans="1:16" x14ac:dyDescent="0.15">
      <c r="A3273" s="166"/>
      <c r="B3273" s="93"/>
      <c r="C3273" s="70"/>
      <c r="D3273" s="70"/>
      <c r="E3273" s="70"/>
      <c r="F3273" s="70"/>
      <c r="G3273" s="70"/>
      <c r="H3273" s="93"/>
      <c r="I3273" s="85"/>
      <c r="J3273" s="85"/>
      <c r="K3273" s="131"/>
      <c r="L3273" s="60"/>
    </row>
    <row r="3274" spans="1:16" x14ac:dyDescent="0.15">
      <c r="A3274" s="166"/>
      <c r="B3274" s="93"/>
      <c r="C3274" s="70"/>
      <c r="D3274" s="70"/>
      <c r="E3274" s="70"/>
      <c r="F3274" s="70"/>
      <c r="G3274" s="70"/>
      <c r="H3274" s="93"/>
      <c r="I3274" s="85"/>
      <c r="J3274" s="85"/>
      <c r="K3274" s="131"/>
      <c r="L3274" s="60"/>
      <c r="M3274" s="33"/>
    </row>
    <row r="3275" spans="1:16" x14ac:dyDescent="0.15">
      <c r="A3275" s="166"/>
      <c r="B3275" s="93"/>
      <c r="C3275" s="70"/>
      <c r="D3275" s="70"/>
      <c r="E3275" s="70"/>
      <c r="F3275" s="70"/>
      <c r="G3275" s="70"/>
      <c r="H3275" s="93"/>
      <c r="I3275" s="85"/>
      <c r="J3275" s="85"/>
      <c r="K3275" s="131"/>
      <c r="L3275" s="60"/>
    </row>
    <row r="3276" spans="1:16" ht="16" x14ac:dyDescent="0.2">
      <c r="A3276" s="166"/>
      <c r="B3276" s="93"/>
      <c r="C3276" s="70"/>
      <c r="D3276" s="70"/>
      <c r="E3276" s="70"/>
      <c r="F3276" s="70"/>
      <c r="G3276" s="70"/>
      <c r="H3276" s="93"/>
      <c r="I3276" s="85"/>
      <c r="J3276" s="85"/>
      <c r="K3276" s="131"/>
      <c r="L3276" s="60"/>
      <c r="M3276" s="47"/>
    </row>
    <row r="3277" spans="1:16" x14ac:dyDescent="0.15">
      <c r="A3277" s="166"/>
      <c r="B3277" s="93"/>
      <c r="C3277" s="70"/>
      <c r="D3277" s="70"/>
      <c r="E3277" s="70"/>
      <c r="F3277" s="70"/>
      <c r="G3277" s="70"/>
      <c r="H3277" s="93"/>
      <c r="I3277" s="85"/>
      <c r="J3277" s="95"/>
      <c r="K3277" s="131"/>
      <c r="L3277" s="60"/>
    </row>
    <row r="3278" spans="1:16" x14ac:dyDescent="0.15">
      <c r="A3278" s="166"/>
      <c r="B3278" s="82"/>
      <c r="C3278" s="70"/>
      <c r="D3278" s="70"/>
      <c r="E3278" s="70"/>
      <c r="F3278" s="70"/>
      <c r="G3278" s="70"/>
      <c r="H3278" s="93"/>
      <c r="I3278" s="85"/>
      <c r="J3278" s="85"/>
      <c r="K3278" s="131"/>
      <c r="L3278" s="60"/>
      <c r="P3278" s="33"/>
    </row>
    <row r="3279" spans="1:16" x14ac:dyDescent="0.15">
      <c r="A3279" s="166"/>
      <c r="B3279" s="82"/>
      <c r="C3279" s="70"/>
      <c r="D3279" s="70"/>
      <c r="E3279" s="70"/>
      <c r="F3279" s="70"/>
      <c r="G3279" s="70"/>
      <c r="H3279" s="93"/>
      <c r="I3279" s="85"/>
      <c r="J3279" s="85"/>
      <c r="K3279" s="131"/>
      <c r="L3279" s="60"/>
    </row>
    <row r="3280" spans="1:16" x14ac:dyDescent="0.15">
      <c r="A3280" s="166"/>
      <c r="B3280" s="93"/>
      <c r="C3280" s="70"/>
      <c r="D3280" s="70"/>
      <c r="E3280" s="70"/>
      <c r="F3280" s="70"/>
      <c r="G3280" s="70"/>
      <c r="H3280" s="93"/>
      <c r="I3280" s="85"/>
      <c r="J3280" s="85"/>
      <c r="K3280" s="131"/>
      <c r="L3280" s="60"/>
      <c r="M3280" s="33"/>
    </row>
    <row r="3281" spans="1:14" x14ac:dyDescent="0.15">
      <c r="A3281" s="166"/>
      <c r="B3281" s="82"/>
      <c r="C3281" s="70"/>
      <c r="D3281" s="70"/>
      <c r="E3281" s="70"/>
      <c r="F3281" s="70"/>
      <c r="G3281" s="70"/>
      <c r="H3281" s="93"/>
      <c r="I3281" s="85"/>
      <c r="J3281" s="85"/>
      <c r="K3281" s="131"/>
      <c r="L3281" s="60"/>
    </row>
    <row r="3282" spans="1:14" x14ac:dyDescent="0.15">
      <c r="A3282" s="166"/>
      <c r="B3282" s="93"/>
      <c r="C3282" s="70"/>
      <c r="D3282" s="70"/>
      <c r="E3282" s="70"/>
      <c r="F3282" s="70"/>
      <c r="G3282" s="70"/>
      <c r="H3282" s="93"/>
      <c r="I3282" s="85"/>
      <c r="J3282" s="85"/>
      <c r="K3282" s="131"/>
      <c r="L3282" s="60"/>
      <c r="M3282" s="33"/>
      <c r="N3282" s="32"/>
    </row>
    <row r="3283" spans="1:14" x14ac:dyDescent="0.15">
      <c r="A3283" s="166"/>
      <c r="B3283" s="93"/>
      <c r="C3283" s="70"/>
      <c r="D3283" s="70"/>
      <c r="E3283" s="70"/>
      <c r="F3283" s="70"/>
      <c r="G3283" s="70"/>
      <c r="H3283" s="93"/>
      <c r="I3283" s="85"/>
      <c r="J3283" s="85"/>
      <c r="K3283" s="131"/>
      <c r="L3283" s="60"/>
      <c r="M3283" s="33"/>
    </row>
    <row r="3284" spans="1:14" x14ac:dyDescent="0.15">
      <c r="A3284" s="166"/>
      <c r="B3284" s="82"/>
      <c r="C3284" s="70"/>
      <c r="D3284" s="70"/>
      <c r="E3284" s="70"/>
      <c r="F3284" s="70"/>
      <c r="G3284" s="70"/>
      <c r="H3284" s="93"/>
      <c r="I3284" s="85"/>
      <c r="J3284" s="85"/>
      <c r="K3284" s="131"/>
      <c r="L3284" s="60"/>
      <c r="M3284" s="33"/>
    </row>
    <row r="3285" spans="1:14" x14ac:dyDescent="0.15">
      <c r="A3285" s="166"/>
      <c r="B3285" s="82"/>
      <c r="C3285" s="70"/>
      <c r="D3285" s="70"/>
      <c r="E3285" s="70"/>
      <c r="F3285" s="70"/>
      <c r="G3285" s="70"/>
      <c r="H3285" s="93"/>
      <c r="I3285" s="85"/>
      <c r="J3285" s="85"/>
      <c r="K3285" s="131"/>
      <c r="L3285" s="60"/>
      <c r="M3285" s="33"/>
      <c r="N3285" s="32"/>
    </row>
    <row r="3286" spans="1:14" x14ac:dyDescent="0.15">
      <c r="A3286" s="166"/>
      <c r="B3286" s="82"/>
      <c r="C3286" s="70"/>
      <c r="D3286" s="70"/>
      <c r="E3286" s="70"/>
      <c r="F3286" s="70"/>
      <c r="G3286" s="70"/>
      <c r="H3286" s="93"/>
      <c r="I3286" s="85"/>
      <c r="J3286" s="85"/>
      <c r="K3286" s="131"/>
      <c r="L3286" s="60"/>
    </row>
    <row r="3287" spans="1:14" x14ac:dyDescent="0.15">
      <c r="A3287" s="166"/>
      <c r="B3287" s="93"/>
      <c r="C3287" s="70"/>
      <c r="D3287" s="70"/>
      <c r="E3287" s="70"/>
      <c r="F3287" s="70"/>
      <c r="G3287" s="70"/>
      <c r="H3287" s="93"/>
      <c r="I3287" s="85"/>
      <c r="J3287" s="85"/>
      <c r="K3287" s="131"/>
      <c r="L3287" s="60"/>
    </row>
    <row r="3288" spans="1:14" x14ac:dyDescent="0.15">
      <c r="A3288" s="166"/>
      <c r="B3288" s="82"/>
      <c r="C3288" s="70"/>
      <c r="D3288" s="70"/>
      <c r="E3288" s="70"/>
      <c r="F3288" s="70"/>
      <c r="G3288" s="70"/>
      <c r="H3288" s="93"/>
      <c r="I3288" s="85"/>
      <c r="J3288" s="85"/>
      <c r="K3288" s="131"/>
      <c r="L3288" s="60"/>
    </row>
    <row r="3289" spans="1:14" x14ac:dyDescent="0.15">
      <c r="A3289" s="166"/>
      <c r="B3289" s="93"/>
      <c r="C3289" s="70"/>
      <c r="D3289" s="70"/>
      <c r="E3289" s="70"/>
      <c r="F3289" s="70"/>
      <c r="G3289" s="70"/>
      <c r="H3289" s="93"/>
      <c r="I3289" s="85"/>
      <c r="J3289" s="85"/>
      <c r="K3289" s="131"/>
      <c r="L3289" s="60"/>
      <c r="N3289" s="32"/>
    </row>
    <row r="3290" spans="1:14" ht="16" x14ac:dyDescent="0.2">
      <c r="A3290" s="166"/>
      <c r="B3290" s="82"/>
      <c r="C3290" s="70"/>
      <c r="D3290" s="70"/>
      <c r="E3290" s="70"/>
      <c r="F3290" s="70"/>
      <c r="G3290" s="70"/>
      <c r="H3290" s="93"/>
      <c r="I3290" s="85"/>
      <c r="J3290" s="85"/>
      <c r="K3290" s="131"/>
      <c r="L3290" s="60"/>
      <c r="M3290" s="47"/>
    </row>
    <row r="3291" spans="1:14" x14ac:dyDescent="0.15">
      <c r="A3291" s="166"/>
      <c r="B3291" s="82"/>
      <c r="C3291" s="70"/>
      <c r="D3291" s="70"/>
      <c r="E3291" s="70"/>
      <c r="F3291" s="70"/>
      <c r="G3291" s="70"/>
      <c r="H3291" s="93"/>
      <c r="I3291" s="85"/>
      <c r="J3291" s="85"/>
      <c r="K3291" s="131"/>
      <c r="L3291" s="60"/>
      <c r="N3291" s="32"/>
    </row>
    <row r="3292" spans="1:14" x14ac:dyDescent="0.15">
      <c r="A3292" s="166"/>
      <c r="B3292" s="93"/>
      <c r="C3292" s="70"/>
      <c r="D3292" s="70"/>
      <c r="E3292" s="70"/>
      <c r="F3292" s="70"/>
      <c r="G3292" s="70"/>
      <c r="H3292" s="93"/>
      <c r="I3292" s="85"/>
      <c r="J3292" s="85"/>
      <c r="K3292" s="131"/>
      <c r="L3292" s="60"/>
      <c r="M3292" s="33"/>
    </row>
    <row r="3293" spans="1:14" ht="16" x14ac:dyDescent="0.2">
      <c r="A3293" s="166"/>
      <c r="B3293" s="93"/>
      <c r="C3293" s="70"/>
      <c r="D3293" s="70"/>
      <c r="E3293" s="70"/>
      <c r="F3293" s="70"/>
      <c r="G3293" s="70"/>
      <c r="H3293" s="93"/>
      <c r="I3293" s="85"/>
      <c r="J3293" s="85"/>
      <c r="K3293" s="131"/>
      <c r="L3293" s="60"/>
      <c r="M3293" s="47"/>
    </row>
    <row r="3294" spans="1:14" x14ac:dyDescent="0.15">
      <c r="A3294" s="166"/>
      <c r="B3294" s="82"/>
      <c r="C3294" s="70"/>
      <c r="D3294" s="70"/>
      <c r="E3294" s="70"/>
      <c r="F3294" s="70"/>
      <c r="G3294" s="70"/>
      <c r="H3294" s="93"/>
      <c r="I3294" s="85"/>
      <c r="J3294" s="85"/>
      <c r="K3294" s="131"/>
      <c r="L3294" s="60"/>
    </row>
    <row r="3295" spans="1:14" x14ac:dyDescent="0.15">
      <c r="A3295" s="166"/>
      <c r="B3295" s="82"/>
      <c r="C3295" s="70"/>
      <c r="D3295" s="70"/>
      <c r="E3295" s="70"/>
      <c r="F3295" s="70"/>
      <c r="G3295" s="70"/>
      <c r="H3295" s="93"/>
      <c r="I3295" s="85"/>
      <c r="J3295" s="85"/>
      <c r="K3295" s="131"/>
      <c r="L3295" s="60"/>
    </row>
    <row r="3296" spans="1:14" x14ac:dyDescent="0.15">
      <c r="A3296" s="166"/>
      <c r="B3296" s="82"/>
      <c r="C3296" s="70"/>
      <c r="D3296" s="70"/>
      <c r="E3296" s="70"/>
      <c r="F3296" s="70"/>
      <c r="G3296" s="70"/>
      <c r="H3296" s="93"/>
      <c r="I3296" s="85"/>
      <c r="J3296" s="85"/>
      <c r="K3296" s="131"/>
      <c r="L3296" s="60"/>
    </row>
    <row r="3297" spans="1:14" x14ac:dyDescent="0.15">
      <c r="A3297" s="166"/>
      <c r="B3297" s="82"/>
      <c r="C3297" s="70"/>
      <c r="D3297" s="70"/>
      <c r="E3297" s="70"/>
      <c r="F3297" s="70"/>
      <c r="G3297" s="70"/>
      <c r="H3297" s="93"/>
      <c r="I3297" s="85"/>
      <c r="J3297" s="85"/>
      <c r="K3297" s="131"/>
      <c r="L3297" s="60"/>
    </row>
    <row r="3298" spans="1:14" x14ac:dyDescent="0.15">
      <c r="A3298" s="166"/>
      <c r="B3298" s="82"/>
      <c r="C3298" s="70"/>
      <c r="D3298" s="70"/>
      <c r="E3298" s="70"/>
      <c r="F3298" s="70"/>
      <c r="G3298" s="70"/>
      <c r="H3298" s="93"/>
      <c r="I3298" s="85"/>
      <c r="J3298" s="85"/>
      <c r="K3298" s="131"/>
      <c r="L3298" s="60"/>
    </row>
    <row r="3299" spans="1:14" x14ac:dyDescent="0.15">
      <c r="A3299" s="166"/>
      <c r="B3299" s="93"/>
      <c r="C3299" s="70"/>
      <c r="D3299" s="70"/>
      <c r="E3299" s="70"/>
      <c r="F3299" s="70"/>
      <c r="G3299" s="70"/>
      <c r="H3299" s="93"/>
      <c r="I3299" s="85"/>
      <c r="J3299" s="85"/>
      <c r="K3299" s="131"/>
      <c r="L3299" s="60"/>
      <c r="M3299" s="33"/>
    </row>
    <row r="3300" spans="1:14" x14ac:dyDescent="0.15">
      <c r="A3300" s="166"/>
      <c r="B3300" s="82"/>
      <c r="C3300" s="70"/>
      <c r="D3300" s="70"/>
      <c r="E3300" s="70"/>
      <c r="F3300" s="70"/>
      <c r="G3300" s="70"/>
      <c r="H3300" s="93"/>
      <c r="I3300" s="85"/>
      <c r="J3300" s="85"/>
      <c r="K3300" s="131"/>
      <c r="L3300" s="60"/>
      <c r="M3300" s="33"/>
    </row>
    <row r="3301" spans="1:14" x14ac:dyDescent="0.15">
      <c r="A3301" s="166"/>
      <c r="B3301" s="93"/>
      <c r="C3301" s="70"/>
      <c r="D3301" s="70"/>
      <c r="E3301" s="70"/>
      <c r="F3301" s="70"/>
      <c r="G3301" s="70"/>
      <c r="H3301" s="93"/>
      <c r="I3301" s="85"/>
      <c r="J3301" s="85"/>
      <c r="K3301" s="131"/>
      <c r="L3301" s="60"/>
      <c r="M3301" s="33"/>
    </row>
    <row r="3302" spans="1:14" x14ac:dyDescent="0.15">
      <c r="A3302" s="166"/>
      <c r="B3302" s="93"/>
      <c r="C3302" s="70"/>
      <c r="D3302" s="70"/>
      <c r="E3302" s="70"/>
      <c r="F3302" s="70"/>
      <c r="G3302" s="70"/>
      <c r="H3302" s="93"/>
      <c r="I3302" s="85"/>
      <c r="J3302" s="85"/>
      <c r="K3302" s="131"/>
      <c r="L3302" s="60"/>
      <c r="M3302" s="33"/>
    </row>
    <row r="3303" spans="1:14" x14ac:dyDescent="0.15">
      <c r="A3303" s="166"/>
      <c r="B3303" s="82"/>
      <c r="C3303" s="70"/>
      <c r="D3303" s="70"/>
      <c r="E3303" s="70"/>
      <c r="F3303" s="70"/>
      <c r="G3303" s="70"/>
      <c r="H3303" s="93"/>
      <c r="I3303" s="85"/>
      <c r="J3303" s="85"/>
      <c r="K3303" s="131"/>
      <c r="L3303" s="60"/>
      <c r="M3303" s="33"/>
    </row>
    <row r="3304" spans="1:14" x14ac:dyDescent="0.15">
      <c r="A3304" s="166"/>
      <c r="B3304" s="93"/>
      <c r="C3304" s="70"/>
      <c r="D3304" s="70"/>
      <c r="E3304" s="70"/>
      <c r="F3304" s="70"/>
      <c r="G3304" s="70"/>
      <c r="H3304" s="93"/>
      <c r="I3304" s="85"/>
      <c r="J3304" s="85"/>
      <c r="K3304" s="131"/>
      <c r="L3304" s="60"/>
      <c r="M3304" s="33"/>
    </row>
    <row r="3305" spans="1:14" x14ac:dyDescent="0.15">
      <c r="A3305" s="166"/>
      <c r="B3305" s="93"/>
      <c r="C3305" s="70"/>
      <c r="D3305" s="70"/>
      <c r="E3305" s="70"/>
      <c r="F3305" s="70"/>
      <c r="G3305" s="70"/>
      <c r="H3305" s="93"/>
      <c r="I3305" s="85"/>
      <c r="J3305" s="85"/>
      <c r="K3305" s="131"/>
      <c r="L3305" s="60"/>
      <c r="M3305" s="33"/>
    </row>
    <row r="3306" spans="1:14" ht="16" x14ac:dyDescent="0.2">
      <c r="A3306" s="166"/>
      <c r="B3306" s="82"/>
      <c r="C3306" s="70"/>
      <c r="D3306" s="70"/>
      <c r="E3306" s="70"/>
      <c r="F3306" s="70"/>
      <c r="G3306" s="70"/>
      <c r="H3306" s="93"/>
      <c r="I3306" s="85"/>
      <c r="J3306" s="85"/>
      <c r="K3306" s="131"/>
      <c r="L3306" s="60"/>
      <c r="M3306" s="47"/>
    </row>
    <row r="3307" spans="1:14" x14ac:dyDescent="0.15">
      <c r="A3307" s="166"/>
      <c r="B3307" s="93"/>
      <c r="C3307" s="70"/>
      <c r="D3307" s="70"/>
      <c r="E3307" s="70"/>
      <c r="F3307" s="70"/>
      <c r="G3307" s="70"/>
      <c r="H3307" s="93"/>
      <c r="I3307" s="85"/>
      <c r="J3307" s="85"/>
      <c r="K3307" s="131"/>
      <c r="L3307" s="60"/>
      <c r="M3307" s="33"/>
      <c r="N3307" s="32"/>
    </row>
    <row r="3308" spans="1:14" ht="16" x14ac:dyDescent="0.2">
      <c r="A3308" s="166"/>
      <c r="B3308" s="93"/>
      <c r="C3308" s="70"/>
      <c r="D3308" s="70"/>
      <c r="E3308" s="70"/>
      <c r="F3308" s="70"/>
      <c r="G3308" s="70"/>
      <c r="H3308" s="93"/>
      <c r="I3308" s="85"/>
      <c r="J3308" s="85"/>
      <c r="K3308" s="131"/>
      <c r="L3308" s="60"/>
      <c r="M3308" s="47"/>
    </row>
    <row r="3309" spans="1:14" x14ac:dyDescent="0.15">
      <c r="A3309" s="166"/>
      <c r="B3309" s="93"/>
      <c r="C3309" s="70"/>
      <c r="D3309" s="70"/>
      <c r="E3309" s="70"/>
      <c r="F3309" s="70"/>
      <c r="G3309" s="70"/>
      <c r="H3309" s="93"/>
      <c r="I3309" s="85"/>
      <c r="J3309" s="85"/>
      <c r="K3309" s="131"/>
      <c r="L3309" s="60"/>
      <c r="M3309" s="33"/>
      <c r="N3309" s="32"/>
    </row>
    <row r="3310" spans="1:14" x14ac:dyDescent="0.15">
      <c r="A3310" s="166"/>
      <c r="B3310" s="93"/>
      <c r="C3310" s="70"/>
      <c r="D3310" s="70"/>
      <c r="E3310" s="70"/>
      <c r="F3310" s="70"/>
      <c r="G3310" s="70"/>
      <c r="H3310" s="93"/>
      <c r="I3310" s="85"/>
      <c r="J3310" s="85"/>
      <c r="K3310" s="131"/>
      <c r="L3310" s="60"/>
      <c r="M3310" s="33"/>
    </row>
    <row r="3311" spans="1:14" x14ac:dyDescent="0.15">
      <c r="A3311" s="166"/>
      <c r="B3311" s="93"/>
      <c r="C3311" s="70"/>
      <c r="D3311" s="70"/>
      <c r="E3311" s="70"/>
      <c r="F3311" s="70"/>
      <c r="G3311" s="70"/>
      <c r="H3311" s="93"/>
      <c r="I3311" s="85"/>
      <c r="J3311" s="85"/>
      <c r="K3311" s="131"/>
      <c r="L3311" s="60"/>
    </row>
    <row r="3312" spans="1:14" x14ac:dyDescent="0.15">
      <c r="A3312" s="166"/>
      <c r="B3312" s="93"/>
      <c r="C3312" s="70"/>
      <c r="D3312" s="70"/>
      <c r="E3312" s="70"/>
      <c r="F3312" s="70"/>
      <c r="G3312" s="70"/>
      <c r="H3312" s="93"/>
      <c r="I3312" s="85"/>
      <c r="J3312" s="85"/>
      <c r="K3312" s="131"/>
      <c r="L3312" s="60"/>
      <c r="M3312" s="33"/>
    </row>
    <row r="3313" spans="1:14" x14ac:dyDescent="0.15">
      <c r="A3313" s="166"/>
      <c r="B3313" s="93"/>
      <c r="C3313" s="70"/>
      <c r="D3313" s="70"/>
      <c r="E3313" s="70"/>
      <c r="F3313" s="70"/>
      <c r="G3313" s="70"/>
      <c r="H3313" s="93"/>
      <c r="I3313" s="85"/>
      <c r="J3313" s="85"/>
      <c r="K3313" s="131"/>
      <c r="L3313" s="60"/>
    </row>
    <row r="3314" spans="1:14" x14ac:dyDescent="0.15">
      <c r="A3314" s="166"/>
      <c r="B3314" s="93"/>
      <c r="C3314" s="70"/>
      <c r="D3314" s="70"/>
      <c r="E3314" s="70"/>
      <c r="F3314" s="70"/>
      <c r="G3314" s="70"/>
      <c r="H3314" s="93"/>
      <c r="I3314" s="85"/>
      <c r="J3314" s="85"/>
      <c r="K3314" s="131"/>
      <c r="L3314" s="60"/>
      <c r="M3314" s="33"/>
      <c r="N3314" s="32"/>
    </row>
    <row r="3315" spans="1:14" x14ac:dyDescent="0.15">
      <c r="A3315" s="166"/>
      <c r="B3315" s="93"/>
      <c r="C3315" s="70"/>
      <c r="D3315" s="70"/>
      <c r="E3315" s="70"/>
      <c r="F3315" s="70"/>
      <c r="G3315" s="70"/>
      <c r="H3315" s="93"/>
      <c r="I3315" s="85"/>
      <c r="J3315" s="85"/>
      <c r="K3315" s="131"/>
      <c r="L3315" s="60"/>
    </row>
    <row r="3316" spans="1:14" x14ac:dyDescent="0.15">
      <c r="A3316" s="166"/>
      <c r="B3316" s="93"/>
      <c r="C3316" s="70"/>
      <c r="D3316" s="70"/>
      <c r="E3316" s="70"/>
      <c r="F3316" s="70"/>
      <c r="G3316" s="70"/>
      <c r="H3316" s="93"/>
      <c r="I3316" s="85"/>
      <c r="J3316" s="85"/>
      <c r="K3316" s="131"/>
      <c r="L3316" s="60"/>
      <c r="M3316" s="33"/>
      <c r="N3316" s="32"/>
    </row>
    <row r="3317" spans="1:14" x14ac:dyDescent="0.15">
      <c r="A3317" s="166"/>
      <c r="B3317" s="93"/>
      <c r="C3317" s="70"/>
      <c r="D3317" s="70"/>
      <c r="E3317" s="70"/>
      <c r="F3317" s="70"/>
      <c r="G3317" s="70"/>
      <c r="H3317" s="93"/>
      <c r="I3317" s="85"/>
      <c r="J3317" s="85"/>
      <c r="K3317" s="131"/>
      <c r="L3317" s="60"/>
      <c r="M3317" s="33"/>
    </row>
    <row r="3318" spans="1:14" x14ac:dyDescent="0.15">
      <c r="A3318" s="166"/>
      <c r="B3318" s="93"/>
      <c r="C3318" s="70"/>
      <c r="D3318" s="70"/>
      <c r="E3318" s="70"/>
      <c r="F3318" s="70"/>
      <c r="G3318" s="70"/>
      <c r="H3318" s="93"/>
      <c r="I3318" s="85"/>
      <c r="J3318" s="85"/>
      <c r="K3318" s="131"/>
      <c r="L3318" s="60"/>
    </row>
    <row r="3319" spans="1:14" x14ac:dyDescent="0.15">
      <c r="A3319" s="166"/>
      <c r="B3319" s="93"/>
      <c r="C3319" s="70"/>
      <c r="D3319" s="70"/>
      <c r="E3319" s="70"/>
      <c r="F3319" s="70"/>
      <c r="G3319" s="70"/>
      <c r="H3319" s="93"/>
      <c r="I3319" s="85"/>
      <c r="J3319" s="85"/>
      <c r="K3319" s="131"/>
      <c r="L3319" s="60"/>
      <c r="M3319" s="33"/>
    </row>
    <row r="3320" spans="1:14" x14ac:dyDescent="0.15">
      <c r="A3320" s="166"/>
      <c r="B3320" s="93"/>
      <c r="C3320" s="70"/>
      <c r="D3320" s="70"/>
      <c r="E3320" s="70"/>
      <c r="F3320" s="70"/>
      <c r="G3320" s="70"/>
      <c r="H3320" s="93"/>
      <c r="I3320" s="85"/>
      <c r="J3320" s="85"/>
      <c r="K3320" s="131"/>
      <c r="L3320" s="60"/>
      <c r="M3320" s="33"/>
    </row>
    <row r="3321" spans="1:14" x14ac:dyDescent="0.15">
      <c r="A3321" s="166"/>
      <c r="B3321" s="82"/>
      <c r="C3321" s="70"/>
      <c r="D3321" s="70"/>
      <c r="E3321" s="73"/>
      <c r="F3321" s="70"/>
      <c r="G3321" s="70"/>
      <c r="H3321" s="93"/>
      <c r="I3321" s="85"/>
      <c r="J3321" s="85"/>
      <c r="K3321" s="134"/>
      <c r="L3321" s="63"/>
      <c r="M3321" s="33"/>
    </row>
    <row r="3322" spans="1:14" x14ac:dyDescent="0.15">
      <c r="A3322" s="166"/>
      <c r="B3322" s="82"/>
      <c r="C3322" s="70"/>
      <c r="D3322" s="70"/>
      <c r="E3322" s="73"/>
      <c r="F3322" s="70"/>
      <c r="G3322" s="70"/>
      <c r="H3322" s="93"/>
      <c r="I3322" s="85"/>
      <c r="J3322" s="85"/>
      <c r="K3322" s="134"/>
      <c r="L3322" s="63"/>
      <c r="M3322" s="33"/>
    </row>
    <row r="3323" spans="1:14" x14ac:dyDescent="0.15">
      <c r="A3323" s="166"/>
      <c r="B3323" s="93"/>
      <c r="C3323" s="70"/>
      <c r="D3323" s="70"/>
      <c r="E3323" s="70"/>
      <c r="F3323" s="70"/>
      <c r="G3323" s="70"/>
      <c r="H3323" s="93"/>
      <c r="I3323" s="85"/>
      <c r="J3323" s="85"/>
      <c r="K3323" s="131"/>
      <c r="L3323" s="60"/>
      <c r="M3323" s="33"/>
    </row>
    <row r="3324" spans="1:14" x14ac:dyDescent="0.15">
      <c r="A3324" s="166"/>
      <c r="B3324" s="93"/>
      <c r="C3324" s="70"/>
      <c r="D3324" s="70"/>
      <c r="E3324" s="70"/>
      <c r="F3324" s="70"/>
      <c r="G3324" s="70"/>
      <c r="H3324" s="93"/>
      <c r="I3324" s="85"/>
      <c r="J3324" s="85"/>
      <c r="K3324" s="131"/>
      <c r="L3324" s="60"/>
      <c r="M3324" s="33"/>
    </row>
    <row r="3325" spans="1:14" x14ac:dyDescent="0.15">
      <c r="A3325" s="166"/>
      <c r="B3325" s="82"/>
      <c r="C3325" s="70"/>
      <c r="D3325" s="70"/>
      <c r="E3325" s="70"/>
      <c r="F3325" s="70"/>
      <c r="G3325" s="70"/>
      <c r="H3325" s="93"/>
      <c r="I3325" s="85"/>
      <c r="J3325" s="85"/>
      <c r="K3325" s="131"/>
      <c r="L3325" s="60"/>
      <c r="M3325" s="33"/>
    </row>
    <row r="3326" spans="1:14" x14ac:dyDescent="0.15">
      <c r="A3326" s="166"/>
      <c r="B3326" s="82"/>
      <c r="C3326" s="70"/>
      <c r="D3326" s="70"/>
      <c r="E3326" s="70"/>
      <c r="F3326" s="70"/>
      <c r="G3326" s="70"/>
      <c r="H3326" s="93"/>
      <c r="I3326" s="85"/>
      <c r="J3326" s="85"/>
      <c r="K3326" s="142"/>
      <c r="L3326" s="60"/>
      <c r="M3326" s="37"/>
    </row>
    <row r="3327" spans="1:14" x14ac:dyDescent="0.15">
      <c r="A3327" s="166"/>
      <c r="B3327" s="93"/>
      <c r="C3327" s="70"/>
      <c r="D3327" s="70"/>
      <c r="E3327" s="70"/>
      <c r="F3327" s="70"/>
      <c r="G3327" s="70"/>
      <c r="H3327" s="93"/>
      <c r="I3327" s="85"/>
      <c r="J3327" s="85"/>
      <c r="K3327" s="131"/>
      <c r="L3327" s="60"/>
      <c r="M3327" s="37"/>
    </row>
    <row r="3328" spans="1:14" x14ac:dyDescent="0.15">
      <c r="A3328" s="166"/>
      <c r="B3328" s="93"/>
      <c r="C3328" s="70"/>
      <c r="D3328" s="70"/>
      <c r="E3328" s="70"/>
      <c r="F3328" s="70"/>
      <c r="G3328" s="70"/>
      <c r="H3328" s="93"/>
      <c r="I3328" s="85"/>
      <c r="J3328" s="85"/>
      <c r="K3328" s="131"/>
      <c r="L3328" s="60"/>
    </row>
    <row r="3329" spans="1:14" x14ac:dyDescent="0.15">
      <c r="A3329" s="166"/>
      <c r="B3329" s="93"/>
      <c r="C3329" s="70"/>
      <c r="D3329" s="70"/>
      <c r="E3329" s="70"/>
      <c r="F3329" s="70"/>
      <c r="G3329" s="70"/>
      <c r="H3329" s="93"/>
      <c r="I3329" s="85"/>
      <c r="J3329" s="85"/>
      <c r="K3329" s="131"/>
      <c r="L3329" s="60"/>
      <c r="M3329" s="37"/>
    </row>
    <row r="3330" spans="1:14" x14ac:dyDescent="0.15">
      <c r="A3330" s="166"/>
      <c r="B3330" s="93"/>
      <c r="C3330" s="70"/>
      <c r="D3330" s="70"/>
      <c r="E3330" s="70"/>
      <c r="F3330" s="70"/>
      <c r="G3330" s="70"/>
      <c r="H3330" s="93"/>
      <c r="I3330" s="85"/>
      <c r="J3330" s="85"/>
      <c r="K3330" s="131"/>
      <c r="L3330" s="60"/>
    </row>
    <row r="3331" spans="1:14" x14ac:dyDescent="0.15">
      <c r="A3331" s="166"/>
      <c r="B3331" s="82"/>
      <c r="C3331" s="70"/>
      <c r="D3331" s="70"/>
      <c r="E3331" s="70"/>
      <c r="F3331" s="70"/>
      <c r="G3331" s="70"/>
      <c r="H3331" s="93"/>
      <c r="I3331" s="85"/>
      <c r="J3331" s="85"/>
      <c r="K3331" s="142"/>
      <c r="L3331" s="60"/>
      <c r="M3331" s="37"/>
    </row>
    <row r="3332" spans="1:14" x14ac:dyDescent="0.15">
      <c r="A3332" s="166"/>
      <c r="B3332" s="82"/>
      <c r="C3332" s="70"/>
      <c r="D3332" s="70"/>
      <c r="E3332" s="70"/>
      <c r="F3332" s="70"/>
      <c r="G3332" s="70"/>
      <c r="H3332" s="93"/>
      <c r="I3332" s="85"/>
      <c r="J3332" s="85"/>
      <c r="K3332" s="131"/>
      <c r="L3332" s="60"/>
      <c r="M3332" s="37"/>
    </row>
    <row r="3333" spans="1:14" x14ac:dyDescent="0.15">
      <c r="A3333" s="166"/>
      <c r="B3333" s="82"/>
      <c r="C3333" s="70"/>
      <c r="D3333" s="70"/>
      <c r="E3333" s="70"/>
      <c r="F3333" s="70"/>
      <c r="G3333" s="70"/>
      <c r="H3333" s="93"/>
      <c r="I3333" s="85"/>
      <c r="J3333" s="85"/>
      <c r="K3333" s="142"/>
      <c r="L3333" s="60"/>
      <c r="M3333" s="37"/>
    </row>
    <row r="3334" spans="1:14" x14ac:dyDescent="0.15">
      <c r="A3334" s="166"/>
      <c r="B3334" s="93"/>
      <c r="C3334" s="70"/>
      <c r="D3334" s="70"/>
      <c r="E3334" s="70"/>
      <c r="F3334" s="70"/>
      <c r="G3334" s="70"/>
      <c r="H3334" s="93"/>
      <c r="I3334" s="85"/>
      <c r="J3334" s="85"/>
      <c r="K3334" s="131"/>
      <c r="L3334" s="60"/>
      <c r="M3334" s="37"/>
    </row>
    <row r="3335" spans="1:14" x14ac:dyDescent="0.15">
      <c r="A3335" s="166"/>
      <c r="B3335" s="93"/>
      <c r="C3335" s="70"/>
      <c r="D3335" s="70"/>
      <c r="E3335" s="70"/>
      <c r="F3335" s="70"/>
      <c r="G3335" s="70"/>
      <c r="H3335" s="93"/>
      <c r="I3335" s="85"/>
      <c r="J3335" s="85"/>
      <c r="K3335" s="131"/>
      <c r="L3335" s="60"/>
    </row>
    <row r="3336" spans="1:14" x14ac:dyDescent="0.15">
      <c r="A3336" s="166"/>
      <c r="B3336" s="93"/>
      <c r="C3336" s="70"/>
      <c r="D3336" s="70"/>
      <c r="E3336" s="70"/>
      <c r="F3336" s="70"/>
      <c r="G3336" s="70"/>
      <c r="H3336" s="93"/>
      <c r="I3336" s="85"/>
      <c r="J3336" s="85"/>
      <c r="K3336" s="131"/>
      <c r="L3336" s="60"/>
    </row>
    <row r="3337" spans="1:14" x14ac:dyDescent="0.15">
      <c r="A3337" s="166"/>
      <c r="B3337" s="93"/>
      <c r="C3337" s="70"/>
      <c r="D3337" s="70"/>
      <c r="E3337" s="70"/>
      <c r="F3337" s="70"/>
      <c r="G3337" s="70"/>
      <c r="H3337" s="93"/>
      <c r="I3337" s="85"/>
      <c r="J3337" s="85"/>
      <c r="K3337" s="141"/>
      <c r="L3337" s="60"/>
      <c r="M3337" s="35"/>
    </row>
    <row r="3338" spans="1:14" x14ac:dyDescent="0.15">
      <c r="A3338" s="166"/>
      <c r="B3338" s="93"/>
      <c r="C3338" s="70"/>
      <c r="D3338" s="70"/>
      <c r="E3338" s="70"/>
      <c r="F3338" s="70"/>
      <c r="G3338" s="70"/>
      <c r="H3338" s="93"/>
      <c r="I3338" s="85"/>
      <c r="J3338" s="85"/>
      <c r="K3338" s="131"/>
      <c r="L3338" s="60"/>
    </row>
    <row r="3339" spans="1:14" x14ac:dyDescent="0.15">
      <c r="A3339" s="166"/>
      <c r="B3339" s="93"/>
      <c r="C3339" s="70"/>
      <c r="D3339" s="70"/>
      <c r="E3339" s="70"/>
      <c r="F3339" s="70"/>
      <c r="G3339" s="70"/>
      <c r="H3339" s="93"/>
      <c r="I3339" s="85"/>
      <c r="J3339" s="85"/>
      <c r="K3339" s="142"/>
      <c r="L3339" s="60"/>
      <c r="M3339" s="35"/>
    </row>
    <row r="3340" spans="1:14" x14ac:dyDescent="0.15">
      <c r="A3340" s="166"/>
      <c r="B3340" s="93"/>
      <c r="C3340" s="70"/>
      <c r="D3340" s="70"/>
      <c r="E3340" s="70"/>
      <c r="F3340" s="70"/>
      <c r="G3340" s="70"/>
      <c r="H3340" s="93"/>
      <c r="I3340" s="85"/>
      <c r="J3340" s="85"/>
      <c r="K3340" s="141"/>
      <c r="L3340" s="60"/>
      <c r="M3340" s="37"/>
    </row>
    <row r="3341" spans="1:14" x14ac:dyDescent="0.15">
      <c r="A3341" s="166"/>
      <c r="B3341" s="93"/>
      <c r="C3341" s="70"/>
      <c r="D3341" s="70"/>
      <c r="E3341" s="70"/>
      <c r="F3341" s="70"/>
      <c r="G3341" s="70"/>
      <c r="H3341" s="93"/>
      <c r="I3341" s="85"/>
      <c r="J3341" s="85"/>
      <c r="K3341" s="131"/>
      <c r="L3341" s="60"/>
    </row>
    <row r="3342" spans="1:14" x14ac:dyDescent="0.15">
      <c r="A3342" s="166"/>
      <c r="B3342" s="82"/>
      <c r="C3342" s="70"/>
      <c r="D3342" s="70"/>
      <c r="E3342" s="70"/>
      <c r="F3342" s="70"/>
      <c r="G3342" s="70"/>
      <c r="H3342" s="93"/>
      <c r="I3342" s="85"/>
      <c r="J3342" s="85"/>
      <c r="K3342" s="131"/>
      <c r="L3342" s="60"/>
      <c r="M3342" s="33"/>
      <c r="N3342" s="32"/>
    </row>
    <row r="3343" spans="1:14" x14ac:dyDescent="0.15">
      <c r="A3343" s="166"/>
      <c r="B3343" s="93"/>
      <c r="C3343" s="70"/>
      <c r="D3343" s="70"/>
      <c r="E3343" s="70"/>
      <c r="F3343" s="70"/>
      <c r="G3343" s="70"/>
      <c r="H3343" s="93"/>
      <c r="I3343" s="85"/>
      <c r="J3343" s="85"/>
      <c r="K3343" s="131"/>
      <c r="L3343" s="60"/>
      <c r="M3343" s="33"/>
    </row>
    <row r="3344" spans="1:14" x14ac:dyDescent="0.15">
      <c r="A3344" s="166"/>
      <c r="B3344" s="93"/>
      <c r="C3344" s="70"/>
      <c r="D3344" s="70"/>
      <c r="E3344" s="70"/>
      <c r="F3344" s="70"/>
      <c r="G3344" s="70"/>
      <c r="H3344" s="93"/>
      <c r="I3344" s="85"/>
      <c r="J3344" s="85"/>
      <c r="K3344" s="131"/>
      <c r="L3344" s="60"/>
    </row>
    <row r="3345" spans="1:14" x14ac:dyDescent="0.15">
      <c r="A3345" s="166"/>
      <c r="B3345" s="93"/>
      <c r="C3345" s="70"/>
      <c r="D3345" s="70"/>
      <c r="E3345" s="70"/>
      <c r="F3345" s="70"/>
      <c r="G3345" s="70"/>
      <c r="H3345" s="93"/>
      <c r="I3345" s="85"/>
      <c r="J3345" s="85"/>
      <c r="K3345" s="141"/>
      <c r="L3345" s="60"/>
      <c r="M3345" s="37"/>
    </row>
    <row r="3346" spans="1:14" x14ac:dyDescent="0.15">
      <c r="A3346" s="166"/>
      <c r="B3346" s="93"/>
      <c r="C3346" s="70"/>
      <c r="D3346" s="70"/>
      <c r="E3346" s="70"/>
      <c r="F3346" s="70"/>
      <c r="G3346" s="70"/>
      <c r="H3346" s="93"/>
      <c r="I3346" s="85"/>
      <c r="J3346" s="85"/>
      <c r="K3346" s="141"/>
      <c r="L3346" s="60"/>
      <c r="M3346" s="37"/>
    </row>
    <row r="3347" spans="1:14" x14ac:dyDescent="0.15">
      <c r="A3347" s="166"/>
      <c r="B3347" s="93"/>
      <c r="C3347" s="70"/>
      <c r="D3347" s="70"/>
      <c r="E3347" s="70"/>
      <c r="F3347" s="70"/>
      <c r="G3347" s="70"/>
      <c r="H3347" s="93"/>
      <c r="I3347" s="85"/>
      <c r="J3347" s="85"/>
      <c r="K3347" s="131"/>
      <c r="L3347" s="60"/>
    </row>
    <row r="3348" spans="1:14" ht="16" x14ac:dyDescent="0.2">
      <c r="A3348" s="166"/>
      <c r="B3348" s="93"/>
      <c r="C3348" s="70"/>
      <c r="D3348" s="70"/>
      <c r="E3348" s="70"/>
      <c r="F3348" s="70"/>
      <c r="G3348" s="70"/>
      <c r="H3348" s="93"/>
      <c r="I3348" s="85"/>
      <c r="J3348" s="85"/>
      <c r="K3348" s="141"/>
      <c r="L3348" s="60"/>
      <c r="M3348" s="37"/>
      <c r="N3348" s="48"/>
    </row>
    <row r="3349" spans="1:14" x14ac:dyDescent="0.15">
      <c r="A3349" s="166"/>
      <c r="B3349" s="93"/>
      <c r="C3349" s="70"/>
      <c r="D3349" s="70"/>
      <c r="E3349" s="70"/>
      <c r="F3349" s="70"/>
      <c r="G3349" s="70"/>
      <c r="H3349" s="93"/>
      <c r="I3349" s="85"/>
      <c r="J3349" s="85"/>
      <c r="K3349" s="141"/>
      <c r="L3349" s="60"/>
      <c r="M3349" s="35"/>
    </row>
    <row r="3350" spans="1:14" x14ac:dyDescent="0.15">
      <c r="A3350" s="166"/>
      <c r="B3350" s="93"/>
      <c r="C3350" s="70"/>
      <c r="D3350" s="70"/>
      <c r="E3350" s="70"/>
      <c r="F3350" s="70"/>
      <c r="G3350" s="70"/>
      <c r="H3350" s="93"/>
      <c r="I3350" s="85"/>
      <c r="J3350" s="85"/>
      <c r="K3350" s="141"/>
      <c r="L3350" s="60"/>
      <c r="M3350" s="35"/>
    </row>
    <row r="3351" spans="1:14" x14ac:dyDescent="0.15">
      <c r="A3351" s="166"/>
      <c r="B3351" s="93"/>
      <c r="C3351" s="70"/>
      <c r="D3351" s="70"/>
      <c r="E3351" s="70"/>
      <c r="F3351" s="70"/>
      <c r="G3351" s="70"/>
      <c r="H3351" s="93"/>
      <c r="I3351" s="85"/>
      <c r="J3351" s="85"/>
      <c r="K3351" s="141"/>
      <c r="L3351" s="60"/>
      <c r="M3351" s="35"/>
    </row>
    <row r="3352" spans="1:14" x14ac:dyDescent="0.15">
      <c r="A3352" s="166"/>
      <c r="B3352" s="93"/>
      <c r="C3352" s="70"/>
      <c r="D3352" s="70"/>
      <c r="E3352" s="70"/>
      <c r="F3352" s="70"/>
      <c r="G3352" s="70"/>
      <c r="H3352" s="93"/>
      <c r="I3352" s="85"/>
      <c r="J3352" s="85"/>
      <c r="K3352" s="141"/>
      <c r="L3352" s="60"/>
      <c r="M3352" s="37"/>
    </row>
    <row r="3353" spans="1:14" x14ac:dyDescent="0.15">
      <c r="A3353" s="166"/>
      <c r="B3353" s="93"/>
      <c r="C3353" s="70"/>
      <c r="D3353" s="70"/>
      <c r="E3353" s="70"/>
      <c r="F3353" s="70"/>
      <c r="G3353" s="70"/>
      <c r="H3353" s="93"/>
      <c r="I3353" s="85"/>
      <c r="J3353" s="85"/>
      <c r="K3353" s="141"/>
      <c r="L3353" s="60"/>
      <c r="M3353" s="37"/>
    </row>
    <row r="3354" spans="1:14" x14ac:dyDescent="0.15">
      <c r="A3354" s="166"/>
      <c r="B3354" s="93"/>
      <c r="C3354" s="70"/>
      <c r="D3354" s="70"/>
      <c r="E3354" s="70"/>
      <c r="F3354" s="70"/>
      <c r="G3354" s="70"/>
      <c r="H3354" s="93"/>
      <c r="I3354" s="85"/>
      <c r="J3354" s="85"/>
      <c r="K3354" s="141"/>
      <c r="L3354" s="60"/>
      <c r="M3354" s="37"/>
    </row>
    <row r="3355" spans="1:14" x14ac:dyDescent="0.15">
      <c r="A3355" s="166"/>
      <c r="B3355" s="93"/>
      <c r="C3355" s="70"/>
      <c r="D3355" s="70"/>
      <c r="E3355" s="70"/>
      <c r="F3355" s="70"/>
      <c r="G3355" s="70"/>
      <c r="H3355" s="93"/>
      <c r="I3355" s="85"/>
      <c r="J3355" s="85"/>
      <c r="K3355" s="141"/>
      <c r="L3355" s="60"/>
      <c r="M3355" s="37"/>
    </row>
    <row r="3356" spans="1:14" x14ac:dyDescent="0.15">
      <c r="A3356" s="166"/>
      <c r="B3356" s="93"/>
      <c r="C3356" s="70"/>
      <c r="D3356" s="70"/>
      <c r="E3356" s="70"/>
      <c r="F3356" s="70"/>
      <c r="G3356" s="70"/>
      <c r="H3356" s="93"/>
      <c r="I3356" s="85"/>
      <c r="J3356" s="85"/>
      <c r="K3356" s="131"/>
      <c r="L3356" s="60"/>
      <c r="M3356" s="37"/>
    </row>
    <row r="3357" spans="1:14" x14ac:dyDescent="0.15">
      <c r="A3357" s="166"/>
      <c r="B3357" s="93"/>
      <c r="C3357" s="70"/>
      <c r="D3357" s="70"/>
      <c r="E3357" s="70"/>
      <c r="F3357" s="70"/>
      <c r="G3357" s="70"/>
      <c r="H3357" s="93"/>
      <c r="I3357" s="85"/>
      <c r="J3357" s="85"/>
      <c r="K3357" s="131"/>
      <c r="L3357" s="60"/>
      <c r="M3357" s="37"/>
    </row>
    <row r="3358" spans="1:14" x14ac:dyDescent="0.15">
      <c r="A3358" s="166"/>
      <c r="B3358" s="93"/>
      <c r="C3358" s="70"/>
      <c r="D3358" s="70"/>
      <c r="E3358" s="70"/>
      <c r="F3358" s="70"/>
      <c r="G3358" s="70"/>
      <c r="H3358" s="93"/>
      <c r="I3358" s="85"/>
      <c r="J3358" s="85"/>
      <c r="K3358" s="141"/>
      <c r="L3358" s="60"/>
      <c r="M3358" s="37"/>
    </row>
    <row r="3359" spans="1:14" x14ac:dyDescent="0.15">
      <c r="A3359" s="166"/>
      <c r="B3359" s="93"/>
      <c r="C3359" s="70"/>
      <c r="D3359" s="70"/>
      <c r="E3359" s="70"/>
      <c r="F3359" s="70"/>
      <c r="G3359" s="70"/>
      <c r="H3359" s="93"/>
      <c r="I3359" s="85"/>
      <c r="J3359" s="85"/>
      <c r="K3359" s="131"/>
      <c r="L3359" s="60"/>
    </row>
    <row r="3360" spans="1:14" x14ac:dyDescent="0.15">
      <c r="A3360" s="166"/>
      <c r="B3360" s="93"/>
      <c r="C3360" s="70"/>
      <c r="D3360" s="70"/>
      <c r="E3360" s="70"/>
      <c r="F3360" s="70"/>
      <c r="G3360" s="70"/>
      <c r="H3360" s="93"/>
      <c r="I3360" s="85"/>
      <c r="J3360" s="85"/>
      <c r="K3360" s="141"/>
      <c r="L3360" s="60"/>
      <c r="M3360" s="37"/>
    </row>
    <row r="3361" spans="1:13" x14ac:dyDescent="0.15">
      <c r="A3361" s="166"/>
      <c r="B3361" s="93"/>
      <c r="C3361" s="70"/>
      <c r="D3361" s="70"/>
      <c r="E3361" s="70"/>
      <c r="F3361" s="70"/>
      <c r="G3361" s="70"/>
      <c r="H3361" s="93"/>
      <c r="I3361" s="85"/>
      <c r="J3361" s="85"/>
      <c r="K3361" s="135"/>
      <c r="L3361" s="60"/>
      <c r="M3361" s="37"/>
    </row>
    <row r="3362" spans="1:13" x14ac:dyDescent="0.15">
      <c r="A3362" s="166"/>
      <c r="B3362" s="93"/>
      <c r="C3362" s="70"/>
      <c r="D3362" s="70"/>
      <c r="E3362" s="70"/>
      <c r="F3362" s="70"/>
      <c r="G3362" s="70"/>
      <c r="H3362" s="93"/>
      <c r="I3362" s="85"/>
      <c r="J3362" s="85"/>
      <c r="K3362" s="131"/>
      <c r="L3362" s="60"/>
    </row>
    <row r="3363" spans="1:13" x14ac:dyDescent="0.15">
      <c r="A3363" s="166"/>
      <c r="B3363" s="93"/>
      <c r="C3363" s="70"/>
      <c r="D3363" s="70"/>
      <c r="E3363" s="70"/>
      <c r="F3363" s="70"/>
      <c r="G3363" s="70"/>
      <c r="H3363" s="93"/>
      <c r="I3363" s="85"/>
      <c r="J3363" s="85"/>
      <c r="K3363" s="141"/>
      <c r="L3363" s="60"/>
      <c r="M3363" s="35"/>
    </row>
    <row r="3364" spans="1:13" x14ac:dyDescent="0.15">
      <c r="A3364" s="166"/>
      <c r="B3364" s="82"/>
      <c r="C3364" s="70"/>
      <c r="D3364" s="70"/>
      <c r="E3364" s="70"/>
      <c r="F3364" s="70"/>
      <c r="G3364" s="70"/>
      <c r="H3364" s="93"/>
      <c r="I3364" s="85"/>
      <c r="J3364" s="85"/>
      <c r="K3364" s="131"/>
      <c r="L3364" s="60"/>
      <c r="M3364" s="33"/>
    </row>
    <row r="3365" spans="1:13" x14ac:dyDescent="0.15">
      <c r="A3365" s="166"/>
      <c r="B3365" s="82"/>
      <c r="C3365" s="70"/>
      <c r="D3365" s="70"/>
      <c r="E3365" s="70"/>
      <c r="F3365" s="70"/>
      <c r="G3365" s="70"/>
      <c r="H3365" s="93"/>
      <c r="I3365" s="85"/>
      <c r="J3365" s="85"/>
      <c r="K3365" s="131"/>
      <c r="L3365" s="60"/>
      <c r="M3365" s="33"/>
    </row>
    <row r="3366" spans="1:13" x14ac:dyDescent="0.15">
      <c r="A3366" s="166"/>
      <c r="B3366" s="93"/>
      <c r="C3366" s="70"/>
      <c r="D3366" s="70"/>
      <c r="E3366" s="70"/>
      <c r="F3366" s="70"/>
      <c r="G3366" s="70"/>
      <c r="H3366" s="93"/>
      <c r="I3366" s="85"/>
      <c r="J3366" s="85"/>
      <c r="K3366" s="142"/>
      <c r="L3366" s="60"/>
      <c r="M3366" s="37"/>
    </row>
    <row r="3367" spans="1:13" x14ac:dyDescent="0.15">
      <c r="A3367" s="166"/>
      <c r="B3367" s="93"/>
      <c r="C3367" s="70"/>
      <c r="D3367" s="70"/>
      <c r="E3367" s="70"/>
      <c r="F3367" s="70"/>
      <c r="G3367" s="70"/>
      <c r="H3367" s="93"/>
      <c r="I3367" s="85"/>
      <c r="J3367" s="85"/>
      <c r="K3367" s="142"/>
      <c r="L3367" s="60"/>
      <c r="M3367" s="37"/>
    </row>
    <row r="3368" spans="1:13" x14ac:dyDescent="0.15">
      <c r="A3368" s="166"/>
      <c r="B3368" s="93"/>
      <c r="C3368" s="70"/>
      <c r="D3368" s="70"/>
      <c r="E3368" s="70"/>
      <c r="F3368" s="70"/>
      <c r="G3368" s="70"/>
      <c r="H3368" s="93"/>
      <c r="I3368" s="85"/>
      <c r="J3368" s="85"/>
      <c r="K3368" s="142"/>
      <c r="L3368" s="60"/>
      <c r="M3368" s="37"/>
    </row>
    <row r="3369" spans="1:13" x14ac:dyDescent="0.15">
      <c r="A3369" s="166"/>
      <c r="B3369" s="93"/>
      <c r="C3369" s="70"/>
      <c r="D3369" s="70"/>
      <c r="E3369" s="70"/>
      <c r="F3369" s="70"/>
      <c r="G3369" s="70"/>
      <c r="H3369" s="93"/>
      <c r="I3369" s="85"/>
      <c r="J3369" s="85"/>
      <c r="K3369" s="142"/>
      <c r="L3369" s="60"/>
      <c r="M3369" s="37"/>
    </row>
    <row r="3370" spans="1:13" x14ac:dyDescent="0.15">
      <c r="A3370" s="166"/>
      <c r="B3370" s="93"/>
      <c r="C3370" s="70"/>
      <c r="D3370" s="70"/>
      <c r="E3370" s="70"/>
      <c r="F3370" s="70"/>
      <c r="G3370" s="70"/>
      <c r="H3370" s="93"/>
      <c r="I3370" s="85"/>
      <c r="J3370" s="85"/>
      <c r="K3370" s="131"/>
      <c r="L3370" s="60"/>
    </row>
    <row r="3371" spans="1:13" x14ac:dyDescent="0.15">
      <c r="A3371" s="166"/>
      <c r="B3371" s="93"/>
      <c r="C3371" s="70"/>
      <c r="D3371" s="70"/>
      <c r="E3371" s="70"/>
      <c r="F3371" s="70"/>
      <c r="G3371" s="70"/>
      <c r="H3371" s="93"/>
      <c r="I3371" s="85"/>
      <c r="J3371" s="85"/>
      <c r="K3371" s="131"/>
      <c r="L3371" s="60"/>
    </row>
    <row r="3372" spans="1:13" x14ac:dyDescent="0.15">
      <c r="A3372" s="166"/>
      <c r="B3372" s="93"/>
      <c r="C3372" s="70"/>
      <c r="D3372" s="70"/>
      <c r="E3372" s="70"/>
      <c r="F3372" s="70"/>
      <c r="G3372" s="70"/>
      <c r="H3372" s="93"/>
      <c r="I3372" s="85"/>
      <c r="J3372" s="85"/>
      <c r="K3372" s="142"/>
      <c r="L3372" s="60"/>
      <c r="M3372" s="37"/>
    </row>
    <row r="3373" spans="1:13" x14ac:dyDescent="0.15">
      <c r="A3373" s="166"/>
      <c r="B3373" s="93"/>
      <c r="C3373" s="70"/>
      <c r="D3373" s="70"/>
      <c r="E3373" s="70"/>
      <c r="F3373" s="70"/>
      <c r="G3373" s="70"/>
      <c r="H3373" s="93"/>
      <c r="I3373" s="85"/>
      <c r="J3373" s="85"/>
      <c r="K3373" s="142"/>
      <c r="L3373" s="60"/>
      <c r="M3373" s="37"/>
    </row>
    <row r="3374" spans="1:13" x14ac:dyDescent="0.15">
      <c r="A3374" s="166"/>
      <c r="B3374" s="93"/>
      <c r="C3374" s="70"/>
      <c r="D3374" s="70"/>
      <c r="E3374" s="70"/>
      <c r="F3374" s="70"/>
      <c r="G3374" s="70"/>
      <c r="H3374" s="93"/>
      <c r="I3374" s="85"/>
      <c r="J3374" s="85"/>
      <c r="K3374" s="142"/>
      <c r="L3374" s="60"/>
      <c r="M3374" s="37"/>
    </row>
    <row r="3375" spans="1:13" x14ac:dyDescent="0.15">
      <c r="A3375" s="166"/>
      <c r="B3375" s="93"/>
      <c r="C3375" s="70"/>
      <c r="D3375" s="70"/>
      <c r="E3375" s="70"/>
      <c r="F3375" s="70"/>
      <c r="G3375" s="70"/>
      <c r="H3375" s="93"/>
      <c r="I3375" s="85"/>
      <c r="J3375" s="85"/>
      <c r="K3375" s="131"/>
      <c r="L3375" s="60"/>
      <c r="M3375" s="33"/>
    </row>
    <row r="3376" spans="1:13" x14ac:dyDescent="0.15">
      <c r="A3376" s="166"/>
      <c r="B3376" s="93"/>
      <c r="C3376" s="70"/>
      <c r="D3376" s="70"/>
      <c r="E3376" s="70"/>
      <c r="F3376" s="70"/>
      <c r="G3376" s="70"/>
      <c r="H3376" s="93"/>
      <c r="I3376" s="85"/>
      <c r="J3376" s="85"/>
      <c r="K3376" s="131"/>
      <c r="L3376" s="60"/>
      <c r="M3376" s="33"/>
    </row>
    <row r="3377" spans="1:26" x14ac:dyDescent="0.15">
      <c r="A3377" s="170"/>
      <c r="B3377" s="82"/>
      <c r="C3377" s="83"/>
      <c r="D3377" s="83"/>
      <c r="E3377" s="81"/>
      <c r="F3377" s="83"/>
      <c r="G3377" s="83"/>
      <c r="H3377" s="82"/>
      <c r="I3377" s="85"/>
      <c r="J3377" s="84"/>
      <c r="K3377" s="139"/>
      <c r="L3377" s="72"/>
      <c r="M3377" s="31"/>
    </row>
    <row r="3378" spans="1:26" x14ac:dyDescent="0.15">
      <c r="A3378" s="166"/>
      <c r="B3378" s="93"/>
      <c r="C3378" s="70"/>
      <c r="D3378" s="70"/>
      <c r="E3378" s="70"/>
      <c r="F3378" s="70"/>
      <c r="G3378" s="70"/>
      <c r="H3378" s="93"/>
      <c r="I3378" s="85"/>
      <c r="J3378" s="85"/>
      <c r="K3378" s="131"/>
      <c r="L3378" s="60"/>
    </row>
    <row r="3379" spans="1:26" x14ac:dyDescent="0.15">
      <c r="A3379" s="166"/>
      <c r="B3379" s="93"/>
      <c r="C3379" s="70"/>
      <c r="D3379" s="70"/>
      <c r="E3379" s="70"/>
      <c r="F3379" s="70"/>
      <c r="G3379" s="70"/>
      <c r="H3379" s="93"/>
      <c r="I3379" s="85"/>
      <c r="J3379" s="85"/>
      <c r="K3379" s="131"/>
      <c r="L3379" s="70"/>
    </row>
    <row r="3380" spans="1:26" x14ac:dyDescent="0.15">
      <c r="A3380" s="166"/>
      <c r="B3380" s="82"/>
      <c r="C3380" s="70"/>
      <c r="D3380" s="70"/>
      <c r="E3380" s="70"/>
      <c r="F3380" s="70"/>
      <c r="G3380" s="70"/>
      <c r="H3380" s="93"/>
      <c r="I3380" s="85"/>
      <c r="J3380" s="85"/>
      <c r="K3380" s="131"/>
      <c r="L3380" s="60"/>
      <c r="S3380"/>
      <c r="T3380"/>
      <c r="U3380"/>
      <c r="V3380"/>
      <c r="W3380"/>
      <c r="X3380"/>
      <c r="Y3380"/>
      <c r="Z3380"/>
    </row>
    <row r="3381" spans="1:26" x14ac:dyDescent="0.15">
      <c r="A3381" s="166"/>
      <c r="B3381" s="82"/>
      <c r="C3381" s="70"/>
      <c r="D3381" s="70"/>
      <c r="E3381" s="70"/>
      <c r="F3381" s="70"/>
      <c r="G3381" s="70"/>
      <c r="H3381" s="93"/>
      <c r="I3381" s="85"/>
      <c r="J3381" s="85"/>
      <c r="K3381" s="131"/>
      <c r="L3381" s="60"/>
      <c r="S3381"/>
      <c r="T3381"/>
      <c r="U3381"/>
      <c r="V3381"/>
      <c r="W3381"/>
      <c r="X3381"/>
      <c r="Y3381"/>
      <c r="Z3381"/>
    </row>
    <row r="3382" spans="1:26" x14ac:dyDescent="0.15">
      <c r="A3382" s="165"/>
      <c r="B3382" s="97"/>
      <c r="C3382" s="61"/>
      <c r="D3382" s="61"/>
      <c r="E3382" s="61"/>
      <c r="F3382" s="61"/>
      <c r="G3382" s="61"/>
      <c r="H3382" s="115"/>
      <c r="I3382" s="85"/>
      <c r="J3382" s="103"/>
      <c r="K3382" s="141"/>
      <c r="L3382" s="67"/>
      <c r="M3382" s="54"/>
      <c r="S3382"/>
      <c r="T3382"/>
      <c r="U3382"/>
      <c r="V3382"/>
      <c r="W3382"/>
      <c r="X3382"/>
      <c r="Y3382"/>
      <c r="Z3382"/>
    </row>
    <row r="3383" spans="1:26" x14ac:dyDescent="0.15">
      <c r="A3383" s="166"/>
      <c r="B3383" s="82"/>
      <c r="C3383" s="70"/>
      <c r="D3383" s="70"/>
      <c r="E3383" s="70"/>
      <c r="F3383" s="70"/>
      <c r="G3383" s="70"/>
      <c r="H3383" s="93"/>
      <c r="I3383" s="85"/>
      <c r="J3383" s="85"/>
      <c r="K3383" s="131"/>
      <c r="L3383" s="60"/>
      <c r="S3383"/>
      <c r="T3383"/>
      <c r="U3383"/>
      <c r="V3383"/>
      <c r="W3383"/>
      <c r="X3383"/>
      <c r="Y3383"/>
      <c r="Z3383"/>
    </row>
    <row r="3384" spans="1:26" x14ac:dyDescent="0.15">
      <c r="A3384" s="166"/>
      <c r="B3384" s="82"/>
      <c r="C3384" s="70"/>
      <c r="D3384" s="70"/>
      <c r="E3384" s="70"/>
      <c r="F3384" s="70"/>
      <c r="G3384" s="70"/>
      <c r="H3384" s="93"/>
      <c r="I3384" s="85"/>
      <c r="J3384" s="85"/>
      <c r="K3384" s="131"/>
      <c r="L3384" s="60"/>
    </row>
    <row r="3385" spans="1:26" x14ac:dyDescent="0.15">
      <c r="A3385" s="166"/>
      <c r="B3385" s="82"/>
      <c r="C3385" s="70"/>
      <c r="D3385" s="70"/>
      <c r="E3385" s="70"/>
      <c r="F3385" s="70"/>
      <c r="G3385" s="70"/>
      <c r="H3385" s="93"/>
      <c r="I3385" s="85"/>
      <c r="J3385" s="85"/>
      <c r="K3385" s="131"/>
      <c r="L3385" s="69"/>
    </row>
    <row r="3386" spans="1:26" x14ac:dyDescent="0.15">
      <c r="A3386" s="166"/>
      <c r="B3386" s="82"/>
      <c r="C3386" s="70"/>
      <c r="D3386" s="70"/>
      <c r="E3386" s="70"/>
      <c r="F3386" s="70"/>
      <c r="G3386" s="70"/>
      <c r="H3386" s="93"/>
      <c r="I3386" s="85"/>
      <c r="J3386" s="85"/>
      <c r="K3386" s="131"/>
      <c r="L3386" s="60"/>
    </row>
    <row r="3387" spans="1:26" x14ac:dyDescent="0.15">
      <c r="A3387" s="166"/>
      <c r="B3387" s="82"/>
      <c r="C3387" s="70"/>
      <c r="D3387" s="70"/>
      <c r="E3387" s="70"/>
      <c r="F3387" s="70"/>
      <c r="G3387" s="70"/>
      <c r="H3387" s="93"/>
      <c r="I3387" s="85"/>
      <c r="J3387" s="85"/>
      <c r="K3387" s="131"/>
      <c r="L3387" s="60"/>
    </row>
    <row r="3388" spans="1:26" x14ac:dyDescent="0.15">
      <c r="A3388" s="166"/>
      <c r="B3388" s="82"/>
      <c r="C3388" s="70"/>
      <c r="D3388" s="70"/>
      <c r="E3388" s="70"/>
      <c r="F3388" s="70"/>
      <c r="G3388" s="70"/>
      <c r="H3388" s="93"/>
      <c r="I3388" s="85"/>
      <c r="J3388" s="85"/>
      <c r="K3388" s="131"/>
      <c r="L3388" s="60"/>
    </row>
    <row r="3389" spans="1:26" x14ac:dyDescent="0.15">
      <c r="A3389" s="166"/>
      <c r="B3389" s="82"/>
      <c r="C3389" s="70"/>
      <c r="D3389" s="70"/>
      <c r="E3389" s="70"/>
      <c r="F3389" s="70"/>
      <c r="G3389" s="70"/>
      <c r="H3389" s="93"/>
      <c r="I3389" s="85"/>
      <c r="J3389" s="85"/>
      <c r="K3389" s="131"/>
      <c r="L3389" s="60"/>
      <c r="M3389" s="50"/>
    </row>
    <row r="3390" spans="1:26" x14ac:dyDescent="0.15">
      <c r="A3390" s="166"/>
      <c r="B3390" s="82"/>
      <c r="C3390" s="70"/>
      <c r="D3390" s="70"/>
      <c r="E3390" s="70"/>
      <c r="F3390" s="70"/>
      <c r="G3390" s="70"/>
      <c r="H3390" s="93"/>
      <c r="I3390" s="85"/>
      <c r="J3390" s="85"/>
      <c r="K3390" s="131"/>
      <c r="L3390" s="60"/>
      <c r="M3390" s="50"/>
    </row>
    <row r="3391" spans="1:26" x14ac:dyDescent="0.15">
      <c r="A3391" s="166"/>
      <c r="B3391" s="82"/>
      <c r="C3391" s="70"/>
      <c r="D3391" s="70"/>
      <c r="E3391" s="70"/>
      <c r="F3391" s="70"/>
      <c r="G3391" s="70"/>
      <c r="H3391" s="93"/>
      <c r="I3391" s="85"/>
      <c r="J3391" s="85"/>
      <c r="K3391" s="131"/>
      <c r="L3391" s="60"/>
      <c r="M3391" s="50"/>
    </row>
    <row r="3392" spans="1:26" x14ac:dyDescent="0.15">
      <c r="A3392" s="166"/>
      <c r="B3392" s="82"/>
      <c r="C3392" s="70"/>
      <c r="D3392" s="70"/>
      <c r="E3392" s="70"/>
      <c r="F3392" s="70"/>
      <c r="G3392" s="70"/>
      <c r="H3392" s="93"/>
      <c r="I3392" s="85"/>
      <c r="J3392" s="85"/>
      <c r="K3392" s="131"/>
      <c r="L3392" s="60"/>
    </row>
    <row r="3393" spans="1:13" x14ac:dyDescent="0.15">
      <c r="A3393" s="166"/>
      <c r="B3393" s="82"/>
      <c r="C3393" s="70"/>
      <c r="D3393" s="70"/>
      <c r="E3393" s="70"/>
      <c r="F3393" s="70"/>
      <c r="G3393" s="70"/>
      <c r="H3393" s="93"/>
      <c r="I3393" s="85"/>
      <c r="J3393" s="85"/>
      <c r="K3393" s="131"/>
      <c r="L3393" s="60"/>
    </row>
    <row r="3394" spans="1:13" x14ac:dyDescent="0.15">
      <c r="A3394" s="166"/>
      <c r="B3394" s="82"/>
      <c r="C3394" s="70"/>
      <c r="D3394" s="70"/>
      <c r="E3394" s="70"/>
      <c r="F3394" s="70"/>
      <c r="G3394" s="70"/>
      <c r="H3394" s="93"/>
      <c r="I3394" s="85"/>
      <c r="J3394" s="85"/>
      <c r="K3394" s="131"/>
      <c r="L3394" s="60"/>
      <c r="M3394" s="50"/>
    </row>
    <row r="3395" spans="1:13" x14ac:dyDescent="0.15">
      <c r="A3395" s="166"/>
      <c r="B3395" s="82"/>
      <c r="C3395" s="70"/>
      <c r="D3395" s="70"/>
      <c r="E3395" s="70"/>
      <c r="F3395" s="70"/>
      <c r="G3395" s="70"/>
      <c r="H3395" s="93"/>
      <c r="I3395" s="85"/>
      <c r="J3395" s="85"/>
      <c r="K3395" s="131"/>
      <c r="L3395" s="60"/>
      <c r="M3395" s="50"/>
    </row>
    <row r="3396" spans="1:13" x14ac:dyDescent="0.15">
      <c r="A3396" s="166"/>
      <c r="B3396" s="82"/>
      <c r="C3396" s="70"/>
      <c r="D3396" s="70"/>
      <c r="E3396" s="70"/>
      <c r="F3396" s="70"/>
      <c r="G3396" s="70"/>
      <c r="H3396" s="93"/>
      <c r="I3396" s="85"/>
      <c r="J3396" s="85"/>
      <c r="K3396" s="131"/>
      <c r="L3396" s="69"/>
    </row>
    <row r="3397" spans="1:13" x14ac:dyDescent="0.15">
      <c r="A3397" s="166"/>
      <c r="B3397" s="82"/>
      <c r="C3397" s="70"/>
      <c r="D3397" s="70"/>
      <c r="E3397" s="70"/>
      <c r="F3397" s="70"/>
      <c r="G3397" s="70"/>
      <c r="H3397" s="93"/>
      <c r="I3397" s="85"/>
      <c r="J3397" s="85"/>
      <c r="K3397" s="131"/>
      <c r="L3397" s="69"/>
    </row>
    <row r="3398" spans="1:13" x14ac:dyDescent="0.15">
      <c r="A3398" s="166"/>
      <c r="B3398" s="82"/>
      <c r="C3398" s="70"/>
      <c r="D3398" s="70"/>
      <c r="E3398" s="70"/>
      <c r="F3398" s="70"/>
      <c r="G3398" s="70"/>
      <c r="H3398" s="93"/>
      <c r="I3398" s="85"/>
      <c r="J3398" s="85"/>
      <c r="K3398" s="131"/>
      <c r="L3398" s="69"/>
    </row>
    <row r="3399" spans="1:13" x14ac:dyDescent="0.15">
      <c r="A3399" s="166"/>
      <c r="B3399" s="82"/>
      <c r="C3399" s="70"/>
      <c r="D3399" s="70"/>
      <c r="E3399" s="70"/>
      <c r="F3399" s="70"/>
      <c r="G3399" s="70"/>
      <c r="H3399" s="93"/>
      <c r="I3399" s="85"/>
      <c r="J3399" s="85"/>
      <c r="K3399" s="131"/>
      <c r="L3399" s="69"/>
    </row>
    <row r="3400" spans="1:13" x14ac:dyDescent="0.15">
      <c r="A3400" s="166"/>
      <c r="B3400" s="82"/>
      <c r="C3400" s="70"/>
      <c r="D3400" s="70"/>
      <c r="E3400" s="70"/>
      <c r="F3400" s="70"/>
      <c r="G3400" s="70"/>
      <c r="H3400" s="93"/>
      <c r="I3400" s="85"/>
      <c r="J3400" s="85"/>
      <c r="K3400" s="131"/>
      <c r="L3400" s="69"/>
    </row>
    <row r="3401" spans="1:13" x14ac:dyDescent="0.15">
      <c r="A3401" s="166"/>
      <c r="B3401" s="82"/>
      <c r="C3401" s="70"/>
      <c r="D3401" s="70"/>
      <c r="E3401" s="70"/>
      <c r="F3401" s="70"/>
      <c r="G3401" s="70"/>
      <c r="H3401" s="108"/>
      <c r="I3401" s="85"/>
      <c r="J3401" s="85"/>
      <c r="K3401" s="131"/>
      <c r="L3401" s="69"/>
    </row>
    <row r="3402" spans="1:13" x14ac:dyDescent="0.15">
      <c r="A3402" s="166"/>
      <c r="B3402" s="82"/>
      <c r="C3402" s="70"/>
      <c r="D3402" s="70"/>
      <c r="E3402" s="70"/>
      <c r="F3402" s="70"/>
      <c r="G3402" s="70"/>
      <c r="H3402" s="93"/>
      <c r="I3402" s="85"/>
      <c r="J3402" s="85"/>
      <c r="K3402" s="131"/>
      <c r="L3402" s="69"/>
    </row>
    <row r="3403" spans="1:13" x14ac:dyDescent="0.15">
      <c r="A3403" s="166"/>
      <c r="B3403" s="82"/>
      <c r="C3403" s="70"/>
      <c r="D3403" s="70"/>
      <c r="E3403" s="70"/>
      <c r="F3403" s="70"/>
      <c r="G3403" s="70"/>
      <c r="H3403" s="93"/>
      <c r="I3403" s="85"/>
      <c r="J3403" s="85"/>
      <c r="K3403" s="131"/>
      <c r="L3403" s="69"/>
    </row>
    <row r="3404" spans="1:13" x14ac:dyDescent="0.15">
      <c r="A3404" s="166"/>
      <c r="B3404" s="82"/>
      <c r="C3404" s="70"/>
      <c r="D3404" s="70"/>
      <c r="E3404" s="70"/>
      <c r="F3404" s="70"/>
      <c r="G3404" s="70"/>
      <c r="H3404" s="93"/>
      <c r="I3404" s="85"/>
      <c r="J3404" s="85"/>
      <c r="K3404" s="131"/>
      <c r="L3404" s="72"/>
    </row>
    <row r="3405" spans="1:13" x14ac:dyDescent="0.15">
      <c r="A3405" s="166"/>
      <c r="B3405" s="82"/>
      <c r="C3405" s="70"/>
      <c r="D3405" s="70"/>
      <c r="E3405" s="70"/>
      <c r="F3405" s="70"/>
      <c r="G3405" s="70"/>
      <c r="H3405" s="93"/>
      <c r="I3405" s="85"/>
      <c r="J3405" s="85"/>
      <c r="K3405" s="131"/>
      <c r="L3405" s="69"/>
    </row>
    <row r="3406" spans="1:13" x14ac:dyDescent="0.15">
      <c r="A3406" s="166"/>
      <c r="B3406" s="82"/>
      <c r="C3406" s="70"/>
      <c r="D3406" s="70"/>
      <c r="E3406" s="70"/>
      <c r="F3406" s="70"/>
      <c r="G3406" s="70"/>
      <c r="H3406" s="93"/>
      <c r="I3406" s="85"/>
      <c r="J3406" s="85"/>
      <c r="K3406" s="131"/>
      <c r="L3406" s="69"/>
    </row>
    <row r="3407" spans="1:13" x14ac:dyDescent="0.15">
      <c r="A3407" s="166"/>
      <c r="B3407" s="82"/>
      <c r="C3407" s="70"/>
      <c r="D3407" s="70"/>
      <c r="E3407" s="70"/>
      <c r="F3407" s="70"/>
      <c r="G3407" s="70"/>
      <c r="H3407" s="93"/>
      <c r="I3407" s="85"/>
      <c r="J3407" s="85"/>
      <c r="K3407" s="131"/>
      <c r="L3407" s="69"/>
    </row>
    <row r="3408" spans="1:13" x14ac:dyDescent="0.15">
      <c r="A3408" s="166"/>
      <c r="B3408" s="82"/>
      <c r="C3408" s="70"/>
      <c r="D3408" s="70"/>
      <c r="E3408" s="70"/>
      <c r="F3408" s="70"/>
      <c r="G3408" s="70"/>
      <c r="H3408" s="93"/>
      <c r="I3408" s="85"/>
      <c r="J3408" s="85"/>
      <c r="K3408" s="131"/>
      <c r="L3408" s="69"/>
    </row>
    <row r="3409" spans="1:13" x14ac:dyDescent="0.15">
      <c r="A3409" s="166"/>
      <c r="B3409" s="82"/>
      <c r="C3409" s="70"/>
      <c r="D3409" s="70"/>
      <c r="E3409" s="70"/>
      <c r="F3409" s="70"/>
      <c r="G3409" s="70"/>
      <c r="H3409" s="93"/>
      <c r="I3409" s="85"/>
      <c r="J3409" s="85"/>
      <c r="K3409" s="131"/>
      <c r="L3409" s="69"/>
    </row>
    <row r="3410" spans="1:13" x14ac:dyDescent="0.15">
      <c r="A3410" s="166"/>
      <c r="B3410" s="82"/>
      <c r="C3410" s="70"/>
      <c r="D3410" s="70"/>
      <c r="E3410" s="70"/>
      <c r="F3410" s="70"/>
      <c r="G3410" s="70"/>
      <c r="H3410" s="93"/>
      <c r="I3410" s="85"/>
      <c r="J3410" s="85"/>
      <c r="K3410" s="131"/>
      <c r="L3410" s="69"/>
    </row>
    <row r="3411" spans="1:13" x14ac:dyDescent="0.15">
      <c r="A3411" s="166"/>
      <c r="B3411" s="82"/>
      <c r="C3411" s="70"/>
      <c r="D3411" s="70"/>
      <c r="E3411" s="70"/>
      <c r="F3411" s="70"/>
      <c r="G3411" s="70"/>
      <c r="H3411" s="93"/>
      <c r="I3411" s="85"/>
      <c r="J3411" s="85"/>
      <c r="K3411" s="131"/>
      <c r="L3411" s="60"/>
    </row>
    <row r="3412" spans="1:13" x14ac:dyDescent="0.15">
      <c r="A3412" s="166"/>
      <c r="B3412" s="82"/>
      <c r="C3412" s="70"/>
      <c r="D3412" s="70"/>
      <c r="E3412" s="70"/>
      <c r="F3412" s="70"/>
      <c r="G3412" s="70"/>
      <c r="H3412" s="93"/>
      <c r="I3412" s="85"/>
      <c r="J3412" s="85"/>
      <c r="K3412" s="131"/>
      <c r="L3412" s="60"/>
      <c r="M3412" s="50"/>
    </row>
    <row r="3413" spans="1:13" x14ac:dyDescent="0.15">
      <c r="A3413" s="166"/>
      <c r="B3413" s="82"/>
      <c r="C3413" s="70"/>
      <c r="D3413" s="70"/>
      <c r="E3413" s="70"/>
      <c r="F3413" s="70"/>
      <c r="G3413" s="70"/>
      <c r="H3413" s="108"/>
      <c r="I3413" s="85"/>
      <c r="J3413" s="85"/>
      <c r="K3413" s="131"/>
      <c r="L3413" s="60"/>
    </row>
    <row r="3414" spans="1:13" x14ac:dyDescent="0.15">
      <c r="A3414" s="166"/>
      <c r="B3414" s="82"/>
      <c r="C3414" s="70"/>
      <c r="D3414" s="70"/>
      <c r="E3414" s="70"/>
      <c r="F3414" s="70"/>
      <c r="G3414" s="70"/>
      <c r="H3414" s="93"/>
      <c r="I3414" s="85"/>
      <c r="J3414" s="85"/>
      <c r="K3414" s="131"/>
      <c r="L3414" s="60"/>
      <c r="M3414" s="50"/>
    </row>
    <row r="3415" spans="1:13" x14ac:dyDescent="0.15">
      <c r="A3415" s="166"/>
      <c r="B3415" s="82"/>
      <c r="C3415" s="70"/>
      <c r="D3415" s="70"/>
      <c r="E3415" s="70"/>
      <c r="F3415" s="70"/>
      <c r="G3415" s="70"/>
      <c r="H3415" s="93"/>
      <c r="I3415" s="85"/>
      <c r="J3415" s="85"/>
      <c r="K3415" s="131"/>
      <c r="L3415" s="60"/>
      <c r="M3415" s="50"/>
    </row>
    <row r="3416" spans="1:13" x14ac:dyDescent="0.15">
      <c r="A3416" s="166"/>
      <c r="B3416" s="82"/>
      <c r="C3416" s="70"/>
      <c r="D3416" s="70"/>
      <c r="E3416" s="70"/>
      <c r="F3416" s="70"/>
      <c r="G3416" s="70"/>
      <c r="H3416" s="93"/>
      <c r="I3416" s="85"/>
      <c r="J3416" s="85"/>
      <c r="K3416" s="131"/>
      <c r="L3416" s="60"/>
      <c r="M3416" s="50"/>
    </row>
    <row r="3417" spans="1:13" x14ac:dyDescent="0.15">
      <c r="A3417" s="166"/>
      <c r="B3417" s="82"/>
      <c r="C3417" s="70"/>
      <c r="D3417" s="70"/>
      <c r="E3417" s="70"/>
      <c r="F3417" s="70"/>
      <c r="G3417" s="70"/>
      <c r="H3417" s="93"/>
      <c r="I3417" s="85"/>
      <c r="J3417" s="85"/>
      <c r="K3417" s="131"/>
      <c r="L3417" s="60"/>
    </row>
    <row r="3418" spans="1:13" x14ac:dyDescent="0.15">
      <c r="A3418" s="166"/>
      <c r="B3418" s="82"/>
      <c r="C3418" s="70"/>
      <c r="D3418" s="70"/>
      <c r="E3418" s="70"/>
      <c r="F3418" s="70"/>
      <c r="G3418" s="70"/>
      <c r="H3418" s="93"/>
      <c r="I3418" s="85"/>
      <c r="J3418" s="85"/>
      <c r="K3418" s="131"/>
      <c r="L3418" s="60"/>
      <c r="M3418" s="50"/>
    </row>
    <row r="3419" spans="1:13" x14ac:dyDescent="0.15">
      <c r="A3419" s="166"/>
      <c r="B3419" s="82"/>
      <c r="C3419" s="70"/>
      <c r="D3419" s="70"/>
      <c r="E3419" s="70"/>
      <c r="F3419" s="70"/>
      <c r="G3419" s="70"/>
      <c r="H3419" s="93"/>
      <c r="I3419" s="85"/>
      <c r="J3419" s="85"/>
      <c r="K3419" s="131"/>
      <c r="L3419" s="60"/>
      <c r="M3419" s="50"/>
    </row>
    <row r="3420" spans="1:13" x14ac:dyDescent="0.15">
      <c r="A3420" s="166"/>
      <c r="B3420" s="82"/>
      <c r="C3420" s="70"/>
      <c r="D3420" s="70"/>
      <c r="E3420" s="70"/>
      <c r="F3420" s="70"/>
      <c r="G3420" s="70"/>
      <c r="H3420" s="93"/>
      <c r="I3420" s="85"/>
      <c r="J3420" s="85"/>
      <c r="K3420" s="131"/>
      <c r="L3420" s="60"/>
    </row>
    <row r="3421" spans="1:13" x14ac:dyDescent="0.15">
      <c r="A3421" s="166"/>
      <c r="B3421" s="82"/>
      <c r="C3421" s="70"/>
      <c r="D3421" s="70"/>
      <c r="E3421" s="70"/>
      <c r="F3421" s="70"/>
      <c r="G3421" s="70"/>
      <c r="H3421" s="93"/>
      <c r="I3421" s="85"/>
      <c r="J3421" s="85"/>
      <c r="K3421" s="131"/>
      <c r="L3421" s="60"/>
    </row>
    <row r="3422" spans="1:13" x14ac:dyDescent="0.15">
      <c r="A3422" s="166"/>
      <c r="B3422" s="82"/>
      <c r="C3422" s="70"/>
      <c r="D3422" s="70"/>
      <c r="E3422" s="70"/>
      <c r="F3422" s="70"/>
      <c r="G3422" s="70"/>
      <c r="H3422" s="93"/>
      <c r="I3422" s="85"/>
      <c r="J3422" s="85"/>
      <c r="K3422" s="131"/>
      <c r="L3422" s="60"/>
    </row>
    <row r="3423" spans="1:13" x14ac:dyDescent="0.15">
      <c r="A3423" s="166"/>
      <c r="B3423" s="82"/>
      <c r="C3423" s="70"/>
      <c r="D3423" s="70"/>
      <c r="E3423" s="70"/>
      <c r="F3423" s="70"/>
      <c r="G3423" s="70"/>
      <c r="H3423" s="93"/>
      <c r="I3423" s="85"/>
      <c r="J3423" s="85"/>
      <c r="K3423" s="131"/>
      <c r="L3423" s="60"/>
      <c r="M3423" s="50"/>
    </row>
    <row r="3424" spans="1:13" x14ac:dyDescent="0.15">
      <c r="A3424" s="166"/>
      <c r="B3424" s="82"/>
      <c r="C3424" s="70"/>
      <c r="D3424" s="70"/>
      <c r="E3424" s="70"/>
      <c r="F3424" s="70"/>
      <c r="G3424" s="70"/>
      <c r="H3424" s="93"/>
      <c r="I3424" s="85"/>
      <c r="J3424" s="85"/>
      <c r="K3424" s="131"/>
      <c r="L3424" s="60"/>
    </row>
    <row r="3425" spans="1:13" x14ac:dyDescent="0.15">
      <c r="A3425" s="166"/>
      <c r="B3425" s="82"/>
      <c r="C3425" s="70"/>
      <c r="D3425" s="70"/>
      <c r="E3425" s="70"/>
      <c r="F3425" s="70"/>
      <c r="G3425" s="70"/>
      <c r="H3425" s="93"/>
      <c r="I3425" s="85"/>
      <c r="J3425" s="85"/>
      <c r="K3425" s="131"/>
      <c r="L3425" s="60"/>
      <c r="M3425" s="50"/>
    </row>
    <row r="3426" spans="1:13" x14ac:dyDescent="0.15">
      <c r="A3426" s="166"/>
      <c r="B3426" s="82"/>
      <c r="C3426" s="70"/>
      <c r="D3426" s="70"/>
      <c r="E3426" s="70"/>
      <c r="F3426" s="70"/>
      <c r="G3426" s="70"/>
      <c r="H3426" s="93"/>
      <c r="I3426" s="85"/>
      <c r="J3426" s="85"/>
      <c r="K3426" s="131"/>
      <c r="L3426" s="60"/>
    </row>
    <row r="3427" spans="1:13" x14ac:dyDescent="0.15">
      <c r="A3427" s="166"/>
      <c r="B3427" s="82"/>
      <c r="C3427" s="70"/>
      <c r="D3427" s="70"/>
      <c r="E3427" s="70"/>
      <c r="F3427" s="70"/>
      <c r="G3427" s="70"/>
      <c r="H3427" s="93"/>
      <c r="I3427" s="85"/>
      <c r="J3427" s="85"/>
      <c r="K3427" s="131"/>
      <c r="L3427" s="60"/>
      <c r="M3427" s="50"/>
    </row>
    <row r="3428" spans="1:13" x14ac:dyDescent="0.15">
      <c r="A3428" s="166"/>
      <c r="B3428" s="82"/>
      <c r="C3428" s="70"/>
      <c r="D3428" s="70"/>
      <c r="E3428" s="70"/>
      <c r="F3428" s="70"/>
      <c r="G3428" s="70"/>
      <c r="H3428" s="93"/>
      <c r="I3428" s="85"/>
      <c r="J3428" s="85"/>
      <c r="K3428" s="131"/>
      <c r="L3428" s="60"/>
    </row>
    <row r="3429" spans="1:13" x14ac:dyDescent="0.15">
      <c r="A3429" s="166"/>
      <c r="B3429" s="82"/>
      <c r="C3429" s="70"/>
      <c r="D3429" s="70"/>
      <c r="E3429" s="70"/>
      <c r="F3429" s="70"/>
      <c r="G3429" s="70"/>
      <c r="H3429" s="93"/>
      <c r="I3429" s="85"/>
      <c r="J3429" s="85"/>
      <c r="K3429" s="131"/>
      <c r="L3429" s="60"/>
    </row>
    <row r="3430" spans="1:13" x14ac:dyDescent="0.15">
      <c r="A3430" s="166"/>
      <c r="B3430" s="82"/>
      <c r="C3430" s="70"/>
      <c r="D3430" s="70"/>
      <c r="E3430" s="70"/>
      <c r="F3430" s="70"/>
      <c r="G3430" s="70"/>
      <c r="H3430" s="93"/>
      <c r="I3430" s="85"/>
      <c r="J3430" s="85"/>
      <c r="K3430" s="131"/>
      <c r="L3430" s="60"/>
    </row>
    <row r="3431" spans="1:13" x14ac:dyDescent="0.15">
      <c r="A3431" s="166"/>
      <c r="B3431" s="82"/>
      <c r="C3431" s="70"/>
      <c r="D3431" s="70"/>
      <c r="E3431" s="70"/>
      <c r="F3431" s="70"/>
      <c r="G3431" s="70"/>
      <c r="H3431" s="93"/>
      <c r="I3431" s="85"/>
      <c r="J3431" s="85"/>
      <c r="K3431" s="131"/>
      <c r="L3431" s="60"/>
      <c r="M3431" s="50"/>
    </row>
    <row r="3432" spans="1:13" x14ac:dyDescent="0.15">
      <c r="A3432" s="166"/>
      <c r="B3432" s="82"/>
      <c r="C3432" s="70"/>
      <c r="D3432" s="70"/>
      <c r="E3432" s="70"/>
      <c r="F3432" s="70"/>
      <c r="G3432" s="70"/>
      <c r="H3432" s="93"/>
      <c r="I3432" s="85"/>
      <c r="J3432" s="85"/>
      <c r="K3432" s="131"/>
      <c r="L3432" s="60"/>
      <c r="M3432" s="50"/>
    </row>
    <row r="3433" spans="1:13" x14ac:dyDescent="0.15">
      <c r="A3433" s="166"/>
      <c r="B3433" s="82"/>
      <c r="C3433" s="70"/>
      <c r="D3433" s="70"/>
      <c r="E3433" s="70"/>
      <c r="F3433" s="70"/>
      <c r="G3433" s="70"/>
      <c r="H3433" s="93"/>
      <c r="I3433" s="85"/>
      <c r="J3433" s="85"/>
      <c r="K3433" s="131"/>
      <c r="L3433" s="60"/>
      <c r="M3433" s="50"/>
    </row>
    <row r="3434" spans="1:13" x14ac:dyDescent="0.15">
      <c r="A3434" s="166"/>
      <c r="B3434" s="82"/>
      <c r="C3434" s="70"/>
      <c r="D3434" s="70"/>
      <c r="E3434" s="70"/>
      <c r="F3434" s="70"/>
      <c r="G3434" s="70"/>
      <c r="H3434" s="108"/>
      <c r="I3434" s="85"/>
      <c r="J3434" s="85"/>
      <c r="K3434" s="131"/>
      <c r="L3434" s="60"/>
      <c r="M3434" s="50"/>
    </row>
    <row r="3435" spans="1:13" x14ac:dyDescent="0.15">
      <c r="A3435" s="166"/>
      <c r="B3435" s="82"/>
      <c r="C3435" s="70"/>
      <c r="D3435" s="70"/>
      <c r="E3435" s="70"/>
      <c r="F3435" s="70"/>
      <c r="G3435" s="70"/>
      <c r="H3435" s="93"/>
      <c r="I3435" s="85"/>
      <c r="J3435" s="85"/>
      <c r="K3435" s="131"/>
      <c r="L3435" s="60"/>
    </row>
    <row r="3436" spans="1:13" x14ac:dyDescent="0.15">
      <c r="A3436" s="166"/>
      <c r="B3436" s="82"/>
      <c r="C3436" s="70"/>
      <c r="D3436" s="70"/>
      <c r="E3436" s="70"/>
      <c r="F3436" s="70"/>
      <c r="G3436" s="70"/>
      <c r="H3436" s="93"/>
      <c r="I3436" s="85"/>
      <c r="J3436" s="85"/>
      <c r="K3436" s="131"/>
      <c r="L3436" s="60"/>
    </row>
    <row r="3437" spans="1:13" x14ac:dyDescent="0.15">
      <c r="A3437" s="166"/>
      <c r="B3437" s="82"/>
      <c r="C3437" s="70"/>
      <c r="D3437" s="70"/>
      <c r="E3437" s="70"/>
      <c r="F3437" s="70"/>
      <c r="G3437" s="70"/>
      <c r="H3437" s="93"/>
      <c r="I3437" s="85"/>
      <c r="J3437" s="85"/>
      <c r="K3437" s="131"/>
      <c r="L3437" s="60"/>
    </row>
    <row r="3438" spans="1:13" x14ac:dyDescent="0.15">
      <c r="A3438" s="166"/>
      <c r="B3438" s="82"/>
      <c r="C3438" s="70"/>
      <c r="D3438" s="70"/>
      <c r="E3438" s="70"/>
      <c r="F3438" s="70"/>
      <c r="G3438" s="70"/>
      <c r="H3438" s="93"/>
      <c r="I3438" s="85"/>
      <c r="J3438" s="85"/>
      <c r="K3438" s="131"/>
      <c r="L3438" s="60"/>
      <c r="M3438" s="50"/>
    </row>
    <row r="3439" spans="1:13" x14ac:dyDescent="0.15">
      <c r="A3439" s="166"/>
      <c r="B3439" s="82"/>
      <c r="C3439" s="70"/>
      <c r="D3439" s="70"/>
      <c r="E3439" s="70"/>
      <c r="F3439" s="70"/>
      <c r="G3439" s="70"/>
      <c r="H3439" s="93"/>
      <c r="I3439" s="85"/>
      <c r="J3439" s="85"/>
      <c r="K3439" s="131"/>
      <c r="L3439" s="60"/>
    </row>
    <row r="3440" spans="1:13" x14ac:dyDescent="0.15">
      <c r="A3440" s="166"/>
      <c r="B3440" s="82"/>
      <c r="C3440" s="70"/>
      <c r="D3440" s="70"/>
      <c r="E3440" s="70"/>
      <c r="F3440" s="70"/>
      <c r="G3440" s="70"/>
      <c r="H3440" s="93"/>
      <c r="I3440" s="85"/>
      <c r="J3440" s="85"/>
      <c r="K3440" s="131"/>
      <c r="L3440" s="60"/>
    </row>
    <row r="3441" spans="1:13" x14ac:dyDescent="0.15">
      <c r="A3441" s="166"/>
      <c r="B3441" s="82"/>
      <c r="C3441" s="70"/>
      <c r="D3441" s="70"/>
      <c r="E3441" s="70"/>
      <c r="F3441" s="70"/>
      <c r="G3441" s="70"/>
      <c r="H3441" s="93"/>
      <c r="I3441" s="85"/>
      <c r="J3441" s="85"/>
      <c r="K3441" s="131"/>
      <c r="L3441" s="60"/>
      <c r="M3441" s="50"/>
    </row>
    <row r="3442" spans="1:13" x14ac:dyDescent="0.15">
      <c r="A3442" s="166"/>
      <c r="B3442" s="82"/>
      <c r="C3442" s="70"/>
      <c r="D3442" s="70"/>
      <c r="E3442" s="70"/>
      <c r="F3442" s="70"/>
      <c r="G3442" s="70"/>
      <c r="H3442" s="93"/>
      <c r="I3442" s="85"/>
      <c r="J3442" s="85"/>
      <c r="K3442" s="131"/>
      <c r="L3442" s="60"/>
    </row>
    <row r="3443" spans="1:13" x14ac:dyDescent="0.15">
      <c r="A3443" s="166"/>
      <c r="B3443" s="82"/>
      <c r="C3443" s="70"/>
      <c r="D3443" s="70"/>
      <c r="E3443" s="70"/>
      <c r="F3443" s="70"/>
      <c r="G3443" s="70"/>
      <c r="H3443" s="93"/>
      <c r="I3443" s="85"/>
      <c r="J3443" s="85"/>
      <c r="K3443" s="131"/>
      <c r="L3443" s="60"/>
    </row>
    <row r="3444" spans="1:13" x14ac:dyDescent="0.15">
      <c r="A3444" s="166"/>
      <c r="B3444" s="82"/>
      <c r="C3444" s="70"/>
      <c r="D3444" s="70"/>
      <c r="E3444" s="70"/>
      <c r="F3444" s="70"/>
      <c r="G3444" s="70"/>
      <c r="H3444" s="93"/>
      <c r="I3444" s="85"/>
      <c r="J3444" s="85"/>
      <c r="K3444" s="131"/>
      <c r="L3444" s="60"/>
    </row>
    <row r="3445" spans="1:13" x14ac:dyDescent="0.15">
      <c r="A3445" s="166"/>
      <c r="B3445" s="82"/>
      <c r="C3445" s="70"/>
      <c r="D3445" s="70"/>
      <c r="E3445" s="70"/>
      <c r="F3445" s="70"/>
      <c r="G3445" s="70"/>
      <c r="H3445" s="93"/>
      <c r="I3445" s="85"/>
      <c r="J3445" s="85"/>
      <c r="K3445" s="131"/>
      <c r="L3445" s="60"/>
    </row>
    <row r="3446" spans="1:13" x14ac:dyDescent="0.15">
      <c r="A3446" s="166"/>
      <c r="B3446" s="82"/>
      <c r="C3446" s="70"/>
      <c r="D3446" s="70"/>
      <c r="E3446" s="70"/>
      <c r="F3446" s="70"/>
      <c r="G3446" s="70"/>
      <c r="H3446" s="108"/>
      <c r="I3446" s="85"/>
      <c r="J3446" s="85"/>
      <c r="K3446" s="131"/>
      <c r="L3446" s="60"/>
    </row>
    <row r="3447" spans="1:13" x14ac:dyDescent="0.15">
      <c r="A3447" s="166"/>
      <c r="B3447" s="82"/>
      <c r="C3447" s="70"/>
      <c r="D3447" s="70"/>
      <c r="E3447" s="70"/>
      <c r="F3447" s="70"/>
      <c r="G3447" s="70"/>
      <c r="H3447" s="93"/>
      <c r="I3447" s="85"/>
      <c r="J3447" s="85"/>
      <c r="K3447" s="131"/>
      <c r="L3447" s="60"/>
    </row>
    <row r="3448" spans="1:13" x14ac:dyDescent="0.15">
      <c r="A3448" s="166"/>
      <c r="B3448" s="82"/>
      <c r="C3448" s="70"/>
      <c r="D3448" s="70"/>
      <c r="E3448" s="70"/>
      <c r="F3448" s="70"/>
      <c r="G3448" s="70"/>
      <c r="H3448" s="108"/>
      <c r="I3448" s="85"/>
      <c r="J3448" s="85"/>
      <c r="K3448" s="131"/>
      <c r="L3448" s="60"/>
    </row>
    <row r="3449" spans="1:13" x14ac:dyDescent="0.15">
      <c r="A3449" s="166"/>
      <c r="B3449" s="82"/>
      <c r="C3449" s="70"/>
      <c r="D3449" s="70"/>
      <c r="E3449" s="70"/>
      <c r="F3449" s="70"/>
      <c r="G3449" s="70"/>
      <c r="H3449" s="93"/>
      <c r="I3449" s="85"/>
      <c r="J3449" s="85"/>
      <c r="K3449" s="131"/>
      <c r="L3449" s="60"/>
    </row>
    <row r="3450" spans="1:13" x14ac:dyDescent="0.15">
      <c r="A3450" s="166"/>
      <c r="B3450" s="82"/>
      <c r="C3450" s="70"/>
      <c r="D3450" s="70"/>
      <c r="E3450" s="70"/>
      <c r="F3450" s="70"/>
      <c r="G3450" s="70"/>
      <c r="H3450" s="93"/>
      <c r="I3450" s="85"/>
      <c r="J3450" s="85"/>
      <c r="K3450" s="131"/>
      <c r="L3450" s="60"/>
    </row>
    <row r="3451" spans="1:13" x14ac:dyDescent="0.15">
      <c r="A3451" s="166"/>
      <c r="B3451" s="82"/>
      <c r="C3451" s="70"/>
      <c r="D3451" s="70"/>
      <c r="E3451" s="70"/>
      <c r="F3451" s="70"/>
      <c r="G3451" s="70"/>
      <c r="H3451" s="93"/>
      <c r="I3451" s="85"/>
      <c r="J3451" s="85"/>
      <c r="K3451" s="131"/>
      <c r="L3451" s="60"/>
    </row>
    <row r="3452" spans="1:13" x14ac:dyDescent="0.15">
      <c r="A3452" s="166"/>
      <c r="B3452" s="82"/>
      <c r="C3452" s="70"/>
      <c r="D3452" s="70"/>
      <c r="E3452" s="70"/>
      <c r="F3452" s="70"/>
      <c r="G3452" s="70"/>
      <c r="H3452" s="93"/>
      <c r="I3452" s="85"/>
      <c r="J3452" s="85"/>
      <c r="K3452" s="131"/>
      <c r="L3452" s="60"/>
    </row>
    <row r="3453" spans="1:13" x14ac:dyDescent="0.15">
      <c r="A3453" s="166"/>
      <c r="B3453" s="82"/>
      <c r="C3453" s="70"/>
      <c r="D3453" s="70"/>
      <c r="E3453" s="70"/>
      <c r="F3453" s="70"/>
      <c r="G3453" s="70"/>
      <c r="H3453" s="93"/>
      <c r="I3453" s="85"/>
      <c r="J3453" s="85"/>
      <c r="K3453" s="131"/>
      <c r="L3453" s="60"/>
    </row>
    <row r="3454" spans="1:13" x14ac:dyDescent="0.15">
      <c r="A3454" s="166"/>
      <c r="B3454" s="82"/>
      <c r="C3454" s="70"/>
      <c r="D3454" s="70"/>
      <c r="E3454" s="70"/>
      <c r="F3454" s="70"/>
      <c r="G3454" s="70"/>
      <c r="H3454" s="93"/>
      <c r="I3454" s="85"/>
      <c r="J3454" s="85"/>
      <c r="K3454" s="131"/>
      <c r="L3454" s="60"/>
    </row>
    <row r="3455" spans="1:13" x14ac:dyDescent="0.15">
      <c r="A3455" s="166"/>
      <c r="B3455" s="82"/>
      <c r="C3455" s="70"/>
      <c r="D3455" s="70"/>
      <c r="E3455" s="70"/>
      <c r="F3455" s="70"/>
      <c r="G3455" s="70"/>
      <c r="H3455" s="93"/>
      <c r="I3455" s="85"/>
      <c r="J3455" s="85"/>
      <c r="K3455" s="131"/>
      <c r="L3455" s="69"/>
    </row>
    <row r="3456" spans="1:13" x14ac:dyDescent="0.15">
      <c r="A3456" s="166"/>
      <c r="B3456" s="82"/>
      <c r="C3456" s="70"/>
      <c r="D3456" s="70"/>
      <c r="E3456" s="70"/>
      <c r="F3456" s="70"/>
      <c r="G3456" s="70"/>
      <c r="H3456" s="93"/>
      <c r="I3456" s="85"/>
      <c r="J3456" s="85"/>
      <c r="K3456" s="131"/>
      <c r="L3456" s="60"/>
    </row>
    <row r="3457" spans="1:12" x14ac:dyDescent="0.15">
      <c r="A3457" s="166"/>
      <c r="B3457" s="82"/>
      <c r="C3457" s="70"/>
      <c r="D3457" s="70"/>
      <c r="E3457" s="70"/>
      <c r="F3457" s="70"/>
      <c r="G3457" s="70"/>
      <c r="H3457" s="93"/>
      <c r="I3457" s="85"/>
      <c r="J3457" s="85"/>
      <c r="K3457" s="131"/>
      <c r="L3457" s="60"/>
    </row>
    <row r="3458" spans="1:12" x14ac:dyDescent="0.15">
      <c r="A3458" s="166"/>
      <c r="B3458" s="82"/>
      <c r="C3458" s="70"/>
      <c r="D3458" s="70"/>
      <c r="E3458" s="70"/>
      <c r="F3458" s="70"/>
      <c r="G3458" s="70"/>
      <c r="H3458" s="93"/>
      <c r="I3458" s="85"/>
      <c r="J3458" s="85"/>
      <c r="K3458" s="131"/>
      <c r="L3458" s="69"/>
    </row>
    <row r="3459" spans="1:12" x14ac:dyDescent="0.15">
      <c r="A3459" s="166"/>
      <c r="B3459" s="82"/>
      <c r="C3459" s="70"/>
      <c r="D3459" s="70"/>
      <c r="E3459" s="70"/>
      <c r="F3459" s="70"/>
      <c r="G3459" s="70"/>
      <c r="H3459" s="93"/>
      <c r="I3459" s="85"/>
      <c r="J3459" s="85"/>
      <c r="K3459" s="131"/>
      <c r="L3459" s="69"/>
    </row>
    <row r="3460" spans="1:12" x14ac:dyDescent="0.15">
      <c r="A3460" s="166"/>
      <c r="B3460" s="82"/>
      <c r="C3460" s="70"/>
      <c r="D3460" s="70"/>
      <c r="E3460" s="70"/>
      <c r="F3460" s="70"/>
      <c r="G3460" s="70"/>
      <c r="H3460" s="93"/>
      <c r="I3460" s="85"/>
      <c r="J3460" s="85"/>
      <c r="K3460" s="131"/>
      <c r="L3460" s="69"/>
    </row>
    <row r="3461" spans="1:12" x14ac:dyDescent="0.15">
      <c r="A3461" s="166"/>
      <c r="B3461" s="82"/>
      <c r="C3461" s="70"/>
      <c r="D3461" s="70"/>
      <c r="E3461" s="70"/>
      <c r="F3461" s="70"/>
      <c r="G3461" s="70"/>
      <c r="H3461" s="93"/>
      <c r="I3461" s="85"/>
      <c r="J3461" s="85"/>
      <c r="K3461" s="131"/>
      <c r="L3461" s="60"/>
    </row>
    <row r="3462" spans="1:12" x14ac:dyDescent="0.15">
      <c r="A3462" s="166"/>
      <c r="B3462" s="82"/>
      <c r="C3462" s="70"/>
      <c r="D3462" s="70"/>
      <c r="E3462" s="70"/>
      <c r="F3462" s="70"/>
      <c r="G3462" s="70"/>
      <c r="H3462" s="93"/>
      <c r="I3462" s="85"/>
      <c r="J3462" s="85"/>
      <c r="K3462" s="131"/>
      <c r="L3462" s="60"/>
    </row>
    <row r="3463" spans="1:12" x14ac:dyDescent="0.15">
      <c r="A3463" s="166"/>
      <c r="B3463" s="82"/>
      <c r="C3463" s="70"/>
      <c r="D3463" s="70"/>
      <c r="E3463" s="70"/>
      <c r="F3463" s="70"/>
      <c r="G3463" s="70"/>
      <c r="H3463" s="93"/>
      <c r="I3463" s="85"/>
      <c r="J3463" s="85"/>
      <c r="K3463" s="131"/>
      <c r="L3463" s="69"/>
    </row>
    <row r="3464" spans="1:12" x14ac:dyDescent="0.15">
      <c r="A3464" s="166"/>
      <c r="B3464" s="82"/>
      <c r="C3464" s="70"/>
      <c r="D3464" s="70"/>
      <c r="E3464" s="70"/>
      <c r="F3464" s="70"/>
      <c r="G3464" s="70"/>
      <c r="H3464" s="93"/>
      <c r="I3464" s="85"/>
      <c r="J3464" s="85"/>
      <c r="K3464" s="131"/>
      <c r="L3464" s="69"/>
    </row>
    <row r="3465" spans="1:12" x14ac:dyDescent="0.15">
      <c r="A3465" s="167"/>
      <c r="B3465" s="87"/>
      <c r="C3465" s="88"/>
      <c r="D3465" s="86"/>
      <c r="E3465" s="86"/>
      <c r="F3465" s="86"/>
      <c r="G3465" s="86"/>
      <c r="H3465" s="87"/>
      <c r="I3465" s="85"/>
      <c r="J3465" s="89"/>
      <c r="K3465" s="132"/>
      <c r="L3465" s="62"/>
    </row>
    <row r="3466" spans="1:12" x14ac:dyDescent="0.15">
      <c r="A3466" s="167"/>
      <c r="B3466" s="87"/>
      <c r="C3466" s="88"/>
      <c r="D3466" s="86"/>
      <c r="E3466" s="86"/>
      <c r="F3466" s="86"/>
      <c r="G3466" s="86"/>
      <c r="H3466" s="87"/>
      <c r="I3466" s="85"/>
      <c r="J3466" s="89"/>
      <c r="K3466" s="132"/>
      <c r="L3466" s="62"/>
    </row>
    <row r="3467" spans="1:12" x14ac:dyDescent="0.15">
      <c r="A3467" s="167"/>
      <c r="B3467" s="87"/>
      <c r="C3467" s="88"/>
      <c r="D3467" s="86"/>
      <c r="E3467" s="86"/>
      <c r="F3467" s="86"/>
      <c r="G3467" s="86"/>
      <c r="H3467" s="87"/>
      <c r="I3467" s="85"/>
      <c r="J3467" s="89"/>
      <c r="K3467" s="132"/>
      <c r="L3467" s="62"/>
    </row>
    <row r="3468" spans="1:12" x14ac:dyDescent="0.15">
      <c r="A3468" s="167"/>
      <c r="B3468" s="87"/>
      <c r="C3468" s="88"/>
      <c r="D3468" s="86"/>
      <c r="E3468" s="86"/>
      <c r="F3468" s="86"/>
      <c r="G3468" s="86"/>
      <c r="H3468" s="87"/>
      <c r="I3468" s="85"/>
      <c r="J3468" s="89"/>
      <c r="K3468" s="132"/>
      <c r="L3468" s="62"/>
    </row>
    <row r="3469" spans="1:12" x14ac:dyDescent="0.15">
      <c r="A3469" s="167"/>
      <c r="B3469" s="87"/>
      <c r="C3469" s="88"/>
      <c r="D3469" s="86"/>
      <c r="E3469" s="86"/>
      <c r="F3469" s="86"/>
      <c r="G3469" s="86"/>
      <c r="H3469" s="87"/>
      <c r="I3469" s="85"/>
      <c r="J3469" s="89"/>
      <c r="K3469" s="132"/>
      <c r="L3469" s="62"/>
    </row>
    <row r="3470" spans="1:12" x14ac:dyDescent="0.15">
      <c r="A3470" s="167"/>
      <c r="B3470" s="87"/>
      <c r="C3470" s="88"/>
      <c r="D3470" s="86"/>
      <c r="E3470" s="86"/>
      <c r="F3470" s="86"/>
      <c r="G3470" s="86"/>
      <c r="H3470" s="87"/>
      <c r="I3470" s="85"/>
      <c r="J3470" s="89"/>
      <c r="K3470" s="132"/>
      <c r="L3470" s="62"/>
    </row>
    <row r="3471" spans="1:12" x14ac:dyDescent="0.15">
      <c r="A3471" s="167"/>
      <c r="B3471" s="87"/>
      <c r="C3471" s="88"/>
      <c r="D3471" s="86"/>
      <c r="E3471" s="86"/>
      <c r="F3471" s="86"/>
      <c r="G3471" s="86"/>
      <c r="H3471" s="87"/>
      <c r="I3471" s="85"/>
      <c r="J3471" s="89"/>
      <c r="K3471" s="132"/>
      <c r="L3471" s="62"/>
    </row>
    <row r="3472" spans="1:12" x14ac:dyDescent="0.15">
      <c r="A3472" s="167"/>
      <c r="B3472" s="87"/>
      <c r="C3472" s="88"/>
      <c r="D3472" s="86"/>
      <c r="E3472" s="86"/>
      <c r="F3472" s="86"/>
      <c r="G3472" s="86"/>
      <c r="H3472" s="87"/>
      <c r="I3472" s="85"/>
      <c r="J3472" s="89"/>
      <c r="K3472" s="132"/>
      <c r="L3472" s="62"/>
    </row>
    <row r="3473" spans="1:28" x14ac:dyDescent="0.15">
      <c r="A3473" s="167"/>
      <c r="B3473" s="87"/>
      <c r="C3473" s="88"/>
      <c r="D3473" s="86"/>
      <c r="E3473" s="86"/>
      <c r="F3473" s="86"/>
      <c r="G3473" s="86"/>
      <c r="H3473" s="87"/>
      <c r="I3473" s="85"/>
      <c r="J3473" s="89"/>
      <c r="K3473" s="132"/>
      <c r="L3473" s="62"/>
    </row>
    <row r="3474" spans="1:28" x14ac:dyDescent="0.15">
      <c r="A3474" s="167"/>
      <c r="B3474" s="87"/>
      <c r="C3474" s="88"/>
      <c r="D3474" s="86"/>
      <c r="E3474" s="86"/>
      <c r="F3474" s="86"/>
      <c r="G3474" s="86"/>
      <c r="H3474" s="87"/>
      <c r="I3474" s="85"/>
      <c r="J3474" s="89"/>
      <c r="K3474" s="132"/>
      <c r="L3474" s="62"/>
    </row>
    <row r="3475" spans="1:28" x14ac:dyDescent="0.15">
      <c r="A3475" s="167"/>
      <c r="B3475" s="87"/>
      <c r="C3475" s="88"/>
      <c r="D3475" s="86"/>
      <c r="E3475" s="86"/>
      <c r="F3475" s="86"/>
      <c r="G3475" s="86"/>
      <c r="H3475" s="87"/>
      <c r="I3475" s="85"/>
      <c r="J3475" s="89"/>
      <c r="K3475" s="132"/>
      <c r="L3475" s="62"/>
    </row>
    <row r="3476" spans="1:28" x14ac:dyDescent="0.15">
      <c r="A3476" s="166"/>
      <c r="B3476" s="82"/>
      <c r="C3476" s="70"/>
      <c r="D3476" s="70"/>
      <c r="E3476" s="70"/>
      <c r="F3476" s="70"/>
      <c r="G3476" s="70"/>
      <c r="H3476" s="93"/>
      <c r="I3476" s="85"/>
      <c r="J3476" s="85"/>
      <c r="K3476" s="131"/>
      <c r="L3476" s="63"/>
    </row>
    <row r="3477" spans="1:28" x14ac:dyDescent="0.15">
      <c r="A3477" s="166"/>
      <c r="B3477" s="82"/>
      <c r="C3477" s="70"/>
      <c r="D3477" s="70"/>
      <c r="E3477" s="70"/>
      <c r="F3477" s="70"/>
      <c r="G3477" s="70"/>
      <c r="H3477" s="93"/>
      <c r="I3477" s="85"/>
      <c r="J3477" s="85"/>
      <c r="K3477" s="131"/>
      <c r="L3477" s="60"/>
      <c r="M3477" s="33"/>
    </row>
    <row r="3478" spans="1:28" x14ac:dyDescent="0.15">
      <c r="A3478" s="166"/>
      <c r="B3478" s="82"/>
      <c r="C3478" s="70"/>
      <c r="D3478" s="70"/>
      <c r="E3478" s="70"/>
      <c r="F3478" s="70"/>
      <c r="G3478" s="70"/>
      <c r="H3478" s="93"/>
      <c r="I3478" s="85"/>
      <c r="J3478" s="85"/>
      <c r="K3478" s="131"/>
      <c r="L3478" s="63"/>
      <c r="M3478" s="33"/>
    </row>
    <row r="3479" spans="1:28" x14ac:dyDescent="0.15">
      <c r="A3479" s="166"/>
      <c r="B3479" s="82"/>
      <c r="C3479" s="70"/>
      <c r="D3479" s="70"/>
      <c r="E3479" s="70"/>
      <c r="F3479" s="70"/>
      <c r="G3479" s="70"/>
      <c r="H3479" s="93"/>
      <c r="I3479" s="85"/>
      <c r="J3479" s="85"/>
      <c r="K3479" s="131"/>
      <c r="L3479" s="60"/>
      <c r="M3479" s="33"/>
    </row>
    <row r="3480" spans="1:28" x14ac:dyDescent="0.15">
      <c r="A3480" s="166"/>
      <c r="B3480" s="82"/>
      <c r="C3480" s="70"/>
      <c r="D3480" s="70"/>
      <c r="E3480" s="70"/>
      <c r="F3480" s="70"/>
      <c r="G3480" s="70"/>
      <c r="H3480" s="93"/>
      <c r="I3480" s="85"/>
      <c r="J3480" s="85"/>
      <c r="K3480" s="131"/>
      <c r="L3480" s="63"/>
    </row>
    <row r="3481" spans="1:28" x14ac:dyDescent="0.15">
      <c r="A3481" s="166"/>
      <c r="B3481" s="82"/>
      <c r="C3481" s="70"/>
      <c r="D3481" s="70"/>
      <c r="E3481" s="70"/>
      <c r="F3481" s="70"/>
      <c r="G3481" s="70"/>
      <c r="H3481" s="93"/>
      <c r="I3481" s="85"/>
      <c r="J3481" s="85"/>
      <c r="K3481" s="131"/>
      <c r="L3481" s="63"/>
    </row>
    <row r="3482" spans="1:28" x14ac:dyDescent="0.15">
      <c r="A3482" s="166"/>
      <c r="B3482" s="82"/>
      <c r="C3482" s="70"/>
      <c r="D3482" s="70"/>
      <c r="E3482" s="70"/>
      <c r="F3482" s="70"/>
      <c r="G3482" s="70"/>
      <c r="H3482" s="93"/>
      <c r="I3482" s="85"/>
      <c r="J3482" s="85"/>
      <c r="K3482" s="131"/>
      <c r="L3482" s="63"/>
    </row>
    <row r="3483" spans="1:28" x14ac:dyDescent="0.15">
      <c r="A3483" s="166"/>
      <c r="B3483" s="93"/>
      <c r="C3483" s="70"/>
      <c r="D3483" s="70"/>
      <c r="E3483" s="70"/>
      <c r="F3483" s="70"/>
      <c r="G3483" s="70"/>
      <c r="H3483" s="93"/>
      <c r="I3483" s="85"/>
      <c r="J3483" s="85"/>
      <c r="K3483" s="131"/>
      <c r="L3483" s="60"/>
      <c r="Q3483" s="6"/>
      <c r="R3483" s="6"/>
      <c r="S3483" s="187"/>
      <c r="T3483" s="187"/>
      <c r="U3483" s="187"/>
      <c r="V3483" s="187"/>
      <c r="W3483" s="187"/>
      <c r="X3483" s="187"/>
      <c r="Y3483" s="187"/>
      <c r="Z3483" s="188"/>
      <c r="AA3483" s="189"/>
      <c r="AB3483" s="189"/>
    </row>
    <row r="3484" spans="1:28" x14ac:dyDescent="0.15">
      <c r="A3484" s="167"/>
      <c r="B3484" s="87"/>
      <c r="C3484" s="88"/>
      <c r="D3484" s="86"/>
      <c r="E3484" s="86"/>
      <c r="F3484" s="86"/>
      <c r="G3484" s="86"/>
      <c r="H3484" s="87"/>
      <c r="I3484" s="85"/>
      <c r="J3484" s="89"/>
      <c r="K3484" s="132"/>
      <c r="L3484" s="68"/>
      <c r="M3484" s="54"/>
      <c r="S3484" s="12"/>
      <c r="T3484" s="12"/>
      <c r="U3484" s="12"/>
      <c r="V3484" s="12"/>
      <c r="W3484" s="12"/>
      <c r="X3484" s="12"/>
      <c r="Y3484" s="12"/>
      <c r="Z3484" s="16"/>
      <c r="AA3484" s="13"/>
      <c r="AB3484" s="13"/>
    </row>
    <row r="3485" spans="1:28" x14ac:dyDescent="0.15">
      <c r="A3485" s="167"/>
      <c r="B3485" s="87"/>
      <c r="C3485" s="88"/>
      <c r="D3485" s="86"/>
      <c r="E3485" s="86"/>
      <c r="F3485" s="86"/>
      <c r="G3485" s="86"/>
      <c r="H3485" s="87"/>
      <c r="I3485" s="85"/>
      <c r="J3485" s="89"/>
      <c r="K3485" s="132"/>
      <c r="L3485" s="68"/>
      <c r="Q3485"/>
      <c r="R3485"/>
      <c r="S3485" s="12"/>
      <c r="T3485" s="12"/>
      <c r="U3485" s="12"/>
      <c r="V3485" s="12"/>
      <c r="W3485" s="12"/>
      <c r="X3485" s="12"/>
      <c r="Y3485" s="12"/>
      <c r="Z3485" s="16"/>
      <c r="AA3485" s="13"/>
      <c r="AB3485" s="13"/>
    </row>
    <row r="3486" spans="1:28" x14ac:dyDescent="0.15">
      <c r="A3486" s="167"/>
      <c r="B3486" s="87"/>
      <c r="C3486" s="88"/>
      <c r="D3486" s="86"/>
      <c r="E3486" s="86"/>
      <c r="F3486" s="86"/>
      <c r="G3486" s="86"/>
      <c r="H3486" s="87"/>
      <c r="I3486" s="85"/>
      <c r="J3486" s="89"/>
      <c r="K3486" s="146"/>
      <c r="L3486" s="68"/>
      <c r="M3486" s="54"/>
    </row>
    <row r="3487" spans="1:28" x14ac:dyDescent="0.15">
      <c r="A3487" s="167"/>
      <c r="B3487" s="87"/>
      <c r="C3487" s="88"/>
      <c r="D3487" s="86"/>
      <c r="E3487" s="86"/>
      <c r="F3487" s="86"/>
      <c r="G3487" s="86"/>
      <c r="H3487" s="87"/>
      <c r="I3487" s="85"/>
      <c r="J3487" s="89"/>
      <c r="K3487" s="132"/>
      <c r="L3487" s="68"/>
      <c r="S3487" s="203"/>
      <c r="T3487" s="203"/>
      <c r="U3487" s="203"/>
      <c r="V3487" s="203"/>
      <c r="W3487" s="203"/>
      <c r="X3487" s="203"/>
      <c r="Y3487" s="203"/>
      <c r="Z3487" s="204"/>
      <c r="AA3487" s="11"/>
      <c r="AB3487" s="11"/>
    </row>
    <row r="3488" spans="1:28" x14ac:dyDescent="0.15">
      <c r="A3488" s="167"/>
      <c r="B3488" s="87"/>
      <c r="C3488" s="88"/>
      <c r="D3488" s="86"/>
      <c r="E3488" s="86"/>
      <c r="F3488" s="86"/>
      <c r="G3488" s="86"/>
      <c r="H3488" s="87"/>
      <c r="I3488" s="85"/>
      <c r="J3488" s="89"/>
      <c r="K3488" s="146"/>
      <c r="L3488" s="68"/>
      <c r="S3488" s="12"/>
      <c r="T3488" s="12"/>
      <c r="U3488" s="12"/>
      <c r="V3488" s="12"/>
      <c r="W3488" s="12"/>
      <c r="X3488" s="12"/>
      <c r="Y3488" s="12"/>
      <c r="Z3488" s="16"/>
      <c r="AA3488" s="13"/>
      <c r="AB3488" s="13"/>
    </row>
    <row r="3489" spans="1:28" x14ac:dyDescent="0.15">
      <c r="A3489" s="169"/>
      <c r="B3489" s="90"/>
      <c r="C3489" s="91"/>
      <c r="D3489" s="91"/>
      <c r="E3489" s="91"/>
      <c r="F3489" s="91"/>
      <c r="G3489" s="91"/>
      <c r="H3489" s="176"/>
      <c r="I3489" s="85"/>
      <c r="J3489" s="92"/>
      <c r="K3489" s="133"/>
      <c r="L3489" s="65"/>
    </row>
    <row r="3490" spans="1:28" x14ac:dyDescent="0.15">
      <c r="A3490" s="167"/>
      <c r="B3490" s="87"/>
      <c r="C3490" s="88"/>
      <c r="D3490" s="86"/>
      <c r="E3490" s="86"/>
      <c r="F3490" s="86"/>
      <c r="G3490" s="86"/>
      <c r="H3490" s="87"/>
      <c r="I3490" s="85"/>
      <c r="J3490" s="89"/>
      <c r="K3490" s="132"/>
      <c r="L3490" s="68"/>
      <c r="M3490" s="54"/>
    </row>
    <row r="3491" spans="1:28" x14ac:dyDescent="0.15">
      <c r="A3491" s="166"/>
      <c r="B3491" s="93"/>
      <c r="C3491" s="70"/>
      <c r="D3491" s="70"/>
      <c r="E3491" s="70"/>
      <c r="F3491" s="70"/>
      <c r="G3491" s="70"/>
      <c r="H3491" s="93"/>
      <c r="I3491" s="85"/>
      <c r="J3491" s="85"/>
      <c r="K3491" s="132"/>
      <c r="L3491" s="63"/>
      <c r="S3491" s="12"/>
      <c r="T3491" s="12"/>
      <c r="U3491" s="12"/>
      <c r="V3491" s="12"/>
      <c r="W3491" s="12"/>
      <c r="X3491" s="12"/>
      <c r="Y3491" s="12"/>
      <c r="Z3491" s="16"/>
      <c r="AA3491" s="13"/>
      <c r="AB3491" s="13"/>
    </row>
    <row r="3492" spans="1:28" x14ac:dyDescent="0.15">
      <c r="A3492" s="166"/>
      <c r="B3492" s="82"/>
      <c r="C3492" s="70"/>
      <c r="D3492" s="70"/>
      <c r="E3492" s="70"/>
      <c r="F3492" s="70"/>
      <c r="G3492" s="70"/>
      <c r="H3492" s="93"/>
      <c r="I3492" s="85"/>
      <c r="J3492" s="85"/>
      <c r="K3492" s="131"/>
      <c r="L3492" s="63"/>
    </row>
    <row r="3493" spans="1:28" x14ac:dyDescent="0.15">
      <c r="A3493" s="167"/>
      <c r="B3493" s="87"/>
      <c r="C3493" s="88"/>
      <c r="D3493" s="86"/>
      <c r="E3493" s="86"/>
      <c r="F3493" s="86"/>
      <c r="G3493" s="86"/>
      <c r="H3493" s="87"/>
      <c r="I3493" s="85"/>
      <c r="J3493" s="89"/>
      <c r="K3493" s="132"/>
      <c r="L3493" s="68"/>
    </row>
    <row r="3494" spans="1:28" x14ac:dyDescent="0.15">
      <c r="A3494" s="167"/>
      <c r="B3494" s="87"/>
      <c r="C3494" s="88"/>
      <c r="D3494" s="86"/>
      <c r="E3494" s="86"/>
      <c r="F3494" s="86"/>
      <c r="G3494" s="86"/>
      <c r="H3494" s="87"/>
      <c r="I3494" s="85"/>
      <c r="J3494" s="89"/>
      <c r="K3494" s="132"/>
      <c r="L3494" s="68"/>
      <c r="M3494" s="54"/>
    </row>
    <row r="3495" spans="1:28" x14ac:dyDescent="0.15">
      <c r="A3495" s="166"/>
      <c r="B3495" s="93"/>
      <c r="C3495" s="70"/>
      <c r="D3495" s="70"/>
      <c r="E3495" s="70"/>
      <c r="F3495" s="70"/>
      <c r="G3495" s="70"/>
      <c r="H3495" s="93"/>
      <c r="I3495" s="85"/>
      <c r="J3495" s="85"/>
      <c r="K3495" s="131"/>
      <c r="L3495" s="60"/>
    </row>
    <row r="3496" spans="1:28" x14ac:dyDescent="0.15">
      <c r="A3496" s="166"/>
      <c r="B3496" s="82"/>
      <c r="C3496" s="70"/>
      <c r="D3496" s="70"/>
      <c r="E3496" s="70"/>
      <c r="F3496" s="70"/>
      <c r="G3496" s="70"/>
      <c r="H3496" s="93"/>
      <c r="I3496" s="98"/>
      <c r="J3496" s="98"/>
      <c r="K3496" s="131"/>
      <c r="L3496" s="62"/>
      <c r="M3496" s="33"/>
    </row>
    <row r="3497" spans="1:28" x14ac:dyDescent="0.15">
      <c r="A3497" s="166"/>
      <c r="B3497" s="82"/>
      <c r="C3497" s="70"/>
      <c r="D3497" s="70"/>
      <c r="E3497" s="70"/>
      <c r="F3497" s="70"/>
      <c r="G3497" s="70"/>
      <c r="H3497" s="93"/>
      <c r="I3497" s="98"/>
      <c r="J3497" s="98"/>
      <c r="K3497" s="131"/>
      <c r="L3497" s="62"/>
      <c r="M3497" s="33"/>
    </row>
    <row r="3498" spans="1:28" x14ac:dyDescent="0.15">
      <c r="A3498" s="166"/>
      <c r="B3498" s="93"/>
      <c r="C3498" s="70"/>
      <c r="D3498" s="70"/>
      <c r="E3498" s="70"/>
      <c r="F3498" s="70"/>
      <c r="G3498" s="70"/>
      <c r="H3498" s="93"/>
      <c r="I3498" s="85"/>
      <c r="J3498" s="85"/>
      <c r="K3498" s="131"/>
      <c r="L3498" s="60"/>
      <c r="M3498" s="33"/>
    </row>
    <row r="3499" spans="1:28" x14ac:dyDescent="0.15">
      <c r="A3499" s="166"/>
      <c r="B3499" s="93"/>
      <c r="C3499" s="70"/>
      <c r="D3499" s="70"/>
      <c r="E3499" s="70"/>
      <c r="F3499" s="70"/>
      <c r="G3499" s="70"/>
      <c r="H3499" s="93"/>
      <c r="I3499" s="85"/>
      <c r="J3499" s="85"/>
      <c r="K3499" s="131"/>
      <c r="L3499" s="60"/>
      <c r="M3499" s="33"/>
    </row>
    <row r="3500" spans="1:28" x14ac:dyDescent="0.15">
      <c r="A3500" s="166"/>
      <c r="B3500" s="93"/>
      <c r="C3500" s="70"/>
      <c r="D3500" s="70"/>
      <c r="E3500" s="70"/>
      <c r="F3500" s="70"/>
      <c r="G3500" s="70"/>
      <c r="H3500" s="93"/>
      <c r="I3500" s="85"/>
      <c r="J3500" s="85"/>
      <c r="K3500" s="131"/>
      <c r="L3500" s="60"/>
      <c r="M3500" s="33"/>
    </row>
    <row r="3501" spans="1:28" x14ac:dyDescent="0.15">
      <c r="A3501" s="166"/>
      <c r="B3501" s="93"/>
      <c r="C3501" s="70"/>
      <c r="D3501" s="70"/>
      <c r="E3501" s="70"/>
      <c r="F3501" s="70"/>
      <c r="G3501" s="70"/>
      <c r="H3501" s="93"/>
      <c r="I3501" s="85"/>
      <c r="J3501" s="85"/>
      <c r="K3501" s="131"/>
      <c r="L3501" s="60"/>
      <c r="M3501" s="33"/>
    </row>
    <row r="3502" spans="1:28" x14ac:dyDescent="0.15">
      <c r="A3502" s="166"/>
      <c r="B3502" s="93"/>
      <c r="C3502" s="70"/>
      <c r="D3502" s="70"/>
      <c r="E3502" s="70"/>
      <c r="F3502" s="70"/>
      <c r="G3502" s="70"/>
      <c r="H3502" s="93"/>
      <c r="I3502" s="85"/>
      <c r="J3502" s="85"/>
      <c r="K3502" s="131"/>
      <c r="L3502" s="60"/>
      <c r="M3502" s="33"/>
    </row>
    <row r="3503" spans="1:28" x14ac:dyDescent="0.15">
      <c r="A3503" s="166"/>
      <c r="B3503" s="93"/>
      <c r="C3503" s="70"/>
      <c r="D3503" s="70"/>
      <c r="E3503" s="70"/>
      <c r="F3503" s="70"/>
      <c r="G3503" s="70"/>
      <c r="H3503" s="93"/>
      <c r="I3503" s="85"/>
      <c r="J3503" s="85"/>
      <c r="K3503" s="131"/>
      <c r="L3503" s="60"/>
      <c r="M3503" s="53"/>
    </row>
    <row r="3504" spans="1:28" x14ac:dyDescent="0.15">
      <c r="A3504" s="166"/>
      <c r="B3504" s="93"/>
      <c r="C3504" s="70"/>
      <c r="D3504" s="70"/>
      <c r="E3504" s="70"/>
      <c r="F3504" s="70"/>
      <c r="G3504" s="70"/>
      <c r="H3504" s="93"/>
      <c r="I3504" s="85"/>
      <c r="J3504" s="85"/>
      <c r="K3504" s="131"/>
      <c r="L3504" s="60"/>
      <c r="M3504" s="33"/>
      <c r="Q3504" s="6"/>
      <c r="R3504" s="6"/>
    </row>
    <row r="3505" spans="1:18" x14ac:dyDescent="0.15">
      <c r="A3505" s="166"/>
      <c r="B3505" s="93"/>
      <c r="C3505" s="70"/>
      <c r="D3505" s="70"/>
      <c r="E3505" s="70"/>
      <c r="F3505" s="70"/>
      <c r="G3505" s="70"/>
      <c r="H3505" s="93"/>
      <c r="I3505" s="85"/>
      <c r="J3505" s="85"/>
      <c r="K3505" s="131"/>
      <c r="L3505" s="60"/>
      <c r="M3505" s="33"/>
      <c r="Q3505" s="6"/>
      <c r="R3505" s="6"/>
    </row>
    <row r="3506" spans="1:18" x14ac:dyDescent="0.15">
      <c r="A3506" s="166"/>
      <c r="B3506" s="93"/>
      <c r="C3506" s="70"/>
      <c r="D3506" s="70"/>
      <c r="E3506" s="70"/>
      <c r="F3506" s="70"/>
      <c r="G3506" s="70"/>
      <c r="H3506" s="93"/>
      <c r="I3506" s="85"/>
      <c r="J3506" s="85"/>
      <c r="K3506" s="131"/>
      <c r="L3506" s="60"/>
      <c r="M3506" s="33"/>
    </row>
    <row r="3507" spans="1:18" ht="16" x14ac:dyDescent="0.2">
      <c r="A3507" s="166"/>
      <c r="B3507" s="93"/>
      <c r="C3507" s="70"/>
      <c r="D3507" s="70"/>
      <c r="E3507" s="70"/>
      <c r="F3507" s="70"/>
      <c r="G3507" s="70"/>
      <c r="H3507" s="93"/>
      <c r="I3507" s="85"/>
      <c r="J3507" s="85"/>
      <c r="K3507" s="131"/>
      <c r="L3507" s="60"/>
      <c r="M3507" s="47"/>
    </row>
    <row r="3508" spans="1:18" x14ac:dyDescent="0.15">
      <c r="A3508" s="166"/>
      <c r="B3508" s="93"/>
      <c r="C3508" s="70"/>
      <c r="D3508" s="70"/>
      <c r="E3508" s="70"/>
      <c r="F3508" s="70"/>
      <c r="G3508" s="70"/>
      <c r="H3508" s="93"/>
      <c r="I3508" s="85"/>
      <c r="J3508" s="85"/>
      <c r="K3508" s="131"/>
      <c r="L3508" s="60"/>
      <c r="M3508" s="33"/>
    </row>
    <row r="3509" spans="1:18" x14ac:dyDescent="0.15">
      <c r="A3509" s="166"/>
      <c r="B3509" s="93"/>
      <c r="C3509" s="70"/>
      <c r="D3509" s="70"/>
      <c r="E3509" s="70"/>
      <c r="F3509" s="70"/>
      <c r="G3509" s="70"/>
      <c r="H3509" s="93"/>
      <c r="I3509" s="85"/>
      <c r="J3509" s="85"/>
      <c r="K3509" s="131"/>
      <c r="L3509" s="60"/>
      <c r="M3509" s="33"/>
    </row>
    <row r="3510" spans="1:18" x14ac:dyDescent="0.15">
      <c r="A3510" s="166"/>
      <c r="B3510" s="93"/>
      <c r="C3510" s="70"/>
      <c r="D3510" s="70"/>
      <c r="E3510" s="70"/>
      <c r="F3510" s="70"/>
      <c r="G3510" s="70"/>
      <c r="H3510" s="93"/>
      <c r="I3510" s="85"/>
      <c r="J3510" s="85"/>
      <c r="K3510" s="131"/>
      <c r="L3510" s="60"/>
      <c r="M3510" s="33"/>
    </row>
    <row r="3511" spans="1:18" x14ac:dyDescent="0.15">
      <c r="A3511" s="166"/>
      <c r="B3511" s="93"/>
      <c r="C3511" s="70"/>
      <c r="D3511" s="70"/>
      <c r="E3511" s="70"/>
      <c r="F3511" s="70"/>
      <c r="G3511" s="70"/>
      <c r="H3511" s="93"/>
      <c r="I3511" s="85"/>
      <c r="J3511" s="85"/>
      <c r="K3511" s="131"/>
      <c r="L3511" s="60"/>
      <c r="M3511" s="33"/>
    </row>
    <row r="3512" spans="1:18" x14ac:dyDescent="0.15">
      <c r="A3512" s="166"/>
      <c r="B3512" s="93"/>
      <c r="C3512" s="70"/>
      <c r="D3512" s="70"/>
      <c r="E3512" s="70"/>
      <c r="F3512" s="70"/>
      <c r="G3512" s="70"/>
      <c r="H3512" s="93"/>
      <c r="I3512" s="85"/>
      <c r="J3512" s="85"/>
      <c r="K3512" s="131"/>
      <c r="L3512" s="63"/>
      <c r="M3512" s="33"/>
    </row>
    <row r="3513" spans="1:18" x14ac:dyDescent="0.15">
      <c r="A3513" s="166"/>
      <c r="B3513" s="93"/>
      <c r="C3513" s="70"/>
      <c r="D3513" s="70"/>
      <c r="E3513" s="70"/>
      <c r="F3513" s="70"/>
      <c r="G3513" s="70"/>
      <c r="H3513" s="93"/>
      <c r="I3513" s="85"/>
      <c r="J3513" s="85"/>
      <c r="K3513" s="131"/>
      <c r="L3513" s="63"/>
      <c r="M3513" s="33"/>
    </row>
    <row r="3514" spans="1:18" x14ac:dyDescent="0.15">
      <c r="A3514" s="166"/>
      <c r="B3514" s="93"/>
      <c r="C3514" s="70"/>
      <c r="D3514" s="70"/>
      <c r="E3514" s="70"/>
      <c r="F3514" s="70"/>
      <c r="G3514" s="70"/>
      <c r="H3514" s="93"/>
      <c r="I3514" s="85"/>
      <c r="J3514" s="85"/>
      <c r="K3514" s="131"/>
      <c r="L3514" s="60"/>
      <c r="M3514" s="33"/>
    </row>
    <row r="3515" spans="1:18" x14ac:dyDescent="0.15">
      <c r="A3515" s="166"/>
      <c r="B3515" s="93"/>
      <c r="C3515" s="70"/>
      <c r="D3515" s="70"/>
      <c r="E3515" s="70"/>
      <c r="F3515" s="70"/>
      <c r="G3515" s="70"/>
      <c r="H3515" s="93"/>
      <c r="I3515" s="85"/>
      <c r="J3515" s="85"/>
      <c r="K3515" s="131"/>
      <c r="L3515" s="60"/>
      <c r="M3515" s="33"/>
    </row>
    <row r="3516" spans="1:18" x14ac:dyDescent="0.15">
      <c r="A3516" s="166"/>
      <c r="B3516" s="93"/>
      <c r="C3516" s="70"/>
      <c r="D3516" s="70"/>
      <c r="E3516" s="70"/>
      <c r="F3516" s="70"/>
      <c r="G3516" s="70"/>
      <c r="H3516" s="93"/>
      <c r="I3516" s="85"/>
      <c r="J3516" s="85"/>
      <c r="K3516" s="131"/>
      <c r="L3516" s="61"/>
      <c r="M3516" s="33"/>
    </row>
    <row r="3517" spans="1:18" x14ac:dyDescent="0.15">
      <c r="A3517" s="166"/>
      <c r="B3517" s="93"/>
      <c r="C3517" s="88"/>
      <c r="D3517" s="70"/>
      <c r="E3517" s="70"/>
      <c r="F3517" s="70"/>
      <c r="G3517" s="70"/>
      <c r="H3517" s="93"/>
      <c r="I3517" s="98"/>
      <c r="J3517" s="98"/>
      <c r="K3517" s="131"/>
      <c r="L3517" s="61"/>
      <c r="M3517" s="35"/>
    </row>
    <row r="3518" spans="1:18" x14ac:dyDescent="0.15">
      <c r="A3518" s="166"/>
      <c r="B3518" s="82"/>
      <c r="C3518" s="180"/>
      <c r="D3518" s="70"/>
      <c r="E3518" s="70"/>
      <c r="F3518" s="70"/>
      <c r="G3518" s="70"/>
      <c r="H3518" s="93"/>
      <c r="I3518" s="85"/>
      <c r="J3518" s="85"/>
      <c r="K3518" s="131"/>
      <c r="L3518" s="61"/>
      <c r="M3518" s="33"/>
      <c r="N3518" s="35"/>
    </row>
    <row r="3519" spans="1:18" x14ac:dyDescent="0.15">
      <c r="A3519" s="166"/>
      <c r="B3519" s="93"/>
      <c r="C3519" s="70"/>
      <c r="D3519" s="70"/>
      <c r="E3519" s="70"/>
      <c r="F3519" s="70"/>
      <c r="G3519" s="70"/>
      <c r="H3519" s="93"/>
      <c r="I3519" s="85"/>
      <c r="J3519" s="85"/>
      <c r="K3519" s="131"/>
      <c r="L3519" s="61"/>
      <c r="M3519" s="33"/>
    </row>
    <row r="3520" spans="1:18" x14ac:dyDescent="0.15">
      <c r="A3520" s="166"/>
      <c r="B3520" s="93"/>
      <c r="C3520" s="70"/>
      <c r="D3520" s="70"/>
      <c r="E3520" s="70"/>
      <c r="F3520" s="70"/>
      <c r="G3520" s="70"/>
      <c r="H3520" s="93"/>
      <c r="I3520" s="85"/>
      <c r="J3520" s="85"/>
      <c r="K3520" s="131"/>
      <c r="L3520" s="61"/>
      <c r="M3520" s="33"/>
    </row>
    <row r="3521" spans="1:28" x14ac:dyDescent="0.15">
      <c r="A3521" s="167"/>
      <c r="B3521" s="87"/>
      <c r="C3521" s="88"/>
      <c r="D3521" s="86"/>
      <c r="E3521" s="86"/>
      <c r="F3521" s="86"/>
      <c r="G3521" s="86"/>
      <c r="H3521" s="87"/>
      <c r="I3521" s="85"/>
      <c r="J3521" s="89"/>
      <c r="K3521" s="132"/>
      <c r="L3521" s="61"/>
      <c r="P3521" s="51"/>
    </row>
    <row r="3522" spans="1:28" x14ac:dyDescent="0.15">
      <c r="A3522" s="228"/>
      <c r="B3522" s="212"/>
      <c r="C3522" s="213"/>
      <c r="D3522" s="211"/>
      <c r="E3522" s="211"/>
      <c r="F3522" s="211"/>
      <c r="G3522" s="211"/>
      <c r="H3522" s="212"/>
      <c r="I3522" s="214"/>
      <c r="J3522" s="215"/>
      <c r="K3522" s="216"/>
      <c r="L3522" s="217"/>
      <c r="M3522" s="218"/>
      <c r="N3522" s="218"/>
      <c r="O3522" s="218"/>
      <c r="P3522" s="219"/>
      <c r="Q3522" s="220"/>
      <c r="R3522" s="220"/>
      <c r="S3522" s="220"/>
      <c r="T3522" s="220"/>
      <c r="U3522" s="220"/>
      <c r="V3522" s="220"/>
      <c r="W3522" s="220"/>
      <c r="X3522" s="220"/>
      <c r="Y3522" s="220"/>
      <c r="Z3522" s="221"/>
      <c r="AA3522" s="222"/>
      <c r="AB3522" s="222"/>
    </row>
    <row r="3523" spans="1:28" ht="16" x14ac:dyDescent="0.2">
      <c r="A3523" s="167"/>
      <c r="B3523" s="87"/>
      <c r="C3523" s="88"/>
      <c r="D3523" s="86"/>
      <c r="E3523" s="86"/>
      <c r="F3523" s="86"/>
      <c r="G3523" s="86"/>
      <c r="H3523" s="87"/>
      <c r="I3523" s="85"/>
      <c r="J3523" s="89"/>
      <c r="K3523" s="132"/>
      <c r="L3523" s="61"/>
      <c r="N3523" s="48"/>
    </row>
    <row r="3524" spans="1:28" x14ac:dyDescent="0.15">
      <c r="A3524" s="167"/>
      <c r="B3524" s="87"/>
      <c r="C3524" s="88"/>
      <c r="D3524" s="86"/>
      <c r="E3524" s="86"/>
      <c r="F3524" s="86"/>
      <c r="G3524" s="86"/>
      <c r="H3524" s="87"/>
      <c r="I3524" s="85"/>
      <c r="J3524" s="89"/>
      <c r="K3524" s="132"/>
      <c r="L3524" s="61"/>
    </row>
    <row r="3525" spans="1:28" x14ac:dyDescent="0.15">
      <c r="A3525" s="167"/>
      <c r="B3525" s="87"/>
      <c r="C3525" s="88"/>
      <c r="D3525" s="86"/>
      <c r="E3525" s="86"/>
      <c r="F3525" s="86"/>
      <c r="G3525" s="86"/>
      <c r="H3525" s="87"/>
      <c r="I3525" s="85"/>
      <c r="J3525" s="89"/>
      <c r="K3525" s="132"/>
      <c r="L3525" s="61"/>
    </row>
    <row r="3526" spans="1:28" x14ac:dyDescent="0.15">
      <c r="A3526" s="167"/>
      <c r="B3526" s="87"/>
      <c r="C3526" s="88"/>
      <c r="D3526" s="86"/>
      <c r="E3526" s="86"/>
      <c r="F3526" s="86"/>
      <c r="G3526" s="86"/>
      <c r="H3526" s="87"/>
      <c r="I3526" s="85"/>
      <c r="J3526" s="89"/>
      <c r="K3526" s="132"/>
      <c r="L3526" s="61"/>
    </row>
    <row r="3527" spans="1:28" x14ac:dyDescent="0.15">
      <c r="A3527" s="167"/>
      <c r="B3527" s="87"/>
      <c r="C3527" s="88"/>
      <c r="D3527" s="86"/>
      <c r="E3527" s="86"/>
      <c r="F3527" s="86"/>
      <c r="G3527" s="86"/>
      <c r="H3527" s="87"/>
      <c r="I3527" s="85"/>
      <c r="J3527" s="89"/>
      <c r="K3527" s="132"/>
      <c r="L3527" s="61"/>
    </row>
    <row r="3528" spans="1:28" x14ac:dyDescent="0.15">
      <c r="A3528" s="167"/>
      <c r="B3528" s="87"/>
      <c r="C3528" s="88"/>
      <c r="D3528" s="86"/>
      <c r="E3528" s="86"/>
      <c r="F3528" s="86"/>
      <c r="G3528" s="86"/>
      <c r="H3528" s="87"/>
      <c r="I3528" s="85"/>
      <c r="J3528" s="89"/>
      <c r="K3528" s="132"/>
      <c r="L3528" s="61"/>
    </row>
    <row r="3529" spans="1:28" x14ac:dyDescent="0.15">
      <c r="A3529" s="167"/>
      <c r="B3529" s="87"/>
      <c r="C3529" s="88"/>
      <c r="D3529" s="86"/>
      <c r="E3529" s="86"/>
      <c r="F3529" s="86"/>
      <c r="G3529" s="86"/>
      <c r="H3529" s="87"/>
      <c r="I3529" s="85"/>
      <c r="J3529" s="89"/>
      <c r="K3529" s="132"/>
      <c r="L3529" s="61"/>
    </row>
    <row r="3530" spans="1:28" x14ac:dyDescent="0.15">
      <c r="A3530" s="167"/>
      <c r="B3530" s="87"/>
      <c r="C3530" s="88"/>
      <c r="D3530" s="86"/>
      <c r="E3530" s="86"/>
      <c r="F3530" s="86"/>
      <c r="G3530" s="86"/>
      <c r="H3530" s="87"/>
      <c r="I3530" s="85"/>
      <c r="J3530" s="89"/>
      <c r="K3530" s="132"/>
      <c r="L3530" s="61"/>
    </row>
    <row r="3531" spans="1:28" x14ac:dyDescent="0.15">
      <c r="A3531" s="167"/>
      <c r="B3531" s="87"/>
      <c r="C3531" s="88"/>
      <c r="D3531" s="86"/>
      <c r="E3531" s="86"/>
      <c r="F3531" s="86"/>
      <c r="G3531" s="86"/>
      <c r="H3531" s="87"/>
      <c r="I3531" s="85"/>
      <c r="J3531" s="89"/>
      <c r="K3531" s="132"/>
      <c r="L3531" s="61"/>
    </row>
    <row r="3532" spans="1:28" x14ac:dyDescent="0.15">
      <c r="A3532" s="167"/>
      <c r="B3532" s="87"/>
      <c r="C3532" s="88"/>
      <c r="D3532" s="86"/>
      <c r="E3532" s="86"/>
      <c r="F3532" s="86"/>
      <c r="G3532" s="86"/>
      <c r="H3532" s="87"/>
      <c r="I3532" s="85"/>
      <c r="J3532" s="89"/>
      <c r="K3532" s="132"/>
      <c r="L3532" s="61"/>
    </row>
    <row r="3533" spans="1:28" x14ac:dyDescent="0.15">
      <c r="A3533" s="167"/>
      <c r="B3533" s="87"/>
      <c r="C3533" s="88"/>
      <c r="D3533" s="86"/>
      <c r="E3533" s="86"/>
      <c r="F3533" s="86"/>
      <c r="G3533" s="86"/>
      <c r="H3533" s="87"/>
      <c r="I3533" s="85"/>
      <c r="J3533" s="89"/>
      <c r="K3533" s="132"/>
      <c r="L3533" s="62"/>
    </row>
    <row r="3534" spans="1:28" ht="16" x14ac:dyDescent="0.2">
      <c r="A3534" s="166"/>
      <c r="B3534" s="82"/>
      <c r="C3534" s="70"/>
      <c r="D3534" s="70"/>
      <c r="E3534" s="70"/>
      <c r="F3534" s="70"/>
      <c r="G3534" s="70"/>
      <c r="H3534" s="93"/>
      <c r="I3534" s="85"/>
      <c r="J3534" s="85"/>
      <c r="K3534" s="131"/>
      <c r="L3534" s="61"/>
      <c r="M3534" s="33"/>
      <c r="N3534" s="48"/>
      <c r="Q3534" s="6"/>
      <c r="R3534" s="6"/>
    </row>
    <row r="3535" spans="1:28" x14ac:dyDescent="0.15">
      <c r="A3535" s="167"/>
      <c r="B3535" s="87"/>
      <c r="C3535" s="88"/>
      <c r="D3535" s="86"/>
      <c r="E3535" s="86"/>
      <c r="F3535" s="86"/>
      <c r="G3535" s="86"/>
      <c r="H3535" s="87"/>
      <c r="I3535" s="85"/>
      <c r="J3535" s="89"/>
      <c r="K3535" s="132"/>
      <c r="L3535" s="62"/>
    </row>
    <row r="3536" spans="1:28" x14ac:dyDescent="0.15">
      <c r="A3536" s="166"/>
      <c r="B3536" s="93"/>
      <c r="C3536" s="70"/>
      <c r="D3536" s="70"/>
      <c r="E3536" s="70"/>
      <c r="F3536" s="70"/>
      <c r="G3536" s="70"/>
      <c r="H3536" s="93"/>
      <c r="I3536" s="85"/>
      <c r="J3536" s="85"/>
      <c r="K3536" s="131"/>
      <c r="L3536" s="60"/>
    </row>
    <row r="3537" spans="1:15" x14ac:dyDescent="0.15">
      <c r="A3537" s="166"/>
      <c r="B3537" s="82"/>
      <c r="C3537" s="70"/>
      <c r="D3537" s="70"/>
      <c r="E3537" s="70"/>
      <c r="F3537" s="70"/>
      <c r="G3537" s="70"/>
      <c r="H3537" s="93"/>
      <c r="I3537" s="85"/>
      <c r="J3537" s="85"/>
      <c r="K3537" s="131"/>
      <c r="L3537" s="60"/>
      <c r="O3537" s="49"/>
    </row>
    <row r="3538" spans="1:15" x14ac:dyDescent="0.15">
      <c r="A3538" s="166"/>
      <c r="B3538" s="82"/>
      <c r="C3538" s="70"/>
      <c r="D3538" s="70"/>
      <c r="E3538" s="70"/>
      <c r="F3538" s="70"/>
      <c r="G3538" s="70"/>
      <c r="H3538" s="93"/>
      <c r="I3538" s="85"/>
      <c r="J3538" s="85"/>
      <c r="K3538" s="131"/>
      <c r="L3538" s="60"/>
    </row>
    <row r="3539" spans="1:15" x14ac:dyDescent="0.15">
      <c r="A3539" s="166"/>
      <c r="B3539" s="82"/>
      <c r="C3539" s="70"/>
      <c r="D3539" s="70"/>
      <c r="E3539" s="70"/>
      <c r="F3539" s="70"/>
      <c r="G3539" s="70"/>
      <c r="H3539" s="93"/>
      <c r="I3539" s="85"/>
      <c r="J3539" s="85"/>
      <c r="K3539" s="131"/>
      <c r="L3539" s="60"/>
    </row>
    <row r="3540" spans="1:15" x14ac:dyDescent="0.15">
      <c r="A3540" s="166"/>
      <c r="B3540" s="93"/>
      <c r="C3540" s="70"/>
      <c r="D3540" s="70"/>
      <c r="E3540" s="70"/>
      <c r="F3540" s="70"/>
      <c r="G3540" s="70"/>
      <c r="H3540" s="93"/>
      <c r="I3540" s="85"/>
      <c r="J3540" s="85"/>
      <c r="K3540" s="131"/>
      <c r="L3540" s="60"/>
    </row>
    <row r="3541" spans="1:15" x14ac:dyDescent="0.15">
      <c r="A3541" s="166"/>
      <c r="B3541" s="82"/>
      <c r="C3541" s="70"/>
      <c r="D3541" s="70"/>
      <c r="E3541" s="70"/>
      <c r="F3541" s="70"/>
      <c r="G3541" s="70"/>
      <c r="H3541" s="93"/>
      <c r="I3541" s="85"/>
      <c r="J3541" s="85"/>
      <c r="K3541" s="131"/>
      <c r="L3541" s="60"/>
    </row>
    <row r="3542" spans="1:15" x14ac:dyDescent="0.15">
      <c r="A3542" s="166"/>
      <c r="B3542" s="93"/>
      <c r="C3542" s="70"/>
      <c r="D3542" s="70"/>
      <c r="E3542" s="70"/>
      <c r="F3542" s="70"/>
      <c r="G3542" s="70"/>
      <c r="H3542" s="93"/>
      <c r="I3542" s="85"/>
      <c r="J3542" s="85"/>
      <c r="K3542" s="131"/>
      <c r="L3542" s="60"/>
    </row>
    <row r="3543" spans="1:15" x14ac:dyDescent="0.15">
      <c r="A3543" s="166"/>
      <c r="B3543" s="82"/>
      <c r="C3543" s="70"/>
      <c r="D3543" s="70"/>
      <c r="E3543" s="70"/>
      <c r="F3543" s="70"/>
      <c r="G3543" s="70"/>
      <c r="H3543" s="93"/>
      <c r="I3543" s="85"/>
      <c r="J3543" s="85"/>
      <c r="K3543" s="131"/>
      <c r="L3543" s="60"/>
    </row>
    <row r="3544" spans="1:15" x14ac:dyDescent="0.15">
      <c r="A3544" s="166"/>
      <c r="B3544" s="82"/>
      <c r="C3544" s="70"/>
      <c r="D3544" s="70"/>
      <c r="E3544" s="70"/>
      <c r="F3544" s="70"/>
      <c r="G3544" s="70"/>
      <c r="H3544" s="93"/>
      <c r="I3544" s="85"/>
      <c r="J3544" s="85"/>
      <c r="K3544" s="131"/>
      <c r="L3544" s="60"/>
    </row>
    <row r="3545" spans="1:15" x14ac:dyDescent="0.15">
      <c r="A3545" s="166"/>
      <c r="B3545" s="93"/>
      <c r="C3545" s="70"/>
      <c r="D3545" s="70"/>
      <c r="E3545" s="70"/>
      <c r="F3545" s="70"/>
      <c r="G3545" s="70"/>
      <c r="H3545" s="93"/>
      <c r="I3545" s="85"/>
      <c r="J3545" s="85"/>
      <c r="K3545" s="131"/>
      <c r="L3545" s="60"/>
      <c r="M3545" s="33"/>
    </row>
    <row r="3546" spans="1:15" x14ac:dyDescent="0.15">
      <c r="A3546" s="166"/>
      <c r="B3546" s="82"/>
      <c r="C3546" s="70"/>
      <c r="D3546" s="70"/>
      <c r="E3546" s="70"/>
      <c r="F3546" s="70"/>
      <c r="G3546" s="70"/>
      <c r="H3546" s="93"/>
      <c r="I3546" s="85"/>
      <c r="J3546" s="85"/>
      <c r="K3546" s="131"/>
      <c r="L3546" s="60"/>
    </row>
    <row r="3547" spans="1:15" x14ac:dyDescent="0.15">
      <c r="A3547" s="166"/>
      <c r="B3547" s="82"/>
      <c r="C3547" s="70"/>
      <c r="D3547" s="70"/>
      <c r="E3547" s="70"/>
      <c r="F3547" s="70"/>
      <c r="G3547" s="70"/>
      <c r="H3547" s="93"/>
      <c r="I3547" s="85"/>
      <c r="J3547" s="85"/>
      <c r="K3547" s="131"/>
      <c r="L3547" s="60"/>
    </row>
    <row r="3548" spans="1:15" x14ac:dyDescent="0.15">
      <c r="A3548" s="166"/>
      <c r="B3548" s="82"/>
      <c r="C3548" s="70"/>
      <c r="D3548" s="70"/>
      <c r="E3548" s="70"/>
      <c r="F3548" s="70"/>
      <c r="G3548" s="70"/>
      <c r="H3548" s="93"/>
      <c r="I3548" s="85"/>
      <c r="J3548" s="85"/>
      <c r="K3548" s="131"/>
      <c r="L3548" s="60"/>
    </row>
    <row r="3549" spans="1:15" x14ac:dyDescent="0.15">
      <c r="A3549" s="166"/>
      <c r="B3549" s="82"/>
      <c r="C3549" s="70"/>
      <c r="D3549" s="70"/>
      <c r="E3549" s="70"/>
      <c r="F3549" s="70"/>
      <c r="G3549" s="70"/>
      <c r="H3549" s="93"/>
      <c r="I3549" s="85"/>
      <c r="J3549" s="85"/>
      <c r="K3549" s="131"/>
      <c r="L3549" s="60"/>
    </row>
    <row r="3550" spans="1:15" x14ac:dyDescent="0.15">
      <c r="A3550" s="166"/>
      <c r="B3550" s="93"/>
      <c r="C3550" s="70"/>
      <c r="D3550" s="70"/>
      <c r="E3550" s="70"/>
      <c r="F3550" s="70"/>
      <c r="G3550" s="70"/>
      <c r="H3550" s="93"/>
      <c r="I3550" s="85"/>
      <c r="K3550" s="131"/>
      <c r="L3550" s="60"/>
      <c r="M3550" s="33"/>
    </row>
    <row r="3551" spans="1:15" x14ac:dyDescent="0.15">
      <c r="A3551" s="166"/>
      <c r="B3551" s="82"/>
      <c r="C3551" s="70"/>
      <c r="D3551" s="70"/>
      <c r="E3551" s="70"/>
      <c r="F3551" s="70"/>
      <c r="G3551" s="70"/>
      <c r="H3551" s="93"/>
      <c r="I3551" s="85"/>
      <c r="J3551" s="85"/>
      <c r="K3551" s="131"/>
      <c r="L3551" s="60"/>
    </row>
    <row r="3552" spans="1:15" x14ac:dyDescent="0.15">
      <c r="A3552" s="166"/>
      <c r="B3552" s="82"/>
      <c r="C3552" s="70"/>
      <c r="D3552" s="70"/>
      <c r="E3552" s="70"/>
      <c r="F3552" s="70"/>
      <c r="G3552" s="70"/>
      <c r="H3552" s="93"/>
      <c r="I3552" s="85"/>
      <c r="J3552" s="85"/>
      <c r="K3552" s="131"/>
      <c r="L3552" s="60"/>
    </row>
    <row r="3553" spans="1:15" x14ac:dyDescent="0.15">
      <c r="A3553" s="166"/>
      <c r="B3553" s="82"/>
      <c r="C3553" s="70"/>
      <c r="D3553" s="70"/>
      <c r="E3553" s="70"/>
      <c r="F3553" s="70"/>
      <c r="G3553" s="70"/>
      <c r="H3553" s="93"/>
      <c r="I3553" s="85"/>
      <c r="J3553" s="85"/>
      <c r="K3553" s="131"/>
      <c r="L3553" s="60"/>
    </row>
    <row r="3554" spans="1:15" x14ac:dyDescent="0.15">
      <c r="A3554" s="166"/>
      <c r="B3554" s="82"/>
      <c r="C3554" s="70"/>
      <c r="D3554" s="70"/>
      <c r="E3554" s="70"/>
      <c r="F3554" s="70"/>
      <c r="G3554" s="70"/>
      <c r="H3554" s="93"/>
      <c r="I3554" s="85"/>
      <c r="J3554" s="85"/>
      <c r="K3554" s="131"/>
      <c r="L3554" s="60"/>
    </row>
    <row r="3555" spans="1:15" x14ac:dyDescent="0.15">
      <c r="A3555" s="166"/>
      <c r="B3555" s="82"/>
      <c r="C3555" s="70"/>
      <c r="D3555" s="70"/>
      <c r="E3555" s="70"/>
      <c r="F3555" s="70"/>
      <c r="G3555" s="70"/>
      <c r="H3555" s="93"/>
      <c r="I3555" s="85"/>
      <c r="J3555" s="85"/>
      <c r="K3555" s="131"/>
      <c r="L3555" s="60"/>
    </row>
    <row r="3556" spans="1:15" x14ac:dyDescent="0.15">
      <c r="A3556" s="166"/>
      <c r="B3556" s="82"/>
      <c r="C3556" s="70"/>
      <c r="D3556" s="70"/>
      <c r="E3556" s="70"/>
      <c r="F3556" s="70"/>
      <c r="G3556" s="70"/>
      <c r="H3556" s="93"/>
      <c r="I3556" s="85"/>
      <c r="J3556" s="85"/>
      <c r="K3556" s="131"/>
      <c r="L3556" s="60"/>
    </row>
    <row r="3557" spans="1:15" x14ac:dyDescent="0.15">
      <c r="A3557" s="166"/>
      <c r="B3557" s="93"/>
      <c r="C3557" s="70"/>
      <c r="D3557" s="70"/>
      <c r="E3557" s="70"/>
      <c r="F3557" s="70"/>
      <c r="G3557" s="70"/>
      <c r="H3557" s="93"/>
      <c r="I3557" s="85"/>
      <c r="J3557" s="85"/>
      <c r="K3557" s="131"/>
      <c r="L3557" s="60"/>
    </row>
    <row r="3558" spans="1:15" x14ac:dyDescent="0.15">
      <c r="A3558" s="166"/>
      <c r="B3558" s="93"/>
      <c r="C3558" s="70"/>
      <c r="D3558" s="70"/>
      <c r="E3558" s="70"/>
      <c r="F3558" s="70"/>
      <c r="G3558" s="70"/>
      <c r="H3558" s="93"/>
      <c r="I3558" s="85"/>
      <c r="J3558" s="85"/>
      <c r="K3558" s="131"/>
      <c r="L3558" s="60"/>
    </row>
    <row r="3559" spans="1:15" x14ac:dyDescent="0.15">
      <c r="A3559" s="166"/>
      <c r="B3559" s="82"/>
      <c r="C3559" s="70"/>
      <c r="D3559" s="70"/>
      <c r="E3559" s="70"/>
      <c r="F3559" s="70"/>
      <c r="G3559" s="70"/>
      <c r="H3559" s="93"/>
      <c r="I3559" s="85"/>
      <c r="J3559" s="85"/>
      <c r="K3559" s="131"/>
      <c r="L3559" s="60"/>
    </row>
    <row r="3560" spans="1:15" ht="16" x14ac:dyDescent="0.2">
      <c r="A3560" s="166"/>
      <c r="B3560" s="82"/>
      <c r="C3560" s="70"/>
      <c r="D3560" s="70"/>
      <c r="E3560" s="70"/>
      <c r="F3560" s="70"/>
      <c r="G3560" s="70"/>
      <c r="H3560" s="93"/>
      <c r="I3560" s="85"/>
      <c r="J3560" s="85"/>
      <c r="K3560" s="131"/>
      <c r="L3560" s="60"/>
      <c r="N3560" s="48"/>
    </row>
    <row r="3561" spans="1:15" x14ac:dyDescent="0.15">
      <c r="A3561" s="166"/>
      <c r="B3561" s="82"/>
      <c r="C3561" s="70"/>
      <c r="D3561" s="70"/>
      <c r="E3561" s="70"/>
      <c r="F3561" s="70"/>
      <c r="G3561" s="70"/>
      <c r="H3561" s="93"/>
      <c r="I3561" s="85"/>
      <c r="J3561" s="85"/>
      <c r="K3561" s="131"/>
      <c r="L3561" s="60"/>
    </row>
    <row r="3562" spans="1:15" x14ac:dyDescent="0.15">
      <c r="A3562" s="166"/>
      <c r="B3562" s="82"/>
      <c r="C3562" s="70"/>
      <c r="D3562" s="70"/>
      <c r="E3562" s="70"/>
      <c r="F3562" s="70"/>
      <c r="G3562" s="70"/>
      <c r="H3562" s="93"/>
      <c r="I3562" s="85"/>
      <c r="J3562" s="85"/>
      <c r="K3562" s="131"/>
      <c r="L3562" s="60"/>
    </row>
    <row r="3563" spans="1:15" x14ac:dyDescent="0.15">
      <c r="A3563" s="166"/>
      <c r="B3563" s="82"/>
      <c r="C3563" s="70"/>
      <c r="D3563" s="70"/>
      <c r="E3563" s="70"/>
      <c r="F3563" s="70"/>
      <c r="G3563" s="70"/>
      <c r="H3563" s="93"/>
      <c r="I3563" s="85"/>
      <c r="J3563" s="85"/>
      <c r="K3563" s="131"/>
      <c r="L3563" s="60"/>
    </row>
    <row r="3564" spans="1:15" x14ac:dyDescent="0.15">
      <c r="A3564" s="166"/>
      <c r="B3564" s="82"/>
      <c r="C3564" s="70"/>
      <c r="D3564" s="70"/>
      <c r="E3564" s="70"/>
      <c r="F3564" s="70"/>
      <c r="G3564" s="70"/>
      <c r="H3564" s="93"/>
      <c r="I3564" s="85"/>
      <c r="J3564" s="85"/>
      <c r="K3564" s="131"/>
      <c r="L3564" s="60"/>
    </row>
    <row r="3565" spans="1:15" x14ac:dyDescent="0.15">
      <c r="A3565" s="166"/>
      <c r="B3565" s="82"/>
      <c r="C3565" s="70"/>
      <c r="D3565" s="70"/>
      <c r="E3565" s="70"/>
      <c r="F3565" s="70"/>
      <c r="G3565" s="70"/>
      <c r="H3565" s="93"/>
      <c r="I3565" s="85"/>
      <c r="J3565" s="85"/>
      <c r="K3565" s="131"/>
      <c r="L3565" s="60"/>
      <c r="M3565" s="33"/>
      <c r="N3565" s="52"/>
    </row>
    <row r="3566" spans="1:15" x14ac:dyDescent="0.15">
      <c r="A3566" s="166"/>
      <c r="B3566" s="82"/>
      <c r="C3566" s="70"/>
      <c r="D3566" s="70"/>
      <c r="E3566" s="70"/>
      <c r="F3566" s="70"/>
      <c r="G3566" s="70"/>
      <c r="H3566" s="93"/>
      <c r="I3566" s="85"/>
      <c r="J3566" s="85"/>
      <c r="K3566" s="131"/>
      <c r="L3566" s="60"/>
      <c r="M3566" s="33"/>
      <c r="N3566" s="35"/>
      <c r="O3566" s="35"/>
    </row>
    <row r="3567" spans="1:15" x14ac:dyDescent="0.15">
      <c r="A3567" s="166"/>
      <c r="B3567" s="82"/>
      <c r="C3567" s="70"/>
      <c r="D3567" s="70"/>
      <c r="E3567" s="70"/>
      <c r="F3567" s="70"/>
      <c r="G3567" s="70"/>
      <c r="H3567" s="93"/>
      <c r="I3567" s="85"/>
      <c r="J3567" s="85"/>
      <c r="K3567" s="131"/>
      <c r="L3567" s="60"/>
    </row>
    <row r="3568" spans="1:15" x14ac:dyDescent="0.15">
      <c r="A3568" s="166"/>
      <c r="B3568" s="82"/>
      <c r="C3568" s="70"/>
      <c r="D3568" s="70"/>
      <c r="E3568" s="70"/>
      <c r="F3568" s="70"/>
      <c r="G3568" s="70"/>
      <c r="H3568" s="93"/>
      <c r="I3568" s="85"/>
      <c r="J3568" s="85"/>
      <c r="K3568" s="131"/>
      <c r="L3568" s="60"/>
    </row>
    <row r="3569" spans="1:15" x14ac:dyDescent="0.15">
      <c r="A3569" s="166"/>
      <c r="B3569" s="82"/>
      <c r="C3569" s="70"/>
      <c r="D3569" s="70"/>
      <c r="E3569" s="70"/>
      <c r="F3569" s="70"/>
      <c r="G3569" s="70"/>
      <c r="H3569" s="93"/>
      <c r="I3569" s="85"/>
      <c r="J3569" s="85"/>
      <c r="K3569" s="131"/>
      <c r="L3569" s="66"/>
    </row>
    <row r="3570" spans="1:15" x14ac:dyDescent="0.15">
      <c r="A3570" s="166"/>
      <c r="B3570" s="82"/>
      <c r="C3570" s="70"/>
      <c r="D3570" s="70"/>
      <c r="E3570" s="70"/>
      <c r="F3570" s="70"/>
      <c r="G3570" s="70"/>
      <c r="H3570" s="93"/>
      <c r="I3570" s="85"/>
      <c r="J3570" s="85"/>
      <c r="K3570" s="131"/>
      <c r="L3570" s="60"/>
    </row>
    <row r="3571" spans="1:15" x14ac:dyDescent="0.15">
      <c r="A3571" s="166"/>
      <c r="B3571" s="82"/>
      <c r="C3571" s="70"/>
      <c r="D3571" s="70"/>
      <c r="E3571" s="70"/>
      <c r="F3571" s="70"/>
      <c r="G3571" s="70"/>
      <c r="H3571" s="93"/>
      <c r="I3571" s="85"/>
      <c r="J3571" s="85"/>
      <c r="K3571" s="131"/>
      <c r="L3571" s="60"/>
    </row>
    <row r="3572" spans="1:15" x14ac:dyDescent="0.15">
      <c r="A3572" s="166"/>
      <c r="B3572" s="82"/>
      <c r="C3572" s="70"/>
      <c r="D3572" s="70"/>
      <c r="E3572" s="70"/>
      <c r="F3572" s="70"/>
      <c r="G3572" s="70"/>
      <c r="H3572" s="93"/>
      <c r="I3572" s="85"/>
      <c r="J3572" s="85"/>
      <c r="K3572" s="131"/>
      <c r="L3572" s="60"/>
      <c r="M3572" s="33"/>
    </row>
    <row r="3573" spans="1:15" x14ac:dyDescent="0.15">
      <c r="A3573" s="166"/>
      <c r="B3573" s="82"/>
      <c r="C3573" s="70"/>
      <c r="D3573" s="70"/>
      <c r="E3573" s="70"/>
      <c r="F3573" s="70"/>
      <c r="G3573" s="70"/>
      <c r="H3573" s="93"/>
      <c r="I3573" s="85"/>
      <c r="J3573" s="85"/>
      <c r="K3573" s="131"/>
      <c r="L3573" s="60"/>
    </row>
    <row r="3574" spans="1:15" x14ac:dyDescent="0.15">
      <c r="A3574" s="166"/>
      <c r="B3574" s="82"/>
      <c r="C3574" s="70"/>
      <c r="D3574" s="70"/>
      <c r="E3574" s="70"/>
      <c r="F3574" s="70"/>
      <c r="G3574" s="70"/>
      <c r="H3574" s="93"/>
      <c r="I3574" s="85"/>
      <c r="J3574" s="85"/>
      <c r="K3574" s="131"/>
      <c r="L3574" s="60"/>
    </row>
    <row r="3575" spans="1:15" x14ac:dyDescent="0.15">
      <c r="A3575" s="166"/>
      <c r="B3575" s="82"/>
      <c r="C3575" s="70"/>
      <c r="D3575" s="70"/>
      <c r="E3575" s="70"/>
      <c r="F3575" s="70"/>
      <c r="G3575" s="70"/>
      <c r="H3575" s="93"/>
      <c r="I3575" s="85"/>
      <c r="J3575" s="85"/>
      <c r="K3575" s="131"/>
      <c r="L3575" s="60"/>
    </row>
    <row r="3576" spans="1:15" x14ac:dyDescent="0.15">
      <c r="A3576" s="166"/>
      <c r="B3576" s="82"/>
      <c r="C3576" s="73"/>
      <c r="D3576" s="73"/>
      <c r="E3576" s="70"/>
      <c r="F3576" s="73"/>
      <c r="G3576" s="73"/>
      <c r="H3576" s="108"/>
      <c r="I3576" s="85"/>
      <c r="J3576" s="95"/>
      <c r="K3576" s="131"/>
      <c r="L3576" s="60"/>
      <c r="M3576" s="33"/>
      <c r="N3576" s="35"/>
      <c r="O3576" s="35"/>
    </row>
    <row r="3577" spans="1:15" x14ac:dyDescent="0.15">
      <c r="A3577" s="166"/>
      <c r="B3577" s="82"/>
      <c r="C3577" s="70"/>
      <c r="D3577" s="70"/>
      <c r="E3577" s="70"/>
      <c r="F3577" s="70"/>
      <c r="G3577" s="70"/>
      <c r="H3577" s="93"/>
      <c r="I3577" s="85"/>
      <c r="J3577" s="85"/>
      <c r="K3577" s="131"/>
      <c r="L3577" s="60"/>
      <c r="M3577" s="33"/>
      <c r="N3577" s="35"/>
    </row>
    <row r="3578" spans="1:15" x14ac:dyDescent="0.15">
      <c r="A3578" s="166"/>
      <c r="B3578" s="82"/>
      <c r="C3578" s="70"/>
      <c r="D3578" s="70"/>
      <c r="E3578" s="70"/>
      <c r="F3578" s="70"/>
      <c r="G3578" s="70"/>
      <c r="H3578" s="93"/>
      <c r="I3578" s="85"/>
      <c r="J3578" s="85"/>
      <c r="K3578" s="131"/>
      <c r="L3578" s="60"/>
      <c r="M3578" s="33"/>
      <c r="N3578" s="35"/>
    </row>
    <row r="3579" spans="1:15" x14ac:dyDescent="0.15">
      <c r="A3579" s="166"/>
      <c r="B3579" s="82"/>
      <c r="C3579" s="70"/>
      <c r="D3579" s="70"/>
      <c r="E3579" s="70"/>
      <c r="F3579" s="70"/>
      <c r="G3579" s="70"/>
      <c r="H3579" s="93"/>
      <c r="I3579" s="85"/>
      <c r="J3579" s="85"/>
      <c r="K3579" s="131"/>
      <c r="L3579" s="60"/>
      <c r="M3579" s="33"/>
      <c r="N3579" s="35"/>
    </row>
    <row r="3580" spans="1:15" x14ac:dyDescent="0.15">
      <c r="A3580" s="166"/>
      <c r="B3580" s="82"/>
      <c r="C3580" s="70"/>
      <c r="D3580" s="70"/>
      <c r="E3580" s="70"/>
      <c r="F3580" s="70"/>
      <c r="G3580" s="70"/>
      <c r="H3580" s="93"/>
      <c r="I3580" s="85"/>
      <c r="J3580" s="85"/>
      <c r="K3580" s="131"/>
      <c r="L3580" s="60"/>
    </row>
    <row r="3581" spans="1:15" x14ac:dyDescent="0.15">
      <c r="A3581" s="166"/>
      <c r="B3581" s="82"/>
      <c r="C3581" s="70"/>
      <c r="D3581" s="70"/>
      <c r="E3581" s="70"/>
      <c r="F3581" s="70"/>
      <c r="G3581" s="70"/>
      <c r="H3581" s="93"/>
      <c r="I3581" s="85"/>
      <c r="J3581" s="85"/>
      <c r="K3581" s="131"/>
      <c r="L3581" s="60"/>
    </row>
    <row r="3582" spans="1:15" x14ac:dyDescent="0.15">
      <c r="A3582" s="166"/>
      <c r="B3582" s="82"/>
      <c r="C3582" s="70"/>
      <c r="D3582" s="70"/>
      <c r="E3582" s="70"/>
      <c r="F3582" s="70"/>
      <c r="G3582" s="70"/>
      <c r="H3582" s="93"/>
      <c r="I3582" s="85"/>
      <c r="J3582" s="85"/>
      <c r="K3582" s="131"/>
      <c r="L3582" s="60"/>
    </row>
    <row r="3583" spans="1:15" x14ac:dyDescent="0.15">
      <c r="A3583" s="166"/>
      <c r="B3583" s="82"/>
      <c r="C3583" s="70"/>
      <c r="D3583" s="70"/>
      <c r="E3583" s="70"/>
      <c r="F3583" s="70"/>
      <c r="G3583" s="70"/>
      <c r="H3583" s="93"/>
      <c r="I3583" s="85"/>
      <c r="J3583" s="85"/>
      <c r="K3583" s="131"/>
      <c r="L3583" s="60"/>
      <c r="M3583" s="33"/>
    </row>
    <row r="3584" spans="1:15" x14ac:dyDescent="0.15">
      <c r="A3584" s="166"/>
      <c r="B3584" s="82"/>
      <c r="C3584" s="70"/>
      <c r="D3584" s="70"/>
      <c r="E3584" s="70"/>
      <c r="F3584" s="70"/>
      <c r="G3584" s="70"/>
      <c r="H3584" s="93"/>
      <c r="I3584" s="85"/>
      <c r="J3584" s="85"/>
      <c r="K3584" s="131"/>
      <c r="L3584" s="60"/>
    </row>
    <row r="3585" spans="1:14" x14ac:dyDescent="0.15">
      <c r="A3585" s="166"/>
      <c r="B3585" s="82"/>
      <c r="C3585" s="70"/>
      <c r="D3585" s="70"/>
      <c r="E3585" s="70"/>
      <c r="F3585" s="70"/>
      <c r="G3585" s="70"/>
      <c r="H3585" s="93"/>
      <c r="I3585" s="85"/>
      <c r="J3585" s="85"/>
      <c r="K3585" s="131"/>
      <c r="L3585" s="60"/>
    </row>
    <row r="3586" spans="1:14" x14ac:dyDescent="0.15">
      <c r="A3586" s="170"/>
      <c r="B3586" s="82"/>
      <c r="C3586" s="70"/>
      <c r="D3586" s="70"/>
      <c r="E3586" s="70"/>
      <c r="F3586" s="70"/>
      <c r="G3586" s="70"/>
      <c r="H3586" s="93"/>
      <c r="I3586" s="85"/>
      <c r="J3586" s="85"/>
      <c r="K3586" s="131"/>
      <c r="L3586" s="60"/>
    </row>
    <row r="3587" spans="1:14" x14ac:dyDescent="0.15">
      <c r="A3587" s="166"/>
      <c r="B3587" s="82"/>
      <c r="C3587" s="70"/>
      <c r="D3587" s="70"/>
      <c r="E3587" s="70"/>
      <c r="F3587" s="70"/>
      <c r="G3587" s="70"/>
      <c r="H3587" s="93"/>
      <c r="I3587" s="85"/>
      <c r="J3587" s="85"/>
      <c r="K3587" s="131"/>
      <c r="L3587" s="60"/>
    </row>
    <row r="3588" spans="1:14" x14ac:dyDescent="0.15">
      <c r="A3588" s="166"/>
      <c r="B3588" s="82"/>
      <c r="C3588" s="73"/>
      <c r="D3588" s="73"/>
      <c r="E3588" s="70"/>
      <c r="F3588" s="73"/>
      <c r="G3588" s="73"/>
      <c r="H3588" s="108"/>
      <c r="I3588" s="85"/>
      <c r="J3588" s="95"/>
      <c r="K3588" s="131"/>
      <c r="L3588" s="60"/>
      <c r="M3588" s="33"/>
      <c r="N3588" s="35"/>
    </row>
    <row r="3589" spans="1:14" x14ac:dyDescent="0.15">
      <c r="A3589" s="166"/>
      <c r="B3589" s="82"/>
      <c r="C3589" s="70"/>
      <c r="D3589" s="70"/>
      <c r="E3589" s="70"/>
      <c r="F3589" s="70"/>
      <c r="G3589" s="70"/>
      <c r="H3589" s="93"/>
      <c r="I3589" s="85"/>
      <c r="J3589" s="85"/>
      <c r="K3589" s="131"/>
      <c r="L3589" s="60"/>
    </row>
    <row r="3590" spans="1:14" x14ac:dyDescent="0.15">
      <c r="A3590" s="166"/>
      <c r="B3590" s="82"/>
      <c r="C3590" s="70"/>
      <c r="D3590" s="70"/>
      <c r="E3590" s="70"/>
      <c r="F3590" s="70"/>
      <c r="G3590" s="70"/>
      <c r="H3590" s="93"/>
      <c r="I3590" s="85"/>
      <c r="J3590" s="85"/>
      <c r="K3590" s="131"/>
      <c r="L3590" s="60"/>
      <c r="M3590" s="33"/>
    </row>
    <row r="3591" spans="1:14" x14ac:dyDescent="0.15">
      <c r="A3591" s="166"/>
      <c r="B3591" s="82"/>
      <c r="C3591" s="70"/>
      <c r="D3591" s="70"/>
      <c r="E3591" s="70"/>
      <c r="F3591" s="70"/>
      <c r="G3591" s="70"/>
      <c r="H3591" s="93"/>
      <c r="I3591" s="85"/>
      <c r="J3591" s="85"/>
      <c r="K3591" s="131"/>
      <c r="L3591" s="60"/>
    </row>
    <row r="3592" spans="1:14" x14ac:dyDescent="0.15">
      <c r="A3592" s="166"/>
      <c r="B3592" s="82"/>
      <c r="C3592" s="70"/>
      <c r="D3592" s="70"/>
      <c r="E3592" s="70"/>
      <c r="F3592" s="70"/>
      <c r="G3592" s="70"/>
      <c r="H3592" s="93"/>
      <c r="I3592" s="85"/>
      <c r="J3592" s="85"/>
      <c r="K3592" s="131"/>
      <c r="L3592" s="60"/>
    </row>
    <row r="3593" spans="1:14" x14ac:dyDescent="0.15">
      <c r="A3593" s="166"/>
      <c r="B3593" s="82"/>
      <c r="C3593" s="70"/>
      <c r="D3593" s="70"/>
      <c r="E3593" s="70"/>
      <c r="F3593" s="70"/>
      <c r="G3593" s="70"/>
      <c r="H3593" s="93"/>
      <c r="I3593" s="85"/>
      <c r="J3593" s="85"/>
      <c r="K3593" s="131"/>
      <c r="L3593" s="60"/>
      <c r="M3593" s="33"/>
      <c r="N3593" s="35"/>
    </row>
    <row r="3594" spans="1:14" x14ac:dyDescent="0.15">
      <c r="A3594" s="166"/>
      <c r="B3594" s="82"/>
      <c r="C3594" s="70"/>
      <c r="D3594" s="70"/>
      <c r="E3594" s="70"/>
      <c r="F3594" s="70"/>
      <c r="G3594" s="70"/>
      <c r="H3594" s="93"/>
      <c r="I3594" s="85"/>
      <c r="J3594" s="85"/>
      <c r="K3594" s="131"/>
      <c r="L3594" s="60"/>
    </row>
    <row r="3595" spans="1:14" x14ac:dyDescent="0.15">
      <c r="A3595" s="166"/>
      <c r="B3595" s="82"/>
      <c r="C3595" s="70"/>
      <c r="D3595" s="70"/>
      <c r="E3595" s="70"/>
      <c r="F3595" s="70"/>
      <c r="G3595" s="70"/>
      <c r="H3595" s="93"/>
      <c r="I3595" s="85"/>
      <c r="J3595" s="85"/>
      <c r="K3595" s="131"/>
      <c r="L3595" s="60"/>
    </row>
    <row r="3596" spans="1:14" x14ac:dyDescent="0.15">
      <c r="A3596" s="166"/>
      <c r="B3596" s="82"/>
      <c r="C3596" s="70"/>
      <c r="D3596" s="70"/>
      <c r="E3596" s="70"/>
      <c r="F3596" s="70"/>
      <c r="G3596" s="70"/>
      <c r="H3596" s="93"/>
      <c r="I3596" s="85"/>
      <c r="J3596" s="85"/>
      <c r="K3596" s="131"/>
      <c r="L3596" s="60"/>
    </row>
    <row r="3597" spans="1:14" x14ac:dyDescent="0.15">
      <c r="A3597" s="166"/>
      <c r="B3597" s="82"/>
      <c r="C3597" s="70"/>
      <c r="D3597" s="70"/>
      <c r="E3597" s="70"/>
      <c r="F3597" s="70"/>
      <c r="G3597" s="70"/>
      <c r="H3597" s="93"/>
      <c r="I3597" s="85"/>
      <c r="J3597" s="85"/>
      <c r="K3597" s="131"/>
      <c r="L3597" s="60"/>
    </row>
    <row r="3598" spans="1:14" x14ac:dyDescent="0.15">
      <c r="A3598" s="166"/>
      <c r="B3598" s="93"/>
      <c r="C3598" s="70"/>
      <c r="D3598" s="70"/>
      <c r="E3598" s="70"/>
      <c r="F3598" s="70"/>
      <c r="G3598" s="70"/>
      <c r="H3598" s="93"/>
      <c r="I3598" s="85"/>
      <c r="J3598" s="85"/>
      <c r="K3598" s="131"/>
      <c r="L3598" s="60"/>
      <c r="M3598" s="33"/>
      <c r="N3598" s="35"/>
    </row>
    <row r="3599" spans="1:14" x14ac:dyDescent="0.15">
      <c r="A3599" s="166"/>
      <c r="B3599" s="93"/>
      <c r="C3599" s="70"/>
      <c r="D3599" s="70"/>
      <c r="E3599" s="70"/>
      <c r="F3599" s="70"/>
      <c r="G3599" s="70"/>
      <c r="H3599" s="93"/>
      <c r="I3599" s="85"/>
      <c r="J3599" s="85"/>
      <c r="K3599" s="131"/>
      <c r="L3599" s="60"/>
      <c r="M3599" s="33"/>
      <c r="N3599" s="35"/>
    </row>
    <row r="3600" spans="1:14" x14ac:dyDescent="0.15">
      <c r="A3600" s="166"/>
      <c r="B3600" s="82"/>
      <c r="C3600" s="70"/>
      <c r="D3600" s="70"/>
      <c r="E3600" s="70"/>
      <c r="F3600" s="70"/>
      <c r="G3600" s="70"/>
      <c r="H3600" s="93"/>
      <c r="I3600" s="85"/>
      <c r="J3600" s="85"/>
      <c r="K3600" s="131"/>
      <c r="L3600" s="60"/>
      <c r="M3600" s="33"/>
      <c r="N3600" s="35"/>
    </row>
    <row r="3601" spans="1:15" x14ac:dyDescent="0.15">
      <c r="A3601" s="166"/>
      <c r="B3601" s="82"/>
      <c r="C3601" s="70"/>
      <c r="D3601" s="70"/>
      <c r="E3601" s="70"/>
      <c r="F3601" s="70"/>
      <c r="G3601" s="70"/>
      <c r="H3601" s="93"/>
      <c r="I3601" s="85"/>
      <c r="J3601" s="85"/>
      <c r="K3601" s="131"/>
      <c r="L3601" s="60"/>
      <c r="M3601" s="33"/>
      <c r="N3601" s="35"/>
    </row>
    <row r="3602" spans="1:15" x14ac:dyDescent="0.15">
      <c r="A3602" s="166"/>
      <c r="B3602" s="82"/>
      <c r="C3602" s="70"/>
      <c r="D3602" s="70"/>
      <c r="E3602" s="70"/>
      <c r="F3602" s="70"/>
      <c r="G3602" s="70"/>
      <c r="H3602" s="93"/>
      <c r="I3602" s="85"/>
      <c r="J3602" s="85"/>
      <c r="K3602" s="131"/>
      <c r="L3602" s="60"/>
    </row>
    <row r="3603" spans="1:15" x14ac:dyDescent="0.15">
      <c r="A3603" s="166"/>
      <c r="B3603" s="82"/>
      <c r="C3603" s="70"/>
      <c r="D3603" s="70"/>
      <c r="E3603" s="70"/>
      <c r="F3603" s="70"/>
      <c r="G3603" s="70"/>
      <c r="H3603" s="93"/>
      <c r="I3603" s="85"/>
      <c r="J3603" s="85"/>
      <c r="K3603" s="131"/>
      <c r="L3603" s="60"/>
    </row>
    <row r="3604" spans="1:15" x14ac:dyDescent="0.15">
      <c r="A3604" s="166"/>
      <c r="B3604" s="93"/>
      <c r="C3604" s="70"/>
      <c r="D3604" s="70"/>
      <c r="E3604" s="70"/>
      <c r="F3604" s="70"/>
      <c r="G3604" s="70"/>
      <c r="H3604" s="93"/>
      <c r="I3604" s="85"/>
      <c r="J3604" s="85"/>
      <c r="K3604" s="131"/>
      <c r="L3604" s="60"/>
      <c r="M3604" s="33"/>
      <c r="N3604" s="35"/>
    </row>
    <row r="3605" spans="1:15" x14ac:dyDescent="0.15">
      <c r="A3605" s="166"/>
      <c r="B3605" s="93"/>
      <c r="C3605" s="73"/>
      <c r="D3605" s="73"/>
      <c r="E3605" s="70"/>
      <c r="F3605" s="73"/>
      <c r="G3605" s="73"/>
      <c r="H3605" s="108"/>
      <c r="I3605" s="85"/>
      <c r="J3605" s="95"/>
      <c r="K3605" s="131"/>
      <c r="L3605" s="60"/>
      <c r="M3605" s="33"/>
      <c r="N3605" s="35"/>
    </row>
    <row r="3606" spans="1:15" x14ac:dyDescent="0.15">
      <c r="A3606" s="166"/>
      <c r="B3606" s="82"/>
      <c r="C3606" s="70"/>
      <c r="D3606" s="70"/>
      <c r="E3606" s="70"/>
      <c r="F3606" s="70"/>
      <c r="G3606" s="70"/>
      <c r="H3606" s="93"/>
      <c r="I3606" s="85"/>
      <c r="J3606" s="85"/>
      <c r="K3606" s="131"/>
      <c r="L3606" s="60"/>
      <c r="M3606" s="33"/>
      <c r="N3606" s="35"/>
    </row>
    <row r="3607" spans="1:15" x14ac:dyDescent="0.15">
      <c r="A3607" s="166"/>
      <c r="B3607" s="93"/>
      <c r="C3607" s="73"/>
      <c r="D3607" s="73"/>
      <c r="E3607" s="70"/>
      <c r="F3607" s="73"/>
      <c r="G3607" s="73"/>
      <c r="H3607" s="108"/>
      <c r="I3607" s="85"/>
      <c r="J3607" s="95"/>
      <c r="K3607" s="131"/>
      <c r="L3607" s="60"/>
      <c r="M3607" s="33"/>
      <c r="N3607" s="35"/>
    </row>
    <row r="3608" spans="1:15" x14ac:dyDescent="0.15">
      <c r="A3608" s="166"/>
      <c r="B3608" s="93"/>
      <c r="C3608" s="70"/>
      <c r="D3608" s="70"/>
      <c r="E3608" s="70"/>
      <c r="F3608" s="70"/>
      <c r="G3608" s="70"/>
      <c r="H3608" s="93"/>
      <c r="I3608" s="85"/>
      <c r="J3608" s="85"/>
      <c r="K3608" s="131"/>
      <c r="L3608" s="60"/>
      <c r="M3608" s="33"/>
      <c r="N3608" s="35"/>
      <c r="O3608" s="35"/>
    </row>
    <row r="3609" spans="1:15" x14ac:dyDescent="0.15">
      <c r="A3609" s="166"/>
      <c r="B3609" s="82"/>
      <c r="C3609" s="70"/>
      <c r="D3609" s="70"/>
      <c r="E3609" s="70"/>
      <c r="F3609" s="70"/>
      <c r="G3609" s="70"/>
      <c r="H3609" s="93"/>
      <c r="I3609" s="85"/>
      <c r="J3609" s="85"/>
      <c r="K3609" s="131"/>
      <c r="L3609" s="60"/>
    </row>
    <row r="3610" spans="1:15" x14ac:dyDescent="0.15">
      <c r="A3610" s="166"/>
      <c r="B3610" s="82"/>
      <c r="C3610" s="70"/>
      <c r="D3610" s="70"/>
      <c r="E3610" s="70"/>
      <c r="F3610" s="70"/>
      <c r="G3610" s="70"/>
      <c r="H3610" s="93"/>
      <c r="I3610" s="85"/>
      <c r="J3610" s="85"/>
      <c r="K3610" s="131"/>
      <c r="L3610" s="60"/>
    </row>
    <row r="3611" spans="1:15" x14ac:dyDescent="0.15">
      <c r="A3611" s="166"/>
      <c r="B3611" s="82"/>
      <c r="C3611" s="73"/>
      <c r="D3611" s="73"/>
      <c r="E3611" s="70"/>
      <c r="F3611" s="73"/>
      <c r="G3611" s="73"/>
      <c r="H3611" s="108"/>
      <c r="I3611" s="85"/>
      <c r="J3611" s="95"/>
      <c r="K3611" s="131"/>
      <c r="L3611" s="60"/>
      <c r="M3611" s="33"/>
      <c r="N3611" s="35"/>
    </row>
    <row r="3612" spans="1:15" x14ac:dyDescent="0.15">
      <c r="A3612" s="166"/>
      <c r="B3612" s="82"/>
      <c r="C3612" s="70"/>
      <c r="D3612" s="70"/>
      <c r="E3612" s="70"/>
      <c r="F3612" s="70"/>
      <c r="G3612" s="70"/>
      <c r="H3612" s="93"/>
      <c r="I3612" s="85"/>
      <c r="J3612" s="85"/>
      <c r="K3612" s="131"/>
      <c r="L3612" s="60"/>
    </row>
    <row r="3613" spans="1:15" ht="16" x14ac:dyDescent="0.2">
      <c r="A3613" s="166"/>
      <c r="B3613" s="82"/>
      <c r="C3613" s="70"/>
      <c r="D3613" s="70"/>
      <c r="E3613" s="70"/>
      <c r="F3613" s="70"/>
      <c r="G3613" s="70"/>
      <c r="H3613" s="93"/>
      <c r="I3613" s="85"/>
      <c r="J3613" s="85"/>
      <c r="K3613" s="131"/>
      <c r="L3613" s="60"/>
      <c r="N3613" s="48"/>
    </row>
    <row r="3614" spans="1:15" x14ac:dyDescent="0.15">
      <c r="A3614" s="166"/>
      <c r="B3614" s="82"/>
      <c r="C3614" s="70"/>
      <c r="D3614" s="70"/>
      <c r="E3614" s="70"/>
      <c r="F3614" s="70"/>
      <c r="G3614" s="70"/>
      <c r="H3614" s="93"/>
      <c r="I3614" s="85"/>
      <c r="J3614" s="85"/>
      <c r="K3614" s="131"/>
      <c r="L3614" s="60"/>
    </row>
    <row r="3615" spans="1:15" x14ac:dyDescent="0.15">
      <c r="A3615" s="166"/>
      <c r="B3615" s="93"/>
      <c r="C3615" s="70"/>
      <c r="D3615" s="70"/>
      <c r="E3615" s="70"/>
      <c r="F3615" s="70"/>
      <c r="G3615" s="70"/>
      <c r="H3615" s="93"/>
      <c r="I3615" s="85"/>
      <c r="J3615" s="85"/>
      <c r="K3615" s="131"/>
      <c r="L3615" s="60"/>
      <c r="M3615" s="33"/>
      <c r="N3615" s="35"/>
    </row>
    <row r="3616" spans="1:15" x14ac:dyDescent="0.15">
      <c r="A3616" s="166"/>
      <c r="B3616" s="82"/>
      <c r="C3616" s="70"/>
      <c r="D3616" s="70"/>
      <c r="E3616" s="70"/>
      <c r="F3616" s="70"/>
      <c r="G3616" s="70"/>
      <c r="H3616" s="93"/>
      <c r="I3616" s="85"/>
      <c r="J3616" s="85"/>
      <c r="K3616" s="131"/>
      <c r="L3616" s="60"/>
    </row>
    <row r="3617" spans="1:14" x14ac:dyDescent="0.15">
      <c r="A3617" s="166"/>
      <c r="B3617" s="82"/>
      <c r="C3617" s="70"/>
      <c r="D3617" s="70"/>
      <c r="E3617" s="70"/>
      <c r="F3617" s="70"/>
      <c r="G3617" s="70"/>
      <c r="H3617" s="93"/>
      <c r="I3617" s="85"/>
      <c r="J3617" s="85"/>
      <c r="K3617" s="131"/>
      <c r="L3617" s="60"/>
    </row>
    <row r="3618" spans="1:14" x14ac:dyDescent="0.15">
      <c r="A3618" s="166"/>
      <c r="B3618" s="93"/>
      <c r="C3618" s="70"/>
      <c r="D3618" s="70"/>
      <c r="E3618" s="70"/>
      <c r="F3618" s="70"/>
      <c r="G3618" s="70"/>
      <c r="H3618" s="93"/>
      <c r="I3618" s="85"/>
      <c r="J3618" s="85"/>
      <c r="K3618" s="131"/>
      <c r="L3618" s="60"/>
    </row>
    <row r="3619" spans="1:14" x14ac:dyDescent="0.15">
      <c r="A3619" s="166"/>
      <c r="B3619" s="82"/>
      <c r="C3619" s="70"/>
      <c r="D3619" s="70"/>
      <c r="E3619" s="70"/>
      <c r="F3619" s="70"/>
      <c r="G3619" s="70"/>
      <c r="H3619" s="93"/>
      <c r="I3619" s="85"/>
      <c r="J3619" s="85"/>
      <c r="K3619" s="131"/>
      <c r="L3619" s="60"/>
    </row>
    <row r="3620" spans="1:14" ht="16" x14ac:dyDescent="0.2">
      <c r="A3620" s="166"/>
      <c r="B3620" s="82"/>
      <c r="C3620" s="70"/>
      <c r="D3620" s="70"/>
      <c r="E3620" s="70"/>
      <c r="F3620" s="70"/>
      <c r="G3620" s="70"/>
      <c r="H3620" s="93"/>
      <c r="I3620" s="85"/>
      <c r="J3620" s="85"/>
      <c r="K3620" s="131"/>
      <c r="L3620" s="60"/>
      <c r="N3620" s="48"/>
    </row>
    <row r="3621" spans="1:14" x14ac:dyDescent="0.15">
      <c r="A3621" s="166"/>
      <c r="B3621" s="93"/>
      <c r="C3621" s="70"/>
      <c r="D3621" s="70"/>
      <c r="E3621" s="70"/>
      <c r="F3621" s="70"/>
      <c r="G3621" s="70"/>
      <c r="H3621" s="93"/>
      <c r="I3621" s="85"/>
      <c r="J3621" s="85"/>
      <c r="K3621" s="131"/>
      <c r="L3621" s="60"/>
    </row>
    <row r="3622" spans="1:14" x14ac:dyDescent="0.15">
      <c r="A3622" s="166"/>
      <c r="B3622" s="82"/>
      <c r="C3622" s="70"/>
      <c r="D3622" s="70"/>
      <c r="E3622" s="70"/>
      <c r="F3622" s="70"/>
      <c r="G3622" s="70"/>
      <c r="H3622" s="93"/>
      <c r="I3622" s="85"/>
      <c r="J3622" s="85"/>
      <c r="K3622" s="131"/>
      <c r="L3622" s="60"/>
    </row>
    <row r="3623" spans="1:14" x14ac:dyDescent="0.15">
      <c r="A3623" s="166"/>
      <c r="B3623" s="82"/>
      <c r="C3623" s="70"/>
      <c r="D3623" s="70"/>
      <c r="E3623" s="70"/>
      <c r="F3623" s="70"/>
      <c r="G3623" s="70"/>
      <c r="H3623" s="93"/>
      <c r="I3623" s="85"/>
      <c r="J3623" s="85"/>
      <c r="K3623" s="131"/>
      <c r="L3623" s="60"/>
    </row>
    <row r="3624" spans="1:14" x14ac:dyDescent="0.15">
      <c r="A3624" s="166"/>
      <c r="B3624" s="82"/>
      <c r="C3624" s="70"/>
      <c r="D3624" s="70"/>
      <c r="E3624" s="70"/>
      <c r="F3624" s="70"/>
      <c r="G3624" s="70"/>
      <c r="H3624" s="93"/>
      <c r="I3624" s="85"/>
      <c r="J3624" s="85"/>
      <c r="K3624" s="131"/>
      <c r="L3624" s="60"/>
    </row>
    <row r="3625" spans="1:14" x14ac:dyDescent="0.15">
      <c r="A3625" s="166"/>
      <c r="B3625" s="82"/>
      <c r="C3625" s="70"/>
      <c r="D3625" s="70"/>
      <c r="E3625" s="70"/>
      <c r="F3625" s="70"/>
      <c r="G3625" s="70"/>
      <c r="H3625" s="93"/>
      <c r="I3625" s="85"/>
      <c r="J3625" s="85"/>
      <c r="K3625" s="131"/>
      <c r="L3625" s="60"/>
    </row>
    <row r="3626" spans="1:14" x14ac:dyDescent="0.15">
      <c r="A3626" s="166"/>
      <c r="B3626" s="93"/>
      <c r="C3626" s="70"/>
      <c r="D3626" s="70"/>
      <c r="E3626" s="70"/>
      <c r="F3626" s="70"/>
      <c r="G3626" s="70"/>
      <c r="H3626" s="93"/>
      <c r="I3626" s="85"/>
      <c r="J3626" s="85"/>
      <c r="K3626" s="131"/>
      <c r="L3626" s="60"/>
      <c r="M3626" s="33"/>
      <c r="N3626" s="35"/>
    </row>
    <row r="3627" spans="1:14" x14ac:dyDescent="0.15">
      <c r="A3627" s="166"/>
      <c r="B3627" s="93"/>
      <c r="C3627" s="73"/>
      <c r="D3627" s="73"/>
      <c r="E3627" s="70"/>
      <c r="F3627" s="73"/>
      <c r="G3627" s="73"/>
      <c r="H3627" s="108"/>
      <c r="I3627" s="85"/>
      <c r="J3627" s="95"/>
      <c r="K3627" s="131"/>
      <c r="L3627" s="60"/>
      <c r="M3627" s="33"/>
      <c r="N3627" s="35"/>
    </row>
    <row r="3628" spans="1:14" x14ac:dyDescent="0.15">
      <c r="A3628" s="166"/>
      <c r="B3628" s="93"/>
      <c r="C3628" s="70"/>
      <c r="D3628" s="70"/>
      <c r="E3628" s="70"/>
      <c r="F3628" s="70"/>
      <c r="G3628" s="70"/>
      <c r="H3628" s="93"/>
      <c r="I3628" s="85"/>
      <c r="J3628" s="85"/>
      <c r="K3628" s="131"/>
      <c r="L3628" s="60"/>
      <c r="M3628" s="33"/>
      <c r="N3628" s="35"/>
    </row>
    <row r="3629" spans="1:14" x14ac:dyDescent="0.15">
      <c r="A3629" s="166"/>
      <c r="B3629" s="93"/>
      <c r="C3629" s="73"/>
      <c r="D3629" s="73"/>
      <c r="E3629" s="70"/>
      <c r="F3629" s="73"/>
      <c r="G3629" s="73"/>
      <c r="H3629" s="108"/>
      <c r="I3629" s="85"/>
      <c r="J3629" s="95"/>
      <c r="K3629" s="131"/>
      <c r="L3629" s="60"/>
      <c r="M3629" s="33"/>
      <c r="N3629" s="35"/>
    </row>
    <row r="3630" spans="1:14" x14ac:dyDescent="0.15">
      <c r="A3630" s="166"/>
      <c r="B3630" s="93"/>
      <c r="C3630" s="70"/>
      <c r="D3630" s="70"/>
      <c r="E3630" s="70"/>
      <c r="F3630" s="70"/>
      <c r="G3630" s="70"/>
      <c r="H3630" s="93"/>
      <c r="I3630" s="85"/>
      <c r="J3630" s="85"/>
      <c r="K3630" s="131"/>
      <c r="L3630" s="60"/>
      <c r="M3630" s="33"/>
      <c r="N3630" s="35"/>
    </row>
    <row r="3631" spans="1:14" x14ac:dyDescent="0.15">
      <c r="A3631" s="166"/>
      <c r="B3631" s="93"/>
      <c r="C3631" s="70"/>
      <c r="D3631" s="73"/>
      <c r="E3631" s="70"/>
      <c r="F3631" s="73"/>
      <c r="G3631" s="73"/>
      <c r="H3631" s="108"/>
      <c r="I3631" s="85"/>
      <c r="J3631" s="95"/>
      <c r="K3631" s="131"/>
      <c r="L3631" s="60"/>
      <c r="M3631" s="33"/>
      <c r="N3631" s="35"/>
    </row>
    <row r="3632" spans="1:14" x14ac:dyDescent="0.15">
      <c r="A3632" s="166"/>
      <c r="B3632" s="93"/>
      <c r="C3632" s="73"/>
      <c r="D3632" s="73"/>
      <c r="E3632" s="70"/>
      <c r="F3632" s="73"/>
      <c r="G3632" s="73"/>
      <c r="H3632" s="108"/>
      <c r="I3632" s="85"/>
      <c r="J3632" s="95"/>
      <c r="K3632" s="131"/>
      <c r="L3632" s="60"/>
      <c r="M3632" s="33"/>
      <c r="N3632" s="35"/>
    </row>
    <row r="3633" spans="1:14" x14ac:dyDescent="0.15">
      <c r="A3633" s="166"/>
      <c r="B3633" s="93"/>
      <c r="C3633" s="73"/>
      <c r="D3633" s="73"/>
      <c r="E3633" s="70"/>
      <c r="F3633" s="73"/>
      <c r="G3633" s="73"/>
      <c r="H3633" s="108"/>
      <c r="I3633" s="85"/>
      <c r="J3633" s="95"/>
      <c r="K3633" s="131"/>
      <c r="L3633" s="60"/>
      <c r="M3633" s="33"/>
      <c r="N3633" s="35"/>
    </row>
    <row r="3634" spans="1:14" x14ac:dyDescent="0.15">
      <c r="A3634" s="166"/>
      <c r="B3634" s="93"/>
      <c r="C3634" s="70"/>
      <c r="D3634" s="70"/>
      <c r="E3634" s="70"/>
      <c r="F3634" s="70"/>
      <c r="G3634" s="70"/>
      <c r="H3634" s="93"/>
      <c r="I3634" s="85"/>
      <c r="J3634" s="85"/>
      <c r="K3634" s="131"/>
      <c r="L3634" s="60"/>
      <c r="M3634" s="33"/>
      <c r="N3634" s="35"/>
    </row>
    <row r="3635" spans="1:14" x14ac:dyDescent="0.15">
      <c r="A3635" s="166"/>
      <c r="B3635" s="93"/>
      <c r="C3635" s="70"/>
      <c r="D3635" s="70"/>
      <c r="E3635" s="70"/>
      <c r="F3635" s="70"/>
      <c r="G3635" s="70"/>
      <c r="H3635" s="93"/>
      <c r="I3635" s="85"/>
      <c r="J3635" s="85"/>
      <c r="K3635" s="131"/>
      <c r="L3635" s="60"/>
      <c r="M3635" s="33"/>
      <c r="N3635" s="35"/>
    </row>
    <row r="3636" spans="1:14" x14ac:dyDescent="0.15">
      <c r="A3636" s="166"/>
      <c r="B3636" s="93"/>
      <c r="C3636" s="73"/>
      <c r="D3636" s="73"/>
      <c r="E3636" s="70"/>
      <c r="F3636" s="73"/>
      <c r="G3636" s="73"/>
      <c r="H3636" s="108"/>
      <c r="I3636" s="85"/>
      <c r="J3636" s="95"/>
      <c r="K3636" s="131"/>
      <c r="L3636" s="60"/>
      <c r="M3636" s="33"/>
      <c r="N3636" s="35"/>
    </row>
    <row r="3637" spans="1:14" x14ac:dyDescent="0.15">
      <c r="A3637" s="166"/>
      <c r="B3637" s="93"/>
      <c r="C3637" s="70"/>
      <c r="D3637" s="70"/>
      <c r="E3637" s="70"/>
      <c r="F3637" s="70"/>
      <c r="G3637" s="70"/>
      <c r="H3637" s="93"/>
      <c r="I3637" s="85"/>
      <c r="J3637" s="85"/>
      <c r="K3637" s="131"/>
      <c r="L3637" s="60"/>
      <c r="M3637" s="33"/>
      <c r="N3637" s="35"/>
    </row>
    <row r="3638" spans="1:14" x14ac:dyDescent="0.15">
      <c r="A3638" s="166"/>
      <c r="B3638" s="93"/>
      <c r="C3638" s="70"/>
      <c r="D3638" s="70"/>
      <c r="E3638" s="70"/>
      <c r="F3638" s="70"/>
      <c r="G3638" s="70"/>
      <c r="H3638" s="93"/>
      <c r="I3638" s="85"/>
      <c r="J3638" s="85"/>
      <c r="K3638" s="131"/>
      <c r="L3638" s="60"/>
      <c r="M3638" s="33"/>
      <c r="N3638" s="35"/>
    </row>
    <row r="3639" spans="1:14" x14ac:dyDescent="0.15">
      <c r="A3639" s="166"/>
      <c r="B3639" s="93"/>
      <c r="C3639" s="73"/>
      <c r="D3639" s="73"/>
      <c r="E3639" s="70"/>
      <c r="F3639" s="73"/>
      <c r="G3639" s="73"/>
      <c r="H3639" s="108"/>
      <c r="I3639" s="85"/>
      <c r="J3639" s="95"/>
      <c r="K3639" s="131"/>
      <c r="L3639" s="60"/>
      <c r="M3639" s="33"/>
      <c r="N3639" s="35"/>
    </row>
    <row r="3640" spans="1:14" x14ac:dyDescent="0.15">
      <c r="A3640" s="166"/>
      <c r="B3640" s="82"/>
      <c r="C3640" s="73"/>
      <c r="D3640" s="73"/>
      <c r="E3640" s="70"/>
      <c r="F3640" s="73"/>
      <c r="G3640" s="73"/>
      <c r="H3640" s="108"/>
      <c r="I3640" s="85"/>
      <c r="J3640" s="95"/>
      <c r="K3640" s="131"/>
      <c r="L3640" s="60"/>
      <c r="M3640" s="33"/>
      <c r="N3640" s="35"/>
    </row>
    <row r="3641" spans="1:14" ht="16" x14ac:dyDescent="0.2">
      <c r="A3641" s="166"/>
      <c r="B3641" s="93"/>
      <c r="C3641" s="70"/>
      <c r="D3641" s="70"/>
      <c r="E3641" s="70"/>
      <c r="F3641" s="70"/>
      <c r="G3641" s="70"/>
      <c r="H3641" s="93"/>
      <c r="I3641" s="85"/>
      <c r="J3641" s="85"/>
      <c r="K3641" s="131"/>
      <c r="L3641" s="60"/>
      <c r="M3641" s="47"/>
      <c r="N3641" s="35"/>
    </row>
    <row r="3642" spans="1:14" x14ac:dyDescent="0.15">
      <c r="A3642" s="166"/>
      <c r="B3642" s="93"/>
      <c r="C3642" s="70"/>
      <c r="D3642" s="70"/>
      <c r="E3642" s="70"/>
      <c r="F3642" s="70"/>
      <c r="G3642" s="70"/>
      <c r="H3642" s="93"/>
      <c r="I3642" s="85"/>
      <c r="J3642" s="85"/>
      <c r="K3642" s="131"/>
      <c r="L3642" s="60"/>
      <c r="M3642" s="33"/>
      <c r="N3642" s="35"/>
    </row>
    <row r="3643" spans="1:14" x14ac:dyDescent="0.15">
      <c r="A3643" s="166"/>
      <c r="B3643" s="93"/>
      <c r="C3643" s="70"/>
      <c r="D3643" s="70"/>
      <c r="E3643" s="70"/>
      <c r="F3643" s="70"/>
      <c r="G3643" s="70"/>
      <c r="H3643" s="93"/>
      <c r="I3643" s="85"/>
      <c r="J3643" s="85"/>
      <c r="K3643" s="131"/>
      <c r="L3643" s="60"/>
      <c r="M3643" s="33"/>
      <c r="N3643" s="35"/>
    </row>
    <row r="3644" spans="1:14" x14ac:dyDescent="0.15">
      <c r="A3644" s="166"/>
      <c r="B3644" s="93"/>
      <c r="C3644" s="70"/>
      <c r="D3644" s="70"/>
      <c r="E3644" s="70"/>
      <c r="F3644" s="70"/>
      <c r="G3644" s="70"/>
      <c r="H3644" s="93"/>
      <c r="I3644" s="85"/>
      <c r="J3644" s="85"/>
      <c r="K3644" s="131"/>
      <c r="L3644" s="60"/>
      <c r="M3644" s="33"/>
    </row>
    <row r="3645" spans="1:14" x14ac:dyDescent="0.15">
      <c r="A3645" s="166"/>
      <c r="B3645" s="93"/>
      <c r="C3645" s="73"/>
      <c r="D3645" s="73"/>
      <c r="E3645" s="70"/>
      <c r="F3645" s="73"/>
      <c r="G3645" s="73"/>
      <c r="H3645" s="108"/>
      <c r="I3645" s="85"/>
      <c r="J3645" s="95"/>
      <c r="K3645" s="131"/>
      <c r="L3645" s="60"/>
      <c r="M3645" s="33"/>
    </row>
    <row r="3646" spans="1:14" ht="16" x14ac:dyDescent="0.2">
      <c r="A3646" s="166"/>
      <c r="B3646" s="93"/>
      <c r="C3646" s="73"/>
      <c r="D3646" s="73"/>
      <c r="E3646" s="70"/>
      <c r="F3646" s="73"/>
      <c r="G3646" s="73"/>
      <c r="H3646" s="108"/>
      <c r="I3646" s="85"/>
      <c r="J3646" s="95"/>
      <c r="K3646" s="131"/>
      <c r="L3646" s="60"/>
      <c r="M3646" s="47"/>
    </row>
    <row r="3647" spans="1:14" x14ac:dyDescent="0.15">
      <c r="A3647" s="166"/>
      <c r="B3647" s="93"/>
      <c r="C3647" s="70"/>
      <c r="D3647" s="70"/>
      <c r="E3647" s="70"/>
      <c r="F3647" s="70"/>
      <c r="G3647" s="70"/>
      <c r="H3647" s="93"/>
      <c r="I3647" s="85"/>
      <c r="J3647" s="85"/>
      <c r="K3647" s="131"/>
      <c r="L3647" s="60"/>
      <c r="M3647" s="33"/>
    </row>
    <row r="3648" spans="1:14" x14ac:dyDescent="0.15">
      <c r="A3648" s="166"/>
      <c r="B3648" s="93"/>
      <c r="C3648" s="70"/>
      <c r="D3648" s="70"/>
      <c r="E3648" s="70"/>
      <c r="F3648" s="70"/>
      <c r="G3648" s="70"/>
      <c r="H3648" s="93"/>
      <c r="I3648" s="85"/>
      <c r="J3648" s="85"/>
      <c r="K3648" s="131"/>
      <c r="L3648" s="60"/>
      <c r="M3648" s="33"/>
    </row>
    <row r="3649" spans="1:14" ht="16" x14ac:dyDescent="0.2">
      <c r="A3649" s="166"/>
      <c r="B3649" s="93"/>
      <c r="C3649" s="70"/>
      <c r="D3649" s="70"/>
      <c r="E3649" s="70"/>
      <c r="F3649" s="70"/>
      <c r="G3649" s="70"/>
      <c r="H3649" s="93"/>
      <c r="I3649" s="85"/>
      <c r="J3649" s="85"/>
      <c r="K3649" s="131"/>
      <c r="L3649" s="60"/>
      <c r="M3649" s="33"/>
      <c r="N3649" s="48"/>
    </row>
    <row r="3650" spans="1:14" x14ac:dyDescent="0.15">
      <c r="A3650" s="166"/>
      <c r="B3650" s="93"/>
      <c r="C3650" s="73"/>
      <c r="D3650" s="73"/>
      <c r="E3650" s="70"/>
      <c r="F3650" s="73"/>
      <c r="G3650" s="73"/>
      <c r="H3650" s="108"/>
      <c r="I3650" s="85"/>
      <c r="J3650" s="95"/>
      <c r="K3650" s="131"/>
      <c r="L3650" s="60"/>
      <c r="M3650" s="33"/>
    </row>
    <row r="3651" spans="1:14" x14ac:dyDescent="0.15">
      <c r="A3651" s="166"/>
      <c r="B3651" s="93"/>
      <c r="C3651" s="70"/>
      <c r="D3651" s="70"/>
      <c r="E3651" s="70"/>
      <c r="F3651" s="70"/>
      <c r="G3651" s="70"/>
      <c r="H3651" s="93"/>
      <c r="I3651" s="85"/>
      <c r="J3651" s="85"/>
      <c r="K3651" s="131"/>
      <c r="L3651" s="60"/>
      <c r="M3651" s="33"/>
    </row>
    <row r="3652" spans="1:14" x14ac:dyDescent="0.15">
      <c r="A3652" s="170"/>
      <c r="B3652" s="93"/>
      <c r="C3652" s="70"/>
      <c r="D3652" s="70"/>
      <c r="E3652" s="70"/>
      <c r="F3652" s="70"/>
      <c r="G3652" s="70"/>
      <c r="H3652" s="93"/>
      <c r="I3652" s="85"/>
      <c r="J3652" s="85"/>
      <c r="K3652" s="131"/>
      <c r="L3652" s="60"/>
      <c r="M3652" s="33"/>
    </row>
    <row r="3653" spans="1:14" x14ac:dyDescent="0.15">
      <c r="A3653" s="166"/>
      <c r="B3653" s="93"/>
      <c r="C3653" s="70"/>
      <c r="D3653" s="70"/>
      <c r="E3653" s="70"/>
      <c r="F3653" s="70"/>
      <c r="G3653" s="70"/>
      <c r="H3653" s="93"/>
      <c r="I3653" s="85"/>
      <c r="J3653" s="85"/>
      <c r="K3653" s="131"/>
      <c r="L3653" s="60"/>
      <c r="M3653" s="33"/>
    </row>
    <row r="3654" spans="1:14" x14ac:dyDescent="0.15">
      <c r="A3654" s="166"/>
      <c r="B3654" s="93"/>
      <c r="C3654" s="70"/>
      <c r="D3654" s="70"/>
      <c r="E3654" s="70"/>
      <c r="F3654" s="70"/>
      <c r="G3654" s="70"/>
      <c r="H3654" s="93"/>
      <c r="I3654" s="85"/>
      <c r="J3654" s="85"/>
      <c r="K3654" s="131"/>
      <c r="L3654" s="60"/>
      <c r="M3654" s="33"/>
    </row>
    <row r="3655" spans="1:14" x14ac:dyDescent="0.15">
      <c r="A3655" s="166"/>
      <c r="B3655" s="93"/>
      <c r="C3655" s="73"/>
      <c r="D3655" s="73"/>
      <c r="E3655" s="70"/>
      <c r="F3655" s="73"/>
      <c r="G3655" s="73"/>
      <c r="H3655" s="108"/>
      <c r="I3655" s="85"/>
      <c r="J3655" s="95"/>
      <c r="K3655" s="131"/>
      <c r="L3655" s="60"/>
      <c r="M3655" s="33"/>
    </row>
    <row r="3656" spans="1:14" ht="16" x14ac:dyDescent="0.2">
      <c r="A3656" s="166"/>
      <c r="B3656" s="93"/>
      <c r="C3656" s="70"/>
      <c r="D3656" s="70"/>
      <c r="E3656" s="70"/>
      <c r="F3656" s="70"/>
      <c r="G3656" s="70"/>
      <c r="H3656" s="93"/>
      <c r="I3656" s="85"/>
      <c r="J3656" s="85"/>
      <c r="K3656" s="131"/>
      <c r="L3656" s="60"/>
      <c r="M3656" s="33"/>
      <c r="N3656" s="48"/>
    </row>
    <row r="3657" spans="1:14" ht="16" x14ac:dyDescent="0.2">
      <c r="A3657" s="166"/>
      <c r="B3657" s="93"/>
      <c r="C3657" s="73"/>
      <c r="D3657" s="73"/>
      <c r="E3657" s="70"/>
      <c r="F3657" s="73"/>
      <c r="G3657" s="73"/>
      <c r="H3657" s="108"/>
      <c r="I3657" s="85"/>
      <c r="J3657" s="95"/>
      <c r="K3657" s="131"/>
      <c r="L3657" s="60"/>
      <c r="M3657" s="33"/>
      <c r="N3657" s="48"/>
    </row>
    <row r="3658" spans="1:14" ht="16" x14ac:dyDescent="0.2">
      <c r="A3658" s="166"/>
      <c r="B3658" s="93"/>
      <c r="C3658" s="70"/>
      <c r="D3658" s="70"/>
      <c r="E3658" s="70"/>
      <c r="F3658" s="70"/>
      <c r="G3658" s="70"/>
      <c r="H3658" s="93"/>
      <c r="I3658" s="85"/>
      <c r="J3658" s="85"/>
      <c r="K3658" s="131"/>
      <c r="L3658" s="60"/>
      <c r="M3658" s="47"/>
      <c r="N3658" s="48"/>
    </row>
    <row r="3659" spans="1:14" ht="16" x14ac:dyDescent="0.2">
      <c r="A3659" s="166"/>
      <c r="B3659" s="93"/>
      <c r="C3659" s="70"/>
      <c r="D3659" s="70"/>
      <c r="E3659" s="70"/>
      <c r="F3659" s="70"/>
      <c r="G3659" s="70"/>
      <c r="H3659" s="93"/>
      <c r="I3659" s="85"/>
      <c r="J3659" s="85"/>
      <c r="K3659" s="131"/>
      <c r="L3659" s="60"/>
      <c r="M3659" s="33"/>
      <c r="N3659" s="48"/>
    </row>
    <row r="3660" spans="1:14" ht="16" x14ac:dyDescent="0.2">
      <c r="A3660" s="166"/>
      <c r="B3660" s="93"/>
      <c r="C3660" s="70"/>
      <c r="D3660" s="70"/>
      <c r="E3660" s="70"/>
      <c r="F3660" s="70"/>
      <c r="G3660" s="70"/>
      <c r="H3660" s="93"/>
      <c r="I3660" s="85"/>
      <c r="J3660" s="85"/>
      <c r="K3660" s="131"/>
      <c r="L3660" s="60"/>
      <c r="M3660" s="33"/>
      <c r="N3660" s="48"/>
    </row>
    <row r="3661" spans="1:14" x14ac:dyDescent="0.15">
      <c r="A3661" s="166"/>
      <c r="B3661" s="93"/>
      <c r="C3661" s="70"/>
      <c r="D3661" s="70"/>
      <c r="E3661" s="70"/>
      <c r="F3661" s="70"/>
      <c r="G3661" s="70"/>
      <c r="H3661" s="93"/>
      <c r="I3661" s="85"/>
      <c r="J3661" s="85"/>
      <c r="K3661" s="131"/>
      <c r="L3661" s="60"/>
      <c r="M3661" s="33"/>
    </row>
    <row r="3662" spans="1:14" x14ac:dyDescent="0.15">
      <c r="A3662" s="166"/>
      <c r="B3662" s="93"/>
      <c r="C3662" s="70"/>
      <c r="D3662" s="70"/>
      <c r="E3662" s="70"/>
      <c r="F3662" s="70"/>
      <c r="G3662" s="70"/>
      <c r="H3662" s="93"/>
      <c r="I3662" s="85"/>
      <c r="J3662" s="85"/>
      <c r="K3662" s="131"/>
      <c r="L3662" s="60"/>
      <c r="M3662" s="33"/>
    </row>
    <row r="3663" spans="1:14" x14ac:dyDescent="0.15">
      <c r="A3663" s="166"/>
      <c r="B3663" s="82"/>
      <c r="C3663" s="70"/>
      <c r="D3663" s="70"/>
      <c r="E3663" s="70"/>
      <c r="F3663" s="70"/>
      <c r="G3663" s="70"/>
      <c r="H3663" s="93"/>
      <c r="I3663" s="85"/>
      <c r="J3663" s="85"/>
      <c r="K3663" s="131"/>
      <c r="L3663" s="60"/>
      <c r="N3663" s="35"/>
    </row>
    <row r="3664" spans="1:14" x14ac:dyDescent="0.15">
      <c r="A3664" s="166"/>
      <c r="B3664" s="93"/>
      <c r="C3664" s="70"/>
      <c r="D3664" s="70"/>
      <c r="E3664" s="70"/>
      <c r="F3664" s="70"/>
      <c r="G3664" s="70"/>
      <c r="H3664" s="93"/>
      <c r="I3664" s="85"/>
      <c r="J3664" s="85"/>
      <c r="K3664" s="131"/>
      <c r="L3664" s="60"/>
      <c r="M3664" s="33"/>
    </row>
    <row r="3665" spans="1:14" x14ac:dyDescent="0.15">
      <c r="A3665" s="166"/>
      <c r="B3665" s="93"/>
      <c r="C3665" s="70"/>
      <c r="D3665" s="70"/>
      <c r="E3665" s="70"/>
      <c r="F3665" s="70"/>
      <c r="G3665" s="70"/>
      <c r="H3665" s="93"/>
      <c r="I3665" s="85"/>
      <c r="J3665" s="85"/>
      <c r="K3665" s="131"/>
      <c r="L3665" s="60"/>
      <c r="M3665" s="33"/>
      <c r="N3665" s="35"/>
    </row>
    <row r="3666" spans="1:14" x14ac:dyDescent="0.15">
      <c r="A3666" s="166"/>
      <c r="B3666" s="82"/>
      <c r="C3666" s="70"/>
      <c r="D3666" s="70"/>
      <c r="E3666" s="70"/>
      <c r="F3666" s="70"/>
      <c r="G3666" s="70"/>
      <c r="H3666" s="93"/>
      <c r="I3666" s="85"/>
      <c r="J3666" s="85"/>
      <c r="K3666" s="131"/>
      <c r="L3666" s="60"/>
    </row>
    <row r="3667" spans="1:14" x14ac:dyDescent="0.15">
      <c r="A3667" s="166"/>
      <c r="B3667" s="93"/>
      <c r="C3667" s="70"/>
      <c r="D3667" s="70"/>
      <c r="E3667" s="70"/>
      <c r="F3667" s="70"/>
      <c r="G3667" s="70"/>
      <c r="H3667" s="93"/>
      <c r="I3667" s="85"/>
      <c r="J3667" s="85"/>
      <c r="K3667" s="131"/>
      <c r="L3667" s="60"/>
      <c r="M3667" s="33"/>
    </row>
    <row r="3668" spans="1:14" x14ac:dyDescent="0.15">
      <c r="A3668" s="166"/>
      <c r="B3668" s="93"/>
      <c r="C3668" s="70"/>
      <c r="D3668" s="70"/>
      <c r="E3668" s="70"/>
      <c r="F3668" s="70"/>
      <c r="G3668" s="70"/>
      <c r="H3668" s="93"/>
      <c r="I3668" s="85"/>
      <c r="J3668" s="85"/>
      <c r="K3668" s="131"/>
      <c r="L3668" s="60"/>
      <c r="M3668" s="33"/>
    </row>
    <row r="3669" spans="1:14" x14ac:dyDescent="0.15">
      <c r="A3669" s="166"/>
      <c r="B3669" s="93"/>
      <c r="C3669" s="70"/>
      <c r="D3669" s="70"/>
      <c r="E3669" s="70"/>
      <c r="F3669" s="70"/>
      <c r="G3669" s="70"/>
      <c r="H3669" s="93"/>
      <c r="I3669" s="85"/>
      <c r="J3669" s="85"/>
      <c r="K3669" s="131"/>
      <c r="L3669" s="60"/>
      <c r="M3669" s="33"/>
    </row>
    <row r="3670" spans="1:14" x14ac:dyDescent="0.15">
      <c r="A3670" s="166"/>
      <c r="B3670" s="82"/>
      <c r="C3670" s="70"/>
      <c r="D3670" s="70"/>
      <c r="E3670" s="70"/>
      <c r="F3670" s="70"/>
      <c r="G3670" s="70"/>
      <c r="H3670" s="93"/>
      <c r="I3670" s="85"/>
      <c r="J3670" s="85"/>
      <c r="K3670" s="131"/>
      <c r="L3670" s="60"/>
    </row>
    <row r="3671" spans="1:14" x14ac:dyDescent="0.15">
      <c r="A3671" s="166"/>
      <c r="B3671" s="82"/>
      <c r="C3671" s="70"/>
      <c r="D3671" s="70"/>
      <c r="E3671" s="70"/>
      <c r="F3671" s="70"/>
      <c r="G3671" s="70"/>
      <c r="H3671" s="93"/>
      <c r="I3671" s="85"/>
      <c r="J3671" s="85"/>
      <c r="K3671" s="131"/>
      <c r="L3671" s="60"/>
    </row>
    <row r="3672" spans="1:14" x14ac:dyDescent="0.15">
      <c r="A3672" s="166"/>
      <c r="B3672" s="82"/>
      <c r="C3672" s="70"/>
      <c r="D3672" s="70"/>
      <c r="E3672" s="70"/>
      <c r="F3672" s="70"/>
      <c r="G3672" s="70"/>
      <c r="H3672" s="93"/>
      <c r="I3672" s="85"/>
      <c r="J3672" s="85"/>
      <c r="K3672" s="131"/>
      <c r="L3672" s="60"/>
    </row>
    <row r="3673" spans="1:14" x14ac:dyDescent="0.15">
      <c r="A3673" s="166"/>
      <c r="B3673" s="82"/>
      <c r="C3673" s="70"/>
      <c r="D3673" s="70"/>
      <c r="E3673" s="70"/>
      <c r="F3673" s="70"/>
      <c r="G3673" s="70"/>
      <c r="H3673" s="93"/>
      <c r="I3673" s="85"/>
      <c r="J3673" s="85"/>
      <c r="K3673" s="134"/>
      <c r="L3673" s="63"/>
    </row>
    <row r="3674" spans="1:14" x14ac:dyDescent="0.15">
      <c r="A3674" s="166"/>
      <c r="B3674" s="82"/>
      <c r="C3674" s="70"/>
      <c r="D3674" s="70"/>
      <c r="E3674" s="70"/>
      <c r="F3674" s="70"/>
      <c r="G3674" s="70"/>
      <c r="H3674" s="93"/>
      <c r="I3674" s="85"/>
      <c r="J3674" s="85"/>
      <c r="K3674" s="131"/>
      <c r="L3674" s="60"/>
    </row>
    <row r="3675" spans="1:14" x14ac:dyDescent="0.15">
      <c r="A3675" s="166"/>
      <c r="B3675" s="82"/>
      <c r="C3675" s="70"/>
      <c r="D3675" s="70"/>
      <c r="E3675" s="70"/>
      <c r="F3675" s="70"/>
      <c r="G3675" s="70"/>
      <c r="H3675" s="93"/>
      <c r="I3675" s="85"/>
      <c r="J3675" s="85"/>
      <c r="K3675" s="131"/>
      <c r="L3675" s="60"/>
    </row>
    <row r="3676" spans="1:14" x14ac:dyDescent="0.15">
      <c r="A3676" s="166"/>
      <c r="B3676" s="82"/>
      <c r="C3676" s="70"/>
      <c r="D3676" s="70"/>
      <c r="E3676" s="70"/>
      <c r="F3676" s="70"/>
      <c r="G3676" s="70"/>
      <c r="H3676" s="93"/>
      <c r="I3676" s="85"/>
      <c r="J3676" s="85"/>
      <c r="K3676" s="131"/>
      <c r="L3676" s="60"/>
    </row>
    <row r="3677" spans="1:14" x14ac:dyDescent="0.15">
      <c r="A3677" s="166"/>
      <c r="B3677" s="93"/>
      <c r="C3677" s="70"/>
      <c r="D3677" s="70"/>
      <c r="E3677" s="70"/>
      <c r="F3677" s="70"/>
      <c r="G3677" s="70"/>
      <c r="H3677" s="93"/>
      <c r="I3677" s="85"/>
      <c r="J3677" s="85"/>
      <c r="K3677" s="131"/>
      <c r="L3677" s="60"/>
      <c r="M3677" s="33"/>
    </row>
    <row r="3678" spans="1:14" x14ac:dyDescent="0.15">
      <c r="A3678" s="166"/>
      <c r="B3678" s="82"/>
      <c r="C3678" s="70"/>
      <c r="D3678" s="70"/>
      <c r="E3678" s="70"/>
      <c r="F3678" s="70"/>
      <c r="G3678" s="70"/>
      <c r="H3678" s="93"/>
      <c r="I3678" s="85"/>
      <c r="J3678" s="85"/>
      <c r="K3678" s="131"/>
      <c r="L3678" s="60"/>
    </row>
    <row r="3679" spans="1:14" x14ac:dyDescent="0.15">
      <c r="A3679" s="166"/>
      <c r="B3679" s="93"/>
      <c r="C3679" s="70"/>
      <c r="D3679" s="70"/>
      <c r="E3679" s="70"/>
      <c r="F3679" s="70"/>
      <c r="G3679" s="70"/>
      <c r="H3679" s="93"/>
      <c r="I3679" s="85"/>
      <c r="J3679" s="85"/>
      <c r="K3679" s="131"/>
      <c r="L3679" s="60"/>
      <c r="M3679" s="33"/>
    </row>
    <row r="3680" spans="1:14" x14ac:dyDescent="0.15">
      <c r="A3680" s="166"/>
      <c r="B3680" s="82"/>
      <c r="C3680" s="70"/>
      <c r="D3680" s="70"/>
      <c r="E3680" s="70"/>
      <c r="F3680" s="70"/>
      <c r="G3680" s="70"/>
      <c r="H3680" s="93"/>
      <c r="I3680" s="85"/>
      <c r="J3680" s="85"/>
      <c r="K3680" s="131"/>
      <c r="L3680" s="60"/>
      <c r="M3680" s="33"/>
    </row>
    <row r="3681" spans="1:14" x14ac:dyDescent="0.15">
      <c r="A3681" s="166"/>
      <c r="B3681" s="93"/>
      <c r="C3681" s="70"/>
      <c r="D3681" s="70"/>
      <c r="E3681" s="70"/>
      <c r="F3681" s="70"/>
      <c r="G3681" s="70"/>
      <c r="H3681" s="93"/>
      <c r="I3681" s="85"/>
      <c r="J3681" s="85"/>
      <c r="K3681" s="131"/>
      <c r="L3681" s="60"/>
      <c r="M3681" s="33"/>
    </row>
    <row r="3682" spans="1:14" x14ac:dyDescent="0.15">
      <c r="A3682" s="166"/>
      <c r="B3682" s="93"/>
      <c r="C3682" s="70"/>
      <c r="D3682" s="70"/>
      <c r="E3682" s="70"/>
      <c r="F3682" s="70"/>
      <c r="G3682" s="70"/>
      <c r="H3682" s="93"/>
      <c r="I3682" s="85"/>
      <c r="J3682" s="85"/>
      <c r="K3682" s="131"/>
      <c r="L3682" s="60"/>
      <c r="M3682" s="33"/>
    </row>
    <row r="3683" spans="1:14" x14ac:dyDescent="0.15">
      <c r="A3683" s="166"/>
      <c r="B3683" s="93"/>
      <c r="C3683" s="70"/>
      <c r="D3683" s="70"/>
      <c r="E3683" s="70"/>
      <c r="F3683" s="70"/>
      <c r="G3683" s="70"/>
      <c r="H3683" s="93"/>
      <c r="I3683" s="85"/>
      <c r="J3683" s="85"/>
      <c r="K3683" s="131"/>
      <c r="L3683" s="60"/>
      <c r="M3683" s="33"/>
    </row>
    <row r="3684" spans="1:14" x14ac:dyDescent="0.15">
      <c r="A3684" s="166"/>
      <c r="B3684" s="82"/>
      <c r="C3684" s="70"/>
      <c r="D3684" s="70"/>
      <c r="E3684" s="70"/>
      <c r="F3684" s="70"/>
      <c r="G3684" s="70"/>
      <c r="H3684" s="93"/>
      <c r="I3684" s="85"/>
      <c r="J3684" s="85"/>
      <c r="K3684" s="131"/>
      <c r="L3684" s="60"/>
    </row>
    <row r="3685" spans="1:14" x14ac:dyDescent="0.15">
      <c r="A3685" s="166"/>
      <c r="B3685" s="82"/>
      <c r="C3685" s="70"/>
      <c r="D3685" s="70"/>
      <c r="E3685" s="70"/>
      <c r="F3685" s="70"/>
      <c r="G3685" s="70"/>
      <c r="H3685" s="93"/>
      <c r="I3685" s="85"/>
      <c r="J3685" s="85"/>
      <c r="K3685" s="131"/>
      <c r="L3685" s="60"/>
      <c r="M3685" s="33"/>
    </row>
    <row r="3686" spans="1:14" x14ac:dyDescent="0.15">
      <c r="A3686" s="166"/>
      <c r="B3686" s="82"/>
      <c r="C3686" s="70"/>
      <c r="D3686" s="70"/>
      <c r="E3686" s="70"/>
      <c r="F3686" s="70"/>
      <c r="G3686" s="70"/>
      <c r="H3686" s="93"/>
      <c r="I3686" s="85"/>
      <c r="J3686" s="85"/>
      <c r="K3686" s="131"/>
      <c r="L3686" s="60"/>
    </row>
    <row r="3687" spans="1:14" x14ac:dyDescent="0.15">
      <c r="A3687" s="166"/>
      <c r="B3687" s="93"/>
      <c r="C3687" s="70"/>
      <c r="D3687" s="70"/>
      <c r="E3687" s="70"/>
      <c r="F3687" s="70"/>
      <c r="G3687" s="70"/>
      <c r="H3687" s="93"/>
      <c r="I3687" s="85"/>
      <c r="J3687" s="85"/>
      <c r="K3687" s="131"/>
      <c r="L3687" s="60"/>
      <c r="M3687" s="33"/>
    </row>
    <row r="3688" spans="1:14" x14ac:dyDescent="0.15">
      <c r="A3688" s="166"/>
      <c r="B3688" s="82"/>
      <c r="C3688" s="70"/>
      <c r="D3688" s="70"/>
      <c r="E3688" s="70"/>
      <c r="F3688" s="70"/>
      <c r="G3688" s="70"/>
      <c r="H3688" s="93"/>
      <c r="I3688" s="85"/>
      <c r="J3688" s="85"/>
      <c r="K3688" s="131"/>
      <c r="L3688" s="60"/>
    </row>
    <row r="3689" spans="1:14" ht="16" x14ac:dyDescent="0.2">
      <c r="A3689" s="166"/>
      <c r="B3689" s="82"/>
      <c r="C3689" s="70"/>
      <c r="D3689" s="70"/>
      <c r="E3689" s="70"/>
      <c r="F3689" s="70"/>
      <c r="G3689" s="70"/>
      <c r="H3689" s="93"/>
      <c r="I3689" s="85"/>
      <c r="J3689" s="85"/>
      <c r="K3689" s="131"/>
      <c r="L3689" s="67"/>
      <c r="N3689" s="48"/>
    </row>
    <row r="3690" spans="1:14" x14ac:dyDescent="0.15">
      <c r="A3690" s="166"/>
      <c r="B3690" s="82"/>
      <c r="C3690" s="70"/>
      <c r="D3690" s="70"/>
      <c r="E3690" s="70"/>
      <c r="F3690" s="70"/>
      <c r="G3690" s="70"/>
      <c r="H3690" s="93"/>
      <c r="I3690" s="85"/>
      <c r="J3690" s="85"/>
      <c r="K3690" s="131"/>
      <c r="L3690" s="60"/>
    </row>
    <row r="3691" spans="1:14" x14ac:dyDescent="0.15">
      <c r="A3691" s="166"/>
      <c r="B3691" s="93"/>
      <c r="C3691" s="70"/>
      <c r="D3691" s="70"/>
      <c r="E3691" s="70"/>
      <c r="F3691" s="70"/>
      <c r="G3691" s="70"/>
      <c r="H3691" s="93"/>
      <c r="I3691" s="85"/>
      <c r="J3691" s="85"/>
      <c r="K3691" s="131"/>
      <c r="L3691" s="60"/>
      <c r="M3691" s="33"/>
    </row>
    <row r="3692" spans="1:14" x14ac:dyDescent="0.15">
      <c r="A3692" s="166"/>
      <c r="B3692" s="93"/>
      <c r="C3692" s="70"/>
      <c r="D3692" s="70"/>
      <c r="E3692" s="70"/>
      <c r="F3692" s="70"/>
      <c r="G3692" s="70"/>
      <c r="H3692" s="93"/>
      <c r="I3692" s="85"/>
      <c r="J3692" s="85"/>
      <c r="K3692" s="131"/>
      <c r="L3692" s="60"/>
      <c r="M3692" s="33"/>
    </row>
    <row r="3693" spans="1:14" x14ac:dyDescent="0.15">
      <c r="A3693" s="166"/>
      <c r="B3693" s="82"/>
      <c r="C3693" s="70"/>
      <c r="D3693" s="70"/>
      <c r="E3693" s="70"/>
      <c r="F3693" s="70"/>
      <c r="G3693" s="70"/>
      <c r="H3693" s="93"/>
      <c r="I3693" s="85"/>
      <c r="J3693" s="85"/>
      <c r="K3693" s="131"/>
      <c r="L3693" s="60"/>
    </row>
    <row r="3694" spans="1:14" ht="16" x14ac:dyDescent="0.2">
      <c r="A3694" s="166"/>
      <c r="B3694" s="82"/>
      <c r="C3694" s="70"/>
      <c r="D3694" s="70"/>
      <c r="E3694" s="70"/>
      <c r="F3694" s="70"/>
      <c r="G3694" s="70"/>
      <c r="H3694" s="93"/>
      <c r="I3694" s="85"/>
      <c r="J3694" s="85"/>
      <c r="K3694" s="131"/>
      <c r="L3694" s="60"/>
      <c r="N3694" s="48"/>
    </row>
    <row r="3695" spans="1:14" x14ac:dyDescent="0.15">
      <c r="A3695" s="166"/>
      <c r="B3695" s="82"/>
      <c r="C3695" s="70"/>
      <c r="D3695" s="70"/>
      <c r="E3695" s="70"/>
      <c r="F3695" s="70"/>
      <c r="G3695" s="70"/>
      <c r="H3695" s="93"/>
      <c r="I3695" s="85"/>
      <c r="J3695" s="85"/>
      <c r="K3695" s="131"/>
      <c r="L3695" s="60"/>
    </row>
    <row r="3696" spans="1:14" x14ac:dyDescent="0.15">
      <c r="A3696" s="166"/>
      <c r="B3696" s="93"/>
      <c r="C3696" s="70"/>
      <c r="D3696" s="70"/>
      <c r="E3696" s="70"/>
      <c r="F3696" s="70"/>
      <c r="G3696" s="70"/>
      <c r="H3696" s="93"/>
      <c r="I3696" s="85"/>
      <c r="J3696" s="85"/>
      <c r="K3696" s="131"/>
      <c r="L3696" s="60"/>
      <c r="M3696" s="33"/>
    </row>
    <row r="3697" spans="1:18" x14ac:dyDescent="0.15">
      <c r="A3697" s="166"/>
      <c r="B3697" s="93"/>
      <c r="C3697" s="70"/>
      <c r="D3697" s="70"/>
      <c r="E3697" s="70"/>
      <c r="F3697" s="70"/>
      <c r="G3697" s="70"/>
      <c r="H3697" s="93"/>
      <c r="I3697" s="85"/>
      <c r="J3697" s="85"/>
      <c r="K3697" s="131"/>
      <c r="L3697" s="60"/>
      <c r="M3697" s="33"/>
    </row>
    <row r="3698" spans="1:18" ht="14" x14ac:dyDescent="0.15">
      <c r="A3698" s="166"/>
      <c r="B3698" s="93"/>
      <c r="C3698" s="73"/>
      <c r="D3698" s="73"/>
      <c r="E3698" s="70"/>
      <c r="F3698" s="73"/>
      <c r="G3698" s="73"/>
      <c r="H3698" s="108"/>
      <c r="I3698" s="85"/>
      <c r="J3698" s="116"/>
      <c r="K3698" s="131"/>
      <c r="L3698" s="60"/>
      <c r="M3698" s="33"/>
    </row>
    <row r="3699" spans="1:18" x14ac:dyDescent="0.15">
      <c r="A3699" s="166"/>
      <c r="B3699" s="82"/>
      <c r="C3699" s="70"/>
      <c r="D3699" s="70"/>
      <c r="E3699" s="70"/>
      <c r="F3699" s="70"/>
      <c r="G3699" s="70"/>
      <c r="H3699" s="93"/>
      <c r="I3699" s="85"/>
      <c r="J3699" s="85"/>
      <c r="K3699" s="131"/>
      <c r="L3699" s="60"/>
    </row>
    <row r="3700" spans="1:18" x14ac:dyDescent="0.15">
      <c r="A3700" s="166"/>
      <c r="B3700" s="82"/>
      <c r="C3700" s="70"/>
      <c r="D3700" s="70"/>
      <c r="E3700" s="70"/>
      <c r="F3700" s="70"/>
      <c r="G3700" s="70"/>
      <c r="H3700" s="93"/>
      <c r="I3700" s="85"/>
      <c r="J3700" s="85"/>
      <c r="K3700" s="131"/>
      <c r="L3700" s="67"/>
    </row>
    <row r="3701" spans="1:18" x14ac:dyDescent="0.15">
      <c r="A3701" s="166"/>
      <c r="B3701" s="82"/>
      <c r="C3701" s="70"/>
      <c r="D3701" s="70"/>
      <c r="E3701" s="70"/>
      <c r="F3701" s="70"/>
      <c r="G3701" s="70"/>
      <c r="H3701" s="93"/>
      <c r="I3701" s="85"/>
      <c r="J3701" s="85"/>
      <c r="K3701" s="131"/>
      <c r="L3701" s="60"/>
    </row>
    <row r="3702" spans="1:18" x14ac:dyDescent="0.15">
      <c r="A3702" s="166"/>
      <c r="B3702" s="82"/>
      <c r="C3702" s="70"/>
      <c r="D3702" s="70"/>
      <c r="E3702" s="70"/>
      <c r="F3702" s="70"/>
      <c r="G3702" s="70"/>
      <c r="H3702" s="93"/>
      <c r="I3702" s="85"/>
      <c r="J3702" s="85"/>
      <c r="K3702" s="131"/>
      <c r="L3702" s="60"/>
    </row>
    <row r="3703" spans="1:18" ht="16" x14ac:dyDescent="0.2">
      <c r="A3703" s="166"/>
      <c r="B3703" s="82"/>
      <c r="C3703" s="70"/>
      <c r="D3703" s="70"/>
      <c r="E3703" s="70"/>
      <c r="F3703" s="70"/>
      <c r="G3703" s="70"/>
      <c r="H3703" s="93"/>
      <c r="I3703" s="85"/>
      <c r="J3703" s="85"/>
      <c r="K3703" s="131"/>
      <c r="L3703" s="60"/>
      <c r="M3703" s="33"/>
      <c r="N3703" s="48"/>
      <c r="Q3703" s="6"/>
      <c r="R3703" s="6"/>
    </row>
    <row r="3704" spans="1:18" x14ac:dyDescent="0.15">
      <c r="A3704" s="166"/>
      <c r="B3704" s="93"/>
      <c r="C3704" s="70"/>
      <c r="D3704" s="70"/>
      <c r="E3704" s="70"/>
      <c r="F3704" s="70"/>
      <c r="G3704" s="70"/>
      <c r="H3704" s="93"/>
      <c r="I3704" s="85"/>
      <c r="J3704" s="85"/>
      <c r="K3704" s="131"/>
      <c r="L3704" s="60"/>
      <c r="M3704" s="33"/>
      <c r="Q3704" s="6"/>
      <c r="R3704" s="6"/>
    </row>
    <row r="3705" spans="1:18" x14ac:dyDescent="0.15">
      <c r="A3705" s="166"/>
      <c r="B3705" s="93"/>
      <c r="C3705" s="70"/>
      <c r="D3705" s="70"/>
      <c r="E3705" s="70"/>
      <c r="F3705" s="70"/>
      <c r="G3705" s="70"/>
      <c r="H3705" s="93"/>
      <c r="I3705" s="85"/>
      <c r="J3705" s="85"/>
      <c r="K3705" s="131"/>
      <c r="L3705" s="60"/>
      <c r="M3705" s="33"/>
      <c r="Q3705" s="6"/>
      <c r="R3705" s="6"/>
    </row>
    <row r="3706" spans="1:18" x14ac:dyDescent="0.15">
      <c r="A3706" s="170"/>
      <c r="B3706" s="93"/>
      <c r="C3706" s="70"/>
      <c r="D3706" s="70"/>
      <c r="E3706" s="70"/>
      <c r="F3706" s="70"/>
      <c r="G3706" s="70"/>
      <c r="H3706" s="93"/>
      <c r="I3706" s="85"/>
      <c r="J3706" s="85"/>
      <c r="K3706" s="131"/>
      <c r="L3706" s="60"/>
      <c r="M3706" s="33"/>
      <c r="Q3706" s="6"/>
      <c r="R3706" s="6"/>
    </row>
    <row r="3707" spans="1:18" x14ac:dyDescent="0.15">
      <c r="A3707" s="166"/>
      <c r="B3707" s="93"/>
      <c r="C3707" s="70"/>
      <c r="D3707" s="70"/>
      <c r="E3707" s="70"/>
      <c r="F3707" s="70"/>
      <c r="G3707" s="70"/>
      <c r="H3707" s="93"/>
      <c r="I3707" s="85"/>
      <c r="J3707" s="85"/>
      <c r="K3707" s="131"/>
      <c r="L3707" s="60"/>
      <c r="M3707" s="33"/>
      <c r="Q3707" s="6"/>
      <c r="R3707" s="6"/>
    </row>
    <row r="3708" spans="1:18" x14ac:dyDescent="0.15">
      <c r="A3708" s="166"/>
      <c r="B3708" s="82"/>
      <c r="C3708" s="70"/>
      <c r="D3708" s="70"/>
      <c r="E3708" s="70"/>
      <c r="F3708" s="70"/>
      <c r="G3708" s="70"/>
      <c r="H3708" s="93"/>
      <c r="I3708" s="85"/>
      <c r="J3708" s="85"/>
      <c r="K3708" s="131"/>
      <c r="L3708" s="60"/>
      <c r="M3708" s="33"/>
      <c r="Q3708" s="6"/>
      <c r="R3708" s="6"/>
    </row>
    <row r="3709" spans="1:18" x14ac:dyDescent="0.15">
      <c r="A3709" s="166"/>
      <c r="B3709" s="82"/>
      <c r="C3709" s="70"/>
      <c r="D3709" s="70"/>
      <c r="E3709" s="70"/>
      <c r="F3709" s="70"/>
      <c r="G3709" s="70"/>
      <c r="H3709" s="93"/>
      <c r="I3709" s="85"/>
      <c r="J3709" s="85"/>
      <c r="K3709" s="131"/>
      <c r="L3709" s="60"/>
      <c r="Q3709" s="6"/>
      <c r="R3709" s="6"/>
    </row>
    <row r="3710" spans="1:18" x14ac:dyDescent="0.15">
      <c r="A3710" s="166"/>
      <c r="B3710" s="82"/>
      <c r="C3710" s="70"/>
      <c r="D3710" s="70"/>
      <c r="E3710" s="70"/>
      <c r="F3710" s="70"/>
      <c r="G3710" s="70"/>
      <c r="H3710" s="93"/>
      <c r="I3710" s="85"/>
      <c r="J3710" s="85"/>
      <c r="K3710" s="131"/>
      <c r="L3710" s="60"/>
      <c r="Q3710" s="6"/>
      <c r="R3710" s="6"/>
    </row>
    <row r="3711" spans="1:18" x14ac:dyDescent="0.15">
      <c r="A3711" s="166"/>
      <c r="B3711" s="82"/>
      <c r="C3711" s="70"/>
      <c r="D3711" s="70"/>
      <c r="E3711" s="70"/>
      <c r="F3711" s="70"/>
      <c r="G3711" s="70"/>
      <c r="H3711" s="93"/>
      <c r="I3711" s="85"/>
      <c r="J3711" s="85"/>
      <c r="K3711" s="131"/>
      <c r="L3711" s="60"/>
      <c r="Q3711" s="6"/>
      <c r="R3711" s="6"/>
    </row>
    <row r="3712" spans="1:18" x14ac:dyDescent="0.15">
      <c r="A3712" s="166"/>
      <c r="B3712" s="82"/>
      <c r="C3712" s="70"/>
      <c r="D3712" s="70"/>
      <c r="E3712" s="70"/>
      <c r="F3712" s="70"/>
      <c r="G3712" s="70"/>
      <c r="H3712" s="93"/>
      <c r="I3712" s="85"/>
      <c r="J3712" s="85"/>
      <c r="K3712" s="131"/>
      <c r="L3712" s="60"/>
      <c r="Q3712" s="6"/>
      <c r="R3712" s="6"/>
    </row>
    <row r="3713" spans="1:18" x14ac:dyDescent="0.15">
      <c r="A3713" s="166"/>
      <c r="B3713" s="82"/>
      <c r="C3713" s="70"/>
      <c r="D3713" s="70"/>
      <c r="E3713" s="70"/>
      <c r="F3713" s="70"/>
      <c r="G3713" s="70"/>
      <c r="H3713" s="93"/>
      <c r="I3713" s="85"/>
      <c r="J3713" s="85"/>
      <c r="K3713" s="131"/>
      <c r="L3713" s="60"/>
      <c r="Q3713" s="6"/>
      <c r="R3713" s="6"/>
    </row>
    <row r="3714" spans="1:18" x14ac:dyDescent="0.15">
      <c r="A3714" s="166"/>
      <c r="B3714" s="82"/>
      <c r="C3714" s="70"/>
      <c r="D3714" s="70"/>
      <c r="E3714" s="70"/>
      <c r="F3714" s="70"/>
      <c r="G3714" s="70"/>
      <c r="H3714" s="93"/>
      <c r="I3714" s="85"/>
      <c r="J3714" s="85"/>
      <c r="K3714" s="131"/>
      <c r="L3714" s="60"/>
      <c r="Q3714"/>
      <c r="R3714"/>
    </row>
    <row r="3715" spans="1:18" x14ac:dyDescent="0.15">
      <c r="A3715" s="166"/>
      <c r="B3715" s="82"/>
      <c r="C3715" s="70"/>
      <c r="D3715" s="70"/>
      <c r="E3715" s="70"/>
      <c r="F3715" s="70"/>
      <c r="G3715" s="70"/>
      <c r="H3715" s="93"/>
      <c r="I3715" s="85"/>
      <c r="J3715" s="85"/>
      <c r="K3715" s="131"/>
      <c r="L3715" s="60"/>
      <c r="M3715" s="33"/>
      <c r="Q3715"/>
      <c r="R3715"/>
    </row>
    <row r="3716" spans="1:18" x14ac:dyDescent="0.15">
      <c r="A3716" s="166"/>
      <c r="B3716" s="82"/>
      <c r="C3716" s="70"/>
      <c r="D3716" s="70"/>
      <c r="E3716" s="70"/>
      <c r="F3716" s="70"/>
      <c r="G3716" s="70"/>
      <c r="H3716" s="93"/>
      <c r="I3716" s="85"/>
      <c r="J3716" s="85"/>
      <c r="K3716" s="131"/>
      <c r="L3716" s="60"/>
      <c r="M3716" s="33"/>
      <c r="Q3716"/>
      <c r="R3716"/>
    </row>
    <row r="3717" spans="1:18" x14ac:dyDescent="0.15">
      <c r="A3717" s="166"/>
      <c r="B3717" s="93"/>
      <c r="C3717" s="70"/>
      <c r="D3717" s="70"/>
      <c r="E3717" s="70"/>
      <c r="F3717" s="70"/>
      <c r="G3717" s="70"/>
      <c r="H3717" s="93"/>
      <c r="I3717" s="85"/>
      <c r="J3717" s="85"/>
      <c r="K3717" s="131"/>
      <c r="L3717" s="60"/>
      <c r="M3717" s="33"/>
      <c r="Q3717"/>
      <c r="R3717"/>
    </row>
    <row r="3718" spans="1:18" ht="16" x14ac:dyDescent="0.2">
      <c r="A3718" s="166"/>
      <c r="B3718" s="93"/>
      <c r="C3718" s="70"/>
      <c r="D3718" s="70"/>
      <c r="E3718" s="70"/>
      <c r="F3718" s="70"/>
      <c r="G3718" s="70"/>
      <c r="H3718" s="93"/>
      <c r="I3718" s="85"/>
      <c r="J3718" s="85"/>
      <c r="K3718" s="131"/>
      <c r="L3718" s="60"/>
      <c r="M3718" s="33"/>
      <c r="N3718" s="48"/>
      <c r="Q3718"/>
      <c r="R3718"/>
    </row>
    <row r="3719" spans="1:18" x14ac:dyDescent="0.15">
      <c r="A3719" s="166"/>
      <c r="B3719" s="82"/>
      <c r="C3719" s="70"/>
      <c r="D3719" s="70"/>
      <c r="E3719" s="70"/>
      <c r="F3719" s="70"/>
      <c r="G3719" s="70"/>
      <c r="H3719" s="93"/>
      <c r="I3719" s="85"/>
      <c r="J3719" s="85"/>
      <c r="K3719" s="131"/>
      <c r="L3719" s="60"/>
      <c r="Q3719"/>
      <c r="R3719"/>
    </row>
    <row r="3720" spans="1:18" x14ac:dyDescent="0.15">
      <c r="A3720" s="166"/>
      <c r="B3720" s="93"/>
      <c r="C3720" s="70"/>
      <c r="D3720" s="70"/>
      <c r="E3720" s="70"/>
      <c r="F3720" s="70"/>
      <c r="G3720" s="70"/>
      <c r="H3720" s="93"/>
      <c r="I3720" s="85"/>
      <c r="J3720" s="85"/>
      <c r="K3720" s="131"/>
      <c r="L3720" s="60"/>
      <c r="M3720" s="33"/>
      <c r="Q3720"/>
      <c r="R3720"/>
    </row>
    <row r="3721" spans="1:18" x14ac:dyDescent="0.15">
      <c r="A3721" s="166"/>
      <c r="B3721" s="82"/>
      <c r="C3721" s="70"/>
      <c r="D3721" s="70"/>
      <c r="E3721" s="70"/>
      <c r="F3721" s="70"/>
      <c r="G3721" s="70"/>
      <c r="H3721" s="93"/>
      <c r="I3721" s="85"/>
      <c r="J3721" s="85"/>
      <c r="K3721" s="131"/>
      <c r="L3721" s="60"/>
      <c r="Q3721"/>
      <c r="R3721"/>
    </row>
    <row r="3722" spans="1:18" x14ac:dyDescent="0.15">
      <c r="A3722" s="166"/>
      <c r="B3722" s="82"/>
      <c r="C3722" s="70"/>
      <c r="D3722" s="70"/>
      <c r="E3722" s="70"/>
      <c r="F3722" s="70"/>
      <c r="G3722" s="70"/>
      <c r="H3722" s="93"/>
      <c r="I3722" s="85"/>
      <c r="J3722" s="85"/>
      <c r="K3722" s="131"/>
      <c r="L3722" s="60"/>
      <c r="Q3722"/>
      <c r="R3722"/>
    </row>
    <row r="3723" spans="1:18" x14ac:dyDescent="0.15">
      <c r="A3723" s="166"/>
      <c r="B3723" s="82"/>
      <c r="C3723" s="70"/>
      <c r="D3723" s="70"/>
      <c r="E3723" s="70"/>
      <c r="F3723" s="70"/>
      <c r="G3723" s="70"/>
      <c r="H3723" s="93"/>
      <c r="I3723" s="85"/>
      <c r="J3723" s="85"/>
      <c r="K3723" s="131"/>
      <c r="L3723" s="60"/>
      <c r="Q3723"/>
      <c r="R3723"/>
    </row>
    <row r="3724" spans="1:18" x14ac:dyDescent="0.15">
      <c r="A3724" s="166"/>
      <c r="B3724" s="93"/>
      <c r="C3724" s="70"/>
      <c r="D3724" s="70"/>
      <c r="E3724" s="70"/>
      <c r="F3724" s="70"/>
      <c r="G3724" s="70"/>
      <c r="H3724" s="93"/>
      <c r="I3724" s="85"/>
      <c r="J3724" s="85"/>
      <c r="K3724" s="131"/>
      <c r="L3724" s="60"/>
      <c r="M3724" s="33"/>
    </row>
    <row r="3725" spans="1:18" x14ac:dyDescent="0.15">
      <c r="A3725" s="166"/>
      <c r="B3725" s="93"/>
      <c r="C3725" s="70"/>
      <c r="D3725" s="70"/>
      <c r="E3725" s="70"/>
      <c r="F3725" s="70"/>
      <c r="G3725" s="70"/>
      <c r="H3725" s="93"/>
      <c r="I3725" s="85"/>
      <c r="J3725" s="85"/>
      <c r="K3725" s="131"/>
      <c r="L3725" s="60"/>
      <c r="M3725" s="33"/>
    </row>
    <row r="3726" spans="1:18" x14ac:dyDescent="0.15">
      <c r="A3726" s="166"/>
      <c r="B3726" s="93"/>
      <c r="C3726" s="70"/>
      <c r="D3726" s="70"/>
      <c r="E3726" s="70"/>
      <c r="F3726" s="70"/>
      <c r="G3726" s="70"/>
      <c r="H3726" s="93"/>
      <c r="I3726" s="85"/>
      <c r="J3726" s="85"/>
      <c r="K3726" s="131"/>
      <c r="L3726" s="60"/>
      <c r="M3726" s="33"/>
    </row>
    <row r="3727" spans="1:18" x14ac:dyDescent="0.15">
      <c r="A3727" s="166"/>
      <c r="B3727" s="82"/>
      <c r="C3727" s="70"/>
      <c r="D3727" s="70"/>
      <c r="E3727" s="70"/>
      <c r="F3727" s="70"/>
      <c r="G3727" s="70"/>
      <c r="H3727" s="93"/>
      <c r="I3727" s="85"/>
      <c r="J3727" s="85"/>
      <c r="K3727" s="131"/>
      <c r="L3727" s="60"/>
    </row>
    <row r="3728" spans="1:18" x14ac:dyDescent="0.15">
      <c r="A3728" s="166"/>
      <c r="B3728" s="82"/>
      <c r="C3728" s="70"/>
      <c r="D3728" s="70"/>
      <c r="E3728" s="70"/>
      <c r="F3728" s="70"/>
      <c r="G3728" s="70"/>
      <c r="H3728" s="93"/>
      <c r="I3728" s="85"/>
      <c r="J3728" s="85"/>
      <c r="K3728" s="131"/>
      <c r="L3728" s="60"/>
    </row>
    <row r="3729" spans="1:26" ht="16" x14ac:dyDescent="0.2">
      <c r="A3729" s="166"/>
      <c r="B3729" s="82"/>
      <c r="C3729" s="70"/>
      <c r="D3729" s="70"/>
      <c r="E3729" s="70"/>
      <c r="F3729" s="70"/>
      <c r="G3729" s="70"/>
      <c r="H3729" s="93"/>
      <c r="I3729" s="85"/>
      <c r="J3729" s="85"/>
      <c r="K3729" s="131"/>
      <c r="L3729" s="60"/>
      <c r="N3729" s="48"/>
    </row>
    <row r="3730" spans="1:26" x14ac:dyDescent="0.15">
      <c r="A3730" s="166"/>
      <c r="B3730" s="93"/>
      <c r="C3730" s="70"/>
      <c r="D3730" s="70"/>
      <c r="E3730" s="70"/>
      <c r="F3730" s="70"/>
      <c r="G3730" s="70"/>
      <c r="H3730" s="93"/>
      <c r="I3730" s="85"/>
      <c r="J3730" s="85"/>
      <c r="K3730" s="131"/>
      <c r="L3730" s="60"/>
      <c r="M3730" s="33"/>
    </row>
    <row r="3731" spans="1:26" x14ac:dyDescent="0.15">
      <c r="A3731" s="166"/>
      <c r="B3731" s="93"/>
      <c r="C3731" s="73"/>
      <c r="D3731" s="73"/>
      <c r="E3731" s="70"/>
      <c r="F3731" s="73"/>
      <c r="G3731" s="73"/>
      <c r="H3731" s="108"/>
      <c r="I3731" s="85"/>
      <c r="J3731" s="95"/>
      <c r="K3731" s="131"/>
      <c r="L3731" s="60"/>
      <c r="M3731" s="33"/>
      <c r="S3731"/>
      <c r="T3731"/>
      <c r="U3731"/>
      <c r="V3731"/>
      <c r="W3731"/>
      <c r="X3731"/>
      <c r="Y3731"/>
      <c r="Z3731"/>
    </row>
    <row r="3732" spans="1:26" x14ac:dyDescent="0.15">
      <c r="A3732" s="166"/>
      <c r="B3732" s="93"/>
      <c r="C3732" s="73"/>
      <c r="D3732" s="73"/>
      <c r="E3732" s="70"/>
      <c r="F3732" s="73"/>
      <c r="G3732" s="73"/>
      <c r="H3732" s="108"/>
      <c r="I3732" s="85"/>
      <c r="J3732" s="95"/>
      <c r="K3732" s="131"/>
      <c r="L3732" s="60"/>
      <c r="M3732" s="33"/>
    </row>
    <row r="3733" spans="1:26" x14ac:dyDescent="0.15">
      <c r="A3733" s="166"/>
      <c r="B3733" s="82"/>
      <c r="C3733" s="70"/>
      <c r="D3733" s="70"/>
      <c r="E3733" s="70"/>
      <c r="F3733" s="70"/>
      <c r="G3733" s="70"/>
      <c r="H3733" s="93"/>
      <c r="I3733" s="85"/>
      <c r="J3733" s="85"/>
      <c r="K3733" s="131"/>
      <c r="L3733" s="60"/>
    </row>
    <row r="3734" spans="1:26" x14ac:dyDescent="0.15">
      <c r="A3734" s="166"/>
      <c r="B3734" s="82"/>
      <c r="C3734" s="70"/>
      <c r="D3734" s="70"/>
      <c r="E3734" s="70"/>
      <c r="F3734" s="70"/>
      <c r="G3734" s="70"/>
      <c r="H3734" s="93"/>
      <c r="I3734" s="85"/>
      <c r="J3734" s="85"/>
      <c r="K3734" s="131"/>
      <c r="L3734" s="60"/>
    </row>
    <row r="3735" spans="1:26" ht="16" x14ac:dyDescent="0.2">
      <c r="A3735" s="166"/>
      <c r="B3735" s="82"/>
      <c r="C3735" s="70"/>
      <c r="D3735" s="70"/>
      <c r="E3735" s="70"/>
      <c r="F3735" s="70"/>
      <c r="G3735" s="70"/>
      <c r="H3735" s="93"/>
      <c r="I3735" s="85"/>
      <c r="J3735" s="85"/>
      <c r="K3735" s="131"/>
      <c r="L3735" s="60"/>
      <c r="N3735" s="48"/>
      <c r="S3735"/>
      <c r="T3735"/>
      <c r="U3735"/>
      <c r="V3735"/>
      <c r="W3735"/>
      <c r="X3735"/>
      <c r="Y3735"/>
      <c r="Z3735"/>
    </row>
    <row r="3736" spans="1:26" x14ac:dyDescent="0.15">
      <c r="A3736" s="166"/>
      <c r="B3736" s="82"/>
      <c r="C3736" s="70"/>
      <c r="D3736" s="70"/>
      <c r="E3736" s="70"/>
      <c r="F3736" s="70"/>
      <c r="G3736" s="70"/>
      <c r="H3736" s="93"/>
      <c r="I3736" s="85"/>
      <c r="J3736" s="85"/>
      <c r="K3736" s="131"/>
      <c r="L3736" s="60"/>
    </row>
    <row r="3737" spans="1:26" x14ac:dyDescent="0.15">
      <c r="A3737" s="166"/>
      <c r="B3737" s="82"/>
      <c r="C3737" s="70"/>
      <c r="D3737" s="70"/>
      <c r="E3737" s="70"/>
      <c r="F3737" s="70"/>
      <c r="G3737" s="70"/>
      <c r="H3737" s="93"/>
      <c r="I3737" s="85"/>
      <c r="J3737" s="85"/>
      <c r="K3737" s="131"/>
      <c r="L3737" s="67"/>
    </row>
    <row r="3738" spans="1:26" x14ac:dyDescent="0.15">
      <c r="A3738" s="166"/>
      <c r="B3738" s="82"/>
      <c r="C3738" s="70"/>
      <c r="D3738" s="70"/>
      <c r="E3738" s="70"/>
      <c r="F3738" s="70"/>
      <c r="G3738" s="70"/>
      <c r="H3738" s="93"/>
      <c r="I3738" s="85"/>
      <c r="J3738" s="85"/>
      <c r="K3738" s="131"/>
      <c r="L3738" s="60"/>
      <c r="Q3738" s="6"/>
      <c r="R3738" s="6"/>
    </row>
    <row r="3739" spans="1:26" x14ac:dyDescent="0.15">
      <c r="A3739" s="166"/>
      <c r="B3739" s="82"/>
      <c r="C3739" s="70"/>
      <c r="D3739" s="70"/>
      <c r="E3739" s="70"/>
      <c r="F3739" s="70"/>
      <c r="G3739" s="70"/>
      <c r="H3739" s="93"/>
      <c r="I3739" s="85"/>
      <c r="J3739" s="85"/>
      <c r="K3739" s="131"/>
      <c r="L3739" s="60"/>
    </row>
    <row r="3740" spans="1:26" x14ac:dyDescent="0.15">
      <c r="A3740" s="166"/>
      <c r="B3740" s="82"/>
      <c r="C3740" s="70"/>
      <c r="D3740" s="70"/>
      <c r="E3740" s="70"/>
      <c r="F3740" s="70"/>
      <c r="G3740" s="70"/>
      <c r="H3740" s="93"/>
      <c r="I3740" s="85"/>
      <c r="J3740" s="85"/>
      <c r="K3740" s="131"/>
      <c r="L3740" s="60"/>
    </row>
    <row r="3741" spans="1:26" x14ac:dyDescent="0.15">
      <c r="A3741" s="166"/>
      <c r="B3741" s="82"/>
      <c r="C3741" s="70"/>
      <c r="D3741" s="70"/>
      <c r="E3741" s="70"/>
      <c r="F3741" s="70"/>
      <c r="G3741" s="70"/>
      <c r="H3741" s="93"/>
      <c r="I3741" s="85"/>
      <c r="J3741" s="85"/>
      <c r="K3741" s="131"/>
      <c r="L3741" s="60"/>
    </row>
    <row r="3742" spans="1:26" x14ac:dyDescent="0.15">
      <c r="A3742" s="166"/>
      <c r="B3742" s="82"/>
      <c r="C3742" s="73"/>
      <c r="D3742" s="73"/>
      <c r="E3742" s="70"/>
      <c r="F3742" s="73"/>
      <c r="G3742" s="73"/>
      <c r="H3742" s="108"/>
      <c r="I3742" s="85"/>
      <c r="J3742" s="95"/>
      <c r="K3742" s="131"/>
      <c r="L3742" s="60"/>
      <c r="M3742" s="33"/>
    </row>
    <row r="3743" spans="1:26" ht="16" x14ac:dyDescent="0.2">
      <c r="A3743" s="166"/>
      <c r="B3743" s="93"/>
      <c r="C3743" s="70"/>
      <c r="D3743" s="70"/>
      <c r="E3743" s="70"/>
      <c r="F3743" s="70"/>
      <c r="G3743" s="70"/>
      <c r="H3743" s="93"/>
      <c r="I3743" s="85"/>
      <c r="J3743" s="85"/>
      <c r="K3743" s="131"/>
      <c r="L3743" s="60"/>
      <c r="N3743" s="48"/>
    </row>
    <row r="3744" spans="1:26" ht="16" x14ac:dyDescent="0.2">
      <c r="A3744" s="166"/>
      <c r="B3744" s="93"/>
      <c r="C3744" s="70"/>
      <c r="D3744" s="70"/>
      <c r="E3744" s="70"/>
      <c r="F3744" s="70"/>
      <c r="G3744" s="70"/>
      <c r="H3744" s="93"/>
      <c r="I3744" s="85"/>
      <c r="J3744" s="85"/>
      <c r="K3744" s="131"/>
      <c r="L3744" s="60"/>
      <c r="M3744" s="33"/>
      <c r="N3744" s="48"/>
      <c r="P3744" s="35"/>
    </row>
    <row r="3745" spans="1:13" x14ac:dyDescent="0.15">
      <c r="A3745" s="166"/>
      <c r="B3745" s="93"/>
      <c r="C3745" s="73"/>
      <c r="D3745" s="73"/>
      <c r="E3745" s="70"/>
      <c r="F3745" s="73"/>
      <c r="G3745" s="73"/>
      <c r="H3745" s="108"/>
      <c r="I3745" s="85"/>
      <c r="J3745" s="95"/>
      <c r="K3745" s="131"/>
      <c r="L3745" s="60"/>
      <c r="M3745" s="33"/>
    </row>
    <row r="3746" spans="1:13" x14ac:dyDescent="0.15">
      <c r="A3746" s="166"/>
      <c r="B3746" s="93"/>
      <c r="C3746" s="70"/>
      <c r="D3746" s="70"/>
      <c r="E3746" s="70"/>
      <c r="F3746" s="70"/>
      <c r="G3746" s="70"/>
      <c r="H3746" s="93"/>
      <c r="I3746" s="85"/>
      <c r="J3746" s="85"/>
      <c r="K3746" s="131"/>
      <c r="L3746" s="60"/>
      <c r="M3746" s="33"/>
    </row>
    <row r="3747" spans="1:13" x14ac:dyDescent="0.15">
      <c r="A3747" s="166"/>
      <c r="B3747" s="82"/>
      <c r="C3747" s="70"/>
      <c r="D3747" s="70"/>
      <c r="E3747" s="70"/>
      <c r="F3747" s="70"/>
      <c r="G3747" s="70"/>
      <c r="H3747" s="93"/>
      <c r="I3747" s="85"/>
      <c r="J3747" s="85"/>
      <c r="K3747" s="131"/>
      <c r="L3747" s="60"/>
      <c r="M3747" s="33"/>
    </row>
    <row r="3748" spans="1:13" x14ac:dyDescent="0.15">
      <c r="A3748" s="166"/>
      <c r="B3748" s="93"/>
      <c r="C3748" s="73"/>
      <c r="D3748" s="73"/>
      <c r="E3748" s="70"/>
      <c r="F3748" s="73"/>
      <c r="G3748" s="73"/>
      <c r="H3748" s="108"/>
      <c r="I3748" s="85"/>
      <c r="J3748" s="95"/>
      <c r="K3748" s="131"/>
      <c r="L3748" s="60"/>
      <c r="M3748" s="33"/>
    </row>
    <row r="3749" spans="1:13" x14ac:dyDescent="0.15">
      <c r="A3749" s="166"/>
      <c r="B3749" s="93"/>
      <c r="C3749" s="70"/>
      <c r="D3749" s="70"/>
      <c r="E3749" s="70"/>
      <c r="F3749" s="70"/>
      <c r="G3749" s="70"/>
      <c r="H3749" s="93"/>
      <c r="I3749" s="85"/>
      <c r="J3749" s="85"/>
      <c r="K3749" s="131"/>
      <c r="L3749" s="60"/>
      <c r="M3749" s="33"/>
    </row>
    <row r="3750" spans="1:13" x14ac:dyDescent="0.15">
      <c r="A3750" s="166"/>
      <c r="B3750" s="93"/>
      <c r="C3750" s="70"/>
      <c r="D3750" s="70"/>
      <c r="E3750" s="70"/>
      <c r="F3750" s="70"/>
      <c r="G3750" s="70"/>
      <c r="H3750" s="93"/>
      <c r="I3750" s="85"/>
      <c r="J3750" s="85"/>
      <c r="K3750" s="131"/>
      <c r="L3750" s="60"/>
      <c r="M3750" s="33"/>
    </row>
    <row r="3751" spans="1:13" x14ac:dyDescent="0.15">
      <c r="A3751" s="166"/>
      <c r="B3751" s="93"/>
      <c r="C3751" s="73"/>
      <c r="D3751" s="73"/>
      <c r="E3751" s="70"/>
      <c r="F3751" s="73"/>
      <c r="G3751" s="73"/>
      <c r="H3751" s="108"/>
      <c r="I3751" s="85"/>
      <c r="J3751" s="95"/>
      <c r="K3751" s="131"/>
      <c r="L3751" s="60"/>
      <c r="M3751" s="33"/>
    </row>
    <row r="3752" spans="1:13" x14ac:dyDescent="0.15">
      <c r="A3752" s="166"/>
      <c r="B3752" s="93"/>
      <c r="C3752" s="70"/>
      <c r="D3752" s="70"/>
      <c r="E3752" s="70"/>
      <c r="F3752" s="70"/>
      <c r="G3752" s="70"/>
      <c r="H3752" s="93"/>
      <c r="I3752" s="85"/>
      <c r="J3752" s="85"/>
      <c r="K3752" s="131"/>
      <c r="L3752" s="60"/>
      <c r="M3752" s="33"/>
    </row>
    <row r="3753" spans="1:13" x14ac:dyDescent="0.15">
      <c r="A3753" s="166"/>
      <c r="B3753" s="93"/>
      <c r="C3753" s="70"/>
      <c r="D3753" s="70"/>
      <c r="E3753" s="70"/>
      <c r="F3753" s="70"/>
      <c r="G3753" s="70"/>
      <c r="H3753" s="93"/>
      <c r="I3753" s="85"/>
      <c r="J3753" s="85"/>
      <c r="K3753" s="131"/>
      <c r="L3753" s="60"/>
      <c r="M3753" s="33"/>
    </row>
    <row r="3754" spans="1:13" x14ac:dyDescent="0.15">
      <c r="A3754" s="166"/>
      <c r="B3754" s="93"/>
      <c r="C3754" s="70"/>
      <c r="D3754" s="70"/>
      <c r="E3754" s="70"/>
      <c r="F3754" s="70"/>
      <c r="G3754" s="70"/>
      <c r="H3754" s="93"/>
      <c r="I3754" s="85"/>
      <c r="J3754" s="85"/>
      <c r="K3754" s="131"/>
      <c r="L3754" s="60"/>
      <c r="M3754" s="33"/>
    </row>
    <row r="3755" spans="1:13" x14ac:dyDescent="0.15">
      <c r="A3755" s="166"/>
      <c r="B3755" s="82"/>
      <c r="C3755" s="70"/>
      <c r="D3755" s="70"/>
      <c r="E3755" s="70"/>
      <c r="F3755" s="70"/>
      <c r="G3755" s="70"/>
      <c r="H3755" s="93"/>
      <c r="I3755" s="85"/>
      <c r="J3755" s="85"/>
      <c r="K3755" s="131"/>
      <c r="L3755" s="60"/>
    </row>
    <row r="3756" spans="1:13" x14ac:dyDescent="0.15">
      <c r="A3756" s="166"/>
      <c r="B3756" s="82"/>
      <c r="C3756" s="70"/>
      <c r="D3756" s="70"/>
      <c r="E3756" s="70"/>
      <c r="F3756" s="70"/>
      <c r="G3756" s="70"/>
      <c r="H3756" s="93"/>
      <c r="I3756" s="85"/>
      <c r="J3756" s="85"/>
      <c r="K3756" s="131"/>
      <c r="L3756" s="60"/>
    </row>
    <row r="3757" spans="1:13" x14ac:dyDescent="0.15">
      <c r="A3757" s="166"/>
      <c r="B3757" s="82"/>
      <c r="C3757" s="70"/>
      <c r="D3757" s="70"/>
      <c r="E3757" s="70"/>
      <c r="F3757" s="70"/>
      <c r="G3757" s="70"/>
      <c r="H3757" s="93"/>
      <c r="I3757" s="85"/>
      <c r="J3757" s="85"/>
      <c r="K3757" s="131"/>
      <c r="L3757" s="60"/>
    </row>
    <row r="3758" spans="1:13" x14ac:dyDescent="0.15">
      <c r="A3758" s="166"/>
      <c r="B3758" s="82"/>
      <c r="C3758" s="70"/>
      <c r="D3758" s="70"/>
      <c r="E3758" s="70"/>
      <c r="F3758" s="70"/>
      <c r="G3758" s="70"/>
      <c r="H3758" s="93"/>
      <c r="I3758" s="85"/>
      <c r="J3758" s="85"/>
      <c r="K3758" s="131"/>
      <c r="L3758" s="60"/>
    </row>
    <row r="3759" spans="1:13" x14ac:dyDescent="0.15">
      <c r="A3759" s="166"/>
      <c r="B3759" s="82"/>
      <c r="C3759" s="70"/>
      <c r="D3759" s="70"/>
      <c r="E3759" s="70"/>
      <c r="F3759" s="70"/>
      <c r="G3759" s="70"/>
      <c r="H3759" s="93"/>
      <c r="I3759" s="85"/>
      <c r="J3759" s="85"/>
      <c r="K3759" s="131"/>
      <c r="L3759" s="60"/>
    </row>
    <row r="3760" spans="1:13" x14ac:dyDescent="0.15">
      <c r="A3760" s="166"/>
      <c r="B3760" s="82"/>
      <c r="C3760" s="70"/>
      <c r="D3760" s="70"/>
      <c r="E3760" s="70"/>
      <c r="F3760" s="70"/>
      <c r="G3760" s="70"/>
      <c r="H3760" s="93"/>
      <c r="I3760" s="85"/>
      <c r="J3760" s="85"/>
      <c r="K3760" s="131"/>
      <c r="L3760" s="60"/>
    </row>
    <row r="3761" spans="1:14" x14ac:dyDescent="0.15">
      <c r="A3761" s="166"/>
      <c r="B3761" s="82"/>
      <c r="C3761" s="70"/>
      <c r="D3761" s="70"/>
      <c r="E3761" s="70"/>
      <c r="F3761" s="70"/>
      <c r="G3761" s="70"/>
      <c r="H3761" s="93"/>
      <c r="I3761" s="85"/>
      <c r="J3761" s="85"/>
      <c r="K3761" s="131"/>
      <c r="L3761" s="60"/>
    </row>
    <row r="3762" spans="1:14" x14ac:dyDescent="0.15">
      <c r="A3762" s="170"/>
      <c r="B3762" s="82"/>
      <c r="C3762" s="83"/>
      <c r="D3762" s="83"/>
      <c r="E3762" s="83"/>
      <c r="F3762" s="83"/>
      <c r="G3762" s="83"/>
      <c r="H3762" s="82"/>
      <c r="I3762" s="85"/>
      <c r="J3762" s="84"/>
      <c r="K3762" s="136"/>
      <c r="L3762" s="69"/>
    </row>
    <row r="3763" spans="1:14" x14ac:dyDescent="0.15">
      <c r="A3763" s="166"/>
      <c r="B3763" s="82"/>
      <c r="C3763" s="70"/>
      <c r="D3763" s="70"/>
      <c r="E3763" s="70"/>
      <c r="F3763" s="70"/>
      <c r="G3763" s="70"/>
      <c r="H3763" s="93"/>
      <c r="I3763" s="85"/>
      <c r="J3763" s="85"/>
      <c r="K3763" s="131"/>
      <c r="L3763" s="60"/>
    </row>
    <row r="3764" spans="1:14" x14ac:dyDescent="0.15">
      <c r="A3764" s="166"/>
      <c r="B3764" s="82"/>
      <c r="C3764" s="70"/>
      <c r="D3764" s="70"/>
      <c r="E3764" s="70"/>
      <c r="F3764" s="70"/>
      <c r="G3764" s="70"/>
      <c r="H3764" s="93"/>
      <c r="I3764" s="85"/>
      <c r="J3764" s="85"/>
      <c r="K3764" s="131"/>
      <c r="L3764" s="60"/>
    </row>
    <row r="3765" spans="1:14" x14ac:dyDescent="0.15">
      <c r="A3765" s="166"/>
      <c r="B3765" s="82"/>
      <c r="C3765" s="73"/>
      <c r="D3765" s="73"/>
      <c r="E3765" s="70"/>
      <c r="F3765" s="73"/>
      <c r="G3765" s="73"/>
      <c r="H3765" s="108"/>
      <c r="I3765" s="85"/>
      <c r="J3765" s="95"/>
      <c r="K3765" s="131"/>
      <c r="L3765" s="60"/>
    </row>
    <row r="3766" spans="1:14" ht="16" x14ac:dyDescent="0.2">
      <c r="A3766" s="166"/>
      <c r="B3766" s="93"/>
      <c r="C3766" s="70"/>
      <c r="D3766" s="70"/>
      <c r="E3766" s="70"/>
      <c r="F3766" s="70"/>
      <c r="G3766" s="70"/>
      <c r="H3766" s="93"/>
      <c r="I3766" s="85"/>
      <c r="J3766" s="85"/>
      <c r="K3766" s="131"/>
      <c r="L3766" s="60"/>
      <c r="M3766" s="33"/>
      <c r="N3766" s="48"/>
    </row>
    <row r="3767" spans="1:14" x14ac:dyDescent="0.15">
      <c r="A3767" s="166"/>
      <c r="B3767" s="82"/>
      <c r="C3767" s="70"/>
      <c r="D3767" s="70"/>
      <c r="E3767" s="70"/>
      <c r="F3767" s="70"/>
      <c r="G3767" s="70"/>
      <c r="H3767" s="93"/>
      <c r="I3767" s="85"/>
      <c r="J3767" s="85"/>
      <c r="K3767" s="131"/>
      <c r="L3767" s="67"/>
    </row>
    <row r="3768" spans="1:14" x14ac:dyDescent="0.15">
      <c r="A3768" s="166"/>
      <c r="B3768" s="82"/>
      <c r="C3768" s="70"/>
      <c r="D3768" s="70"/>
      <c r="E3768" s="70"/>
      <c r="F3768" s="70"/>
      <c r="G3768" s="70"/>
      <c r="H3768" s="93"/>
      <c r="I3768" s="85"/>
      <c r="J3768" s="85"/>
      <c r="K3768" s="131"/>
      <c r="L3768" s="67"/>
    </row>
    <row r="3769" spans="1:14" x14ac:dyDescent="0.15">
      <c r="A3769" s="166"/>
      <c r="B3769" s="82"/>
      <c r="C3769" s="70"/>
      <c r="D3769" s="70"/>
      <c r="E3769" s="70"/>
      <c r="F3769" s="70"/>
      <c r="G3769" s="70"/>
      <c r="H3769" s="93"/>
      <c r="I3769" s="85"/>
      <c r="J3769" s="85"/>
      <c r="K3769" s="131"/>
      <c r="L3769" s="67"/>
    </row>
    <row r="3770" spans="1:14" x14ac:dyDescent="0.15">
      <c r="A3770" s="166"/>
      <c r="B3770" s="82"/>
      <c r="C3770" s="70"/>
      <c r="D3770" s="70"/>
      <c r="E3770" s="70"/>
      <c r="F3770" s="70"/>
      <c r="G3770" s="70"/>
      <c r="H3770" s="93"/>
      <c r="I3770" s="85"/>
      <c r="J3770" s="85"/>
      <c r="K3770" s="131"/>
      <c r="L3770" s="67"/>
    </row>
    <row r="3771" spans="1:14" x14ac:dyDescent="0.15">
      <c r="A3771" s="166"/>
      <c r="B3771" s="82"/>
      <c r="C3771" s="70"/>
      <c r="D3771" s="70"/>
      <c r="E3771" s="70"/>
      <c r="F3771" s="70"/>
      <c r="G3771" s="70"/>
      <c r="H3771" s="93"/>
      <c r="I3771" s="85"/>
      <c r="J3771" s="85"/>
      <c r="K3771" s="131"/>
      <c r="L3771" s="67"/>
    </row>
    <row r="3772" spans="1:14" x14ac:dyDescent="0.15">
      <c r="A3772" s="166"/>
      <c r="B3772" s="82"/>
      <c r="C3772" s="70"/>
      <c r="D3772" s="70"/>
      <c r="E3772" s="70"/>
      <c r="F3772" s="70"/>
      <c r="G3772" s="70"/>
      <c r="H3772" s="93"/>
      <c r="I3772" s="85"/>
      <c r="J3772" s="85"/>
      <c r="K3772" s="131"/>
      <c r="L3772" s="60"/>
    </row>
    <row r="3773" spans="1:14" x14ac:dyDescent="0.15">
      <c r="A3773" s="166"/>
      <c r="B3773" s="82"/>
      <c r="C3773" s="70"/>
      <c r="D3773" s="70"/>
      <c r="E3773" s="70"/>
      <c r="F3773" s="70"/>
      <c r="G3773" s="70"/>
      <c r="H3773" s="93"/>
      <c r="I3773" s="85"/>
      <c r="J3773" s="85"/>
      <c r="K3773" s="131"/>
      <c r="L3773" s="60"/>
    </row>
    <row r="3774" spans="1:14" x14ac:dyDescent="0.15">
      <c r="A3774" s="166"/>
      <c r="B3774" s="82"/>
      <c r="C3774" s="70"/>
      <c r="D3774" s="70"/>
      <c r="E3774" s="70"/>
      <c r="F3774" s="70"/>
      <c r="G3774" s="70"/>
      <c r="H3774" s="93"/>
      <c r="I3774" s="85"/>
      <c r="J3774" s="85"/>
      <c r="K3774" s="131"/>
      <c r="L3774" s="60"/>
    </row>
    <row r="3775" spans="1:14" x14ac:dyDescent="0.15">
      <c r="A3775" s="166"/>
      <c r="B3775" s="93"/>
      <c r="C3775" s="70"/>
      <c r="D3775" s="70"/>
      <c r="E3775" s="70"/>
      <c r="F3775" s="70"/>
      <c r="G3775" s="70"/>
      <c r="H3775" s="93"/>
      <c r="I3775" s="85"/>
      <c r="J3775" s="85"/>
      <c r="K3775" s="131"/>
      <c r="L3775" s="60"/>
    </row>
    <row r="3776" spans="1:14" x14ac:dyDescent="0.15">
      <c r="A3776" s="166"/>
      <c r="B3776" s="82"/>
      <c r="C3776" s="70"/>
      <c r="D3776" s="70"/>
      <c r="E3776" s="70"/>
      <c r="F3776" s="70"/>
      <c r="G3776" s="70"/>
      <c r="H3776" s="93"/>
      <c r="I3776" s="85"/>
      <c r="J3776" s="85"/>
      <c r="K3776" s="131"/>
      <c r="L3776" s="60"/>
    </row>
    <row r="3777" spans="1:14" x14ac:dyDescent="0.15">
      <c r="A3777" s="166"/>
      <c r="B3777" s="93"/>
      <c r="C3777" s="70"/>
      <c r="D3777" s="70"/>
      <c r="E3777" s="70"/>
      <c r="F3777" s="70"/>
      <c r="G3777" s="70"/>
      <c r="H3777" s="93"/>
      <c r="I3777" s="85"/>
      <c r="J3777" s="85"/>
      <c r="K3777" s="131"/>
      <c r="L3777" s="60"/>
      <c r="M3777" s="33"/>
    </row>
    <row r="3778" spans="1:14" x14ac:dyDescent="0.15">
      <c r="A3778" s="166"/>
      <c r="B3778" s="93"/>
      <c r="C3778" s="70"/>
      <c r="D3778" s="70"/>
      <c r="E3778" s="70"/>
      <c r="F3778" s="70"/>
      <c r="G3778" s="70"/>
      <c r="H3778" s="93"/>
      <c r="I3778" s="85"/>
      <c r="J3778" s="85"/>
      <c r="K3778" s="131"/>
      <c r="L3778" s="60"/>
      <c r="M3778" s="33"/>
    </row>
    <row r="3779" spans="1:14" x14ac:dyDescent="0.15">
      <c r="A3779" s="166"/>
      <c r="B3779" s="93"/>
      <c r="C3779" s="70"/>
      <c r="D3779" s="70"/>
      <c r="E3779" s="70"/>
      <c r="F3779" s="70"/>
      <c r="G3779" s="70"/>
      <c r="H3779" s="93"/>
      <c r="I3779" s="85"/>
      <c r="J3779" s="85"/>
      <c r="K3779" s="131"/>
      <c r="L3779" s="60"/>
      <c r="M3779" s="33"/>
    </row>
    <row r="3780" spans="1:14" x14ac:dyDescent="0.15">
      <c r="A3780" s="166"/>
      <c r="B3780" s="82"/>
      <c r="C3780" s="70"/>
      <c r="D3780" s="70"/>
      <c r="E3780" s="70"/>
      <c r="F3780" s="70"/>
      <c r="G3780" s="70"/>
      <c r="H3780" s="93"/>
      <c r="I3780" s="85"/>
      <c r="J3780" s="85"/>
      <c r="K3780" s="131"/>
      <c r="L3780" s="60"/>
    </row>
    <row r="3781" spans="1:14" x14ac:dyDescent="0.15">
      <c r="A3781" s="166"/>
      <c r="B3781" s="82"/>
      <c r="C3781" s="70"/>
      <c r="D3781" s="70"/>
      <c r="E3781" s="70"/>
      <c r="F3781" s="70"/>
      <c r="G3781" s="70"/>
      <c r="H3781" s="93"/>
      <c r="I3781" s="85"/>
      <c r="J3781" s="85"/>
      <c r="K3781" s="131"/>
      <c r="L3781" s="60"/>
    </row>
    <row r="3782" spans="1:14" x14ac:dyDescent="0.15">
      <c r="A3782" s="166"/>
      <c r="B3782" s="93"/>
      <c r="C3782" s="70"/>
      <c r="D3782" s="70"/>
      <c r="E3782" s="70"/>
      <c r="F3782" s="70"/>
      <c r="G3782" s="70"/>
      <c r="H3782" s="93"/>
      <c r="I3782" s="85"/>
      <c r="J3782" s="85"/>
      <c r="K3782" s="131"/>
      <c r="L3782" s="60"/>
    </row>
    <row r="3783" spans="1:14" x14ac:dyDescent="0.15">
      <c r="A3783" s="166"/>
      <c r="B3783" s="82"/>
      <c r="C3783" s="70"/>
      <c r="D3783" s="70"/>
      <c r="E3783" s="70"/>
      <c r="F3783" s="70"/>
      <c r="G3783" s="70"/>
      <c r="H3783" s="93"/>
      <c r="I3783" s="85"/>
      <c r="J3783" s="85"/>
      <c r="K3783" s="131"/>
      <c r="L3783" s="60"/>
    </row>
    <row r="3784" spans="1:14" x14ac:dyDescent="0.15">
      <c r="A3784" s="166"/>
      <c r="B3784" s="93"/>
      <c r="C3784" s="70"/>
      <c r="D3784" s="70"/>
      <c r="E3784" s="70"/>
      <c r="F3784" s="70"/>
      <c r="G3784" s="70"/>
      <c r="H3784" s="93"/>
      <c r="I3784" s="85"/>
      <c r="J3784" s="85"/>
      <c r="K3784" s="131"/>
      <c r="L3784" s="60"/>
      <c r="M3784" s="33"/>
    </row>
    <row r="3785" spans="1:14" x14ac:dyDescent="0.15">
      <c r="A3785" s="166"/>
      <c r="B3785" s="82"/>
      <c r="C3785" s="70"/>
      <c r="D3785" s="70"/>
      <c r="E3785" s="70"/>
      <c r="F3785" s="70"/>
      <c r="G3785" s="70"/>
      <c r="H3785" s="93"/>
      <c r="I3785" s="85"/>
      <c r="J3785" s="85"/>
      <c r="K3785" s="131"/>
      <c r="L3785" s="60"/>
    </row>
    <row r="3786" spans="1:14" x14ac:dyDescent="0.15">
      <c r="A3786" s="166"/>
      <c r="B3786" s="82"/>
      <c r="C3786" s="70"/>
      <c r="D3786" s="70"/>
      <c r="E3786" s="70"/>
      <c r="F3786" s="70"/>
      <c r="G3786" s="70"/>
      <c r="H3786" s="93"/>
      <c r="I3786" s="85"/>
      <c r="J3786" s="85"/>
      <c r="K3786" s="131"/>
      <c r="L3786" s="60"/>
    </row>
    <row r="3787" spans="1:14" x14ac:dyDescent="0.15">
      <c r="A3787" s="166"/>
      <c r="B3787" s="82"/>
      <c r="C3787" s="70"/>
      <c r="D3787" s="70"/>
      <c r="E3787" s="70"/>
      <c r="F3787" s="70"/>
      <c r="G3787" s="70"/>
      <c r="H3787" s="93"/>
      <c r="I3787" s="85"/>
      <c r="J3787" s="85"/>
      <c r="K3787" s="131"/>
      <c r="L3787" s="60"/>
    </row>
    <row r="3788" spans="1:14" x14ac:dyDescent="0.15">
      <c r="A3788" s="166"/>
      <c r="B3788" s="82"/>
      <c r="C3788" s="70"/>
      <c r="D3788" s="70"/>
      <c r="E3788" s="70"/>
      <c r="F3788" s="70"/>
      <c r="G3788" s="70"/>
      <c r="H3788" s="93"/>
      <c r="I3788" s="85"/>
      <c r="J3788" s="85"/>
      <c r="K3788" s="131"/>
      <c r="L3788" s="60"/>
    </row>
    <row r="3789" spans="1:14" ht="16" x14ac:dyDescent="0.2">
      <c r="A3789" s="166"/>
      <c r="B3789" s="93"/>
      <c r="C3789" s="70"/>
      <c r="D3789" s="70"/>
      <c r="E3789" s="70"/>
      <c r="F3789" s="70"/>
      <c r="G3789" s="70"/>
      <c r="H3789" s="93"/>
      <c r="I3789" s="85"/>
      <c r="J3789" s="85"/>
      <c r="K3789" s="131"/>
      <c r="L3789" s="60"/>
      <c r="N3789" s="48"/>
    </row>
    <row r="3790" spans="1:14" x14ac:dyDescent="0.15">
      <c r="A3790" s="166"/>
      <c r="B3790" s="82"/>
      <c r="C3790" s="70"/>
      <c r="D3790" s="70"/>
      <c r="E3790" s="70"/>
      <c r="F3790" s="70"/>
      <c r="G3790" s="70"/>
      <c r="H3790" s="93"/>
      <c r="I3790" s="85"/>
      <c r="J3790" s="85"/>
      <c r="K3790" s="131"/>
      <c r="L3790" s="60"/>
    </row>
    <row r="3791" spans="1:14" ht="16" x14ac:dyDescent="0.2">
      <c r="A3791" s="166"/>
      <c r="B3791" s="82"/>
      <c r="C3791" s="70"/>
      <c r="D3791" s="70"/>
      <c r="E3791" s="70"/>
      <c r="F3791" s="70"/>
      <c r="G3791" s="70"/>
      <c r="H3791" s="93"/>
      <c r="I3791" s="85"/>
      <c r="J3791" s="85"/>
      <c r="K3791" s="131"/>
      <c r="L3791" s="60"/>
      <c r="M3791" s="47"/>
    </row>
    <row r="3792" spans="1:14" x14ac:dyDescent="0.15">
      <c r="A3792" s="166"/>
      <c r="B3792" s="93"/>
      <c r="C3792" s="73"/>
      <c r="D3792" s="73"/>
      <c r="E3792" s="70"/>
      <c r="F3792" s="73"/>
      <c r="G3792" s="73"/>
      <c r="H3792" s="108"/>
      <c r="I3792" s="85"/>
      <c r="J3792" s="95"/>
      <c r="K3792" s="131"/>
      <c r="L3792" s="60"/>
      <c r="M3792" s="33"/>
    </row>
    <row r="3793" spans="1:14" x14ac:dyDescent="0.15">
      <c r="A3793" s="166"/>
      <c r="B3793" s="93"/>
      <c r="C3793" s="70"/>
      <c r="D3793" s="70"/>
      <c r="E3793" s="70"/>
      <c r="F3793" s="70"/>
      <c r="G3793" s="70"/>
      <c r="H3793" s="93"/>
      <c r="I3793" s="85"/>
      <c r="J3793" s="85"/>
      <c r="K3793" s="131"/>
      <c r="L3793" s="60"/>
      <c r="M3793" s="33"/>
    </row>
    <row r="3794" spans="1:14" x14ac:dyDescent="0.15">
      <c r="A3794" s="166"/>
      <c r="B3794" s="82"/>
      <c r="C3794" s="70"/>
      <c r="D3794" s="70"/>
      <c r="E3794" s="70"/>
      <c r="F3794" s="70"/>
      <c r="G3794" s="70"/>
      <c r="H3794" s="93"/>
      <c r="I3794" s="85"/>
      <c r="J3794" s="85"/>
      <c r="K3794" s="131"/>
      <c r="L3794" s="60"/>
    </row>
    <row r="3795" spans="1:14" x14ac:dyDescent="0.15">
      <c r="A3795" s="166"/>
      <c r="B3795" s="82"/>
      <c r="C3795" s="70"/>
      <c r="D3795" s="70"/>
      <c r="E3795" s="70"/>
      <c r="F3795" s="70"/>
      <c r="G3795" s="70"/>
      <c r="H3795" s="93"/>
      <c r="I3795" s="85"/>
      <c r="J3795" s="85"/>
      <c r="K3795" s="131"/>
      <c r="L3795" s="60"/>
    </row>
    <row r="3796" spans="1:14" x14ac:dyDescent="0.15">
      <c r="A3796" s="166"/>
      <c r="B3796" s="82"/>
      <c r="C3796" s="70"/>
      <c r="D3796" s="70"/>
      <c r="E3796" s="70"/>
      <c r="F3796" s="70"/>
      <c r="G3796" s="70"/>
      <c r="H3796" s="93"/>
      <c r="I3796" s="85"/>
      <c r="J3796" s="85"/>
      <c r="K3796" s="131"/>
      <c r="L3796" s="60"/>
    </row>
    <row r="3797" spans="1:14" x14ac:dyDescent="0.15">
      <c r="A3797" s="166"/>
      <c r="B3797" s="93"/>
      <c r="C3797" s="70"/>
      <c r="D3797" s="70"/>
      <c r="E3797" s="70"/>
      <c r="F3797" s="70"/>
      <c r="G3797" s="70"/>
      <c r="H3797" s="93"/>
      <c r="I3797" s="85"/>
      <c r="J3797" s="85"/>
      <c r="K3797" s="131"/>
      <c r="L3797" s="60"/>
      <c r="M3797" s="33"/>
    </row>
    <row r="3798" spans="1:14" ht="16" x14ac:dyDescent="0.2">
      <c r="A3798" s="166"/>
      <c r="B3798" s="82"/>
      <c r="C3798" s="70"/>
      <c r="D3798" s="70"/>
      <c r="E3798" s="70"/>
      <c r="F3798" s="70"/>
      <c r="G3798" s="70"/>
      <c r="H3798" s="93"/>
      <c r="I3798" s="85"/>
      <c r="J3798" s="85"/>
      <c r="K3798" s="131"/>
      <c r="L3798" s="60"/>
      <c r="N3798" s="48"/>
    </row>
    <row r="3799" spans="1:14" x14ac:dyDescent="0.15">
      <c r="A3799" s="166"/>
      <c r="B3799" s="82"/>
      <c r="C3799" s="70"/>
      <c r="D3799" s="70"/>
      <c r="E3799" s="70"/>
      <c r="F3799" s="70"/>
      <c r="G3799" s="70"/>
      <c r="H3799" s="93"/>
      <c r="I3799" s="85"/>
      <c r="J3799" s="85"/>
      <c r="K3799" s="131"/>
      <c r="L3799" s="60"/>
    </row>
    <row r="3800" spans="1:14" x14ac:dyDescent="0.15">
      <c r="A3800" s="166"/>
      <c r="B3800" s="93"/>
      <c r="C3800" s="70"/>
      <c r="D3800" s="70"/>
      <c r="E3800" s="70"/>
      <c r="F3800" s="70"/>
      <c r="G3800" s="70"/>
      <c r="H3800" s="93"/>
      <c r="I3800" s="85"/>
      <c r="J3800" s="85"/>
      <c r="K3800" s="131"/>
      <c r="L3800" s="60"/>
      <c r="M3800" s="33"/>
    </row>
    <row r="3801" spans="1:14" x14ac:dyDescent="0.15">
      <c r="A3801" s="166"/>
      <c r="B3801" s="93"/>
      <c r="C3801" s="70"/>
      <c r="D3801" s="70"/>
      <c r="E3801" s="70"/>
      <c r="F3801" s="70"/>
      <c r="G3801" s="70"/>
      <c r="H3801" s="93"/>
      <c r="I3801" s="85"/>
      <c r="J3801" s="85"/>
      <c r="K3801" s="131"/>
      <c r="L3801" s="60"/>
      <c r="M3801" s="33"/>
    </row>
    <row r="3802" spans="1:14" ht="16" x14ac:dyDescent="0.2">
      <c r="A3802" s="166"/>
      <c r="B3802" s="93"/>
      <c r="C3802" s="70"/>
      <c r="D3802" s="70"/>
      <c r="E3802" s="70"/>
      <c r="F3802" s="70"/>
      <c r="G3802" s="70"/>
      <c r="H3802" s="93"/>
      <c r="I3802" s="85"/>
      <c r="J3802" s="85"/>
      <c r="K3802" s="131"/>
      <c r="L3802" s="60"/>
      <c r="M3802" s="33"/>
      <c r="N3802" s="48"/>
    </row>
    <row r="3803" spans="1:14" x14ac:dyDescent="0.15">
      <c r="A3803" s="166"/>
      <c r="B3803" s="93"/>
      <c r="C3803" s="70"/>
      <c r="D3803" s="70"/>
      <c r="E3803" s="70"/>
      <c r="F3803" s="70"/>
      <c r="G3803" s="70"/>
      <c r="H3803" s="93"/>
      <c r="I3803" s="85"/>
      <c r="J3803" s="85"/>
      <c r="K3803" s="131"/>
      <c r="L3803" s="60"/>
      <c r="M3803" s="33"/>
    </row>
    <row r="3804" spans="1:14" x14ac:dyDescent="0.15">
      <c r="A3804" s="166"/>
      <c r="B3804" s="93"/>
      <c r="C3804" s="70"/>
      <c r="D3804" s="70"/>
      <c r="E3804" s="70"/>
      <c r="F3804" s="70"/>
      <c r="G3804" s="70"/>
      <c r="H3804" s="93"/>
      <c r="I3804" s="85"/>
      <c r="J3804" s="85"/>
      <c r="K3804" s="131"/>
      <c r="L3804" s="60"/>
      <c r="M3804" s="33"/>
    </row>
    <row r="3805" spans="1:14" x14ac:dyDescent="0.15">
      <c r="A3805" s="166"/>
      <c r="B3805" s="93"/>
      <c r="C3805" s="70"/>
      <c r="D3805" s="70"/>
      <c r="E3805" s="70"/>
      <c r="F3805" s="70"/>
      <c r="G3805" s="70"/>
      <c r="H3805" s="93"/>
      <c r="I3805" s="85"/>
      <c r="J3805" s="85"/>
      <c r="K3805" s="131"/>
      <c r="L3805" s="60"/>
      <c r="M3805" s="33"/>
    </row>
    <row r="3806" spans="1:14" x14ac:dyDescent="0.15">
      <c r="A3806" s="166"/>
      <c r="B3806" s="82"/>
      <c r="C3806" s="70"/>
      <c r="D3806" s="70"/>
      <c r="E3806" s="70"/>
      <c r="F3806" s="70"/>
      <c r="G3806" s="70"/>
      <c r="H3806" s="93"/>
      <c r="I3806" s="85"/>
      <c r="J3806" s="85"/>
      <c r="K3806" s="131"/>
      <c r="L3806" s="60"/>
    </row>
    <row r="3807" spans="1:14" x14ac:dyDescent="0.15">
      <c r="A3807" s="166"/>
      <c r="B3807" s="82"/>
      <c r="C3807" s="70"/>
      <c r="D3807" s="70"/>
      <c r="E3807" s="70"/>
      <c r="F3807" s="70"/>
      <c r="G3807" s="70"/>
      <c r="H3807" s="93"/>
      <c r="I3807" s="85"/>
      <c r="J3807" s="85"/>
      <c r="K3807" s="131"/>
      <c r="L3807" s="60"/>
    </row>
    <row r="3808" spans="1:14" ht="16" x14ac:dyDescent="0.2">
      <c r="A3808" s="166"/>
      <c r="B3808" s="82"/>
      <c r="C3808" s="70"/>
      <c r="D3808" s="70"/>
      <c r="E3808" s="70"/>
      <c r="F3808" s="70"/>
      <c r="G3808" s="70"/>
      <c r="H3808" s="93"/>
      <c r="I3808" s="85"/>
      <c r="J3808" s="85"/>
      <c r="K3808" s="131"/>
      <c r="L3808" s="60"/>
      <c r="N3808" s="48"/>
    </row>
    <row r="3809" spans="1:28" ht="16" x14ac:dyDescent="0.2">
      <c r="A3809" s="166"/>
      <c r="B3809" s="82"/>
      <c r="C3809" s="70"/>
      <c r="D3809" s="70"/>
      <c r="E3809" s="70"/>
      <c r="F3809" s="70"/>
      <c r="G3809" s="70"/>
      <c r="H3809" s="93"/>
      <c r="I3809" s="85"/>
      <c r="J3809" s="85"/>
      <c r="K3809" s="131"/>
      <c r="L3809" s="60"/>
      <c r="N3809" s="48"/>
      <c r="S3809" s="14"/>
      <c r="T3809" s="14"/>
      <c r="U3809" s="14"/>
      <c r="V3809" s="14"/>
      <c r="W3809" s="14"/>
      <c r="X3809" s="14"/>
      <c r="Y3809" s="14"/>
      <c r="Z3809" s="17"/>
      <c r="AA3809" s="15"/>
      <c r="AB3809" s="15"/>
    </row>
    <row r="3810" spans="1:28" ht="16" x14ac:dyDescent="0.2">
      <c r="A3810" s="166"/>
      <c r="B3810" s="93"/>
      <c r="C3810" s="70"/>
      <c r="D3810" s="70"/>
      <c r="E3810" s="70"/>
      <c r="F3810" s="70"/>
      <c r="G3810" s="70"/>
      <c r="H3810" s="93"/>
      <c r="I3810" s="85"/>
      <c r="J3810" s="85"/>
      <c r="K3810" s="131"/>
      <c r="L3810" s="60"/>
      <c r="N3810" s="48"/>
    </row>
    <row r="3811" spans="1:28" x14ac:dyDescent="0.15">
      <c r="A3811" s="166"/>
      <c r="B3811" s="93"/>
      <c r="C3811" s="70"/>
      <c r="D3811" s="70"/>
      <c r="E3811" s="70"/>
      <c r="F3811" s="70"/>
      <c r="G3811" s="70"/>
      <c r="H3811" s="93"/>
      <c r="I3811" s="85"/>
      <c r="J3811" s="85"/>
      <c r="K3811" s="131"/>
      <c r="L3811" s="60"/>
      <c r="M3811" s="33"/>
    </row>
    <row r="3812" spans="1:28" x14ac:dyDescent="0.15">
      <c r="A3812" s="166"/>
      <c r="B3812" s="82"/>
      <c r="C3812" s="70"/>
      <c r="D3812" s="70"/>
      <c r="E3812" s="70"/>
      <c r="F3812" s="70"/>
      <c r="G3812" s="70"/>
      <c r="H3812" s="93"/>
      <c r="I3812" s="85"/>
      <c r="J3812" s="85"/>
      <c r="K3812" s="131"/>
      <c r="L3812" s="60"/>
    </row>
    <row r="3813" spans="1:28" x14ac:dyDescent="0.15">
      <c r="A3813" s="166"/>
      <c r="B3813" s="82"/>
      <c r="C3813" s="70"/>
      <c r="D3813" s="70"/>
      <c r="E3813" s="70"/>
      <c r="F3813" s="70"/>
      <c r="G3813" s="70"/>
      <c r="H3813" s="93"/>
      <c r="I3813" s="85"/>
      <c r="J3813" s="85"/>
      <c r="K3813" s="131"/>
      <c r="L3813" s="60"/>
    </row>
    <row r="3814" spans="1:28" x14ac:dyDescent="0.15">
      <c r="A3814" s="166"/>
      <c r="B3814" s="82"/>
      <c r="C3814" s="70"/>
      <c r="D3814" s="70"/>
      <c r="E3814" s="70"/>
      <c r="F3814" s="70"/>
      <c r="G3814" s="70"/>
      <c r="H3814" s="93"/>
      <c r="I3814" s="85"/>
      <c r="J3814" s="85"/>
      <c r="K3814" s="131"/>
      <c r="L3814" s="60"/>
    </row>
    <row r="3815" spans="1:28" x14ac:dyDescent="0.15">
      <c r="A3815" s="166"/>
      <c r="B3815" s="82"/>
      <c r="C3815" s="70"/>
      <c r="D3815" s="70"/>
      <c r="E3815" s="70"/>
      <c r="F3815" s="70"/>
      <c r="G3815" s="70"/>
      <c r="H3815" s="93"/>
      <c r="I3815" s="85"/>
      <c r="J3815" s="85"/>
      <c r="K3815" s="131"/>
      <c r="L3815" s="60"/>
    </row>
    <row r="3816" spans="1:28" x14ac:dyDescent="0.15">
      <c r="A3816" s="166"/>
      <c r="B3816" s="82"/>
      <c r="C3816" s="70"/>
      <c r="D3816" s="70"/>
      <c r="E3816" s="70"/>
      <c r="F3816" s="70"/>
      <c r="G3816" s="70"/>
      <c r="H3816" s="93"/>
      <c r="I3816" s="85"/>
      <c r="J3816" s="85"/>
      <c r="K3816" s="131"/>
      <c r="L3816" s="60"/>
    </row>
    <row r="3817" spans="1:28" x14ac:dyDescent="0.15">
      <c r="A3817" s="166"/>
      <c r="B3817" s="93"/>
      <c r="C3817" s="70"/>
      <c r="D3817" s="70"/>
      <c r="E3817" s="70"/>
      <c r="F3817" s="70"/>
      <c r="G3817" s="70"/>
      <c r="H3817" s="93"/>
      <c r="I3817" s="85"/>
      <c r="J3817" s="85"/>
      <c r="K3817" s="131"/>
      <c r="L3817" s="60"/>
      <c r="M3817" s="33"/>
    </row>
    <row r="3818" spans="1:28" x14ac:dyDescent="0.15">
      <c r="A3818" s="166"/>
      <c r="B3818" s="93"/>
      <c r="C3818" s="70"/>
      <c r="D3818" s="70"/>
      <c r="E3818" s="70"/>
      <c r="F3818" s="70"/>
      <c r="G3818" s="70"/>
      <c r="H3818" s="93"/>
      <c r="I3818" s="85"/>
      <c r="J3818" s="85"/>
      <c r="K3818" s="131"/>
      <c r="L3818" s="60"/>
      <c r="M3818" s="33"/>
    </row>
    <row r="3819" spans="1:28" ht="16" x14ac:dyDescent="0.2">
      <c r="A3819" s="166"/>
      <c r="B3819" s="82"/>
      <c r="C3819" s="70"/>
      <c r="D3819" s="70"/>
      <c r="E3819" s="70"/>
      <c r="F3819" s="70"/>
      <c r="G3819" s="70"/>
      <c r="H3819" s="93"/>
      <c r="I3819" s="85"/>
      <c r="J3819" s="85"/>
      <c r="K3819" s="131"/>
      <c r="L3819" s="60"/>
      <c r="N3819" s="48"/>
    </row>
    <row r="3820" spans="1:28" x14ac:dyDescent="0.15">
      <c r="A3820" s="166"/>
      <c r="B3820" s="82"/>
      <c r="C3820" s="73"/>
      <c r="D3820" s="73"/>
      <c r="E3820" s="73"/>
      <c r="F3820" s="73"/>
      <c r="G3820" s="73"/>
      <c r="H3820" s="93"/>
      <c r="I3820" s="85"/>
      <c r="J3820" s="95"/>
      <c r="K3820" s="131"/>
      <c r="L3820" s="60"/>
    </row>
    <row r="3821" spans="1:28" x14ac:dyDescent="0.15">
      <c r="A3821" s="166"/>
      <c r="B3821" s="93"/>
      <c r="C3821" s="70"/>
      <c r="D3821" s="70"/>
      <c r="E3821" s="70"/>
      <c r="F3821" s="70"/>
      <c r="G3821" s="70"/>
      <c r="H3821" s="93"/>
      <c r="I3821" s="85"/>
      <c r="J3821" s="85"/>
      <c r="K3821" s="131"/>
      <c r="L3821" s="60"/>
      <c r="M3821" s="33"/>
    </row>
    <row r="3822" spans="1:28" ht="16" x14ac:dyDescent="0.2">
      <c r="A3822" s="166"/>
      <c r="B3822" s="82"/>
      <c r="C3822" s="70"/>
      <c r="D3822" s="70"/>
      <c r="E3822" s="70"/>
      <c r="F3822" s="70"/>
      <c r="G3822" s="70"/>
      <c r="H3822" s="93"/>
      <c r="I3822" s="85"/>
      <c r="J3822" s="85"/>
      <c r="K3822" s="131"/>
      <c r="L3822" s="60"/>
      <c r="N3822" s="48"/>
    </row>
    <row r="3823" spans="1:28" x14ac:dyDescent="0.15">
      <c r="A3823" s="166"/>
      <c r="B3823" s="82"/>
      <c r="C3823" s="70"/>
      <c r="D3823" s="70"/>
      <c r="E3823" s="70"/>
      <c r="F3823" s="70"/>
      <c r="G3823" s="70"/>
      <c r="H3823" s="93"/>
      <c r="I3823" s="85"/>
      <c r="J3823" s="85"/>
      <c r="K3823" s="131"/>
      <c r="L3823" s="60"/>
    </row>
    <row r="3824" spans="1:28" x14ac:dyDescent="0.15">
      <c r="A3824" s="166"/>
      <c r="B3824" s="82"/>
      <c r="C3824" s="70"/>
      <c r="D3824" s="70"/>
      <c r="E3824" s="70"/>
      <c r="F3824" s="70"/>
      <c r="G3824" s="70"/>
      <c r="H3824" s="93"/>
      <c r="I3824" s="85"/>
      <c r="J3824" s="85"/>
      <c r="K3824" s="131"/>
      <c r="L3824" s="60"/>
    </row>
    <row r="3825" spans="1:14" x14ac:dyDescent="0.15">
      <c r="A3825" s="166"/>
      <c r="B3825" s="82"/>
      <c r="C3825" s="70"/>
      <c r="D3825" s="70"/>
      <c r="E3825" s="70"/>
      <c r="F3825" s="70"/>
      <c r="G3825" s="70"/>
      <c r="H3825" s="93"/>
      <c r="I3825" s="85"/>
      <c r="J3825" s="85"/>
      <c r="K3825" s="131"/>
      <c r="L3825" s="60"/>
    </row>
    <row r="3826" spans="1:14" x14ac:dyDescent="0.15">
      <c r="A3826" s="166"/>
      <c r="B3826" s="82"/>
      <c r="C3826" s="70"/>
      <c r="D3826" s="70"/>
      <c r="E3826" s="70"/>
      <c r="F3826" s="70"/>
      <c r="G3826" s="70"/>
      <c r="H3826" s="93"/>
      <c r="I3826" s="85"/>
      <c r="J3826" s="85"/>
      <c r="K3826" s="131"/>
      <c r="L3826" s="60"/>
      <c r="M3826" s="33"/>
    </row>
    <row r="3827" spans="1:14" x14ac:dyDescent="0.15">
      <c r="A3827" s="166"/>
      <c r="B3827" s="82"/>
      <c r="C3827" s="70"/>
      <c r="D3827" s="70"/>
      <c r="E3827" s="70"/>
      <c r="F3827" s="70"/>
      <c r="G3827" s="70"/>
      <c r="H3827" s="93"/>
      <c r="I3827" s="85"/>
      <c r="J3827" s="85"/>
      <c r="K3827" s="131"/>
      <c r="L3827" s="60"/>
      <c r="M3827" s="33"/>
    </row>
    <row r="3828" spans="1:14" x14ac:dyDescent="0.15">
      <c r="A3828" s="166"/>
      <c r="B3828" s="93"/>
      <c r="C3828" s="70"/>
      <c r="D3828" s="70"/>
      <c r="E3828" s="70"/>
      <c r="F3828" s="70"/>
      <c r="G3828" s="70"/>
      <c r="H3828" s="93"/>
      <c r="I3828" s="85"/>
      <c r="J3828" s="85"/>
      <c r="K3828" s="131"/>
      <c r="L3828" s="60"/>
      <c r="M3828" s="33"/>
    </row>
    <row r="3829" spans="1:14" ht="16" x14ac:dyDescent="0.2">
      <c r="A3829" s="166"/>
      <c r="B3829" s="93"/>
      <c r="C3829" s="70"/>
      <c r="D3829" s="70"/>
      <c r="E3829" s="70"/>
      <c r="F3829" s="70"/>
      <c r="G3829" s="70"/>
      <c r="H3829" s="93"/>
      <c r="I3829" s="85"/>
      <c r="J3829" s="85"/>
      <c r="K3829" s="131"/>
      <c r="L3829" s="60"/>
      <c r="M3829" s="33"/>
      <c r="N3829" s="48"/>
    </row>
    <row r="3830" spans="1:14" x14ac:dyDescent="0.15">
      <c r="A3830" s="166"/>
      <c r="B3830" s="93"/>
      <c r="C3830" s="70"/>
      <c r="D3830" s="70"/>
      <c r="E3830" s="70"/>
      <c r="F3830" s="70"/>
      <c r="G3830" s="70"/>
      <c r="H3830" s="93"/>
      <c r="I3830" s="85"/>
      <c r="J3830" s="85"/>
      <c r="K3830" s="131"/>
      <c r="L3830" s="60"/>
      <c r="M3830" s="33"/>
    </row>
    <row r="3831" spans="1:14" x14ac:dyDescent="0.15">
      <c r="A3831" s="166"/>
      <c r="B3831" s="93"/>
      <c r="C3831" s="70"/>
      <c r="D3831" s="70"/>
      <c r="E3831" s="70"/>
      <c r="F3831" s="70"/>
      <c r="G3831" s="70"/>
      <c r="H3831" s="93"/>
      <c r="I3831" s="85"/>
      <c r="J3831" s="85"/>
      <c r="K3831" s="131"/>
      <c r="L3831" s="60"/>
      <c r="M3831" s="33"/>
    </row>
    <row r="3832" spans="1:14" x14ac:dyDescent="0.15">
      <c r="A3832" s="166"/>
      <c r="B3832" s="93"/>
      <c r="C3832" s="70"/>
      <c r="D3832" s="70"/>
      <c r="E3832" s="70"/>
      <c r="F3832" s="70"/>
      <c r="G3832" s="70"/>
      <c r="H3832" s="93"/>
      <c r="I3832" s="85"/>
      <c r="J3832" s="85"/>
      <c r="K3832" s="131"/>
      <c r="L3832" s="60"/>
      <c r="M3832" s="33"/>
    </row>
    <row r="3833" spans="1:14" x14ac:dyDescent="0.15">
      <c r="A3833" s="166"/>
      <c r="B3833" s="93"/>
      <c r="C3833" s="70"/>
      <c r="D3833" s="70"/>
      <c r="E3833" s="70"/>
      <c r="F3833" s="70"/>
      <c r="G3833" s="70"/>
      <c r="H3833" s="93"/>
      <c r="I3833" s="85"/>
      <c r="J3833" s="85"/>
      <c r="K3833" s="131"/>
      <c r="L3833" s="60"/>
      <c r="M3833" s="33"/>
    </row>
    <row r="3834" spans="1:14" x14ac:dyDescent="0.15">
      <c r="A3834" s="166"/>
      <c r="B3834" s="82"/>
      <c r="C3834" s="70"/>
      <c r="D3834" s="70"/>
      <c r="E3834" s="70"/>
      <c r="F3834" s="70"/>
      <c r="G3834" s="70"/>
      <c r="H3834" s="93"/>
      <c r="I3834" s="85"/>
      <c r="J3834" s="85"/>
      <c r="K3834" s="131"/>
      <c r="L3834" s="60"/>
    </row>
    <row r="3835" spans="1:14" x14ac:dyDescent="0.15">
      <c r="A3835" s="166"/>
      <c r="B3835" s="82"/>
      <c r="C3835" s="70"/>
      <c r="D3835" s="70"/>
      <c r="E3835" s="70"/>
      <c r="F3835" s="70"/>
      <c r="G3835" s="70"/>
      <c r="H3835" s="93"/>
      <c r="I3835" s="85"/>
      <c r="J3835" s="85"/>
      <c r="K3835" s="131"/>
      <c r="L3835" s="60"/>
      <c r="M3835" s="33"/>
    </row>
    <row r="3836" spans="1:14" x14ac:dyDescent="0.15">
      <c r="A3836" s="166"/>
      <c r="B3836" s="82"/>
      <c r="C3836" s="70"/>
      <c r="D3836" s="70"/>
      <c r="E3836" s="70"/>
      <c r="F3836" s="70"/>
      <c r="G3836" s="70"/>
      <c r="H3836" s="93"/>
      <c r="I3836" s="85"/>
      <c r="J3836" s="85"/>
      <c r="K3836" s="131"/>
      <c r="L3836" s="60"/>
    </row>
    <row r="3837" spans="1:14" x14ac:dyDescent="0.15">
      <c r="A3837" s="166"/>
      <c r="B3837" s="93"/>
      <c r="C3837" s="70"/>
      <c r="D3837" s="70"/>
      <c r="E3837" s="70"/>
      <c r="F3837" s="70"/>
      <c r="G3837" s="70"/>
      <c r="H3837" s="93"/>
      <c r="I3837" s="85"/>
      <c r="J3837" s="85"/>
      <c r="K3837" s="131"/>
      <c r="L3837" s="60"/>
      <c r="M3837" s="33"/>
    </row>
    <row r="3838" spans="1:14" x14ac:dyDescent="0.15">
      <c r="A3838" s="166"/>
      <c r="B3838" s="93"/>
      <c r="C3838" s="70"/>
      <c r="D3838" s="70"/>
      <c r="E3838" s="70"/>
      <c r="F3838" s="70"/>
      <c r="G3838" s="70"/>
      <c r="H3838" s="93"/>
      <c r="I3838" s="85"/>
      <c r="J3838" s="85"/>
      <c r="K3838" s="131"/>
      <c r="L3838" s="60"/>
      <c r="M3838" s="33"/>
    </row>
    <row r="3839" spans="1:14" x14ac:dyDescent="0.15">
      <c r="A3839" s="166"/>
      <c r="B3839" s="82"/>
      <c r="C3839" s="70"/>
      <c r="D3839" s="70"/>
      <c r="E3839" s="70"/>
      <c r="F3839" s="70"/>
      <c r="G3839" s="70"/>
      <c r="H3839" s="93"/>
      <c r="I3839" s="85"/>
      <c r="J3839" s="85"/>
      <c r="K3839" s="131"/>
      <c r="L3839" s="60"/>
    </row>
    <row r="3840" spans="1:14" x14ac:dyDescent="0.15">
      <c r="A3840" s="166"/>
      <c r="B3840" s="82"/>
      <c r="C3840" s="70"/>
      <c r="D3840" s="70"/>
      <c r="E3840" s="70"/>
      <c r="F3840" s="70"/>
      <c r="G3840" s="70"/>
      <c r="H3840" s="93"/>
      <c r="I3840" s="85"/>
      <c r="J3840" s="85"/>
      <c r="K3840" s="131"/>
      <c r="L3840" s="60"/>
    </row>
    <row r="3841" spans="1:13" x14ac:dyDescent="0.15">
      <c r="A3841" s="166"/>
      <c r="B3841" s="82"/>
      <c r="C3841" s="70"/>
      <c r="D3841" s="70"/>
      <c r="E3841" s="70"/>
      <c r="F3841" s="70"/>
      <c r="G3841" s="70"/>
      <c r="H3841" s="93"/>
      <c r="I3841" s="85"/>
      <c r="J3841" s="85"/>
      <c r="K3841" s="131"/>
      <c r="L3841" s="60"/>
    </row>
    <row r="3842" spans="1:13" x14ac:dyDescent="0.15">
      <c r="A3842" s="166"/>
      <c r="B3842" s="82"/>
      <c r="C3842" s="70"/>
      <c r="D3842" s="70"/>
      <c r="E3842" s="70"/>
      <c r="F3842" s="70"/>
      <c r="G3842" s="70"/>
      <c r="H3842" s="93"/>
      <c r="I3842" s="85"/>
      <c r="J3842" s="85"/>
      <c r="K3842" s="131"/>
      <c r="L3842" s="60"/>
    </row>
    <row r="3843" spans="1:13" x14ac:dyDescent="0.15">
      <c r="A3843" s="166"/>
      <c r="B3843" s="82"/>
      <c r="C3843" s="73"/>
      <c r="D3843" s="73"/>
      <c r="E3843" s="70"/>
      <c r="F3843" s="73"/>
      <c r="G3843" s="73"/>
      <c r="H3843" s="93"/>
      <c r="I3843" s="85"/>
      <c r="J3843" s="85"/>
      <c r="K3843" s="131"/>
      <c r="L3843" s="60"/>
    </row>
    <row r="3844" spans="1:13" x14ac:dyDescent="0.15">
      <c r="A3844" s="166"/>
      <c r="B3844" s="82"/>
      <c r="C3844" s="70"/>
      <c r="D3844" s="70"/>
      <c r="E3844" s="73"/>
      <c r="F3844" s="70"/>
      <c r="G3844" s="70"/>
      <c r="H3844" s="93"/>
      <c r="I3844" s="85"/>
      <c r="J3844" s="85"/>
      <c r="K3844" s="131"/>
      <c r="L3844" s="60"/>
    </row>
    <row r="3845" spans="1:13" x14ac:dyDescent="0.15">
      <c r="A3845" s="166"/>
      <c r="B3845" s="82"/>
      <c r="C3845" s="73"/>
      <c r="D3845" s="73"/>
      <c r="E3845" s="70"/>
      <c r="F3845" s="73"/>
      <c r="G3845" s="73"/>
      <c r="H3845" s="93"/>
      <c r="I3845" s="85"/>
      <c r="J3845" s="95"/>
      <c r="K3845" s="131"/>
      <c r="L3845" s="60"/>
    </row>
    <row r="3846" spans="1:13" x14ac:dyDescent="0.15">
      <c r="A3846" s="166"/>
      <c r="B3846" s="82"/>
      <c r="C3846" s="70"/>
      <c r="D3846" s="70"/>
      <c r="E3846" s="70"/>
      <c r="F3846" s="70"/>
      <c r="G3846" s="70"/>
      <c r="H3846" s="93"/>
      <c r="I3846" s="85"/>
      <c r="J3846" s="85"/>
      <c r="K3846" s="131"/>
      <c r="L3846" s="60"/>
    </row>
    <row r="3847" spans="1:13" x14ac:dyDescent="0.15">
      <c r="A3847" s="166"/>
      <c r="B3847" s="82"/>
      <c r="C3847" s="70"/>
      <c r="D3847" s="70"/>
      <c r="E3847" s="70"/>
      <c r="F3847" s="70"/>
      <c r="G3847" s="70"/>
      <c r="H3847" s="93"/>
      <c r="I3847" s="85"/>
      <c r="J3847" s="85"/>
      <c r="K3847" s="131"/>
      <c r="L3847" s="60"/>
    </row>
    <row r="3848" spans="1:13" x14ac:dyDescent="0.15">
      <c r="A3848" s="166"/>
      <c r="B3848" s="93"/>
      <c r="C3848" s="70"/>
      <c r="D3848" s="70"/>
      <c r="E3848" s="70"/>
      <c r="F3848" s="70"/>
      <c r="G3848" s="70"/>
      <c r="H3848" s="93"/>
      <c r="I3848" s="85"/>
      <c r="J3848" s="85"/>
      <c r="K3848" s="131"/>
      <c r="L3848" s="60"/>
      <c r="M3848" s="33"/>
    </row>
    <row r="3849" spans="1:13" x14ac:dyDescent="0.15">
      <c r="A3849" s="166"/>
      <c r="B3849" s="93"/>
      <c r="C3849" s="70"/>
      <c r="D3849" s="70"/>
      <c r="E3849" s="70"/>
      <c r="F3849" s="70"/>
      <c r="G3849" s="70"/>
      <c r="H3849" s="93"/>
      <c r="I3849" s="85"/>
      <c r="J3849" s="85"/>
      <c r="K3849" s="131"/>
      <c r="L3849" s="60"/>
      <c r="M3849" s="33"/>
    </row>
    <row r="3850" spans="1:13" x14ac:dyDescent="0.15">
      <c r="A3850" s="166"/>
      <c r="B3850" s="93"/>
      <c r="C3850" s="70"/>
      <c r="D3850" s="70"/>
      <c r="E3850" s="70"/>
      <c r="F3850" s="70"/>
      <c r="G3850" s="70"/>
      <c r="H3850" s="93"/>
      <c r="I3850" s="85"/>
      <c r="J3850" s="85"/>
      <c r="K3850" s="131"/>
      <c r="L3850" s="60"/>
      <c r="M3850" s="33"/>
    </row>
    <row r="3851" spans="1:13" x14ac:dyDescent="0.15">
      <c r="A3851" s="166"/>
      <c r="B3851" s="82"/>
      <c r="C3851" s="70"/>
      <c r="D3851" s="70"/>
      <c r="E3851" s="70"/>
      <c r="F3851" s="70"/>
      <c r="G3851" s="70"/>
      <c r="H3851" s="93"/>
      <c r="I3851" s="85"/>
      <c r="J3851" s="85"/>
      <c r="K3851" s="131"/>
      <c r="L3851" s="60"/>
    </row>
    <row r="3852" spans="1:13" x14ac:dyDescent="0.15">
      <c r="A3852" s="166"/>
      <c r="B3852" s="82"/>
      <c r="C3852" s="70"/>
      <c r="D3852" s="70"/>
      <c r="E3852" s="70"/>
      <c r="F3852" s="70"/>
      <c r="G3852" s="70"/>
      <c r="H3852" s="93"/>
      <c r="I3852" s="85"/>
      <c r="J3852" s="85"/>
      <c r="K3852" s="131"/>
      <c r="L3852" s="60"/>
    </row>
    <row r="3853" spans="1:13" ht="16" x14ac:dyDescent="0.2">
      <c r="A3853" s="166"/>
      <c r="B3853" s="82"/>
      <c r="C3853" s="70"/>
      <c r="D3853" s="70"/>
      <c r="E3853" s="70"/>
      <c r="F3853" s="70"/>
      <c r="G3853" s="70"/>
      <c r="H3853" s="93"/>
      <c r="I3853" s="85"/>
      <c r="J3853" s="85"/>
      <c r="K3853" s="131"/>
      <c r="L3853" s="60"/>
      <c r="M3853" s="47"/>
    </row>
    <row r="3854" spans="1:13" x14ac:dyDescent="0.15">
      <c r="A3854" s="166"/>
      <c r="B3854" s="93"/>
      <c r="C3854" s="70"/>
      <c r="D3854" s="70"/>
      <c r="E3854" s="70"/>
      <c r="F3854" s="70"/>
      <c r="G3854" s="70"/>
      <c r="H3854" s="93"/>
      <c r="I3854" s="85"/>
      <c r="J3854" s="85"/>
      <c r="K3854" s="131"/>
      <c r="L3854" s="60"/>
      <c r="M3854" s="33"/>
    </row>
    <row r="3855" spans="1:13" x14ac:dyDescent="0.15">
      <c r="A3855" s="166"/>
      <c r="B3855" s="82"/>
      <c r="C3855" s="70"/>
      <c r="D3855" s="70"/>
      <c r="E3855" s="70"/>
      <c r="F3855" s="70"/>
      <c r="G3855" s="70"/>
      <c r="H3855" s="93"/>
      <c r="I3855" s="85"/>
      <c r="J3855" s="85"/>
      <c r="K3855" s="131"/>
      <c r="L3855" s="60"/>
    </row>
    <row r="3856" spans="1:13" x14ac:dyDescent="0.15">
      <c r="A3856" s="166"/>
      <c r="B3856" s="82"/>
      <c r="C3856" s="70"/>
      <c r="D3856" s="70"/>
      <c r="E3856" s="70"/>
      <c r="F3856" s="70"/>
      <c r="G3856" s="70"/>
      <c r="H3856" s="93"/>
      <c r="I3856" s="85"/>
      <c r="J3856" s="85"/>
      <c r="K3856" s="131"/>
      <c r="L3856" s="60"/>
      <c r="M3856" s="33"/>
    </row>
    <row r="3857" spans="1:28" ht="16" x14ac:dyDescent="0.2">
      <c r="A3857" s="166"/>
      <c r="B3857" s="82"/>
      <c r="C3857" s="70"/>
      <c r="D3857" s="70"/>
      <c r="E3857" s="70"/>
      <c r="F3857" s="70"/>
      <c r="G3857" s="70"/>
      <c r="H3857" s="93"/>
      <c r="I3857" s="85"/>
      <c r="J3857" s="85"/>
      <c r="K3857" s="131"/>
      <c r="L3857" s="60"/>
      <c r="M3857" s="33"/>
      <c r="N3857" s="48"/>
    </row>
    <row r="3858" spans="1:28" x14ac:dyDescent="0.15">
      <c r="A3858" s="166"/>
      <c r="B3858" s="82"/>
      <c r="C3858" s="70"/>
      <c r="D3858" s="70"/>
      <c r="E3858" s="70"/>
      <c r="F3858" s="70"/>
      <c r="G3858" s="70"/>
      <c r="H3858" s="93"/>
      <c r="I3858" s="85"/>
      <c r="J3858" s="85"/>
      <c r="K3858" s="131"/>
      <c r="L3858" s="60"/>
    </row>
    <row r="3859" spans="1:28" ht="16" x14ac:dyDescent="0.2">
      <c r="A3859" s="166"/>
      <c r="B3859" s="82"/>
      <c r="C3859" s="70"/>
      <c r="D3859" s="70"/>
      <c r="E3859" s="70"/>
      <c r="F3859" s="70"/>
      <c r="G3859" s="70"/>
      <c r="H3859" s="93"/>
      <c r="I3859" s="85"/>
      <c r="J3859" s="85"/>
      <c r="K3859" s="131"/>
      <c r="L3859" s="60"/>
      <c r="M3859" s="47"/>
    </row>
    <row r="3860" spans="1:28" x14ac:dyDescent="0.15">
      <c r="A3860" s="166"/>
      <c r="B3860" s="82"/>
      <c r="C3860" s="70"/>
      <c r="D3860" s="70"/>
      <c r="E3860" s="70"/>
      <c r="F3860" s="70"/>
      <c r="G3860" s="70"/>
      <c r="H3860" s="93"/>
      <c r="I3860" s="85"/>
      <c r="J3860" s="85"/>
      <c r="K3860" s="131"/>
      <c r="L3860" s="60"/>
    </row>
    <row r="3861" spans="1:28" x14ac:dyDescent="0.15">
      <c r="A3861" s="166"/>
      <c r="B3861" s="82"/>
      <c r="C3861" s="70"/>
      <c r="D3861" s="70"/>
      <c r="E3861" s="70"/>
      <c r="F3861" s="70"/>
      <c r="G3861" s="70"/>
      <c r="H3861" s="93"/>
      <c r="I3861" s="85"/>
      <c r="J3861" s="85"/>
      <c r="K3861" s="131"/>
      <c r="L3861" s="60"/>
    </row>
    <row r="3862" spans="1:28" ht="16" x14ac:dyDescent="0.2">
      <c r="A3862" s="166"/>
      <c r="B3862" s="82"/>
      <c r="C3862" s="70"/>
      <c r="D3862" s="70"/>
      <c r="E3862" s="73"/>
      <c r="F3862" s="70"/>
      <c r="G3862" s="70"/>
      <c r="H3862" s="93"/>
      <c r="I3862" s="85"/>
      <c r="J3862" s="85"/>
      <c r="K3862" s="131"/>
      <c r="L3862" s="60"/>
      <c r="N3862" s="48"/>
    </row>
    <row r="3863" spans="1:28" ht="16" x14ac:dyDescent="0.2">
      <c r="A3863" s="166"/>
      <c r="B3863" s="82"/>
      <c r="C3863" s="70"/>
      <c r="D3863" s="70"/>
      <c r="E3863" s="70"/>
      <c r="F3863" s="70"/>
      <c r="G3863" s="70"/>
      <c r="H3863" s="93"/>
      <c r="I3863" s="85"/>
      <c r="J3863" s="85"/>
      <c r="K3863" s="131"/>
      <c r="L3863" s="60"/>
      <c r="N3863" s="48"/>
    </row>
    <row r="3864" spans="1:28" x14ac:dyDescent="0.15">
      <c r="A3864" s="166"/>
      <c r="B3864" s="82"/>
      <c r="C3864" s="70"/>
      <c r="D3864" s="70"/>
      <c r="E3864" s="70"/>
      <c r="F3864" s="70"/>
      <c r="G3864" s="70"/>
      <c r="H3864" s="93"/>
      <c r="I3864" s="85"/>
      <c r="J3864" s="85"/>
      <c r="K3864" s="131"/>
      <c r="L3864" s="60"/>
    </row>
    <row r="3865" spans="1:28" x14ac:dyDescent="0.15">
      <c r="A3865" s="166"/>
      <c r="B3865" s="93"/>
      <c r="C3865" s="70"/>
      <c r="D3865" s="70"/>
      <c r="E3865" s="70"/>
      <c r="F3865" s="70"/>
      <c r="G3865" s="70"/>
      <c r="H3865" s="93"/>
      <c r="I3865" s="85"/>
      <c r="J3865" s="85"/>
      <c r="K3865" s="131"/>
      <c r="L3865" s="60"/>
    </row>
    <row r="3866" spans="1:28" x14ac:dyDescent="0.15">
      <c r="A3866" s="166"/>
      <c r="B3866" s="93"/>
      <c r="C3866" s="70"/>
      <c r="D3866" s="70"/>
      <c r="E3866" s="70"/>
      <c r="F3866" s="70"/>
      <c r="G3866" s="70"/>
      <c r="H3866" s="93"/>
      <c r="I3866" s="85"/>
      <c r="J3866" s="85"/>
      <c r="K3866" s="131"/>
      <c r="L3866" s="60"/>
      <c r="M3866" s="33"/>
      <c r="S3866" s="12"/>
      <c r="T3866" s="12"/>
      <c r="U3866" s="12"/>
      <c r="V3866" s="12"/>
      <c r="W3866" s="12"/>
      <c r="X3866" s="12"/>
      <c r="Y3866" s="12"/>
      <c r="Z3866" s="16"/>
      <c r="AA3866" s="13"/>
      <c r="AB3866" s="13"/>
    </row>
    <row r="3867" spans="1:28" x14ac:dyDescent="0.15">
      <c r="A3867" s="166"/>
      <c r="B3867" s="82"/>
      <c r="C3867" s="70"/>
      <c r="D3867" s="70"/>
      <c r="E3867" s="70"/>
      <c r="F3867" s="70"/>
      <c r="G3867" s="70"/>
      <c r="H3867" s="93"/>
      <c r="I3867" s="85"/>
      <c r="J3867" s="85"/>
      <c r="K3867" s="131"/>
      <c r="L3867" s="60"/>
      <c r="M3867" s="33"/>
    </row>
    <row r="3868" spans="1:28" ht="16" x14ac:dyDescent="0.2">
      <c r="A3868" s="166"/>
      <c r="B3868" s="82"/>
      <c r="C3868" s="70"/>
      <c r="D3868" s="70"/>
      <c r="E3868" s="70"/>
      <c r="F3868" s="70"/>
      <c r="G3868" s="70"/>
      <c r="H3868" s="93"/>
      <c r="I3868" s="85"/>
      <c r="J3868" s="85"/>
      <c r="K3868" s="131"/>
      <c r="L3868" s="60"/>
      <c r="M3868" s="33"/>
      <c r="N3868" s="48"/>
    </row>
    <row r="3869" spans="1:28" ht="16" x14ac:dyDescent="0.2">
      <c r="A3869" s="166"/>
      <c r="B3869" s="82"/>
      <c r="C3869" s="73"/>
      <c r="D3869" s="73"/>
      <c r="E3869" s="70"/>
      <c r="F3869" s="73"/>
      <c r="G3869" s="73"/>
      <c r="H3869" s="93"/>
      <c r="I3869" s="85"/>
      <c r="J3869" s="95"/>
      <c r="K3869" s="131"/>
      <c r="L3869" s="60"/>
      <c r="M3869" s="33"/>
      <c r="N3869" s="48"/>
    </row>
    <row r="3870" spans="1:28" ht="16" x14ac:dyDescent="0.2">
      <c r="A3870" s="166"/>
      <c r="B3870" s="93"/>
      <c r="C3870" s="70"/>
      <c r="D3870" s="70"/>
      <c r="E3870" s="70"/>
      <c r="F3870" s="70"/>
      <c r="G3870" s="70"/>
      <c r="H3870" s="93"/>
      <c r="I3870" s="85"/>
      <c r="J3870" s="85"/>
      <c r="K3870" s="131"/>
      <c r="L3870" s="60"/>
      <c r="M3870" s="33"/>
      <c r="N3870" s="48"/>
    </row>
    <row r="3871" spans="1:28" x14ac:dyDescent="0.15">
      <c r="A3871" s="166"/>
      <c r="B3871" s="93"/>
      <c r="C3871" s="73"/>
      <c r="D3871" s="73"/>
      <c r="E3871" s="70"/>
      <c r="F3871" s="70"/>
      <c r="G3871" s="70"/>
      <c r="H3871" s="93"/>
      <c r="I3871" s="85"/>
      <c r="J3871" s="85"/>
      <c r="K3871" s="131"/>
      <c r="L3871" s="60"/>
      <c r="M3871" s="33"/>
    </row>
    <row r="3872" spans="1:28" x14ac:dyDescent="0.15">
      <c r="A3872" s="166"/>
      <c r="B3872" s="82"/>
      <c r="C3872" s="70"/>
      <c r="D3872" s="70"/>
      <c r="E3872" s="70"/>
      <c r="F3872" s="70"/>
      <c r="G3872" s="70"/>
      <c r="H3872" s="93"/>
      <c r="I3872" s="85"/>
      <c r="J3872" s="85"/>
      <c r="K3872" s="131"/>
      <c r="L3872" s="60"/>
      <c r="M3872" s="33"/>
    </row>
    <row r="3873" spans="1:14" x14ac:dyDescent="0.15">
      <c r="A3873" s="166"/>
      <c r="B3873" s="82"/>
      <c r="C3873" s="70"/>
      <c r="D3873" s="70"/>
      <c r="E3873" s="70"/>
      <c r="F3873" s="70"/>
      <c r="G3873" s="70"/>
      <c r="H3873" s="93"/>
      <c r="I3873" s="85"/>
      <c r="J3873" s="85"/>
      <c r="K3873" s="131"/>
      <c r="L3873" s="60"/>
      <c r="M3873" s="33"/>
    </row>
    <row r="3874" spans="1:14" x14ac:dyDescent="0.15">
      <c r="A3874" s="166"/>
      <c r="B3874" s="82"/>
      <c r="C3874" s="70"/>
      <c r="D3874" s="70"/>
      <c r="E3874" s="70"/>
      <c r="F3874" s="70"/>
      <c r="G3874" s="70"/>
      <c r="H3874" s="93"/>
      <c r="I3874" s="85"/>
      <c r="J3874" s="85"/>
      <c r="K3874" s="131"/>
      <c r="L3874" s="60"/>
    </row>
    <row r="3875" spans="1:14" x14ac:dyDescent="0.15">
      <c r="A3875" s="166"/>
      <c r="B3875" s="93"/>
      <c r="C3875" s="70"/>
      <c r="D3875" s="70"/>
      <c r="E3875" s="70"/>
      <c r="F3875" s="70"/>
      <c r="G3875" s="70"/>
      <c r="H3875" s="93"/>
      <c r="I3875" s="85"/>
      <c r="J3875" s="85"/>
      <c r="K3875" s="131"/>
      <c r="L3875" s="60"/>
      <c r="M3875" s="33"/>
    </row>
    <row r="3876" spans="1:14" ht="16" x14ac:dyDescent="0.2">
      <c r="A3876" s="166"/>
      <c r="B3876" s="82"/>
      <c r="C3876" s="70"/>
      <c r="D3876" s="70"/>
      <c r="E3876" s="70"/>
      <c r="F3876" s="70"/>
      <c r="G3876" s="70"/>
      <c r="H3876" s="93"/>
      <c r="I3876" s="85"/>
      <c r="J3876" s="210"/>
      <c r="K3876" s="131"/>
      <c r="L3876" s="60"/>
      <c r="M3876" s="33"/>
      <c r="N3876" s="48"/>
    </row>
    <row r="3877" spans="1:14" x14ac:dyDescent="0.15">
      <c r="A3877" s="166"/>
      <c r="B3877" s="82"/>
      <c r="C3877" s="70"/>
      <c r="D3877" s="70"/>
      <c r="E3877" s="70"/>
      <c r="F3877" s="70"/>
      <c r="G3877" s="70"/>
      <c r="H3877" s="93"/>
      <c r="I3877" s="85"/>
      <c r="J3877" s="85"/>
      <c r="K3877" s="131"/>
      <c r="L3877" s="60"/>
    </row>
    <row r="3878" spans="1:14" x14ac:dyDescent="0.15">
      <c r="A3878" s="166"/>
      <c r="B3878" s="82"/>
      <c r="C3878" s="70"/>
      <c r="D3878" s="70"/>
      <c r="E3878" s="70"/>
      <c r="F3878" s="70"/>
      <c r="G3878" s="70"/>
      <c r="H3878" s="93"/>
      <c r="I3878" s="85"/>
      <c r="J3878" s="85"/>
      <c r="K3878" s="131"/>
      <c r="L3878" s="60"/>
    </row>
    <row r="3879" spans="1:14" x14ac:dyDescent="0.15">
      <c r="A3879" s="166"/>
      <c r="B3879" s="82"/>
      <c r="C3879" s="70"/>
      <c r="D3879" s="70"/>
      <c r="E3879" s="70"/>
      <c r="F3879" s="70"/>
      <c r="G3879" s="70"/>
      <c r="H3879" s="93"/>
      <c r="I3879" s="85"/>
      <c r="J3879" s="85"/>
      <c r="K3879" s="131"/>
      <c r="L3879" s="60"/>
    </row>
    <row r="3880" spans="1:14" x14ac:dyDescent="0.15">
      <c r="A3880" s="166"/>
      <c r="B3880" s="82"/>
      <c r="C3880" s="70"/>
      <c r="D3880" s="70"/>
      <c r="E3880" s="73"/>
      <c r="F3880" s="70"/>
      <c r="G3880" s="70"/>
      <c r="H3880" s="93"/>
      <c r="I3880" s="85"/>
      <c r="J3880" s="85"/>
      <c r="K3880" s="131"/>
      <c r="L3880" s="60"/>
    </row>
    <row r="3881" spans="1:14" x14ac:dyDescent="0.15">
      <c r="A3881" s="166"/>
      <c r="B3881" s="82"/>
      <c r="C3881" s="70"/>
      <c r="D3881" s="70"/>
      <c r="E3881" s="70"/>
      <c r="F3881" s="70"/>
      <c r="G3881" s="70"/>
      <c r="H3881" s="93"/>
      <c r="I3881" s="85"/>
      <c r="J3881" s="85"/>
      <c r="K3881" s="131"/>
      <c r="L3881" s="60"/>
    </row>
    <row r="3882" spans="1:14" x14ac:dyDescent="0.15">
      <c r="A3882" s="166"/>
      <c r="B3882" s="82"/>
      <c r="C3882" s="70"/>
      <c r="D3882" s="70"/>
      <c r="E3882" s="70"/>
      <c r="F3882" s="70"/>
      <c r="G3882" s="70"/>
      <c r="H3882" s="93"/>
      <c r="I3882" s="85"/>
      <c r="J3882" s="85"/>
      <c r="K3882" s="131"/>
      <c r="L3882" s="60"/>
    </row>
    <row r="3883" spans="1:14" x14ac:dyDescent="0.15">
      <c r="A3883" s="166"/>
      <c r="B3883" s="82"/>
      <c r="C3883" s="70"/>
      <c r="D3883" s="70"/>
      <c r="E3883" s="70"/>
      <c r="F3883" s="70"/>
      <c r="G3883" s="70"/>
      <c r="H3883" s="93"/>
      <c r="I3883" s="85"/>
      <c r="J3883" s="85"/>
      <c r="K3883" s="131"/>
      <c r="L3883" s="60"/>
    </row>
    <row r="3884" spans="1:14" x14ac:dyDescent="0.15">
      <c r="A3884" s="166"/>
      <c r="B3884" s="82"/>
      <c r="C3884" s="70"/>
      <c r="D3884" s="70"/>
      <c r="E3884" s="70"/>
      <c r="F3884" s="70"/>
      <c r="G3884" s="70"/>
      <c r="H3884" s="93"/>
      <c r="I3884" s="85"/>
      <c r="J3884" s="85"/>
      <c r="K3884" s="131"/>
      <c r="L3884" s="60"/>
    </row>
    <row r="3885" spans="1:14" x14ac:dyDescent="0.15">
      <c r="A3885" s="166"/>
      <c r="B3885" s="82"/>
      <c r="C3885" s="70"/>
      <c r="D3885" s="70"/>
      <c r="E3885" s="70"/>
      <c r="F3885" s="70"/>
      <c r="G3885" s="70"/>
      <c r="H3885" s="93"/>
      <c r="I3885" s="85"/>
      <c r="J3885" s="85"/>
      <c r="K3885" s="131"/>
      <c r="L3885" s="60"/>
    </row>
    <row r="3886" spans="1:14" x14ac:dyDescent="0.15">
      <c r="A3886" s="166"/>
      <c r="B3886" s="82"/>
      <c r="C3886" s="70"/>
      <c r="D3886" s="70"/>
      <c r="E3886" s="70"/>
      <c r="F3886" s="70"/>
      <c r="G3886" s="70"/>
      <c r="H3886" s="93"/>
      <c r="I3886" s="85"/>
      <c r="J3886" s="85"/>
      <c r="K3886" s="131"/>
      <c r="L3886" s="60"/>
    </row>
    <row r="3887" spans="1:14" x14ac:dyDescent="0.15">
      <c r="A3887" s="166"/>
      <c r="B3887" s="93"/>
      <c r="C3887" s="70"/>
      <c r="D3887" s="70"/>
      <c r="E3887" s="70"/>
      <c r="F3887" s="70"/>
      <c r="G3887" s="70"/>
      <c r="H3887" s="93"/>
      <c r="I3887" s="85"/>
      <c r="J3887" s="85"/>
      <c r="K3887" s="131"/>
      <c r="L3887" s="60"/>
    </row>
    <row r="3888" spans="1:14" x14ac:dyDescent="0.15">
      <c r="A3888" s="166"/>
      <c r="B3888" s="82"/>
      <c r="C3888" s="70"/>
      <c r="D3888" s="70"/>
      <c r="E3888" s="70"/>
      <c r="F3888" s="70"/>
      <c r="G3888" s="70"/>
      <c r="H3888" s="93"/>
      <c r="I3888" s="85"/>
      <c r="J3888" s="85"/>
      <c r="K3888" s="131"/>
      <c r="L3888" s="60"/>
    </row>
    <row r="3889" spans="1:13" x14ac:dyDescent="0.15">
      <c r="A3889" s="166"/>
      <c r="B3889" s="82"/>
      <c r="C3889" s="70"/>
      <c r="D3889" s="70"/>
      <c r="E3889" s="70"/>
      <c r="F3889" s="70"/>
      <c r="G3889" s="70"/>
      <c r="H3889" s="93"/>
      <c r="I3889" s="85"/>
      <c r="J3889" s="85"/>
      <c r="K3889" s="131"/>
      <c r="L3889" s="60"/>
    </row>
    <row r="3890" spans="1:13" x14ac:dyDescent="0.15">
      <c r="A3890" s="166"/>
      <c r="B3890" s="82"/>
      <c r="C3890" s="70"/>
      <c r="D3890" s="70"/>
      <c r="E3890" s="70"/>
      <c r="F3890" s="70"/>
      <c r="G3890" s="70"/>
      <c r="H3890" s="93"/>
      <c r="I3890" s="85"/>
      <c r="J3890" s="85"/>
      <c r="K3890" s="131"/>
      <c r="L3890" s="60"/>
    </row>
    <row r="3891" spans="1:13" x14ac:dyDescent="0.15">
      <c r="A3891" s="166"/>
      <c r="B3891" s="82"/>
      <c r="C3891" s="70"/>
      <c r="D3891" s="70"/>
      <c r="E3891" s="70"/>
      <c r="F3891" s="70"/>
      <c r="G3891" s="70"/>
      <c r="H3891" s="93"/>
      <c r="I3891" s="85"/>
      <c r="J3891" s="85"/>
      <c r="K3891" s="131"/>
      <c r="L3891" s="60"/>
    </row>
    <row r="3892" spans="1:13" x14ac:dyDescent="0.15">
      <c r="A3892" s="166"/>
      <c r="B3892" s="82"/>
      <c r="C3892" s="70"/>
      <c r="D3892" s="70"/>
      <c r="E3892" s="70"/>
      <c r="F3892" s="70"/>
      <c r="G3892" s="70"/>
      <c r="H3892" s="93"/>
      <c r="I3892" s="85"/>
      <c r="J3892" s="85"/>
      <c r="K3892" s="131"/>
      <c r="L3892" s="60"/>
    </row>
    <row r="3893" spans="1:13" x14ac:dyDescent="0.15">
      <c r="A3893" s="166"/>
      <c r="B3893" s="82"/>
      <c r="C3893" s="70"/>
      <c r="D3893" s="70"/>
      <c r="E3893" s="70"/>
      <c r="F3893" s="70"/>
      <c r="G3893" s="70"/>
      <c r="H3893" s="93"/>
      <c r="I3893" s="85"/>
      <c r="J3893" s="85"/>
      <c r="K3893" s="131"/>
      <c r="L3893" s="60"/>
    </row>
    <row r="3894" spans="1:13" x14ac:dyDescent="0.15">
      <c r="A3894" s="166"/>
      <c r="B3894" s="82"/>
      <c r="C3894" s="70"/>
      <c r="D3894" s="70"/>
      <c r="E3894" s="70"/>
      <c r="F3894" s="70"/>
      <c r="G3894" s="70"/>
      <c r="H3894" s="93"/>
      <c r="I3894" s="85"/>
      <c r="J3894" s="85"/>
      <c r="K3894" s="131"/>
      <c r="L3894" s="60"/>
    </row>
    <row r="3895" spans="1:13" x14ac:dyDescent="0.15">
      <c r="A3895" s="166"/>
      <c r="B3895" s="82"/>
      <c r="C3895" s="70"/>
      <c r="D3895" s="70"/>
      <c r="E3895" s="70"/>
      <c r="F3895" s="70"/>
      <c r="G3895" s="70"/>
      <c r="H3895" s="93"/>
      <c r="I3895" s="85"/>
      <c r="J3895" s="85"/>
      <c r="K3895" s="131"/>
      <c r="L3895" s="60"/>
    </row>
    <row r="3896" spans="1:13" x14ac:dyDescent="0.15">
      <c r="A3896" s="166"/>
      <c r="B3896" s="82"/>
      <c r="C3896" s="70"/>
      <c r="D3896" s="70"/>
      <c r="E3896" s="70"/>
      <c r="F3896" s="70"/>
      <c r="G3896" s="70"/>
      <c r="H3896" s="93"/>
      <c r="I3896" s="85"/>
      <c r="J3896" s="85"/>
      <c r="K3896" s="131"/>
      <c r="L3896" s="60"/>
    </row>
    <row r="3897" spans="1:13" x14ac:dyDescent="0.15">
      <c r="A3897" s="166"/>
      <c r="B3897" s="93"/>
      <c r="C3897" s="70"/>
      <c r="D3897" s="70"/>
      <c r="E3897" s="70"/>
      <c r="F3897" s="70"/>
      <c r="G3897" s="70"/>
      <c r="H3897" s="93"/>
      <c r="I3897" s="85"/>
      <c r="J3897" s="85"/>
      <c r="K3897" s="131"/>
      <c r="L3897" s="60"/>
    </row>
    <row r="3898" spans="1:13" x14ac:dyDescent="0.15">
      <c r="A3898" s="166"/>
      <c r="B3898" s="82"/>
      <c r="C3898" s="70"/>
      <c r="D3898" s="70"/>
      <c r="E3898" s="70"/>
      <c r="F3898" s="70"/>
      <c r="G3898" s="70"/>
      <c r="H3898" s="93"/>
      <c r="I3898" s="85"/>
      <c r="J3898" s="85"/>
      <c r="K3898" s="131"/>
      <c r="L3898" s="60"/>
    </row>
    <row r="3899" spans="1:13" x14ac:dyDescent="0.15">
      <c r="A3899" s="166"/>
      <c r="B3899" s="93"/>
      <c r="C3899" s="70"/>
      <c r="D3899" s="70"/>
      <c r="E3899" s="70"/>
      <c r="F3899" s="70"/>
      <c r="G3899" s="70"/>
      <c r="H3899" s="93"/>
      <c r="I3899" s="85"/>
      <c r="J3899" s="85"/>
      <c r="K3899" s="131"/>
      <c r="L3899" s="60"/>
    </row>
    <row r="3900" spans="1:13" x14ac:dyDescent="0.15">
      <c r="A3900" s="166"/>
      <c r="B3900" s="82"/>
      <c r="C3900" s="70"/>
      <c r="D3900" s="70"/>
      <c r="E3900" s="70"/>
      <c r="F3900" s="70"/>
      <c r="G3900" s="70"/>
      <c r="H3900" s="93"/>
      <c r="I3900" s="85"/>
      <c r="J3900" s="85"/>
      <c r="K3900" s="131"/>
      <c r="L3900" s="60"/>
    </row>
    <row r="3901" spans="1:13" x14ac:dyDescent="0.15">
      <c r="A3901" s="166"/>
      <c r="B3901" s="93"/>
      <c r="C3901" s="70"/>
      <c r="D3901" s="70"/>
      <c r="E3901" s="70"/>
      <c r="F3901" s="70"/>
      <c r="G3901" s="70"/>
      <c r="H3901" s="93"/>
      <c r="I3901" s="85"/>
      <c r="J3901" s="85"/>
      <c r="K3901" s="131"/>
      <c r="L3901" s="60"/>
      <c r="M3901" s="33"/>
    </row>
    <row r="3902" spans="1:13" x14ac:dyDescent="0.15">
      <c r="A3902" s="166"/>
      <c r="B3902" s="93"/>
      <c r="C3902" s="70"/>
      <c r="D3902" s="70"/>
      <c r="E3902" s="70"/>
      <c r="F3902" s="70"/>
      <c r="G3902" s="70"/>
      <c r="H3902" s="93"/>
      <c r="I3902" s="85"/>
      <c r="J3902" s="85"/>
      <c r="K3902" s="131"/>
      <c r="L3902" s="60"/>
    </row>
    <row r="3903" spans="1:13" x14ac:dyDescent="0.15">
      <c r="A3903" s="166"/>
      <c r="B3903" s="93"/>
      <c r="C3903" s="70"/>
      <c r="D3903" s="70"/>
      <c r="E3903" s="70"/>
      <c r="F3903" s="70"/>
      <c r="G3903" s="70"/>
      <c r="H3903" s="93"/>
      <c r="I3903" s="85"/>
      <c r="J3903" s="85"/>
      <c r="K3903" s="131"/>
      <c r="L3903" s="60"/>
    </row>
    <row r="3904" spans="1:13" x14ac:dyDescent="0.15">
      <c r="A3904" s="166"/>
      <c r="B3904" s="93"/>
      <c r="C3904" s="70"/>
      <c r="D3904" s="70"/>
      <c r="E3904" s="70"/>
      <c r="F3904" s="70"/>
      <c r="G3904" s="70"/>
      <c r="H3904" s="93"/>
      <c r="I3904" s="85"/>
      <c r="J3904" s="85"/>
      <c r="K3904" s="131"/>
      <c r="L3904" s="60"/>
    </row>
    <row r="3905" spans="1:13" x14ac:dyDescent="0.15">
      <c r="A3905" s="166"/>
      <c r="B3905" s="82"/>
      <c r="C3905" s="70"/>
      <c r="D3905" s="70"/>
      <c r="E3905" s="70"/>
      <c r="F3905" s="70"/>
      <c r="G3905" s="70"/>
      <c r="H3905" s="93"/>
      <c r="I3905" s="85"/>
      <c r="J3905" s="85"/>
      <c r="K3905" s="131"/>
      <c r="L3905" s="60"/>
    </row>
    <row r="3906" spans="1:13" x14ac:dyDescent="0.15">
      <c r="A3906" s="166"/>
      <c r="B3906" s="93"/>
      <c r="C3906" s="70"/>
      <c r="D3906" s="70"/>
      <c r="E3906" s="70"/>
      <c r="F3906" s="70"/>
      <c r="G3906" s="70"/>
      <c r="H3906" s="93"/>
      <c r="I3906" s="85"/>
      <c r="J3906" s="85"/>
      <c r="K3906" s="131"/>
      <c r="L3906" s="60"/>
    </row>
    <row r="3907" spans="1:13" x14ac:dyDescent="0.15">
      <c r="A3907" s="166"/>
      <c r="B3907" s="82"/>
      <c r="C3907" s="70"/>
      <c r="D3907" s="70"/>
      <c r="E3907" s="70"/>
      <c r="F3907" s="70"/>
      <c r="G3907" s="70"/>
      <c r="H3907" s="93"/>
      <c r="I3907" s="85"/>
      <c r="J3907" s="85"/>
      <c r="K3907" s="131"/>
      <c r="L3907" s="60"/>
    </row>
    <row r="3908" spans="1:13" x14ac:dyDescent="0.15">
      <c r="A3908" s="166"/>
      <c r="B3908" s="93"/>
      <c r="C3908" s="70"/>
      <c r="D3908" s="70"/>
      <c r="E3908" s="70"/>
      <c r="F3908" s="70"/>
      <c r="G3908" s="70"/>
      <c r="H3908" s="93"/>
      <c r="I3908" s="85"/>
      <c r="J3908" s="85"/>
      <c r="K3908" s="131"/>
      <c r="L3908" s="60"/>
    </row>
    <row r="3909" spans="1:13" ht="16" x14ac:dyDescent="0.2">
      <c r="A3909" s="166"/>
      <c r="B3909" s="82"/>
      <c r="C3909" s="73"/>
      <c r="D3909" s="73"/>
      <c r="E3909" s="70"/>
      <c r="F3909" s="73"/>
      <c r="G3909" s="73"/>
      <c r="H3909" s="93"/>
      <c r="I3909" s="85"/>
      <c r="J3909" s="95"/>
      <c r="K3909" s="131"/>
      <c r="L3909" s="60"/>
      <c r="M3909" s="47"/>
    </row>
    <row r="3910" spans="1:13" x14ac:dyDescent="0.15">
      <c r="A3910" s="166"/>
      <c r="B3910" s="93"/>
      <c r="C3910" s="70"/>
      <c r="D3910" s="70"/>
      <c r="E3910" s="70"/>
      <c r="F3910" s="70"/>
      <c r="G3910" s="70"/>
      <c r="H3910" s="93"/>
      <c r="I3910" s="85"/>
      <c r="J3910" s="85"/>
      <c r="K3910" s="131"/>
      <c r="L3910" s="60"/>
    </row>
    <row r="3911" spans="1:13" x14ac:dyDescent="0.15">
      <c r="A3911" s="206"/>
      <c r="B3911" s="93"/>
      <c r="C3911" s="70"/>
      <c r="D3911" s="70"/>
      <c r="E3911" s="70"/>
      <c r="F3911" s="70"/>
      <c r="G3911" s="70"/>
      <c r="H3911" s="93"/>
      <c r="I3911" s="85"/>
      <c r="J3911" s="85"/>
      <c r="K3911" s="131"/>
      <c r="L3911" s="60"/>
    </row>
    <row r="3912" spans="1:13" x14ac:dyDescent="0.15">
      <c r="A3912" s="166"/>
      <c r="B3912" s="82"/>
      <c r="C3912" s="70"/>
      <c r="D3912" s="70"/>
      <c r="E3912" s="70"/>
      <c r="F3912" s="70"/>
      <c r="G3912" s="70"/>
      <c r="H3912" s="93"/>
      <c r="I3912" s="85"/>
      <c r="J3912" s="85"/>
      <c r="K3912" s="131"/>
      <c r="L3912" s="60"/>
    </row>
    <row r="3913" spans="1:13" x14ac:dyDescent="0.15">
      <c r="A3913" s="166"/>
      <c r="B3913" s="82"/>
      <c r="C3913" s="70"/>
      <c r="D3913" s="70"/>
      <c r="E3913" s="70"/>
      <c r="F3913" s="70"/>
      <c r="G3913" s="70"/>
      <c r="H3913" s="93"/>
      <c r="I3913" s="85"/>
      <c r="J3913" s="85"/>
      <c r="K3913" s="131"/>
      <c r="L3913" s="60"/>
    </row>
    <row r="3914" spans="1:13" x14ac:dyDescent="0.15">
      <c r="A3914" s="166"/>
      <c r="B3914" s="82"/>
      <c r="C3914" s="70"/>
      <c r="D3914" s="70"/>
      <c r="E3914" s="70"/>
      <c r="F3914" s="70"/>
      <c r="G3914" s="70"/>
      <c r="H3914" s="93"/>
      <c r="I3914" s="85"/>
      <c r="J3914" s="85"/>
      <c r="K3914" s="131"/>
      <c r="L3914" s="60"/>
    </row>
    <row r="3915" spans="1:13" x14ac:dyDescent="0.15">
      <c r="A3915" s="166"/>
      <c r="B3915" s="82"/>
      <c r="C3915" s="70"/>
      <c r="D3915" s="70"/>
      <c r="E3915" s="70"/>
      <c r="F3915" s="70"/>
      <c r="G3915" s="70"/>
      <c r="H3915" s="93"/>
      <c r="I3915" s="85"/>
      <c r="J3915" s="85"/>
      <c r="K3915" s="131"/>
      <c r="L3915" s="60"/>
    </row>
    <row r="3916" spans="1:13" x14ac:dyDescent="0.15">
      <c r="A3916" s="166"/>
      <c r="B3916" s="82"/>
      <c r="C3916" s="70"/>
      <c r="D3916" s="70"/>
      <c r="E3916" s="70"/>
      <c r="F3916" s="70"/>
      <c r="G3916" s="70"/>
      <c r="H3916" s="93"/>
      <c r="I3916" s="85"/>
      <c r="J3916" s="85"/>
      <c r="K3916" s="131"/>
      <c r="L3916" s="60"/>
    </row>
    <row r="3917" spans="1:13" x14ac:dyDescent="0.15">
      <c r="A3917" s="166"/>
      <c r="B3917" s="82"/>
      <c r="C3917" s="70"/>
      <c r="D3917" s="70"/>
      <c r="E3917" s="70"/>
      <c r="F3917" s="70"/>
      <c r="G3917" s="70"/>
      <c r="H3917" s="93"/>
      <c r="I3917" s="85"/>
      <c r="J3917" s="85"/>
      <c r="K3917" s="131"/>
      <c r="L3917" s="60"/>
    </row>
    <row r="3918" spans="1:13" x14ac:dyDescent="0.15">
      <c r="A3918" s="166"/>
      <c r="B3918" s="82"/>
      <c r="C3918" s="70"/>
      <c r="D3918" s="70"/>
      <c r="E3918" s="70"/>
      <c r="F3918" s="70"/>
      <c r="G3918" s="70"/>
      <c r="H3918" s="93"/>
      <c r="I3918" s="85"/>
      <c r="J3918" s="85"/>
      <c r="K3918" s="131"/>
      <c r="L3918" s="60"/>
    </row>
    <row r="3919" spans="1:13" x14ac:dyDescent="0.15">
      <c r="A3919" s="166"/>
      <c r="B3919" s="82"/>
      <c r="C3919" s="70"/>
      <c r="D3919" s="70"/>
      <c r="E3919" s="70"/>
      <c r="F3919" s="70"/>
      <c r="G3919" s="70"/>
      <c r="H3919" s="93"/>
      <c r="I3919" s="85"/>
      <c r="J3919" s="85"/>
      <c r="K3919" s="131"/>
      <c r="L3919" s="60"/>
    </row>
    <row r="3920" spans="1:13" x14ac:dyDescent="0.15">
      <c r="A3920" s="166"/>
      <c r="B3920" s="82"/>
      <c r="C3920" s="73"/>
      <c r="D3920" s="73"/>
      <c r="E3920" s="70"/>
      <c r="F3920" s="73"/>
      <c r="G3920" s="73"/>
      <c r="H3920" s="108"/>
      <c r="I3920" s="85"/>
      <c r="J3920" s="85"/>
      <c r="K3920" s="131"/>
      <c r="L3920" s="60"/>
    </row>
    <row r="3921" spans="1:18" x14ac:dyDescent="0.15">
      <c r="A3921" s="166"/>
      <c r="B3921" s="82"/>
      <c r="C3921" s="70"/>
      <c r="D3921" s="70"/>
      <c r="E3921" s="70"/>
      <c r="F3921" s="70"/>
      <c r="G3921" s="70"/>
      <c r="H3921" s="93"/>
      <c r="I3921" s="85"/>
      <c r="J3921" s="85"/>
      <c r="K3921" s="131"/>
      <c r="L3921" s="60"/>
    </row>
    <row r="3922" spans="1:18" x14ac:dyDescent="0.15">
      <c r="A3922" s="166"/>
      <c r="B3922" s="82"/>
      <c r="C3922" s="70"/>
      <c r="D3922" s="70"/>
      <c r="E3922" s="70"/>
      <c r="F3922" s="70"/>
      <c r="G3922" s="70"/>
      <c r="H3922" s="93"/>
      <c r="I3922" s="85"/>
      <c r="J3922" s="85"/>
      <c r="K3922" s="131"/>
      <c r="L3922" s="60"/>
      <c r="Q3922" s="6"/>
      <c r="R3922" s="6"/>
    </row>
    <row r="3923" spans="1:18" ht="16" x14ac:dyDescent="0.2">
      <c r="A3923" s="166"/>
      <c r="B3923" s="82"/>
      <c r="C3923" s="70"/>
      <c r="D3923" s="70"/>
      <c r="E3923" s="70"/>
      <c r="F3923" s="70"/>
      <c r="G3923" s="70"/>
      <c r="H3923" s="93"/>
      <c r="I3923" s="85"/>
      <c r="J3923" s="85"/>
      <c r="K3923" s="131"/>
      <c r="L3923" s="60"/>
      <c r="N3923" s="48"/>
      <c r="Q3923" s="6"/>
      <c r="R3923" s="6"/>
    </row>
    <row r="3924" spans="1:18" x14ac:dyDescent="0.15">
      <c r="A3924" s="166"/>
      <c r="B3924" s="82"/>
      <c r="C3924" s="70"/>
      <c r="D3924" s="70"/>
      <c r="E3924" s="70"/>
      <c r="F3924" s="70"/>
      <c r="G3924" s="70"/>
      <c r="H3924" s="93"/>
      <c r="I3924" s="85"/>
      <c r="J3924" s="85"/>
      <c r="K3924" s="131"/>
      <c r="L3924" s="60"/>
      <c r="Q3924"/>
      <c r="R3924"/>
    </row>
    <row r="3925" spans="1:18" x14ac:dyDescent="0.15">
      <c r="A3925" s="70"/>
      <c r="B3925" s="82"/>
      <c r="C3925" s="70"/>
      <c r="D3925" s="70"/>
      <c r="E3925" s="70"/>
      <c r="F3925" s="70"/>
      <c r="G3925" s="70"/>
      <c r="H3925" s="93"/>
      <c r="I3925" s="85"/>
      <c r="J3925" s="85"/>
      <c r="K3925" s="131"/>
      <c r="L3925" s="60"/>
      <c r="Q3925" s="6"/>
      <c r="R3925" s="6"/>
    </row>
    <row r="3926" spans="1:18" x14ac:dyDescent="0.15">
      <c r="A3926" s="166"/>
      <c r="B3926" s="82"/>
      <c r="C3926" s="70"/>
      <c r="D3926" s="70"/>
      <c r="E3926" s="70"/>
      <c r="F3926" s="70"/>
      <c r="G3926" s="70"/>
      <c r="H3926" s="93"/>
      <c r="I3926" s="85"/>
      <c r="J3926" s="85"/>
      <c r="K3926" s="131"/>
      <c r="L3926" s="60"/>
      <c r="Q3926" s="6"/>
      <c r="R3926" s="6"/>
    </row>
    <row r="3927" spans="1:18" x14ac:dyDescent="0.15">
      <c r="A3927" s="166"/>
      <c r="B3927" s="82"/>
      <c r="C3927" s="70"/>
      <c r="D3927" s="70"/>
      <c r="E3927" s="70"/>
      <c r="F3927" s="70"/>
      <c r="G3927" s="70"/>
      <c r="H3927" s="93"/>
      <c r="I3927" s="85"/>
      <c r="J3927" s="85"/>
      <c r="K3927" s="131"/>
      <c r="L3927" s="60"/>
    </row>
    <row r="3928" spans="1:18" x14ac:dyDescent="0.15">
      <c r="A3928" s="166"/>
      <c r="B3928" s="82"/>
      <c r="C3928" s="70"/>
      <c r="D3928" s="70"/>
      <c r="E3928" s="70"/>
      <c r="F3928" s="70"/>
      <c r="G3928" s="70"/>
      <c r="H3928" s="93"/>
      <c r="I3928" s="85"/>
      <c r="J3928" s="85"/>
      <c r="K3928" s="131"/>
      <c r="L3928" s="60"/>
    </row>
    <row r="3929" spans="1:18" x14ac:dyDescent="0.15">
      <c r="A3929" s="166"/>
      <c r="B3929" s="82"/>
      <c r="C3929" s="70"/>
      <c r="D3929" s="70"/>
      <c r="E3929" s="70"/>
      <c r="F3929" s="70"/>
      <c r="G3929" s="70"/>
      <c r="H3929" s="93"/>
      <c r="I3929" s="85"/>
      <c r="J3929" s="85"/>
      <c r="K3929" s="131"/>
      <c r="L3929" s="60"/>
    </row>
    <row r="3930" spans="1:18" x14ac:dyDescent="0.15">
      <c r="A3930" s="166"/>
      <c r="B3930" s="82"/>
      <c r="C3930" s="70"/>
      <c r="D3930" s="70"/>
      <c r="E3930" s="70"/>
      <c r="F3930" s="70"/>
      <c r="G3930" s="70"/>
      <c r="H3930" s="93"/>
      <c r="I3930" s="85"/>
      <c r="J3930" s="85"/>
      <c r="K3930" s="131"/>
      <c r="L3930" s="60"/>
    </row>
    <row r="3931" spans="1:18" x14ac:dyDescent="0.15">
      <c r="A3931" s="166"/>
      <c r="B3931" s="82"/>
      <c r="C3931" s="70"/>
      <c r="D3931" s="70"/>
      <c r="E3931" s="70"/>
      <c r="F3931" s="70"/>
      <c r="G3931" s="70"/>
      <c r="H3931" s="93"/>
      <c r="I3931" s="85"/>
      <c r="J3931" s="85"/>
      <c r="K3931" s="131"/>
      <c r="L3931" s="60"/>
    </row>
    <row r="3932" spans="1:18" x14ac:dyDescent="0.15">
      <c r="A3932" s="166"/>
      <c r="B3932" s="82"/>
      <c r="C3932" s="70"/>
      <c r="D3932" s="70"/>
      <c r="E3932" s="70"/>
      <c r="F3932" s="70"/>
      <c r="G3932" s="70"/>
      <c r="H3932" s="93"/>
      <c r="I3932" s="85"/>
      <c r="J3932" s="85"/>
      <c r="K3932" s="131"/>
      <c r="L3932" s="60"/>
    </row>
    <row r="3933" spans="1:18" x14ac:dyDescent="0.15">
      <c r="A3933" s="166"/>
      <c r="B3933" s="82"/>
      <c r="C3933" s="70"/>
      <c r="D3933" s="70"/>
      <c r="E3933" s="70"/>
      <c r="F3933" s="70"/>
      <c r="G3933" s="70"/>
      <c r="H3933" s="93"/>
      <c r="I3933" s="85"/>
      <c r="J3933" s="85"/>
      <c r="K3933" s="131"/>
      <c r="L3933" s="60"/>
    </row>
    <row r="3934" spans="1:18" x14ac:dyDescent="0.15">
      <c r="A3934" s="166"/>
      <c r="B3934" s="82"/>
      <c r="C3934" s="70"/>
      <c r="D3934" s="70"/>
      <c r="E3934" s="70"/>
      <c r="F3934" s="70"/>
      <c r="G3934" s="70"/>
      <c r="H3934" s="93"/>
      <c r="I3934" s="85"/>
      <c r="J3934" s="85"/>
      <c r="K3934" s="131"/>
      <c r="L3934" s="60"/>
    </row>
    <row r="3935" spans="1:18" x14ac:dyDescent="0.15">
      <c r="A3935" s="166"/>
      <c r="B3935" s="82"/>
      <c r="C3935" s="70"/>
      <c r="D3935" s="70"/>
      <c r="E3935" s="70"/>
      <c r="F3935" s="70"/>
      <c r="G3935" s="70"/>
      <c r="H3935" s="93"/>
      <c r="I3935" s="85"/>
      <c r="J3935" s="85"/>
      <c r="K3935" s="131"/>
      <c r="L3935" s="60"/>
    </row>
    <row r="3936" spans="1:18" x14ac:dyDescent="0.15">
      <c r="A3936" s="166"/>
      <c r="B3936" s="82"/>
      <c r="C3936" s="70"/>
      <c r="D3936" s="70"/>
      <c r="E3936" s="70"/>
      <c r="F3936" s="70"/>
      <c r="G3936" s="70"/>
      <c r="H3936" s="93"/>
      <c r="I3936" s="85"/>
      <c r="J3936" s="85"/>
      <c r="K3936" s="131"/>
      <c r="L3936" s="60"/>
    </row>
    <row r="3937" spans="1:28" ht="16" x14ac:dyDescent="0.2">
      <c r="A3937" s="166"/>
      <c r="B3937" s="93"/>
      <c r="C3937" s="70"/>
      <c r="D3937" s="70"/>
      <c r="E3937" s="70"/>
      <c r="F3937" s="70"/>
      <c r="G3937" s="70"/>
      <c r="H3937" s="93"/>
      <c r="I3937" s="85"/>
      <c r="J3937" s="85"/>
      <c r="K3937" s="131"/>
      <c r="L3937" s="60"/>
      <c r="M3937" s="33"/>
      <c r="N3937" s="48"/>
    </row>
    <row r="3938" spans="1:28" x14ac:dyDescent="0.15">
      <c r="A3938" s="166"/>
      <c r="B3938" s="82"/>
      <c r="C3938" s="70"/>
      <c r="D3938" s="70"/>
      <c r="E3938" s="70"/>
      <c r="F3938" s="70"/>
      <c r="G3938" s="70"/>
      <c r="H3938" s="93"/>
      <c r="I3938" s="85"/>
      <c r="J3938" s="85"/>
      <c r="K3938" s="131"/>
      <c r="L3938" s="60"/>
    </row>
    <row r="3939" spans="1:28" x14ac:dyDescent="0.15">
      <c r="A3939" s="166"/>
      <c r="B3939" s="82"/>
      <c r="C3939" s="70"/>
      <c r="D3939" s="70"/>
      <c r="E3939" s="70"/>
      <c r="F3939" s="70"/>
      <c r="G3939" s="70"/>
      <c r="H3939" s="93"/>
      <c r="I3939" s="85"/>
      <c r="J3939" s="85"/>
      <c r="K3939" s="131"/>
      <c r="L3939" s="60"/>
    </row>
    <row r="3940" spans="1:28" x14ac:dyDescent="0.15">
      <c r="A3940" s="166"/>
      <c r="B3940" s="82"/>
      <c r="C3940" s="70"/>
      <c r="D3940" s="70"/>
      <c r="E3940" s="70"/>
      <c r="F3940" s="70"/>
      <c r="G3940" s="70"/>
      <c r="H3940" s="93"/>
      <c r="I3940" s="85"/>
      <c r="J3940" s="85"/>
      <c r="K3940" s="131"/>
      <c r="L3940" s="60"/>
    </row>
    <row r="3941" spans="1:28" x14ac:dyDescent="0.15">
      <c r="A3941" s="166"/>
      <c r="B3941" s="82"/>
      <c r="C3941" s="70"/>
      <c r="D3941" s="70"/>
      <c r="E3941" s="70"/>
      <c r="F3941" s="70"/>
      <c r="G3941" s="70"/>
      <c r="H3941" s="93"/>
      <c r="I3941" s="85"/>
      <c r="J3941" s="85"/>
      <c r="K3941" s="131"/>
      <c r="L3941" s="60"/>
    </row>
    <row r="3942" spans="1:28" x14ac:dyDescent="0.15">
      <c r="A3942" s="166"/>
      <c r="B3942" s="82"/>
      <c r="C3942" s="70"/>
      <c r="D3942" s="70"/>
      <c r="E3942" s="70"/>
      <c r="F3942" s="70"/>
      <c r="G3942" s="70"/>
      <c r="H3942" s="93"/>
      <c r="I3942" s="85"/>
      <c r="J3942" s="85"/>
      <c r="K3942" s="131"/>
      <c r="L3942" s="60"/>
    </row>
    <row r="3943" spans="1:28" x14ac:dyDescent="0.15">
      <c r="A3943" s="166"/>
      <c r="B3943" s="82"/>
      <c r="C3943" s="70"/>
      <c r="D3943" s="70"/>
      <c r="E3943" s="70"/>
      <c r="F3943" s="70"/>
      <c r="G3943" s="70"/>
      <c r="H3943" s="93"/>
      <c r="I3943" s="85"/>
      <c r="J3943" s="85"/>
      <c r="K3943" s="131"/>
      <c r="L3943" s="60"/>
    </row>
    <row r="3944" spans="1:28" x14ac:dyDescent="0.15">
      <c r="A3944" s="166"/>
      <c r="B3944" s="82"/>
      <c r="C3944" s="70"/>
      <c r="D3944" s="70"/>
      <c r="E3944" s="70"/>
      <c r="F3944" s="70"/>
      <c r="G3944" s="70"/>
      <c r="H3944" s="93"/>
      <c r="I3944" s="85"/>
      <c r="J3944" s="85"/>
      <c r="K3944" s="131"/>
      <c r="L3944" s="60"/>
    </row>
    <row r="3945" spans="1:28" x14ac:dyDescent="0.15">
      <c r="A3945" s="166"/>
      <c r="B3945" s="82"/>
      <c r="C3945" s="70"/>
      <c r="D3945" s="70"/>
      <c r="E3945" s="70"/>
      <c r="F3945" s="70"/>
      <c r="G3945" s="70"/>
      <c r="H3945" s="93"/>
      <c r="I3945" s="85"/>
      <c r="J3945" s="85"/>
      <c r="K3945" s="131"/>
      <c r="L3945" s="60"/>
    </row>
    <row r="3946" spans="1:28" ht="16" x14ac:dyDescent="0.2">
      <c r="A3946" s="166"/>
      <c r="B3946" s="82"/>
      <c r="C3946" s="70"/>
      <c r="D3946" s="70"/>
      <c r="E3946" s="70"/>
      <c r="F3946" s="70"/>
      <c r="G3946" s="70"/>
      <c r="H3946" s="93"/>
      <c r="I3946" s="85"/>
      <c r="J3946" s="85"/>
      <c r="K3946" s="131"/>
      <c r="L3946" s="60"/>
      <c r="N3946" s="48"/>
    </row>
    <row r="3947" spans="1:28" x14ac:dyDescent="0.15">
      <c r="A3947" s="166"/>
      <c r="B3947" s="82"/>
      <c r="C3947" s="70"/>
      <c r="D3947" s="70"/>
      <c r="E3947" s="70"/>
      <c r="F3947" s="70"/>
      <c r="G3947" s="70"/>
      <c r="H3947" s="93"/>
      <c r="I3947" s="85"/>
      <c r="J3947" s="85"/>
      <c r="K3947" s="131"/>
      <c r="L3947" s="60"/>
      <c r="S3947" s="14"/>
      <c r="T3947" s="14"/>
      <c r="U3947" s="14"/>
      <c r="V3947" s="14"/>
      <c r="W3947" s="14"/>
      <c r="X3947" s="14"/>
      <c r="Y3947" s="14"/>
      <c r="Z3947" s="17"/>
      <c r="AA3947" s="15"/>
      <c r="AB3947" s="15"/>
    </row>
    <row r="3948" spans="1:28" x14ac:dyDescent="0.15">
      <c r="A3948" s="70"/>
      <c r="B3948" s="82"/>
      <c r="C3948" s="70"/>
      <c r="D3948" s="70"/>
      <c r="E3948" s="70"/>
      <c r="F3948" s="70"/>
      <c r="G3948" s="70"/>
      <c r="H3948" s="93"/>
      <c r="I3948" s="85"/>
      <c r="J3948" s="85"/>
      <c r="K3948" s="131"/>
      <c r="L3948" s="60"/>
    </row>
    <row r="3949" spans="1:28" x14ac:dyDescent="0.15">
      <c r="A3949" s="166"/>
      <c r="B3949" s="82"/>
      <c r="C3949" s="70"/>
      <c r="D3949" s="70"/>
      <c r="E3949" s="70"/>
      <c r="F3949" s="70"/>
      <c r="G3949" s="70"/>
      <c r="H3949" s="93"/>
      <c r="I3949" s="85"/>
      <c r="J3949" s="85"/>
      <c r="K3949" s="131"/>
      <c r="L3949" s="60"/>
    </row>
    <row r="3950" spans="1:28" x14ac:dyDescent="0.15">
      <c r="A3950" s="166"/>
      <c r="B3950" s="82"/>
      <c r="C3950" s="70"/>
      <c r="D3950" s="70"/>
      <c r="E3950" s="70"/>
      <c r="F3950" s="70"/>
      <c r="G3950" s="70"/>
      <c r="H3950" s="93"/>
      <c r="I3950" s="85"/>
      <c r="J3950" s="85"/>
      <c r="K3950" s="131"/>
      <c r="L3950" s="60"/>
    </row>
    <row r="3951" spans="1:28" x14ac:dyDescent="0.15">
      <c r="A3951" s="166"/>
      <c r="B3951" s="93"/>
      <c r="C3951" s="70"/>
      <c r="D3951" s="70"/>
      <c r="E3951" s="70"/>
      <c r="F3951" s="70"/>
      <c r="G3951" s="70"/>
      <c r="H3951" s="93"/>
      <c r="I3951" s="85"/>
      <c r="J3951" s="85"/>
      <c r="K3951" s="131"/>
      <c r="L3951" s="60"/>
      <c r="M3951" s="33"/>
    </row>
    <row r="3952" spans="1:28" x14ac:dyDescent="0.15">
      <c r="A3952" s="166"/>
      <c r="B3952" s="82"/>
      <c r="C3952" s="70"/>
      <c r="D3952" s="70"/>
      <c r="E3952" s="70"/>
      <c r="F3952" s="70"/>
      <c r="G3952" s="70"/>
      <c r="H3952" s="93"/>
      <c r="I3952" s="85"/>
      <c r="J3952" s="85"/>
      <c r="K3952" s="131"/>
      <c r="L3952" s="60"/>
    </row>
    <row r="3953" spans="1:28" x14ac:dyDescent="0.15">
      <c r="A3953" s="166"/>
      <c r="B3953" s="82"/>
      <c r="C3953" s="70"/>
      <c r="D3953" s="70"/>
      <c r="E3953" s="70"/>
      <c r="F3953" s="70"/>
      <c r="G3953" s="70"/>
      <c r="H3953" s="93"/>
      <c r="I3953" s="85"/>
      <c r="J3953" s="85"/>
      <c r="K3953" s="131"/>
      <c r="L3953" s="60"/>
      <c r="S3953" s="14"/>
      <c r="T3953" s="14"/>
      <c r="U3953" s="14"/>
      <c r="V3953" s="14"/>
      <c r="W3953" s="14"/>
      <c r="X3953" s="14"/>
      <c r="Y3953" s="14"/>
      <c r="Z3953" s="17"/>
      <c r="AA3953" s="15"/>
      <c r="AB3953" s="15"/>
    </row>
    <row r="3954" spans="1:28" x14ac:dyDescent="0.15">
      <c r="A3954" s="166"/>
      <c r="B3954" s="82"/>
      <c r="C3954" s="70"/>
      <c r="D3954" s="70"/>
      <c r="E3954" s="70"/>
      <c r="F3954" s="70"/>
      <c r="G3954" s="70"/>
      <c r="H3954" s="93"/>
      <c r="I3954" s="85"/>
      <c r="J3954" s="85"/>
      <c r="K3954" s="131"/>
      <c r="L3954" s="60"/>
    </row>
    <row r="3955" spans="1:28" x14ac:dyDescent="0.15">
      <c r="A3955" s="166"/>
      <c r="B3955" s="82"/>
      <c r="C3955" s="70"/>
      <c r="D3955" s="70"/>
      <c r="E3955" s="70"/>
      <c r="F3955" s="70"/>
      <c r="G3955" s="70"/>
      <c r="H3955" s="93"/>
      <c r="I3955" s="85"/>
      <c r="J3955" s="85"/>
      <c r="K3955" s="131"/>
      <c r="L3955" s="60"/>
      <c r="S3955" s="14"/>
      <c r="T3955" s="14"/>
      <c r="U3955" s="14"/>
      <c r="V3955" s="14"/>
      <c r="W3955" s="14"/>
      <c r="X3955" s="14"/>
      <c r="Y3955" s="14"/>
      <c r="Z3955" s="17"/>
      <c r="AA3955" s="15"/>
      <c r="AB3955" s="15"/>
    </row>
    <row r="3956" spans="1:28" x14ac:dyDescent="0.15">
      <c r="A3956" s="166"/>
      <c r="B3956" s="82"/>
      <c r="C3956" s="70"/>
      <c r="D3956" s="70"/>
      <c r="E3956" s="70"/>
      <c r="F3956" s="70"/>
      <c r="G3956" s="70"/>
      <c r="H3956" s="93"/>
      <c r="I3956" s="85"/>
      <c r="J3956" s="85"/>
      <c r="K3956" s="131"/>
      <c r="L3956" s="60"/>
    </row>
    <row r="3957" spans="1:28" x14ac:dyDescent="0.15">
      <c r="A3957" s="166"/>
      <c r="B3957" s="82"/>
      <c r="C3957" s="70"/>
      <c r="D3957" s="70"/>
      <c r="E3957" s="70"/>
      <c r="F3957" s="70"/>
      <c r="G3957" s="70"/>
      <c r="H3957" s="93"/>
      <c r="I3957" s="85"/>
      <c r="J3957" s="85"/>
      <c r="K3957" s="131"/>
      <c r="L3957" s="60"/>
    </row>
    <row r="3958" spans="1:28" x14ac:dyDescent="0.15">
      <c r="A3958" s="166"/>
      <c r="B3958" s="82"/>
      <c r="C3958" s="70"/>
      <c r="D3958" s="70"/>
      <c r="E3958" s="70"/>
      <c r="F3958" s="70"/>
      <c r="G3958" s="70"/>
      <c r="H3958" s="93"/>
      <c r="I3958" s="85"/>
      <c r="J3958" s="85"/>
      <c r="K3958" s="131"/>
      <c r="L3958" s="60"/>
    </row>
    <row r="3959" spans="1:28" x14ac:dyDescent="0.15">
      <c r="A3959" s="166"/>
      <c r="B3959" s="82"/>
      <c r="C3959" s="70"/>
      <c r="D3959" s="70"/>
      <c r="E3959" s="70"/>
      <c r="F3959" s="70"/>
      <c r="G3959" s="70"/>
      <c r="H3959" s="93"/>
      <c r="I3959" s="85"/>
      <c r="J3959" s="85"/>
      <c r="K3959" s="131"/>
      <c r="L3959" s="60"/>
    </row>
    <row r="3960" spans="1:28" ht="16" x14ac:dyDescent="0.2">
      <c r="A3960" s="166"/>
      <c r="B3960" s="82"/>
      <c r="C3960" s="70"/>
      <c r="D3960" s="70"/>
      <c r="E3960" s="70"/>
      <c r="F3960" s="70"/>
      <c r="G3960" s="70"/>
      <c r="H3960" s="93"/>
      <c r="I3960" s="85"/>
      <c r="J3960" s="85"/>
      <c r="K3960" s="131"/>
      <c r="L3960" s="60"/>
      <c r="N3960" s="48"/>
    </row>
    <row r="3961" spans="1:28" x14ac:dyDescent="0.15">
      <c r="A3961" s="166"/>
      <c r="B3961" s="82"/>
      <c r="C3961" s="70"/>
      <c r="D3961" s="70"/>
      <c r="E3961" s="70"/>
      <c r="F3961" s="70"/>
      <c r="G3961" s="70"/>
      <c r="H3961" s="93"/>
      <c r="I3961" s="85"/>
      <c r="J3961" s="85"/>
      <c r="K3961" s="131"/>
      <c r="L3961" s="60"/>
    </row>
    <row r="3962" spans="1:28" x14ac:dyDescent="0.15">
      <c r="A3962" s="166"/>
      <c r="B3962" s="82"/>
      <c r="C3962" s="70"/>
      <c r="D3962" s="70"/>
      <c r="E3962" s="73"/>
      <c r="F3962" s="70"/>
      <c r="G3962" s="70"/>
      <c r="H3962" s="93"/>
      <c r="I3962" s="85"/>
      <c r="J3962" s="85"/>
      <c r="K3962" s="131"/>
      <c r="L3962" s="60"/>
    </row>
    <row r="3963" spans="1:28" x14ac:dyDescent="0.15">
      <c r="A3963" s="166"/>
      <c r="B3963" s="82"/>
      <c r="C3963" s="70"/>
      <c r="D3963" s="70"/>
      <c r="E3963" s="70"/>
      <c r="F3963" s="70"/>
      <c r="G3963" s="70"/>
      <c r="H3963" s="93"/>
      <c r="I3963" s="85"/>
      <c r="J3963" s="85"/>
      <c r="K3963" s="131"/>
      <c r="L3963" s="60"/>
    </row>
    <row r="3964" spans="1:28" x14ac:dyDescent="0.15">
      <c r="A3964" s="166"/>
      <c r="B3964" s="82"/>
      <c r="C3964" s="70"/>
      <c r="D3964" s="70"/>
      <c r="E3964" s="70"/>
      <c r="F3964" s="70"/>
      <c r="G3964" s="70"/>
      <c r="H3964" s="93"/>
      <c r="I3964" s="85"/>
      <c r="J3964" s="85"/>
      <c r="K3964" s="131"/>
      <c r="L3964" s="60"/>
    </row>
    <row r="3965" spans="1:28" x14ac:dyDescent="0.15">
      <c r="A3965" s="166"/>
      <c r="B3965" s="82"/>
      <c r="C3965" s="70"/>
      <c r="D3965" s="70"/>
      <c r="E3965" s="70"/>
      <c r="F3965" s="70"/>
      <c r="G3965" s="70"/>
      <c r="H3965" s="93"/>
      <c r="I3965" s="85"/>
      <c r="J3965" s="85"/>
      <c r="K3965" s="131"/>
      <c r="L3965" s="60"/>
    </row>
    <row r="3966" spans="1:28" x14ac:dyDescent="0.15">
      <c r="A3966" s="166"/>
      <c r="B3966" s="82"/>
      <c r="C3966" s="70"/>
      <c r="D3966" s="70"/>
      <c r="E3966" s="70"/>
      <c r="F3966" s="70"/>
      <c r="G3966" s="70"/>
      <c r="H3966" s="93"/>
      <c r="I3966" s="85"/>
      <c r="J3966" s="85"/>
      <c r="K3966" s="131"/>
      <c r="L3966" s="60"/>
    </row>
    <row r="3967" spans="1:28" x14ac:dyDescent="0.15">
      <c r="A3967" s="166"/>
      <c r="B3967" s="82"/>
      <c r="C3967" s="70"/>
      <c r="D3967" s="70"/>
      <c r="E3967" s="70"/>
      <c r="F3967" s="70"/>
      <c r="G3967" s="70"/>
      <c r="H3967" s="93"/>
      <c r="I3967" s="85"/>
      <c r="J3967" s="85"/>
      <c r="K3967" s="131"/>
      <c r="L3967" s="60"/>
    </row>
    <row r="3968" spans="1:28" x14ac:dyDescent="0.15">
      <c r="A3968" s="166"/>
      <c r="B3968" s="82"/>
      <c r="C3968" s="70"/>
      <c r="D3968" s="70"/>
      <c r="E3968" s="70"/>
      <c r="F3968" s="70"/>
      <c r="G3968" s="70"/>
      <c r="H3968" s="93"/>
      <c r="I3968" s="85"/>
      <c r="J3968" s="85"/>
      <c r="K3968" s="131"/>
      <c r="L3968" s="60"/>
    </row>
    <row r="3969" spans="1:13" x14ac:dyDescent="0.15">
      <c r="A3969" s="166"/>
      <c r="B3969" s="82"/>
      <c r="C3969" s="70"/>
      <c r="D3969" s="70"/>
      <c r="E3969" s="70"/>
      <c r="F3969" s="70"/>
      <c r="G3969" s="70"/>
      <c r="H3969" s="93"/>
      <c r="I3969" s="85"/>
      <c r="J3969" s="85"/>
      <c r="K3969" s="131"/>
      <c r="L3969" s="63"/>
    </row>
    <row r="3970" spans="1:13" x14ac:dyDescent="0.15">
      <c r="A3970" s="70"/>
      <c r="B3970" s="82"/>
      <c r="C3970" s="70"/>
      <c r="D3970" s="70"/>
      <c r="E3970" s="70"/>
      <c r="F3970" s="70"/>
      <c r="G3970" s="70"/>
      <c r="H3970" s="93"/>
      <c r="I3970" s="85"/>
      <c r="J3970" s="85"/>
      <c r="K3970" s="131"/>
      <c r="L3970" s="63"/>
    </row>
    <row r="3971" spans="1:13" x14ac:dyDescent="0.15">
      <c r="A3971" s="70"/>
      <c r="B3971" s="82"/>
      <c r="C3971" s="70"/>
      <c r="D3971" s="70"/>
      <c r="E3971" s="70"/>
      <c r="F3971" s="70"/>
      <c r="G3971" s="70"/>
      <c r="H3971" s="93"/>
      <c r="I3971" s="85"/>
      <c r="J3971" s="85"/>
      <c r="K3971" s="131"/>
      <c r="L3971" s="60"/>
    </row>
    <row r="3972" spans="1:13" x14ac:dyDescent="0.15">
      <c r="A3972" s="169"/>
      <c r="B3972" s="90"/>
      <c r="C3972" s="91"/>
      <c r="D3972" s="91"/>
      <c r="E3972" s="91"/>
      <c r="F3972" s="91"/>
      <c r="G3972" s="91"/>
      <c r="H3972" s="176"/>
      <c r="I3972" s="85"/>
      <c r="J3972" s="92"/>
      <c r="K3972" s="133"/>
      <c r="L3972" s="64"/>
    </row>
    <row r="3973" spans="1:13" x14ac:dyDescent="0.15">
      <c r="A3973" s="166"/>
      <c r="B3973" s="82"/>
      <c r="C3973" s="70"/>
      <c r="D3973" s="70"/>
      <c r="E3973" s="70"/>
      <c r="F3973" s="70"/>
      <c r="G3973" s="70"/>
      <c r="H3973" s="93"/>
      <c r="I3973" s="85"/>
      <c r="J3973" s="85"/>
      <c r="K3973" s="131"/>
      <c r="L3973" s="60"/>
    </row>
    <row r="3974" spans="1:13" x14ac:dyDescent="0.15">
      <c r="A3974" s="166"/>
      <c r="B3974" s="82"/>
      <c r="C3974" s="73"/>
      <c r="D3974" s="73"/>
      <c r="E3974" s="73"/>
      <c r="F3974" s="73"/>
      <c r="G3974" s="73"/>
      <c r="H3974" s="93"/>
      <c r="I3974" s="85"/>
      <c r="J3974" s="85"/>
      <c r="K3974" s="131"/>
      <c r="L3974" s="63"/>
    </row>
    <row r="3975" spans="1:13" x14ac:dyDescent="0.15">
      <c r="A3975" s="166"/>
      <c r="B3975" s="93"/>
      <c r="C3975" s="70"/>
      <c r="D3975" s="70"/>
      <c r="E3975" s="70"/>
      <c r="F3975" s="70"/>
      <c r="G3975" s="70"/>
      <c r="H3975" s="93"/>
      <c r="I3975" s="85"/>
      <c r="J3975" s="85"/>
      <c r="K3975" s="131"/>
      <c r="L3975" s="60"/>
      <c r="M3975" s="33"/>
    </row>
    <row r="3976" spans="1:13" x14ac:dyDescent="0.15">
      <c r="A3976" s="166"/>
      <c r="B3976" s="82"/>
      <c r="C3976" s="70"/>
      <c r="D3976" s="70"/>
      <c r="E3976" s="70"/>
      <c r="F3976" s="70"/>
      <c r="G3976" s="70"/>
      <c r="H3976" s="93"/>
      <c r="I3976" s="85"/>
      <c r="J3976" s="85"/>
      <c r="K3976" s="131"/>
      <c r="L3976" s="60"/>
    </row>
    <row r="3977" spans="1:13" x14ac:dyDescent="0.15">
      <c r="A3977" s="70"/>
      <c r="B3977" s="82"/>
      <c r="C3977" s="70"/>
      <c r="D3977" s="70"/>
      <c r="E3977" s="70"/>
      <c r="F3977" s="70"/>
      <c r="G3977" s="70"/>
      <c r="H3977" s="93"/>
      <c r="I3977" s="85"/>
      <c r="J3977" s="95"/>
      <c r="K3977" s="131"/>
      <c r="L3977" s="60"/>
      <c r="M3977" s="33"/>
    </row>
    <row r="3978" spans="1:13" x14ac:dyDescent="0.15">
      <c r="A3978" s="166"/>
      <c r="B3978" s="82"/>
      <c r="C3978" s="73"/>
      <c r="D3978" s="73"/>
      <c r="E3978" s="73"/>
      <c r="F3978" s="73"/>
      <c r="G3978" s="73"/>
      <c r="H3978" s="108"/>
      <c r="I3978" s="85"/>
      <c r="J3978" s="95"/>
      <c r="K3978" s="131"/>
      <c r="L3978" s="60"/>
      <c r="M3978" s="33"/>
    </row>
    <row r="3979" spans="1:13" x14ac:dyDescent="0.15">
      <c r="A3979" s="166"/>
      <c r="B3979" s="82"/>
      <c r="C3979" s="73"/>
      <c r="D3979" s="73"/>
      <c r="E3979" s="73"/>
      <c r="F3979" s="73"/>
      <c r="G3979" s="73"/>
      <c r="H3979" s="108"/>
      <c r="I3979" s="85"/>
      <c r="J3979" s="95"/>
      <c r="K3979" s="131"/>
      <c r="L3979" s="60"/>
      <c r="M3979" s="33"/>
    </row>
    <row r="3980" spans="1:13" x14ac:dyDescent="0.15">
      <c r="A3980" s="166"/>
      <c r="B3980" s="82"/>
      <c r="C3980" s="70"/>
      <c r="D3980" s="70"/>
      <c r="E3980" s="70"/>
      <c r="F3980" s="70"/>
      <c r="G3980" s="70"/>
      <c r="H3980" s="93"/>
      <c r="I3980" s="85"/>
      <c r="J3980" s="85"/>
      <c r="K3980" s="131"/>
      <c r="L3980" s="60"/>
      <c r="M3980" s="33"/>
    </row>
    <row r="3981" spans="1:13" x14ac:dyDescent="0.15">
      <c r="A3981" s="166"/>
      <c r="B3981" s="82"/>
      <c r="C3981" s="70"/>
      <c r="D3981" s="70"/>
      <c r="E3981" s="70"/>
      <c r="F3981" s="70"/>
      <c r="G3981" s="70"/>
      <c r="H3981" s="93"/>
      <c r="I3981" s="85"/>
      <c r="J3981" s="85"/>
      <c r="K3981" s="131"/>
      <c r="L3981" s="60"/>
    </row>
    <row r="3982" spans="1:13" x14ac:dyDescent="0.15">
      <c r="A3982" s="166"/>
      <c r="B3982" s="82"/>
      <c r="C3982" s="70"/>
      <c r="D3982" s="70"/>
      <c r="E3982" s="70"/>
      <c r="F3982" s="70"/>
      <c r="G3982" s="70"/>
      <c r="H3982" s="93"/>
      <c r="I3982" s="85"/>
      <c r="J3982" s="85"/>
      <c r="K3982" s="131"/>
      <c r="L3982" s="60"/>
      <c r="M3982" s="33"/>
    </row>
    <row r="3983" spans="1:13" x14ac:dyDescent="0.15">
      <c r="A3983" s="166"/>
      <c r="B3983" s="82"/>
      <c r="C3983" s="70"/>
      <c r="D3983" s="70"/>
      <c r="E3983" s="70"/>
      <c r="F3983" s="70"/>
      <c r="G3983" s="70"/>
      <c r="H3983" s="93"/>
      <c r="I3983" s="85"/>
      <c r="J3983" s="85"/>
      <c r="K3983" s="131"/>
      <c r="L3983" s="60"/>
      <c r="M3983" s="33"/>
    </row>
    <row r="3984" spans="1:13" x14ac:dyDescent="0.15">
      <c r="A3984" s="166"/>
      <c r="B3984" s="82"/>
      <c r="C3984" s="70"/>
      <c r="D3984" s="70"/>
      <c r="E3984" s="70"/>
      <c r="F3984" s="70"/>
      <c r="G3984" s="70"/>
      <c r="H3984" s="93"/>
      <c r="I3984" s="85"/>
      <c r="J3984" s="85"/>
      <c r="K3984" s="131"/>
      <c r="L3984" s="60"/>
      <c r="M3984" s="33"/>
    </row>
    <row r="3985" spans="1:14" x14ac:dyDescent="0.15">
      <c r="A3985" s="166"/>
      <c r="B3985" s="82"/>
      <c r="C3985" s="70"/>
      <c r="D3985" s="70"/>
      <c r="E3985" s="70"/>
      <c r="F3985" s="70"/>
      <c r="G3985" s="70"/>
      <c r="H3985" s="93"/>
      <c r="I3985" s="85"/>
      <c r="J3985" s="85"/>
      <c r="K3985" s="131"/>
      <c r="L3985" s="60"/>
    </row>
    <row r="3986" spans="1:14" x14ac:dyDescent="0.15">
      <c r="A3986" s="166"/>
      <c r="B3986" s="82"/>
      <c r="C3986" s="70"/>
      <c r="D3986" s="70"/>
      <c r="E3986" s="70"/>
      <c r="F3986" s="70"/>
      <c r="G3986" s="70"/>
      <c r="H3986" s="93"/>
      <c r="I3986" s="85"/>
      <c r="J3986" s="85"/>
      <c r="K3986" s="131"/>
      <c r="L3986" s="60"/>
      <c r="M3986" s="33"/>
    </row>
    <row r="3987" spans="1:14" x14ac:dyDescent="0.15">
      <c r="A3987" s="166"/>
      <c r="B3987" s="82"/>
      <c r="C3987" s="73"/>
      <c r="D3987" s="73"/>
      <c r="E3987" s="70"/>
      <c r="F3987" s="73"/>
      <c r="G3987" s="73"/>
      <c r="H3987" s="108"/>
      <c r="I3987" s="85"/>
      <c r="J3987" s="95"/>
      <c r="K3987" s="131"/>
      <c r="L3987" s="60"/>
      <c r="M3987" s="33"/>
    </row>
    <row r="3988" spans="1:14" x14ac:dyDescent="0.15">
      <c r="A3988" s="166"/>
      <c r="B3988" s="82"/>
      <c r="C3988" s="73"/>
      <c r="D3988" s="73"/>
      <c r="E3988" s="73"/>
      <c r="F3988" s="73"/>
      <c r="G3988" s="73"/>
      <c r="H3988" s="108"/>
      <c r="I3988" s="85"/>
      <c r="J3988" s="95"/>
      <c r="K3988" s="131"/>
      <c r="L3988" s="60"/>
      <c r="M3988" s="33"/>
    </row>
    <row r="3989" spans="1:14" x14ac:dyDescent="0.15">
      <c r="A3989" s="166"/>
      <c r="B3989" s="82"/>
      <c r="C3989" s="70"/>
      <c r="D3989" s="70"/>
      <c r="E3989" s="70"/>
      <c r="F3989" s="70"/>
      <c r="G3989" s="70"/>
      <c r="H3989" s="93"/>
      <c r="I3989" s="85"/>
      <c r="J3989" s="85"/>
      <c r="K3989" s="131"/>
      <c r="L3989" s="60"/>
    </row>
    <row r="3990" spans="1:14" x14ac:dyDescent="0.15">
      <c r="A3990" s="166"/>
      <c r="B3990" s="93"/>
      <c r="C3990" s="70"/>
      <c r="D3990" s="70"/>
      <c r="E3990" s="70"/>
      <c r="F3990" s="70"/>
      <c r="G3990" s="70"/>
      <c r="H3990" s="93"/>
      <c r="I3990" s="85"/>
      <c r="J3990" s="85"/>
      <c r="K3990" s="131"/>
      <c r="L3990" s="60"/>
      <c r="M3990" s="33"/>
    </row>
    <row r="3991" spans="1:14" x14ac:dyDescent="0.15">
      <c r="A3991" s="166"/>
      <c r="B3991" s="82"/>
      <c r="C3991" s="73"/>
      <c r="D3991" s="73"/>
      <c r="E3991" s="73"/>
      <c r="F3991" s="73"/>
      <c r="G3991" s="73"/>
      <c r="H3991" s="108"/>
      <c r="I3991" s="85"/>
      <c r="J3991" s="95"/>
      <c r="K3991" s="131"/>
      <c r="L3991" s="60"/>
      <c r="M3991" s="33"/>
    </row>
    <row r="3992" spans="1:14" x14ac:dyDescent="0.15">
      <c r="A3992" s="166"/>
      <c r="B3992" s="82"/>
      <c r="C3992" s="73"/>
      <c r="D3992" s="73"/>
      <c r="E3992" s="73"/>
      <c r="F3992" s="73"/>
      <c r="G3992" s="73"/>
      <c r="H3992" s="108"/>
      <c r="I3992" s="85"/>
      <c r="J3992" s="95"/>
      <c r="K3992" s="131"/>
      <c r="L3992" s="60"/>
      <c r="M3992" s="33"/>
    </row>
    <row r="3993" spans="1:14" x14ac:dyDescent="0.15">
      <c r="A3993" s="166"/>
      <c r="B3993" s="82"/>
      <c r="C3993" s="70"/>
      <c r="D3993" s="70"/>
      <c r="E3993" s="70"/>
      <c r="F3993" s="70"/>
      <c r="G3993" s="70"/>
      <c r="H3993" s="93"/>
      <c r="I3993" s="85"/>
      <c r="J3993" s="85"/>
      <c r="K3993" s="131"/>
      <c r="L3993" s="60"/>
      <c r="M3993" s="33"/>
    </row>
    <row r="3994" spans="1:14" x14ac:dyDescent="0.15">
      <c r="A3994" s="166"/>
      <c r="B3994" s="93"/>
      <c r="C3994" s="70"/>
      <c r="D3994" s="70"/>
      <c r="E3994" s="70"/>
      <c r="F3994" s="70"/>
      <c r="G3994" s="70"/>
      <c r="H3994" s="93"/>
      <c r="I3994" s="85"/>
      <c r="J3994" s="85"/>
      <c r="K3994" s="131"/>
      <c r="L3994" s="60"/>
      <c r="M3994" s="33"/>
    </row>
    <row r="3995" spans="1:14" ht="16" x14ac:dyDescent="0.2">
      <c r="A3995" s="166"/>
      <c r="B3995" s="82"/>
      <c r="C3995" s="70"/>
      <c r="D3995" s="70"/>
      <c r="E3995" s="70"/>
      <c r="F3995" s="70"/>
      <c r="G3995" s="70"/>
      <c r="H3995" s="93"/>
      <c r="I3995" s="85"/>
      <c r="J3995" s="85"/>
      <c r="K3995" s="131"/>
      <c r="L3995" s="60"/>
      <c r="N3995" s="48"/>
    </row>
    <row r="3996" spans="1:14" x14ac:dyDescent="0.15">
      <c r="A3996" s="166"/>
      <c r="B3996" s="82"/>
      <c r="C3996" s="70"/>
      <c r="D3996" s="70"/>
      <c r="E3996" s="70"/>
      <c r="F3996" s="70"/>
      <c r="G3996" s="70"/>
      <c r="H3996" s="93"/>
      <c r="I3996" s="85"/>
      <c r="J3996" s="85"/>
      <c r="K3996" s="131"/>
      <c r="L3996" s="60"/>
    </row>
    <row r="3997" spans="1:14" x14ac:dyDescent="0.15">
      <c r="A3997" s="166"/>
      <c r="B3997" s="93"/>
      <c r="C3997" s="70"/>
      <c r="D3997" s="70"/>
      <c r="E3997" s="70"/>
      <c r="F3997" s="70"/>
      <c r="G3997" s="70"/>
      <c r="H3997" s="93"/>
      <c r="I3997" s="85"/>
      <c r="J3997" s="99"/>
      <c r="K3997" s="131"/>
      <c r="L3997" s="60"/>
      <c r="M3997" s="33"/>
    </row>
    <row r="3998" spans="1:14" x14ac:dyDescent="0.15">
      <c r="A3998" s="166"/>
      <c r="B3998" s="93"/>
      <c r="C3998" s="70"/>
      <c r="D3998" s="70"/>
      <c r="E3998" s="70"/>
      <c r="F3998" s="70"/>
      <c r="G3998" s="70"/>
      <c r="H3998" s="93"/>
      <c r="I3998" s="85"/>
      <c r="J3998" s="85"/>
      <c r="K3998" s="131"/>
      <c r="L3998" s="60"/>
      <c r="M3998" s="33"/>
    </row>
    <row r="3999" spans="1:14" ht="16" x14ac:dyDescent="0.2">
      <c r="A3999" s="166"/>
      <c r="B3999" s="93"/>
      <c r="C3999" s="73"/>
      <c r="D3999" s="73"/>
      <c r="E3999" s="73"/>
      <c r="F3999" s="73"/>
      <c r="G3999" s="73"/>
      <c r="H3999" s="108"/>
      <c r="I3999" s="85"/>
      <c r="J3999" s="95"/>
      <c r="K3999" s="131"/>
      <c r="L3999" s="60"/>
      <c r="M3999" s="47"/>
    </row>
    <row r="4000" spans="1:14" x14ac:dyDescent="0.15">
      <c r="A4000" s="166"/>
      <c r="B4000" s="93"/>
      <c r="C4000" s="70"/>
      <c r="D4000" s="70"/>
      <c r="E4000" s="70"/>
      <c r="F4000" s="70"/>
      <c r="G4000" s="70"/>
      <c r="H4000" s="93"/>
      <c r="I4000" s="85"/>
      <c r="J4000" s="85"/>
      <c r="K4000" s="131"/>
      <c r="L4000" s="60"/>
    </row>
    <row r="4001" spans="1:28" x14ac:dyDescent="0.15">
      <c r="A4001" s="166"/>
      <c r="B4001" s="82"/>
      <c r="C4001" s="70"/>
      <c r="D4001" s="70"/>
      <c r="E4001" s="70"/>
      <c r="F4001" s="70"/>
      <c r="G4001" s="70"/>
      <c r="H4001" s="93"/>
      <c r="I4001" s="85"/>
      <c r="J4001" s="85"/>
      <c r="K4001" s="131"/>
      <c r="L4001" s="60"/>
      <c r="M4001" s="33"/>
    </row>
    <row r="4002" spans="1:28" x14ac:dyDescent="0.15">
      <c r="A4002" s="166"/>
      <c r="B4002" s="82"/>
      <c r="C4002" s="70"/>
      <c r="D4002" s="70"/>
      <c r="E4002" s="70"/>
      <c r="F4002" s="70"/>
      <c r="G4002" s="70"/>
      <c r="H4002" s="93"/>
      <c r="I4002" s="85"/>
      <c r="J4002" s="85"/>
      <c r="K4002" s="131"/>
      <c r="L4002" s="60"/>
      <c r="M4002" s="33"/>
    </row>
    <row r="4003" spans="1:28" x14ac:dyDescent="0.15">
      <c r="A4003" s="166"/>
      <c r="B4003" s="93"/>
      <c r="C4003" s="73"/>
      <c r="D4003" s="73"/>
      <c r="E4003" s="73"/>
      <c r="F4003" s="73"/>
      <c r="G4003" s="73"/>
      <c r="H4003" s="108"/>
      <c r="I4003" s="85"/>
      <c r="J4003" s="95"/>
      <c r="K4003" s="131"/>
      <c r="L4003" s="60"/>
      <c r="M4003" s="33"/>
    </row>
    <row r="4004" spans="1:28" x14ac:dyDescent="0.15">
      <c r="A4004" s="166"/>
      <c r="B4004" s="93"/>
      <c r="C4004" s="70"/>
      <c r="D4004" s="70"/>
      <c r="E4004" s="70"/>
      <c r="F4004" s="70"/>
      <c r="G4004" s="70"/>
      <c r="H4004" s="93"/>
      <c r="I4004" s="85"/>
      <c r="J4004" s="85"/>
      <c r="K4004" s="134"/>
      <c r="L4004" s="63"/>
      <c r="M4004" s="33"/>
    </row>
    <row r="4005" spans="1:28" x14ac:dyDescent="0.15">
      <c r="A4005" s="166"/>
      <c r="B4005" s="93"/>
      <c r="C4005" s="70"/>
      <c r="D4005" s="70"/>
      <c r="E4005" s="70"/>
      <c r="F4005" s="70"/>
      <c r="G4005" s="70"/>
      <c r="H4005" s="93"/>
      <c r="I4005" s="85"/>
      <c r="J4005" s="85"/>
      <c r="K4005" s="131"/>
      <c r="L4005" s="60"/>
      <c r="M4005" s="33"/>
    </row>
    <row r="4006" spans="1:28" x14ac:dyDescent="0.15">
      <c r="A4006" s="166"/>
      <c r="B4006" s="93"/>
      <c r="C4006" s="70"/>
      <c r="D4006" s="70"/>
      <c r="E4006" s="70"/>
      <c r="F4006" s="70"/>
      <c r="G4006" s="70"/>
      <c r="H4006" s="93"/>
      <c r="I4006" s="85"/>
      <c r="J4006" s="85"/>
      <c r="K4006" s="131"/>
      <c r="L4006" s="60"/>
      <c r="M4006" s="33"/>
    </row>
    <row r="4007" spans="1:28" x14ac:dyDescent="0.15">
      <c r="A4007" s="166"/>
      <c r="B4007" s="93"/>
      <c r="C4007" s="70"/>
      <c r="D4007" s="70"/>
      <c r="E4007" s="70"/>
      <c r="F4007" s="70"/>
      <c r="G4007" s="70"/>
      <c r="H4007" s="93"/>
      <c r="I4007" s="85"/>
      <c r="J4007" s="85"/>
      <c r="K4007" s="131"/>
      <c r="L4007" s="60"/>
    </row>
    <row r="4008" spans="1:28" x14ac:dyDescent="0.15">
      <c r="A4008" s="166"/>
      <c r="B4008" s="93"/>
      <c r="C4008" s="70"/>
      <c r="D4008" s="70"/>
      <c r="E4008" s="73"/>
      <c r="F4008" s="70"/>
      <c r="G4008" s="70"/>
      <c r="H4008" s="93"/>
      <c r="I4008" s="85"/>
      <c r="J4008" s="85"/>
      <c r="K4008" s="131"/>
      <c r="L4008" s="60"/>
      <c r="M4008" s="33"/>
    </row>
    <row r="4009" spans="1:28" x14ac:dyDescent="0.15">
      <c r="A4009" s="166"/>
      <c r="B4009" s="93"/>
      <c r="C4009" s="70"/>
      <c r="D4009" s="70"/>
      <c r="E4009" s="73"/>
      <c r="F4009" s="70"/>
      <c r="G4009" s="70"/>
      <c r="H4009" s="93"/>
      <c r="I4009" s="85"/>
      <c r="J4009" s="85"/>
      <c r="K4009" s="131"/>
      <c r="L4009" s="60"/>
      <c r="M4009" s="33"/>
    </row>
    <row r="4010" spans="1:28" ht="16" x14ac:dyDescent="0.2">
      <c r="A4010" s="166"/>
      <c r="B4010" s="93"/>
      <c r="C4010" s="70"/>
      <c r="D4010" s="70"/>
      <c r="E4010" s="70"/>
      <c r="F4010" s="70"/>
      <c r="G4010" s="70"/>
      <c r="H4010" s="93"/>
      <c r="I4010" s="85"/>
      <c r="J4010" s="85"/>
      <c r="K4010" s="131"/>
      <c r="L4010" s="60"/>
      <c r="M4010" s="47"/>
    </row>
    <row r="4011" spans="1:28" x14ac:dyDescent="0.15">
      <c r="A4011" s="70"/>
      <c r="B4011" s="93"/>
      <c r="C4011" s="70"/>
      <c r="D4011" s="70"/>
      <c r="E4011" s="70"/>
      <c r="F4011" s="70"/>
      <c r="G4011" s="70"/>
      <c r="H4011" s="93"/>
      <c r="I4011" s="85"/>
      <c r="J4011" s="85"/>
      <c r="K4011" s="131"/>
      <c r="L4011" s="60"/>
      <c r="M4011" s="33"/>
    </row>
    <row r="4012" spans="1:28" x14ac:dyDescent="0.15">
      <c r="A4012" s="166"/>
      <c r="B4012" s="93"/>
      <c r="C4012" s="70"/>
      <c r="D4012" s="70"/>
      <c r="E4012" s="70"/>
      <c r="F4012" s="70"/>
      <c r="G4012" s="70"/>
      <c r="H4012" s="93"/>
      <c r="I4012" s="85"/>
      <c r="J4012" s="85"/>
      <c r="K4012" s="131"/>
      <c r="L4012" s="60"/>
    </row>
    <row r="4013" spans="1:28" x14ac:dyDescent="0.15">
      <c r="A4013" s="166"/>
      <c r="B4013" s="93"/>
      <c r="C4013" s="70"/>
      <c r="D4013" s="70"/>
      <c r="E4013" s="70"/>
      <c r="F4013" s="70"/>
      <c r="G4013" s="70"/>
      <c r="H4013" s="93"/>
      <c r="I4013" s="85"/>
      <c r="J4013" s="85"/>
      <c r="K4013" s="131"/>
      <c r="L4013" s="60"/>
      <c r="M4013" s="33"/>
    </row>
    <row r="4014" spans="1:28" x14ac:dyDescent="0.15">
      <c r="A4014" s="166"/>
      <c r="B4014" s="93"/>
      <c r="C4014" s="70"/>
      <c r="D4014" s="70"/>
      <c r="E4014" s="70"/>
      <c r="F4014" s="70"/>
      <c r="G4014" s="70"/>
      <c r="H4014" s="93"/>
      <c r="I4014" s="85"/>
      <c r="J4014" s="85"/>
      <c r="K4014" s="131"/>
      <c r="L4014" s="60"/>
      <c r="M4014" s="33"/>
      <c r="Z4014" s="3"/>
      <c r="AA4014" s="3"/>
      <c r="AB4014" s="4"/>
    </row>
    <row r="4015" spans="1:28" x14ac:dyDescent="0.15">
      <c r="A4015" s="166"/>
      <c r="B4015" s="82"/>
      <c r="C4015" s="70"/>
      <c r="D4015" s="70"/>
      <c r="E4015" s="70"/>
      <c r="F4015" s="70"/>
      <c r="G4015" s="70"/>
      <c r="H4015" s="93"/>
      <c r="I4015" s="85"/>
      <c r="J4015" s="85"/>
      <c r="K4015" s="131"/>
      <c r="L4015" s="60"/>
      <c r="Z4015" s="3"/>
      <c r="AA4015" s="3"/>
      <c r="AB4015" s="4"/>
    </row>
    <row r="4016" spans="1:28" x14ac:dyDescent="0.15">
      <c r="A4016" s="166"/>
      <c r="B4016" s="93"/>
      <c r="C4016" s="70"/>
      <c r="D4016" s="70"/>
      <c r="E4016" s="70"/>
      <c r="F4016" s="70"/>
      <c r="G4016" s="70"/>
      <c r="H4016" s="93"/>
      <c r="I4016" s="85"/>
      <c r="J4016" s="85"/>
      <c r="K4016" s="131"/>
      <c r="L4016" s="60"/>
      <c r="M4016" s="33"/>
      <c r="Z4016" s="3"/>
      <c r="AA4016" s="3"/>
      <c r="AB4016" s="4"/>
    </row>
    <row r="4017" spans="1:28" x14ac:dyDescent="0.15">
      <c r="A4017" s="166"/>
      <c r="B4017" s="82"/>
      <c r="C4017" s="70"/>
      <c r="D4017" s="70"/>
      <c r="E4017" s="70"/>
      <c r="F4017" s="70"/>
      <c r="G4017" s="70"/>
      <c r="H4017" s="93"/>
      <c r="I4017" s="85"/>
      <c r="J4017" s="85"/>
      <c r="K4017" s="131"/>
      <c r="L4017" s="60"/>
      <c r="Z4017" s="3"/>
      <c r="AA4017" s="3"/>
      <c r="AB4017" s="4"/>
    </row>
    <row r="4018" spans="1:28" x14ac:dyDescent="0.15">
      <c r="A4018" s="166"/>
      <c r="B4018" s="93"/>
      <c r="C4018" s="70"/>
      <c r="D4018" s="70"/>
      <c r="E4018" s="70"/>
      <c r="F4018" s="70"/>
      <c r="G4018" s="70"/>
      <c r="H4018" s="93"/>
      <c r="I4018" s="85"/>
      <c r="J4018" s="85"/>
      <c r="K4018" s="131"/>
      <c r="L4018" s="60"/>
      <c r="M4018" s="33"/>
      <c r="Z4018" s="3"/>
      <c r="AA4018" s="3"/>
      <c r="AB4018" s="4"/>
    </row>
    <row r="4019" spans="1:28" ht="16" x14ac:dyDescent="0.2">
      <c r="A4019" s="166"/>
      <c r="B4019" s="93"/>
      <c r="C4019" s="70"/>
      <c r="D4019" s="70"/>
      <c r="E4019" s="70"/>
      <c r="F4019" s="70"/>
      <c r="G4019" s="70"/>
      <c r="H4019" s="93"/>
      <c r="I4019" s="85"/>
      <c r="J4019" s="85"/>
      <c r="K4019" s="131"/>
      <c r="L4019" s="60"/>
      <c r="M4019" s="47"/>
      <c r="N4019" s="32"/>
      <c r="Z4019" s="3"/>
      <c r="AA4019" s="3"/>
      <c r="AB4019" s="4"/>
    </row>
    <row r="4020" spans="1:28" x14ac:dyDescent="0.15">
      <c r="A4020" s="166"/>
      <c r="B4020" s="93"/>
      <c r="C4020" s="70"/>
      <c r="D4020" s="70"/>
      <c r="E4020" s="70"/>
      <c r="F4020" s="70"/>
      <c r="G4020" s="70"/>
      <c r="H4020" s="93"/>
      <c r="I4020" s="85"/>
      <c r="J4020" s="85"/>
      <c r="K4020" s="131"/>
      <c r="L4020" s="60"/>
      <c r="M4020" s="33"/>
      <c r="Z4020" s="3"/>
      <c r="AA4020" s="3"/>
      <c r="AB4020" s="4"/>
    </row>
    <row r="4021" spans="1:28" x14ac:dyDescent="0.15">
      <c r="A4021" s="166"/>
      <c r="B4021" s="93"/>
      <c r="C4021" s="70"/>
      <c r="D4021" s="70"/>
      <c r="E4021" s="70"/>
      <c r="F4021" s="70"/>
      <c r="G4021" s="70"/>
      <c r="H4021" s="93"/>
      <c r="I4021" s="85"/>
      <c r="J4021" s="85"/>
      <c r="K4021" s="131"/>
      <c r="L4021" s="60"/>
      <c r="M4021" s="33"/>
      <c r="Z4021" s="3"/>
      <c r="AA4021" s="3"/>
      <c r="AB4021" s="4"/>
    </row>
    <row r="4022" spans="1:28" x14ac:dyDescent="0.15">
      <c r="A4022" s="166"/>
      <c r="B4022" s="93"/>
      <c r="C4022" s="70"/>
      <c r="D4022" s="70"/>
      <c r="E4022" s="70"/>
      <c r="F4022" s="70"/>
      <c r="G4022" s="70"/>
      <c r="H4022" s="93"/>
      <c r="I4022" s="85"/>
      <c r="J4022" s="114"/>
      <c r="K4022" s="131"/>
      <c r="L4022" s="60"/>
      <c r="M4022" s="33"/>
      <c r="Z4022" s="3"/>
      <c r="AA4022" s="3"/>
      <c r="AB4022" s="4"/>
    </row>
    <row r="4023" spans="1:28" x14ac:dyDescent="0.15">
      <c r="A4023" s="166"/>
      <c r="B4023" s="82"/>
      <c r="C4023" s="70"/>
      <c r="D4023" s="70"/>
      <c r="E4023" s="70"/>
      <c r="F4023" s="70"/>
      <c r="G4023" s="70"/>
      <c r="H4023" s="93"/>
      <c r="I4023" s="85"/>
      <c r="J4023" s="85"/>
      <c r="K4023" s="131"/>
      <c r="L4023" s="60"/>
      <c r="Z4023" s="3"/>
      <c r="AA4023" s="3"/>
      <c r="AB4023" s="4"/>
    </row>
    <row r="4024" spans="1:28" x14ac:dyDescent="0.15">
      <c r="A4024" s="166"/>
      <c r="B4024" s="82"/>
      <c r="C4024" s="70"/>
      <c r="D4024" s="70"/>
      <c r="E4024" s="70"/>
      <c r="F4024" s="70"/>
      <c r="G4024" s="70"/>
      <c r="H4024" s="93"/>
      <c r="I4024" s="85"/>
      <c r="J4024" s="85"/>
      <c r="K4024" s="131"/>
      <c r="L4024" s="60"/>
      <c r="M4024" s="33"/>
      <c r="Z4024" s="3"/>
      <c r="AA4024" s="3"/>
      <c r="AB4024" s="4"/>
    </row>
    <row r="4025" spans="1:28" x14ac:dyDescent="0.15">
      <c r="A4025" s="166"/>
      <c r="B4025" s="82"/>
      <c r="C4025" s="70"/>
      <c r="D4025" s="70"/>
      <c r="E4025" s="70"/>
      <c r="F4025" s="70"/>
      <c r="G4025" s="70"/>
      <c r="H4025" s="93"/>
      <c r="I4025" s="85"/>
      <c r="J4025" s="85"/>
      <c r="K4025" s="131"/>
      <c r="L4025" s="60"/>
      <c r="Z4025" s="3"/>
      <c r="AA4025" s="3"/>
      <c r="AB4025" s="4"/>
    </row>
    <row r="4026" spans="1:28" x14ac:dyDescent="0.15">
      <c r="A4026" s="166"/>
      <c r="B4026" s="96"/>
      <c r="C4026" s="70"/>
      <c r="D4026" s="70"/>
      <c r="E4026" s="70"/>
      <c r="F4026" s="70"/>
      <c r="G4026" s="70"/>
      <c r="H4026" s="93"/>
      <c r="I4026" s="85"/>
      <c r="J4026" s="85"/>
      <c r="K4026" s="131"/>
      <c r="L4026" s="60"/>
      <c r="M4026" s="33"/>
      <c r="Z4026" s="3"/>
      <c r="AA4026" s="3"/>
      <c r="AB4026" s="4"/>
    </row>
    <row r="4027" spans="1:28" x14ac:dyDescent="0.15">
      <c r="A4027" s="166"/>
      <c r="B4027" s="82"/>
      <c r="C4027" s="70"/>
      <c r="D4027" s="70"/>
      <c r="E4027" s="70"/>
      <c r="F4027" s="70"/>
      <c r="G4027" s="70"/>
      <c r="H4027" s="93"/>
      <c r="I4027" s="85"/>
      <c r="J4027" s="85"/>
      <c r="K4027" s="131"/>
      <c r="L4027" s="60"/>
      <c r="Z4027" s="3"/>
      <c r="AA4027" s="3"/>
      <c r="AB4027" s="4"/>
    </row>
    <row r="4028" spans="1:28" x14ac:dyDescent="0.15">
      <c r="A4028" s="170"/>
      <c r="B4028" s="82"/>
      <c r="C4028" s="83"/>
      <c r="D4028" s="83"/>
      <c r="E4028" s="83"/>
      <c r="F4028" s="83"/>
      <c r="G4028" s="83"/>
      <c r="H4028" s="82"/>
      <c r="I4028" s="85"/>
      <c r="J4028" s="84"/>
      <c r="K4028" s="136"/>
      <c r="L4028" s="69"/>
      <c r="M4028" s="31"/>
      <c r="Z4028" s="3"/>
      <c r="AA4028" s="3"/>
      <c r="AB4028" s="4"/>
    </row>
    <row r="4029" spans="1:28" ht="16" x14ac:dyDescent="0.2">
      <c r="A4029" s="166"/>
      <c r="B4029" s="82"/>
      <c r="C4029" s="70"/>
      <c r="D4029" s="70"/>
      <c r="E4029" s="73"/>
      <c r="F4029" s="70"/>
      <c r="G4029" s="70"/>
      <c r="H4029" s="93"/>
      <c r="I4029" s="85"/>
      <c r="J4029" s="85"/>
      <c r="K4029" s="131"/>
      <c r="L4029" s="60"/>
      <c r="M4029" s="47"/>
      <c r="Z4029" s="3"/>
      <c r="AA4029" s="3"/>
      <c r="AB4029" s="4"/>
    </row>
    <row r="4030" spans="1:28" x14ac:dyDescent="0.15">
      <c r="A4030" s="166"/>
      <c r="B4030" s="82"/>
      <c r="C4030" s="70"/>
      <c r="D4030" s="70"/>
      <c r="E4030" s="70"/>
      <c r="F4030" s="70"/>
      <c r="G4030" s="70"/>
      <c r="H4030" s="93"/>
      <c r="I4030" s="85"/>
      <c r="J4030" s="85"/>
      <c r="K4030" s="131"/>
      <c r="L4030" s="60"/>
      <c r="N4030" s="49"/>
      <c r="Z4030" s="3"/>
      <c r="AA4030" s="3"/>
      <c r="AB4030" s="4"/>
    </row>
    <row r="4031" spans="1:28" x14ac:dyDescent="0.15">
      <c r="A4031" s="166"/>
      <c r="B4031" s="82"/>
      <c r="C4031" s="70"/>
      <c r="D4031" s="70"/>
      <c r="E4031" s="70"/>
      <c r="F4031" s="70"/>
      <c r="G4031" s="70"/>
      <c r="H4031" s="93"/>
      <c r="I4031" s="85"/>
      <c r="J4031" s="85"/>
      <c r="K4031" s="131"/>
      <c r="L4031" s="60"/>
      <c r="M4031" s="33"/>
      <c r="Z4031" s="3"/>
      <c r="AA4031" s="3"/>
      <c r="AB4031" s="4"/>
    </row>
    <row r="4032" spans="1:28" x14ac:dyDescent="0.15">
      <c r="A4032" s="166"/>
      <c r="B4032" s="82"/>
      <c r="C4032" s="70"/>
      <c r="D4032" s="70"/>
      <c r="E4032" s="70"/>
      <c r="F4032" s="70"/>
      <c r="G4032" s="70"/>
      <c r="H4032" s="93"/>
      <c r="I4032" s="85"/>
      <c r="J4032" s="85"/>
      <c r="K4032" s="131"/>
      <c r="L4032" s="60"/>
      <c r="M4032" s="33"/>
      <c r="Z4032" s="3"/>
      <c r="AA4032" s="3"/>
      <c r="AB4032" s="4"/>
    </row>
    <row r="4033" spans="1:28" x14ac:dyDescent="0.15">
      <c r="A4033" s="166"/>
      <c r="B4033" s="82"/>
      <c r="C4033" s="70"/>
      <c r="D4033" s="70"/>
      <c r="E4033" s="70"/>
      <c r="F4033" s="70"/>
      <c r="G4033" s="70"/>
      <c r="H4033" s="93"/>
      <c r="I4033" s="85"/>
      <c r="J4033" s="85"/>
      <c r="K4033" s="131"/>
      <c r="L4033" s="60"/>
      <c r="M4033" s="33"/>
      <c r="Z4033" s="3"/>
      <c r="AA4033" s="3"/>
      <c r="AB4033" s="4"/>
    </row>
    <row r="4034" spans="1:28" x14ac:dyDescent="0.15">
      <c r="A4034" s="166"/>
      <c r="B4034" s="82"/>
      <c r="C4034" s="70"/>
      <c r="D4034" s="70"/>
      <c r="E4034" s="70"/>
      <c r="F4034" s="70"/>
      <c r="G4034" s="70"/>
      <c r="H4034" s="93"/>
      <c r="I4034" s="85"/>
      <c r="J4034" s="85"/>
      <c r="K4034" s="131"/>
      <c r="L4034" s="60"/>
      <c r="M4034" s="33"/>
      <c r="Z4034" s="3"/>
      <c r="AA4034" s="3"/>
      <c r="AB4034" s="4"/>
    </row>
    <row r="4035" spans="1:28" x14ac:dyDescent="0.15">
      <c r="A4035" s="166"/>
      <c r="B4035" s="82"/>
      <c r="C4035" s="70"/>
      <c r="D4035" s="70"/>
      <c r="E4035" s="70"/>
      <c r="F4035" s="70"/>
      <c r="G4035" s="70"/>
      <c r="H4035" s="93"/>
      <c r="I4035" s="85"/>
      <c r="J4035" s="85"/>
      <c r="K4035" s="131"/>
      <c r="L4035" s="60"/>
      <c r="M4035" s="33"/>
      <c r="Z4035" s="3"/>
      <c r="AA4035" s="3"/>
      <c r="AB4035" s="4"/>
    </row>
    <row r="4036" spans="1:28" x14ac:dyDescent="0.15">
      <c r="A4036" s="166"/>
      <c r="B4036" s="82"/>
      <c r="C4036" s="70"/>
      <c r="D4036" s="70"/>
      <c r="E4036" s="70"/>
      <c r="F4036" s="70"/>
      <c r="G4036" s="70"/>
      <c r="H4036" s="93"/>
      <c r="I4036" s="85"/>
      <c r="J4036" s="85"/>
      <c r="K4036" s="131"/>
      <c r="L4036" s="60"/>
      <c r="M4036" s="33"/>
      <c r="Z4036" s="3"/>
      <c r="AA4036" s="3"/>
      <c r="AB4036" s="4"/>
    </row>
    <row r="4037" spans="1:28" x14ac:dyDescent="0.15">
      <c r="A4037" s="166"/>
      <c r="B4037" s="82"/>
      <c r="C4037" s="73"/>
      <c r="D4037" s="73"/>
      <c r="E4037" s="73"/>
      <c r="F4037" s="73"/>
      <c r="G4037" s="73"/>
      <c r="H4037" s="108"/>
      <c r="I4037" s="85"/>
      <c r="J4037" s="95"/>
      <c r="K4037" s="131"/>
      <c r="L4037" s="60"/>
      <c r="M4037" s="33"/>
      <c r="Z4037" s="3"/>
      <c r="AA4037" s="3"/>
      <c r="AB4037" s="4"/>
    </row>
    <row r="4038" spans="1:28" x14ac:dyDescent="0.15">
      <c r="A4038" s="166"/>
      <c r="B4038" s="82"/>
      <c r="C4038" s="70"/>
      <c r="D4038" s="70"/>
      <c r="E4038" s="70"/>
      <c r="F4038" s="70"/>
      <c r="G4038" s="70"/>
      <c r="H4038" s="93"/>
      <c r="I4038" s="85"/>
      <c r="J4038" s="85"/>
      <c r="K4038" s="131"/>
      <c r="L4038" s="60"/>
      <c r="M4038" s="33"/>
      <c r="O4038" s="35"/>
      <c r="Z4038" s="3"/>
      <c r="AA4038" s="3"/>
      <c r="AB4038" s="4"/>
    </row>
    <row r="4039" spans="1:28" x14ac:dyDescent="0.15">
      <c r="A4039" s="166"/>
      <c r="B4039" s="82"/>
      <c r="C4039" s="70"/>
      <c r="D4039" s="70"/>
      <c r="E4039" s="70"/>
      <c r="F4039" s="70"/>
      <c r="G4039" s="70"/>
      <c r="H4039" s="93"/>
      <c r="I4039" s="85"/>
      <c r="J4039" s="85"/>
      <c r="K4039" s="131"/>
      <c r="L4039" s="60"/>
      <c r="M4039" s="33"/>
      <c r="Z4039" s="3"/>
      <c r="AA4039" s="3"/>
      <c r="AB4039" s="4"/>
    </row>
    <row r="4040" spans="1:28" x14ac:dyDescent="0.15">
      <c r="A4040" s="166"/>
      <c r="B4040" s="82"/>
      <c r="C4040" s="70"/>
      <c r="D4040" s="70"/>
      <c r="E4040" s="70"/>
      <c r="F4040" s="70"/>
      <c r="G4040" s="70"/>
      <c r="H4040" s="93"/>
      <c r="I4040" s="85"/>
      <c r="J4040" s="85"/>
      <c r="K4040" s="131"/>
      <c r="L4040" s="60"/>
      <c r="M4040" s="33"/>
      <c r="Z4040" s="3"/>
      <c r="AA4040" s="3"/>
      <c r="AB4040" s="4"/>
    </row>
    <row r="4041" spans="1:28" x14ac:dyDescent="0.15">
      <c r="A4041" s="166"/>
      <c r="B4041" s="82"/>
      <c r="C4041" s="70"/>
      <c r="D4041" s="70"/>
      <c r="E4041" s="70"/>
      <c r="F4041" s="70"/>
      <c r="G4041" s="70"/>
      <c r="H4041" s="93"/>
      <c r="I4041" s="85"/>
      <c r="J4041" s="85"/>
      <c r="K4041" s="131"/>
      <c r="L4041" s="60"/>
      <c r="Z4041" s="3"/>
      <c r="AA4041" s="3"/>
      <c r="AB4041" s="4"/>
    </row>
    <row r="4042" spans="1:28" x14ac:dyDescent="0.15">
      <c r="A4042" s="166"/>
      <c r="B4042" s="82"/>
      <c r="C4042" s="70"/>
      <c r="D4042" s="70"/>
      <c r="E4042" s="70"/>
      <c r="F4042" s="70"/>
      <c r="G4042" s="70"/>
      <c r="H4042" s="93"/>
      <c r="I4042" s="85"/>
      <c r="J4042" s="85"/>
      <c r="K4042" s="131"/>
      <c r="L4042" s="60"/>
      <c r="M4042" s="33"/>
      <c r="Z4042" s="3"/>
      <c r="AA4042" s="3"/>
      <c r="AB4042" s="4"/>
    </row>
    <row r="4043" spans="1:28" x14ac:dyDescent="0.15">
      <c r="A4043" s="166"/>
      <c r="B4043" s="82"/>
      <c r="C4043" s="70"/>
      <c r="D4043" s="70"/>
      <c r="E4043" s="70"/>
      <c r="F4043" s="70"/>
      <c r="G4043" s="70"/>
      <c r="H4043" s="93"/>
      <c r="I4043" s="85"/>
      <c r="J4043" s="85"/>
      <c r="K4043" s="131"/>
      <c r="L4043" s="60"/>
      <c r="M4043" s="33"/>
      <c r="Z4043" s="3"/>
      <c r="AA4043" s="3"/>
      <c r="AB4043" s="4"/>
    </row>
    <row r="4044" spans="1:28" x14ac:dyDescent="0.15">
      <c r="A4044" s="166"/>
      <c r="B4044" s="82"/>
      <c r="C4044" s="70"/>
      <c r="D4044" s="70"/>
      <c r="E4044" s="70"/>
      <c r="F4044" s="70"/>
      <c r="G4044" s="70"/>
      <c r="H4044" s="93"/>
      <c r="I4044" s="85"/>
      <c r="J4044" s="85"/>
      <c r="K4044" s="131"/>
      <c r="L4044" s="60"/>
      <c r="Z4044" s="3"/>
      <c r="AA4044" s="3"/>
      <c r="AB4044" s="4"/>
    </row>
    <row r="4045" spans="1:28" x14ac:dyDescent="0.15">
      <c r="A4045" s="166"/>
      <c r="B4045" s="82"/>
      <c r="C4045" s="70"/>
      <c r="D4045" s="70"/>
      <c r="E4045" s="70"/>
      <c r="F4045" s="70"/>
      <c r="G4045" s="70"/>
      <c r="H4045" s="93"/>
      <c r="I4045" s="85"/>
      <c r="J4045" s="85"/>
      <c r="K4045" s="131"/>
      <c r="L4045" s="60"/>
      <c r="Z4045" s="3"/>
      <c r="AA4045" s="3"/>
      <c r="AB4045" s="4"/>
    </row>
    <row r="4046" spans="1:28" x14ac:dyDescent="0.15">
      <c r="A4046" s="70"/>
      <c r="B4046" s="82"/>
      <c r="C4046" s="70"/>
      <c r="D4046" s="70"/>
      <c r="E4046" s="70"/>
      <c r="F4046" s="70"/>
      <c r="G4046" s="70"/>
      <c r="H4046" s="93"/>
      <c r="I4046" s="85"/>
      <c r="J4046" s="85"/>
      <c r="K4046" s="131"/>
      <c r="L4046" s="60"/>
      <c r="M4046" s="33"/>
      <c r="Z4046" s="3"/>
      <c r="AA4046" s="3"/>
      <c r="AB4046" s="4"/>
    </row>
    <row r="4047" spans="1:28" x14ac:dyDescent="0.15">
      <c r="A4047" s="166"/>
      <c r="B4047" s="82"/>
      <c r="C4047" s="70"/>
      <c r="D4047" s="70"/>
      <c r="E4047" s="70"/>
      <c r="F4047" s="70"/>
      <c r="G4047" s="70"/>
      <c r="H4047" s="93"/>
      <c r="I4047" s="85"/>
      <c r="J4047" s="85"/>
      <c r="K4047" s="131"/>
      <c r="L4047" s="60"/>
      <c r="M4047" s="33"/>
      <c r="Z4047" s="3"/>
      <c r="AA4047" s="3"/>
      <c r="AB4047" s="4"/>
    </row>
    <row r="4048" spans="1:28" x14ac:dyDescent="0.15">
      <c r="A4048" s="166"/>
      <c r="B4048" s="82"/>
      <c r="C4048" s="70"/>
      <c r="D4048" s="70"/>
      <c r="E4048" s="70"/>
      <c r="F4048" s="70"/>
      <c r="G4048" s="70"/>
      <c r="H4048" s="93"/>
      <c r="I4048" s="85"/>
      <c r="J4048" s="95"/>
      <c r="K4048" s="131"/>
      <c r="L4048" s="60"/>
      <c r="M4048" s="33"/>
      <c r="Z4048" s="3"/>
      <c r="AA4048" s="3"/>
      <c r="AB4048" s="4"/>
    </row>
    <row r="4049" spans="1:28" x14ac:dyDescent="0.15">
      <c r="A4049" s="166"/>
      <c r="B4049" s="82"/>
      <c r="C4049" s="73"/>
      <c r="D4049" s="73"/>
      <c r="E4049" s="70"/>
      <c r="F4049" s="73"/>
      <c r="G4049" s="73"/>
      <c r="H4049" s="108"/>
      <c r="I4049" s="85"/>
      <c r="J4049" s="95"/>
      <c r="K4049" s="131"/>
      <c r="L4049" s="60"/>
      <c r="M4049" s="33"/>
      <c r="Z4049" s="3"/>
      <c r="AA4049" s="3"/>
      <c r="AB4049" s="4"/>
    </row>
    <row r="4050" spans="1:28" x14ac:dyDescent="0.15">
      <c r="A4050" s="166"/>
      <c r="B4050" s="82"/>
      <c r="C4050" s="73"/>
      <c r="D4050" s="73"/>
      <c r="E4050" s="70"/>
      <c r="F4050" s="73"/>
      <c r="G4050" s="73"/>
      <c r="H4050" s="108"/>
      <c r="I4050" s="85"/>
      <c r="J4050" s="95"/>
      <c r="K4050" s="131"/>
      <c r="L4050" s="60"/>
      <c r="M4050" s="33"/>
      <c r="Z4050" s="3"/>
      <c r="AA4050" s="3"/>
      <c r="AB4050" s="4"/>
    </row>
    <row r="4051" spans="1:28" x14ac:dyDescent="0.15">
      <c r="A4051" s="166"/>
      <c r="B4051" s="82"/>
      <c r="C4051" s="70"/>
      <c r="D4051" s="70"/>
      <c r="E4051" s="70"/>
      <c r="F4051" s="70"/>
      <c r="G4051" s="70"/>
      <c r="H4051" s="93"/>
      <c r="I4051" s="85"/>
      <c r="J4051" s="85"/>
      <c r="K4051" s="131"/>
      <c r="L4051" s="60"/>
      <c r="M4051" s="33"/>
      <c r="Z4051" s="3"/>
      <c r="AA4051" s="3"/>
      <c r="AB4051" s="4"/>
    </row>
    <row r="4052" spans="1:28" x14ac:dyDescent="0.15">
      <c r="A4052" s="166"/>
      <c r="B4052" s="82"/>
      <c r="C4052" s="70"/>
      <c r="D4052" s="70"/>
      <c r="E4052" s="70"/>
      <c r="F4052" s="70"/>
      <c r="G4052" s="70"/>
      <c r="H4052" s="93"/>
      <c r="I4052" s="85"/>
      <c r="J4052" s="85"/>
      <c r="K4052" s="131"/>
      <c r="L4052" s="60"/>
      <c r="Z4052" s="3"/>
      <c r="AA4052" s="3"/>
      <c r="AB4052" s="4"/>
    </row>
    <row r="4053" spans="1:28" x14ac:dyDescent="0.15">
      <c r="A4053" s="166"/>
      <c r="B4053" s="82"/>
      <c r="C4053" s="70"/>
      <c r="D4053" s="70"/>
      <c r="E4053" s="70"/>
      <c r="F4053" s="70"/>
      <c r="G4053" s="70"/>
      <c r="H4053" s="93"/>
      <c r="I4053" s="85"/>
      <c r="J4053" s="85"/>
      <c r="K4053" s="131"/>
      <c r="L4053" s="60"/>
      <c r="M4053" s="33"/>
      <c r="Z4053" s="3"/>
      <c r="AA4053" s="3"/>
      <c r="AB4053" s="4"/>
    </row>
    <row r="4054" spans="1:28" x14ac:dyDescent="0.15">
      <c r="A4054" s="166"/>
      <c r="B4054" s="82"/>
      <c r="C4054" s="70"/>
      <c r="D4054" s="70"/>
      <c r="E4054" s="70"/>
      <c r="F4054" s="70"/>
      <c r="G4054" s="70"/>
      <c r="H4054" s="93"/>
      <c r="I4054" s="85"/>
      <c r="J4054" s="85"/>
      <c r="K4054" s="131"/>
      <c r="L4054" s="60"/>
      <c r="Z4054" s="3"/>
      <c r="AA4054" s="3"/>
      <c r="AB4054" s="4"/>
    </row>
    <row r="4055" spans="1:28" x14ac:dyDescent="0.15">
      <c r="A4055" s="166"/>
      <c r="B4055" s="82"/>
      <c r="C4055" s="70"/>
      <c r="D4055" s="70"/>
      <c r="E4055" s="70"/>
      <c r="F4055" s="70"/>
      <c r="G4055" s="70"/>
      <c r="H4055" s="93"/>
      <c r="I4055" s="85"/>
      <c r="J4055" s="85"/>
      <c r="K4055" s="131"/>
      <c r="L4055" s="60"/>
      <c r="Z4055" s="3"/>
      <c r="AA4055" s="3"/>
      <c r="AB4055" s="4"/>
    </row>
    <row r="4056" spans="1:28" ht="16" x14ac:dyDescent="0.2">
      <c r="A4056" s="166"/>
      <c r="B4056" s="93"/>
      <c r="C4056" s="70"/>
      <c r="D4056" s="70"/>
      <c r="E4056" s="73"/>
      <c r="F4056" s="70"/>
      <c r="G4056" s="70"/>
      <c r="H4056" s="93"/>
      <c r="I4056" s="85"/>
      <c r="J4056" s="85"/>
      <c r="K4056" s="131"/>
      <c r="L4056" s="60"/>
      <c r="M4056" s="47"/>
      <c r="Z4056" s="3"/>
      <c r="AA4056" s="3"/>
      <c r="AB4056" s="4"/>
    </row>
    <row r="4057" spans="1:28" x14ac:dyDescent="0.15">
      <c r="A4057" s="166"/>
      <c r="B4057" s="82"/>
      <c r="C4057" s="73"/>
      <c r="D4057" s="73"/>
      <c r="E4057" s="70"/>
      <c r="F4057" s="73"/>
      <c r="G4057" s="73"/>
      <c r="H4057" s="108"/>
      <c r="I4057" s="85"/>
      <c r="J4057" s="95"/>
      <c r="K4057" s="131"/>
      <c r="L4057" s="60"/>
      <c r="M4057" s="33"/>
      <c r="Z4057" s="3"/>
      <c r="AA4057" s="3"/>
      <c r="AB4057" s="4"/>
    </row>
    <row r="4058" spans="1:28" x14ac:dyDescent="0.15">
      <c r="A4058" s="166"/>
      <c r="B4058" s="82"/>
      <c r="C4058" s="70"/>
      <c r="D4058" s="70"/>
      <c r="E4058" s="70"/>
      <c r="F4058" s="70"/>
      <c r="G4058" s="70"/>
      <c r="H4058" s="93"/>
      <c r="I4058" s="85"/>
      <c r="J4058" s="85"/>
      <c r="K4058" s="131"/>
      <c r="L4058" s="60"/>
      <c r="M4058" s="33"/>
      <c r="Z4058" s="3"/>
      <c r="AA4058" s="3"/>
      <c r="AB4058" s="4"/>
    </row>
    <row r="4059" spans="1:28" x14ac:dyDescent="0.15">
      <c r="A4059" s="166"/>
      <c r="B4059" s="82"/>
      <c r="C4059" s="70"/>
      <c r="D4059" s="70"/>
      <c r="E4059" s="70"/>
      <c r="F4059" s="70"/>
      <c r="G4059" s="70"/>
      <c r="H4059" s="93"/>
      <c r="I4059" s="85"/>
      <c r="J4059" s="85"/>
      <c r="K4059" s="131"/>
      <c r="L4059" s="60"/>
      <c r="M4059" s="33"/>
      <c r="Z4059" s="3"/>
      <c r="AA4059" s="3"/>
      <c r="AB4059" s="4"/>
    </row>
    <row r="4060" spans="1:28" x14ac:dyDescent="0.15">
      <c r="A4060" s="166"/>
      <c r="B4060" s="82"/>
      <c r="C4060" s="70"/>
      <c r="D4060" s="70"/>
      <c r="E4060" s="70"/>
      <c r="F4060" s="70"/>
      <c r="G4060" s="70"/>
      <c r="H4060" s="93"/>
      <c r="I4060" s="85"/>
      <c r="J4060" s="85"/>
      <c r="K4060" s="131"/>
      <c r="L4060" s="60"/>
      <c r="M4060" s="33"/>
      <c r="Z4060" s="3"/>
      <c r="AA4060" s="3"/>
      <c r="AB4060" s="4"/>
    </row>
    <row r="4061" spans="1:28" x14ac:dyDescent="0.15">
      <c r="A4061" s="166"/>
      <c r="B4061" s="82"/>
      <c r="C4061" s="70"/>
      <c r="D4061" s="70"/>
      <c r="E4061" s="70"/>
      <c r="F4061" s="70"/>
      <c r="G4061" s="70"/>
      <c r="H4061" s="93"/>
      <c r="I4061" s="85"/>
      <c r="J4061" s="85"/>
      <c r="K4061" s="131"/>
      <c r="L4061" s="60"/>
      <c r="Z4061" s="3"/>
      <c r="AA4061" s="3"/>
      <c r="AB4061" s="4"/>
    </row>
    <row r="4062" spans="1:28" x14ac:dyDescent="0.15">
      <c r="A4062" s="166"/>
      <c r="B4062" s="82"/>
      <c r="C4062" s="73"/>
      <c r="D4062" s="73"/>
      <c r="E4062" s="70"/>
      <c r="F4062" s="73"/>
      <c r="G4062" s="73"/>
      <c r="H4062" s="108"/>
      <c r="I4062" s="85"/>
      <c r="J4062" s="85"/>
      <c r="K4062" s="131"/>
      <c r="L4062" s="60"/>
      <c r="M4062" s="33"/>
      <c r="Z4062" s="3"/>
      <c r="AA4062" s="3"/>
      <c r="AB4062" s="4"/>
    </row>
    <row r="4063" spans="1:28" x14ac:dyDescent="0.15">
      <c r="A4063" s="166"/>
      <c r="B4063" s="82"/>
      <c r="C4063" s="70"/>
      <c r="D4063" s="70"/>
      <c r="E4063" s="70"/>
      <c r="F4063" s="70"/>
      <c r="G4063" s="70"/>
      <c r="H4063" s="93"/>
      <c r="I4063" s="85"/>
      <c r="J4063" s="85"/>
      <c r="K4063" s="131"/>
      <c r="L4063" s="60"/>
      <c r="Z4063" s="3"/>
      <c r="AA4063" s="3"/>
      <c r="AB4063" s="4"/>
    </row>
    <row r="4064" spans="1:28" x14ac:dyDescent="0.15">
      <c r="A4064" s="166"/>
      <c r="B4064" s="82"/>
      <c r="C4064" s="70"/>
      <c r="D4064" s="70"/>
      <c r="E4064" s="70"/>
      <c r="F4064" s="70"/>
      <c r="G4064" s="70"/>
      <c r="H4064" s="93"/>
      <c r="I4064" s="85"/>
      <c r="J4064" s="85"/>
      <c r="K4064" s="131"/>
      <c r="L4064" s="60"/>
      <c r="Z4064" s="3"/>
      <c r="AA4064" s="3"/>
      <c r="AB4064" s="4"/>
    </row>
    <row r="4065" spans="1:28" x14ac:dyDescent="0.15">
      <c r="A4065" s="70"/>
      <c r="B4065" s="82"/>
      <c r="C4065" s="70"/>
      <c r="D4065" s="70"/>
      <c r="E4065" s="70"/>
      <c r="F4065" s="70"/>
      <c r="G4065" s="70"/>
      <c r="H4065" s="93"/>
      <c r="I4065" s="85"/>
      <c r="J4065" s="85"/>
      <c r="K4065" s="131"/>
      <c r="L4065" s="60"/>
      <c r="Z4065" s="3"/>
      <c r="AA4065" s="3"/>
      <c r="AB4065" s="4"/>
    </row>
    <row r="4066" spans="1:28" x14ac:dyDescent="0.15">
      <c r="A4066" s="166"/>
      <c r="B4066" s="82"/>
      <c r="C4066" s="70"/>
      <c r="D4066" s="70"/>
      <c r="E4066" s="70"/>
      <c r="F4066" s="70"/>
      <c r="G4066" s="70"/>
      <c r="H4066" s="93"/>
      <c r="I4066" s="85"/>
      <c r="J4066" s="85"/>
      <c r="K4066" s="131"/>
      <c r="L4066" s="60"/>
      <c r="N4066" s="33"/>
      <c r="Z4066" s="3"/>
      <c r="AA4066" s="3"/>
      <c r="AB4066" s="4"/>
    </row>
    <row r="4067" spans="1:28" x14ac:dyDescent="0.15">
      <c r="A4067" s="166"/>
      <c r="B4067" s="82"/>
      <c r="C4067" s="70"/>
      <c r="D4067" s="70"/>
      <c r="E4067" s="70"/>
      <c r="F4067" s="70"/>
      <c r="G4067" s="70"/>
      <c r="H4067" s="93"/>
      <c r="I4067" s="85"/>
      <c r="J4067" s="85"/>
      <c r="K4067" s="131"/>
      <c r="L4067" s="60"/>
      <c r="Z4067" s="3"/>
      <c r="AA4067" s="3"/>
      <c r="AB4067" s="4"/>
    </row>
    <row r="4068" spans="1:28" x14ac:dyDescent="0.15">
      <c r="A4068" s="166"/>
      <c r="B4068" s="82"/>
      <c r="C4068" s="70"/>
      <c r="D4068" s="70"/>
      <c r="E4068" s="70"/>
      <c r="F4068" s="70"/>
      <c r="G4068" s="70"/>
      <c r="H4068" s="93"/>
      <c r="I4068" s="85"/>
      <c r="J4068" s="85"/>
      <c r="K4068" s="131"/>
      <c r="L4068" s="60"/>
      <c r="M4068" s="33"/>
      <c r="Z4068" s="3"/>
      <c r="AA4068" s="3"/>
      <c r="AB4068" s="4"/>
    </row>
    <row r="4069" spans="1:28" x14ac:dyDescent="0.15">
      <c r="A4069" s="70"/>
      <c r="B4069" s="82"/>
      <c r="C4069" s="70"/>
      <c r="D4069" s="70"/>
      <c r="E4069" s="70"/>
      <c r="F4069" s="70"/>
      <c r="G4069" s="70"/>
      <c r="H4069" s="93"/>
      <c r="I4069" s="85"/>
      <c r="J4069" s="85"/>
      <c r="K4069" s="131"/>
      <c r="L4069" s="60"/>
      <c r="M4069" s="33"/>
      <c r="Z4069" s="3"/>
      <c r="AA4069" s="3"/>
      <c r="AB4069" s="4"/>
    </row>
    <row r="4070" spans="1:28" x14ac:dyDescent="0.15">
      <c r="A4070" s="70"/>
      <c r="B4070" s="82"/>
      <c r="C4070" s="70"/>
      <c r="D4070" s="70"/>
      <c r="E4070" s="70"/>
      <c r="F4070" s="70"/>
      <c r="G4070" s="70"/>
      <c r="H4070" s="93"/>
      <c r="I4070" s="85"/>
      <c r="J4070" s="85"/>
      <c r="K4070" s="131"/>
      <c r="L4070" s="60"/>
      <c r="M4070" s="33"/>
      <c r="Z4070" s="3"/>
      <c r="AA4070" s="3"/>
      <c r="AB4070" s="4"/>
    </row>
    <row r="4071" spans="1:28" x14ac:dyDescent="0.15">
      <c r="A4071" s="70"/>
      <c r="B4071" s="82"/>
      <c r="C4071" s="70"/>
      <c r="D4071" s="70"/>
      <c r="E4071" s="70"/>
      <c r="F4071" s="70"/>
      <c r="G4071" s="70"/>
      <c r="H4071" s="93"/>
      <c r="I4071" s="85"/>
      <c r="J4071" s="85"/>
      <c r="K4071" s="131"/>
      <c r="L4071" s="60"/>
      <c r="M4071" s="33"/>
      <c r="Z4071" s="3"/>
      <c r="AA4071" s="3"/>
      <c r="AB4071" s="4"/>
    </row>
    <row r="4072" spans="1:28" x14ac:dyDescent="0.15">
      <c r="A4072" s="166"/>
      <c r="B4072" s="82"/>
      <c r="C4072" s="73"/>
      <c r="D4072" s="73"/>
      <c r="E4072" s="70"/>
      <c r="F4072" s="73"/>
      <c r="G4072" s="73"/>
      <c r="H4072" s="108"/>
      <c r="I4072" s="85"/>
      <c r="J4072" s="95"/>
      <c r="K4072" s="131"/>
      <c r="L4072" s="60"/>
      <c r="M4072" s="33"/>
      <c r="Z4072" s="3"/>
      <c r="AA4072" s="3"/>
      <c r="AB4072" s="4"/>
    </row>
    <row r="4073" spans="1:28" x14ac:dyDescent="0.15">
      <c r="A4073" s="166"/>
      <c r="B4073" s="82"/>
      <c r="C4073" s="70"/>
      <c r="D4073" s="70"/>
      <c r="E4073" s="70"/>
      <c r="F4073" s="70"/>
      <c r="G4073" s="70"/>
      <c r="H4073" s="93"/>
      <c r="I4073" s="85"/>
      <c r="J4073" s="85"/>
      <c r="K4073" s="131"/>
      <c r="L4073" s="60"/>
      <c r="M4073" s="33"/>
      <c r="Z4073" s="3"/>
      <c r="AA4073" s="3"/>
      <c r="AB4073" s="4"/>
    </row>
    <row r="4074" spans="1:28" x14ac:dyDescent="0.15">
      <c r="A4074" s="166"/>
      <c r="B4074" s="82"/>
      <c r="C4074" s="73"/>
      <c r="D4074" s="73"/>
      <c r="E4074" s="70"/>
      <c r="F4074" s="73"/>
      <c r="G4074" s="73"/>
      <c r="H4074" s="108"/>
      <c r="I4074" s="85"/>
      <c r="J4074" s="95"/>
      <c r="K4074" s="131"/>
      <c r="L4074" s="60"/>
      <c r="M4074" s="33"/>
      <c r="Z4074" s="3"/>
      <c r="AA4074" s="3"/>
      <c r="AB4074" s="4"/>
    </row>
    <row r="4075" spans="1:28" x14ac:dyDescent="0.15">
      <c r="A4075" s="166"/>
      <c r="B4075" s="82"/>
      <c r="C4075" s="70"/>
      <c r="D4075" s="70"/>
      <c r="E4075" s="70"/>
      <c r="F4075" s="70"/>
      <c r="G4075" s="70"/>
      <c r="H4075" s="93"/>
      <c r="I4075" s="85"/>
      <c r="J4075" s="85"/>
      <c r="K4075" s="131"/>
      <c r="L4075" s="60"/>
      <c r="M4075" s="33"/>
      <c r="Z4075" s="3"/>
      <c r="AA4075" s="3"/>
      <c r="AB4075" s="4"/>
    </row>
    <row r="4076" spans="1:28" x14ac:dyDescent="0.15">
      <c r="A4076" s="166"/>
      <c r="B4076" s="82"/>
      <c r="C4076" s="70"/>
      <c r="D4076" s="70"/>
      <c r="E4076" s="70"/>
      <c r="F4076" s="70"/>
      <c r="G4076" s="70"/>
      <c r="H4076" s="93"/>
      <c r="I4076" s="85"/>
      <c r="J4076" s="85"/>
      <c r="K4076" s="131"/>
      <c r="L4076" s="60"/>
      <c r="M4076" s="33"/>
      <c r="Z4076" s="3"/>
      <c r="AA4076" s="3"/>
      <c r="AB4076" s="4"/>
    </row>
    <row r="4077" spans="1:28" x14ac:dyDescent="0.15">
      <c r="A4077" s="166"/>
      <c r="B4077" s="82"/>
      <c r="C4077" s="73"/>
      <c r="D4077" s="73"/>
      <c r="E4077" s="70"/>
      <c r="F4077" s="73"/>
      <c r="G4077" s="73"/>
      <c r="H4077" s="108"/>
      <c r="I4077" s="85"/>
      <c r="J4077" s="95"/>
      <c r="K4077" s="131"/>
      <c r="L4077" s="60"/>
      <c r="M4077" s="33"/>
      <c r="Z4077" s="3"/>
      <c r="AA4077" s="3"/>
      <c r="AB4077" s="4"/>
    </row>
    <row r="4078" spans="1:28" x14ac:dyDescent="0.15">
      <c r="A4078" s="166"/>
      <c r="B4078" s="96"/>
      <c r="C4078" s="73"/>
      <c r="D4078" s="73"/>
      <c r="E4078" s="73"/>
      <c r="F4078" s="73"/>
      <c r="G4078" s="73"/>
      <c r="H4078" s="108"/>
      <c r="I4078" s="85"/>
      <c r="J4078" s="95"/>
      <c r="K4078" s="131"/>
      <c r="L4078" s="60"/>
      <c r="M4078" s="33"/>
      <c r="Z4078" s="3"/>
      <c r="AA4078" s="3"/>
      <c r="AB4078" s="4"/>
    </row>
    <row r="4079" spans="1:28" x14ac:dyDescent="0.15">
      <c r="A4079" s="166"/>
      <c r="B4079" s="82"/>
      <c r="C4079" s="73"/>
      <c r="D4079" s="73"/>
      <c r="E4079" s="73"/>
      <c r="F4079" s="73"/>
      <c r="G4079" s="73"/>
      <c r="H4079" s="108"/>
      <c r="I4079" s="85"/>
      <c r="J4079" s="95"/>
      <c r="K4079" s="131"/>
      <c r="L4079" s="60"/>
      <c r="M4079" s="33"/>
      <c r="Z4079" s="3"/>
      <c r="AA4079" s="3"/>
      <c r="AB4079" s="4"/>
    </row>
    <row r="4080" spans="1:28" ht="16" x14ac:dyDescent="0.2">
      <c r="A4080" s="166"/>
      <c r="B4080" s="82"/>
      <c r="C4080" s="73"/>
      <c r="D4080" s="73"/>
      <c r="E4080" s="73"/>
      <c r="F4080" s="73"/>
      <c r="G4080" s="73"/>
      <c r="H4080" s="108"/>
      <c r="I4080" s="85"/>
      <c r="J4080" s="95"/>
      <c r="K4080" s="131"/>
      <c r="L4080" s="60"/>
      <c r="M4080" s="33"/>
      <c r="N4080" s="48"/>
      <c r="O4080" s="33"/>
      <c r="Z4080" s="3"/>
      <c r="AA4080" s="3"/>
      <c r="AB4080" s="4"/>
    </row>
    <row r="4081" spans="1:28" x14ac:dyDescent="0.15">
      <c r="A4081" s="166"/>
      <c r="B4081" s="82"/>
      <c r="C4081" s="73"/>
      <c r="D4081" s="73"/>
      <c r="E4081" s="73"/>
      <c r="F4081" s="73"/>
      <c r="G4081" s="73"/>
      <c r="H4081" s="108"/>
      <c r="I4081" s="85"/>
      <c r="J4081" s="95"/>
      <c r="K4081" s="131"/>
      <c r="L4081" s="60"/>
      <c r="M4081" s="33"/>
      <c r="Z4081" s="3"/>
      <c r="AA4081" s="3"/>
      <c r="AB4081" s="4"/>
    </row>
    <row r="4082" spans="1:28" x14ac:dyDescent="0.15">
      <c r="A4082" s="166"/>
      <c r="B4082" s="82"/>
      <c r="C4082" s="70"/>
      <c r="D4082" s="70"/>
      <c r="E4082" s="70"/>
      <c r="F4082" s="70"/>
      <c r="G4082" s="70"/>
      <c r="H4082" s="93"/>
      <c r="I4082" s="85"/>
      <c r="J4082" s="85"/>
      <c r="K4082" s="131"/>
      <c r="L4082" s="60"/>
      <c r="Z4082" s="3"/>
      <c r="AA4082" s="3"/>
      <c r="AB4082" s="4"/>
    </row>
    <row r="4083" spans="1:28" x14ac:dyDescent="0.15">
      <c r="A4083" s="166"/>
      <c r="B4083" s="82"/>
      <c r="C4083" s="70"/>
      <c r="D4083" s="70"/>
      <c r="E4083" s="70"/>
      <c r="F4083" s="70"/>
      <c r="G4083" s="70"/>
      <c r="H4083" s="93"/>
      <c r="I4083" s="85"/>
      <c r="J4083" s="85"/>
      <c r="K4083" s="131"/>
      <c r="L4083" s="60"/>
      <c r="Z4083" s="3"/>
      <c r="AA4083" s="3"/>
      <c r="AB4083" s="4"/>
    </row>
    <row r="4084" spans="1:28" x14ac:dyDescent="0.15">
      <c r="A4084" s="166"/>
      <c r="B4084" s="82"/>
      <c r="C4084" s="70"/>
      <c r="D4084" s="70"/>
      <c r="E4084" s="70"/>
      <c r="F4084" s="70"/>
      <c r="G4084" s="70"/>
      <c r="H4084" s="93"/>
      <c r="I4084" s="85"/>
      <c r="J4084" s="85"/>
      <c r="K4084" s="131"/>
      <c r="L4084" s="60"/>
      <c r="M4084" s="33"/>
      <c r="Z4084" s="3"/>
      <c r="AA4084" s="3"/>
      <c r="AB4084" s="4"/>
    </row>
    <row r="4085" spans="1:28" ht="16" x14ac:dyDescent="0.2">
      <c r="A4085" s="166"/>
      <c r="B4085" s="82"/>
      <c r="C4085" s="70"/>
      <c r="D4085" s="70"/>
      <c r="E4085" s="70"/>
      <c r="F4085" s="70"/>
      <c r="G4085" s="70"/>
      <c r="H4085" s="93"/>
      <c r="I4085" s="85"/>
      <c r="J4085" s="85"/>
      <c r="K4085" s="131"/>
      <c r="L4085" s="60"/>
      <c r="N4085" s="48"/>
      <c r="Z4085" s="3"/>
      <c r="AA4085" s="3"/>
      <c r="AB4085" s="4"/>
    </row>
    <row r="4086" spans="1:28" x14ac:dyDescent="0.15">
      <c r="A4086" s="166"/>
      <c r="B4086" s="93"/>
      <c r="C4086" s="73"/>
      <c r="D4086" s="73"/>
      <c r="E4086" s="73"/>
      <c r="F4086" s="73"/>
      <c r="G4086" s="73"/>
      <c r="H4086" s="108"/>
      <c r="I4086" s="85"/>
      <c r="J4086" s="95"/>
      <c r="K4086" s="131"/>
      <c r="L4086" s="60"/>
      <c r="M4086" s="33"/>
      <c r="Z4086" s="3"/>
      <c r="AA4086" s="3"/>
      <c r="AB4086" s="4"/>
    </row>
    <row r="4087" spans="1:28" x14ac:dyDescent="0.15">
      <c r="A4087" s="166"/>
      <c r="B4087" s="93"/>
      <c r="C4087" s="73"/>
      <c r="D4087" s="73"/>
      <c r="E4087" s="73"/>
      <c r="F4087" s="73"/>
      <c r="G4087" s="73"/>
      <c r="H4087" s="108"/>
      <c r="I4087" s="85"/>
      <c r="J4087" s="95"/>
      <c r="K4087" s="131"/>
      <c r="L4087" s="60"/>
      <c r="Z4087" s="3"/>
      <c r="AA4087" s="3"/>
      <c r="AB4087" s="4"/>
    </row>
    <row r="4088" spans="1:28" ht="16" x14ac:dyDescent="0.2">
      <c r="A4088" s="166"/>
      <c r="B4088" s="93"/>
      <c r="C4088" s="73"/>
      <c r="D4088" s="73"/>
      <c r="E4088" s="70"/>
      <c r="F4088" s="73"/>
      <c r="G4088" s="73"/>
      <c r="H4088" s="108"/>
      <c r="I4088" s="85"/>
      <c r="J4088" s="85"/>
      <c r="K4088" s="131"/>
      <c r="L4088" s="60"/>
      <c r="M4088" s="47"/>
      <c r="Z4088" s="3"/>
      <c r="AA4088" s="3"/>
      <c r="AB4088" s="4"/>
    </row>
    <row r="4089" spans="1:28" x14ac:dyDescent="0.15">
      <c r="A4089" s="166"/>
      <c r="B4089" s="82"/>
      <c r="C4089" s="70"/>
      <c r="D4089" s="70"/>
      <c r="E4089" s="70"/>
      <c r="F4089" s="70"/>
      <c r="G4089" s="70"/>
      <c r="H4089" s="93"/>
      <c r="I4089" s="85"/>
      <c r="J4089" s="85"/>
      <c r="K4089" s="131"/>
      <c r="L4089" s="60"/>
      <c r="Z4089" s="3"/>
      <c r="AA4089" s="3"/>
      <c r="AB4089" s="4"/>
    </row>
    <row r="4090" spans="1:28" x14ac:dyDescent="0.15">
      <c r="A4090" s="166"/>
      <c r="B4090" s="82"/>
      <c r="C4090" s="70"/>
      <c r="D4090" s="70"/>
      <c r="E4090" s="70"/>
      <c r="F4090" s="70"/>
      <c r="G4090" s="70"/>
      <c r="H4090" s="93"/>
      <c r="I4090" s="85"/>
      <c r="J4090" s="85"/>
      <c r="K4090" s="131"/>
      <c r="L4090" s="60"/>
      <c r="Z4090" s="3"/>
      <c r="AA4090" s="3"/>
      <c r="AB4090" s="4"/>
    </row>
    <row r="4091" spans="1:28" x14ac:dyDescent="0.15">
      <c r="A4091" s="166"/>
      <c r="B4091" s="82"/>
      <c r="C4091" s="70"/>
      <c r="D4091" s="70"/>
      <c r="E4091" s="70"/>
      <c r="F4091" s="70"/>
      <c r="G4091" s="70"/>
      <c r="H4091" s="93"/>
      <c r="I4091" s="85"/>
      <c r="J4091" s="85"/>
      <c r="K4091" s="131"/>
      <c r="L4091" s="69"/>
      <c r="M4091" s="33"/>
      <c r="Z4091" s="3"/>
      <c r="AA4091" s="3"/>
      <c r="AB4091" s="4"/>
    </row>
    <row r="4092" spans="1:28" x14ac:dyDescent="0.15">
      <c r="A4092" s="166"/>
      <c r="B4092" s="82"/>
      <c r="C4092" s="70"/>
      <c r="D4092" s="70"/>
      <c r="E4092" s="70"/>
      <c r="F4092" s="70"/>
      <c r="G4092" s="70"/>
      <c r="H4092" s="93"/>
      <c r="I4092" s="85"/>
      <c r="J4092" s="85"/>
      <c r="K4092" s="131"/>
      <c r="L4092" s="60"/>
      <c r="M4092" s="33"/>
      <c r="Z4092" s="3"/>
      <c r="AA4092" s="3"/>
      <c r="AB4092" s="4"/>
    </row>
    <row r="4093" spans="1:28" ht="16" x14ac:dyDescent="0.2">
      <c r="A4093" s="166"/>
      <c r="B4093" s="82"/>
      <c r="C4093" s="70"/>
      <c r="D4093" s="70"/>
      <c r="E4093" s="70"/>
      <c r="F4093" s="70"/>
      <c r="G4093" s="70"/>
      <c r="H4093" s="93"/>
      <c r="I4093" s="85"/>
      <c r="J4093" s="85"/>
      <c r="K4093" s="131"/>
      <c r="L4093" s="60"/>
      <c r="N4093" s="48"/>
      <c r="Z4093" s="3"/>
      <c r="AA4093" s="3"/>
      <c r="AB4093" s="4"/>
    </row>
    <row r="4094" spans="1:28" x14ac:dyDescent="0.15">
      <c r="A4094" s="166"/>
      <c r="B4094" s="93"/>
      <c r="C4094" s="70"/>
      <c r="D4094" s="70"/>
      <c r="E4094" s="70"/>
      <c r="F4094" s="70"/>
      <c r="G4094" s="70"/>
      <c r="H4094" s="93"/>
      <c r="I4094" s="85"/>
      <c r="J4094" s="85"/>
      <c r="K4094" s="131"/>
      <c r="L4094" s="60"/>
      <c r="M4094" s="33"/>
      <c r="Z4094" s="3"/>
      <c r="AA4094" s="3"/>
      <c r="AB4094" s="4"/>
    </row>
    <row r="4095" spans="1:28" x14ac:dyDescent="0.15">
      <c r="A4095" s="166"/>
      <c r="B4095" s="93"/>
      <c r="C4095" s="73"/>
      <c r="D4095" s="73"/>
      <c r="E4095" s="73"/>
      <c r="F4095" s="73"/>
      <c r="G4095" s="73"/>
      <c r="H4095" s="108"/>
      <c r="I4095" s="85"/>
      <c r="J4095" s="85"/>
      <c r="K4095" s="131"/>
      <c r="L4095" s="60"/>
      <c r="M4095" s="33"/>
      <c r="Z4095" s="3"/>
      <c r="AA4095" s="3"/>
      <c r="AB4095" s="4"/>
    </row>
    <row r="4096" spans="1:28" ht="16" x14ac:dyDescent="0.2">
      <c r="A4096" s="166"/>
      <c r="B4096" s="93"/>
      <c r="C4096" s="70"/>
      <c r="D4096" s="70"/>
      <c r="E4096" s="70"/>
      <c r="F4096" s="70"/>
      <c r="G4096" s="70"/>
      <c r="H4096" s="93"/>
      <c r="I4096" s="85"/>
      <c r="J4096" s="85"/>
      <c r="K4096" s="131"/>
      <c r="L4096" s="60"/>
      <c r="M4096" s="47"/>
      <c r="Z4096" s="3"/>
      <c r="AA4096" s="3"/>
      <c r="AB4096" s="4"/>
    </row>
    <row r="4097" spans="1:28" x14ac:dyDescent="0.15">
      <c r="A4097" s="166"/>
      <c r="B4097" s="93"/>
      <c r="C4097" s="70"/>
      <c r="D4097" s="70"/>
      <c r="E4097" s="70"/>
      <c r="F4097" s="70"/>
      <c r="G4097" s="70"/>
      <c r="H4097" s="93"/>
      <c r="I4097" s="85"/>
      <c r="J4097" s="85"/>
      <c r="K4097" s="131"/>
      <c r="L4097" s="60"/>
      <c r="M4097" s="33"/>
      <c r="Z4097" s="3"/>
      <c r="AA4097" s="3"/>
      <c r="AB4097" s="4"/>
    </row>
    <row r="4098" spans="1:28" x14ac:dyDescent="0.15">
      <c r="A4098" s="166"/>
      <c r="B4098" s="93"/>
      <c r="C4098" s="73"/>
      <c r="D4098" s="73"/>
      <c r="E4098" s="70"/>
      <c r="F4098" s="73"/>
      <c r="G4098" s="73"/>
      <c r="H4098" s="108"/>
      <c r="I4098" s="85"/>
      <c r="J4098" s="95"/>
      <c r="K4098" s="131"/>
      <c r="L4098" s="60"/>
      <c r="M4098" s="33"/>
      <c r="Z4098" s="3"/>
      <c r="AA4098" s="3"/>
      <c r="AB4098" s="4"/>
    </row>
    <row r="4099" spans="1:28" x14ac:dyDescent="0.15">
      <c r="A4099" s="166"/>
      <c r="B4099" s="82"/>
      <c r="C4099" s="73"/>
      <c r="D4099" s="73"/>
      <c r="E4099" s="70"/>
      <c r="F4099" s="73"/>
      <c r="G4099" s="73"/>
      <c r="H4099" s="108"/>
      <c r="I4099" s="85"/>
      <c r="J4099" s="95"/>
      <c r="K4099" s="131"/>
      <c r="L4099" s="60"/>
      <c r="M4099" s="33"/>
      <c r="Z4099" s="3"/>
      <c r="AA4099" s="3"/>
      <c r="AB4099" s="4"/>
    </row>
    <row r="4100" spans="1:28" x14ac:dyDescent="0.15">
      <c r="A4100" s="166"/>
      <c r="B4100" s="82"/>
      <c r="C4100" s="70"/>
      <c r="D4100" s="70"/>
      <c r="E4100" s="70"/>
      <c r="F4100" s="70"/>
      <c r="G4100" s="70"/>
      <c r="H4100" s="93"/>
      <c r="I4100" s="85"/>
      <c r="J4100" s="85"/>
      <c r="K4100" s="131"/>
      <c r="L4100" s="60"/>
      <c r="M4100" s="33"/>
      <c r="Z4100" s="3"/>
      <c r="AA4100" s="3"/>
      <c r="AB4100" s="4"/>
    </row>
    <row r="4101" spans="1:28" x14ac:dyDescent="0.15">
      <c r="A4101" s="166"/>
      <c r="B4101" s="82"/>
      <c r="C4101" s="70"/>
      <c r="D4101" s="70"/>
      <c r="E4101" s="70"/>
      <c r="F4101" s="70"/>
      <c r="G4101" s="70"/>
      <c r="H4101" s="93"/>
      <c r="I4101" s="85"/>
      <c r="J4101" s="85"/>
      <c r="K4101" s="131"/>
      <c r="L4101" s="60"/>
      <c r="M4101" s="33"/>
      <c r="Z4101" s="3"/>
      <c r="AA4101" s="3"/>
      <c r="AB4101" s="4"/>
    </row>
    <row r="4102" spans="1:28" x14ac:dyDescent="0.15">
      <c r="A4102" s="166"/>
      <c r="B4102" s="82"/>
      <c r="C4102" s="70"/>
      <c r="D4102" s="70"/>
      <c r="E4102" s="70"/>
      <c r="F4102" s="70"/>
      <c r="G4102" s="70"/>
      <c r="H4102" s="93"/>
      <c r="I4102" s="85"/>
      <c r="J4102" s="85"/>
      <c r="K4102" s="131"/>
      <c r="L4102" s="60"/>
      <c r="Z4102" s="3"/>
      <c r="AA4102" s="3"/>
      <c r="AB4102" s="4"/>
    </row>
    <row r="4103" spans="1:28" x14ac:dyDescent="0.15">
      <c r="A4103" s="166"/>
      <c r="B4103" s="82"/>
      <c r="C4103" s="70"/>
      <c r="D4103" s="70"/>
      <c r="E4103" s="70"/>
      <c r="F4103" s="70"/>
      <c r="G4103" s="70"/>
      <c r="H4103" s="93"/>
      <c r="I4103" s="85"/>
      <c r="J4103" s="85"/>
      <c r="K4103" s="131"/>
      <c r="L4103" s="60"/>
      <c r="Z4103" s="3"/>
      <c r="AA4103" s="3"/>
      <c r="AB4103" s="4"/>
    </row>
    <row r="4104" spans="1:28" x14ac:dyDescent="0.15">
      <c r="A4104" s="166"/>
      <c r="B4104" s="82"/>
      <c r="C4104" s="70"/>
      <c r="D4104" s="70"/>
      <c r="E4104" s="70"/>
      <c r="F4104" s="70"/>
      <c r="G4104" s="70"/>
      <c r="H4104" s="93"/>
      <c r="I4104" s="85"/>
      <c r="J4104" s="85"/>
      <c r="K4104" s="131"/>
      <c r="L4104" s="60"/>
      <c r="M4104" s="33"/>
      <c r="Z4104" s="3"/>
      <c r="AA4104" s="3"/>
      <c r="AB4104" s="4"/>
    </row>
    <row r="4105" spans="1:28" x14ac:dyDescent="0.15">
      <c r="A4105" s="166"/>
      <c r="B4105" s="82"/>
      <c r="C4105" s="70"/>
      <c r="D4105" s="70"/>
      <c r="E4105" s="70"/>
      <c r="F4105" s="70"/>
      <c r="G4105" s="70"/>
      <c r="H4105" s="93"/>
      <c r="I4105" s="85"/>
      <c r="J4105" s="85"/>
      <c r="K4105" s="131"/>
      <c r="L4105" s="60"/>
      <c r="Z4105" s="3"/>
      <c r="AA4105" s="3"/>
      <c r="AB4105" s="4"/>
    </row>
    <row r="4106" spans="1:28" x14ac:dyDescent="0.15">
      <c r="A4106" s="166"/>
      <c r="B4106" s="82"/>
      <c r="C4106" s="70"/>
      <c r="D4106" s="70"/>
      <c r="E4106" s="70"/>
      <c r="F4106" s="70"/>
      <c r="G4106" s="70"/>
      <c r="H4106" s="93"/>
      <c r="I4106" s="85"/>
      <c r="J4106" s="85"/>
      <c r="K4106" s="131"/>
      <c r="L4106" s="60"/>
      <c r="Z4106" s="3"/>
      <c r="AA4106" s="3"/>
      <c r="AB4106" s="4"/>
    </row>
    <row r="4107" spans="1:28" x14ac:dyDescent="0.15">
      <c r="A4107" s="166"/>
      <c r="B4107" s="82"/>
      <c r="C4107" s="70"/>
      <c r="D4107" s="70"/>
      <c r="E4107" s="70"/>
      <c r="F4107" s="70"/>
      <c r="G4107" s="70"/>
      <c r="H4107" s="93"/>
      <c r="I4107" s="85"/>
      <c r="J4107" s="85"/>
      <c r="K4107" s="131"/>
      <c r="L4107" s="60"/>
      <c r="Z4107" s="3"/>
      <c r="AA4107" s="3"/>
      <c r="AB4107" s="4"/>
    </row>
    <row r="4108" spans="1:28" ht="16" x14ac:dyDescent="0.2">
      <c r="A4108" s="166"/>
      <c r="B4108" s="93"/>
      <c r="C4108" s="70"/>
      <c r="D4108" s="70"/>
      <c r="E4108" s="73"/>
      <c r="F4108" s="70"/>
      <c r="G4108" s="70"/>
      <c r="H4108" s="93"/>
      <c r="I4108" s="85"/>
      <c r="J4108" s="85"/>
      <c r="K4108" s="131"/>
      <c r="L4108" s="60"/>
      <c r="N4108" s="48"/>
      <c r="Z4108" s="3"/>
      <c r="AA4108" s="3"/>
      <c r="AB4108" s="4"/>
    </row>
    <row r="4109" spans="1:28" x14ac:dyDescent="0.15">
      <c r="A4109" s="166"/>
      <c r="B4109" s="93"/>
      <c r="C4109" s="70"/>
      <c r="D4109" s="70"/>
      <c r="E4109" s="70"/>
      <c r="F4109" s="70"/>
      <c r="G4109" s="70"/>
      <c r="H4109" s="93"/>
      <c r="I4109" s="85"/>
      <c r="J4109" s="85"/>
      <c r="K4109" s="131"/>
      <c r="L4109" s="60"/>
      <c r="M4109" s="33"/>
      <c r="Z4109" s="3"/>
      <c r="AA4109" s="3"/>
      <c r="AB4109" s="4"/>
    </row>
    <row r="4110" spans="1:28" x14ac:dyDescent="0.15">
      <c r="A4110" s="166"/>
      <c r="B4110" s="82"/>
      <c r="C4110" s="70"/>
      <c r="D4110" s="70"/>
      <c r="E4110" s="70"/>
      <c r="F4110" s="70"/>
      <c r="G4110" s="70"/>
      <c r="H4110" s="93"/>
      <c r="I4110" s="85"/>
      <c r="J4110" s="85"/>
      <c r="K4110" s="131"/>
      <c r="L4110" s="60"/>
      <c r="M4110" s="33"/>
      <c r="Z4110" s="3"/>
      <c r="AA4110" s="3"/>
      <c r="AB4110" s="4"/>
    </row>
    <row r="4111" spans="1:28" ht="16" x14ac:dyDescent="0.2">
      <c r="A4111" s="166"/>
      <c r="B4111" s="82"/>
      <c r="C4111" s="70"/>
      <c r="D4111" s="70"/>
      <c r="E4111" s="70"/>
      <c r="F4111" s="70"/>
      <c r="G4111" s="70"/>
      <c r="H4111" s="93"/>
      <c r="I4111" s="85"/>
      <c r="J4111" s="85"/>
      <c r="K4111" s="131"/>
      <c r="L4111" s="60"/>
      <c r="N4111" s="48"/>
      <c r="Z4111" s="3"/>
      <c r="AA4111" s="3"/>
      <c r="AB4111" s="4"/>
    </row>
    <row r="4112" spans="1:28" x14ac:dyDescent="0.15">
      <c r="A4112" s="166"/>
      <c r="B4112" s="82"/>
      <c r="C4112" s="70"/>
      <c r="D4112" s="70"/>
      <c r="E4112" s="70"/>
      <c r="F4112" s="70"/>
      <c r="G4112" s="70"/>
      <c r="H4112" s="93"/>
      <c r="I4112" s="85"/>
      <c r="J4112" s="85"/>
      <c r="K4112" s="131"/>
      <c r="L4112" s="60"/>
      <c r="M4112" s="33"/>
      <c r="Z4112" s="3"/>
      <c r="AA4112" s="3"/>
      <c r="AB4112" s="4"/>
    </row>
    <row r="4113" spans="1:28" x14ac:dyDescent="0.15">
      <c r="A4113" s="70"/>
      <c r="B4113" s="93"/>
      <c r="C4113" s="70"/>
      <c r="D4113" s="70"/>
      <c r="E4113" s="70"/>
      <c r="F4113" s="70"/>
      <c r="G4113" s="70"/>
      <c r="H4113" s="93"/>
      <c r="I4113" s="85"/>
      <c r="J4113" s="85"/>
      <c r="K4113" s="131"/>
      <c r="L4113" s="60"/>
      <c r="M4113" s="33"/>
      <c r="Z4113" s="3"/>
      <c r="AA4113" s="3"/>
      <c r="AB4113" s="4"/>
    </row>
    <row r="4114" spans="1:28" x14ac:dyDescent="0.15">
      <c r="A4114" s="70"/>
      <c r="B4114" s="82"/>
      <c r="C4114" s="70"/>
      <c r="D4114" s="70"/>
      <c r="E4114" s="70"/>
      <c r="F4114" s="70"/>
      <c r="G4114" s="70"/>
      <c r="H4114" s="93"/>
      <c r="I4114" s="85"/>
      <c r="J4114" s="85"/>
      <c r="K4114" s="131"/>
      <c r="L4114" s="60"/>
      <c r="M4114" s="33"/>
      <c r="Z4114" s="3"/>
      <c r="AA4114" s="3"/>
      <c r="AB4114" s="4"/>
    </row>
    <row r="4115" spans="1:28" ht="16" x14ac:dyDescent="0.2">
      <c r="A4115" s="70"/>
      <c r="B4115" s="82"/>
      <c r="C4115" s="70"/>
      <c r="D4115" s="70"/>
      <c r="E4115" s="70"/>
      <c r="F4115" s="70"/>
      <c r="G4115" s="70"/>
      <c r="H4115" s="93"/>
      <c r="I4115" s="85"/>
      <c r="J4115" s="85"/>
      <c r="K4115" s="131"/>
      <c r="L4115" s="60"/>
      <c r="N4115" s="48"/>
      <c r="Z4115" s="3"/>
      <c r="AA4115" s="3"/>
      <c r="AB4115" s="4"/>
    </row>
    <row r="4116" spans="1:28" ht="16" x14ac:dyDescent="0.2">
      <c r="A4116" s="70"/>
      <c r="B4116" s="93"/>
      <c r="C4116" s="70"/>
      <c r="D4116" s="70"/>
      <c r="E4116" s="70"/>
      <c r="F4116" s="70"/>
      <c r="G4116" s="70"/>
      <c r="H4116" s="93"/>
      <c r="I4116" s="85"/>
      <c r="J4116" s="85"/>
      <c r="K4116" s="131"/>
      <c r="L4116" s="60"/>
      <c r="M4116" s="47"/>
      <c r="Z4116" s="3"/>
      <c r="AA4116" s="3"/>
      <c r="AB4116" s="4"/>
    </row>
    <row r="4117" spans="1:28" x14ac:dyDescent="0.15">
      <c r="A4117" s="70"/>
      <c r="B4117" s="93"/>
      <c r="C4117" s="70"/>
      <c r="D4117" s="70"/>
      <c r="E4117" s="70"/>
      <c r="F4117" s="70"/>
      <c r="G4117" s="70"/>
      <c r="H4117" s="93"/>
      <c r="I4117" s="85"/>
      <c r="J4117" s="85"/>
      <c r="K4117" s="131"/>
      <c r="L4117" s="60"/>
      <c r="M4117" s="33"/>
      <c r="Z4117" s="3"/>
      <c r="AA4117" s="3"/>
      <c r="AB4117" s="4"/>
    </row>
    <row r="4118" spans="1:28" x14ac:dyDescent="0.15">
      <c r="A4118" s="70"/>
      <c r="B4118" s="93"/>
      <c r="C4118" s="70"/>
      <c r="D4118" s="70"/>
      <c r="E4118" s="70"/>
      <c r="F4118" s="70"/>
      <c r="G4118" s="70"/>
      <c r="H4118" s="93"/>
      <c r="I4118" s="85"/>
      <c r="J4118" s="85"/>
      <c r="K4118" s="131"/>
      <c r="L4118" s="60"/>
      <c r="M4118" s="33"/>
      <c r="Z4118" s="3"/>
      <c r="AA4118" s="3"/>
      <c r="AB4118" s="4"/>
    </row>
    <row r="4119" spans="1:28" x14ac:dyDescent="0.15">
      <c r="A4119" s="70"/>
      <c r="B4119" s="93"/>
      <c r="C4119" s="70"/>
      <c r="D4119" s="70"/>
      <c r="E4119" s="70"/>
      <c r="F4119" s="70"/>
      <c r="G4119" s="70"/>
      <c r="H4119" s="93"/>
      <c r="I4119" s="85"/>
      <c r="J4119" s="85"/>
      <c r="K4119" s="148"/>
      <c r="L4119" s="60"/>
      <c r="M4119" s="33"/>
      <c r="Z4119" s="3"/>
      <c r="AA4119" s="3"/>
      <c r="AB4119" s="4"/>
    </row>
    <row r="4120" spans="1:28" x14ac:dyDescent="0.15">
      <c r="A4120" s="70"/>
      <c r="B4120" s="93"/>
      <c r="C4120" s="70"/>
      <c r="D4120" s="70"/>
      <c r="E4120" s="70"/>
      <c r="F4120" s="70"/>
      <c r="G4120" s="70"/>
      <c r="H4120" s="93"/>
      <c r="I4120" s="85"/>
      <c r="J4120" s="85"/>
      <c r="K4120" s="131"/>
      <c r="L4120" s="60"/>
      <c r="M4120" s="33"/>
      <c r="Z4120" s="3"/>
      <c r="AA4120" s="3"/>
      <c r="AB4120" s="4"/>
    </row>
    <row r="4121" spans="1:28" x14ac:dyDescent="0.15">
      <c r="A4121" s="83"/>
      <c r="B4121" s="82"/>
      <c r="C4121" s="70"/>
      <c r="D4121" s="70"/>
      <c r="E4121" s="70"/>
      <c r="F4121" s="70"/>
      <c r="G4121" s="70"/>
      <c r="H4121" s="93"/>
      <c r="I4121" s="85"/>
      <c r="J4121" s="85"/>
      <c r="K4121" s="131"/>
      <c r="L4121" s="60"/>
      <c r="M4121" s="33"/>
      <c r="Z4121" s="3"/>
      <c r="AA4121" s="3"/>
      <c r="AB4121" s="4"/>
    </row>
    <row r="4122" spans="1:28" x14ac:dyDescent="0.15">
      <c r="A4122" s="70"/>
      <c r="B4122" s="93"/>
      <c r="C4122" s="70"/>
      <c r="D4122" s="70"/>
      <c r="E4122" s="70"/>
      <c r="F4122" s="70"/>
      <c r="G4122" s="70"/>
      <c r="H4122" s="93"/>
      <c r="I4122" s="85"/>
      <c r="J4122" s="85"/>
      <c r="K4122" s="131"/>
      <c r="L4122" s="60"/>
      <c r="M4122" s="33"/>
      <c r="Z4122" s="3"/>
      <c r="AA4122" s="3"/>
      <c r="AB4122" s="4"/>
    </row>
    <row r="4123" spans="1:28" x14ac:dyDescent="0.15">
      <c r="A4123" s="70"/>
      <c r="B4123" s="93"/>
      <c r="C4123" s="70"/>
      <c r="D4123" s="70"/>
      <c r="E4123" s="70"/>
      <c r="F4123" s="70"/>
      <c r="G4123" s="70"/>
      <c r="H4123" s="93"/>
      <c r="I4123" s="85"/>
      <c r="J4123" s="85"/>
      <c r="K4123" s="131"/>
      <c r="L4123" s="60"/>
      <c r="M4123" s="33"/>
      <c r="Z4123" s="3"/>
      <c r="AA4123" s="3"/>
      <c r="AB4123" s="4"/>
    </row>
    <row r="4124" spans="1:28" ht="16" x14ac:dyDescent="0.2">
      <c r="A4124" s="70"/>
      <c r="B4124" s="82"/>
      <c r="C4124" s="70"/>
      <c r="D4124" s="70"/>
      <c r="E4124" s="70"/>
      <c r="F4124" s="70"/>
      <c r="G4124" s="70"/>
      <c r="H4124" s="93"/>
      <c r="I4124" s="85"/>
      <c r="J4124" s="85"/>
      <c r="K4124" s="148"/>
      <c r="L4124" s="60"/>
      <c r="M4124" s="47"/>
      <c r="Z4124" s="3"/>
      <c r="AA4124" s="3"/>
      <c r="AB4124" s="4"/>
    </row>
    <row r="4125" spans="1:28" ht="16" x14ac:dyDescent="0.2">
      <c r="A4125" s="70"/>
      <c r="B4125" s="93"/>
      <c r="C4125" s="70"/>
      <c r="D4125" s="70"/>
      <c r="E4125" s="73"/>
      <c r="F4125" s="70"/>
      <c r="G4125" s="70"/>
      <c r="H4125" s="93"/>
      <c r="I4125" s="85"/>
      <c r="J4125" s="85"/>
      <c r="K4125" s="131"/>
      <c r="L4125" s="60"/>
      <c r="M4125" s="47"/>
      <c r="Z4125" s="3"/>
      <c r="AA4125" s="3"/>
      <c r="AB4125" s="4"/>
    </row>
    <row r="4126" spans="1:28" x14ac:dyDescent="0.15">
      <c r="A4126" s="70"/>
      <c r="B4126" s="82"/>
      <c r="C4126" s="70"/>
      <c r="D4126" s="70"/>
      <c r="E4126" s="70"/>
      <c r="F4126" s="70"/>
      <c r="G4126" s="70"/>
      <c r="H4126" s="93"/>
      <c r="I4126" s="85"/>
      <c r="J4126" s="85"/>
      <c r="K4126" s="131"/>
      <c r="L4126" s="60"/>
      <c r="N4126" s="35"/>
      <c r="Z4126" s="3"/>
      <c r="AA4126" s="3"/>
      <c r="AB4126" s="4"/>
    </row>
    <row r="4127" spans="1:28" x14ac:dyDescent="0.15">
      <c r="A4127" s="70"/>
      <c r="B4127" s="93"/>
      <c r="C4127" s="73"/>
      <c r="D4127" s="73"/>
      <c r="E4127" s="73"/>
      <c r="F4127" s="73"/>
      <c r="G4127" s="73"/>
      <c r="H4127" s="108"/>
      <c r="I4127" s="85"/>
      <c r="J4127" s="85"/>
      <c r="K4127" s="131"/>
      <c r="L4127" s="60"/>
      <c r="M4127" s="33"/>
      <c r="Z4127" s="3"/>
      <c r="AA4127" s="3"/>
      <c r="AB4127" s="4"/>
    </row>
    <row r="4128" spans="1:28" x14ac:dyDescent="0.15">
      <c r="A4128" s="70"/>
      <c r="B4128" s="82"/>
      <c r="C4128" s="70"/>
      <c r="D4128" s="70"/>
      <c r="E4128" s="70"/>
      <c r="F4128" s="70"/>
      <c r="G4128" s="70"/>
      <c r="H4128" s="93"/>
      <c r="I4128" s="85"/>
      <c r="J4128" s="85"/>
      <c r="K4128" s="131"/>
      <c r="L4128" s="60"/>
      <c r="Z4128" s="3"/>
      <c r="AA4128" s="3"/>
      <c r="AB4128" s="4"/>
    </row>
    <row r="4129" spans="1:28" x14ac:dyDescent="0.15">
      <c r="A4129" s="70"/>
      <c r="B4129" s="93"/>
      <c r="C4129" s="70"/>
      <c r="D4129" s="70"/>
      <c r="E4129" s="70"/>
      <c r="F4129" s="70"/>
      <c r="G4129" s="70"/>
      <c r="H4129" s="93"/>
      <c r="I4129" s="85"/>
      <c r="J4129" s="85"/>
      <c r="K4129" s="131"/>
      <c r="L4129" s="60"/>
      <c r="M4129" s="33"/>
      <c r="Z4129" s="3"/>
      <c r="AA4129" s="3"/>
      <c r="AB4129" s="4"/>
    </row>
    <row r="4130" spans="1:28" x14ac:dyDescent="0.15">
      <c r="A4130" s="70"/>
      <c r="B4130" s="82"/>
      <c r="C4130" s="70"/>
      <c r="D4130" s="70"/>
      <c r="E4130" s="70"/>
      <c r="F4130" s="70"/>
      <c r="G4130" s="70"/>
      <c r="H4130" s="93"/>
      <c r="I4130" s="85"/>
      <c r="J4130" s="85"/>
      <c r="K4130" s="131"/>
      <c r="L4130" s="60"/>
      <c r="M4130" s="33"/>
      <c r="N4130" s="32"/>
      <c r="Z4130" s="3"/>
      <c r="AA4130" s="3"/>
      <c r="AB4130" s="4"/>
    </row>
    <row r="4131" spans="1:28" x14ac:dyDescent="0.15">
      <c r="A4131" s="62"/>
      <c r="B4131" s="115"/>
      <c r="C4131" s="61"/>
      <c r="D4131" s="61"/>
      <c r="E4131" s="61"/>
      <c r="F4131" s="61"/>
      <c r="G4131" s="61"/>
      <c r="H4131" s="115"/>
      <c r="I4131" s="103"/>
      <c r="J4131" s="103"/>
      <c r="K4131" s="141"/>
      <c r="L4131" s="67"/>
      <c r="M4131" s="35"/>
      <c r="N4131" s="35"/>
      <c r="O4131" s="35"/>
      <c r="Z4131" s="3"/>
      <c r="AA4131" s="3"/>
      <c r="AB4131" s="4"/>
    </row>
    <row r="4132" spans="1:28" x14ac:dyDescent="0.15">
      <c r="A4132" s="70"/>
      <c r="B4132" s="93"/>
      <c r="C4132" s="70"/>
      <c r="D4132" s="70"/>
      <c r="E4132" s="70"/>
      <c r="F4132" s="70"/>
      <c r="G4132" s="70"/>
      <c r="H4132" s="93"/>
      <c r="I4132" s="85"/>
      <c r="J4132" s="85"/>
      <c r="K4132" s="131"/>
      <c r="L4132" s="60"/>
      <c r="M4132" s="33"/>
      <c r="Z4132" s="3"/>
      <c r="AA4132" s="3"/>
      <c r="AB4132" s="4"/>
    </row>
    <row r="4133" spans="1:28" x14ac:dyDescent="0.15">
      <c r="A4133" s="70"/>
      <c r="B4133" s="93"/>
      <c r="C4133" s="73"/>
      <c r="D4133" s="73"/>
      <c r="E4133" s="73"/>
      <c r="F4133" s="73"/>
      <c r="G4133" s="73"/>
      <c r="H4133" s="108"/>
      <c r="I4133" s="85"/>
      <c r="J4133" s="85"/>
      <c r="K4133" s="131"/>
      <c r="L4133" s="60"/>
      <c r="M4133" s="33"/>
      <c r="Z4133" s="3"/>
      <c r="AA4133" s="3"/>
      <c r="AB4133" s="4"/>
    </row>
    <row r="4134" spans="1:28" x14ac:dyDescent="0.15">
      <c r="A4134" s="70"/>
      <c r="B4134" s="93"/>
      <c r="C4134" s="70"/>
      <c r="D4134" s="70"/>
      <c r="E4134" s="70"/>
      <c r="F4134" s="70"/>
      <c r="G4134" s="70"/>
      <c r="H4134" s="93"/>
      <c r="I4134" s="85"/>
      <c r="J4134" s="85"/>
      <c r="K4134" s="131"/>
      <c r="L4134" s="60"/>
      <c r="M4134" s="33"/>
      <c r="Z4134" s="3"/>
      <c r="AA4134" s="3"/>
      <c r="AB4134" s="4"/>
    </row>
    <row r="4135" spans="1:28" x14ac:dyDescent="0.15">
      <c r="A4135" s="70"/>
      <c r="B4135" s="82"/>
      <c r="C4135" s="70"/>
      <c r="D4135" s="70"/>
      <c r="E4135" s="70"/>
      <c r="F4135" s="70"/>
      <c r="G4135" s="70"/>
      <c r="H4135" s="93"/>
      <c r="I4135" s="85"/>
      <c r="J4135" s="85"/>
      <c r="K4135" s="131"/>
      <c r="L4135" s="60"/>
      <c r="M4135" s="33"/>
      <c r="Z4135" s="3"/>
      <c r="AA4135" s="3"/>
      <c r="AB4135" s="4"/>
    </row>
    <row r="4136" spans="1:28" x14ac:dyDescent="0.15">
      <c r="A4136" s="70"/>
      <c r="B4136" s="93"/>
      <c r="C4136" s="73"/>
      <c r="D4136" s="73"/>
      <c r="E4136" s="73"/>
      <c r="F4136" s="73"/>
      <c r="G4136" s="73"/>
      <c r="H4136" s="108"/>
      <c r="I4136" s="85"/>
      <c r="J4136" s="95"/>
      <c r="K4136" s="131"/>
      <c r="L4136" s="60"/>
      <c r="M4136" s="33"/>
      <c r="Z4136" s="3"/>
      <c r="AA4136" s="3"/>
      <c r="AB4136" s="4"/>
    </row>
    <row r="4137" spans="1:28" x14ac:dyDescent="0.15">
      <c r="A4137" s="70"/>
      <c r="B4137" s="93"/>
      <c r="C4137" s="70"/>
      <c r="D4137" s="70"/>
      <c r="E4137" s="70"/>
      <c r="F4137" s="70"/>
      <c r="G4137" s="70"/>
      <c r="H4137" s="93"/>
      <c r="I4137" s="85"/>
      <c r="J4137" s="85"/>
      <c r="K4137" s="131"/>
      <c r="L4137" s="60"/>
      <c r="M4137" s="33"/>
      <c r="Z4137" s="3"/>
      <c r="AA4137" s="3"/>
      <c r="AB4137" s="4"/>
    </row>
    <row r="4138" spans="1:28" x14ac:dyDescent="0.15">
      <c r="A4138" s="70"/>
      <c r="B4138" s="93"/>
      <c r="C4138" s="70"/>
      <c r="D4138" s="70"/>
      <c r="E4138" s="70"/>
      <c r="F4138" s="70"/>
      <c r="G4138" s="70"/>
      <c r="H4138" s="93"/>
      <c r="I4138" s="85"/>
      <c r="J4138" s="85"/>
      <c r="K4138" s="131"/>
      <c r="L4138" s="60"/>
      <c r="M4138" s="33"/>
      <c r="Z4138" s="3"/>
      <c r="AA4138" s="3"/>
      <c r="AB4138" s="4"/>
    </row>
    <row r="4139" spans="1:28" ht="16" x14ac:dyDescent="0.2">
      <c r="A4139" s="70"/>
      <c r="B4139" s="93"/>
      <c r="C4139" s="70"/>
      <c r="D4139" s="70"/>
      <c r="E4139" s="70"/>
      <c r="F4139" s="70"/>
      <c r="G4139" s="70"/>
      <c r="H4139" s="93"/>
      <c r="I4139" s="85"/>
      <c r="J4139" s="85"/>
      <c r="K4139" s="131"/>
      <c r="L4139" s="60"/>
      <c r="M4139" s="47"/>
      <c r="Z4139" s="3"/>
      <c r="AA4139" s="3"/>
      <c r="AB4139" s="4"/>
    </row>
    <row r="4140" spans="1:28" x14ac:dyDescent="0.15">
      <c r="A4140" s="70"/>
      <c r="B4140" s="93"/>
      <c r="C4140" s="70"/>
      <c r="D4140" s="70"/>
      <c r="E4140" s="70"/>
      <c r="F4140" s="70"/>
      <c r="G4140" s="70"/>
      <c r="H4140" s="93"/>
      <c r="I4140" s="85"/>
      <c r="J4140" s="85"/>
      <c r="K4140" s="131"/>
      <c r="L4140" s="60"/>
      <c r="M4140" s="33"/>
      <c r="Z4140" s="3"/>
      <c r="AA4140" s="3"/>
      <c r="AB4140" s="4"/>
    </row>
    <row r="4141" spans="1:28" x14ac:dyDescent="0.15">
      <c r="A4141" s="70"/>
      <c r="B4141" s="82"/>
      <c r="C4141" s="73"/>
      <c r="D4141" s="73"/>
      <c r="E4141" s="73"/>
      <c r="F4141" s="73"/>
      <c r="G4141" s="73"/>
      <c r="H4141" s="108"/>
      <c r="I4141" s="85"/>
      <c r="J4141" s="85"/>
      <c r="K4141" s="131"/>
      <c r="L4141" s="60"/>
      <c r="M4141" s="33"/>
      <c r="Q4141" s="6"/>
      <c r="R4141" s="6"/>
      <c r="Z4141" s="3"/>
      <c r="AA4141" s="3"/>
      <c r="AB4141" s="4"/>
    </row>
    <row r="4142" spans="1:28" x14ac:dyDescent="0.15">
      <c r="A4142" s="70"/>
      <c r="B4142" s="93"/>
      <c r="C4142" s="70"/>
      <c r="D4142" s="70"/>
      <c r="E4142" s="70"/>
      <c r="F4142" s="70"/>
      <c r="G4142" s="70"/>
      <c r="H4142" s="93"/>
      <c r="I4142" s="85"/>
      <c r="J4142" s="85"/>
      <c r="K4142" s="131"/>
      <c r="L4142" s="60"/>
      <c r="M4142" s="33"/>
      <c r="Q4142" s="6"/>
      <c r="R4142" s="6"/>
      <c r="Z4142" s="3"/>
      <c r="AA4142" s="3"/>
      <c r="AB4142" s="4"/>
    </row>
    <row r="4143" spans="1:28" x14ac:dyDescent="0.15">
      <c r="A4143" s="70"/>
      <c r="B4143" s="93"/>
      <c r="C4143" s="70"/>
      <c r="D4143" s="70"/>
      <c r="E4143" s="70"/>
      <c r="F4143" s="70"/>
      <c r="G4143" s="70"/>
      <c r="H4143" s="93"/>
      <c r="I4143" s="85"/>
      <c r="J4143" s="85"/>
      <c r="K4143" s="131"/>
      <c r="L4143" s="60"/>
      <c r="M4143" s="33"/>
      <c r="Q4143" s="6"/>
      <c r="R4143" s="6"/>
      <c r="Z4143" s="3"/>
      <c r="AA4143" s="3"/>
      <c r="AB4143" s="4"/>
    </row>
    <row r="4144" spans="1:28" x14ac:dyDescent="0.15">
      <c r="A4144" s="70"/>
      <c r="B4144" s="93"/>
      <c r="C4144" s="73"/>
      <c r="D4144" s="73"/>
      <c r="E4144" s="73"/>
      <c r="F4144" s="73"/>
      <c r="G4144" s="73"/>
      <c r="H4144" s="108"/>
      <c r="I4144" s="85"/>
      <c r="J4144" s="95"/>
      <c r="K4144" s="131"/>
      <c r="L4144" s="60"/>
      <c r="M4144" s="33"/>
      <c r="Q4144" s="6"/>
      <c r="R4144" s="6"/>
      <c r="Z4144" s="3"/>
      <c r="AA4144" s="3"/>
      <c r="AB4144" s="4"/>
    </row>
    <row r="4145" spans="1:28" x14ac:dyDescent="0.15">
      <c r="A4145" s="70"/>
      <c r="B4145" s="93"/>
      <c r="C4145" s="70"/>
      <c r="D4145" s="70"/>
      <c r="E4145" s="73"/>
      <c r="F4145" s="70"/>
      <c r="G4145" s="70"/>
      <c r="H4145" s="93"/>
      <c r="I4145" s="85"/>
      <c r="J4145" s="85"/>
      <c r="K4145" s="131"/>
      <c r="L4145" s="60"/>
      <c r="M4145" s="33"/>
      <c r="Q4145" s="6"/>
      <c r="R4145" s="6"/>
      <c r="Z4145" s="3"/>
      <c r="AA4145" s="3"/>
      <c r="AB4145" s="4"/>
    </row>
    <row r="4146" spans="1:28" x14ac:dyDescent="0.15">
      <c r="A4146" s="70"/>
      <c r="B4146" s="82"/>
      <c r="C4146" s="70"/>
      <c r="D4146" s="70"/>
      <c r="E4146" s="70"/>
      <c r="F4146" s="70"/>
      <c r="G4146" s="70"/>
      <c r="H4146" s="93"/>
      <c r="I4146" s="85"/>
      <c r="J4146" s="85"/>
      <c r="K4146" s="131"/>
      <c r="L4146" s="60"/>
      <c r="Q4146" s="6"/>
      <c r="R4146" s="6"/>
      <c r="Z4146" s="3"/>
      <c r="AA4146" s="3"/>
      <c r="AB4146" s="4"/>
    </row>
    <row r="4147" spans="1:28" x14ac:dyDescent="0.15">
      <c r="A4147" s="70"/>
      <c r="B4147" s="82"/>
      <c r="C4147" s="70"/>
      <c r="D4147" s="70"/>
      <c r="E4147" s="70"/>
      <c r="F4147" s="70"/>
      <c r="G4147" s="70"/>
      <c r="H4147" s="93"/>
      <c r="I4147" s="85"/>
      <c r="J4147" s="85"/>
      <c r="K4147" s="131"/>
      <c r="L4147" s="60"/>
      <c r="Q4147" s="6"/>
      <c r="R4147" s="6"/>
      <c r="Z4147" s="3"/>
      <c r="AA4147" s="3"/>
      <c r="AB4147" s="4"/>
    </row>
    <row r="4148" spans="1:28" x14ac:dyDescent="0.15">
      <c r="A4148" s="70"/>
      <c r="B4148" s="93"/>
      <c r="C4148" s="70"/>
      <c r="D4148" s="70"/>
      <c r="E4148" s="70"/>
      <c r="F4148" s="70"/>
      <c r="G4148" s="70"/>
      <c r="H4148" s="93"/>
      <c r="I4148" s="85"/>
      <c r="J4148" s="85"/>
      <c r="K4148" s="131"/>
      <c r="L4148" s="60"/>
      <c r="M4148" s="33"/>
      <c r="Q4148" s="6"/>
      <c r="R4148" s="6"/>
      <c r="Z4148" s="3"/>
      <c r="AA4148" s="3"/>
      <c r="AB4148" s="4"/>
    </row>
    <row r="4149" spans="1:28" x14ac:dyDescent="0.15">
      <c r="A4149" s="70"/>
      <c r="B4149" s="93"/>
      <c r="C4149" s="70"/>
      <c r="D4149" s="70"/>
      <c r="E4149" s="70"/>
      <c r="F4149" s="70"/>
      <c r="G4149" s="70"/>
      <c r="H4149" s="93"/>
      <c r="I4149" s="85"/>
      <c r="J4149" s="85"/>
      <c r="K4149" s="131"/>
      <c r="L4149" s="60"/>
      <c r="M4149" s="33"/>
      <c r="Q4149" s="6"/>
      <c r="R4149" s="6"/>
      <c r="Z4149" s="3"/>
      <c r="AA4149" s="3"/>
      <c r="AB4149" s="4"/>
    </row>
    <row r="4150" spans="1:28" x14ac:dyDescent="0.15">
      <c r="A4150" s="70"/>
      <c r="B4150" s="93"/>
      <c r="C4150" s="70"/>
      <c r="D4150" s="70"/>
      <c r="E4150" s="70"/>
      <c r="F4150" s="70"/>
      <c r="G4150" s="70"/>
      <c r="H4150" s="93"/>
      <c r="I4150" s="85"/>
      <c r="J4150" s="85"/>
      <c r="K4150" s="131"/>
      <c r="L4150" s="60"/>
      <c r="M4150" s="33"/>
      <c r="Q4150" s="2"/>
      <c r="R4150" s="2"/>
      <c r="Z4150" s="3"/>
      <c r="AA4150" s="3"/>
      <c r="AB4150" s="4"/>
    </row>
    <row r="4151" spans="1:28" ht="16" x14ac:dyDescent="0.2">
      <c r="A4151" s="70"/>
      <c r="B4151" s="93"/>
      <c r="C4151" s="70"/>
      <c r="D4151" s="70"/>
      <c r="E4151" s="70"/>
      <c r="F4151" s="70"/>
      <c r="G4151" s="70"/>
      <c r="H4151" s="93"/>
      <c r="I4151" s="85"/>
      <c r="J4151" s="85"/>
      <c r="K4151" s="131"/>
      <c r="L4151" s="70"/>
      <c r="M4151" s="47"/>
      <c r="Q4151"/>
      <c r="R4151"/>
      <c r="Z4151" s="3"/>
      <c r="AA4151" s="3"/>
      <c r="AB4151" s="4"/>
    </row>
    <row r="4152" spans="1:28" x14ac:dyDescent="0.15">
      <c r="A4152" s="70"/>
      <c r="B4152" s="82"/>
      <c r="C4152" s="70"/>
      <c r="D4152" s="70"/>
      <c r="E4152" s="70"/>
      <c r="F4152" s="70"/>
      <c r="G4152" s="70"/>
      <c r="H4152" s="93"/>
      <c r="I4152" s="85"/>
      <c r="J4152" s="85"/>
      <c r="K4152" s="131"/>
      <c r="L4152" s="60"/>
      <c r="Z4152" s="3"/>
      <c r="AA4152" s="3"/>
      <c r="AB4152" s="4"/>
    </row>
    <row r="4153" spans="1:28" ht="16" x14ac:dyDescent="0.2">
      <c r="A4153" s="70"/>
      <c r="B4153" s="93"/>
      <c r="C4153" s="70"/>
      <c r="D4153" s="70"/>
      <c r="E4153" s="70"/>
      <c r="F4153" s="70"/>
      <c r="G4153" s="70"/>
      <c r="H4153" s="93"/>
      <c r="I4153" s="85"/>
      <c r="J4153" s="85"/>
      <c r="K4153" s="131"/>
      <c r="L4153" s="60"/>
      <c r="M4153" s="47"/>
      <c r="Z4153" s="3"/>
      <c r="AA4153" s="3"/>
      <c r="AB4153" s="4"/>
    </row>
    <row r="4154" spans="1:28" x14ac:dyDescent="0.15">
      <c r="A4154" s="70"/>
      <c r="B4154" s="93"/>
      <c r="C4154" s="70"/>
      <c r="D4154" s="70"/>
      <c r="E4154" s="70"/>
      <c r="F4154" s="70"/>
      <c r="G4154" s="70"/>
      <c r="H4154" s="93"/>
      <c r="I4154" s="85"/>
      <c r="J4154" s="85"/>
      <c r="K4154" s="131"/>
      <c r="L4154" s="60"/>
      <c r="M4154" s="33"/>
      <c r="Z4154" s="3"/>
      <c r="AA4154" s="3"/>
      <c r="AB4154" s="4"/>
    </row>
    <row r="4155" spans="1:28" x14ac:dyDescent="0.15">
      <c r="A4155" s="70"/>
      <c r="B4155" s="93"/>
      <c r="C4155" s="70"/>
      <c r="D4155" s="70"/>
      <c r="E4155" s="73"/>
      <c r="F4155" s="70"/>
      <c r="G4155" s="70"/>
      <c r="H4155" s="93"/>
      <c r="I4155" s="85"/>
      <c r="J4155" s="85"/>
      <c r="K4155" s="131"/>
      <c r="L4155" s="60"/>
      <c r="M4155" s="33"/>
      <c r="Z4155" s="3"/>
      <c r="AA4155" s="3"/>
      <c r="AB4155" s="4"/>
    </row>
    <row r="4156" spans="1:28" x14ac:dyDescent="0.15">
      <c r="A4156" s="70"/>
      <c r="B4156" s="93"/>
      <c r="C4156" s="70"/>
      <c r="D4156" s="70"/>
      <c r="E4156" s="70"/>
      <c r="F4156" s="70"/>
      <c r="G4156" s="70"/>
      <c r="H4156" s="93"/>
      <c r="I4156" s="85"/>
      <c r="J4156" s="85"/>
      <c r="K4156" s="131"/>
      <c r="L4156" s="70"/>
      <c r="M4156" s="33"/>
      <c r="Z4156" s="3"/>
      <c r="AA4156" s="3"/>
      <c r="AB4156" s="4"/>
    </row>
    <row r="4157" spans="1:28" x14ac:dyDescent="0.15">
      <c r="A4157" s="70"/>
      <c r="B4157" s="93"/>
      <c r="C4157" s="70"/>
      <c r="D4157" s="70"/>
      <c r="E4157" s="70"/>
      <c r="F4157" s="70"/>
      <c r="G4157" s="70"/>
      <c r="H4157" s="93"/>
      <c r="I4157" s="85"/>
      <c r="J4157" s="85"/>
      <c r="K4157" s="131"/>
      <c r="L4157" s="60"/>
      <c r="M4157" s="33"/>
      <c r="Z4157" s="3"/>
      <c r="AA4157" s="3"/>
      <c r="AB4157" s="4"/>
    </row>
    <row r="4158" spans="1:28" ht="16" x14ac:dyDescent="0.2">
      <c r="A4158" s="70"/>
      <c r="B4158" s="93"/>
      <c r="C4158" s="73"/>
      <c r="D4158" s="73"/>
      <c r="E4158" s="73"/>
      <c r="F4158" s="73"/>
      <c r="G4158" s="73"/>
      <c r="H4158" s="108"/>
      <c r="I4158" s="85"/>
      <c r="J4158" s="95"/>
      <c r="K4158" s="131"/>
      <c r="L4158" s="60"/>
      <c r="M4158" s="47"/>
      <c r="Z4158" s="3"/>
      <c r="AA4158" s="3"/>
      <c r="AB4158" s="4"/>
    </row>
    <row r="4159" spans="1:28" x14ac:dyDescent="0.15">
      <c r="A4159" s="70"/>
      <c r="B4159" s="93"/>
      <c r="C4159" s="70"/>
      <c r="D4159" s="70"/>
      <c r="E4159" s="70"/>
      <c r="F4159" s="70"/>
      <c r="G4159" s="70"/>
      <c r="H4159" s="93"/>
      <c r="I4159" s="85"/>
      <c r="J4159" s="85"/>
      <c r="K4159" s="131"/>
      <c r="L4159" s="60"/>
      <c r="M4159" s="33"/>
      <c r="Z4159" s="3"/>
      <c r="AA4159" s="3"/>
      <c r="AB4159" s="4"/>
    </row>
    <row r="4160" spans="1:28" ht="16" x14ac:dyDescent="0.2">
      <c r="A4160" s="70"/>
      <c r="B4160" s="82"/>
      <c r="C4160" s="70"/>
      <c r="D4160" s="70"/>
      <c r="E4160" s="70"/>
      <c r="F4160" s="70"/>
      <c r="G4160" s="70"/>
      <c r="H4160" s="93"/>
      <c r="I4160" s="85"/>
      <c r="J4160" s="85"/>
      <c r="K4160" s="131"/>
      <c r="L4160" s="60"/>
      <c r="N4160" s="48"/>
      <c r="Z4160" s="3"/>
      <c r="AA4160" s="3"/>
      <c r="AB4160" s="4"/>
    </row>
    <row r="4161" spans="1:28" x14ac:dyDescent="0.15">
      <c r="A4161" s="70"/>
      <c r="B4161" s="93"/>
      <c r="C4161" s="70"/>
      <c r="D4161" s="70"/>
      <c r="E4161" s="70"/>
      <c r="F4161" s="70"/>
      <c r="G4161" s="70"/>
      <c r="H4161" s="93"/>
      <c r="I4161" s="85"/>
      <c r="J4161" s="85"/>
      <c r="K4161" s="131"/>
      <c r="L4161" s="60"/>
      <c r="M4161" s="33"/>
      <c r="Z4161" s="3"/>
      <c r="AA4161" s="3"/>
      <c r="AB4161" s="4"/>
    </row>
    <row r="4162" spans="1:28" x14ac:dyDescent="0.15">
      <c r="A4162" s="70"/>
      <c r="B4162" s="82"/>
      <c r="C4162" s="70"/>
      <c r="D4162" s="70"/>
      <c r="E4162" s="70"/>
      <c r="F4162" s="70"/>
      <c r="G4162" s="70"/>
      <c r="H4162" s="93"/>
      <c r="I4162" s="85"/>
      <c r="J4162" s="85"/>
      <c r="K4162" s="131"/>
      <c r="L4162" s="60"/>
      <c r="Z4162" s="3"/>
      <c r="AA4162" s="3"/>
      <c r="AB4162" s="4"/>
    </row>
    <row r="4163" spans="1:28" x14ac:dyDescent="0.15">
      <c r="A4163" s="70"/>
      <c r="B4163" s="82"/>
      <c r="C4163" s="70"/>
      <c r="D4163" s="70"/>
      <c r="E4163" s="70"/>
      <c r="F4163" s="70"/>
      <c r="G4163" s="70"/>
      <c r="H4163" s="93"/>
      <c r="I4163" s="85"/>
      <c r="J4163" s="85"/>
      <c r="K4163" s="131"/>
      <c r="L4163" s="60"/>
      <c r="Z4163" s="3"/>
      <c r="AA4163" s="3"/>
      <c r="AB4163" s="4"/>
    </row>
    <row r="4164" spans="1:28" x14ac:dyDescent="0.15">
      <c r="A4164" s="70"/>
      <c r="B4164" s="93"/>
      <c r="C4164" s="70"/>
      <c r="D4164" s="70"/>
      <c r="E4164" s="70"/>
      <c r="F4164" s="70"/>
      <c r="G4164" s="70"/>
      <c r="H4164" s="93"/>
      <c r="I4164" s="85"/>
      <c r="J4164" s="85"/>
      <c r="K4164" s="131"/>
      <c r="L4164" s="60"/>
      <c r="M4164" s="33"/>
      <c r="Z4164" s="3"/>
      <c r="AA4164" s="3"/>
      <c r="AB4164" s="4"/>
    </row>
    <row r="4165" spans="1:28" x14ac:dyDescent="0.15">
      <c r="A4165" s="70"/>
      <c r="B4165" s="82"/>
      <c r="C4165" s="70"/>
      <c r="D4165" s="70"/>
      <c r="E4165" s="70"/>
      <c r="F4165" s="70"/>
      <c r="G4165" s="70"/>
      <c r="H4165" s="93"/>
      <c r="I4165" s="85"/>
      <c r="J4165" s="85"/>
      <c r="K4165" s="131"/>
      <c r="L4165" s="60"/>
      <c r="Z4165" s="3"/>
      <c r="AA4165" s="3"/>
      <c r="AB4165" s="4"/>
    </row>
    <row r="4166" spans="1:28" x14ac:dyDescent="0.15">
      <c r="A4166" s="70"/>
      <c r="B4166" s="82"/>
      <c r="C4166" s="70"/>
      <c r="D4166" s="70"/>
      <c r="E4166" s="70"/>
      <c r="F4166" s="70"/>
      <c r="G4166" s="70"/>
      <c r="H4166" s="93"/>
      <c r="I4166" s="85"/>
      <c r="J4166" s="85"/>
      <c r="K4166" s="131"/>
      <c r="L4166" s="60"/>
      <c r="Z4166" s="3"/>
      <c r="AA4166" s="3"/>
      <c r="AB4166" s="4"/>
    </row>
    <row r="4167" spans="1:28" x14ac:dyDescent="0.15">
      <c r="A4167" s="70"/>
      <c r="B4167" s="93"/>
      <c r="C4167" s="70"/>
      <c r="D4167" s="70"/>
      <c r="E4167" s="70"/>
      <c r="F4167" s="70"/>
      <c r="G4167" s="70"/>
      <c r="H4167" s="93"/>
      <c r="I4167" s="85"/>
      <c r="J4167" s="85"/>
      <c r="K4167" s="131"/>
      <c r="L4167" s="60"/>
      <c r="M4167" s="33"/>
      <c r="Z4167" s="3"/>
      <c r="AA4167" s="3"/>
      <c r="AB4167" s="4"/>
    </row>
    <row r="4168" spans="1:28" x14ac:dyDescent="0.15">
      <c r="A4168" s="70"/>
      <c r="B4168" s="82"/>
      <c r="C4168" s="70"/>
      <c r="D4168" s="70"/>
      <c r="E4168" s="70"/>
      <c r="F4168" s="70"/>
      <c r="G4168" s="70"/>
      <c r="H4168" s="93"/>
      <c r="I4168" s="85"/>
      <c r="J4168" s="85"/>
      <c r="K4168" s="131"/>
      <c r="L4168" s="60"/>
      <c r="M4168" s="33"/>
      <c r="Z4168" s="3"/>
      <c r="AA4168" s="3"/>
      <c r="AB4168" s="4"/>
    </row>
    <row r="4169" spans="1:28" x14ac:dyDescent="0.15">
      <c r="A4169" s="70"/>
      <c r="B4169" s="93"/>
      <c r="C4169" s="73"/>
      <c r="D4169" s="73"/>
      <c r="E4169" s="73"/>
      <c r="F4169" s="73"/>
      <c r="G4169" s="73"/>
      <c r="H4169" s="108"/>
      <c r="I4169" s="85"/>
      <c r="J4169" s="95"/>
      <c r="K4169" s="131"/>
      <c r="L4169" s="60"/>
      <c r="M4169" s="33"/>
      <c r="Z4169" s="3"/>
      <c r="AA4169" s="3"/>
      <c r="AB4169" s="4"/>
    </row>
    <row r="4170" spans="1:28" x14ac:dyDescent="0.15">
      <c r="A4170" s="70"/>
      <c r="B4170" s="93"/>
      <c r="C4170" s="70"/>
      <c r="D4170" s="70"/>
      <c r="E4170" s="70"/>
      <c r="F4170" s="70"/>
      <c r="G4170" s="70"/>
      <c r="H4170" s="93"/>
      <c r="I4170" s="85"/>
      <c r="J4170" s="85"/>
      <c r="K4170" s="131"/>
      <c r="L4170" s="60"/>
      <c r="M4170" s="33"/>
      <c r="Z4170" s="3"/>
      <c r="AA4170" s="3"/>
      <c r="AB4170" s="4"/>
    </row>
    <row r="4171" spans="1:28" x14ac:dyDescent="0.15">
      <c r="A4171" s="70"/>
      <c r="B4171" s="93"/>
      <c r="C4171" s="70"/>
      <c r="D4171" s="70"/>
      <c r="E4171" s="70"/>
      <c r="F4171" s="70"/>
      <c r="G4171" s="70"/>
      <c r="H4171" s="93"/>
      <c r="I4171" s="85"/>
      <c r="J4171" s="85"/>
      <c r="K4171" s="131"/>
      <c r="L4171" s="60"/>
      <c r="M4171" s="33"/>
      <c r="Z4171" s="3"/>
      <c r="AA4171" s="3"/>
      <c r="AB4171" s="4"/>
    </row>
    <row r="4172" spans="1:28" x14ac:dyDescent="0.15">
      <c r="A4172" s="70"/>
      <c r="B4172" s="93"/>
      <c r="C4172" s="70"/>
      <c r="D4172" s="70"/>
      <c r="E4172" s="70"/>
      <c r="F4172" s="70"/>
      <c r="G4172" s="70"/>
      <c r="H4172" s="93"/>
      <c r="I4172" s="85"/>
      <c r="J4172" s="85"/>
      <c r="K4172" s="131"/>
      <c r="L4172" s="60"/>
      <c r="M4172" s="33"/>
      <c r="Z4172" s="3"/>
      <c r="AA4172" s="3"/>
      <c r="AB4172" s="4"/>
    </row>
    <row r="4173" spans="1:28" x14ac:dyDescent="0.15">
      <c r="A4173" s="70"/>
      <c r="B4173" s="93"/>
      <c r="C4173" s="70"/>
      <c r="D4173" s="70"/>
      <c r="E4173" s="70"/>
      <c r="F4173" s="70"/>
      <c r="G4173" s="70"/>
      <c r="H4173" s="93"/>
      <c r="I4173" s="85"/>
      <c r="J4173" s="85"/>
      <c r="K4173" s="134"/>
      <c r="L4173" s="60"/>
      <c r="N4173" s="46"/>
      <c r="Z4173" s="3"/>
      <c r="AA4173" s="3"/>
      <c r="AB4173" s="4"/>
    </row>
    <row r="4174" spans="1:28" x14ac:dyDescent="0.15">
      <c r="A4174" s="70"/>
      <c r="B4174" s="82"/>
      <c r="C4174" s="70"/>
      <c r="D4174" s="70"/>
      <c r="E4174" s="70"/>
      <c r="F4174" s="70"/>
      <c r="G4174" s="70"/>
      <c r="H4174" s="93"/>
      <c r="I4174" s="85"/>
      <c r="J4174" s="85"/>
      <c r="K4174" s="131"/>
      <c r="L4174" s="60"/>
      <c r="Z4174" s="3"/>
      <c r="AA4174" s="3"/>
      <c r="AB4174" s="4"/>
    </row>
    <row r="4175" spans="1:28" x14ac:dyDescent="0.15">
      <c r="A4175" s="70"/>
      <c r="B4175" s="82"/>
      <c r="C4175" s="70"/>
      <c r="D4175" s="70"/>
      <c r="E4175" s="70"/>
      <c r="F4175" s="70"/>
      <c r="G4175" s="70"/>
      <c r="H4175" s="93"/>
      <c r="I4175" s="85"/>
      <c r="J4175" s="85"/>
      <c r="K4175" s="131"/>
      <c r="L4175" s="60"/>
      <c r="Z4175" s="3"/>
      <c r="AA4175" s="3"/>
      <c r="AB4175" s="4"/>
    </row>
    <row r="4176" spans="1:28" ht="16" x14ac:dyDescent="0.2">
      <c r="A4176" s="70"/>
      <c r="B4176" s="82"/>
      <c r="C4176" s="70"/>
      <c r="D4176" s="70"/>
      <c r="E4176" s="70"/>
      <c r="F4176" s="70"/>
      <c r="G4176" s="70"/>
      <c r="H4176" s="93"/>
      <c r="I4176" s="85"/>
      <c r="J4176" s="85"/>
      <c r="K4176" s="131"/>
      <c r="L4176" s="60"/>
      <c r="M4176" s="33"/>
      <c r="N4176" s="48"/>
      <c r="O4176" s="33"/>
      <c r="Z4176" s="3"/>
      <c r="AA4176" s="3"/>
      <c r="AB4176" s="4"/>
    </row>
    <row r="4177" spans="1:28" x14ac:dyDescent="0.15">
      <c r="A4177" s="70"/>
      <c r="B4177" s="93"/>
      <c r="C4177" s="70"/>
      <c r="D4177" s="70"/>
      <c r="E4177" s="70"/>
      <c r="F4177" s="70"/>
      <c r="G4177" s="70"/>
      <c r="H4177" s="93"/>
      <c r="I4177" s="85"/>
      <c r="J4177" s="85"/>
      <c r="K4177" s="131"/>
      <c r="L4177" s="60"/>
      <c r="M4177" s="33"/>
      <c r="Z4177" s="3"/>
      <c r="AA4177" s="3"/>
      <c r="AB4177" s="4"/>
    </row>
    <row r="4178" spans="1:28" x14ac:dyDescent="0.15">
      <c r="A4178" s="70"/>
      <c r="B4178" s="93"/>
      <c r="C4178" s="70"/>
      <c r="D4178" s="70"/>
      <c r="E4178" s="70"/>
      <c r="F4178" s="70"/>
      <c r="G4178" s="70"/>
      <c r="H4178" s="93"/>
      <c r="I4178" s="85"/>
      <c r="J4178" s="85"/>
      <c r="K4178" s="131"/>
      <c r="L4178" s="60"/>
      <c r="M4178" s="33"/>
      <c r="Z4178" s="3"/>
      <c r="AA4178" s="3"/>
      <c r="AB4178" s="4"/>
    </row>
    <row r="4179" spans="1:28" ht="16" x14ac:dyDescent="0.2">
      <c r="A4179" s="70"/>
      <c r="B4179" s="93"/>
      <c r="C4179" s="70"/>
      <c r="D4179" s="70"/>
      <c r="E4179" s="70"/>
      <c r="F4179" s="70"/>
      <c r="G4179" s="70"/>
      <c r="H4179" s="93"/>
      <c r="I4179" s="85"/>
      <c r="J4179" s="85"/>
      <c r="K4179" s="131"/>
      <c r="L4179" s="60"/>
      <c r="M4179" s="33"/>
      <c r="N4179" s="48"/>
      <c r="Z4179" s="3"/>
      <c r="AA4179" s="3"/>
      <c r="AB4179" s="4"/>
    </row>
    <row r="4180" spans="1:28" x14ac:dyDescent="0.15">
      <c r="A4180" s="70"/>
      <c r="B4180" s="93"/>
      <c r="C4180" s="70"/>
      <c r="D4180" s="70"/>
      <c r="E4180" s="70"/>
      <c r="F4180" s="70"/>
      <c r="G4180" s="70"/>
      <c r="H4180" s="93"/>
      <c r="I4180" s="85"/>
      <c r="J4180" s="85"/>
      <c r="K4180" s="131"/>
      <c r="L4180" s="60"/>
      <c r="M4180" s="33"/>
      <c r="Z4180" s="3"/>
      <c r="AA4180" s="3"/>
      <c r="AB4180" s="4"/>
    </row>
    <row r="4181" spans="1:28" x14ac:dyDescent="0.15">
      <c r="A4181" s="70"/>
      <c r="B4181" s="93"/>
      <c r="C4181" s="70"/>
      <c r="D4181" s="70"/>
      <c r="E4181" s="70"/>
      <c r="F4181" s="70"/>
      <c r="G4181" s="70"/>
      <c r="H4181" s="93"/>
      <c r="I4181" s="85"/>
      <c r="J4181" s="85"/>
      <c r="K4181" s="131"/>
      <c r="L4181" s="60"/>
      <c r="M4181" s="33"/>
      <c r="Z4181" s="3"/>
      <c r="AA4181" s="3"/>
      <c r="AB4181" s="4"/>
    </row>
    <row r="4182" spans="1:28" x14ac:dyDescent="0.15">
      <c r="A4182" s="70"/>
      <c r="B4182" s="93"/>
      <c r="C4182" s="70"/>
      <c r="D4182" s="70"/>
      <c r="E4182" s="70"/>
      <c r="F4182" s="70"/>
      <c r="G4182" s="70"/>
      <c r="H4182" s="93"/>
      <c r="I4182" s="85"/>
      <c r="J4182" s="85"/>
      <c r="K4182" s="131"/>
      <c r="L4182" s="60"/>
      <c r="M4182" s="33"/>
      <c r="Z4182" s="3"/>
      <c r="AA4182" s="3"/>
      <c r="AB4182" s="4"/>
    </row>
    <row r="4183" spans="1:28" x14ac:dyDescent="0.15">
      <c r="A4183" s="70"/>
      <c r="B4183" s="93"/>
      <c r="C4183" s="70"/>
      <c r="D4183" s="70"/>
      <c r="E4183" s="70"/>
      <c r="F4183" s="70"/>
      <c r="G4183" s="70"/>
      <c r="H4183" s="93"/>
      <c r="I4183" s="85"/>
      <c r="J4183" s="85"/>
      <c r="K4183" s="131"/>
      <c r="L4183" s="60"/>
      <c r="M4183" s="33"/>
      <c r="Z4183" s="3"/>
      <c r="AA4183" s="3"/>
      <c r="AB4183" s="4"/>
    </row>
    <row r="4184" spans="1:28" x14ac:dyDescent="0.15">
      <c r="A4184" s="70"/>
      <c r="B4184" s="93"/>
      <c r="C4184" s="70"/>
      <c r="D4184" s="70"/>
      <c r="E4184" s="73"/>
      <c r="F4184" s="70"/>
      <c r="G4184" s="70"/>
      <c r="H4184" s="93"/>
      <c r="I4184" s="85"/>
      <c r="J4184" s="85"/>
      <c r="K4184" s="131"/>
      <c r="L4184" s="60"/>
      <c r="M4184" s="33"/>
      <c r="Z4184" s="3"/>
      <c r="AA4184" s="3"/>
      <c r="AB4184" s="4"/>
    </row>
    <row r="4185" spans="1:28" x14ac:dyDescent="0.15">
      <c r="A4185" s="70"/>
      <c r="B4185" s="93"/>
      <c r="C4185" s="70"/>
      <c r="D4185" s="70"/>
      <c r="E4185" s="70"/>
      <c r="F4185" s="70"/>
      <c r="G4185" s="70"/>
      <c r="H4185" s="93"/>
      <c r="I4185" s="85"/>
      <c r="J4185" s="85"/>
      <c r="K4185" s="131"/>
      <c r="L4185" s="60"/>
      <c r="M4185" s="33"/>
      <c r="Z4185" s="3"/>
      <c r="AA4185" s="3"/>
      <c r="AB4185" s="4"/>
    </row>
    <row r="4186" spans="1:28" ht="16" x14ac:dyDescent="0.2">
      <c r="A4186" s="70"/>
      <c r="B4186" s="93"/>
      <c r="C4186" s="70"/>
      <c r="D4186" s="70"/>
      <c r="E4186" s="70"/>
      <c r="F4186" s="70"/>
      <c r="G4186" s="70"/>
      <c r="H4186" s="93"/>
      <c r="I4186" s="85"/>
      <c r="J4186" s="85"/>
      <c r="K4186" s="131"/>
      <c r="L4186" s="60"/>
      <c r="M4186" s="47"/>
      <c r="Z4186" s="3"/>
      <c r="AA4186" s="3"/>
      <c r="AB4186" s="4"/>
    </row>
    <row r="4187" spans="1:28" ht="16" x14ac:dyDescent="0.2">
      <c r="A4187" s="70"/>
      <c r="B4187" s="93"/>
      <c r="C4187" s="70"/>
      <c r="D4187" s="70"/>
      <c r="E4187" s="70"/>
      <c r="F4187" s="70"/>
      <c r="G4187" s="70"/>
      <c r="H4187" s="93"/>
      <c r="I4187" s="85"/>
      <c r="J4187" s="85"/>
      <c r="K4187" s="131"/>
      <c r="L4187" s="60"/>
      <c r="M4187" s="47"/>
      <c r="Z4187" s="3"/>
      <c r="AA4187" s="3"/>
      <c r="AB4187" s="4"/>
    </row>
    <row r="4188" spans="1:28" x14ac:dyDescent="0.15">
      <c r="A4188" s="70"/>
      <c r="B4188" s="93"/>
      <c r="C4188" s="70"/>
      <c r="D4188" s="70"/>
      <c r="E4188" s="73"/>
      <c r="F4188" s="70"/>
      <c r="G4188" s="70"/>
      <c r="H4188" s="93"/>
      <c r="I4188" s="85"/>
      <c r="J4188" s="85"/>
      <c r="K4188" s="131"/>
      <c r="L4188" s="60"/>
      <c r="M4188" s="33"/>
      <c r="Z4188" s="3"/>
      <c r="AA4188" s="3"/>
      <c r="AB4188" s="4"/>
    </row>
    <row r="4189" spans="1:28" x14ac:dyDescent="0.15">
      <c r="A4189" s="70"/>
      <c r="B4189" s="93"/>
      <c r="C4189" s="70"/>
      <c r="D4189" s="70"/>
      <c r="E4189" s="70"/>
      <c r="F4189" s="70"/>
      <c r="G4189" s="70"/>
      <c r="H4189" s="93"/>
      <c r="I4189" s="85"/>
      <c r="J4189" s="85"/>
      <c r="K4189" s="131"/>
      <c r="L4189" s="60"/>
      <c r="M4189" s="33"/>
      <c r="Z4189" s="3"/>
      <c r="AA4189" s="3"/>
      <c r="AB4189" s="4"/>
    </row>
    <row r="4190" spans="1:28" x14ac:dyDescent="0.15">
      <c r="A4190" s="70"/>
      <c r="B4190" s="93"/>
      <c r="C4190" s="70"/>
      <c r="D4190" s="70"/>
      <c r="E4190" s="70"/>
      <c r="F4190" s="70"/>
      <c r="G4190" s="70"/>
      <c r="H4190" s="93"/>
      <c r="I4190" s="85"/>
      <c r="J4190" s="85"/>
      <c r="K4190" s="131"/>
      <c r="L4190" s="60"/>
      <c r="M4190" s="33"/>
      <c r="Z4190" s="3"/>
      <c r="AA4190" s="3"/>
      <c r="AB4190" s="4"/>
    </row>
    <row r="4191" spans="1:28" x14ac:dyDescent="0.15">
      <c r="A4191" s="70"/>
      <c r="B4191" s="93"/>
      <c r="C4191" s="73"/>
      <c r="D4191" s="73"/>
      <c r="E4191" s="73"/>
      <c r="F4191" s="73"/>
      <c r="G4191" s="73"/>
      <c r="H4191" s="108"/>
      <c r="I4191" s="85"/>
      <c r="J4191" s="95"/>
      <c r="K4191" s="131"/>
      <c r="L4191" s="60"/>
      <c r="M4191" s="33"/>
      <c r="Z4191" s="3"/>
      <c r="AA4191" s="3"/>
      <c r="AB4191" s="4"/>
    </row>
    <row r="4192" spans="1:28" x14ac:dyDescent="0.15">
      <c r="A4192" s="70"/>
      <c r="B4192" s="93"/>
      <c r="C4192" s="73"/>
      <c r="D4192" s="73"/>
      <c r="E4192" s="73"/>
      <c r="F4192" s="73"/>
      <c r="G4192" s="73"/>
      <c r="H4192" s="108"/>
      <c r="I4192" s="85"/>
      <c r="J4192" s="95"/>
      <c r="K4192" s="131"/>
      <c r="L4192" s="60"/>
      <c r="M4192" s="33"/>
      <c r="Z4192" s="3"/>
      <c r="AA4192" s="3"/>
      <c r="AB4192" s="4"/>
    </row>
    <row r="4193" spans="1:28" x14ac:dyDescent="0.15">
      <c r="A4193" s="70"/>
      <c r="B4193" s="93"/>
      <c r="C4193" s="70"/>
      <c r="D4193" s="70"/>
      <c r="E4193" s="70"/>
      <c r="F4193" s="70"/>
      <c r="G4193" s="70"/>
      <c r="H4193" s="93"/>
      <c r="I4193" s="85"/>
      <c r="J4193" s="85"/>
      <c r="K4193" s="131"/>
      <c r="L4193" s="60"/>
      <c r="M4193" s="33"/>
      <c r="Z4193" s="3"/>
      <c r="AA4193" s="3"/>
      <c r="AB4193" s="4"/>
    </row>
    <row r="4194" spans="1:28" x14ac:dyDescent="0.15">
      <c r="A4194" s="70"/>
      <c r="B4194" s="93"/>
      <c r="C4194" s="70"/>
      <c r="D4194" s="70"/>
      <c r="E4194" s="70"/>
      <c r="F4194" s="70"/>
      <c r="G4194" s="70"/>
      <c r="H4194" s="93"/>
      <c r="I4194" s="85"/>
      <c r="J4194" s="85"/>
      <c r="K4194" s="131"/>
      <c r="L4194" s="60"/>
      <c r="M4194" s="33"/>
      <c r="Z4194" s="3"/>
      <c r="AA4194" s="3"/>
      <c r="AB4194" s="4"/>
    </row>
    <row r="4195" spans="1:28" x14ac:dyDescent="0.15">
      <c r="A4195" s="70"/>
      <c r="B4195" s="93"/>
      <c r="C4195" s="70"/>
      <c r="D4195" s="70"/>
      <c r="E4195" s="70"/>
      <c r="F4195" s="70"/>
      <c r="G4195" s="70"/>
      <c r="H4195" s="93"/>
      <c r="I4195" s="85"/>
      <c r="J4195" s="85"/>
      <c r="K4195" s="131"/>
      <c r="L4195" s="60"/>
      <c r="M4195" s="33"/>
      <c r="Z4195" s="3"/>
      <c r="AA4195" s="3"/>
      <c r="AB4195" s="4"/>
    </row>
    <row r="4196" spans="1:28" x14ac:dyDescent="0.15">
      <c r="A4196" s="70"/>
      <c r="B4196" s="93"/>
      <c r="C4196" s="73"/>
      <c r="D4196" s="73"/>
      <c r="E4196" s="73"/>
      <c r="F4196" s="73"/>
      <c r="G4196" s="73"/>
      <c r="H4196" s="108"/>
      <c r="I4196" s="85"/>
      <c r="J4196" s="95"/>
      <c r="K4196" s="131"/>
      <c r="L4196" s="60"/>
      <c r="M4196" s="33"/>
      <c r="Z4196" s="3"/>
      <c r="AA4196" s="3"/>
      <c r="AB4196" s="4"/>
    </row>
    <row r="4197" spans="1:28" x14ac:dyDescent="0.15">
      <c r="A4197" s="70"/>
      <c r="B4197" s="93"/>
      <c r="C4197" s="70"/>
      <c r="D4197" s="70"/>
      <c r="E4197" s="70"/>
      <c r="F4197" s="70"/>
      <c r="G4197" s="70"/>
      <c r="H4197" s="93"/>
      <c r="I4197" s="85"/>
      <c r="J4197" s="85"/>
      <c r="K4197" s="131"/>
      <c r="L4197" s="60"/>
      <c r="M4197" s="33"/>
      <c r="Z4197" s="3"/>
      <c r="AA4197" s="3"/>
      <c r="AB4197" s="4"/>
    </row>
    <row r="4198" spans="1:28" ht="16" x14ac:dyDescent="0.2">
      <c r="A4198" s="70"/>
      <c r="B4198" s="93"/>
      <c r="C4198" s="73"/>
      <c r="D4198" s="73"/>
      <c r="E4198" s="73"/>
      <c r="F4198" s="73"/>
      <c r="G4198" s="73"/>
      <c r="H4198" s="108"/>
      <c r="I4198" s="85"/>
      <c r="J4198" s="95"/>
      <c r="K4198" s="131"/>
      <c r="L4198" s="60"/>
      <c r="M4198" s="47"/>
      <c r="Z4198" s="3"/>
      <c r="AA4198" s="3"/>
      <c r="AB4198" s="4"/>
    </row>
    <row r="4199" spans="1:28" x14ac:dyDescent="0.15">
      <c r="A4199" s="70"/>
      <c r="B4199" s="82"/>
      <c r="C4199" s="70"/>
      <c r="D4199" s="70"/>
      <c r="E4199" s="70"/>
      <c r="F4199" s="70"/>
      <c r="G4199" s="70"/>
      <c r="H4199" s="93"/>
      <c r="I4199" s="85"/>
      <c r="J4199" s="85"/>
      <c r="K4199" s="131"/>
      <c r="L4199" s="60"/>
      <c r="Z4199" s="3"/>
      <c r="AA4199" s="3"/>
      <c r="AB4199" s="4"/>
    </row>
    <row r="4200" spans="1:28" x14ac:dyDescent="0.15">
      <c r="A4200" s="70"/>
      <c r="B4200" s="93"/>
      <c r="C4200" s="70"/>
      <c r="D4200" s="70"/>
      <c r="E4200" s="70"/>
      <c r="F4200" s="70"/>
      <c r="G4200" s="70"/>
      <c r="H4200" s="93"/>
      <c r="I4200" s="85"/>
      <c r="J4200" s="85"/>
      <c r="K4200" s="131"/>
      <c r="L4200" s="60"/>
      <c r="M4200" s="33"/>
      <c r="N4200" s="46"/>
      <c r="Z4200" s="3"/>
      <c r="AA4200" s="3"/>
      <c r="AB4200" s="4"/>
    </row>
    <row r="4201" spans="1:28" x14ac:dyDescent="0.15">
      <c r="A4201" s="70"/>
      <c r="B4201" s="93"/>
      <c r="C4201" s="70"/>
      <c r="D4201" s="70"/>
      <c r="E4201" s="70"/>
      <c r="F4201" s="70"/>
      <c r="G4201" s="70"/>
      <c r="H4201" s="93"/>
      <c r="I4201" s="85"/>
      <c r="J4201" s="85"/>
      <c r="K4201" s="131"/>
      <c r="L4201" s="60"/>
      <c r="M4201" s="33"/>
      <c r="N4201" s="46"/>
      <c r="Z4201" s="3"/>
      <c r="AA4201" s="3"/>
      <c r="AB4201" s="4"/>
    </row>
    <row r="4202" spans="1:28" x14ac:dyDescent="0.15">
      <c r="A4202" s="70"/>
      <c r="B4202" s="93"/>
      <c r="C4202" s="70"/>
      <c r="D4202" s="70"/>
      <c r="E4202" s="70"/>
      <c r="F4202" s="70"/>
      <c r="G4202" s="70"/>
      <c r="H4202" s="93"/>
      <c r="I4202" s="85"/>
      <c r="J4202" s="85"/>
      <c r="K4202" s="131"/>
      <c r="L4202" s="60"/>
      <c r="M4202" s="33"/>
      <c r="Z4202" s="3"/>
      <c r="AA4202" s="3"/>
      <c r="AB4202" s="4"/>
    </row>
    <row r="4203" spans="1:28" x14ac:dyDescent="0.15">
      <c r="A4203" s="70"/>
      <c r="B4203" s="93"/>
      <c r="C4203" s="73"/>
      <c r="D4203" s="73"/>
      <c r="E4203" s="73"/>
      <c r="F4203" s="70"/>
      <c r="G4203" s="70"/>
      <c r="H4203" s="93"/>
      <c r="I4203" s="85"/>
      <c r="J4203" s="85"/>
      <c r="K4203" s="131"/>
      <c r="L4203" s="60"/>
      <c r="M4203" s="33"/>
      <c r="Z4203" s="3"/>
      <c r="AA4203" s="3"/>
      <c r="AB4203" s="4"/>
    </row>
    <row r="4204" spans="1:28" ht="16" x14ac:dyDescent="0.2">
      <c r="A4204" s="70"/>
      <c r="B4204" s="82"/>
      <c r="C4204" s="70"/>
      <c r="D4204" s="70"/>
      <c r="E4204" s="70"/>
      <c r="F4204" s="70"/>
      <c r="G4204" s="70"/>
      <c r="H4204" s="93"/>
      <c r="I4204" s="85"/>
      <c r="J4204" s="85"/>
      <c r="K4204" s="131"/>
      <c r="L4204" s="60"/>
      <c r="N4204" s="48"/>
      <c r="Z4204" s="3"/>
      <c r="AA4204" s="3"/>
      <c r="AB4204" s="4"/>
    </row>
    <row r="4205" spans="1:28" x14ac:dyDescent="0.15">
      <c r="A4205" s="70"/>
      <c r="B4205" s="82"/>
      <c r="C4205" s="70"/>
      <c r="D4205" s="70"/>
      <c r="E4205" s="70"/>
      <c r="F4205" s="70"/>
      <c r="G4205" s="70"/>
      <c r="H4205" s="93"/>
      <c r="I4205" s="85"/>
      <c r="J4205" s="85"/>
      <c r="K4205" s="131"/>
      <c r="L4205" s="60"/>
      <c r="M4205" s="33"/>
      <c r="Z4205" s="3"/>
      <c r="AA4205" s="3"/>
      <c r="AB4205" s="4"/>
    </row>
    <row r="4206" spans="1:28" x14ac:dyDescent="0.15">
      <c r="A4206" s="70"/>
      <c r="B4206" s="82"/>
      <c r="C4206" s="70"/>
      <c r="D4206" s="70"/>
      <c r="E4206" s="70"/>
      <c r="F4206" s="70"/>
      <c r="G4206" s="70"/>
      <c r="H4206" s="93"/>
      <c r="I4206" s="85"/>
      <c r="J4206" s="85"/>
      <c r="K4206" s="131"/>
      <c r="L4206" s="60"/>
      <c r="M4206" s="33"/>
      <c r="N4206" s="46"/>
      <c r="Z4206" s="3"/>
      <c r="AA4206" s="3"/>
      <c r="AB4206" s="4"/>
    </row>
    <row r="4207" spans="1:28" x14ac:dyDescent="0.15">
      <c r="A4207" s="70"/>
      <c r="B4207" s="93"/>
      <c r="C4207" s="70"/>
      <c r="D4207" s="70"/>
      <c r="E4207" s="70"/>
      <c r="F4207" s="70"/>
      <c r="G4207" s="70"/>
      <c r="H4207" s="93"/>
      <c r="I4207" s="85"/>
      <c r="J4207" s="85"/>
      <c r="K4207" s="131"/>
      <c r="L4207" s="60"/>
      <c r="M4207" s="33"/>
      <c r="Z4207" s="3"/>
      <c r="AA4207" s="3"/>
      <c r="AB4207" s="4"/>
    </row>
    <row r="4208" spans="1:28" x14ac:dyDescent="0.15">
      <c r="A4208" s="70"/>
      <c r="B4208" s="82"/>
      <c r="C4208" s="70"/>
      <c r="D4208" s="70"/>
      <c r="E4208" s="70"/>
      <c r="F4208" s="70"/>
      <c r="G4208" s="70"/>
      <c r="H4208" s="93"/>
      <c r="I4208" s="85"/>
      <c r="J4208" s="85"/>
      <c r="K4208" s="131"/>
      <c r="L4208" s="60"/>
      <c r="Z4208" s="3"/>
      <c r="AA4208" s="3"/>
      <c r="AB4208" s="4"/>
    </row>
    <row r="4209" spans="1:28" ht="16" x14ac:dyDescent="0.2">
      <c r="A4209" s="70"/>
      <c r="B4209" s="93"/>
      <c r="C4209" s="73"/>
      <c r="D4209" s="73"/>
      <c r="E4209" s="73"/>
      <c r="F4209" s="73"/>
      <c r="G4209" s="73"/>
      <c r="H4209" s="108"/>
      <c r="I4209" s="85"/>
      <c r="J4209" s="95"/>
      <c r="K4209" s="131"/>
      <c r="L4209" s="60"/>
      <c r="M4209" s="47"/>
      <c r="Z4209" s="3"/>
      <c r="AA4209" s="3"/>
      <c r="AB4209" s="4"/>
    </row>
    <row r="4210" spans="1:28" x14ac:dyDescent="0.15">
      <c r="A4210" s="70"/>
      <c r="B4210" s="82"/>
      <c r="C4210" s="70"/>
      <c r="D4210" s="70"/>
      <c r="E4210" s="70"/>
      <c r="F4210" s="70"/>
      <c r="G4210" s="70"/>
      <c r="H4210" s="93"/>
      <c r="I4210" s="85"/>
      <c r="J4210" s="85"/>
      <c r="K4210" s="131"/>
      <c r="L4210" s="60"/>
      <c r="M4210" s="33"/>
      <c r="Z4210" s="3"/>
      <c r="AA4210" s="3"/>
      <c r="AB4210" s="4"/>
    </row>
    <row r="4211" spans="1:28" x14ac:dyDescent="0.15">
      <c r="A4211" s="70"/>
      <c r="B4211" s="82"/>
      <c r="C4211" s="70"/>
      <c r="D4211" s="70"/>
      <c r="E4211" s="70"/>
      <c r="F4211" s="70"/>
      <c r="G4211" s="70"/>
      <c r="H4211" s="93"/>
      <c r="I4211" s="85"/>
      <c r="J4211" s="85"/>
      <c r="K4211" s="131"/>
      <c r="L4211" s="60"/>
      <c r="Z4211" s="3"/>
      <c r="AA4211" s="3"/>
      <c r="AB4211" s="4"/>
    </row>
    <row r="4212" spans="1:28" x14ac:dyDescent="0.15">
      <c r="A4212" s="70"/>
      <c r="B4212" s="93"/>
      <c r="C4212" s="70"/>
      <c r="D4212" s="70"/>
      <c r="E4212" s="70"/>
      <c r="F4212" s="70"/>
      <c r="G4212" s="70"/>
      <c r="H4212" s="93"/>
      <c r="I4212" s="85"/>
      <c r="J4212" s="85"/>
      <c r="K4212" s="131"/>
      <c r="L4212" s="60"/>
      <c r="M4212" s="33"/>
      <c r="Z4212" s="3"/>
      <c r="AA4212" s="3"/>
      <c r="AB4212" s="4"/>
    </row>
    <row r="4213" spans="1:28" x14ac:dyDescent="0.15">
      <c r="A4213" s="70"/>
      <c r="B4213" s="93"/>
      <c r="C4213" s="70"/>
      <c r="D4213" s="70"/>
      <c r="E4213" s="70"/>
      <c r="F4213" s="70"/>
      <c r="G4213" s="70"/>
      <c r="H4213" s="93"/>
      <c r="I4213" s="85"/>
      <c r="J4213" s="85"/>
      <c r="K4213" s="134"/>
      <c r="L4213" s="60"/>
      <c r="N4213" s="46"/>
      <c r="Z4213" s="3"/>
      <c r="AA4213" s="3"/>
      <c r="AB4213" s="4"/>
    </row>
    <row r="4214" spans="1:28" x14ac:dyDescent="0.15">
      <c r="A4214" s="70"/>
      <c r="B4214" s="93"/>
      <c r="C4214" s="73"/>
      <c r="D4214" s="73"/>
      <c r="E4214" s="73"/>
      <c r="F4214" s="73"/>
      <c r="G4214" s="73"/>
      <c r="H4214" s="108"/>
      <c r="I4214" s="85"/>
      <c r="J4214" s="85"/>
      <c r="K4214" s="131"/>
      <c r="L4214" s="60"/>
      <c r="M4214" s="33"/>
      <c r="Z4214" s="3"/>
      <c r="AA4214" s="3"/>
      <c r="AB4214" s="4"/>
    </row>
    <row r="4215" spans="1:28" x14ac:dyDescent="0.15">
      <c r="A4215" s="70"/>
      <c r="B4215" s="93"/>
      <c r="C4215" s="70"/>
      <c r="D4215" s="70"/>
      <c r="E4215" s="70"/>
      <c r="F4215" s="70"/>
      <c r="G4215" s="70"/>
      <c r="H4215" s="93"/>
      <c r="I4215" s="85"/>
      <c r="J4215" s="85"/>
      <c r="K4215" s="131"/>
      <c r="L4215" s="60"/>
      <c r="M4215" s="33"/>
      <c r="Z4215" s="3"/>
      <c r="AA4215" s="3"/>
      <c r="AB4215" s="4"/>
    </row>
    <row r="4216" spans="1:28" x14ac:dyDescent="0.15">
      <c r="A4216" s="70"/>
      <c r="B4216" s="82"/>
      <c r="C4216" s="70"/>
      <c r="D4216" s="70"/>
      <c r="E4216" s="70"/>
      <c r="F4216" s="70"/>
      <c r="G4216" s="70"/>
      <c r="H4216" s="93"/>
      <c r="I4216" s="85"/>
      <c r="J4216" s="85"/>
      <c r="K4216" s="131"/>
      <c r="L4216" s="60"/>
      <c r="Z4216" s="3"/>
      <c r="AA4216" s="3"/>
      <c r="AB4216" s="4"/>
    </row>
    <row r="4217" spans="1:28" ht="16" x14ac:dyDescent="0.2">
      <c r="A4217" s="70"/>
      <c r="B4217" s="93"/>
      <c r="C4217" s="70"/>
      <c r="D4217" s="70"/>
      <c r="E4217" s="70"/>
      <c r="F4217" s="70"/>
      <c r="G4217" s="70"/>
      <c r="H4217" s="93"/>
      <c r="I4217" s="85"/>
      <c r="J4217" s="85"/>
      <c r="K4217" s="131"/>
      <c r="L4217" s="60"/>
      <c r="M4217" s="47"/>
      <c r="Z4217" s="3"/>
      <c r="AA4217" s="3"/>
      <c r="AB4217" s="4"/>
    </row>
    <row r="4218" spans="1:28" x14ac:dyDescent="0.15">
      <c r="A4218" s="70"/>
      <c r="B4218" s="93"/>
      <c r="C4218" s="70"/>
      <c r="D4218" s="70"/>
      <c r="E4218" s="73"/>
      <c r="F4218" s="70"/>
      <c r="G4218" s="70"/>
      <c r="H4218" s="93"/>
      <c r="I4218" s="85"/>
      <c r="J4218" s="85"/>
      <c r="K4218" s="131"/>
      <c r="L4218" s="60"/>
      <c r="M4218" s="33"/>
      <c r="Z4218" s="3"/>
      <c r="AA4218" s="3"/>
      <c r="AB4218" s="4"/>
    </row>
    <row r="4219" spans="1:28" x14ac:dyDescent="0.15">
      <c r="A4219" s="70"/>
      <c r="B4219" s="93"/>
      <c r="C4219" s="70"/>
      <c r="D4219" s="70"/>
      <c r="E4219" s="70"/>
      <c r="F4219" s="70"/>
      <c r="G4219" s="70"/>
      <c r="H4219" s="93"/>
      <c r="I4219" s="85"/>
      <c r="J4219" s="85"/>
      <c r="K4219" s="131"/>
      <c r="L4219" s="60"/>
      <c r="M4219" s="33"/>
      <c r="Z4219" s="3"/>
      <c r="AA4219" s="3"/>
      <c r="AB4219" s="4"/>
    </row>
    <row r="4220" spans="1:28" x14ac:dyDescent="0.15">
      <c r="A4220" s="70"/>
      <c r="B4220" s="93"/>
      <c r="C4220" s="70"/>
      <c r="D4220" s="70"/>
      <c r="E4220" s="70"/>
      <c r="F4220" s="70"/>
      <c r="G4220" s="70"/>
      <c r="H4220" s="93"/>
      <c r="I4220" s="85"/>
      <c r="J4220" s="85"/>
      <c r="K4220" s="131"/>
      <c r="L4220" s="60"/>
      <c r="M4220" s="33"/>
      <c r="Z4220" s="3"/>
      <c r="AA4220" s="3"/>
      <c r="AB4220" s="4"/>
    </row>
    <row r="4221" spans="1:28" ht="16" x14ac:dyDescent="0.2">
      <c r="A4221" s="70"/>
      <c r="B4221" s="93"/>
      <c r="C4221" s="73"/>
      <c r="D4221" s="73"/>
      <c r="E4221" s="73"/>
      <c r="F4221" s="73"/>
      <c r="G4221" s="73"/>
      <c r="H4221" s="108"/>
      <c r="I4221" s="85"/>
      <c r="J4221" s="85"/>
      <c r="K4221" s="131"/>
      <c r="L4221" s="60"/>
      <c r="M4221" s="33"/>
      <c r="N4221" s="48"/>
      <c r="Z4221" s="3"/>
      <c r="AA4221" s="3"/>
      <c r="AB4221" s="4"/>
    </row>
    <row r="4222" spans="1:28" x14ac:dyDescent="0.15">
      <c r="A4222" s="70"/>
      <c r="B4222" s="93"/>
      <c r="C4222" s="70"/>
      <c r="D4222" s="70"/>
      <c r="E4222" s="70"/>
      <c r="F4222" s="70"/>
      <c r="G4222" s="70"/>
      <c r="H4222" s="93"/>
      <c r="I4222" s="85"/>
      <c r="J4222" s="85"/>
      <c r="K4222" s="131"/>
      <c r="L4222" s="60"/>
      <c r="M4222" s="33"/>
      <c r="Z4222" s="3"/>
      <c r="AA4222" s="3"/>
      <c r="AB4222" s="4"/>
    </row>
    <row r="4223" spans="1:28" x14ac:dyDescent="0.15">
      <c r="A4223" s="70"/>
      <c r="B4223" s="82"/>
      <c r="C4223" s="70"/>
      <c r="D4223" s="70"/>
      <c r="E4223" s="70"/>
      <c r="F4223" s="70"/>
      <c r="G4223" s="70"/>
      <c r="H4223" s="93"/>
      <c r="I4223" s="85"/>
      <c r="J4223" s="85"/>
      <c r="K4223" s="131"/>
      <c r="L4223" s="60"/>
      <c r="Z4223" s="3"/>
      <c r="AA4223" s="3"/>
      <c r="AB4223" s="4"/>
    </row>
    <row r="4224" spans="1:28" x14ac:dyDescent="0.15">
      <c r="A4224" s="70"/>
      <c r="B4224" s="93"/>
      <c r="C4224" s="70"/>
      <c r="D4224" s="70"/>
      <c r="E4224" s="70"/>
      <c r="F4224" s="70"/>
      <c r="G4224" s="70"/>
      <c r="H4224" s="93"/>
      <c r="I4224" s="85"/>
      <c r="J4224" s="85"/>
      <c r="K4224" s="131"/>
      <c r="L4224" s="60"/>
      <c r="M4224" s="33"/>
      <c r="Z4224" s="3"/>
      <c r="AA4224" s="3"/>
      <c r="AB4224" s="4"/>
    </row>
    <row r="4225" spans="1:28" x14ac:dyDescent="0.15">
      <c r="A4225" s="70"/>
      <c r="B4225" s="93"/>
      <c r="C4225" s="73"/>
      <c r="D4225" s="73"/>
      <c r="E4225" s="73"/>
      <c r="F4225" s="73"/>
      <c r="G4225" s="73"/>
      <c r="H4225" s="108"/>
      <c r="I4225" s="85"/>
      <c r="J4225" s="95"/>
      <c r="K4225" s="131"/>
      <c r="L4225" s="60"/>
      <c r="M4225" s="33"/>
      <c r="Z4225" s="3"/>
      <c r="AA4225" s="3"/>
      <c r="AB4225" s="4"/>
    </row>
    <row r="4226" spans="1:28" x14ac:dyDescent="0.15">
      <c r="A4226" s="83"/>
      <c r="B4226" s="82"/>
      <c r="C4226" s="83"/>
      <c r="D4226" s="83"/>
      <c r="E4226" s="83"/>
      <c r="F4226" s="83"/>
      <c r="G4226" s="83"/>
      <c r="H4226" s="82"/>
      <c r="I4226" s="85"/>
      <c r="J4226" s="84"/>
      <c r="K4226" s="139"/>
      <c r="L4226" s="72"/>
      <c r="M4226" s="31"/>
      <c r="Z4226" s="3"/>
      <c r="AA4226" s="3"/>
      <c r="AB4226" s="4"/>
    </row>
    <row r="4227" spans="1:28" x14ac:dyDescent="0.15">
      <c r="A4227" s="70"/>
      <c r="B4227" s="93"/>
      <c r="C4227" s="70"/>
      <c r="D4227" s="70"/>
      <c r="E4227" s="70"/>
      <c r="F4227" s="70"/>
      <c r="G4227" s="70"/>
      <c r="H4227" s="93"/>
      <c r="I4227" s="85"/>
      <c r="J4227" s="85"/>
      <c r="K4227" s="131"/>
      <c r="L4227" s="60"/>
      <c r="M4227" s="33"/>
      <c r="Z4227" s="3"/>
      <c r="AA4227" s="3"/>
      <c r="AB4227" s="4"/>
    </row>
    <row r="4228" spans="1:28" x14ac:dyDescent="0.15">
      <c r="A4228" s="70"/>
      <c r="B4228" s="93"/>
      <c r="C4228" s="73"/>
      <c r="D4228" s="73"/>
      <c r="E4228" s="73"/>
      <c r="F4228" s="73"/>
      <c r="G4228" s="73"/>
      <c r="H4228" s="108"/>
      <c r="I4228" s="85"/>
      <c r="J4228" s="85"/>
      <c r="K4228" s="131"/>
      <c r="L4228" s="60"/>
      <c r="M4228" s="33"/>
      <c r="Z4228" s="3"/>
      <c r="AA4228" s="3"/>
      <c r="AB4228" s="4"/>
    </row>
    <row r="4229" spans="1:28" x14ac:dyDescent="0.15">
      <c r="A4229" s="70"/>
      <c r="B4229" s="93"/>
      <c r="C4229" s="70"/>
      <c r="D4229" s="70"/>
      <c r="E4229" s="70"/>
      <c r="F4229" s="70"/>
      <c r="G4229" s="70"/>
      <c r="H4229" s="93"/>
      <c r="I4229" s="85"/>
      <c r="J4229" s="85"/>
      <c r="K4229" s="131"/>
      <c r="L4229" s="60"/>
      <c r="M4229" s="33"/>
      <c r="Z4229" s="3"/>
      <c r="AA4229" s="3"/>
      <c r="AB4229" s="4"/>
    </row>
    <row r="4230" spans="1:28" x14ac:dyDescent="0.15">
      <c r="A4230" s="70"/>
      <c r="B4230" s="93"/>
      <c r="C4230" s="70"/>
      <c r="D4230" s="70"/>
      <c r="E4230" s="70"/>
      <c r="F4230" s="70"/>
      <c r="G4230" s="70"/>
      <c r="H4230" s="93"/>
      <c r="I4230" s="85"/>
      <c r="J4230" s="85"/>
      <c r="K4230" s="131"/>
      <c r="L4230" s="60"/>
      <c r="M4230" s="33"/>
      <c r="Z4230" s="3"/>
      <c r="AA4230" s="3"/>
      <c r="AB4230" s="4"/>
    </row>
    <row r="4231" spans="1:28" ht="16" x14ac:dyDescent="0.2">
      <c r="A4231" s="70"/>
      <c r="B4231" s="93"/>
      <c r="C4231" s="70"/>
      <c r="D4231" s="70"/>
      <c r="E4231" s="70"/>
      <c r="F4231" s="70"/>
      <c r="G4231" s="70"/>
      <c r="H4231" s="93"/>
      <c r="I4231" s="85"/>
      <c r="J4231" s="85"/>
      <c r="K4231" s="131"/>
      <c r="L4231" s="60"/>
      <c r="M4231" s="33"/>
      <c r="N4231" s="48"/>
      <c r="Z4231" s="3"/>
      <c r="AA4231" s="3"/>
      <c r="AB4231" s="4"/>
    </row>
    <row r="4232" spans="1:28" x14ac:dyDescent="0.15">
      <c r="A4232" s="70"/>
      <c r="B4232" s="93"/>
      <c r="C4232" s="73"/>
      <c r="D4232" s="73"/>
      <c r="E4232" s="73"/>
      <c r="F4232" s="73"/>
      <c r="G4232" s="73"/>
      <c r="H4232" s="108"/>
      <c r="I4232" s="85"/>
      <c r="J4232" s="85"/>
      <c r="K4232" s="131"/>
      <c r="L4232" s="60"/>
      <c r="M4232" s="33"/>
      <c r="Z4232" s="3"/>
      <c r="AA4232" s="3"/>
      <c r="AB4232" s="4"/>
    </row>
    <row r="4233" spans="1:28" x14ac:dyDescent="0.15">
      <c r="A4233" s="70"/>
      <c r="B4233" s="93"/>
      <c r="C4233" s="70"/>
      <c r="D4233" s="70"/>
      <c r="E4233" s="70"/>
      <c r="F4233" s="70"/>
      <c r="G4233" s="70"/>
      <c r="H4233" s="93"/>
      <c r="I4233" s="85"/>
      <c r="J4233" s="85"/>
      <c r="K4233" s="131"/>
      <c r="L4233" s="60"/>
      <c r="M4233" s="33"/>
      <c r="Z4233" s="3"/>
      <c r="AA4233" s="3"/>
      <c r="AB4233" s="4"/>
    </row>
    <row r="4234" spans="1:28" x14ac:dyDescent="0.15">
      <c r="A4234" s="70"/>
      <c r="B4234" s="93"/>
      <c r="C4234" s="70"/>
      <c r="D4234" s="70"/>
      <c r="E4234" s="70"/>
      <c r="F4234" s="70"/>
      <c r="G4234" s="70"/>
      <c r="H4234" s="93"/>
      <c r="I4234" s="85"/>
      <c r="J4234" s="85"/>
      <c r="K4234" s="131"/>
      <c r="L4234" s="60"/>
      <c r="M4234" s="33"/>
      <c r="Z4234" s="3"/>
      <c r="AA4234" s="3"/>
      <c r="AB4234" s="4"/>
    </row>
    <row r="4235" spans="1:28" ht="16" x14ac:dyDescent="0.2">
      <c r="A4235" s="70"/>
      <c r="B4235" s="82"/>
      <c r="C4235" s="70"/>
      <c r="D4235" s="70"/>
      <c r="E4235" s="70"/>
      <c r="F4235" s="70"/>
      <c r="G4235" s="70"/>
      <c r="H4235" s="93"/>
      <c r="I4235" s="85"/>
      <c r="J4235" s="85"/>
      <c r="K4235" s="131"/>
      <c r="L4235" s="60"/>
      <c r="M4235" s="47"/>
      <c r="Z4235" s="3"/>
      <c r="AA4235" s="3"/>
      <c r="AB4235" s="4"/>
    </row>
    <row r="4236" spans="1:28" x14ac:dyDescent="0.15">
      <c r="A4236" s="70"/>
      <c r="B4236" s="93"/>
      <c r="C4236" s="70"/>
      <c r="D4236" s="70"/>
      <c r="E4236" s="70"/>
      <c r="F4236" s="70"/>
      <c r="G4236" s="70"/>
      <c r="H4236" s="93"/>
      <c r="I4236" s="85"/>
      <c r="J4236" s="85"/>
      <c r="K4236" s="131"/>
      <c r="L4236" s="60"/>
      <c r="M4236" s="33"/>
      <c r="Z4236" s="3"/>
      <c r="AA4236" s="3"/>
      <c r="AB4236" s="4"/>
    </row>
    <row r="4237" spans="1:28" ht="16" x14ac:dyDescent="0.2">
      <c r="A4237" s="70"/>
      <c r="B4237" s="93"/>
      <c r="C4237" s="70"/>
      <c r="D4237" s="70"/>
      <c r="E4237" s="70"/>
      <c r="F4237" s="70"/>
      <c r="G4237" s="70"/>
      <c r="H4237" s="93"/>
      <c r="I4237" s="85"/>
      <c r="J4237" s="85"/>
      <c r="K4237" s="131"/>
      <c r="L4237" s="60"/>
      <c r="M4237" s="47"/>
      <c r="S4237" s="14"/>
      <c r="T4237" s="14"/>
      <c r="U4237" s="14"/>
      <c r="V4237" s="14"/>
      <c r="W4237" s="14"/>
      <c r="X4237" s="14"/>
      <c r="Y4237" s="14"/>
      <c r="Z4237" s="14"/>
      <c r="AA4237" s="14"/>
      <c r="AB4237" s="17"/>
    </row>
    <row r="4238" spans="1:28" x14ac:dyDescent="0.15">
      <c r="A4238" s="70"/>
      <c r="B4238" s="93"/>
      <c r="C4238" s="70"/>
      <c r="D4238" s="70"/>
      <c r="E4238" s="70"/>
      <c r="F4238" s="70"/>
      <c r="G4238" s="70"/>
      <c r="H4238" s="93"/>
      <c r="I4238" s="85"/>
      <c r="J4238" s="85"/>
      <c r="K4238" s="131"/>
      <c r="L4238" s="60"/>
      <c r="M4238" s="33"/>
      <c r="Z4238" s="3"/>
      <c r="AA4238" s="3"/>
      <c r="AB4238" s="4"/>
    </row>
    <row r="4239" spans="1:28" ht="16" x14ac:dyDescent="0.2">
      <c r="A4239" s="70"/>
      <c r="B4239" s="93"/>
      <c r="C4239" s="70"/>
      <c r="D4239" s="70"/>
      <c r="E4239" s="73"/>
      <c r="F4239" s="70"/>
      <c r="G4239" s="70"/>
      <c r="H4239" s="93"/>
      <c r="I4239" s="85"/>
      <c r="J4239" s="85"/>
      <c r="K4239" s="131"/>
      <c r="L4239" s="60"/>
      <c r="M4239" s="33"/>
      <c r="N4239" s="48"/>
      <c r="Z4239" s="3"/>
      <c r="AA4239" s="3"/>
      <c r="AB4239" s="4"/>
    </row>
    <row r="4240" spans="1:28" ht="16" x14ac:dyDescent="0.2">
      <c r="A4240" s="70"/>
      <c r="B4240" s="93"/>
      <c r="C4240" s="70"/>
      <c r="D4240" s="70"/>
      <c r="E4240" s="70"/>
      <c r="F4240" s="70"/>
      <c r="G4240" s="70"/>
      <c r="H4240" s="93"/>
      <c r="I4240" s="85"/>
      <c r="J4240" s="85"/>
      <c r="K4240" s="131"/>
      <c r="L4240" s="60"/>
      <c r="M4240" s="47"/>
      <c r="Z4240" s="3"/>
      <c r="AA4240" s="3"/>
      <c r="AB4240" s="4"/>
    </row>
    <row r="4241" spans="1:28" x14ac:dyDescent="0.15">
      <c r="A4241" s="70"/>
      <c r="B4241" s="93"/>
      <c r="C4241" s="70"/>
      <c r="D4241" s="70"/>
      <c r="E4241" s="70"/>
      <c r="F4241" s="70"/>
      <c r="G4241" s="70"/>
      <c r="H4241" s="93"/>
      <c r="I4241" s="85"/>
      <c r="J4241" s="85"/>
      <c r="K4241" s="131"/>
      <c r="L4241" s="60"/>
      <c r="M4241" s="33"/>
      <c r="Z4241" s="3"/>
      <c r="AA4241" s="3"/>
      <c r="AB4241" s="4"/>
    </row>
    <row r="4242" spans="1:28" x14ac:dyDescent="0.15">
      <c r="A4242" s="70"/>
      <c r="B4242" s="93"/>
      <c r="C4242" s="70"/>
      <c r="D4242" s="70"/>
      <c r="E4242" s="70"/>
      <c r="F4242" s="70"/>
      <c r="G4242" s="70"/>
      <c r="H4242" s="93"/>
      <c r="I4242" s="85"/>
      <c r="J4242" s="85"/>
      <c r="K4242" s="131"/>
      <c r="L4242" s="60"/>
      <c r="M4242" s="33"/>
      <c r="Z4242" s="3"/>
      <c r="AA4242" s="3"/>
      <c r="AB4242" s="4"/>
    </row>
    <row r="4243" spans="1:28" x14ac:dyDescent="0.15">
      <c r="A4243" s="70"/>
      <c r="B4243" s="93"/>
      <c r="C4243" s="70"/>
      <c r="D4243" s="70"/>
      <c r="E4243" s="70"/>
      <c r="F4243" s="70"/>
      <c r="G4243" s="70"/>
      <c r="H4243" s="93"/>
      <c r="I4243" s="85"/>
      <c r="J4243" s="85"/>
      <c r="K4243" s="131"/>
      <c r="L4243" s="60"/>
      <c r="M4243" s="33"/>
    </row>
    <row r="4244" spans="1:28" x14ac:dyDescent="0.15">
      <c r="A4244" s="70"/>
      <c r="B4244" s="82"/>
      <c r="C4244" s="70"/>
      <c r="D4244" s="70"/>
      <c r="E4244" s="70"/>
      <c r="F4244" s="70"/>
      <c r="G4244" s="70"/>
      <c r="H4244" s="93"/>
      <c r="I4244" s="85"/>
      <c r="J4244" s="85"/>
      <c r="K4244" s="131"/>
      <c r="L4244" s="60"/>
    </row>
    <row r="4245" spans="1:28" x14ac:dyDescent="0.15">
      <c r="A4245" s="70"/>
      <c r="B4245" s="93"/>
      <c r="C4245" s="70"/>
      <c r="D4245" s="70"/>
      <c r="E4245" s="70"/>
      <c r="F4245" s="70"/>
      <c r="G4245" s="70"/>
      <c r="H4245" s="93"/>
      <c r="I4245" s="85"/>
      <c r="J4245" s="85"/>
      <c r="K4245" s="131"/>
      <c r="L4245" s="60"/>
      <c r="M4245" s="33"/>
    </row>
    <row r="4246" spans="1:28" ht="16" x14ac:dyDescent="0.2">
      <c r="A4246" s="70"/>
      <c r="B4246" s="82"/>
      <c r="C4246" s="70"/>
      <c r="D4246" s="70"/>
      <c r="E4246" s="70"/>
      <c r="F4246" s="70"/>
      <c r="G4246" s="70"/>
      <c r="H4246" s="93"/>
      <c r="I4246" s="85"/>
      <c r="J4246" s="85"/>
      <c r="K4246" s="131"/>
      <c r="L4246" s="60"/>
      <c r="M4246" s="33"/>
      <c r="N4246" s="48"/>
    </row>
    <row r="4247" spans="1:28" x14ac:dyDescent="0.15">
      <c r="A4247" s="70"/>
      <c r="B4247" s="93"/>
      <c r="C4247" s="70"/>
      <c r="D4247" s="70"/>
      <c r="E4247" s="70"/>
      <c r="F4247" s="70"/>
      <c r="G4247" s="70"/>
      <c r="H4247" s="93"/>
      <c r="I4247" s="85"/>
      <c r="J4247" s="85"/>
      <c r="K4247" s="131"/>
      <c r="L4247" s="60"/>
      <c r="M4247" s="33"/>
    </row>
    <row r="4248" spans="1:28" x14ac:dyDescent="0.15">
      <c r="A4248" s="70"/>
      <c r="B4248" s="93"/>
      <c r="C4248" s="70"/>
      <c r="D4248" s="70"/>
      <c r="E4248" s="70"/>
      <c r="F4248" s="70"/>
      <c r="G4248" s="70"/>
      <c r="H4248" s="93"/>
      <c r="I4248" s="85"/>
      <c r="J4248" s="85"/>
      <c r="K4248" s="131"/>
      <c r="L4248" s="60"/>
      <c r="M4248" s="33"/>
    </row>
    <row r="4249" spans="1:28" x14ac:dyDescent="0.15">
      <c r="A4249" s="70"/>
      <c r="B4249" s="93"/>
      <c r="C4249" s="70"/>
      <c r="D4249" s="70"/>
      <c r="E4249" s="70"/>
      <c r="F4249" s="70"/>
      <c r="G4249" s="70"/>
      <c r="H4249" s="93"/>
      <c r="I4249" s="85"/>
      <c r="J4249" s="85"/>
      <c r="K4249" s="131"/>
      <c r="L4249" s="60"/>
      <c r="M4249" s="33"/>
    </row>
    <row r="4250" spans="1:28" x14ac:dyDescent="0.15">
      <c r="A4250" s="70"/>
      <c r="B4250" s="82"/>
      <c r="C4250" s="70"/>
      <c r="D4250" s="70"/>
      <c r="E4250" s="70"/>
      <c r="F4250" s="70"/>
      <c r="G4250" s="70"/>
      <c r="H4250" s="93"/>
      <c r="I4250" s="85"/>
      <c r="J4250" s="85"/>
      <c r="K4250" s="131"/>
      <c r="L4250" s="60"/>
    </row>
    <row r="4251" spans="1:28" x14ac:dyDescent="0.15">
      <c r="A4251" s="70"/>
      <c r="B4251" s="93"/>
      <c r="C4251" s="70"/>
      <c r="D4251" s="70"/>
      <c r="E4251" s="70"/>
      <c r="F4251" s="70"/>
      <c r="G4251" s="70"/>
      <c r="H4251" s="93"/>
      <c r="I4251" s="85"/>
      <c r="J4251" s="85"/>
      <c r="K4251" s="131"/>
      <c r="L4251" s="60"/>
      <c r="M4251" s="33"/>
    </row>
    <row r="4252" spans="1:28" x14ac:dyDescent="0.15">
      <c r="A4252" s="70"/>
      <c r="B4252" s="93"/>
      <c r="C4252" s="70"/>
      <c r="D4252" s="70"/>
      <c r="E4252" s="70"/>
      <c r="F4252" s="70"/>
      <c r="G4252" s="70"/>
      <c r="H4252" s="93"/>
      <c r="I4252" s="85"/>
      <c r="J4252" s="85"/>
      <c r="K4252" s="131"/>
      <c r="L4252" s="60"/>
      <c r="M4252" s="33"/>
    </row>
    <row r="4253" spans="1:28" x14ac:dyDescent="0.15">
      <c r="A4253" s="70"/>
      <c r="B4253" s="93"/>
      <c r="C4253" s="70"/>
      <c r="D4253" s="70"/>
      <c r="E4253" s="70"/>
      <c r="F4253" s="70"/>
      <c r="G4253" s="70"/>
      <c r="H4253" s="93"/>
      <c r="I4253" s="85"/>
      <c r="J4253" s="85"/>
      <c r="K4253" s="131"/>
      <c r="L4253" s="60"/>
      <c r="M4253" s="33"/>
    </row>
    <row r="4254" spans="1:28" ht="16" x14ac:dyDescent="0.2">
      <c r="A4254" s="70"/>
      <c r="B4254" s="93"/>
      <c r="C4254" s="73"/>
      <c r="D4254" s="73"/>
      <c r="E4254" s="73"/>
      <c r="F4254" s="73"/>
      <c r="G4254" s="73"/>
      <c r="H4254" s="108"/>
      <c r="I4254" s="85"/>
      <c r="J4254" s="85"/>
      <c r="K4254" s="131"/>
      <c r="L4254" s="60"/>
      <c r="M4254" s="33"/>
      <c r="N4254" s="48"/>
    </row>
    <row r="4255" spans="1:28" x14ac:dyDescent="0.15">
      <c r="A4255" s="70"/>
      <c r="B4255" s="93"/>
      <c r="C4255" s="70"/>
      <c r="D4255" s="70"/>
      <c r="E4255" s="70"/>
      <c r="F4255" s="70"/>
      <c r="G4255" s="70"/>
      <c r="H4255" s="93"/>
      <c r="I4255" s="85"/>
      <c r="J4255" s="85"/>
      <c r="K4255" s="131"/>
      <c r="L4255" s="60"/>
      <c r="M4255" s="33"/>
    </row>
    <row r="4256" spans="1:28" x14ac:dyDescent="0.15">
      <c r="A4256" s="70"/>
      <c r="B4256" s="93"/>
      <c r="C4256" s="70"/>
      <c r="D4256" s="70"/>
      <c r="E4256" s="70"/>
      <c r="F4256" s="70"/>
      <c r="G4256" s="70"/>
      <c r="H4256" s="93"/>
      <c r="I4256" s="85"/>
      <c r="J4256" s="85"/>
      <c r="K4256" s="131"/>
      <c r="L4256" s="60"/>
      <c r="M4256" s="33"/>
    </row>
    <row r="4257" spans="1:14" x14ac:dyDescent="0.15">
      <c r="A4257" s="70"/>
      <c r="B4257" s="93"/>
      <c r="C4257" s="70"/>
      <c r="D4257" s="70"/>
      <c r="E4257" s="70"/>
      <c r="F4257" s="70"/>
      <c r="G4257" s="70"/>
      <c r="H4257" s="93"/>
      <c r="I4257" s="85"/>
      <c r="J4257" s="85"/>
      <c r="K4257" s="131"/>
      <c r="L4257" s="60"/>
      <c r="M4257" s="33"/>
    </row>
    <row r="4258" spans="1:14" x14ac:dyDescent="0.15">
      <c r="A4258" s="70"/>
      <c r="B4258" s="93"/>
      <c r="C4258" s="70"/>
      <c r="D4258" s="70"/>
      <c r="E4258" s="70"/>
      <c r="F4258" s="70"/>
      <c r="G4258" s="70"/>
      <c r="H4258" s="93"/>
      <c r="I4258" s="85"/>
      <c r="J4258" s="85"/>
      <c r="K4258" s="131"/>
      <c r="L4258" s="60"/>
      <c r="M4258" s="33"/>
    </row>
    <row r="4259" spans="1:14" x14ac:dyDescent="0.15">
      <c r="A4259" s="70"/>
      <c r="B4259" s="82"/>
      <c r="C4259" s="70"/>
      <c r="D4259" s="70"/>
      <c r="E4259" s="70"/>
      <c r="F4259" s="70"/>
      <c r="G4259" s="70"/>
      <c r="H4259" s="93"/>
      <c r="I4259" s="85"/>
      <c r="J4259" s="85"/>
      <c r="K4259" s="131"/>
      <c r="L4259" s="60"/>
      <c r="M4259" s="33"/>
    </row>
    <row r="4260" spans="1:14" x14ac:dyDescent="0.15">
      <c r="A4260" s="70"/>
      <c r="B4260" s="82"/>
      <c r="C4260" s="70"/>
      <c r="D4260" s="70"/>
      <c r="E4260" s="73"/>
      <c r="F4260" s="70"/>
      <c r="G4260" s="70"/>
      <c r="H4260" s="93"/>
      <c r="I4260" s="85"/>
      <c r="J4260" s="85"/>
      <c r="K4260" s="131"/>
      <c r="L4260" s="60"/>
      <c r="M4260" s="33"/>
    </row>
    <row r="4261" spans="1:14" x14ac:dyDescent="0.15">
      <c r="A4261" s="70"/>
      <c r="B4261" s="82"/>
      <c r="C4261" s="70"/>
      <c r="D4261" s="70"/>
      <c r="E4261" s="70"/>
      <c r="F4261" s="70"/>
      <c r="G4261" s="70"/>
      <c r="H4261" s="93"/>
      <c r="I4261" s="85"/>
      <c r="J4261" s="85"/>
      <c r="K4261" s="131"/>
      <c r="L4261" s="60"/>
    </row>
    <row r="4262" spans="1:14" x14ac:dyDescent="0.15">
      <c r="A4262" s="70"/>
      <c r="B4262" s="82"/>
      <c r="C4262" s="70"/>
      <c r="D4262" s="70"/>
      <c r="E4262" s="70"/>
      <c r="F4262" s="70"/>
      <c r="G4262" s="70"/>
      <c r="H4262" s="93"/>
      <c r="I4262" s="85"/>
      <c r="J4262" s="85"/>
      <c r="K4262" s="131"/>
      <c r="L4262" s="60"/>
    </row>
    <row r="4263" spans="1:14" x14ac:dyDescent="0.15">
      <c r="A4263" s="70"/>
      <c r="B4263" s="82"/>
      <c r="C4263" s="70"/>
      <c r="D4263" s="70"/>
      <c r="E4263" s="70"/>
      <c r="F4263" s="70"/>
      <c r="G4263" s="70"/>
      <c r="H4263" s="93"/>
      <c r="I4263" s="85"/>
      <c r="J4263" s="85"/>
      <c r="K4263" s="131"/>
      <c r="L4263" s="60"/>
      <c r="M4263" s="33"/>
    </row>
    <row r="4264" spans="1:14" ht="16" x14ac:dyDescent="0.2">
      <c r="A4264" s="70"/>
      <c r="B4264" s="93"/>
      <c r="C4264" s="70"/>
      <c r="D4264" s="70"/>
      <c r="E4264" s="73"/>
      <c r="F4264" s="70"/>
      <c r="G4264" s="70"/>
      <c r="H4264" s="93"/>
      <c r="I4264" s="85"/>
      <c r="J4264" s="85"/>
      <c r="K4264" s="131"/>
      <c r="L4264" s="60"/>
      <c r="M4264" s="33"/>
      <c r="N4264" s="48"/>
    </row>
    <row r="4265" spans="1:14" x14ac:dyDescent="0.15">
      <c r="A4265" s="70"/>
      <c r="B4265" s="93"/>
      <c r="C4265" s="70"/>
      <c r="D4265" s="70"/>
      <c r="E4265" s="73"/>
      <c r="F4265" s="70"/>
      <c r="G4265" s="70"/>
      <c r="H4265" s="93"/>
      <c r="I4265" s="85"/>
      <c r="J4265" s="85"/>
      <c r="K4265" s="131"/>
      <c r="L4265" s="60"/>
    </row>
    <row r="4266" spans="1:14" x14ac:dyDescent="0.15">
      <c r="A4266" s="70"/>
      <c r="B4266" s="93"/>
      <c r="C4266" s="70"/>
      <c r="D4266" s="70"/>
      <c r="E4266" s="70"/>
      <c r="F4266" s="70"/>
      <c r="G4266" s="70"/>
      <c r="H4266" s="93"/>
      <c r="I4266" s="85"/>
      <c r="J4266" s="85"/>
      <c r="K4266" s="131"/>
      <c r="L4266" s="60"/>
      <c r="M4266" s="33"/>
    </row>
    <row r="4267" spans="1:14" x14ac:dyDescent="0.15">
      <c r="A4267" s="70"/>
      <c r="B4267" s="82"/>
      <c r="C4267" s="70"/>
      <c r="D4267" s="70"/>
      <c r="E4267" s="70"/>
      <c r="F4267" s="70"/>
      <c r="G4267" s="70"/>
      <c r="H4267" s="93"/>
      <c r="I4267" s="85"/>
      <c r="J4267" s="85"/>
      <c r="K4267" s="131"/>
      <c r="L4267" s="60"/>
    </row>
    <row r="4268" spans="1:14" x14ac:dyDescent="0.15">
      <c r="A4268" s="70"/>
      <c r="B4268" s="82"/>
      <c r="C4268" s="70"/>
      <c r="D4268" s="70"/>
      <c r="E4268" s="70"/>
      <c r="F4268" s="70"/>
      <c r="G4268" s="70"/>
      <c r="H4268" s="93"/>
      <c r="I4268" s="85"/>
      <c r="J4268" s="85"/>
      <c r="K4268" s="131"/>
      <c r="L4268" s="60"/>
      <c r="M4268" s="33"/>
    </row>
    <row r="4269" spans="1:14" x14ac:dyDescent="0.15">
      <c r="A4269" s="70"/>
      <c r="B4269" s="93"/>
      <c r="C4269" s="70"/>
      <c r="D4269" s="70"/>
      <c r="E4269" s="70"/>
      <c r="F4269" s="70"/>
      <c r="G4269" s="70"/>
      <c r="H4269" s="93"/>
      <c r="I4269" s="85"/>
      <c r="J4269" s="85"/>
      <c r="K4269" s="131"/>
      <c r="L4269" s="60"/>
      <c r="M4269" s="33"/>
    </row>
    <row r="4270" spans="1:14" x14ac:dyDescent="0.15">
      <c r="A4270" s="70"/>
      <c r="B4270" s="93"/>
      <c r="C4270" s="70"/>
      <c r="D4270" s="70"/>
      <c r="E4270" s="70"/>
      <c r="F4270" s="70"/>
      <c r="G4270" s="70"/>
      <c r="H4270" s="93"/>
      <c r="I4270" s="85"/>
      <c r="J4270" s="85"/>
      <c r="K4270" s="131"/>
      <c r="L4270" s="60"/>
      <c r="M4270" s="33"/>
    </row>
    <row r="4271" spans="1:14" ht="16" x14ac:dyDescent="0.2">
      <c r="A4271" s="70"/>
      <c r="B4271" s="93"/>
      <c r="C4271" s="70"/>
      <c r="D4271" s="70"/>
      <c r="E4271" s="70"/>
      <c r="F4271" s="70"/>
      <c r="G4271" s="70"/>
      <c r="H4271" s="93"/>
      <c r="I4271" s="85"/>
      <c r="J4271" s="85"/>
      <c r="K4271" s="131"/>
      <c r="L4271" s="60"/>
      <c r="M4271" s="33"/>
      <c r="N4271" s="48"/>
    </row>
    <row r="4272" spans="1:14" x14ac:dyDescent="0.15">
      <c r="A4272" s="70"/>
      <c r="B4272" s="93"/>
      <c r="C4272" s="70"/>
      <c r="D4272" s="70"/>
      <c r="E4272" s="70"/>
      <c r="F4272" s="70"/>
      <c r="G4272" s="70"/>
      <c r="H4272" s="93"/>
      <c r="I4272" s="85"/>
      <c r="J4272" s="85"/>
      <c r="K4272" s="131"/>
      <c r="L4272" s="67"/>
      <c r="M4272" s="33"/>
    </row>
    <row r="4273" spans="1:14" x14ac:dyDescent="0.15">
      <c r="A4273" s="70"/>
      <c r="B4273" s="82"/>
      <c r="C4273" s="70"/>
      <c r="D4273" s="70"/>
      <c r="E4273" s="73"/>
      <c r="F4273" s="70"/>
      <c r="G4273" s="70"/>
      <c r="H4273" s="93"/>
      <c r="I4273" s="85"/>
      <c r="J4273" s="85"/>
      <c r="K4273" s="131"/>
      <c r="L4273" s="60"/>
    </row>
    <row r="4274" spans="1:14" x14ac:dyDescent="0.15">
      <c r="A4274" s="70"/>
      <c r="B4274" s="93"/>
      <c r="C4274" s="73"/>
      <c r="D4274" s="73"/>
      <c r="E4274" s="70"/>
      <c r="F4274" s="73"/>
      <c r="G4274" s="73"/>
      <c r="H4274" s="93"/>
      <c r="I4274" s="85"/>
      <c r="J4274" s="85"/>
      <c r="K4274" s="131"/>
      <c r="L4274" s="60"/>
      <c r="M4274" s="33"/>
    </row>
    <row r="4275" spans="1:14" x14ac:dyDescent="0.15">
      <c r="A4275" s="70"/>
      <c r="B4275" s="93"/>
      <c r="C4275" s="70"/>
      <c r="D4275" s="70"/>
      <c r="E4275" s="70"/>
      <c r="F4275" s="70"/>
      <c r="G4275" s="70"/>
      <c r="H4275" s="93"/>
      <c r="I4275" s="85"/>
      <c r="J4275" s="85"/>
      <c r="K4275" s="131"/>
      <c r="L4275" s="60"/>
      <c r="M4275" s="33"/>
    </row>
    <row r="4276" spans="1:14" x14ac:dyDescent="0.15">
      <c r="A4276" s="70"/>
      <c r="B4276" s="93"/>
      <c r="C4276" s="70"/>
      <c r="D4276" s="70"/>
      <c r="E4276" s="70"/>
      <c r="F4276" s="70"/>
      <c r="G4276" s="70"/>
      <c r="H4276" s="93"/>
      <c r="I4276" s="85"/>
      <c r="J4276" s="85"/>
      <c r="K4276" s="131"/>
      <c r="L4276" s="60"/>
      <c r="M4276" s="33"/>
    </row>
    <row r="4277" spans="1:14" x14ac:dyDescent="0.15">
      <c r="A4277" s="70"/>
      <c r="B4277" s="93"/>
      <c r="C4277" s="70"/>
      <c r="D4277" s="70"/>
      <c r="E4277" s="70"/>
      <c r="F4277" s="70"/>
      <c r="G4277" s="70"/>
      <c r="H4277" s="93"/>
      <c r="I4277" s="85"/>
      <c r="J4277" s="85"/>
      <c r="K4277" s="131"/>
      <c r="L4277" s="60"/>
      <c r="M4277" s="33"/>
    </row>
    <row r="4278" spans="1:14" x14ac:dyDescent="0.15">
      <c r="A4278" s="70"/>
      <c r="B4278" s="82"/>
      <c r="C4278" s="70"/>
      <c r="D4278" s="70"/>
      <c r="E4278" s="70"/>
      <c r="F4278" s="70"/>
      <c r="G4278" s="70"/>
      <c r="H4278" s="93"/>
      <c r="I4278" s="85"/>
      <c r="J4278" s="85"/>
      <c r="K4278" s="131"/>
      <c r="L4278" s="60"/>
      <c r="M4278" s="33"/>
    </row>
    <row r="4279" spans="1:14" ht="16" x14ac:dyDescent="0.2">
      <c r="A4279" s="70"/>
      <c r="B4279" s="93"/>
      <c r="C4279" s="70"/>
      <c r="D4279" s="70"/>
      <c r="E4279" s="70"/>
      <c r="F4279" s="70"/>
      <c r="G4279" s="70"/>
      <c r="H4279" s="93"/>
      <c r="I4279" s="85"/>
      <c r="J4279" s="85"/>
      <c r="K4279" s="131"/>
      <c r="L4279" s="60"/>
      <c r="M4279" s="47"/>
    </row>
    <row r="4280" spans="1:14" x14ac:dyDescent="0.15">
      <c r="A4280" s="70"/>
      <c r="B4280" s="82"/>
      <c r="C4280" s="70"/>
      <c r="D4280" s="70"/>
      <c r="E4280" s="70"/>
      <c r="F4280" s="70"/>
      <c r="G4280" s="70"/>
      <c r="H4280" s="93"/>
      <c r="I4280" s="85"/>
      <c r="J4280" s="85"/>
      <c r="K4280" s="131"/>
      <c r="L4280" s="60"/>
      <c r="M4280" s="33"/>
    </row>
    <row r="4281" spans="1:14" x14ac:dyDescent="0.15">
      <c r="A4281" s="70"/>
      <c r="B4281" s="93"/>
      <c r="C4281" s="70"/>
      <c r="D4281" s="70"/>
      <c r="E4281" s="70"/>
      <c r="F4281" s="70"/>
      <c r="G4281" s="70"/>
      <c r="H4281" s="93"/>
      <c r="I4281" s="85"/>
      <c r="J4281" s="85"/>
      <c r="K4281" s="131"/>
      <c r="L4281" s="60"/>
      <c r="M4281" s="33"/>
    </row>
    <row r="4282" spans="1:14" x14ac:dyDescent="0.15">
      <c r="A4282" s="70"/>
      <c r="B4282" s="93"/>
      <c r="C4282" s="70"/>
      <c r="D4282" s="70"/>
      <c r="E4282" s="70"/>
      <c r="F4282" s="70"/>
      <c r="G4282" s="70"/>
      <c r="H4282" s="93"/>
      <c r="I4282" s="85"/>
      <c r="J4282" s="85"/>
      <c r="K4282" s="134"/>
      <c r="L4282" s="67"/>
      <c r="M4282" s="33"/>
    </row>
    <row r="4283" spans="1:14" ht="16" x14ac:dyDescent="0.2">
      <c r="A4283" s="70"/>
      <c r="B4283" s="93"/>
      <c r="C4283" s="70"/>
      <c r="D4283" s="70"/>
      <c r="E4283" s="70"/>
      <c r="F4283" s="70"/>
      <c r="G4283" s="70"/>
      <c r="H4283" s="93"/>
      <c r="I4283" s="85"/>
      <c r="J4283" s="85"/>
      <c r="K4283" s="131"/>
      <c r="L4283" s="60"/>
      <c r="M4283" s="33"/>
      <c r="N4283" s="48"/>
    </row>
    <row r="4284" spans="1:14" x14ac:dyDescent="0.15">
      <c r="A4284" s="70"/>
      <c r="B4284" s="93"/>
      <c r="C4284" s="70"/>
      <c r="D4284" s="70"/>
      <c r="E4284" s="70"/>
      <c r="F4284" s="70"/>
      <c r="G4284" s="70"/>
      <c r="H4284" s="93"/>
      <c r="I4284" s="85"/>
      <c r="J4284" s="85"/>
      <c r="K4284" s="131"/>
      <c r="L4284" s="60"/>
      <c r="M4284" s="33"/>
    </row>
    <row r="4285" spans="1:14" x14ac:dyDescent="0.15">
      <c r="A4285" s="70"/>
      <c r="B4285" s="82"/>
      <c r="C4285" s="70"/>
      <c r="D4285" s="70"/>
      <c r="E4285" s="70"/>
      <c r="F4285" s="70"/>
      <c r="G4285" s="70"/>
      <c r="H4285" s="93"/>
      <c r="I4285" s="85"/>
      <c r="J4285" s="85"/>
      <c r="K4285" s="131"/>
      <c r="L4285" s="60"/>
    </row>
    <row r="4286" spans="1:14" x14ac:dyDescent="0.15">
      <c r="A4286" s="70"/>
      <c r="B4286" s="82"/>
      <c r="C4286" s="70"/>
      <c r="D4286" s="70"/>
      <c r="E4286" s="70"/>
      <c r="F4286" s="70"/>
      <c r="G4286" s="70"/>
      <c r="H4286" s="93"/>
      <c r="I4286" s="85"/>
      <c r="J4286" s="85"/>
      <c r="K4286" s="131"/>
      <c r="L4286" s="60"/>
      <c r="M4286" s="33"/>
    </row>
    <row r="4287" spans="1:14" x14ac:dyDescent="0.15">
      <c r="A4287" s="70"/>
      <c r="B4287" s="82"/>
      <c r="C4287" s="70"/>
      <c r="D4287" s="70"/>
      <c r="E4287" s="70"/>
      <c r="F4287" s="70"/>
      <c r="G4287" s="70"/>
      <c r="H4287" s="93"/>
      <c r="I4287" s="85"/>
      <c r="J4287" s="85"/>
      <c r="K4287" s="131"/>
      <c r="L4287" s="60"/>
      <c r="M4287" s="33"/>
    </row>
    <row r="4288" spans="1:14" x14ac:dyDescent="0.15">
      <c r="A4288" s="70"/>
      <c r="B4288" s="93"/>
      <c r="C4288" s="70"/>
      <c r="D4288" s="70"/>
      <c r="E4288" s="70"/>
      <c r="F4288" s="70"/>
      <c r="G4288" s="70"/>
      <c r="H4288" s="93"/>
      <c r="I4288" s="85"/>
      <c r="J4288" s="85"/>
      <c r="K4288" s="131"/>
      <c r="L4288" s="60"/>
      <c r="M4288" s="33"/>
    </row>
    <row r="4289" spans="1:15" x14ac:dyDescent="0.15">
      <c r="A4289" s="70"/>
      <c r="B4289" s="93"/>
      <c r="C4289" s="70"/>
      <c r="D4289" s="70"/>
      <c r="E4289" s="70"/>
      <c r="F4289" s="70"/>
      <c r="G4289" s="70"/>
      <c r="H4289" s="93"/>
      <c r="I4289" s="85"/>
      <c r="J4289" s="85"/>
      <c r="K4289" s="131"/>
      <c r="L4289" s="60"/>
      <c r="M4289" s="33"/>
    </row>
    <row r="4290" spans="1:15" x14ac:dyDescent="0.15">
      <c r="A4290" s="70"/>
      <c r="B4290" s="82"/>
      <c r="C4290" s="70"/>
      <c r="D4290" s="70"/>
      <c r="E4290" s="70"/>
      <c r="F4290" s="70"/>
      <c r="G4290" s="70"/>
      <c r="H4290" s="93"/>
      <c r="I4290" s="85"/>
      <c r="J4290" s="85"/>
      <c r="K4290" s="131"/>
      <c r="L4290" s="60"/>
      <c r="M4290" s="33"/>
    </row>
    <row r="4291" spans="1:15" x14ac:dyDescent="0.15">
      <c r="A4291" s="70"/>
      <c r="B4291" s="82"/>
      <c r="C4291" s="70"/>
      <c r="D4291" s="70"/>
      <c r="E4291" s="70"/>
      <c r="F4291" s="70"/>
      <c r="G4291" s="70"/>
      <c r="H4291" s="93"/>
      <c r="I4291" s="85"/>
      <c r="J4291" s="85"/>
      <c r="K4291" s="131"/>
      <c r="L4291" s="60"/>
    </row>
    <row r="4292" spans="1:15" x14ac:dyDescent="0.15">
      <c r="A4292" s="70"/>
      <c r="B4292" s="82"/>
      <c r="C4292" s="70"/>
      <c r="D4292" s="70"/>
      <c r="E4292" s="70"/>
      <c r="F4292" s="70"/>
      <c r="G4292" s="70"/>
      <c r="H4292" s="93"/>
      <c r="I4292" s="85"/>
      <c r="J4292" s="85"/>
      <c r="K4292" s="131"/>
      <c r="L4292" s="60"/>
    </row>
    <row r="4293" spans="1:15" ht="16" x14ac:dyDescent="0.2">
      <c r="A4293" s="70"/>
      <c r="B4293" s="93"/>
      <c r="C4293" s="70"/>
      <c r="D4293" s="70"/>
      <c r="E4293" s="70"/>
      <c r="F4293" s="70"/>
      <c r="G4293" s="70"/>
      <c r="H4293" s="93"/>
      <c r="I4293" s="85"/>
      <c r="J4293" s="85"/>
      <c r="K4293" s="131"/>
      <c r="L4293" s="60"/>
      <c r="M4293" s="47"/>
    </row>
    <row r="4294" spans="1:15" x14ac:dyDescent="0.15">
      <c r="A4294" s="70"/>
      <c r="B4294" s="93"/>
      <c r="C4294" s="70"/>
      <c r="D4294" s="70"/>
      <c r="E4294" s="70"/>
      <c r="F4294" s="70"/>
      <c r="G4294" s="70"/>
      <c r="H4294" s="93"/>
      <c r="I4294" s="85"/>
      <c r="J4294" s="85"/>
      <c r="K4294" s="131"/>
      <c r="L4294" s="60"/>
      <c r="M4294" s="33"/>
    </row>
    <row r="4295" spans="1:15" x14ac:dyDescent="0.15">
      <c r="A4295" s="70"/>
      <c r="B4295" s="93"/>
      <c r="C4295" s="70"/>
      <c r="D4295" s="70"/>
      <c r="E4295" s="70"/>
      <c r="F4295" s="70"/>
      <c r="G4295" s="70"/>
      <c r="H4295" s="93"/>
      <c r="I4295" s="85"/>
      <c r="J4295" s="85"/>
      <c r="K4295" s="131"/>
      <c r="L4295" s="60"/>
      <c r="M4295" s="33"/>
    </row>
    <row r="4296" spans="1:15" x14ac:dyDescent="0.15">
      <c r="A4296" s="70"/>
      <c r="B4296" s="93"/>
      <c r="C4296" s="70"/>
      <c r="D4296" s="70"/>
      <c r="E4296" s="70"/>
      <c r="F4296" s="70"/>
      <c r="G4296" s="70"/>
      <c r="H4296" s="93"/>
      <c r="I4296" s="85"/>
      <c r="J4296" s="85"/>
      <c r="K4296" s="131"/>
      <c r="L4296" s="60"/>
      <c r="M4296" s="33"/>
    </row>
    <row r="4297" spans="1:15" ht="16" x14ac:dyDescent="0.2">
      <c r="A4297" s="70"/>
      <c r="B4297" s="93"/>
      <c r="C4297" s="70"/>
      <c r="D4297" s="70"/>
      <c r="E4297" s="70"/>
      <c r="F4297" s="70"/>
      <c r="G4297" s="70"/>
      <c r="H4297" s="93"/>
      <c r="I4297" s="85"/>
      <c r="J4297" s="85"/>
      <c r="K4297" s="131"/>
      <c r="L4297" s="60"/>
      <c r="M4297" s="47"/>
    </row>
    <row r="4298" spans="1:15" x14ac:dyDescent="0.15">
      <c r="A4298" s="70"/>
      <c r="B4298" s="93"/>
      <c r="C4298" s="70"/>
      <c r="D4298" s="70"/>
      <c r="E4298" s="70"/>
      <c r="F4298" s="70"/>
      <c r="G4298" s="70"/>
      <c r="H4298" s="93"/>
      <c r="I4298" s="85"/>
      <c r="J4298" s="85"/>
      <c r="K4298" s="131"/>
      <c r="L4298" s="60"/>
      <c r="M4298" s="33"/>
    </row>
    <row r="4299" spans="1:15" x14ac:dyDescent="0.15">
      <c r="A4299" s="70"/>
      <c r="B4299" s="93"/>
      <c r="C4299" s="70"/>
      <c r="D4299" s="70"/>
      <c r="E4299" s="70"/>
      <c r="F4299" s="70"/>
      <c r="G4299" s="70"/>
      <c r="H4299" s="93"/>
      <c r="I4299" s="85"/>
      <c r="J4299" s="85"/>
      <c r="K4299" s="131"/>
      <c r="L4299" s="60"/>
      <c r="M4299" s="33"/>
    </row>
    <row r="4300" spans="1:15" x14ac:dyDescent="0.15">
      <c r="A4300" s="70"/>
      <c r="B4300" s="93"/>
      <c r="C4300" s="70"/>
      <c r="D4300" s="70"/>
      <c r="E4300" s="70"/>
      <c r="F4300" s="70"/>
      <c r="G4300" s="70"/>
      <c r="H4300" s="93"/>
      <c r="I4300" s="85"/>
      <c r="J4300" s="85"/>
      <c r="K4300" s="131"/>
      <c r="L4300" s="60"/>
      <c r="M4300" s="33"/>
    </row>
    <row r="4301" spans="1:15" x14ac:dyDescent="0.15">
      <c r="A4301" s="70"/>
      <c r="B4301" s="82"/>
      <c r="C4301" s="70"/>
      <c r="D4301" s="70"/>
      <c r="E4301" s="73"/>
      <c r="F4301" s="70"/>
      <c r="G4301" s="70"/>
      <c r="H4301" s="93"/>
      <c r="I4301" s="85"/>
      <c r="J4301" s="85"/>
      <c r="K4301" s="131"/>
      <c r="L4301" s="60"/>
      <c r="M4301" s="33"/>
    </row>
    <row r="4302" spans="1:15" ht="16" x14ac:dyDescent="0.2">
      <c r="A4302" s="70"/>
      <c r="B4302" s="82"/>
      <c r="C4302" s="70"/>
      <c r="D4302" s="70"/>
      <c r="E4302" s="70"/>
      <c r="F4302" s="70"/>
      <c r="G4302" s="70"/>
      <c r="H4302" s="93"/>
      <c r="I4302" s="85"/>
      <c r="J4302" s="85"/>
      <c r="K4302" s="131"/>
      <c r="L4302" s="60"/>
      <c r="M4302" s="33"/>
      <c r="N4302" s="48"/>
    </row>
    <row r="4303" spans="1:15" x14ac:dyDescent="0.15">
      <c r="A4303" s="70"/>
      <c r="B4303" s="82"/>
      <c r="C4303" s="70"/>
      <c r="D4303" s="70"/>
      <c r="E4303" s="70"/>
      <c r="F4303" s="70"/>
      <c r="G4303" s="70"/>
      <c r="H4303" s="93"/>
      <c r="I4303" s="85"/>
      <c r="J4303" s="85"/>
      <c r="K4303" s="134"/>
      <c r="L4303" s="60"/>
    </row>
    <row r="4304" spans="1:15" x14ac:dyDescent="0.15">
      <c r="A4304" s="70"/>
      <c r="B4304" s="93"/>
      <c r="C4304" s="70"/>
      <c r="D4304" s="70"/>
      <c r="E4304" s="70"/>
      <c r="F4304" s="70"/>
      <c r="G4304" s="70"/>
      <c r="H4304" s="93"/>
      <c r="I4304" s="85"/>
      <c r="J4304" s="85"/>
      <c r="K4304" s="131"/>
      <c r="L4304" s="70"/>
      <c r="M4304" s="33"/>
      <c r="O4304" s="33"/>
    </row>
    <row r="4305" spans="1:13" x14ac:dyDescent="0.15">
      <c r="A4305" s="70"/>
      <c r="B4305" s="82"/>
      <c r="C4305" s="70"/>
      <c r="D4305" s="70"/>
      <c r="E4305" s="70"/>
      <c r="F4305" s="70"/>
      <c r="G4305" s="70"/>
      <c r="H4305" s="93"/>
      <c r="I4305" s="85"/>
      <c r="J4305" s="85"/>
      <c r="K4305" s="131"/>
      <c r="L4305" s="60"/>
      <c r="M4305" s="33"/>
    </row>
    <row r="4306" spans="1:13" x14ac:dyDescent="0.15">
      <c r="A4306" s="70"/>
      <c r="B4306" s="82"/>
      <c r="C4306" s="70"/>
      <c r="D4306" s="70"/>
      <c r="E4306" s="70"/>
      <c r="F4306" s="70"/>
      <c r="G4306" s="70"/>
      <c r="H4306" s="93"/>
      <c r="I4306" s="85"/>
      <c r="J4306" s="85"/>
      <c r="K4306" s="131"/>
      <c r="L4306" s="60"/>
    </row>
    <row r="4307" spans="1:13" ht="16" x14ac:dyDescent="0.2">
      <c r="A4307" s="70"/>
      <c r="B4307" s="93"/>
      <c r="C4307" s="70"/>
      <c r="D4307" s="70"/>
      <c r="E4307" s="70"/>
      <c r="F4307" s="70"/>
      <c r="G4307" s="70"/>
      <c r="H4307" s="93"/>
      <c r="I4307" s="85"/>
      <c r="J4307" s="85"/>
      <c r="K4307" s="131"/>
      <c r="L4307" s="60"/>
      <c r="M4307" s="47"/>
    </row>
    <row r="4308" spans="1:13" x14ac:dyDescent="0.15">
      <c r="A4308" s="70"/>
      <c r="B4308" s="93"/>
      <c r="C4308" s="70"/>
      <c r="D4308" s="70"/>
      <c r="E4308" s="70"/>
      <c r="F4308" s="70"/>
      <c r="G4308" s="70"/>
      <c r="H4308" s="93"/>
      <c r="I4308" s="85"/>
      <c r="J4308" s="85"/>
      <c r="K4308" s="131"/>
      <c r="L4308" s="60"/>
      <c r="M4308" s="33"/>
    </row>
    <row r="4309" spans="1:13" ht="16" x14ac:dyDescent="0.2">
      <c r="A4309" s="70"/>
      <c r="B4309" s="93"/>
      <c r="C4309" s="70"/>
      <c r="D4309" s="70"/>
      <c r="E4309" s="70"/>
      <c r="F4309" s="70"/>
      <c r="G4309" s="70"/>
      <c r="H4309" s="93"/>
      <c r="I4309" s="85"/>
      <c r="J4309" s="85"/>
      <c r="K4309" s="131"/>
      <c r="L4309" s="60"/>
      <c r="M4309" s="47"/>
    </row>
    <row r="4310" spans="1:13" x14ac:dyDescent="0.15">
      <c r="A4310" s="70"/>
      <c r="B4310" s="82"/>
      <c r="C4310" s="70"/>
      <c r="D4310" s="70"/>
      <c r="E4310" s="70"/>
      <c r="F4310" s="70"/>
      <c r="G4310" s="70"/>
      <c r="H4310" s="93"/>
      <c r="I4310" s="85"/>
      <c r="J4310" s="85"/>
      <c r="K4310" s="131"/>
      <c r="L4310" s="60"/>
    </row>
    <row r="4311" spans="1:13" x14ac:dyDescent="0.15">
      <c r="A4311" s="70"/>
      <c r="B4311" s="93"/>
      <c r="C4311" s="70"/>
      <c r="D4311" s="70"/>
      <c r="E4311" s="70"/>
      <c r="F4311" s="70"/>
      <c r="G4311" s="70"/>
      <c r="H4311" s="93"/>
      <c r="I4311" s="85"/>
      <c r="J4311" s="85"/>
      <c r="K4311" s="131"/>
      <c r="L4311" s="60"/>
    </row>
    <row r="4312" spans="1:13" x14ac:dyDescent="0.15">
      <c r="A4312" s="70"/>
      <c r="B4312" s="82"/>
      <c r="C4312" s="70"/>
      <c r="D4312" s="70"/>
      <c r="E4312" s="70"/>
      <c r="F4312" s="70"/>
      <c r="G4312" s="70"/>
      <c r="H4312" s="93"/>
      <c r="I4312" s="85"/>
      <c r="J4312" s="85"/>
      <c r="K4312" s="131"/>
      <c r="L4312" s="60"/>
      <c r="M4312" s="33"/>
    </row>
    <row r="4313" spans="1:13" x14ac:dyDescent="0.15">
      <c r="A4313" s="70"/>
      <c r="B4313" s="82"/>
      <c r="C4313" s="70"/>
      <c r="D4313" s="70"/>
      <c r="E4313" s="70"/>
      <c r="F4313" s="70"/>
      <c r="G4313" s="70"/>
      <c r="H4313" s="93"/>
      <c r="I4313" s="85"/>
      <c r="J4313" s="85"/>
      <c r="K4313" s="131"/>
      <c r="L4313" s="60"/>
      <c r="M4313" s="33"/>
    </row>
    <row r="4314" spans="1:13" x14ac:dyDescent="0.15">
      <c r="A4314" s="70"/>
      <c r="B4314" s="82"/>
      <c r="C4314" s="70"/>
      <c r="D4314" s="70"/>
      <c r="E4314" s="70"/>
      <c r="F4314" s="70"/>
      <c r="G4314" s="70"/>
      <c r="H4314" s="93"/>
      <c r="I4314" s="85"/>
      <c r="J4314" s="85"/>
      <c r="K4314" s="131"/>
      <c r="L4314" s="60"/>
      <c r="M4314" s="33"/>
    </row>
    <row r="4315" spans="1:13" x14ac:dyDescent="0.15">
      <c r="A4315" s="70"/>
      <c r="B4315" s="82"/>
      <c r="C4315" s="70"/>
      <c r="D4315" s="70"/>
      <c r="E4315" s="70"/>
      <c r="F4315" s="70"/>
      <c r="G4315" s="70"/>
      <c r="H4315" s="93"/>
      <c r="I4315" s="85"/>
      <c r="J4315" s="85"/>
      <c r="K4315" s="131"/>
      <c r="L4315" s="60"/>
      <c r="M4315" s="33"/>
    </row>
    <row r="4316" spans="1:13" x14ac:dyDescent="0.15">
      <c r="A4316" s="70"/>
      <c r="B4316" s="82"/>
      <c r="C4316" s="70"/>
      <c r="D4316" s="70"/>
      <c r="E4316" s="70"/>
      <c r="F4316" s="70"/>
      <c r="G4316" s="70"/>
      <c r="H4316" s="93"/>
      <c r="I4316" s="85"/>
      <c r="J4316" s="85"/>
      <c r="K4316" s="131"/>
      <c r="L4316" s="60"/>
      <c r="M4316" s="33"/>
    </row>
    <row r="4317" spans="1:13" x14ac:dyDescent="0.15">
      <c r="A4317" s="70"/>
      <c r="B4317" s="82"/>
      <c r="C4317" s="70"/>
      <c r="D4317" s="70"/>
      <c r="E4317" s="70"/>
      <c r="F4317" s="70"/>
      <c r="G4317" s="70"/>
      <c r="H4317" s="93"/>
      <c r="I4317" s="85"/>
      <c r="J4317" s="85"/>
      <c r="K4317" s="131"/>
      <c r="L4317" s="60"/>
    </row>
    <row r="4318" spans="1:13" x14ac:dyDescent="0.15">
      <c r="A4318" s="70"/>
      <c r="B4318" s="82"/>
      <c r="C4318" s="70"/>
      <c r="D4318" s="70"/>
      <c r="E4318" s="70"/>
      <c r="F4318" s="70"/>
      <c r="G4318" s="70"/>
      <c r="H4318" s="93"/>
      <c r="I4318" s="85"/>
      <c r="J4318" s="85"/>
      <c r="K4318" s="131"/>
      <c r="L4318" s="60"/>
    </row>
    <row r="4319" spans="1:13" x14ac:dyDescent="0.15">
      <c r="A4319" s="70"/>
      <c r="B4319" s="82"/>
      <c r="C4319" s="70"/>
      <c r="D4319" s="70"/>
      <c r="E4319" s="70"/>
      <c r="F4319" s="70"/>
      <c r="G4319" s="70"/>
      <c r="H4319" s="93"/>
      <c r="I4319" s="85"/>
      <c r="J4319" s="85"/>
      <c r="K4319" s="131"/>
      <c r="L4319" s="60"/>
      <c r="M4319" s="33"/>
    </row>
    <row r="4320" spans="1:13" x14ac:dyDescent="0.15">
      <c r="A4320" s="70"/>
      <c r="B4320" s="82"/>
      <c r="C4320" s="70"/>
      <c r="D4320" s="70"/>
      <c r="E4320" s="70"/>
      <c r="F4320" s="70"/>
      <c r="G4320" s="70"/>
      <c r="H4320" s="93"/>
      <c r="I4320" s="85"/>
      <c r="J4320" s="85"/>
      <c r="K4320" s="131"/>
      <c r="L4320" s="60"/>
    </row>
    <row r="4321" spans="1:13" x14ac:dyDescent="0.15">
      <c r="A4321" s="70"/>
      <c r="B4321" s="82"/>
      <c r="C4321" s="70"/>
      <c r="D4321" s="70"/>
      <c r="E4321" s="70"/>
      <c r="F4321" s="70"/>
      <c r="G4321" s="70"/>
      <c r="H4321" s="93"/>
      <c r="I4321" s="85"/>
      <c r="J4321" s="85"/>
      <c r="K4321" s="131"/>
      <c r="L4321" s="60"/>
      <c r="M4321" s="33"/>
    </row>
    <row r="4322" spans="1:13" x14ac:dyDescent="0.15">
      <c r="A4322" s="70"/>
      <c r="B4322" s="82"/>
      <c r="C4322" s="70"/>
      <c r="D4322" s="70"/>
      <c r="E4322" s="70"/>
      <c r="F4322" s="70"/>
      <c r="G4322" s="70"/>
      <c r="H4322" s="93"/>
      <c r="I4322" s="85"/>
      <c r="J4322" s="85"/>
      <c r="K4322" s="131"/>
      <c r="L4322" s="60"/>
      <c r="M4322" s="33"/>
    </row>
    <row r="4323" spans="1:13" x14ac:dyDescent="0.15">
      <c r="A4323" s="70"/>
      <c r="B4323" s="82"/>
      <c r="C4323" s="70"/>
      <c r="D4323" s="70"/>
      <c r="E4323" s="70"/>
      <c r="F4323" s="70"/>
      <c r="G4323" s="70"/>
      <c r="H4323" s="93"/>
      <c r="I4323" s="85"/>
      <c r="J4323" s="85"/>
      <c r="K4323" s="131"/>
      <c r="L4323" s="60"/>
      <c r="M4323" s="33"/>
    </row>
    <row r="4324" spans="1:13" x14ac:dyDescent="0.15">
      <c r="A4324" s="70"/>
      <c r="B4324" s="82"/>
      <c r="C4324" s="70"/>
      <c r="D4324" s="70"/>
      <c r="E4324" s="70"/>
      <c r="F4324" s="70"/>
      <c r="G4324" s="70"/>
      <c r="H4324" s="93"/>
      <c r="I4324" s="85"/>
      <c r="J4324" s="85"/>
      <c r="K4324" s="131"/>
      <c r="L4324" s="60"/>
      <c r="M4324" s="33"/>
    </row>
    <row r="4325" spans="1:13" x14ac:dyDescent="0.15">
      <c r="A4325" s="70"/>
      <c r="B4325" s="93"/>
      <c r="C4325" s="70"/>
      <c r="D4325" s="70"/>
      <c r="E4325" s="70"/>
      <c r="F4325" s="70"/>
      <c r="G4325" s="70"/>
      <c r="H4325" s="93"/>
      <c r="I4325" s="85"/>
      <c r="J4325" s="85"/>
      <c r="K4325" s="131"/>
      <c r="L4325" s="60"/>
      <c r="M4325" s="33"/>
    </row>
    <row r="4326" spans="1:13" x14ac:dyDescent="0.15">
      <c r="A4326" s="70"/>
      <c r="B4326" s="82"/>
      <c r="C4326" s="70"/>
      <c r="D4326" s="70"/>
      <c r="E4326" s="70"/>
      <c r="F4326" s="70"/>
      <c r="G4326" s="70"/>
      <c r="H4326" s="93"/>
      <c r="I4326" s="85"/>
      <c r="J4326" s="85"/>
      <c r="K4326" s="131"/>
      <c r="L4326" s="60"/>
      <c r="M4326" s="33"/>
    </row>
    <row r="4327" spans="1:13" x14ac:dyDescent="0.15">
      <c r="A4327" s="70"/>
      <c r="B4327" s="82"/>
      <c r="C4327" s="70"/>
      <c r="D4327" s="70"/>
      <c r="E4327" s="70"/>
      <c r="F4327" s="70"/>
      <c r="G4327" s="70"/>
      <c r="H4327" s="93"/>
      <c r="I4327" s="85"/>
      <c r="J4327" s="85"/>
      <c r="K4327" s="131"/>
      <c r="L4327" s="60"/>
      <c r="M4327" s="33"/>
    </row>
    <row r="4328" spans="1:13" x14ac:dyDescent="0.15">
      <c r="A4328" s="70"/>
      <c r="B4328" s="82"/>
      <c r="C4328" s="70"/>
      <c r="D4328" s="70"/>
      <c r="E4328" s="70"/>
      <c r="F4328" s="70"/>
      <c r="G4328" s="70"/>
      <c r="H4328" s="93"/>
      <c r="I4328" s="85"/>
      <c r="J4328" s="85"/>
      <c r="K4328" s="131"/>
      <c r="L4328" s="60"/>
      <c r="M4328" s="33"/>
    </row>
    <row r="4329" spans="1:13" x14ac:dyDescent="0.15">
      <c r="A4329" s="70"/>
      <c r="B4329" s="93"/>
      <c r="C4329" s="70"/>
      <c r="D4329" s="70"/>
      <c r="E4329" s="70"/>
      <c r="F4329" s="70"/>
      <c r="G4329" s="70"/>
      <c r="H4329" s="93"/>
      <c r="I4329" s="85"/>
      <c r="J4329" s="85"/>
      <c r="K4329" s="131"/>
      <c r="L4329" s="60"/>
      <c r="M4329" s="33"/>
    </row>
    <row r="4330" spans="1:13" x14ac:dyDescent="0.15">
      <c r="A4330" s="70"/>
      <c r="B4330" s="82"/>
      <c r="C4330" s="70"/>
      <c r="D4330" s="70"/>
      <c r="E4330" s="70"/>
      <c r="F4330" s="70"/>
      <c r="G4330" s="70"/>
      <c r="H4330" s="93"/>
      <c r="I4330" s="85"/>
      <c r="J4330" s="85"/>
      <c r="K4330" s="131"/>
      <c r="L4330" s="60"/>
      <c r="M4330" s="33"/>
    </row>
    <row r="4331" spans="1:13" x14ac:dyDescent="0.15">
      <c r="A4331" s="70"/>
      <c r="B4331" s="93"/>
      <c r="C4331" s="70"/>
      <c r="D4331" s="70"/>
      <c r="E4331" s="70"/>
      <c r="F4331" s="70"/>
      <c r="G4331" s="70"/>
      <c r="H4331" s="93"/>
      <c r="I4331" s="85"/>
      <c r="J4331" s="85"/>
      <c r="K4331" s="131"/>
      <c r="L4331" s="60"/>
      <c r="M4331" s="33"/>
    </row>
    <row r="4332" spans="1:13" ht="16" x14ac:dyDescent="0.2">
      <c r="A4332" s="70"/>
      <c r="B4332" s="93"/>
      <c r="C4332" s="70"/>
      <c r="D4332" s="70"/>
      <c r="E4332" s="70"/>
      <c r="F4332" s="70"/>
      <c r="G4332" s="70"/>
      <c r="H4332" s="93"/>
      <c r="I4332" s="85"/>
      <c r="J4332" s="85"/>
      <c r="K4332" s="131"/>
      <c r="L4332" s="60"/>
      <c r="M4332" s="47"/>
    </row>
    <row r="4333" spans="1:13" x14ac:dyDescent="0.15">
      <c r="A4333" s="70"/>
      <c r="B4333" s="93"/>
      <c r="C4333" s="70"/>
      <c r="D4333" s="70"/>
      <c r="E4333" s="70"/>
      <c r="F4333" s="70"/>
      <c r="G4333" s="70"/>
      <c r="H4333" s="93"/>
      <c r="I4333" s="85"/>
      <c r="J4333" s="85"/>
      <c r="K4333" s="131"/>
      <c r="L4333" s="60"/>
      <c r="M4333" s="33"/>
    </row>
    <row r="4334" spans="1:13" ht="16" x14ac:dyDescent="0.2">
      <c r="A4334" s="70"/>
      <c r="B4334" s="93"/>
      <c r="C4334" s="70"/>
      <c r="D4334" s="70"/>
      <c r="E4334" s="70"/>
      <c r="F4334" s="70"/>
      <c r="G4334" s="70"/>
      <c r="H4334" s="93"/>
      <c r="I4334" s="85"/>
      <c r="J4334" s="85"/>
      <c r="K4334" s="131"/>
      <c r="L4334" s="60"/>
      <c r="M4334" s="47"/>
    </row>
    <row r="4335" spans="1:13" x14ac:dyDescent="0.15">
      <c r="A4335" s="70"/>
      <c r="B4335" s="82"/>
      <c r="C4335" s="70"/>
      <c r="D4335" s="70"/>
      <c r="E4335" s="70"/>
      <c r="F4335" s="70"/>
      <c r="G4335" s="70"/>
      <c r="H4335" s="93"/>
      <c r="I4335" s="85"/>
      <c r="J4335" s="85"/>
      <c r="K4335" s="131"/>
      <c r="L4335" s="60"/>
    </row>
    <row r="4336" spans="1:13" x14ac:dyDescent="0.15">
      <c r="A4336" s="70"/>
      <c r="B4336" s="82"/>
      <c r="C4336" s="70"/>
      <c r="D4336" s="70"/>
      <c r="E4336" s="70"/>
      <c r="F4336" s="70"/>
      <c r="G4336" s="70"/>
      <c r="H4336" s="93"/>
      <c r="I4336" s="85"/>
      <c r="J4336" s="85"/>
      <c r="K4336" s="131"/>
      <c r="L4336" s="60"/>
      <c r="M4336" s="33"/>
    </row>
    <row r="4337" spans="1:28" ht="16" x14ac:dyDescent="0.2">
      <c r="A4337" s="70"/>
      <c r="B4337" s="93"/>
      <c r="C4337" s="70"/>
      <c r="D4337" s="70"/>
      <c r="E4337" s="70"/>
      <c r="F4337" s="70"/>
      <c r="G4337" s="70"/>
      <c r="H4337" s="93"/>
      <c r="I4337" s="85"/>
      <c r="J4337" s="85"/>
      <c r="K4337" s="131"/>
      <c r="L4337" s="60"/>
      <c r="M4337" s="47"/>
    </row>
    <row r="4338" spans="1:28" x14ac:dyDescent="0.15">
      <c r="A4338" s="70"/>
      <c r="B4338" s="93"/>
      <c r="C4338" s="70"/>
      <c r="D4338" s="70"/>
      <c r="E4338" s="70"/>
      <c r="F4338" s="70"/>
      <c r="G4338" s="70"/>
      <c r="H4338" s="93"/>
      <c r="I4338" s="85"/>
      <c r="J4338" s="85"/>
      <c r="K4338" s="131"/>
      <c r="L4338" s="60"/>
      <c r="M4338" s="33"/>
    </row>
    <row r="4339" spans="1:28" x14ac:dyDescent="0.15">
      <c r="A4339" s="70"/>
      <c r="B4339" s="82"/>
      <c r="C4339" s="70"/>
      <c r="D4339" s="70"/>
      <c r="E4339" s="70"/>
      <c r="F4339" s="70"/>
      <c r="G4339" s="70"/>
      <c r="H4339" s="93"/>
      <c r="I4339" s="85"/>
      <c r="J4339" s="85"/>
      <c r="K4339" s="131"/>
      <c r="L4339" s="60"/>
    </row>
    <row r="4340" spans="1:28" x14ac:dyDescent="0.15">
      <c r="A4340" s="70"/>
      <c r="B4340" s="82"/>
      <c r="C4340" s="70"/>
      <c r="D4340" s="70"/>
      <c r="E4340" s="70"/>
      <c r="F4340" s="70"/>
      <c r="G4340" s="70"/>
      <c r="H4340" s="93"/>
      <c r="I4340" s="85"/>
      <c r="J4340" s="85"/>
      <c r="K4340" s="131"/>
      <c r="L4340" s="60"/>
      <c r="M4340" s="33"/>
    </row>
    <row r="4341" spans="1:28" x14ac:dyDescent="0.15">
      <c r="A4341" s="70"/>
      <c r="B4341" s="82"/>
      <c r="C4341" s="70"/>
      <c r="D4341" s="70"/>
      <c r="E4341" s="70"/>
      <c r="F4341" s="70"/>
      <c r="G4341" s="70"/>
      <c r="H4341" s="93"/>
      <c r="I4341" s="85"/>
      <c r="J4341" s="85"/>
      <c r="K4341" s="131"/>
      <c r="L4341" s="60"/>
    </row>
    <row r="4342" spans="1:28" x14ac:dyDescent="0.15">
      <c r="A4342" s="83"/>
      <c r="B4342" s="93"/>
      <c r="C4342" s="70"/>
      <c r="D4342" s="70"/>
      <c r="E4342" s="70"/>
      <c r="F4342" s="70"/>
      <c r="G4342" s="70"/>
      <c r="H4342" s="93"/>
      <c r="I4342" s="85"/>
      <c r="J4342" s="85"/>
      <c r="K4342" s="131"/>
      <c r="L4342" s="60"/>
      <c r="M4342" s="33"/>
      <c r="O4342" s="33"/>
    </row>
    <row r="4343" spans="1:28" x14ac:dyDescent="0.15">
      <c r="A4343" s="70"/>
      <c r="B4343" s="93"/>
      <c r="C4343" s="70"/>
      <c r="D4343" s="70"/>
      <c r="E4343" s="70"/>
      <c r="F4343" s="70"/>
      <c r="G4343" s="70"/>
      <c r="H4343" s="93"/>
      <c r="I4343" s="85"/>
      <c r="J4343" s="85"/>
      <c r="K4343" s="131"/>
      <c r="L4343" s="60"/>
      <c r="M4343" s="33"/>
    </row>
    <row r="4344" spans="1:28" x14ac:dyDescent="0.15">
      <c r="A4344" s="70"/>
      <c r="B4344" s="82"/>
      <c r="C4344" s="70"/>
      <c r="D4344" s="70"/>
      <c r="E4344" s="70"/>
      <c r="F4344" s="70"/>
      <c r="G4344" s="70"/>
      <c r="H4344" s="93"/>
      <c r="I4344" s="85"/>
      <c r="J4344" s="85"/>
      <c r="K4344" s="131"/>
      <c r="L4344" s="60"/>
    </row>
    <row r="4345" spans="1:28" s="2" customFormat="1" x14ac:dyDescent="0.15">
      <c r="A4345" s="70"/>
      <c r="B4345" s="93"/>
      <c r="C4345" s="70"/>
      <c r="D4345" s="70"/>
      <c r="E4345" s="70"/>
      <c r="F4345" s="70"/>
      <c r="G4345" s="70"/>
      <c r="H4345" s="93"/>
      <c r="I4345" s="85"/>
      <c r="J4345" s="85"/>
      <c r="K4345" s="131"/>
      <c r="L4345" s="60"/>
      <c r="M4345" s="33"/>
      <c r="N4345" s="37"/>
      <c r="O4345" s="37"/>
      <c r="P4345" s="37"/>
      <c r="Q4345" s="3"/>
      <c r="R4345" s="3"/>
      <c r="S4345" s="3"/>
      <c r="T4345" s="3"/>
      <c r="U4345" s="3"/>
      <c r="V4345" s="3"/>
      <c r="W4345" s="3"/>
      <c r="X4345" s="3"/>
      <c r="Y4345" s="3"/>
      <c r="Z4345" s="4"/>
      <c r="AA4345"/>
      <c r="AB4345"/>
    </row>
    <row r="4346" spans="1:28" s="2" customFormat="1" x14ac:dyDescent="0.15">
      <c r="A4346" s="70"/>
      <c r="B4346" s="93"/>
      <c r="C4346" s="70"/>
      <c r="D4346" s="70"/>
      <c r="E4346" s="70"/>
      <c r="F4346" s="70"/>
      <c r="G4346" s="70"/>
      <c r="H4346" s="93"/>
      <c r="I4346" s="85"/>
      <c r="J4346" s="85"/>
      <c r="K4346" s="131"/>
      <c r="L4346" s="60"/>
      <c r="M4346" s="33"/>
      <c r="N4346" s="37"/>
      <c r="O4346" s="37"/>
      <c r="P4346" s="37"/>
      <c r="Q4346" s="3"/>
      <c r="R4346" s="3"/>
      <c r="S4346" s="3"/>
      <c r="T4346" s="3"/>
      <c r="U4346" s="3"/>
      <c r="V4346" s="3"/>
      <c r="W4346" s="3"/>
      <c r="X4346" s="3"/>
      <c r="Y4346" s="3"/>
      <c r="Z4346" s="4"/>
      <c r="AA4346"/>
      <c r="AB4346"/>
    </row>
    <row r="4347" spans="1:28" s="2" customFormat="1" x14ac:dyDescent="0.15">
      <c r="A4347" s="70"/>
      <c r="B4347" s="82"/>
      <c r="C4347" s="70"/>
      <c r="D4347" s="70"/>
      <c r="E4347" s="70"/>
      <c r="F4347" s="70"/>
      <c r="G4347" s="70"/>
      <c r="H4347" s="93"/>
      <c r="I4347" s="85"/>
      <c r="J4347" s="85"/>
      <c r="K4347" s="131"/>
      <c r="L4347" s="60"/>
      <c r="M4347" s="33"/>
      <c r="N4347" s="37"/>
      <c r="O4347" s="37"/>
      <c r="P4347" s="37"/>
      <c r="Q4347" s="3"/>
      <c r="R4347" s="3"/>
      <c r="S4347" s="3"/>
      <c r="T4347" s="3"/>
      <c r="U4347" s="3"/>
      <c r="V4347" s="3"/>
      <c r="W4347" s="3"/>
      <c r="X4347" s="3"/>
      <c r="Y4347" s="3"/>
      <c r="Z4347" s="4"/>
      <c r="AA4347"/>
      <c r="AB4347"/>
    </row>
    <row r="4348" spans="1:28" s="2" customFormat="1" x14ac:dyDescent="0.15">
      <c r="A4348" s="70"/>
      <c r="B4348" s="93"/>
      <c r="C4348" s="70"/>
      <c r="D4348" s="70"/>
      <c r="E4348" s="70"/>
      <c r="F4348" s="70"/>
      <c r="G4348" s="70"/>
      <c r="H4348" s="93"/>
      <c r="I4348" s="85"/>
      <c r="J4348" s="85"/>
      <c r="K4348" s="131"/>
      <c r="L4348" s="60"/>
      <c r="M4348" s="33"/>
      <c r="N4348" s="37"/>
      <c r="O4348" s="37"/>
      <c r="P4348" s="37"/>
      <c r="Q4348" s="3"/>
      <c r="R4348" s="3"/>
      <c r="S4348" s="3"/>
      <c r="T4348" s="3"/>
      <c r="U4348" s="3"/>
      <c r="V4348" s="3"/>
      <c r="W4348" s="3"/>
      <c r="X4348" s="3"/>
      <c r="Y4348" s="3"/>
      <c r="Z4348" s="4"/>
      <c r="AA4348"/>
      <c r="AB4348"/>
    </row>
    <row r="4349" spans="1:28" s="2" customFormat="1" x14ac:dyDescent="0.15">
      <c r="A4349" s="70"/>
      <c r="B4349" s="93"/>
      <c r="C4349" s="70"/>
      <c r="D4349" s="70"/>
      <c r="E4349" s="70"/>
      <c r="F4349" s="70"/>
      <c r="G4349" s="70"/>
      <c r="H4349" s="93"/>
      <c r="I4349" s="85"/>
      <c r="J4349" s="85"/>
      <c r="K4349" s="131"/>
      <c r="L4349" s="60"/>
      <c r="M4349" s="33"/>
      <c r="N4349" s="37"/>
      <c r="O4349" s="37"/>
      <c r="P4349" s="37"/>
      <c r="Q4349" s="3"/>
      <c r="R4349" s="3"/>
      <c r="S4349" s="3"/>
      <c r="T4349" s="3"/>
      <c r="U4349" s="3"/>
      <c r="V4349" s="3"/>
      <c r="W4349" s="3"/>
      <c r="X4349" s="3"/>
      <c r="Y4349" s="3"/>
      <c r="Z4349" s="4"/>
      <c r="AA4349"/>
      <c r="AB4349"/>
    </row>
    <row r="4350" spans="1:28" s="2" customFormat="1" x14ac:dyDescent="0.15">
      <c r="A4350" s="70"/>
      <c r="B4350" s="82"/>
      <c r="C4350" s="70"/>
      <c r="D4350" s="70"/>
      <c r="E4350" s="70"/>
      <c r="F4350" s="70"/>
      <c r="G4350" s="70"/>
      <c r="H4350" s="93"/>
      <c r="I4350" s="85"/>
      <c r="J4350" s="85"/>
      <c r="K4350" s="131"/>
      <c r="L4350" s="60"/>
      <c r="M4350" s="33"/>
      <c r="N4350" s="37"/>
      <c r="O4350" s="37"/>
      <c r="P4350" s="37"/>
      <c r="Q4350" s="3"/>
      <c r="R4350" s="3"/>
      <c r="S4350" s="3"/>
      <c r="T4350" s="3"/>
      <c r="U4350" s="3"/>
      <c r="V4350" s="3"/>
      <c r="W4350" s="3"/>
      <c r="X4350" s="3"/>
      <c r="Y4350" s="3"/>
      <c r="Z4350" s="4"/>
      <c r="AA4350"/>
      <c r="AB4350"/>
    </row>
    <row r="4351" spans="1:28" s="2" customFormat="1" x14ac:dyDescent="0.15">
      <c r="A4351" s="70"/>
      <c r="B4351" s="93"/>
      <c r="C4351" s="70"/>
      <c r="D4351" s="70"/>
      <c r="E4351" s="70"/>
      <c r="F4351" s="70"/>
      <c r="G4351" s="70"/>
      <c r="H4351" s="93"/>
      <c r="I4351" s="85"/>
      <c r="J4351" s="85"/>
      <c r="K4351" s="131"/>
      <c r="L4351" s="60"/>
      <c r="M4351" s="33"/>
      <c r="N4351" s="37"/>
      <c r="O4351" s="37"/>
      <c r="P4351" s="37"/>
      <c r="Q4351" s="3"/>
      <c r="R4351" s="3"/>
      <c r="S4351" s="3"/>
      <c r="T4351" s="3"/>
      <c r="U4351" s="3"/>
      <c r="V4351" s="3"/>
      <c r="W4351" s="3"/>
      <c r="X4351" s="3"/>
      <c r="Y4351" s="3"/>
      <c r="Z4351" s="4"/>
      <c r="AA4351"/>
      <c r="AB4351"/>
    </row>
    <row r="4352" spans="1:28" s="2" customFormat="1" x14ac:dyDescent="0.15">
      <c r="A4352" s="70"/>
      <c r="B4352" s="93"/>
      <c r="C4352" s="70"/>
      <c r="D4352" s="70"/>
      <c r="E4352" s="70"/>
      <c r="F4352" s="70"/>
      <c r="G4352" s="70"/>
      <c r="H4352" s="93"/>
      <c r="I4352" s="85"/>
      <c r="J4352" s="85"/>
      <c r="K4352" s="131"/>
      <c r="L4352" s="60"/>
      <c r="M4352" s="33"/>
      <c r="N4352" s="37"/>
      <c r="O4352" s="37"/>
      <c r="P4352" s="37"/>
      <c r="Q4352" s="3"/>
      <c r="R4352" s="3"/>
      <c r="S4352" s="3"/>
      <c r="T4352" s="3"/>
      <c r="U4352" s="3"/>
      <c r="V4352" s="3"/>
      <c r="W4352" s="3"/>
      <c r="X4352" s="3"/>
      <c r="Y4352" s="3"/>
      <c r="Z4352" s="4"/>
      <c r="AA4352"/>
      <c r="AB4352"/>
    </row>
    <row r="4353" spans="1:28" s="2" customFormat="1" x14ac:dyDescent="0.15">
      <c r="A4353" s="70"/>
      <c r="B4353" s="93"/>
      <c r="C4353" s="73"/>
      <c r="D4353" s="73"/>
      <c r="E4353" s="70"/>
      <c r="F4353" s="73"/>
      <c r="G4353" s="73"/>
      <c r="H4353" s="93"/>
      <c r="I4353" s="85"/>
      <c r="J4353" s="95"/>
      <c r="K4353" s="131"/>
      <c r="L4353" s="60"/>
      <c r="M4353" s="33"/>
      <c r="N4353" s="37"/>
      <c r="O4353" s="37"/>
      <c r="P4353" s="37"/>
      <c r="Q4353" s="3"/>
      <c r="R4353" s="3"/>
      <c r="S4353" s="3"/>
      <c r="T4353" s="3"/>
      <c r="U4353" s="3"/>
      <c r="V4353" s="3"/>
      <c r="W4353" s="3"/>
      <c r="X4353" s="3"/>
      <c r="Y4353" s="3"/>
      <c r="Z4353" s="4"/>
      <c r="AA4353"/>
      <c r="AB4353"/>
    </row>
    <row r="4354" spans="1:28" s="2" customFormat="1" ht="16" x14ac:dyDescent="0.2">
      <c r="A4354" s="70"/>
      <c r="B4354" s="93"/>
      <c r="C4354" s="70"/>
      <c r="D4354" s="70"/>
      <c r="E4354" s="70"/>
      <c r="F4354" s="70"/>
      <c r="G4354" s="70"/>
      <c r="H4354" s="93"/>
      <c r="I4354" s="85"/>
      <c r="J4354" s="85"/>
      <c r="K4354" s="134"/>
      <c r="L4354" s="60"/>
      <c r="M4354" s="33"/>
      <c r="N4354" s="48"/>
      <c r="O4354" s="37"/>
      <c r="P4354" s="37"/>
      <c r="Q4354" s="3"/>
      <c r="R4354" s="3"/>
      <c r="S4354" s="3"/>
      <c r="T4354" s="3"/>
      <c r="U4354" s="3"/>
      <c r="V4354" s="3"/>
      <c r="W4354" s="3"/>
      <c r="X4354" s="3"/>
      <c r="Y4354" s="3"/>
      <c r="Z4354" s="4"/>
      <c r="AA4354"/>
      <c r="AB4354"/>
    </row>
    <row r="4355" spans="1:28" s="2" customFormat="1" x14ac:dyDescent="0.15">
      <c r="A4355" s="70"/>
      <c r="B4355" s="93"/>
      <c r="C4355" s="70"/>
      <c r="D4355" s="70"/>
      <c r="E4355" s="70"/>
      <c r="F4355" s="70"/>
      <c r="G4355" s="70"/>
      <c r="H4355" s="93"/>
      <c r="I4355" s="85"/>
      <c r="J4355" s="85"/>
      <c r="K4355" s="134"/>
      <c r="L4355" s="60"/>
      <c r="M4355" s="33"/>
      <c r="N4355" s="37"/>
      <c r="O4355" s="37"/>
      <c r="P4355" s="37"/>
      <c r="Q4355" s="3"/>
      <c r="R4355" s="3"/>
      <c r="S4355" s="3"/>
      <c r="T4355" s="3"/>
      <c r="U4355" s="3"/>
      <c r="V4355" s="3"/>
      <c r="W4355" s="3"/>
      <c r="X4355" s="3"/>
      <c r="Y4355" s="3"/>
      <c r="Z4355" s="4"/>
      <c r="AA4355"/>
      <c r="AB4355"/>
    </row>
    <row r="4356" spans="1:28" s="2" customFormat="1" x14ac:dyDescent="0.15">
      <c r="A4356" s="70"/>
      <c r="B4356" s="93"/>
      <c r="C4356" s="70"/>
      <c r="D4356" s="70"/>
      <c r="E4356" s="70"/>
      <c r="F4356" s="70"/>
      <c r="G4356" s="70"/>
      <c r="H4356" s="93"/>
      <c r="I4356" s="85"/>
      <c r="J4356" s="85"/>
      <c r="K4356" s="131"/>
      <c r="L4356" s="60"/>
      <c r="M4356" s="33"/>
      <c r="N4356" s="37"/>
      <c r="O4356" s="37"/>
      <c r="P4356" s="37"/>
      <c r="Q4356" s="3"/>
      <c r="R4356" s="3"/>
      <c r="S4356" s="3"/>
      <c r="T4356" s="3"/>
      <c r="U4356" s="3"/>
      <c r="V4356" s="3"/>
      <c r="W4356" s="3"/>
      <c r="X4356" s="3"/>
      <c r="Y4356" s="3"/>
      <c r="Z4356" s="4"/>
      <c r="AA4356"/>
      <c r="AB4356"/>
    </row>
    <row r="4357" spans="1:28" s="2" customFormat="1" x14ac:dyDescent="0.15">
      <c r="A4357" s="70"/>
      <c r="B4357" s="93"/>
      <c r="C4357" s="70"/>
      <c r="D4357" s="70"/>
      <c r="E4357" s="70"/>
      <c r="F4357" s="70"/>
      <c r="G4357" s="70"/>
      <c r="H4357" s="93"/>
      <c r="I4357" s="85"/>
      <c r="J4357" s="85"/>
      <c r="K4357" s="131"/>
      <c r="L4357" s="60"/>
      <c r="M4357" s="33"/>
      <c r="N4357" s="37"/>
      <c r="O4357" s="37"/>
      <c r="P4357" s="37"/>
      <c r="Q4357" s="3"/>
      <c r="R4357" s="3"/>
      <c r="S4357" s="3"/>
      <c r="T4357" s="3"/>
      <c r="U4357" s="3"/>
      <c r="V4357" s="3"/>
      <c r="W4357" s="3"/>
      <c r="X4357" s="3"/>
      <c r="Y4357" s="3"/>
      <c r="Z4357" s="4"/>
      <c r="AA4357"/>
      <c r="AB4357"/>
    </row>
    <row r="4358" spans="1:28" s="2" customFormat="1" x14ac:dyDescent="0.15">
      <c r="A4358" s="70"/>
      <c r="B4358" s="82"/>
      <c r="C4358" s="70"/>
      <c r="D4358" s="70"/>
      <c r="E4358" s="70"/>
      <c r="F4358" s="70"/>
      <c r="G4358" s="70"/>
      <c r="H4358" s="93"/>
      <c r="I4358" s="85"/>
      <c r="J4358" s="85"/>
      <c r="K4358" s="131"/>
      <c r="L4358" s="60"/>
      <c r="M4358" s="49"/>
      <c r="N4358" s="37"/>
      <c r="O4358" s="37"/>
      <c r="P4358" s="37"/>
      <c r="Q4358" s="3"/>
      <c r="R4358" s="3"/>
      <c r="S4358" s="3"/>
      <c r="T4358" s="3"/>
      <c r="U4358" s="3"/>
      <c r="V4358" s="3"/>
      <c r="W4358" s="3"/>
      <c r="X4358" s="3"/>
      <c r="Y4358" s="3"/>
      <c r="Z4358" s="4"/>
      <c r="AA4358"/>
      <c r="AB4358"/>
    </row>
    <row r="4359" spans="1:28" s="2" customFormat="1" x14ac:dyDescent="0.15">
      <c r="A4359" s="70"/>
      <c r="B4359" s="93"/>
      <c r="C4359" s="70"/>
      <c r="D4359" s="70"/>
      <c r="E4359" s="70"/>
      <c r="F4359" s="70"/>
      <c r="G4359" s="70"/>
      <c r="H4359" s="93"/>
      <c r="I4359" s="85"/>
      <c r="J4359" s="85"/>
      <c r="K4359" s="131"/>
      <c r="L4359" s="60"/>
      <c r="M4359" s="33"/>
      <c r="N4359" s="37"/>
      <c r="O4359" s="37"/>
      <c r="P4359" s="37"/>
      <c r="Q4359" s="3"/>
      <c r="R4359" s="3"/>
      <c r="S4359" s="3"/>
      <c r="T4359" s="3"/>
      <c r="U4359" s="3"/>
      <c r="V4359" s="3"/>
      <c r="W4359" s="3"/>
      <c r="X4359" s="3"/>
      <c r="Y4359" s="3"/>
      <c r="Z4359" s="4"/>
      <c r="AA4359"/>
      <c r="AB4359"/>
    </row>
    <row r="4360" spans="1:28" s="2" customFormat="1" ht="16" x14ac:dyDescent="0.2">
      <c r="A4360" s="70"/>
      <c r="B4360" s="93"/>
      <c r="C4360" s="70"/>
      <c r="D4360" s="70"/>
      <c r="E4360" s="70"/>
      <c r="F4360" s="70"/>
      <c r="G4360" s="70"/>
      <c r="H4360" s="93"/>
      <c r="I4360" s="85"/>
      <c r="J4360" s="85"/>
      <c r="K4360" s="134"/>
      <c r="L4360" s="60"/>
      <c r="M4360" s="47"/>
      <c r="N4360" s="37"/>
      <c r="O4360" s="37"/>
      <c r="P4360" s="37"/>
      <c r="Q4360" s="3"/>
      <c r="R4360" s="3"/>
      <c r="S4360" s="3"/>
      <c r="T4360" s="3"/>
      <c r="U4360" s="3"/>
      <c r="V4360" s="3"/>
      <c r="W4360" s="3"/>
      <c r="X4360" s="3"/>
      <c r="Y4360" s="3"/>
      <c r="Z4360" s="4"/>
      <c r="AA4360"/>
      <c r="AB4360"/>
    </row>
    <row r="4361" spans="1:28" s="2" customFormat="1" ht="16" x14ac:dyDescent="0.2">
      <c r="A4361" s="70"/>
      <c r="B4361" s="93"/>
      <c r="C4361" s="70"/>
      <c r="D4361" s="70"/>
      <c r="E4361" s="70"/>
      <c r="F4361" s="70"/>
      <c r="G4361" s="70"/>
      <c r="H4361" s="93"/>
      <c r="I4361" s="85"/>
      <c r="J4361" s="85"/>
      <c r="K4361" s="131"/>
      <c r="L4361" s="60"/>
      <c r="M4361" s="47"/>
      <c r="N4361" s="37"/>
      <c r="O4361" s="37"/>
      <c r="P4361" s="37"/>
      <c r="Q4361" s="3"/>
      <c r="R4361" s="3"/>
      <c r="S4361" s="3"/>
      <c r="T4361" s="3"/>
      <c r="U4361" s="3"/>
      <c r="V4361" s="3"/>
      <c r="W4361" s="3"/>
      <c r="X4361" s="3"/>
      <c r="Y4361" s="3"/>
      <c r="Z4361" s="4"/>
      <c r="AA4361"/>
      <c r="AB4361"/>
    </row>
    <row r="4362" spans="1:28" s="2" customFormat="1" x14ac:dyDescent="0.15">
      <c r="A4362" s="70"/>
      <c r="B4362" s="93"/>
      <c r="C4362" s="70"/>
      <c r="D4362" s="70"/>
      <c r="E4362" s="70"/>
      <c r="F4362" s="70"/>
      <c r="G4362" s="70"/>
      <c r="H4362" s="93"/>
      <c r="I4362" s="85"/>
      <c r="J4362" s="85"/>
      <c r="K4362" s="131"/>
      <c r="L4362" s="60"/>
      <c r="M4362" s="33"/>
      <c r="N4362" s="37"/>
      <c r="O4362" s="37"/>
      <c r="P4362" s="37"/>
      <c r="Q4362" s="3"/>
      <c r="R4362" s="3"/>
      <c r="S4362" s="3"/>
      <c r="T4362" s="3"/>
      <c r="U4362" s="3"/>
      <c r="V4362" s="3"/>
      <c r="W4362" s="3"/>
      <c r="X4362" s="3"/>
      <c r="Y4362" s="3"/>
      <c r="Z4362" s="4"/>
      <c r="AA4362"/>
      <c r="AB4362"/>
    </row>
    <row r="4363" spans="1:28" s="2" customFormat="1" x14ac:dyDescent="0.15">
      <c r="A4363" s="70"/>
      <c r="B4363" s="93"/>
      <c r="C4363" s="70"/>
      <c r="D4363" s="70"/>
      <c r="E4363" s="70"/>
      <c r="F4363" s="70"/>
      <c r="G4363" s="70"/>
      <c r="H4363" s="93"/>
      <c r="I4363" s="85"/>
      <c r="J4363" s="85"/>
      <c r="K4363" s="131"/>
      <c r="L4363" s="60"/>
      <c r="M4363" s="33"/>
      <c r="N4363" s="37"/>
      <c r="O4363" s="37"/>
      <c r="P4363" s="37"/>
      <c r="Q4363" s="3"/>
      <c r="R4363" s="3"/>
      <c r="S4363" s="3"/>
      <c r="T4363" s="3"/>
      <c r="U4363" s="3"/>
      <c r="V4363" s="3"/>
      <c r="W4363" s="3"/>
      <c r="X4363" s="3"/>
      <c r="Y4363" s="3"/>
      <c r="Z4363" s="4"/>
      <c r="AA4363"/>
      <c r="AB4363"/>
    </row>
    <row r="4364" spans="1:28" s="2" customFormat="1" x14ac:dyDescent="0.15">
      <c r="A4364" s="70"/>
      <c r="B4364" s="82"/>
      <c r="C4364" s="70"/>
      <c r="D4364" s="70"/>
      <c r="E4364" s="70"/>
      <c r="F4364" s="70"/>
      <c r="G4364" s="70"/>
      <c r="H4364" s="93"/>
      <c r="I4364" s="85"/>
      <c r="J4364" s="85"/>
      <c r="K4364" s="131"/>
      <c r="L4364" s="60"/>
      <c r="M4364" s="49"/>
      <c r="N4364" s="37"/>
      <c r="O4364" s="37"/>
      <c r="P4364" s="37"/>
      <c r="Q4364" s="3"/>
      <c r="R4364" s="3"/>
      <c r="S4364" s="3"/>
      <c r="T4364" s="3"/>
      <c r="U4364" s="3"/>
      <c r="V4364" s="3"/>
      <c r="W4364" s="3"/>
      <c r="X4364" s="3"/>
      <c r="Y4364" s="3"/>
      <c r="Z4364" s="4"/>
      <c r="AA4364"/>
      <c r="AB4364"/>
    </row>
    <row r="4365" spans="1:28" s="2" customFormat="1" ht="16" x14ac:dyDescent="0.2">
      <c r="A4365" s="70"/>
      <c r="B4365" s="93"/>
      <c r="C4365" s="70"/>
      <c r="D4365" s="70"/>
      <c r="E4365" s="70"/>
      <c r="F4365" s="70"/>
      <c r="G4365" s="70"/>
      <c r="H4365" s="93"/>
      <c r="I4365" s="85"/>
      <c r="J4365" s="85"/>
      <c r="K4365" s="131"/>
      <c r="L4365" s="60"/>
      <c r="M4365" s="47"/>
      <c r="N4365" s="37"/>
      <c r="O4365" s="37"/>
      <c r="P4365" s="37"/>
      <c r="Q4365" s="3"/>
      <c r="R4365" s="3"/>
      <c r="S4365" s="3"/>
      <c r="T4365" s="3"/>
      <c r="U4365" s="3"/>
      <c r="V4365" s="3"/>
      <c r="W4365" s="3"/>
      <c r="X4365" s="3"/>
      <c r="Y4365" s="3"/>
      <c r="Z4365" s="4"/>
      <c r="AA4365"/>
      <c r="AB4365"/>
    </row>
    <row r="4366" spans="1:28" s="2" customFormat="1" x14ac:dyDescent="0.15">
      <c r="A4366" s="70"/>
      <c r="B4366" s="82"/>
      <c r="C4366" s="70"/>
      <c r="D4366" s="70"/>
      <c r="E4366" s="70"/>
      <c r="F4366" s="70"/>
      <c r="G4366" s="70"/>
      <c r="H4366" s="93"/>
      <c r="I4366" s="85"/>
      <c r="J4366" s="85"/>
      <c r="K4366" s="131"/>
      <c r="L4366" s="60"/>
      <c r="M4366" s="33"/>
      <c r="N4366" s="32"/>
      <c r="O4366" s="37"/>
      <c r="P4366" s="37"/>
      <c r="Q4366" s="3"/>
      <c r="R4366" s="3"/>
      <c r="S4366" s="3"/>
      <c r="T4366" s="3"/>
      <c r="U4366" s="3"/>
      <c r="V4366" s="3"/>
      <c r="W4366" s="3"/>
      <c r="X4366" s="3"/>
      <c r="Y4366" s="3"/>
      <c r="Z4366" s="4"/>
      <c r="AA4366"/>
      <c r="AB4366"/>
    </row>
    <row r="4367" spans="1:28" s="2" customFormat="1" x14ac:dyDescent="0.15">
      <c r="A4367" s="70"/>
      <c r="B4367" s="82"/>
      <c r="C4367" s="70"/>
      <c r="D4367" s="70"/>
      <c r="E4367" s="70"/>
      <c r="F4367" s="70"/>
      <c r="G4367" s="70"/>
      <c r="H4367" s="93"/>
      <c r="I4367" s="85"/>
      <c r="J4367" s="85"/>
      <c r="K4367" s="131"/>
      <c r="L4367" s="60"/>
      <c r="M4367" s="33"/>
      <c r="N4367" s="37"/>
      <c r="O4367" s="37"/>
      <c r="P4367" s="37"/>
      <c r="Q4367" s="3"/>
      <c r="R4367" s="3"/>
      <c r="S4367" s="3"/>
      <c r="T4367" s="3"/>
      <c r="U4367" s="3"/>
      <c r="V4367" s="3"/>
      <c r="W4367" s="3"/>
      <c r="X4367" s="3"/>
      <c r="Y4367" s="3"/>
      <c r="Z4367" s="4"/>
      <c r="AA4367"/>
      <c r="AB4367"/>
    </row>
    <row r="4368" spans="1:28" s="2" customFormat="1" x14ac:dyDescent="0.15">
      <c r="A4368" s="70"/>
      <c r="B4368" s="82"/>
      <c r="C4368" s="73"/>
      <c r="D4368" s="73"/>
      <c r="E4368" s="70"/>
      <c r="F4368" s="73"/>
      <c r="G4368" s="73"/>
      <c r="H4368" s="93"/>
      <c r="I4368" s="85"/>
      <c r="J4368" s="95"/>
      <c r="K4368" s="131"/>
      <c r="L4368" s="60"/>
      <c r="M4368" s="49"/>
      <c r="N4368" s="37"/>
      <c r="O4368" s="37"/>
      <c r="P4368" s="37"/>
      <c r="Q4368" s="3"/>
      <c r="R4368" s="3"/>
      <c r="S4368" s="3"/>
      <c r="T4368" s="3"/>
      <c r="U4368" s="3"/>
      <c r="V4368" s="3"/>
      <c r="W4368" s="3"/>
      <c r="X4368" s="3"/>
      <c r="Y4368" s="3"/>
      <c r="Z4368" s="4"/>
      <c r="AA4368"/>
      <c r="AB4368"/>
    </row>
    <row r="4369" spans="1:28" s="2" customFormat="1" x14ac:dyDescent="0.15">
      <c r="A4369" s="70"/>
      <c r="B4369" s="82"/>
      <c r="C4369" s="70"/>
      <c r="D4369" s="70"/>
      <c r="E4369" s="70"/>
      <c r="F4369" s="70"/>
      <c r="G4369" s="70"/>
      <c r="H4369" s="93"/>
      <c r="I4369" s="85"/>
      <c r="J4369" s="85"/>
      <c r="K4369" s="131"/>
      <c r="L4369" s="60"/>
      <c r="M4369" s="49"/>
      <c r="N4369" s="37"/>
      <c r="O4369" s="37"/>
      <c r="P4369" s="37"/>
      <c r="Q4369" s="3"/>
      <c r="R4369" s="3"/>
      <c r="S4369" s="3"/>
      <c r="T4369" s="3"/>
      <c r="U4369" s="3"/>
      <c r="V4369" s="3"/>
      <c r="W4369" s="3"/>
      <c r="X4369" s="3"/>
      <c r="Y4369" s="3"/>
      <c r="Z4369" s="4"/>
      <c r="AA4369"/>
      <c r="AB4369"/>
    </row>
    <row r="4370" spans="1:28" s="2" customFormat="1" x14ac:dyDescent="0.15">
      <c r="A4370" s="70"/>
      <c r="B4370" s="82"/>
      <c r="C4370" s="70"/>
      <c r="D4370" s="70"/>
      <c r="E4370" s="70"/>
      <c r="F4370" s="70"/>
      <c r="G4370" s="70"/>
      <c r="H4370" s="93"/>
      <c r="I4370" s="85"/>
      <c r="J4370" s="85"/>
      <c r="K4370" s="131"/>
      <c r="L4370" s="60"/>
      <c r="M4370" s="49"/>
      <c r="N4370" s="37"/>
      <c r="O4370" s="37"/>
      <c r="P4370" s="37"/>
      <c r="Q4370" s="3"/>
      <c r="R4370" s="3"/>
      <c r="S4370" s="3"/>
      <c r="T4370" s="3"/>
      <c r="U4370" s="3"/>
      <c r="V4370" s="3"/>
      <c r="W4370" s="3"/>
      <c r="X4370" s="3"/>
      <c r="Y4370" s="3"/>
      <c r="Z4370" s="4"/>
      <c r="AA4370"/>
      <c r="AB4370"/>
    </row>
    <row r="4371" spans="1:28" s="2" customFormat="1" x14ac:dyDescent="0.15">
      <c r="A4371" s="70"/>
      <c r="B4371" s="82"/>
      <c r="C4371" s="70"/>
      <c r="D4371" s="70"/>
      <c r="E4371" s="70"/>
      <c r="F4371" s="70"/>
      <c r="G4371" s="70"/>
      <c r="H4371" s="93"/>
      <c r="I4371" s="85"/>
      <c r="J4371" s="85"/>
      <c r="K4371" s="131"/>
      <c r="L4371" s="60"/>
      <c r="M4371" s="49"/>
      <c r="N4371" s="37"/>
      <c r="O4371" s="37"/>
      <c r="P4371" s="37"/>
      <c r="Q4371" s="3"/>
      <c r="R4371" s="3"/>
      <c r="S4371" s="3"/>
      <c r="T4371" s="3"/>
      <c r="U4371" s="3"/>
      <c r="V4371" s="3"/>
      <c r="W4371" s="3"/>
      <c r="X4371" s="3"/>
      <c r="Y4371" s="3"/>
      <c r="Z4371" s="4"/>
      <c r="AA4371"/>
      <c r="AB4371"/>
    </row>
    <row r="4372" spans="1:28" s="2" customFormat="1" x14ac:dyDescent="0.15">
      <c r="A4372" s="70"/>
      <c r="B4372" s="82"/>
      <c r="C4372" s="70"/>
      <c r="D4372" s="70"/>
      <c r="E4372" s="70"/>
      <c r="F4372" s="70"/>
      <c r="G4372" s="70"/>
      <c r="H4372" s="93"/>
      <c r="I4372" s="85"/>
      <c r="J4372" s="85"/>
      <c r="K4372" s="131"/>
      <c r="L4372" s="60"/>
      <c r="M4372" s="49"/>
      <c r="N4372" s="37"/>
      <c r="O4372" s="37"/>
      <c r="P4372" s="37"/>
      <c r="Q4372" s="3"/>
      <c r="R4372" s="3"/>
      <c r="S4372" s="3"/>
      <c r="T4372" s="3"/>
      <c r="U4372" s="3"/>
      <c r="V4372" s="3"/>
      <c r="W4372" s="3"/>
      <c r="X4372" s="3"/>
      <c r="Y4372" s="3"/>
      <c r="Z4372" s="4"/>
      <c r="AA4372"/>
      <c r="AB4372"/>
    </row>
    <row r="4373" spans="1:28" s="2" customFormat="1" ht="16" x14ac:dyDescent="0.2">
      <c r="A4373" s="70"/>
      <c r="B4373" s="93"/>
      <c r="C4373" s="70"/>
      <c r="D4373" s="70"/>
      <c r="E4373" s="70"/>
      <c r="F4373" s="70"/>
      <c r="G4373" s="70"/>
      <c r="H4373" s="93"/>
      <c r="I4373" s="85"/>
      <c r="J4373" s="85"/>
      <c r="K4373" s="131"/>
      <c r="L4373" s="60"/>
      <c r="M4373" s="47"/>
      <c r="N4373" s="37"/>
      <c r="O4373" s="37"/>
      <c r="P4373" s="37"/>
      <c r="Q4373" s="3"/>
      <c r="R4373" s="3"/>
      <c r="S4373" s="3"/>
      <c r="T4373" s="3"/>
      <c r="U4373" s="3"/>
      <c r="V4373" s="3"/>
      <c r="W4373" s="3"/>
      <c r="X4373" s="3"/>
      <c r="Y4373" s="3"/>
      <c r="Z4373" s="4"/>
      <c r="AA4373"/>
      <c r="AB4373"/>
    </row>
    <row r="4374" spans="1:28" s="2" customFormat="1" x14ac:dyDescent="0.15">
      <c r="A4374" s="70"/>
      <c r="B4374" s="93"/>
      <c r="C4374" s="70"/>
      <c r="D4374" s="70"/>
      <c r="E4374" s="70"/>
      <c r="F4374" s="70"/>
      <c r="G4374" s="70"/>
      <c r="H4374" s="93"/>
      <c r="I4374" s="85"/>
      <c r="J4374" s="85"/>
      <c r="K4374" s="131"/>
      <c r="L4374" s="60"/>
      <c r="M4374" s="33"/>
      <c r="N4374" s="37"/>
      <c r="O4374" s="37"/>
      <c r="P4374" s="37"/>
      <c r="Q4374" s="3"/>
      <c r="R4374" s="3"/>
      <c r="S4374" s="3"/>
      <c r="T4374" s="3"/>
      <c r="U4374" s="3"/>
      <c r="V4374" s="3"/>
      <c r="W4374" s="3"/>
      <c r="X4374" s="3"/>
      <c r="Y4374" s="3"/>
      <c r="Z4374" s="4"/>
      <c r="AA4374"/>
      <c r="AB4374"/>
    </row>
    <row r="4375" spans="1:28" s="2" customFormat="1" x14ac:dyDescent="0.15">
      <c r="A4375" s="70"/>
      <c r="B4375" s="93"/>
      <c r="C4375" s="70"/>
      <c r="D4375" s="70"/>
      <c r="E4375" s="70"/>
      <c r="F4375" s="70"/>
      <c r="G4375" s="70"/>
      <c r="H4375" s="93"/>
      <c r="I4375" s="85"/>
      <c r="J4375" s="85"/>
      <c r="K4375" s="131"/>
      <c r="L4375" s="60"/>
      <c r="M4375" s="33"/>
      <c r="N4375" s="37"/>
      <c r="O4375" s="37"/>
      <c r="P4375" s="37"/>
      <c r="Q4375" s="3"/>
      <c r="R4375" s="3"/>
      <c r="S4375" s="3"/>
      <c r="T4375" s="3"/>
      <c r="U4375" s="3"/>
      <c r="V4375" s="3"/>
      <c r="W4375" s="3"/>
      <c r="X4375" s="3"/>
      <c r="Y4375" s="3"/>
      <c r="Z4375" s="4"/>
      <c r="AA4375"/>
      <c r="AB4375"/>
    </row>
    <row r="4376" spans="1:28" s="2" customFormat="1" x14ac:dyDescent="0.15">
      <c r="A4376" s="70"/>
      <c r="B4376" s="82"/>
      <c r="C4376" s="70"/>
      <c r="D4376" s="70"/>
      <c r="E4376" s="70"/>
      <c r="F4376" s="70"/>
      <c r="G4376" s="70"/>
      <c r="H4376" s="93"/>
      <c r="I4376" s="85"/>
      <c r="J4376" s="85"/>
      <c r="K4376" s="131"/>
      <c r="L4376" s="60"/>
      <c r="M4376" s="49"/>
      <c r="N4376" s="37"/>
      <c r="O4376" s="37"/>
      <c r="P4376" s="37"/>
      <c r="Q4376" s="3"/>
      <c r="R4376" s="3"/>
      <c r="S4376" s="3"/>
      <c r="T4376" s="3"/>
      <c r="U4376" s="3"/>
      <c r="V4376" s="3"/>
      <c r="W4376" s="3"/>
      <c r="X4376" s="3"/>
      <c r="Y4376" s="3"/>
      <c r="Z4376" s="4"/>
      <c r="AA4376"/>
      <c r="AB4376"/>
    </row>
    <row r="4377" spans="1:28" s="2" customFormat="1" x14ac:dyDescent="0.15">
      <c r="A4377" s="70"/>
      <c r="B4377" s="93"/>
      <c r="C4377" s="70"/>
      <c r="D4377" s="70"/>
      <c r="E4377" s="70"/>
      <c r="F4377" s="70"/>
      <c r="G4377" s="70"/>
      <c r="H4377" s="93"/>
      <c r="I4377" s="85"/>
      <c r="J4377" s="85"/>
      <c r="K4377" s="131"/>
      <c r="L4377" s="60"/>
      <c r="M4377" s="33"/>
      <c r="N4377" s="37"/>
      <c r="O4377" s="37"/>
      <c r="P4377" s="37"/>
      <c r="Q4377" s="3"/>
      <c r="R4377" s="3"/>
      <c r="S4377" s="3"/>
      <c r="T4377" s="3"/>
      <c r="U4377" s="3"/>
      <c r="V4377" s="3"/>
      <c r="W4377" s="3"/>
      <c r="X4377" s="3"/>
      <c r="Y4377" s="3"/>
      <c r="Z4377" s="4"/>
      <c r="AA4377"/>
      <c r="AB4377"/>
    </row>
    <row r="4378" spans="1:28" s="2" customFormat="1" x14ac:dyDescent="0.15">
      <c r="A4378" s="70"/>
      <c r="B4378" s="93"/>
      <c r="C4378" s="70"/>
      <c r="D4378" s="70"/>
      <c r="E4378" s="70"/>
      <c r="F4378" s="70"/>
      <c r="G4378" s="70"/>
      <c r="H4378" s="93"/>
      <c r="I4378" s="85"/>
      <c r="J4378" s="85"/>
      <c r="K4378" s="131"/>
      <c r="L4378" s="60"/>
      <c r="M4378" s="33"/>
      <c r="N4378" s="37"/>
      <c r="O4378" s="37"/>
      <c r="P4378" s="37"/>
      <c r="Q4378" s="3"/>
      <c r="R4378" s="3"/>
      <c r="S4378" s="3"/>
      <c r="T4378" s="3"/>
      <c r="U4378" s="3"/>
      <c r="V4378" s="3"/>
      <c r="W4378" s="3"/>
      <c r="X4378" s="3"/>
      <c r="Y4378" s="3"/>
      <c r="Z4378" s="4"/>
      <c r="AA4378"/>
      <c r="AB4378"/>
    </row>
    <row r="4379" spans="1:28" s="2" customFormat="1" ht="16" x14ac:dyDescent="0.2">
      <c r="A4379" s="70"/>
      <c r="B4379" s="93"/>
      <c r="C4379" s="73"/>
      <c r="D4379" s="73"/>
      <c r="E4379" s="70"/>
      <c r="F4379" s="73"/>
      <c r="G4379" s="73"/>
      <c r="H4379" s="93"/>
      <c r="I4379" s="85"/>
      <c r="J4379" s="95"/>
      <c r="K4379" s="131"/>
      <c r="L4379" s="60"/>
      <c r="M4379" s="47"/>
      <c r="N4379" s="37"/>
      <c r="O4379" s="37"/>
      <c r="P4379" s="37"/>
      <c r="Q4379" s="3"/>
      <c r="R4379" s="3"/>
      <c r="S4379" s="3"/>
      <c r="T4379" s="3"/>
      <c r="U4379" s="3"/>
      <c r="V4379" s="3"/>
      <c r="W4379" s="3"/>
      <c r="X4379" s="3"/>
      <c r="Y4379" s="3"/>
      <c r="Z4379" s="4"/>
      <c r="AA4379"/>
      <c r="AB4379"/>
    </row>
    <row r="4380" spans="1:28" s="2" customFormat="1" x14ac:dyDescent="0.15">
      <c r="A4380" s="70"/>
      <c r="B4380" s="93"/>
      <c r="C4380" s="70"/>
      <c r="D4380" s="70"/>
      <c r="E4380" s="70"/>
      <c r="F4380" s="70"/>
      <c r="G4380" s="70"/>
      <c r="H4380" s="93"/>
      <c r="I4380" s="85"/>
      <c r="J4380" s="85"/>
      <c r="K4380" s="131"/>
      <c r="L4380" s="60"/>
      <c r="M4380" s="33"/>
      <c r="N4380" s="37"/>
      <c r="O4380" s="37"/>
      <c r="P4380" s="37"/>
      <c r="Q4380" s="3"/>
      <c r="R4380" s="3"/>
      <c r="S4380" s="3"/>
      <c r="T4380" s="3"/>
      <c r="U4380" s="3"/>
      <c r="V4380" s="3"/>
      <c r="W4380" s="3"/>
      <c r="X4380" s="3"/>
      <c r="Y4380" s="3"/>
      <c r="Z4380" s="4"/>
      <c r="AA4380"/>
      <c r="AB4380"/>
    </row>
    <row r="4381" spans="1:28" s="2" customFormat="1" x14ac:dyDescent="0.15">
      <c r="A4381" s="70"/>
      <c r="B4381" s="93"/>
      <c r="C4381" s="70"/>
      <c r="D4381" s="70"/>
      <c r="E4381" s="70"/>
      <c r="F4381" s="70"/>
      <c r="G4381" s="70"/>
      <c r="H4381" s="93"/>
      <c r="I4381" s="85"/>
      <c r="J4381" s="85"/>
      <c r="K4381" s="131"/>
      <c r="L4381" s="60"/>
      <c r="M4381" s="33"/>
      <c r="N4381" s="37"/>
      <c r="O4381" s="37"/>
      <c r="P4381" s="37"/>
      <c r="Q4381" s="3"/>
      <c r="R4381" s="3"/>
      <c r="S4381" s="3"/>
      <c r="T4381" s="3"/>
      <c r="U4381" s="3"/>
      <c r="V4381" s="3"/>
      <c r="W4381" s="3"/>
      <c r="X4381" s="3"/>
      <c r="Y4381" s="3"/>
      <c r="Z4381" s="4"/>
      <c r="AA4381"/>
      <c r="AB4381"/>
    </row>
    <row r="4382" spans="1:28" s="2" customFormat="1" x14ac:dyDescent="0.15">
      <c r="A4382" s="70"/>
      <c r="B4382" s="118"/>
      <c r="C4382" s="70"/>
      <c r="D4382" s="70"/>
      <c r="E4382" s="70"/>
      <c r="F4382" s="70"/>
      <c r="G4382" s="70"/>
      <c r="H4382" s="93"/>
      <c r="I4382" s="85"/>
      <c r="J4382" s="85"/>
      <c r="K4382" s="131"/>
      <c r="L4382" s="60"/>
      <c r="M4382" s="49"/>
      <c r="N4382" s="37"/>
      <c r="O4382" s="37"/>
      <c r="P4382" s="37"/>
      <c r="Q4382" s="3"/>
      <c r="R4382" s="3"/>
      <c r="S4382" s="3"/>
      <c r="T4382" s="3"/>
      <c r="U4382" s="3"/>
      <c r="V4382" s="3"/>
      <c r="W4382" s="3"/>
      <c r="X4382" s="3"/>
      <c r="Y4382" s="3"/>
      <c r="Z4382" s="4"/>
      <c r="AA4382"/>
      <c r="AB4382"/>
    </row>
    <row r="4383" spans="1:28" s="2" customFormat="1" x14ac:dyDescent="0.15">
      <c r="A4383" s="70"/>
      <c r="B4383" s="117"/>
      <c r="C4383" s="70"/>
      <c r="D4383" s="70"/>
      <c r="E4383" s="70"/>
      <c r="F4383" s="70"/>
      <c r="G4383" s="70"/>
      <c r="H4383" s="93"/>
      <c r="I4383" s="85"/>
      <c r="J4383" s="85"/>
      <c r="K4383" s="131"/>
      <c r="L4383" s="60"/>
      <c r="M4383" s="33"/>
      <c r="N4383" s="37"/>
      <c r="O4383" s="37"/>
      <c r="P4383" s="37"/>
      <c r="Q4383" s="3"/>
      <c r="R4383" s="3"/>
      <c r="S4383" s="3"/>
      <c r="T4383" s="3"/>
      <c r="U4383" s="3"/>
      <c r="V4383" s="3"/>
      <c r="W4383" s="3"/>
      <c r="X4383" s="3"/>
      <c r="Y4383" s="3"/>
      <c r="Z4383" s="4"/>
      <c r="AA4383"/>
      <c r="AB4383"/>
    </row>
    <row r="4384" spans="1:28" s="2" customFormat="1" x14ac:dyDescent="0.15">
      <c r="A4384" s="70"/>
      <c r="B4384" s="118"/>
      <c r="C4384" s="70"/>
      <c r="D4384" s="70"/>
      <c r="E4384" s="70"/>
      <c r="F4384" s="70"/>
      <c r="G4384" s="70"/>
      <c r="H4384" s="93"/>
      <c r="I4384" s="85"/>
      <c r="J4384" s="85"/>
      <c r="K4384" s="131"/>
      <c r="L4384" s="60"/>
      <c r="M4384" s="49"/>
      <c r="N4384" s="33"/>
      <c r="O4384" s="37"/>
      <c r="P4384" s="37"/>
      <c r="Q4384" s="3"/>
      <c r="R4384" s="3"/>
      <c r="S4384" s="3"/>
      <c r="T4384" s="3"/>
      <c r="U4384" s="3"/>
      <c r="V4384" s="3"/>
      <c r="W4384" s="3"/>
      <c r="X4384" s="3"/>
      <c r="Y4384" s="3"/>
      <c r="Z4384" s="4"/>
      <c r="AA4384"/>
      <c r="AB4384"/>
    </row>
    <row r="4385" spans="1:28" s="2" customFormat="1" x14ac:dyDescent="0.15">
      <c r="A4385" s="70"/>
      <c r="B4385" s="117"/>
      <c r="C4385" s="70"/>
      <c r="D4385" s="70"/>
      <c r="E4385" s="70"/>
      <c r="F4385" s="70"/>
      <c r="G4385" s="70"/>
      <c r="H4385" s="93"/>
      <c r="I4385" s="85"/>
      <c r="J4385" s="85"/>
      <c r="K4385" s="131"/>
      <c r="L4385" s="60"/>
      <c r="M4385" s="33"/>
      <c r="N4385" s="37"/>
      <c r="O4385" s="37"/>
      <c r="P4385" s="37"/>
      <c r="Q4385" s="3"/>
      <c r="R4385" s="3"/>
      <c r="S4385" s="3"/>
      <c r="T4385" s="3"/>
      <c r="U4385" s="3"/>
      <c r="V4385" s="3"/>
      <c r="W4385" s="3"/>
      <c r="X4385" s="3"/>
      <c r="Y4385" s="3"/>
      <c r="Z4385" s="4"/>
      <c r="AA4385"/>
      <c r="AB4385"/>
    </row>
    <row r="4386" spans="1:28" s="2" customFormat="1" x14ac:dyDescent="0.15">
      <c r="A4386" s="70"/>
      <c r="B4386" s="117"/>
      <c r="C4386" s="70"/>
      <c r="D4386" s="70"/>
      <c r="E4386" s="70"/>
      <c r="F4386" s="70"/>
      <c r="G4386" s="70"/>
      <c r="H4386" s="93"/>
      <c r="I4386" s="85"/>
      <c r="J4386" s="85"/>
      <c r="K4386" s="131"/>
      <c r="L4386" s="60"/>
      <c r="M4386" s="33"/>
      <c r="N4386" s="32"/>
      <c r="O4386" s="37"/>
      <c r="P4386" s="37"/>
      <c r="Q4386" s="3"/>
      <c r="R4386" s="3"/>
      <c r="S4386" s="3"/>
      <c r="T4386" s="3"/>
      <c r="U4386" s="3"/>
      <c r="V4386" s="3"/>
      <c r="W4386" s="3"/>
      <c r="X4386" s="3"/>
      <c r="Y4386" s="3"/>
      <c r="Z4386" s="4"/>
      <c r="AA4386"/>
      <c r="AB4386"/>
    </row>
    <row r="4387" spans="1:28" x14ac:dyDescent="0.15">
      <c r="A4387" s="70"/>
      <c r="B4387" s="118"/>
      <c r="C4387" s="70"/>
      <c r="D4387" s="70"/>
      <c r="E4387" s="70"/>
      <c r="F4387" s="70"/>
      <c r="G4387" s="70"/>
      <c r="H4387" s="93"/>
      <c r="I4387" s="85"/>
      <c r="J4387" s="85"/>
      <c r="K4387" s="131"/>
      <c r="L4387" s="60"/>
    </row>
    <row r="4388" spans="1:28" x14ac:dyDescent="0.15">
      <c r="A4388" s="70"/>
      <c r="B4388" s="117"/>
      <c r="C4388" s="70"/>
      <c r="D4388" s="70"/>
      <c r="E4388" s="70"/>
      <c r="F4388" s="70"/>
      <c r="G4388" s="70"/>
      <c r="H4388" s="93"/>
      <c r="I4388" s="85"/>
      <c r="J4388" s="85"/>
      <c r="K4388" s="131"/>
      <c r="L4388" s="60"/>
    </row>
    <row r="4389" spans="1:28" x14ac:dyDescent="0.15">
      <c r="A4389" s="62"/>
      <c r="B4389" s="119"/>
      <c r="C4389" s="62"/>
      <c r="D4389" s="62"/>
      <c r="E4389" s="62"/>
      <c r="F4389" s="62"/>
      <c r="G4389" s="62"/>
      <c r="H4389" s="97"/>
      <c r="I4389" s="103"/>
      <c r="J4389" s="98"/>
      <c r="K4389" s="135"/>
      <c r="L4389" s="67"/>
      <c r="M4389" s="35"/>
      <c r="N4389" s="35"/>
      <c r="O4389" s="35"/>
      <c r="P4389" s="35"/>
    </row>
    <row r="4390" spans="1:28" x14ac:dyDescent="0.15">
      <c r="A4390" s="70"/>
      <c r="B4390" s="118"/>
      <c r="C4390" s="73"/>
      <c r="D4390" s="73"/>
      <c r="E4390" s="70"/>
      <c r="F4390" s="73"/>
      <c r="G4390" s="73"/>
      <c r="H4390" s="93"/>
      <c r="I4390" s="85"/>
      <c r="J4390" s="95"/>
      <c r="K4390" s="131"/>
      <c r="L4390" s="60"/>
    </row>
    <row r="4391" spans="1:28" x14ac:dyDescent="0.15">
      <c r="A4391" s="70"/>
      <c r="B4391" s="118"/>
      <c r="C4391" s="70"/>
      <c r="D4391" s="70"/>
      <c r="E4391" s="70"/>
      <c r="F4391" s="70"/>
      <c r="G4391" s="70"/>
      <c r="H4391" s="93"/>
      <c r="I4391" s="85"/>
      <c r="J4391" s="85"/>
      <c r="K4391" s="131"/>
      <c r="L4391" s="60"/>
    </row>
    <row r="4392" spans="1:28" x14ac:dyDescent="0.15">
      <c r="A4392" s="70"/>
      <c r="B4392" s="117"/>
      <c r="C4392" s="73"/>
      <c r="D4392" s="73"/>
      <c r="E4392" s="70"/>
      <c r="F4392" s="73"/>
      <c r="G4392" s="73"/>
      <c r="H4392" s="93"/>
      <c r="I4392" s="85"/>
      <c r="J4392" s="95"/>
      <c r="K4392" s="131"/>
      <c r="L4392" s="60"/>
      <c r="M4392" s="33"/>
    </row>
    <row r="4393" spans="1:28" x14ac:dyDescent="0.15">
      <c r="A4393" s="70"/>
      <c r="B4393" s="118"/>
      <c r="C4393" s="70"/>
      <c r="D4393" s="70"/>
      <c r="E4393" s="70"/>
      <c r="F4393" s="70"/>
      <c r="G4393" s="70"/>
      <c r="H4393" s="93"/>
      <c r="I4393" s="85"/>
      <c r="J4393" s="85"/>
      <c r="K4393" s="131"/>
      <c r="L4393" s="60"/>
    </row>
    <row r="4394" spans="1:28" x14ac:dyDescent="0.15">
      <c r="A4394" s="70"/>
      <c r="B4394" s="118"/>
      <c r="C4394" s="70"/>
      <c r="D4394" s="70"/>
      <c r="E4394" s="70"/>
      <c r="F4394" s="70"/>
      <c r="G4394" s="70"/>
      <c r="H4394" s="93"/>
      <c r="I4394" s="85"/>
      <c r="J4394" s="85"/>
      <c r="K4394" s="131"/>
      <c r="L4394" s="60"/>
    </row>
    <row r="4395" spans="1:28" x14ac:dyDescent="0.15">
      <c r="A4395" s="70"/>
      <c r="B4395" s="117"/>
      <c r="C4395" s="70"/>
      <c r="D4395" s="70"/>
      <c r="E4395" s="70"/>
      <c r="F4395" s="70"/>
      <c r="G4395" s="70"/>
      <c r="H4395" s="93"/>
      <c r="I4395" s="85"/>
      <c r="J4395" s="85"/>
      <c r="K4395" s="131"/>
      <c r="L4395" s="60"/>
      <c r="M4395" s="33"/>
    </row>
    <row r="4396" spans="1:28" x14ac:dyDescent="0.15">
      <c r="A4396" s="70"/>
      <c r="B4396" s="117"/>
      <c r="C4396" s="70"/>
      <c r="D4396" s="70"/>
      <c r="E4396" s="73"/>
      <c r="F4396" s="70"/>
      <c r="G4396" s="70"/>
      <c r="H4396" s="93"/>
      <c r="I4396" s="85"/>
      <c r="J4396" s="85"/>
      <c r="K4396" s="131"/>
      <c r="L4396" s="60"/>
      <c r="M4396" s="33"/>
    </row>
    <row r="4397" spans="1:28" x14ac:dyDescent="0.15">
      <c r="A4397" s="70"/>
      <c r="B4397" s="117"/>
      <c r="C4397" s="70"/>
      <c r="D4397" s="70"/>
      <c r="E4397" s="70"/>
      <c r="F4397" s="70"/>
      <c r="G4397" s="70"/>
      <c r="H4397" s="93"/>
      <c r="I4397" s="85"/>
      <c r="J4397" s="85"/>
      <c r="K4397" s="131"/>
      <c r="L4397" s="60"/>
      <c r="M4397" s="33"/>
    </row>
    <row r="4398" spans="1:28" ht="16" x14ac:dyDescent="0.2">
      <c r="A4398" s="70"/>
      <c r="B4398" s="117"/>
      <c r="C4398" s="70"/>
      <c r="D4398" s="70"/>
      <c r="E4398" s="70"/>
      <c r="F4398" s="70"/>
      <c r="G4398" s="70"/>
      <c r="H4398" s="93"/>
      <c r="I4398" s="85"/>
      <c r="J4398" s="85"/>
      <c r="K4398" s="131"/>
      <c r="L4398" s="60"/>
      <c r="M4398" s="47"/>
      <c r="O4398" s="33"/>
    </row>
    <row r="4399" spans="1:28" x14ac:dyDescent="0.15">
      <c r="A4399" s="70"/>
      <c r="B4399" s="117"/>
      <c r="C4399" s="70"/>
      <c r="D4399" s="70"/>
      <c r="E4399" s="70"/>
      <c r="F4399" s="70"/>
      <c r="G4399" s="70"/>
      <c r="H4399" s="93"/>
      <c r="I4399" s="85"/>
      <c r="J4399" s="85"/>
      <c r="K4399" s="131"/>
      <c r="L4399" s="60"/>
      <c r="M4399" s="33"/>
      <c r="N4399" s="35"/>
    </row>
    <row r="4400" spans="1:28" x14ac:dyDescent="0.15">
      <c r="A4400" s="70"/>
      <c r="B4400" s="117"/>
      <c r="C4400" s="70"/>
      <c r="D4400" s="70"/>
      <c r="E4400" s="70"/>
      <c r="F4400" s="70"/>
      <c r="G4400" s="70"/>
      <c r="H4400" s="93"/>
      <c r="I4400" s="85"/>
      <c r="J4400" s="85"/>
      <c r="K4400" s="131"/>
      <c r="L4400" s="60"/>
    </row>
    <row r="4401" spans="1:13" x14ac:dyDescent="0.15">
      <c r="A4401" s="70"/>
      <c r="B4401" s="117"/>
      <c r="C4401" s="70"/>
      <c r="D4401" s="70"/>
      <c r="E4401" s="70"/>
      <c r="F4401" s="70"/>
      <c r="G4401" s="70"/>
      <c r="H4401" s="93"/>
      <c r="I4401" s="85"/>
      <c r="J4401" s="85"/>
      <c r="K4401" s="131"/>
      <c r="L4401" s="60"/>
      <c r="M4401" s="33"/>
    </row>
    <row r="4402" spans="1:13" x14ac:dyDescent="0.15">
      <c r="A4402" s="70"/>
      <c r="B4402" s="117"/>
      <c r="C4402" s="70"/>
      <c r="D4402" s="70"/>
      <c r="E4402" s="70"/>
      <c r="F4402" s="70"/>
      <c r="G4402" s="70"/>
      <c r="H4402" s="93"/>
      <c r="I4402" s="85"/>
      <c r="J4402" s="85"/>
      <c r="K4402" s="131"/>
      <c r="L4402" s="60"/>
    </row>
    <row r="4403" spans="1:13" x14ac:dyDescent="0.15">
      <c r="A4403" s="70"/>
      <c r="B4403" s="117"/>
      <c r="C4403" s="70"/>
      <c r="D4403" s="70"/>
      <c r="E4403" s="70"/>
      <c r="F4403" s="70"/>
      <c r="G4403" s="70"/>
      <c r="H4403" s="93"/>
      <c r="I4403" s="85"/>
      <c r="J4403" s="85"/>
      <c r="K4403" s="131"/>
      <c r="L4403" s="60"/>
      <c r="M4403" s="33"/>
    </row>
    <row r="4404" spans="1:13" x14ac:dyDescent="0.15">
      <c r="A4404" s="70"/>
      <c r="B4404" s="117"/>
      <c r="C4404" s="70"/>
      <c r="D4404" s="70"/>
      <c r="E4404" s="70"/>
      <c r="F4404" s="70"/>
      <c r="G4404" s="70"/>
      <c r="H4404" s="93"/>
      <c r="I4404" s="85"/>
      <c r="J4404" s="85"/>
      <c r="K4404" s="131"/>
      <c r="L4404" s="60"/>
      <c r="M4404" s="33"/>
    </row>
    <row r="4405" spans="1:13" x14ac:dyDescent="0.15">
      <c r="A4405" s="70"/>
      <c r="B4405" s="117"/>
      <c r="C4405" s="70"/>
      <c r="D4405" s="70"/>
      <c r="E4405" s="70"/>
      <c r="F4405" s="70"/>
      <c r="G4405" s="70"/>
      <c r="H4405" s="93"/>
      <c r="I4405" s="85"/>
      <c r="J4405" s="85"/>
      <c r="K4405" s="131"/>
      <c r="L4405" s="60"/>
      <c r="M4405" s="33"/>
    </row>
    <row r="4406" spans="1:13" x14ac:dyDescent="0.15">
      <c r="A4406" s="70"/>
      <c r="B4406" s="118"/>
      <c r="C4406" s="70"/>
      <c r="D4406" s="70"/>
      <c r="E4406" s="70"/>
      <c r="F4406" s="70"/>
      <c r="G4406" s="70"/>
      <c r="H4406" s="93"/>
      <c r="I4406" s="85"/>
      <c r="J4406" s="85"/>
      <c r="K4406" s="131"/>
      <c r="L4406" s="60"/>
      <c r="M4406" s="33"/>
    </row>
    <row r="4407" spans="1:13" x14ac:dyDescent="0.15">
      <c r="A4407" s="70"/>
      <c r="B4407" s="117"/>
      <c r="C4407" s="73"/>
      <c r="D4407" s="73"/>
      <c r="E4407" s="73"/>
      <c r="F4407" s="73"/>
      <c r="G4407" s="73"/>
      <c r="H4407" s="108"/>
      <c r="I4407" s="85"/>
      <c r="J4407" s="95"/>
      <c r="K4407" s="134"/>
      <c r="L4407" s="63"/>
      <c r="M4407" s="33"/>
    </row>
    <row r="4408" spans="1:13" x14ac:dyDescent="0.15">
      <c r="A4408" s="70"/>
      <c r="B4408" s="117"/>
      <c r="C4408" s="70"/>
      <c r="D4408" s="70"/>
      <c r="E4408" s="70"/>
      <c r="F4408" s="70"/>
      <c r="G4408" s="70"/>
      <c r="H4408" s="93"/>
      <c r="I4408" s="85"/>
      <c r="J4408" s="85"/>
      <c r="K4408" s="131"/>
      <c r="L4408" s="60"/>
      <c r="M4408" s="33"/>
    </row>
    <row r="4409" spans="1:13" x14ac:dyDescent="0.15">
      <c r="A4409" s="70"/>
      <c r="B4409" s="117"/>
      <c r="C4409" s="70"/>
      <c r="D4409" s="70"/>
      <c r="E4409" s="70"/>
      <c r="F4409" s="70"/>
      <c r="G4409" s="70"/>
      <c r="H4409" s="93"/>
      <c r="I4409" s="85"/>
      <c r="J4409" s="85"/>
      <c r="K4409" s="131"/>
      <c r="L4409" s="60"/>
      <c r="M4409" s="33"/>
    </row>
    <row r="4410" spans="1:13" x14ac:dyDescent="0.15">
      <c r="A4410" s="70"/>
      <c r="B4410" s="117"/>
      <c r="C4410" s="70"/>
      <c r="D4410" s="70"/>
      <c r="E4410" s="70"/>
      <c r="F4410" s="70"/>
      <c r="G4410" s="70"/>
      <c r="H4410" s="93"/>
      <c r="I4410" s="85"/>
      <c r="J4410" s="85"/>
      <c r="K4410" s="131"/>
      <c r="L4410" s="60"/>
      <c r="M4410" s="33"/>
    </row>
    <row r="4411" spans="1:13" x14ac:dyDescent="0.15">
      <c r="A4411" s="70"/>
      <c r="B4411" s="117"/>
      <c r="C4411" s="73"/>
      <c r="D4411" s="73"/>
      <c r="E4411" s="73"/>
      <c r="F4411" s="73"/>
      <c r="G4411" s="73"/>
      <c r="H4411" s="108"/>
      <c r="I4411" s="85"/>
      <c r="J4411" s="95"/>
      <c r="K4411" s="131"/>
      <c r="L4411" s="60"/>
      <c r="M4411" s="33"/>
    </row>
    <row r="4412" spans="1:13" x14ac:dyDescent="0.15">
      <c r="A4412" s="70"/>
      <c r="B4412" s="117"/>
      <c r="C4412" s="70"/>
      <c r="D4412" s="70"/>
      <c r="E4412" s="73"/>
      <c r="F4412" s="70"/>
      <c r="G4412" s="70"/>
      <c r="H4412" s="93"/>
      <c r="I4412" s="85"/>
      <c r="J4412" s="85"/>
      <c r="K4412" s="131"/>
      <c r="L4412" s="60"/>
      <c r="M4412" s="33"/>
    </row>
    <row r="4413" spans="1:13" x14ac:dyDescent="0.15">
      <c r="A4413" s="70"/>
      <c r="B4413" s="117"/>
      <c r="C4413" s="70"/>
      <c r="D4413" s="70"/>
      <c r="E4413" s="70"/>
      <c r="F4413" s="70"/>
      <c r="G4413" s="70"/>
      <c r="H4413" s="93"/>
      <c r="I4413" s="85"/>
      <c r="J4413" s="85"/>
      <c r="K4413" s="131"/>
      <c r="L4413" s="60"/>
      <c r="M4413" s="33"/>
    </row>
    <row r="4414" spans="1:13" x14ac:dyDescent="0.15">
      <c r="A4414" s="70"/>
      <c r="B4414" s="117"/>
      <c r="C4414" s="70"/>
      <c r="D4414" s="70"/>
      <c r="E4414" s="70"/>
      <c r="F4414" s="70"/>
      <c r="G4414" s="70"/>
      <c r="H4414" s="93"/>
      <c r="I4414" s="85"/>
      <c r="J4414" s="85"/>
      <c r="K4414" s="131"/>
      <c r="L4414" s="60"/>
      <c r="M4414" s="33"/>
    </row>
    <row r="4415" spans="1:13" x14ac:dyDescent="0.15">
      <c r="A4415" s="70"/>
      <c r="B4415" s="117"/>
      <c r="C4415" s="70"/>
      <c r="D4415" s="70"/>
      <c r="E4415" s="70"/>
      <c r="F4415" s="70"/>
      <c r="G4415" s="70"/>
      <c r="H4415" s="93"/>
      <c r="I4415" s="85"/>
      <c r="J4415" s="85"/>
      <c r="K4415" s="131"/>
      <c r="L4415" s="60"/>
    </row>
    <row r="4416" spans="1:13" x14ac:dyDescent="0.15">
      <c r="A4416" s="70"/>
      <c r="B4416" s="117"/>
      <c r="C4416" s="70"/>
      <c r="D4416" s="70"/>
      <c r="E4416" s="70"/>
      <c r="F4416" s="70"/>
      <c r="G4416" s="70"/>
      <c r="H4416" s="93"/>
      <c r="I4416" s="85"/>
      <c r="J4416" s="85"/>
      <c r="K4416" s="131"/>
      <c r="L4416" s="60"/>
      <c r="M4416" s="37"/>
    </row>
    <row r="4417" spans="1:13" x14ac:dyDescent="0.15">
      <c r="A4417" s="70"/>
      <c r="B4417" s="118"/>
      <c r="C4417" s="70"/>
      <c r="D4417" s="70"/>
      <c r="E4417" s="70"/>
      <c r="F4417" s="70"/>
      <c r="G4417" s="70"/>
      <c r="H4417" s="93"/>
      <c r="I4417" s="85"/>
      <c r="J4417" s="85"/>
      <c r="K4417" s="131"/>
      <c r="L4417" s="60"/>
      <c r="M4417" s="33"/>
    </row>
    <row r="4418" spans="1:13" x14ac:dyDescent="0.15">
      <c r="A4418" s="70"/>
      <c r="B4418" s="117"/>
      <c r="C4418" s="70"/>
      <c r="D4418" s="70"/>
      <c r="E4418" s="70"/>
      <c r="F4418" s="70"/>
      <c r="G4418" s="70"/>
      <c r="H4418" s="93"/>
      <c r="I4418" s="85"/>
      <c r="J4418" s="85"/>
      <c r="K4418" s="131"/>
      <c r="L4418" s="60"/>
      <c r="M4418" s="33"/>
    </row>
    <row r="4419" spans="1:13" ht="16" x14ac:dyDescent="0.2">
      <c r="A4419" s="70"/>
      <c r="B4419" s="117"/>
      <c r="C4419" s="70"/>
      <c r="D4419" s="70"/>
      <c r="E4419" s="70"/>
      <c r="F4419" s="70"/>
      <c r="G4419" s="70"/>
      <c r="H4419" s="93"/>
      <c r="I4419" s="85"/>
      <c r="J4419" s="85"/>
      <c r="K4419" s="131"/>
      <c r="L4419" s="60"/>
      <c r="M4419" s="47"/>
    </row>
    <row r="4420" spans="1:13" x14ac:dyDescent="0.15">
      <c r="A4420" s="70"/>
      <c r="B4420" s="118"/>
      <c r="C4420" s="70"/>
      <c r="D4420" s="70"/>
      <c r="E4420" s="70"/>
      <c r="F4420" s="70"/>
      <c r="G4420" s="70"/>
      <c r="H4420" s="93"/>
      <c r="I4420" s="85"/>
      <c r="J4420" s="85"/>
      <c r="K4420" s="131"/>
      <c r="L4420" s="60"/>
      <c r="M4420" s="33"/>
    </row>
    <row r="4421" spans="1:13" x14ac:dyDescent="0.15">
      <c r="A4421" s="70"/>
      <c r="B4421" s="118"/>
      <c r="C4421" s="70"/>
      <c r="D4421" s="70"/>
      <c r="E4421" s="70"/>
      <c r="F4421" s="70"/>
      <c r="G4421" s="70"/>
      <c r="H4421" s="93"/>
      <c r="I4421" s="85"/>
      <c r="J4421" s="85"/>
      <c r="K4421" s="131"/>
      <c r="L4421" s="60"/>
      <c r="M4421" s="33"/>
    </row>
    <row r="4422" spans="1:13" x14ac:dyDescent="0.15">
      <c r="A4422" s="70"/>
      <c r="B4422" s="117"/>
      <c r="C4422" s="70"/>
      <c r="D4422" s="70"/>
      <c r="E4422" s="73"/>
      <c r="F4422" s="70"/>
      <c r="G4422" s="70"/>
      <c r="H4422" s="93"/>
      <c r="I4422" s="85"/>
      <c r="J4422" s="85"/>
      <c r="K4422" s="131"/>
      <c r="L4422" s="60"/>
      <c r="M4422" s="33"/>
    </row>
    <row r="4423" spans="1:13" x14ac:dyDescent="0.15">
      <c r="A4423" s="70"/>
      <c r="B4423" s="117"/>
      <c r="C4423" s="73"/>
      <c r="D4423" s="73"/>
      <c r="E4423" s="73"/>
      <c r="F4423" s="73"/>
      <c r="G4423" s="73"/>
      <c r="H4423" s="108"/>
      <c r="I4423" s="85"/>
      <c r="J4423" s="95"/>
      <c r="K4423" s="131"/>
      <c r="L4423" s="60"/>
      <c r="M4423" s="33"/>
    </row>
    <row r="4424" spans="1:13" x14ac:dyDescent="0.15">
      <c r="A4424" s="70"/>
      <c r="B4424" s="117"/>
      <c r="C4424" s="70"/>
      <c r="D4424" s="70"/>
      <c r="E4424" s="73"/>
      <c r="F4424" s="70"/>
      <c r="G4424" s="70"/>
      <c r="H4424" s="93"/>
      <c r="I4424" s="85"/>
      <c r="J4424" s="85"/>
      <c r="K4424" s="131"/>
      <c r="L4424" s="60"/>
      <c r="M4424" s="33"/>
    </row>
    <row r="4425" spans="1:13" x14ac:dyDescent="0.15">
      <c r="A4425" s="70"/>
      <c r="B4425" s="117"/>
      <c r="C4425" s="70"/>
      <c r="D4425" s="70"/>
      <c r="E4425" s="70"/>
      <c r="F4425" s="70"/>
      <c r="G4425" s="70"/>
      <c r="H4425" s="93"/>
      <c r="I4425" s="85"/>
      <c r="J4425" s="85"/>
      <c r="K4425" s="131"/>
      <c r="L4425" s="60"/>
      <c r="M4425" s="33"/>
    </row>
    <row r="4426" spans="1:13" x14ac:dyDescent="0.15">
      <c r="A4426" s="70"/>
      <c r="B4426" s="117"/>
      <c r="C4426" s="70"/>
      <c r="D4426" s="70"/>
      <c r="E4426" s="70"/>
      <c r="F4426" s="70"/>
      <c r="G4426" s="70"/>
      <c r="H4426" s="93"/>
      <c r="I4426" s="85"/>
      <c r="J4426" s="85"/>
      <c r="K4426" s="131"/>
      <c r="L4426" s="60"/>
      <c r="M4426" s="33"/>
    </row>
    <row r="4427" spans="1:13" x14ac:dyDescent="0.15">
      <c r="A4427" s="70"/>
      <c r="B4427" s="118"/>
      <c r="C4427" s="70"/>
      <c r="D4427" s="70"/>
      <c r="E4427" s="70"/>
      <c r="F4427" s="70"/>
      <c r="G4427" s="70"/>
      <c r="H4427" s="93"/>
      <c r="I4427" s="85"/>
      <c r="J4427" s="85"/>
      <c r="K4427" s="131"/>
      <c r="L4427" s="60"/>
      <c r="M4427" s="33"/>
    </row>
    <row r="4428" spans="1:13" x14ac:dyDescent="0.15">
      <c r="A4428" s="70"/>
      <c r="B4428" s="117"/>
      <c r="C4428" s="70"/>
      <c r="D4428" s="70"/>
      <c r="E4428" s="70"/>
      <c r="F4428" s="70"/>
      <c r="G4428" s="70"/>
      <c r="H4428" s="93"/>
      <c r="I4428" s="85"/>
      <c r="J4428" s="85"/>
      <c r="K4428" s="131"/>
      <c r="L4428" s="60"/>
      <c r="M4428" s="33"/>
    </row>
    <row r="4429" spans="1:13" x14ac:dyDescent="0.15">
      <c r="A4429" s="70"/>
      <c r="B4429" s="117"/>
      <c r="C4429" s="70"/>
      <c r="D4429" s="70"/>
      <c r="E4429" s="70"/>
      <c r="F4429" s="70"/>
      <c r="G4429" s="70"/>
      <c r="H4429" s="93"/>
      <c r="I4429" s="85"/>
      <c r="J4429" s="85"/>
      <c r="K4429" s="131"/>
      <c r="L4429" s="60"/>
      <c r="M4429" s="33"/>
    </row>
    <row r="4430" spans="1:13" ht="16" x14ac:dyDescent="0.2">
      <c r="A4430" s="70"/>
      <c r="B4430" s="117"/>
      <c r="C4430" s="73"/>
      <c r="D4430" s="73"/>
      <c r="E4430" s="73"/>
      <c r="F4430" s="73"/>
      <c r="G4430" s="73"/>
      <c r="H4430" s="108"/>
      <c r="I4430" s="85"/>
      <c r="J4430" s="95"/>
      <c r="K4430" s="131"/>
      <c r="L4430" s="74"/>
      <c r="M4430" s="47"/>
    </row>
    <row r="4431" spans="1:13" x14ac:dyDescent="0.15">
      <c r="A4431" s="70"/>
      <c r="B4431" s="117"/>
      <c r="C4431" s="70"/>
      <c r="D4431" s="70"/>
      <c r="E4431" s="70"/>
      <c r="F4431" s="70"/>
      <c r="G4431" s="70"/>
      <c r="H4431" s="93"/>
      <c r="I4431" s="85"/>
      <c r="J4431" s="85"/>
      <c r="K4431" s="131"/>
      <c r="L4431" s="60"/>
    </row>
    <row r="4432" spans="1:13" x14ac:dyDescent="0.15">
      <c r="A4432" s="70"/>
      <c r="B4432" s="117"/>
      <c r="C4432" s="70"/>
      <c r="D4432" s="70"/>
      <c r="E4432" s="70"/>
      <c r="F4432" s="70"/>
      <c r="G4432" s="70"/>
      <c r="H4432" s="93"/>
      <c r="I4432" s="85"/>
      <c r="J4432" s="85"/>
      <c r="K4432" s="131"/>
      <c r="L4432" s="60"/>
    </row>
    <row r="4433" spans="1:14" x14ac:dyDescent="0.15">
      <c r="A4433" s="70"/>
      <c r="B4433" s="117"/>
      <c r="C4433" s="70"/>
      <c r="D4433" s="70"/>
      <c r="E4433" s="70"/>
      <c r="F4433" s="70"/>
      <c r="G4433" s="70"/>
      <c r="H4433" s="93"/>
      <c r="I4433" s="85"/>
      <c r="J4433" s="85"/>
      <c r="K4433" s="131"/>
      <c r="L4433" s="60"/>
    </row>
    <row r="4434" spans="1:14" x14ac:dyDescent="0.15">
      <c r="A4434" s="70"/>
      <c r="B4434" s="117"/>
      <c r="C4434" s="70"/>
      <c r="D4434" s="70"/>
      <c r="E4434" s="70"/>
      <c r="F4434" s="70"/>
      <c r="G4434" s="70"/>
      <c r="H4434" s="93"/>
      <c r="I4434" s="85"/>
      <c r="J4434" s="85"/>
      <c r="K4434" s="131"/>
      <c r="L4434" s="60"/>
      <c r="M4434" s="33"/>
    </row>
    <row r="4435" spans="1:14" x14ac:dyDescent="0.15">
      <c r="A4435" s="70"/>
      <c r="B4435" s="117"/>
      <c r="C4435" s="70"/>
      <c r="D4435" s="70"/>
      <c r="E4435" s="70"/>
      <c r="F4435" s="70"/>
      <c r="G4435" s="70"/>
      <c r="H4435" s="93"/>
      <c r="I4435" s="85"/>
      <c r="J4435" s="85"/>
      <c r="K4435" s="131"/>
      <c r="L4435" s="60"/>
      <c r="M4435" s="33"/>
    </row>
    <row r="4436" spans="1:14" x14ac:dyDescent="0.15">
      <c r="A4436" s="70"/>
      <c r="B4436" s="118"/>
      <c r="C4436" s="70"/>
      <c r="D4436" s="70"/>
      <c r="E4436" s="70"/>
      <c r="F4436" s="70"/>
      <c r="G4436" s="70"/>
      <c r="H4436" s="93"/>
      <c r="I4436" s="85"/>
      <c r="J4436" s="85"/>
      <c r="K4436" s="131"/>
      <c r="L4436" s="60"/>
      <c r="M4436" s="33"/>
    </row>
    <row r="4437" spans="1:14" x14ac:dyDescent="0.15">
      <c r="A4437" s="70"/>
      <c r="B4437" s="118"/>
      <c r="C4437" s="70"/>
      <c r="D4437" s="70"/>
      <c r="E4437" s="70"/>
      <c r="F4437" s="70"/>
      <c r="G4437" s="70"/>
      <c r="H4437" s="93"/>
      <c r="I4437" s="85"/>
      <c r="J4437" s="85"/>
      <c r="K4437" s="131"/>
      <c r="L4437" s="60"/>
      <c r="M4437" s="33"/>
    </row>
    <row r="4438" spans="1:14" ht="16" x14ac:dyDescent="0.2">
      <c r="A4438" s="70"/>
      <c r="B4438" s="117"/>
      <c r="C4438" s="70"/>
      <c r="D4438" s="70"/>
      <c r="E4438" s="70"/>
      <c r="F4438" s="70"/>
      <c r="G4438" s="70"/>
      <c r="H4438" s="93"/>
      <c r="I4438" s="85"/>
      <c r="J4438" s="85"/>
      <c r="K4438" s="131"/>
      <c r="L4438" s="60"/>
      <c r="M4438" s="47"/>
    </row>
    <row r="4439" spans="1:14" x14ac:dyDescent="0.15">
      <c r="A4439" s="70"/>
      <c r="B4439" s="117"/>
      <c r="C4439" s="70"/>
      <c r="D4439" s="70"/>
      <c r="E4439" s="70"/>
      <c r="F4439" s="70"/>
      <c r="G4439" s="70"/>
      <c r="H4439" s="93"/>
      <c r="I4439" s="85"/>
      <c r="J4439" s="85"/>
      <c r="K4439" s="131"/>
      <c r="L4439" s="60"/>
      <c r="M4439" s="33"/>
    </row>
    <row r="4440" spans="1:14" x14ac:dyDescent="0.15">
      <c r="A4440" s="70"/>
      <c r="B4440" s="118"/>
      <c r="C4440" s="70"/>
      <c r="D4440" s="70"/>
      <c r="E4440" s="70"/>
      <c r="F4440" s="70"/>
      <c r="G4440" s="70"/>
      <c r="H4440" s="93"/>
      <c r="I4440" s="85"/>
      <c r="J4440" s="85"/>
      <c r="K4440" s="131"/>
      <c r="L4440" s="60"/>
      <c r="M4440" s="33"/>
    </row>
    <row r="4441" spans="1:14" x14ac:dyDescent="0.15">
      <c r="A4441" s="70"/>
      <c r="B4441" s="118"/>
      <c r="C4441" s="70"/>
      <c r="D4441" s="70"/>
      <c r="E4441" s="70"/>
      <c r="F4441" s="70"/>
      <c r="G4441" s="70"/>
      <c r="H4441" s="93"/>
      <c r="I4441" s="85"/>
      <c r="J4441" s="85"/>
      <c r="K4441" s="131"/>
      <c r="L4441" s="60"/>
      <c r="M4441" s="33"/>
    </row>
    <row r="4442" spans="1:14" x14ac:dyDescent="0.15">
      <c r="A4442" s="70"/>
      <c r="B4442" s="118"/>
      <c r="C4442" s="70"/>
      <c r="D4442" s="70"/>
      <c r="E4442" s="70"/>
      <c r="F4442" s="70"/>
      <c r="G4442" s="70"/>
      <c r="H4442" s="93"/>
      <c r="I4442" s="85"/>
      <c r="J4442" s="85"/>
      <c r="K4442" s="131"/>
      <c r="L4442" s="60"/>
      <c r="M4442" s="33"/>
      <c r="N4442" s="46"/>
    </row>
    <row r="4443" spans="1:14" x14ac:dyDescent="0.15">
      <c r="A4443" s="70"/>
      <c r="B4443" s="118"/>
      <c r="C4443" s="70"/>
      <c r="D4443" s="70"/>
      <c r="E4443" s="70"/>
      <c r="F4443" s="70"/>
      <c r="G4443" s="70"/>
      <c r="H4443" s="93"/>
      <c r="I4443" s="85"/>
      <c r="J4443" s="85"/>
      <c r="K4443" s="131"/>
      <c r="L4443" s="60"/>
      <c r="M4443" s="33"/>
    </row>
    <row r="4444" spans="1:14" x14ac:dyDescent="0.15">
      <c r="A4444" s="70"/>
      <c r="B4444" s="117"/>
      <c r="C4444" s="70"/>
      <c r="D4444" s="70"/>
      <c r="E4444" s="70"/>
      <c r="F4444" s="70"/>
      <c r="G4444" s="70"/>
      <c r="H4444" s="93"/>
      <c r="I4444" s="85"/>
      <c r="J4444" s="85"/>
      <c r="K4444" s="131"/>
      <c r="L4444" s="60"/>
      <c r="M4444" s="33"/>
    </row>
    <row r="4445" spans="1:14" x14ac:dyDescent="0.15">
      <c r="A4445" s="70"/>
      <c r="B4445" s="117"/>
      <c r="C4445" s="70"/>
      <c r="D4445" s="70"/>
      <c r="E4445" s="70"/>
      <c r="F4445" s="70"/>
      <c r="G4445" s="70"/>
      <c r="H4445" s="93"/>
      <c r="I4445" s="85"/>
      <c r="J4445" s="85"/>
      <c r="K4445" s="131"/>
      <c r="L4445" s="60"/>
      <c r="M4445" s="37"/>
    </row>
    <row r="4446" spans="1:14" ht="16" x14ac:dyDescent="0.2">
      <c r="A4446" s="70"/>
      <c r="B4446" s="117"/>
      <c r="C4446" s="70"/>
      <c r="D4446" s="70"/>
      <c r="E4446" s="70"/>
      <c r="F4446" s="70"/>
      <c r="G4446" s="70"/>
      <c r="H4446" s="93"/>
      <c r="I4446" s="85"/>
      <c r="J4446" s="85"/>
      <c r="K4446" s="131"/>
      <c r="L4446" s="60"/>
      <c r="M4446" s="47"/>
    </row>
    <row r="4447" spans="1:14" x14ac:dyDescent="0.15">
      <c r="A4447" s="70"/>
      <c r="B4447" s="117"/>
      <c r="C4447" s="70"/>
      <c r="D4447" s="70"/>
      <c r="E4447" s="73"/>
      <c r="F4447" s="70"/>
      <c r="G4447" s="70"/>
      <c r="H4447" s="93"/>
      <c r="I4447" s="85"/>
      <c r="J4447" s="85"/>
      <c r="K4447" s="131"/>
      <c r="L4447" s="60"/>
      <c r="M4447" s="33"/>
    </row>
    <row r="4448" spans="1:14" ht="16" x14ac:dyDescent="0.2">
      <c r="A4448" s="70"/>
      <c r="B4448" s="118"/>
      <c r="C4448" s="70"/>
      <c r="D4448" s="70"/>
      <c r="E4448" s="70"/>
      <c r="F4448" s="70"/>
      <c r="G4448" s="70"/>
      <c r="H4448" s="93"/>
      <c r="I4448" s="85"/>
      <c r="J4448" s="85"/>
      <c r="K4448" s="131"/>
      <c r="L4448" s="60"/>
      <c r="M4448" s="33"/>
      <c r="N4448" s="48"/>
    </row>
    <row r="4449" spans="1:28" x14ac:dyDescent="0.15">
      <c r="A4449" s="70"/>
      <c r="B4449" s="118"/>
      <c r="C4449" s="70"/>
      <c r="D4449" s="70"/>
      <c r="E4449" s="70"/>
      <c r="F4449" s="70"/>
      <c r="G4449" s="70"/>
      <c r="H4449" s="93"/>
      <c r="I4449" s="85"/>
      <c r="J4449" s="85"/>
      <c r="K4449" s="131"/>
      <c r="L4449" s="60"/>
      <c r="M4449" s="33"/>
    </row>
    <row r="4450" spans="1:28" s="2" customFormat="1" x14ac:dyDescent="0.15">
      <c r="A4450" s="70"/>
      <c r="B4450" s="117"/>
      <c r="C4450" s="70"/>
      <c r="D4450" s="70"/>
      <c r="E4450" s="70"/>
      <c r="F4450" s="70"/>
      <c r="G4450" s="70"/>
      <c r="H4450" s="93"/>
      <c r="I4450" s="85"/>
      <c r="J4450" s="85"/>
      <c r="K4450" s="131"/>
      <c r="L4450" s="60"/>
      <c r="M4450" s="33"/>
      <c r="N4450" s="37"/>
      <c r="O4450" s="37"/>
      <c r="P4450" s="37"/>
      <c r="Q4450" s="3"/>
      <c r="R4450" s="3"/>
      <c r="S4450" s="3"/>
      <c r="T4450" s="3"/>
      <c r="U4450" s="3"/>
      <c r="V4450" s="3"/>
      <c r="W4450" s="3"/>
      <c r="X4450" s="3"/>
      <c r="Y4450" s="3"/>
      <c r="Z4450" s="4"/>
      <c r="AA4450"/>
      <c r="AB4450"/>
    </row>
    <row r="4451" spans="1:28" s="2" customFormat="1" x14ac:dyDescent="0.15">
      <c r="A4451" s="70"/>
      <c r="B4451" s="117"/>
      <c r="C4451" s="70"/>
      <c r="D4451" s="70"/>
      <c r="E4451" s="70"/>
      <c r="F4451" s="70"/>
      <c r="G4451" s="70"/>
      <c r="H4451" s="93"/>
      <c r="I4451" s="85"/>
      <c r="J4451" s="85"/>
      <c r="K4451" s="131"/>
      <c r="L4451" s="60"/>
      <c r="M4451" s="33"/>
      <c r="N4451" s="37"/>
      <c r="O4451" s="37"/>
      <c r="P4451" s="37"/>
      <c r="Q4451" s="3"/>
      <c r="R4451" s="3"/>
      <c r="S4451" s="3"/>
      <c r="T4451" s="3"/>
      <c r="U4451" s="3"/>
      <c r="V4451" s="3"/>
      <c r="W4451" s="3"/>
      <c r="X4451" s="3"/>
      <c r="Y4451" s="3"/>
      <c r="Z4451" s="4"/>
      <c r="AA4451"/>
      <c r="AB4451"/>
    </row>
    <row r="4452" spans="1:28" s="2" customFormat="1" ht="16" x14ac:dyDescent="0.2">
      <c r="A4452" s="70"/>
      <c r="B4452" s="117"/>
      <c r="C4452" s="70"/>
      <c r="D4452" s="70"/>
      <c r="E4452" s="70"/>
      <c r="F4452" s="70"/>
      <c r="G4452" s="70"/>
      <c r="H4452" s="93"/>
      <c r="I4452" s="85"/>
      <c r="J4452" s="85"/>
      <c r="K4452" s="131"/>
      <c r="L4452" s="60"/>
      <c r="M4452" s="47"/>
      <c r="N4452" s="37"/>
      <c r="O4452" s="37"/>
      <c r="P4452" s="37"/>
      <c r="Q4452" s="3"/>
      <c r="R4452" s="3"/>
      <c r="S4452" s="3"/>
      <c r="T4452" s="3"/>
      <c r="U4452" s="3"/>
      <c r="V4452" s="3"/>
      <c r="W4452" s="3"/>
      <c r="X4452" s="3"/>
      <c r="Y4452" s="3"/>
      <c r="Z4452" s="4"/>
      <c r="AA4452"/>
      <c r="AB4452"/>
    </row>
    <row r="4453" spans="1:28" s="2" customFormat="1" x14ac:dyDescent="0.15">
      <c r="A4453" s="70"/>
      <c r="B4453" s="117"/>
      <c r="C4453" s="70"/>
      <c r="D4453" s="70"/>
      <c r="E4453" s="70"/>
      <c r="F4453" s="70"/>
      <c r="G4453" s="70"/>
      <c r="H4453" s="93"/>
      <c r="I4453" s="85"/>
      <c r="J4453" s="85"/>
      <c r="K4453" s="131"/>
      <c r="L4453" s="60"/>
      <c r="M4453" s="33"/>
      <c r="N4453" s="37"/>
      <c r="O4453" s="37"/>
      <c r="P4453" s="37"/>
      <c r="Q4453" s="3"/>
      <c r="R4453" s="3"/>
      <c r="S4453" s="3"/>
      <c r="T4453" s="3"/>
      <c r="U4453" s="3"/>
      <c r="V4453" s="3"/>
      <c r="W4453" s="3"/>
      <c r="X4453" s="3"/>
      <c r="Y4453" s="3"/>
      <c r="Z4453" s="4"/>
      <c r="AA4453"/>
      <c r="AB4453"/>
    </row>
    <row r="4454" spans="1:28" s="2" customFormat="1" ht="16" x14ac:dyDescent="0.2">
      <c r="A4454" s="70"/>
      <c r="B4454" s="117"/>
      <c r="C4454" s="70"/>
      <c r="D4454" s="70"/>
      <c r="E4454" s="70"/>
      <c r="F4454" s="70"/>
      <c r="G4454" s="70"/>
      <c r="H4454" s="93"/>
      <c r="I4454" s="85"/>
      <c r="J4454" s="85"/>
      <c r="K4454" s="131"/>
      <c r="L4454" s="60"/>
      <c r="M4454" s="47"/>
      <c r="N4454" s="37"/>
      <c r="O4454" s="37"/>
      <c r="P4454" s="37"/>
      <c r="Q4454" s="3"/>
      <c r="R4454" s="3"/>
      <c r="S4454" s="3"/>
      <c r="T4454" s="3"/>
      <c r="U4454" s="3"/>
      <c r="V4454" s="3"/>
      <c r="W4454" s="3"/>
      <c r="X4454" s="3"/>
      <c r="Y4454" s="3"/>
      <c r="Z4454" s="4"/>
      <c r="AA4454"/>
      <c r="AB4454"/>
    </row>
    <row r="4455" spans="1:28" s="2" customFormat="1" ht="16" x14ac:dyDescent="0.2">
      <c r="A4455" s="70"/>
      <c r="B4455" s="117"/>
      <c r="C4455" s="70"/>
      <c r="D4455" s="70"/>
      <c r="E4455" s="70"/>
      <c r="F4455" s="70"/>
      <c r="G4455" s="70"/>
      <c r="H4455" s="93"/>
      <c r="I4455" s="85"/>
      <c r="J4455" s="85"/>
      <c r="K4455" s="131"/>
      <c r="L4455" s="60"/>
      <c r="M4455" s="47"/>
      <c r="N4455" s="37"/>
      <c r="O4455" s="37"/>
      <c r="P4455" s="37"/>
      <c r="Q4455" s="3"/>
      <c r="R4455" s="3"/>
      <c r="S4455" s="3"/>
      <c r="T4455" s="3"/>
      <c r="U4455" s="3"/>
      <c r="V4455" s="3"/>
      <c r="W4455" s="3"/>
      <c r="X4455" s="3"/>
      <c r="Y4455" s="3"/>
      <c r="Z4455" s="4"/>
      <c r="AA4455"/>
      <c r="AB4455"/>
    </row>
    <row r="4456" spans="1:28" s="2" customFormat="1" x14ac:dyDescent="0.15">
      <c r="A4456" s="70"/>
      <c r="B4456" s="117"/>
      <c r="C4456" s="70"/>
      <c r="D4456" s="70"/>
      <c r="E4456" s="70"/>
      <c r="F4456" s="70"/>
      <c r="G4456" s="70"/>
      <c r="H4456" s="93"/>
      <c r="I4456" s="85"/>
      <c r="J4456" s="85"/>
      <c r="K4456" s="131"/>
      <c r="L4456" s="60"/>
      <c r="M4456" s="33"/>
      <c r="N4456" s="37"/>
      <c r="O4456" s="37"/>
      <c r="P4456" s="37"/>
      <c r="Q4456" s="3"/>
      <c r="R4456" s="3"/>
      <c r="S4456" s="3"/>
      <c r="T4456" s="3"/>
      <c r="U4456" s="3"/>
      <c r="V4456" s="3"/>
      <c r="W4456" s="3"/>
      <c r="X4456" s="3"/>
      <c r="Y4456" s="3"/>
      <c r="Z4456" s="4"/>
      <c r="AA4456"/>
      <c r="AB4456"/>
    </row>
    <row r="4457" spans="1:28" s="2" customFormat="1" ht="16" x14ac:dyDescent="0.2">
      <c r="A4457" s="70"/>
      <c r="B4457" s="117"/>
      <c r="C4457" s="73"/>
      <c r="D4457" s="73"/>
      <c r="E4457" s="70"/>
      <c r="F4457" s="73"/>
      <c r="G4457" s="73"/>
      <c r="H4457" s="108"/>
      <c r="I4457" s="85"/>
      <c r="J4457" s="85"/>
      <c r="K4457" s="131"/>
      <c r="L4457" s="60"/>
      <c r="M4457" s="47"/>
      <c r="N4457" s="37"/>
      <c r="O4457" s="37"/>
      <c r="P4457" s="37"/>
      <c r="Q4457" s="3"/>
      <c r="R4457" s="3"/>
      <c r="S4457" s="3"/>
      <c r="T4457" s="3"/>
      <c r="U4457" s="3"/>
      <c r="V4457" s="3"/>
      <c r="W4457" s="3"/>
      <c r="X4457" s="3"/>
      <c r="Y4457" s="3"/>
      <c r="Z4457" s="4"/>
      <c r="AA4457"/>
      <c r="AB4457"/>
    </row>
    <row r="4458" spans="1:28" s="2" customFormat="1" x14ac:dyDescent="0.15">
      <c r="A4458" s="62"/>
      <c r="B4458" s="119"/>
      <c r="C4458" s="70"/>
      <c r="D4458" s="70"/>
      <c r="E4458" s="70"/>
      <c r="F4458" s="70"/>
      <c r="G4458" s="70"/>
      <c r="H4458" s="93"/>
      <c r="I4458" s="85"/>
      <c r="J4458" s="85"/>
      <c r="K4458" s="131"/>
      <c r="L4458" s="60"/>
      <c r="M4458" s="33"/>
      <c r="N4458" s="37"/>
      <c r="O4458" s="37"/>
      <c r="P4458" s="37"/>
      <c r="Q4458" s="3"/>
      <c r="R4458" s="3"/>
      <c r="S4458" s="3"/>
      <c r="T4458" s="3"/>
      <c r="U4458" s="3"/>
      <c r="V4458" s="3"/>
      <c r="W4458" s="3"/>
      <c r="X4458" s="3"/>
      <c r="Y4458" s="3"/>
      <c r="Z4458" s="4"/>
      <c r="AA4458"/>
      <c r="AB4458"/>
    </row>
    <row r="4459" spans="1:28" s="2" customFormat="1" x14ac:dyDescent="0.15">
      <c r="A4459" s="70"/>
      <c r="B4459" s="118"/>
      <c r="C4459" s="70"/>
      <c r="D4459" s="70"/>
      <c r="E4459" s="70"/>
      <c r="F4459" s="70"/>
      <c r="G4459" s="70"/>
      <c r="H4459" s="93"/>
      <c r="I4459" s="85"/>
      <c r="J4459" s="85"/>
      <c r="K4459" s="131"/>
      <c r="L4459" s="60"/>
      <c r="M4459" s="33"/>
      <c r="N4459" s="37"/>
      <c r="O4459" s="37"/>
      <c r="P4459" s="37"/>
      <c r="Q4459" s="3"/>
      <c r="R4459" s="3"/>
      <c r="S4459" s="3"/>
      <c r="T4459" s="3"/>
      <c r="U4459" s="3"/>
      <c r="V4459" s="3"/>
      <c r="W4459" s="3"/>
      <c r="X4459" s="3"/>
      <c r="Y4459" s="3"/>
      <c r="Z4459" s="4"/>
      <c r="AA4459"/>
      <c r="AB4459"/>
    </row>
    <row r="4460" spans="1:28" s="2" customFormat="1" x14ac:dyDescent="0.15">
      <c r="A4460" s="70"/>
      <c r="B4460" s="118"/>
      <c r="C4460" s="70"/>
      <c r="D4460" s="70"/>
      <c r="E4460" s="70"/>
      <c r="F4460" s="70"/>
      <c r="G4460" s="70"/>
      <c r="H4460" s="93"/>
      <c r="I4460" s="85"/>
      <c r="J4460" s="85"/>
      <c r="K4460" s="131"/>
      <c r="L4460" s="60"/>
      <c r="M4460" s="33"/>
      <c r="N4460" s="37"/>
      <c r="O4460" s="37"/>
      <c r="P4460" s="37"/>
      <c r="Q4460" s="3"/>
      <c r="R4460" s="3"/>
      <c r="S4460" s="3"/>
      <c r="T4460" s="3"/>
      <c r="U4460" s="3"/>
      <c r="V4460" s="3"/>
      <c r="W4460" s="3"/>
      <c r="X4460" s="3"/>
      <c r="Y4460" s="3"/>
      <c r="Z4460" s="4"/>
      <c r="AA4460"/>
      <c r="AB4460"/>
    </row>
    <row r="4461" spans="1:28" s="2" customFormat="1" x14ac:dyDescent="0.15">
      <c r="A4461" s="62"/>
      <c r="B4461" s="119"/>
      <c r="C4461" s="70"/>
      <c r="D4461" s="70"/>
      <c r="E4461" s="70"/>
      <c r="F4461" s="70"/>
      <c r="G4461" s="70"/>
      <c r="H4461" s="93"/>
      <c r="I4461" s="85"/>
      <c r="J4461" s="85"/>
      <c r="K4461" s="131"/>
      <c r="L4461" s="60"/>
      <c r="M4461" s="33"/>
      <c r="N4461" s="37"/>
      <c r="O4461" s="37"/>
      <c r="P4461" s="37"/>
      <c r="Q4461" s="3"/>
      <c r="R4461" s="3"/>
      <c r="S4461" s="3"/>
      <c r="T4461" s="3"/>
      <c r="U4461" s="3"/>
      <c r="V4461" s="3"/>
      <c r="W4461" s="3"/>
      <c r="X4461" s="3"/>
      <c r="Y4461" s="3"/>
      <c r="Z4461" s="4"/>
      <c r="AA4461"/>
      <c r="AB4461"/>
    </row>
    <row r="4462" spans="1:28" s="2" customFormat="1" x14ac:dyDescent="0.15">
      <c r="A4462" s="62"/>
      <c r="B4462" s="119"/>
      <c r="C4462" s="70"/>
      <c r="D4462" s="70"/>
      <c r="E4462" s="70"/>
      <c r="F4462" s="70"/>
      <c r="G4462" s="70"/>
      <c r="H4462" s="93"/>
      <c r="I4462" s="85"/>
      <c r="J4462" s="85"/>
      <c r="K4462" s="131"/>
      <c r="L4462" s="60"/>
      <c r="M4462" s="33"/>
      <c r="N4462" s="37"/>
      <c r="O4462" s="37"/>
      <c r="P4462" s="37"/>
      <c r="Q4462" s="3"/>
      <c r="R4462" s="3"/>
      <c r="S4462" s="3"/>
      <c r="T4462" s="3"/>
      <c r="U4462" s="3"/>
      <c r="V4462" s="3"/>
      <c r="W4462" s="3"/>
      <c r="X4462" s="3"/>
      <c r="Y4462" s="3"/>
      <c r="Z4462" s="4"/>
      <c r="AA4462"/>
      <c r="AB4462"/>
    </row>
    <row r="4463" spans="1:28" s="2" customFormat="1" x14ac:dyDescent="0.15">
      <c r="A4463" s="70"/>
      <c r="B4463" s="118"/>
      <c r="C4463" s="70"/>
      <c r="D4463" s="70"/>
      <c r="E4463" s="70"/>
      <c r="F4463" s="70"/>
      <c r="G4463" s="70"/>
      <c r="H4463" s="93"/>
      <c r="I4463" s="85"/>
      <c r="J4463" s="85"/>
      <c r="K4463" s="131"/>
      <c r="L4463" s="60"/>
      <c r="M4463" s="33"/>
      <c r="N4463" s="37"/>
      <c r="O4463" s="37"/>
      <c r="P4463" s="37"/>
      <c r="Q4463" s="3"/>
      <c r="R4463" s="3"/>
      <c r="S4463" s="3"/>
      <c r="T4463" s="3"/>
      <c r="U4463" s="3"/>
      <c r="V4463" s="3"/>
      <c r="W4463" s="3"/>
      <c r="X4463" s="3"/>
      <c r="Y4463" s="3"/>
      <c r="Z4463" s="4"/>
      <c r="AA4463"/>
      <c r="AB4463"/>
    </row>
    <row r="4464" spans="1:28" s="2" customFormat="1" x14ac:dyDescent="0.15">
      <c r="A4464" s="70"/>
      <c r="B4464" s="118"/>
      <c r="C4464" s="70"/>
      <c r="D4464" s="70"/>
      <c r="E4464" s="70"/>
      <c r="F4464" s="70"/>
      <c r="G4464" s="70"/>
      <c r="H4464" s="93"/>
      <c r="I4464" s="85"/>
      <c r="J4464" s="85"/>
      <c r="K4464" s="131"/>
      <c r="L4464" s="60"/>
      <c r="M4464" s="37"/>
      <c r="N4464" s="37"/>
      <c r="O4464" s="37"/>
      <c r="P4464" s="37"/>
      <c r="Q4464" s="3"/>
      <c r="R4464" s="3"/>
      <c r="S4464" s="3"/>
      <c r="T4464" s="3"/>
      <c r="U4464" s="3"/>
      <c r="V4464" s="3"/>
      <c r="W4464" s="3"/>
      <c r="X4464" s="3"/>
      <c r="Y4464" s="3"/>
      <c r="Z4464" s="4"/>
      <c r="AA4464"/>
      <c r="AB4464"/>
    </row>
    <row r="4465" spans="1:28" s="2" customFormat="1" x14ac:dyDescent="0.15">
      <c r="A4465" s="70"/>
      <c r="B4465" s="118"/>
      <c r="C4465" s="70"/>
      <c r="D4465" s="70"/>
      <c r="E4465" s="70"/>
      <c r="F4465" s="70"/>
      <c r="G4465" s="70"/>
      <c r="H4465" s="93"/>
      <c r="I4465" s="85"/>
      <c r="J4465" s="85"/>
      <c r="K4465" s="131"/>
      <c r="L4465" s="60"/>
      <c r="M4465" s="37"/>
      <c r="N4465" s="37"/>
      <c r="O4465" s="37"/>
      <c r="P4465" s="37"/>
      <c r="Q4465" s="3"/>
      <c r="R4465" s="3"/>
      <c r="S4465" s="3"/>
      <c r="T4465" s="3"/>
      <c r="U4465" s="3"/>
      <c r="V4465" s="3"/>
      <c r="W4465" s="3"/>
      <c r="X4465" s="3"/>
      <c r="Y4465" s="3"/>
      <c r="Z4465" s="4"/>
      <c r="AA4465"/>
      <c r="AB4465"/>
    </row>
    <row r="4466" spans="1:28" s="2" customFormat="1" x14ac:dyDescent="0.15">
      <c r="A4466" s="70"/>
      <c r="B4466" s="118"/>
      <c r="C4466" s="70"/>
      <c r="D4466" s="70"/>
      <c r="E4466" s="70"/>
      <c r="F4466" s="70"/>
      <c r="G4466" s="70"/>
      <c r="H4466" s="93"/>
      <c r="I4466" s="85"/>
      <c r="J4466" s="85"/>
      <c r="K4466" s="142"/>
      <c r="L4466" s="60"/>
      <c r="M4466" s="37"/>
      <c r="N4466" s="37"/>
      <c r="O4466" s="37"/>
      <c r="P4466" s="37"/>
      <c r="Q4466" s="3"/>
      <c r="R4466" s="3"/>
      <c r="S4466" s="3"/>
      <c r="T4466" s="3"/>
      <c r="U4466" s="3"/>
      <c r="V4466" s="3"/>
      <c r="W4466" s="3"/>
      <c r="X4466" s="3"/>
      <c r="Y4466" s="3"/>
      <c r="Z4466" s="4"/>
      <c r="AA4466"/>
      <c r="AB4466"/>
    </row>
    <row r="4467" spans="1:28" s="2" customFormat="1" x14ac:dyDescent="0.15">
      <c r="A4467" s="70"/>
      <c r="B4467" s="118"/>
      <c r="C4467" s="70"/>
      <c r="D4467" s="70"/>
      <c r="E4467" s="70"/>
      <c r="F4467" s="70"/>
      <c r="G4467" s="70"/>
      <c r="H4467" s="93"/>
      <c r="I4467" s="85"/>
      <c r="J4467" s="85"/>
      <c r="K4467" s="142"/>
      <c r="L4467" s="60"/>
      <c r="M4467" s="37"/>
      <c r="N4467" s="37"/>
      <c r="O4467" s="37"/>
      <c r="P4467" s="37"/>
      <c r="Q4467" s="3"/>
      <c r="R4467" s="3"/>
      <c r="S4467" s="3"/>
      <c r="T4467" s="3"/>
      <c r="U4467" s="3"/>
      <c r="V4467" s="3"/>
      <c r="W4467" s="3"/>
      <c r="X4467" s="3"/>
      <c r="Y4467" s="3"/>
      <c r="Z4467" s="4"/>
      <c r="AA4467"/>
      <c r="AB4467"/>
    </row>
    <row r="4468" spans="1:28" s="2" customFormat="1" x14ac:dyDescent="0.15">
      <c r="A4468" s="70"/>
      <c r="B4468" s="117"/>
      <c r="C4468" s="70"/>
      <c r="D4468" s="70"/>
      <c r="E4468" s="70"/>
      <c r="F4468" s="70"/>
      <c r="G4468" s="70"/>
      <c r="H4468" s="93"/>
      <c r="I4468" s="85"/>
      <c r="J4468" s="85"/>
      <c r="K4468" s="131"/>
      <c r="L4468" s="60"/>
      <c r="M4468" s="33"/>
      <c r="N4468" s="37"/>
      <c r="O4468" s="37"/>
      <c r="P4468" s="37"/>
      <c r="Q4468" s="3"/>
      <c r="R4468" s="3"/>
      <c r="S4468" s="3"/>
      <c r="T4468" s="3"/>
      <c r="U4468" s="3"/>
      <c r="V4468" s="3"/>
      <c r="W4468" s="3"/>
      <c r="X4468" s="3"/>
      <c r="Y4468" s="3"/>
      <c r="Z4468" s="4"/>
      <c r="AA4468"/>
      <c r="AB4468"/>
    </row>
    <row r="4469" spans="1:28" s="2" customFormat="1" x14ac:dyDescent="0.15">
      <c r="A4469" s="70"/>
      <c r="B4469" s="117"/>
      <c r="C4469" s="70"/>
      <c r="D4469" s="70"/>
      <c r="E4469" s="70"/>
      <c r="F4469" s="70"/>
      <c r="G4469" s="70"/>
      <c r="H4469" s="93"/>
      <c r="I4469" s="85"/>
      <c r="J4469" s="85"/>
      <c r="K4469" s="131"/>
      <c r="L4469" s="60"/>
      <c r="M4469" s="33"/>
      <c r="N4469" s="37"/>
      <c r="O4469" s="37"/>
      <c r="P4469" s="37"/>
      <c r="Q4469" s="3"/>
      <c r="R4469" s="3"/>
      <c r="S4469" s="3"/>
      <c r="T4469" s="3"/>
      <c r="U4469" s="3"/>
      <c r="V4469" s="3"/>
      <c r="W4469" s="3"/>
      <c r="X4469" s="3"/>
      <c r="Y4469" s="3"/>
      <c r="Z4469" s="4"/>
      <c r="AA4469"/>
      <c r="AB4469"/>
    </row>
    <row r="4470" spans="1:28" s="2" customFormat="1" ht="16" x14ac:dyDescent="0.2">
      <c r="A4470" s="70"/>
      <c r="B4470" s="117"/>
      <c r="C4470" s="70"/>
      <c r="D4470" s="70"/>
      <c r="E4470" s="70"/>
      <c r="F4470" s="70"/>
      <c r="G4470" s="70"/>
      <c r="H4470" s="93"/>
      <c r="I4470" s="85"/>
      <c r="J4470" s="85"/>
      <c r="K4470" s="131"/>
      <c r="L4470" s="67"/>
      <c r="M4470" s="47"/>
      <c r="N4470" s="37"/>
      <c r="O4470" s="37"/>
      <c r="P4470" s="37"/>
      <c r="Q4470" s="3"/>
      <c r="R4470" s="3"/>
      <c r="S4470" s="3"/>
      <c r="T4470" s="3"/>
      <c r="U4470" s="3"/>
      <c r="V4470" s="3"/>
      <c r="W4470" s="3"/>
      <c r="X4470" s="3"/>
      <c r="Y4470" s="3"/>
      <c r="Z4470" s="4"/>
      <c r="AA4470"/>
      <c r="AB4470"/>
    </row>
    <row r="4471" spans="1:28" s="2" customFormat="1" x14ac:dyDescent="0.15">
      <c r="A4471" s="70"/>
      <c r="B4471" s="117"/>
      <c r="C4471" s="70"/>
      <c r="D4471" s="70"/>
      <c r="E4471" s="73"/>
      <c r="F4471" s="70"/>
      <c r="G4471" s="70"/>
      <c r="H4471" s="93"/>
      <c r="I4471" s="85"/>
      <c r="J4471" s="85"/>
      <c r="K4471" s="131"/>
      <c r="L4471" s="67"/>
      <c r="M4471" s="33"/>
      <c r="N4471" s="37"/>
      <c r="O4471" s="37"/>
      <c r="P4471" s="37"/>
      <c r="Q4471" s="3"/>
      <c r="R4471" s="3"/>
      <c r="S4471" s="3"/>
      <c r="T4471" s="3"/>
      <c r="U4471" s="3"/>
      <c r="V4471" s="3"/>
      <c r="W4471" s="3"/>
      <c r="X4471" s="3"/>
      <c r="Y4471" s="3"/>
      <c r="Z4471" s="4"/>
      <c r="AA4471"/>
      <c r="AB4471"/>
    </row>
    <row r="4472" spans="1:28" s="2" customFormat="1" x14ac:dyDescent="0.15">
      <c r="A4472" s="70"/>
      <c r="B4472" s="117"/>
      <c r="C4472" s="70"/>
      <c r="D4472" s="70"/>
      <c r="E4472" s="70"/>
      <c r="F4472" s="70"/>
      <c r="G4472" s="70"/>
      <c r="H4472" s="93"/>
      <c r="I4472" s="85"/>
      <c r="J4472" s="85"/>
      <c r="K4472" s="131"/>
      <c r="L4472" s="67"/>
      <c r="M4472" s="33"/>
      <c r="N4472" s="37"/>
      <c r="O4472" s="37"/>
      <c r="P4472" s="37"/>
      <c r="Q4472" s="3"/>
      <c r="R4472" s="3"/>
      <c r="S4472" s="3"/>
      <c r="T4472" s="3"/>
      <c r="U4472" s="3"/>
      <c r="V4472" s="3"/>
      <c r="W4472" s="3"/>
      <c r="X4472" s="3"/>
      <c r="Y4472" s="3"/>
      <c r="Z4472" s="4"/>
      <c r="AA4472"/>
      <c r="AB4472"/>
    </row>
    <row r="4473" spans="1:28" ht="16" x14ac:dyDescent="0.2">
      <c r="A4473" s="70"/>
      <c r="B4473" s="117"/>
      <c r="C4473" s="70"/>
      <c r="D4473" s="70"/>
      <c r="E4473" s="70"/>
      <c r="F4473" s="70"/>
      <c r="G4473" s="70"/>
      <c r="H4473" s="93"/>
      <c r="I4473" s="85"/>
      <c r="J4473" s="85"/>
      <c r="K4473" s="131"/>
      <c r="L4473" s="60"/>
      <c r="M4473" s="47"/>
    </row>
    <row r="4474" spans="1:28" x14ac:dyDescent="0.15">
      <c r="A4474" s="70"/>
      <c r="B4474" s="117"/>
      <c r="C4474" s="70"/>
      <c r="D4474" s="70"/>
      <c r="E4474" s="70"/>
      <c r="F4474" s="70"/>
      <c r="G4474" s="70"/>
      <c r="H4474" s="93"/>
      <c r="I4474" s="85"/>
      <c r="J4474" s="85"/>
      <c r="K4474" s="131"/>
      <c r="L4474" s="67"/>
      <c r="M4474" s="33"/>
    </row>
    <row r="4475" spans="1:28" x14ac:dyDescent="0.15">
      <c r="A4475" s="70"/>
      <c r="B4475" s="117"/>
      <c r="C4475" s="70"/>
      <c r="D4475" s="70"/>
      <c r="E4475" s="70"/>
      <c r="F4475" s="70"/>
      <c r="G4475" s="70"/>
      <c r="H4475" s="93"/>
      <c r="I4475" s="85"/>
      <c r="J4475" s="85"/>
      <c r="K4475" s="131"/>
      <c r="L4475" s="67"/>
      <c r="M4475" s="33"/>
    </row>
    <row r="4476" spans="1:28" ht="16" x14ac:dyDescent="0.2">
      <c r="A4476" s="70"/>
      <c r="B4476" s="117"/>
      <c r="C4476" s="70"/>
      <c r="D4476" s="70"/>
      <c r="E4476" s="70"/>
      <c r="F4476" s="70"/>
      <c r="G4476" s="70"/>
      <c r="H4476" s="93"/>
      <c r="I4476" s="85"/>
      <c r="J4476" s="85"/>
      <c r="K4476" s="131"/>
      <c r="L4476" s="67"/>
      <c r="M4476" s="47"/>
    </row>
    <row r="4477" spans="1:28" x14ac:dyDescent="0.15">
      <c r="A4477" s="70"/>
      <c r="B4477" s="118"/>
      <c r="C4477" s="73"/>
      <c r="D4477" s="73"/>
      <c r="E4477" s="73"/>
      <c r="F4477" s="73"/>
      <c r="G4477" s="73"/>
      <c r="H4477" s="108"/>
      <c r="I4477" s="85"/>
      <c r="J4477" s="95"/>
      <c r="K4477" s="131"/>
      <c r="L4477" s="60"/>
      <c r="M4477" s="33"/>
    </row>
    <row r="4478" spans="1:28" x14ac:dyDescent="0.15">
      <c r="A4478" s="70"/>
      <c r="B4478" s="118"/>
      <c r="C4478" s="70"/>
      <c r="D4478" s="70"/>
      <c r="E4478" s="70"/>
      <c r="F4478" s="70"/>
      <c r="G4478" s="70"/>
      <c r="H4478" s="93"/>
      <c r="I4478" s="85"/>
      <c r="J4478" s="85"/>
      <c r="K4478" s="131"/>
      <c r="L4478" s="60"/>
      <c r="M4478" s="33"/>
    </row>
    <row r="4479" spans="1:28" x14ac:dyDescent="0.15">
      <c r="A4479" s="70"/>
      <c r="B4479" s="118"/>
      <c r="C4479" s="73"/>
      <c r="D4479" s="73"/>
      <c r="E4479" s="73"/>
      <c r="F4479" s="73"/>
      <c r="G4479" s="73"/>
      <c r="H4479" s="108"/>
      <c r="I4479" s="85"/>
      <c r="J4479" s="95"/>
      <c r="K4479" s="131"/>
      <c r="L4479" s="60"/>
      <c r="M4479" s="33"/>
    </row>
    <row r="4480" spans="1:28" x14ac:dyDescent="0.15">
      <c r="A4480" s="70"/>
      <c r="B4480" s="118"/>
      <c r="C4480" s="73"/>
      <c r="D4480" s="73"/>
      <c r="E4480" s="73"/>
      <c r="F4480" s="73"/>
      <c r="G4480" s="73"/>
      <c r="H4480" s="108"/>
      <c r="I4480" s="85"/>
      <c r="J4480" s="95"/>
      <c r="K4480" s="131"/>
      <c r="L4480" s="60"/>
      <c r="M4480" s="33"/>
    </row>
    <row r="4481" spans="1:14" x14ac:dyDescent="0.15">
      <c r="A4481" s="70"/>
      <c r="B4481" s="117"/>
      <c r="C4481" s="70"/>
      <c r="D4481" s="70"/>
      <c r="E4481" s="70"/>
      <c r="F4481" s="70"/>
      <c r="G4481" s="70"/>
      <c r="H4481" s="93"/>
      <c r="I4481" s="85"/>
      <c r="J4481" s="85"/>
      <c r="K4481" s="131"/>
      <c r="L4481" s="60"/>
      <c r="M4481" s="33"/>
    </row>
    <row r="4482" spans="1:14" x14ac:dyDescent="0.15">
      <c r="A4482" s="70"/>
      <c r="B4482" s="117"/>
      <c r="C4482" s="70"/>
      <c r="D4482" s="70"/>
      <c r="E4482" s="70"/>
      <c r="F4482" s="70"/>
      <c r="G4482" s="70"/>
      <c r="H4482" s="93"/>
      <c r="I4482" s="85"/>
      <c r="J4482" s="85"/>
      <c r="K4482" s="131"/>
      <c r="L4482" s="60"/>
      <c r="M4482" s="33"/>
    </row>
    <row r="4483" spans="1:14" x14ac:dyDescent="0.15">
      <c r="A4483" s="70"/>
      <c r="B4483" s="118"/>
      <c r="C4483" s="70"/>
      <c r="D4483" s="70"/>
      <c r="E4483" s="70"/>
      <c r="F4483" s="70"/>
      <c r="G4483" s="70"/>
      <c r="H4483" s="93"/>
      <c r="I4483" s="85"/>
      <c r="J4483" s="85"/>
      <c r="K4483" s="131"/>
      <c r="L4483" s="60"/>
      <c r="M4483" s="33"/>
    </row>
    <row r="4484" spans="1:14" x14ac:dyDescent="0.15">
      <c r="A4484" s="70"/>
      <c r="B4484" s="117"/>
      <c r="C4484" s="70"/>
      <c r="D4484" s="70"/>
      <c r="E4484" s="70"/>
      <c r="F4484" s="70"/>
      <c r="G4484" s="70"/>
      <c r="H4484" s="93"/>
      <c r="I4484" s="85"/>
      <c r="J4484" s="85"/>
      <c r="K4484" s="131"/>
      <c r="L4484" s="60"/>
      <c r="M4484" s="33"/>
    </row>
    <row r="4485" spans="1:14" x14ac:dyDescent="0.15">
      <c r="A4485" s="70"/>
      <c r="B4485" s="117"/>
      <c r="C4485" s="73"/>
      <c r="D4485" s="73"/>
      <c r="E4485" s="73"/>
      <c r="F4485" s="73"/>
      <c r="G4485" s="73"/>
      <c r="H4485" s="108"/>
      <c r="I4485" s="85"/>
      <c r="J4485" s="85"/>
      <c r="K4485" s="131"/>
      <c r="L4485" s="60"/>
      <c r="M4485" s="33"/>
    </row>
    <row r="4486" spans="1:14" x14ac:dyDescent="0.15">
      <c r="A4486" s="70"/>
      <c r="B4486" s="117"/>
      <c r="C4486" s="73"/>
      <c r="D4486" s="73"/>
      <c r="E4486" s="73"/>
      <c r="F4486" s="73"/>
      <c r="G4486" s="73"/>
      <c r="H4486" s="108"/>
      <c r="I4486" s="85"/>
      <c r="J4486" s="85"/>
      <c r="K4486" s="131"/>
      <c r="L4486" s="60"/>
      <c r="M4486" s="33"/>
    </row>
    <row r="4487" spans="1:14" x14ac:dyDescent="0.15">
      <c r="A4487" s="70"/>
      <c r="B4487" s="117"/>
      <c r="C4487" s="70"/>
      <c r="D4487" s="70"/>
      <c r="E4487" s="70"/>
      <c r="F4487" s="70"/>
      <c r="G4487" s="70"/>
      <c r="H4487" s="93"/>
      <c r="I4487" s="85"/>
      <c r="J4487" s="85"/>
      <c r="K4487" s="131"/>
      <c r="L4487" s="60"/>
      <c r="M4487" s="37"/>
    </row>
    <row r="4488" spans="1:14" x14ac:dyDescent="0.15">
      <c r="A4488" s="70"/>
      <c r="B4488" s="117"/>
      <c r="C4488" s="70"/>
      <c r="D4488" s="70"/>
      <c r="E4488" s="70"/>
      <c r="F4488" s="70"/>
      <c r="G4488" s="70"/>
      <c r="H4488" s="93"/>
      <c r="I4488" s="85"/>
      <c r="J4488" s="85"/>
      <c r="K4488" s="131"/>
      <c r="L4488" s="60"/>
      <c r="M4488" s="37"/>
    </row>
    <row r="4489" spans="1:14" x14ac:dyDescent="0.15">
      <c r="A4489" s="70"/>
      <c r="B4489" s="117"/>
      <c r="C4489" s="70"/>
      <c r="D4489" s="70"/>
      <c r="E4489" s="70"/>
      <c r="F4489" s="70"/>
      <c r="G4489" s="70"/>
      <c r="H4489" s="93"/>
      <c r="I4489" s="85"/>
      <c r="J4489" s="85"/>
      <c r="K4489" s="131"/>
      <c r="L4489" s="60"/>
      <c r="M4489" s="33"/>
    </row>
    <row r="4490" spans="1:14" x14ac:dyDescent="0.15">
      <c r="A4490" s="70"/>
      <c r="B4490" s="117"/>
      <c r="C4490" s="70"/>
      <c r="D4490" s="70"/>
      <c r="E4490" s="70"/>
      <c r="F4490" s="70"/>
      <c r="G4490" s="70"/>
      <c r="H4490" s="93"/>
      <c r="I4490" s="85"/>
      <c r="J4490" s="85"/>
      <c r="K4490" s="131"/>
      <c r="L4490" s="60"/>
      <c r="M4490" s="32"/>
    </row>
    <row r="4491" spans="1:14" x14ac:dyDescent="0.15">
      <c r="A4491" s="70"/>
      <c r="B4491" s="117"/>
      <c r="C4491" s="70"/>
      <c r="D4491" s="70"/>
      <c r="E4491" s="70"/>
      <c r="F4491" s="70"/>
      <c r="G4491" s="70"/>
      <c r="H4491" s="93"/>
      <c r="I4491" s="85"/>
      <c r="J4491" s="85"/>
      <c r="K4491" s="131"/>
      <c r="L4491" s="60"/>
      <c r="M4491" s="33"/>
    </row>
    <row r="4492" spans="1:14" x14ac:dyDescent="0.15">
      <c r="A4492" s="70"/>
      <c r="B4492" s="117"/>
      <c r="C4492" s="70"/>
      <c r="D4492" s="70"/>
      <c r="E4492" s="70"/>
      <c r="F4492" s="70"/>
      <c r="G4492" s="70"/>
      <c r="H4492" s="93"/>
      <c r="I4492" s="85"/>
      <c r="J4492" s="85"/>
      <c r="K4492" s="131"/>
      <c r="L4492" s="60"/>
      <c r="M4492" s="53"/>
    </row>
    <row r="4493" spans="1:14" x14ac:dyDescent="0.15">
      <c r="A4493" s="70"/>
      <c r="B4493" s="117"/>
      <c r="C4493" s="70"/>
      <c r="D4493" s="70"/>
      <c r="E4493" s="70"/>
      <c r="F4493" s="70"/>
      <c r="G4493" s="70"/>
      <c r="H4493" s="93"/>
      <c r="I4493" s="85"/>
      <c r="J4493" s="85"/>
      <c r="K4493" s="131"/>
      <c r="L4493" s="60"/>
      <c r="M4493" s="33"/>
    </row>
    <row r="4494" spans="1:14" x14ac:dyDescent="0.15">
      <c r="A4494" s="70"/>
      <c r="B4494" s="117"/>
      <c r="C4494" s="70"/>
      <c r="D4494" s="70"/>
      <c r="E4494" s="70"/>
      <c r="F4494" s="70"/>
      <c r="G4494" s="70"/>
      <c r="H4494" s="93"/>
      <c r="I4494" s="85"/>
      <c r="J4494" s="85"/>
      <c r="K4494" s="131"/>
      <c r="L4494" s="60"/>
      <c r="M4494" s="33"/>
    </row>
    <row r="4495" spans="1:14" x14ac:dyDescent="0.15">
      <c r="A4495" s="70"/>
      <c r="B4495" s="117"/>
      <c r="C4495" s="70"/>
      <c r="D4495" s="70"/>
      <c r="E4495" s="70"/>
      <c r="F4495" s="70"/>
      <c r="G4495" s="70"/>
      <c r="H4495" s="93"/>
      <c r="I4495" s="85"/>
      <c r="J4495" s="85"/>
      <c r="K4495" s="131"/>
      <c r="L4495" s="60"/>
      <c r="M4495" s="37"/>
      <c r="N4495" s="32"/>
    </row>
    <row r="4496" spans="1:14" x14ac:dyDescent="0.15">
      <c r="A4496" s="70"/>
      <c r="B4496" s="117"/>
      <c r="C4496" s="70"/>
      <c r="D4496" s="70"/>
      <c r="E4496" s="70"/>
      <c r="F4496" s="70"/>
      <c r="G4496" s="70"/>
      <c r="H4496" s="93"/>
      <c r="I4496" s="85"/>
      <c r="J4496" s="85"/>
      <c r="K4496" s="131"/>
      <c r="L4496" s="60"/>
      <c r="M4496" s="37"/>
    </row>
    <row r="4497" spans="1:14" x14ac:dyDescent="0.15">
      <c r="A4497" s="62"/>
      <c r="B4497" s="117"/>
      <c r="C4497" s="62"/>
      <c r="D4497" s="62"/>
      <c r="E4497" s="62"/>
      <c r="F4497" s="62"/>
      <c r="G4497" s="62"/>
      <c r="H4497" s="97"/>
      <c r="I4497" s="85"/>
      <c r="J4497" s="98"/>
      <c r="K4497" s="141"/>
      <c r="L4497" s="67"/>
      <c r="M4497" s="35"/>
    </row>
    <row r="4498" spans="1:14" x14ac:dyDescent="0.15">
      <c r="A4498" s="70"/>
      <c r="B4498" s="117"/>
      <c r="C4498" s="70"/>
      <c r="D4498" s="70"/>
      <c r="E4498" s="73"/>
      <c r="F4498" s="70"/>
      <c r="G4498" s="70"/>
      <c r="H4498" s="93"/>
      <c r="I4498" s="85"/>
      <c r="J4498" s="85"/>
      <c r="K4498" s="131"/>
      <c r="L4498" s="60"/>
      <c r="M4498" s="33"/>
    </row>
    <row r="4499" spans="1:14" x14ac:dyDescent="0.15">
      <c r="A4499" s="70"/>
      <c r="B4499" s="117"/>
      <c r="C4499" s="70"/>
      <c r="D4499" s="70"/>
      <c r="E4499" s="70"/>
      <c r="F4499" s="70"/>
      <c r="G4499" s="70"/>
      <c r="H4499" s="93"/>
      <c r="I4499" s="85"/>
      <c r="J4499" s="85"/>
      <c r="K4499" s="131"/>
      <c r="L4499" s="60"/>
      <c r="M4499" s="33"/>
    </row>
    <row r="4500" spans="1:14" x14ac:dyDescent="0.15">
      <c r="A4500" s="70"/>
      <c r="B4500" s="117"/>
      <c r="C4500" s="70"/>
      <c r="D4500" s="70"/>
      <c r="E4500" s="70"/>
      <c r="F4500" s="70"/>
      <c r="G4500" s="70"/>
      <c r="H4500" s="93"/>
      <c r="I4500" s="85"/>
      <c r="J4500" s="85"/>
      <c r="K4500" s="131"/>
      <c r="L4500" s="67"/>
      <c r="M4500" s="33"/>
    </row>
    <row r="4501" spans="1:14" x14ac:dyDescent="0.15">
      <c r="A4501" s="70"/>
      <c r="B4501" s="117"/>
      <c r="C4501" s="70"/>
      <c r="D4501" s="70"/>
      <c r="E4501" s="70"/>
      <c r="F4501" s="70"/>
      <c r="G4501" s="70"/>
      <c r="H4501" s="93"/>
      <c r="I4501" s="85"/>
      <c r="J4501" s="85"/>
      <c r="K4501" s="131"/>
      <c r="L4501" s="60"/>
      <c r="M4501" s="37"/>
    </row>
    <row r="4502" spans="1:14" x14ac:dyDescent="0.15">
      <c r="A4502" s="70"/>
      <c r="B4502" s="117"/>
      <c r="C4502" s="70"/>
      <c r="D4502" s="70"/>
      <c r="E4502" s="70"/>
      <c r="F4502" s="70"/>
      <c r="G4502" s="70"/>
      <c r="H4502" s="93"/>
      <c r="I4502" s="85"/>
      <c r="J4502" s="85"/>
      <c r="K4502" s="131"/>
      <c r="L4502" s="60"/>
      <c r="M4502" s="33"/>
    </row>
    <row r="4503" spans="1:14" ht="16" x14ac:dyDescent="0.2">
      <c r="A4503" s="70"/>
      <c r="B4503" s="117"/>
      <c r="C4503" s="70"/>
      <c r="D4503" s="70"/>
      <c r="E4503" s="70"/>
      <c r="F4503" s="70"/>
      <c r="G4503" s="70"/>
      <c r="H4503" s="93"/>
      <c r="I4503" s="85"/>
      <c r="J4503" s="85"/>
      <c r="K4503" s="131"/>
      <c r="L4503" s="60"/>
      <c r="M4503" s="47"/>
    </row>
    <row r="4504" spans="1:14" x14ac:dyDescent="0.15">
      <c r="A4504" s="70"/>
      <c r="B4504" s="117"/>
      <c r="C4504" s="73"/>
      <c r="D4504" s="73"/>
      <c r="E4504" s="73"/>
      <c r="F4504" s="73"/>
      <c r="G4504" s="73"/>
      <c r="H4504" s="108"/>
      <c r="I4504" s="85"/>
      <c r="J4504" s="85"/>
      <c r="K4504" s="131"/>
      <c r="L4504" s="60"/>
      <c r="M4504" s="33"/>
    </row>
    <row r="4505" spans="1:14" x14ac:dyDescent="0.15">
      <c r="A4505" s="70"/>
      <c r="B4505" s="117"/>
      <c r="C4505" s="70"/>
      <c r="D4505" s="70"/>
      <c r="E4505" s="70"/>
      <c r="F4505" s="70"/>
      <c r="G4505" s="70"/>
      <c r="H4505" s="93"/>
      <c r="I4505" s="85"/>
      <c r="J4505" s="85"/>
      <c r="K4505" s="131"/>
      <c r="L4505" s="60"/>
      <c r="M4505" s="33"/>
    </row>
    <row r="4506" spans="1:14" ht="16" x14ac:dyDescent="0.2">
      <c r="A4506" s="70"/>
      <c r="B4506" s="117"/>
      <c r="C4506" s="70"/>
      <c r="D4506" s="70"/>
      <c r="E4506" s="70"/>
      <c r="F4506" s="70"/>
      <c r="G4506" s="70"/>
      <c r="H4506" s="93"/>
      <c r="I4506" s="85"/>
      <c r="J4506" s="85"/>
      <c r="K4506" s="131"/>
      <c r="L4506" s="60"/>
      <c r="M4506" s="47"/>
    </row>
    <row r="4507" spans="1:14" ht="16" x14ac:dyDescent="0.2">
      <c r="A4507" s="70"/>
      <c r="B4507" s="117"/>
      <c r="C4507" s="73"/>
      <c r="D4507" s="73"/>
      <c r="E4507" s="73"/>
      <c r="F4507" s="73"/>
      <c r="G4507" s="73"/>
      <c r="H4507" s="108"/>
      <c r="I4507" s="85"/>
      <c r="J4507" s="95"/>
      <c r="K4507" s="131"/>
      <c r="L4507" s="60"/>
      <c r="M4507" s="47"/>
      <c r="N4507" s="48"/>
    </row>
    <row r="4508" spans="1:14" ht="16" x14ac:dyDescent="0.2">
      <c r="A4508" s="70"/>
      <c r="B4508" s="117"/>
      <c r="C4508" s="70"/>
      <c r="D4508" s="70"/>
      <c r="E4508" s="70"/>
      <c r="F4508" s="70"/>
      <c r="G4508" s="70"/>
      <c r="H4508" s="93"/>
      <c r="I4508" s="85"/>
      <c r="J4508" s="85"/>
      <c r="K4508" s="131"/>
      <c r="L4508" s="60"/>
      <c r="M4508" s="47"/>
    </row>
    <row r="4509" spans="1:14" ht="16" x14ac:dyDescent="0.2">
      <c r="A4509" s="70"/>
      <c r="B4509" s="117"/>
      <c r="C4509" s="70"/>
      <c r="D4509" s="70"/>
      <c r="E4509" s="73"/>
      <c r="F4509" s="70"/>
      <c r="G4509" s="70"/>
      <c r="H4509" s="93"/>
      <c r="I4509" s="85"/>
      <c r="J4509" s="85"/>
      <c r="K4509" s="131"/>
      <c r="L4509" s="60"/>
      <c r="M4509" s="47"/>
    </row>
    <row r="4510" spans="1:14" ht="16" x14ac:dyDescent="0.2">
      <c r="A4510" s="70"/>
      <c r="B4510" s="117"/>
      <c r="C4510" s="70"/>
      <c r="D4510" s="70"/>
      <c r="E4510" s="73"/>
      <c r="F4510" s="70"/>
      <c r="G4510" s="70"/>
      <c r="H4510" s="93"/>
      <c r="I4510" s="85"/>
      <c r="J4510" s="85"/>
      <c r="K4510" s="131"/>
      <c r="L4510" s="60"/>
      <c r="M4510" s="47"/>
    </row>
    <row r="4511" spans="1:14" x14ac:dyDescent="0.15">
      <c r="A4511" s="70"/>
      <c r="B4511" s="117"/>
      <c r="C4511" s="70"/>
      <c r="D4511" s="70"/>
      <c r="E4511" s="70"/>
      <c r="F4511" s="70"/>
      <c r="G4511" s="70"/>
      <c r="H4511" s="93"/>
      <c r="I4511" s="85"/>
      <c r="J4511" s="85"/>
      <c r="K4511" s="131"/>
      <c r="L4511" s="60"/>
      <c r="M4511" s="33"/>
    </row>
    <row r="4512" spans="1:14" x14ac:dyDescent="0.15">
      <c r="A4512" s="70"/>
      <c r="B4512" s="117"/>
      <c r="C4512" s="70"/>
      <c r="D4512" s="70"/>
      <c r="E4512" s="70"/>
      <c r="F4512" s="70"/>
      <c r="G4512" s="70"/>
      <c r="H4512" s="93"/>
      <c r="I4512" s="85"/>
      <c r="J4512" s="85"/>
      <c r="K4512" s="131"/>
      <c r="L4512" s="60"/>
      <c r="M4512" s="37"/>
    </row>
    <row r="4513" spans="1:14" x14ac:dyDescent="0.15">
      <c r="A4513" s="70"/>
      <c r="B4513" s="117"/>
      <c r="C4513" s="70"/>
      <c r="D4513" s="70"/>
      <c r="E4513" s="70"/>
      <c r="F4513" s="70"/>
      <c r="G4513" s="70"/>
      <c r="H4513" s="93"/>
      <c r="I4513" s="85"/>
      <c r="J4513" s="85"/>
      <c r="K4513" s="131"/>
      <c r="L4513" s="60"/>
      <c r="M4513" s="37"/>
    </row>
    <row r="4514" spans="1:14" x14ac:dyDescent="0.15">
      <c r="A4514" s="70"/>
      <c r="B4514" s="117"/>
      <c r="C4514" s="70"/>
      <c r="D4514" s="70"/>
      <c r="E4514" s="70"/>
      <c r="F4514" s="70"/>
      <c r="G4514" s="70"/>
      <c r="H4514" s="93"/>
      <c r="I4514" s="85"/>
      <c r="J4514" s="85"/>
      <c r="K4514" s="131"/>
      <c r="L4514" s="60"/>
      <c r="M4514" s="37"/>
    </row>
    <row r="4515" spans="1:14" x14ac:dyDescent="0.15">
      <c r="A4515" s="70"/>
      <c r="B4515" s="117"/>
      <c r="C4515" s="70"/>
      <c r="D4515" s="70"/>
      <c r="E4515" s="70"/>
      <c r="F4515" s="70"/>
      <c r="G4515" s="70"/>
      <c r="H4515" s="93"/>
      <c r="I4515" s="85"/>
      <c r="J4515" s="85"/>
      <c r="K4515" s="142"/>
      <c r="L4515" s="60"/>
      <c r="M4515" s="37"/>
    </row>
    <row r="4516" spans="1:14" x14ac:dyDescent="0.15">
      <c r="A4516" s="70"/>
      <c r="B4516" s="117"/>
      <c r="C4516" s="70"/>
      <c r="D4516" s="70"/>
      <c r="E4516" s="70"/>
      <c r="F4516" s="70"/>
      <c r="G4516" s="70"/>
      <c r="H4516" s="93"/>
      <c r="I4516" s="85"/>
      <c r="J4516" s="85"/>
      <c r="K4516" s="131"/>
      <c r="L4516" s="60"/>
      <c r="M4516" s="37"/>
    </row>
    <row r="4517" spans="1:14" x14ac:dyDescent="0.15">
      <c r="A4517" s="70"/>
      <c r="B4517" s="117"/>
      <c r="C4517" s="70"/>
      <c r="D4517" s="70"/>
      <c r="E4517" s="70"/>
      <c r="F4517" s="70"/>
      <c r="G4517" s="70"/>
      <c r="H4517" s="93"/>
      <c r="I4517" s="85"/>
      <c r="J4517" s="85"/>
      <c r="K4517" s="131"/>
      <c r="L4517" s="60"/>
      <c r="M4517" s="37"/>
    </row>
    <row r="4518" spans="1:14" x14ac:dyDescent="0.15">
      <c r="A4518" s="70"/>
      <c r="B4518" s="117"/>
      <c r="C4518" s="70"/>
      <c r="D4518" s="70"/>
      <c r="E4518" s="70"/>
      <c r="F4518" s="70"/>
      <c r="G4518" s="70"/>
      <c r="H4518" s="93"/>
      <c r="I4518" s="85"/>
      <c r="J4518" s="85"/>
      <c r="K4518" s="142"/>
      <c r="L4518" s="60"/>
      <c r="M4518" s="37"/>
    </row>
    <row r="4519" spans="1:14" x14ac:dyDescent="0.15">
      <c r="A4519" s="70"/>
      <c r="B4519" s="117"/>
      <c r="C4519" s="70"/>
      <c r="D4519" s="70"/>
      <c r="E4519" s="70"/>
      <c r="F4519" s="70"/>
      <c r="G4519" s="70"/>
      <c r="H4519" s="93"/>
      <c r="I4519" s="85"/>
      <c r="J4519" s="85"/>
      <c r="K4519" s="142"/>
      <c r="L4519" s="60"/>
      <c r="M4519" s="37"/>
    </row>
    <row r="4520" spans="1:14" x14ac:dyDescent="0.15">
      <c r="A4520" s="83"/>
      <c r="B4520" s="117"/>
      <c r="C4520" s="70"/>
      <c r="D4520" s="70"/>
      <c r="E4520" s="70"/>
      <c r="F4520" s="70"/>
      <c r="G4520" s="70"/>
      <c r="H4520" s="93"/>
      <c r="I4520" s="85"/>
      <c r="J4520" s="85"/>
      <c r="K4520" s="131"/>
      <c r="L4520" s="70"/>
      <c r="M4520" s="33"/>
    </row>
    <row r="4521" spans="1:14" x14ac:dyDescent="0.15">
      <c r="A4521" s="70"/>
      <c r="B4521" s="117"/>
      <c r="C4521" s="70"/>
      <c r="D4521" s="70"/>
      <c r="E4521" s="70"/>
      <c r="F4521" s="70"/>
      <c r="G4521" s="70"/>
      <c r="H4521" s="93"/>
      <c r="I4521" s="85"/>
      <c r="J4521" s="85"/>
      <c r="K4521" s="131"/>
      <c r="L4521" s="60"/>
      <c r="M4521" s="33"/>
    </row>
    <row r="4522" spans="1:14" x14ac:dyDescent="0.15">
      <c r="A4522" s="70"/>
      <c r="B4522" s="118"/>
      <c r="C4522" s="70"/>
      <c r="D4522" s="70"/>
      <c r="E4522" s="70"/>
      <c r="F4522" s="70"/>
      <c r="G4522" s="70"/>
      <c r="H4522" s="93"/>
      <c r="I4522" s="85"/>
      <c r="J4522" s="85"/>
      <c r="K4522" s="131"/>
      <c r="L4522" s="60"/>
      <c r="M4522" s="33"/>
    </row>
    <row r="4523" spans="1:14" x14ac:dyDescent="0.15">
      <c r="A4523" s="70"/>
      <c r="B4523" s="117"/>
      <c r="C4523" s="70"/>
      <c r="D4523" s="70"/>
      <c r="E4523" s="70"/>
      <c r="F4523" s="70"/>
      <c r="G4523" s="70"/>
      <c r="H4523" s="93"/>
      <c r="I4523" s="85"/>
      <c r="J4523" s="85"/>
      <c r="K4523" s="142"/>
      <c r="L4523" s="60"/>
      <c r="M4523" s="37"/>
    </row>
    <row r="4524" spans="1:14" x14ac:dyDescent="0.15">
      <c r="A4524" s="70"/>
      <c r="B4524" s="118"/>
      <c r="C4524" s="70"/>
      <c r="D4524" s="70"/>
      <c r="E4524" s="70"/>
      <c r="F4524" s="70"/>
      <c r="G4524" s="70"/>
      <c r="H4524" s="93"/>
      <c r="I4524" s="85"/>
      <c r="J4524" s="85"/>
      <c r="K4524" s="131"/>
      <c r="L4524" s="67"/>
      <c r="M4524" s="33"/>
    </row>
    <row r="4525" spans="1:14" x14ac:dyDescent="0.15">
      <c r="A4525" s="70"/>
      <c r="B4525" s="118"/>
      <c r="C4525" s="70"/>
      <c r="D4525" s="70"/>
      <c r="E4525" s="73"/>
      <c r="F4525" s="70"/>
      <c r="G4525" s="70"/>
      <c r="H4525" s="93"/>
      <c r="I4525" s="85"/>
      <c r="J4525" s="85"/>
      <c r="K4525" s="131"/>
      <c r="L4525" s="60"/>
      <c r="M4525" s="33"/>
    </row>
    <row r="4526" spans="1:14" x14ac:dyDescent="0.15">
      <c r="A4526" s="70"/>
      <c r="B4526" s="118"/>
      <c r="C4526" s="73"/>
      <c r="D4526" s="73"/>
      <c r="E4526" s="73"/>
      <c r="F4526" s="73"/>
      <c r="G4526" s="73"/>
      <c r="H4526" s="108"/>
      <c r="I4526" s="85"/>
      <c r="J4526" s="85"/>
      <c r="K4526" s="131"/>
      <c r="L4526" s="60"/>
      <c r="M4526" s="33"/>
    </row>
    <row r="4527" spans="1:14" x14ac:dyDescent="0.15">
      <c r="A4527" s="70"/>
      <c r="B4527" s="117"/>
      <c r="C4527" s="70"/>
      <c r="D4527" s="70"/>
      <c r="E4527" s="70"/>
      <c r="F4527" s="70"/>
      <c r="G4527" s="70"/>
      <c r="H4527" s="93"/>
      <c r="I4527" s="85"/>
      <c r="J4527" s="85"/>
      <c r="K4527" s="131"/>
      <c r="L4527" s="60"/>
      <c r="M4527" s="33"/>
    </row>
    <row r="4528" spans="1:14" x14ac:dyDescent="0.15">
      <c r="A4528" s="70"/>
      <c r="B4528" s="117"/>
      <c r="C4528" s="70"/>
      <c r="D4528" s="70"/>
      <c r="E4528" s="70"/>
      <c r="F4528" s="70"/>
      <c r="G4528" s="70"/>
      <c r="H4528" s="93"/>
      <c r="I4528" s="103"/>
      <c r="J4528" s="85"/>
      <c r="K4528" s="131"/>
      <c r="L4528" s="60"/>
      <c r="M4528" s="37"/>
      <c r="N4528" s="32"/>
    </row>
    <row r="4529" spans="1:18" x14ac:dyDescent="0.15">
      <c r="A4529" s="70"/>
      <c r="B4529" s="117"/>
      <c r="C4529" s="70"/>
      <c r="D4529" s="70"/>
      <c r="E4529" s="70"/>
      <c r="F4529" s="70"/>
      <c r="G4529" s="70"/>
      <c r="H4529" s="93"/>
      <c r="I4529" s="103"/>
      <c r="J4529" s="85"/>
      <c r="K4529" s="131"/>
      <c r="L4529" s="60"/>
      <c r="N4529" s="32"/>
    </row>
    <row r="4530" spans="1:18" x14ac:dyDescent="0.15">
      <c r="A4530" s="70"/>
      <c r="B4530" s="117"/>
      <c r="C4530" s="70"/>
      <c r="D4530" s="70"/>
      <c r="E4530" s="73"/>
      <c r="F4530" s="70"/>
      <c r="G4530" s="70"/>
      <c r="H4530" s="93"/>
      <c r="I4530" s="85"/>
      <c r="J4530" s="85"/>
      <c r="K4530" s="131"/>
      <c r="L4530" s="60"/>
      <c r="M4530" s="33"/>
    </row>
    <row r="4531" spans="1:18" x14ac:dyDescent="0.15">
      <c r="A4531" s="70"/>
      <c r="B4531" s="117"/>
      <c r="C4531" s="70"/>
      <c r="D4531" s="70"/>
      <c r="E4531" s="73"/>
      <c r="F4531" s="70"/>
      <c r="G4531" s="70"/>
      <c r="H4531" s="93"/>
      <c r="I4531" s="103"/>
      <c r="J4531" s="85"/>
      <c r="K4531" s="131"/>
      <c r="L4531" s="60"/>
      <c r="N4531" s="32"/>
    </row>
    <row r="4532" spans="1:18" x14ac:dyDescent="0.15">
      <c r="A4532" s="70"/>
      <c r="B4532" s="117"/>
      <c r="C4532" s="70"/>
      <c r="D4532" s="70"/>
      <c r="E4532" s="70"/>
      <c r="F4532" s="70"/>
      <c r="G4532" s="70"/>
      <c r="H4532" s="93"/>
      <c r="I4532" s="85"/>
      <c r="J4532" s="85"/>
      <c r="K4532" s="131"/>
      <c r="L4532" s="60"/>
      <c r="M4532" s="37"/>
    </row>
    <row r="4533" spans="1:18" x14ac:dyDescent="0.15">
      <c r="A4533" s="70"/>
      <c r="B4533" s="117"/>
      <c r="C4533" s="70"/>
      <c r="D4533" s="70"/>
      <c r="E4533" s="70"/>
      <c r="F4533" s="70"/>
      <c r="G4533" s="70"/>
      <c r="H4533" s="93"/>
      <c r="I4533" s="85"/>
      <c r="J4533" s="85"/>
      <c r="K4533" s="131"/>
      <c r="L4533" s="60"/>
      <c r="M4533" s="37"/>
    </row>
    <row r="4534" spans="1:18" x14ac:dyDescent="0.15">
      <c r="A4534" s="70"/>
      <c r="B4534" s="117"/>
      <c r="C4534" s="70"/>
      <c r="D4534" s="70"/>
      <c r="E4534" s="70"/>
      <c r="F4534" s="70"/>
      <c r="G4534" s="70"/>
      <c r="H4534" s="93"/>
      <c r="I4534" s="85"/>
      <c r="J4534" s="85"/>
      <c r="K4534" s="131"/>
      <c r="L4534" s="60"/>
      <c r="M4534" s="37"/>
    </row>
    <row r="4535" spans="1:18" x14ac:dyDescent="0.15">
      <c r="A4535" s="70"/>
      <c r="B4535" s="117"/>
      <c r="C4535" s="70"/>
      <c r="D4535" s="70"/>
      <c r="E4535" s="70"/>
      <c r="F4535" s="70"/>
      <c r="G4535" s="70"/>
      <c r="H4535" s="93"/>
      <c r="I4535" s="85"/>
      <c r="J4535" s="85"/>
      <c r="K4535" s="131"/>
      <c r="L4535" s="60"/>
    </row>
    <row r="4536" spans="1:18" x14ac:dyDescent="0.15">
      <c r="A4536" s="70"/>
      <c r="B4536" s="117"/>
      <c r="C4536" s="70"/>
      <c r="D4536" s="70"/>
      <c r="E4536" s="70"/>
      <c r="F4536" s="70"/>
      <c r="G4536" s="70"/>
      <c r="H4536" s="93"/>
      <c r="I4536" s="85"/>
      <c r="J4536" s="85"/>
      <c r="K4536" s="135"/>
      <c r="L4536" s="60"/>
      <c r="M4536" s="37"/>
    </row>
    <row r="4537" spans="1:18" x14ac:dyDescent="0.15">
      <c r="A4537" s="70"/>
      <c r="B4537" s="117"/>
      <c r="C4537" s="70"/>
      <c r="D4537" s="70"/>
      <c r="E4537" s="70"/>
      <c r="F4537" s="70"/>
      <c r="G4537" s="70"/>
      <c r="H4537" s="93"/>
      <c r="I4537" s="85"/>
      <c r="J4537" s="85"/>
      <c r="K4537" s="131"/>
      <c r="L4537" s="60"/>
      <c r="M4537" s="33"/>
      <c r="Q4537" s="6"/>
      <c r="R4537" s="6"/>
    </row>
    <row r="4538" spans="1:18" x14ac:dyDescent="0.15">
      <c r="A4538" s="70"/>
      <c r="B4538" s="118"/>
      <c r="C4538" s="70"/>
      <c r="D4538" s="70"/>
      <c r="E4538" s="70"/>
      <c r="F4538" s="70"/>
      <c r="G4538" s="70"/>
      <c r="H4538" s="93"/>
      <c r="I4538" s="85"/>
      <c r="J4538" s="85"/>
      <c r="K4538" s="131"/>
      <c r="L4538" s="60"/>
      <c r="M4538" s="33"/>
      <c r="Q4538" s="6"/>
      <c r="R4538" s="6"/>
    </row>
    <row r="4539" spans="1:18" x14ac:dyDescent="0.15">
      <c r="A4539" s="70"/>
      <c r="B4539" s="117"/>
      <c r="C4539" s="70"/>
      <c r="D4539" s="70"/>
      <c r="E4539" s="70"/>
      <c r="F4539" s="70"/>
      <c r="G4539" s="70"/>
      <c r="H4539" s="93"/>
      <c r="I4539" s="85"/>
      <c r="J4539" s="85"/>
      <c r="K4539" s="131"/>
      <c r="L4539" s="60"/>
      <c r="M4539" s="33"/>
      <c r="Q4539" s="6"/>
      <c r="R4539" s="6"/>
    </row>
    <row r="4540" spans="1:18" ht="16" x14ac:dyDescent="0.2">
      <c r="A4540" s="70"/>
      <c r="B4540" s="117"/>
      <c r="C4540" s="70"/>
      <c r="D4540" s="70"/>
      <c r="E4540" s="70"/>
      <c r="F4540" s="70"/>
      <c r="G4540" s="70"/>
      <c r="H4540" s="93"/>
      <c r="I4540" s="85"/>
      <c r="J4540" s="85"/>
      <c r="K4540" s="131"/>
      <c r="L4540" s="60"/>
      <c r="M4540" s="33"/>
      <c r="N4540" s="48"/>
      <c r="Q4540" s="6"/>
      <c r="R4540" s="6"/>
    </row>
    <row r="4541" spans="1:18" x14ac:dyDescent="0.15">
      <c r="A4541" s="70"/>
      <c r="B4541" s="117"/>
      <c r="C4541" s="70"/>
      <c r="D4541" s="70"/>
      <c r="E4541" s="70"/>
      <c r="F4541" s="70"/>
      <c r="G4541" s="70"/>
      <c r="H4541" s="93"/>
      <c r="I4541" s="85"/>
      <c r="J4541" s="85"/>
      <c r="K4541" s="131"/>
      <c r="L4541" s="60"/>
      <c r="M4541" s="33"/>
      <c r="Q4541"/>
      <c r="R4541"/>
    </row>
    <row r="4542" spans="1:18" x14ac:dyDescent="0.15">
      <c r="A4542" s="70"/>
      <c r="B4542" s="117"/>
      <c r="C4542" s="70"/>
      <c r="D4542" s="70"/>
      <c r="E4542" s="70"/>
      <c r="F4542" s="70"/>
      <c r="G4542" s="70"/>
      <c r="H4542" s="93"/>
      <c r="I4542" s="85"/>
      <c r="J4542" s="85"/>
      <c r="K4542" s="131"/>
      <c r="L4542" s="70"/>
      <c r="M4542" s="33"/>
      <c r="Q4542"/>
      <c r="R4542"/>
    </row>
    <row r="4543" spans="1:18" x14ac:dyDescent="0.15">
      <c r="A4543" s="70"/>
      <c r="B4543" s="117"/>
      <c r="C4543" s="70"/>
      <c r="D4543" s="70"/>
      <c r="E4543" s="70"/>
      <c r="F4543" s="70"/>
      <c r="G4543" s="70"/>
      <c r="H4543" s="93"/>
      <c r="I4543" s="85"/>
      <c r="J4543" s="85"/>
      <c r="K4543" s="131"/>
      <c r="L4543" s="60"/>
      <c r="M4543" s="33"/>
      <c r="Q4543"/>
      <c r="R4543"/>
    </row>
    <row r="4544" spans="1:18" x14ac:dyDescent="0.15">
      <c r="A4544" s="70"/>
      <c r="B4544" s="117"/>
      <c r="C4544" s="73"/>
      <c r="D4544" s="73"/>
      <c r="E4544" s="73"/>
      <c r="F4544" s="73"/>
      <c r="G4544" s="73"/>
      <c r="H4544" s="108"/>
      <c r="I4544" s="103"/>
      <c r="J4544" s="95"/>
      <c r="K4544" s="131"/>
      <c r="L4544" s="60"/>
      <c r="M4544" s="37"/>
      <c r="Q4544"/>
      <c r="R4544"/>
    </row>
    <row r="4545" spans="1:18" x14ac:dyDescent="0.15">
      <c r="A4545" s="70"/>
      <c r="B4545" s="117"/>
      <c r="C4545" s="70"/>
      <c r="D4545" s="70"/>
      <c r="E4545" s="70"/>
      <c r="F4545" s="70"/>
      <c r="G4545" s="70"/>
      <c r="H4545" s="93"/>
      <c r="I4545" s="85"/>
      <c r="J4545" s="85"/>
      <c r="K4545" s="131"/>
      <c r="L4545" s="60"/>
      <c r="M4545" s="37"/>
      <c r="Q4545"/>
      <c r="R4545"/>
    </row>
    <row r="4546" spans="1:18" x14ac:dyDescent="0.15">
      <c r="A4546" s="70"/>
      <c r="B4546" s="117"/>
      <c r="C4546" s="70"/>
      <c r="D4546" s="70"/>
      <c r="E4546" s="70"/>
      <c r="F4546" s="70"/>
      <c r="G4546" s="70"/>
      <c r="H4546" s="93"/>
      <c r="I4546" s="85"/>
      <c r="J4546" s="85"/>
      <c r="K4546" s="131"/>
      <c r="L4546" s="60"/>
      <c r="M4546" s="37"/>
      <c r="N4546" s="32"/>
      <c r="Q4546"/>
      <c r="R4546"/>
    </row>
    <row r="4547" spans="1:18" x14ac:dyDescent="0.15">
      <c r="A4547" s="70"/>
      <c r="B4547" s="117"/>
      <c r="C4547" s="70"/>
      <c r="D4547" s="70"/>
      <c r="E4547" s="70"/>
      <c r="F4547" s="70"/>
      <c r="G4547" s="70"/>
      <c r="H4547" s="93"/>
      <c r="I4547" s="85"/>
      <c r="J4547" s="85"/>
      <c r="K4547" s="131"/>
      <c r="L4547" s="60"/>
      <c r="M4547" s="33"/>
      <c r="Q4547"/>
      <c r="R4547"/>
    </row>
    <row r="4548" spans="1:18" x14ac:dyDescent="0.15">
      <c r="A4548" s="70"/>
      <c r="B4548" s="117"/>
      <c r="C4548" s="70"/>
      <c r="D4548" s="70"/>
      <c r="E4548" s="70"/>
      <c r="F4548" s="70"/>
      <c r="G4548" s="70"/>
      <c r="H4548" s="93"/>
      <c r="I4548" s="85"/>
      <c r="J4548" s="85"/>
      <c r="K4548" s="131"/>
      <c r="L4548" s="60"/>
      <c r="M4548" s="37"/>
      <c r="Q4548"/>
      <c r="R4548"/>
    </row>
    <row r="4549" spans="1:18" x14ac:dyDescent="0.15">
      <c r="A4549" s="70"/>
      <c r="B4549" s="117"/>
      <c r="C4549" s="70"/>
      <c r="D4549" s="70"/>
      <c r="E4549" s="70"/>
      <c r="F4549" s="70"/>
      <c r="G4549" s="70"/>
      <c r="H4549" s="93"/>
      <c r="I4549" s="85"/>
      <c r="J4549" s="85"/>
      <c r="K4549" s="131"/>
      <c r="L4549" s="70"/>
      <c r="M4549" s="37"/>
    </row>
    <row r="4550" spans="1:18" x14ac:dyDescent="0.15">
      <c r="A4550" s="70"/>
      <c r="B4550" s="117"/>
      <c r="C4550" s="70"/>
      <c r="D4550" s="70"/>
      <c r="E4550" s="70"/>
      <c r="F4550" s="70"/>
      <c r="G4550" s="70"/>
      <c r="H4550" s="93"/>
      <c r="I4550" s="85"/>
      <c r="J4550" s="85"/>
      <c r="K4550" s="142"/>
      <c r="L4550" s="70"/>
      <c r="M4550" s="37"/>
    </row>
    <row r="4551" spans="1:18" x14ac:dyDescent="0.15">
      <c r="A4551" s="70"/>
      <c r="B4551" s="117"/>
      <c r="C4551" s="73"/>
      <c r="D4551" s="73"/>
      <c r="E4551" s="73"/>
      <c r="F4551" s="73"/>
      <c r="G4551" s="73"/>
      <c r="H4551" s="108"/>
      <c r="I4551" s="103"/>
      <c r="J4551" s="95"/>
      <c r="K4551" s="131"/>
      <c r="L4551" s="60"/>
      <c r="M4551" s="37"/>
    </row>
    <row r="4552" spans="1:18" x14ac:dyDescent="0.15">
      <c r="A4552" s="70"/>
      <c r="B4552" s="117"/>
      <c r="C4552" s="70"/>
      <c r="D4552" s="70"/>
      <c r="E4552" s="70"/>
      <c r="F4552" s="70"/>
      <c r="G4552" s="70"/>
      <c r="H4552" s="93"/>
      <c r="I4552" s="85"/>
      <c r="J4552" s="85"/>
      <c r="K4552" s="131"/>
      <c r="L4552" s="60"/>
      <c r="M4552" s="37"/>
    </row>
    <row r="4553" spans="1:18" x14ac:dyDescent="0.15">
      <c r="A4553" s="70"/>
      <c r="B4553" s="117"/>
      <c r="C4553" s="70"/>
      <c r="D4553" s="70"/>
      <c r="E4553" s="70"/>
      <c r="F4553" s="70"/>
      <c r="G4553" s="70"/>
      <c r="H4553" s="93"/>
      <c r="I4553" s="85"/>
      <c r="J4553" s="85"/>
      <c r="K4553" s="131"/>
      <c r="L4553" s="60"/>
      <c r="M4553" s="37"/>
    </row>
    <row r="4554" spans="1:18" x14ac:dyDescent="0.15">
      <c r="A4554" s="70"/>
      <c r="B4554" s="117"/>
      <c r="C4554" s="70"/>
      <c r="D4554" s="70"/>
      <c r="E4554" s="70"/>
      <c r="F4554" s="70"/>
      <c r="G4554" s="70"/>
      <c r="H4554" s="93"/>
      <c r="I4554" s="85"/>
      <c r="J4554" s="85"/>
      <c r="K4554" s="131"/>
      <c r="L4554" s="60"/>
      <c r="M4554" s="37"/>
    </row>
    <row r="4555" spans="1:18" x14ac:dyDescent="0.15">
      <c r="A4555" s="70"/>
      <c r="B4555" s="117"/>
      <c r="C4555" s="70"/>
      <c r="D4555" s="70"/>
      <c r="E4555" s="70"/>
      <c r="F4555" s="70"/>
      <c r="G4555" s="70"/>
      <c r="H4555" s="93"/>
      <c r="I4555" s="85"/>
      <c r="J4555" s="85"/>
      <c r="K4555" s="131"/>
      <c r="L4555" s="60"/>
      <c r="M4555" s="37"/>
    </row>
    <row r="4556" spans="1:18" x14ac:dyDescent="0.15">
      <c r="A4556" s="70"/>
      <c r="B4556" s="117"/>
      <c r="C4556" s="70"/>
      <c r="D4556" s="70"/>
      <c r="E4556" s="70"/>
      <c r="F4556" s="70"/>
      <c r="G4556" s="70"/>
      <c r="H4556" s="93"/>
      <c r="I4556" s="85"/>
      <c r="J4556" s="85"/>
      <c r="K4556" s="131"/>
      <c r="L4556" s="60"/>
      <c r="M4556" s="37"/>
    </row>
    <row r="4557" spans="1:18" x14ac:dyDescent="0.15">
      <c r="A4557" s="70"/>
      <c r="B4557" s="117"/>
      <c r="C4557" s="70"/>
      <c r="D4557" s="70"/>
      <c r="E4557" s="70"/>
      <c r="F4557" s="70"/>
      <c r="G4557" s="70"/>
      <c r="H4557" s="93"/>
      <c r="I4557" s="85"/>
      <c r="J4557" s="85"/>
      <c r="K4557" s="131"/>
      <c r="L4557" s="60"/>
      <c r="M4557" s="33"/>
    </row>
    <row r="4558" spans="1:18" x14ac:dyDescent="0.15">
      <c r="A4558" s="70"/>
      <c r="B4558" s="117"/>
      <c r="C4558" s="70"/>
      <c r="D4558" s="70"/>
      <c r="E4558" s="70"/>
      <c r="F4558" s="70"/>
      <c r="G4558" s="70"/>
      <c r="H4558" s="93"/>
      <c r="I4558" s="85"/>
      <c r="J4558" s="85"/>
      <c r="K4558" s="131"/>
      <c r="L4558" s="60"/>
      <c r="M4558" s="33"/>
    </row>
    <row r="4559" spans="1:18" x14ac:dyDescent="0.15">
      <c r="A4559" s="70"/>
      <c r="B4559" s="117"/>
      <c r="C4559" s="70"/>
      <c r="D4559" s="70"/>
      <c r="E4559" s="70"/>
      <c r="F4559" s="70"/>
      <c r="G4559" s="70"/>
      <c r="H4559" s="93"/>
      <c r="I4559" s="85"/>
      <c r="J4559" s="85"/>
      <c r="K4559" s="131"/>
      <c r="L4559" s="60"/>
      <c r="M4559" s="33"/>
    </row>
    <row r="4560" spans="1:18" x14ac:dyDescent="0.15">
      <c r="A4560" s="70"/>
      <c r="B4560" s="117"/>
      <c r="C4560" s="70"/>
      <c r="D4560" s="70"/>
      <c r="E4560" s="73"/>
      <c r="F4560" s="70"/>
      <c r="G4560" s="70"/>
      <c r="H4560" s="93"/>
      <c r="I4560" s="85"/>
      <c r="J4560" s="85"/>
      <c r="K4560" s="131"/>
      <c r="L4560" s="60"/>
      <c r="M4560" s="33"/>
    </row>
    <row r="4561" spans="1:18" x14ac:dyDescent="0.15">
      <c r="A4561" s="70"/>
      <c r="B4561" s="118"/>
      <c r="C4561" s="70"/>
      <c r="D4561" s="70"/>
      <c r="E4561" s="70"/>
      <c r="F4561" s="70"/>
      <c r="G4561" s="70"/>
      <c r="H4561" s="93"/>
      <c r="I4561" s="85"/>
      <c r="J4561" s="85"/>
      <c r="K4561" s="131"/>
      <c r="L4561" s="60"/>
      <c r="M4561" s="33"/>
    </row>
    <row r="4562" spans="1:18" x14ac:dyDescent="0.15">
      <c r="A4562" s="70"/>
      <c r="B4562" s="117"/>
      <c r="C4562" s="70"/>
      <c r="D4562" s="70"/>
      <c r="E4562" s="70"/>
      <c r="F4562" s="70"/>
      <c r="G4562" s="70"/>
      <c r="H4562" s="93"/>
      <c r="I4562" s="85"/>
      <c r="J4562" s="85"/>
      <c r="K4562" s="131"/>
      <c r="L4562" s="60"/>
      <c r="M4562" s="33"/>
    </row>
    <row r="4563" spans="1:18" x14ac:dyDescent="0.15">
      <c r="A4563" s="70"/>
      <c r="B4563" s="117"/>
      <c r="C4563" s="73"/>
      <c r="D4563" s="73"/>
      <c r="E4563" s="73"/>
      <c r="F4563" s="73"/>
      <c r="G4563" s="73"/>
      <c r="H4563" s="108"/>
      <c r="I4563" s="85"/>
      <c r="J4563" s="85"/>
      <c r="K4563" s="134"/>
      <c r="L4563" s="60"/>
      <c r="M4563" s="33"/>
    </row>
    <row r="4564" spans="1:18" x14ac:dyDescent="0.15">
      <c r="A4564" s="70"/>
      <c r="B4564" s="117"/>
      <c r="C4564" s="70"/>
      <c r="D4564" s="70"/>
      <c r="E4564" s="70"/>
      <c r="F4564" s="70"/>
      <c r="G4564" s="70"/>
      <c r="H4564" s="93"/>
      <c r="I4564" s="85"/>
      <c r="J4564" s="85"/>
      <c r="K4564" s="131"/>
      <c r="L4564" s="60"/>
      <c r="M4564" s="33"/>
    </row>
    <row r="4565" spans="1:18" x14ac:dyDescent="0.15">
      <c r="A4565" s="70"/>
      <c r="B4565" s="117"/>
      <c r="C4565" s="70"/>
      <c r="D4565" s="70"/>
      <c r="E4565" s="70"/>
      <c r="F4565" s="70"/>
      <c r="G4565" s="70"/>
      <c r="H4565" s="93"/>
      <c r="I4565" s="85"/>
      <c r="J4565" s="85"/>
      <c r="K4565" s="131"/>
      <c r="L4565" s="60"/>
      <c r="M4565" s="33"/>
    </row>
    <row r="4566" spans="1:18" x14ac:dyDescent="0.15">
      <c r="A4566" s="70"/>
      <c r="B4566" s="117"/>
      <c r="C4566" s="70"/>
      <c r="D4566" s="70"/>
      <c r="E4566" s="70"/>
      <c r="F4566" s="70"/>
      <c r="G4566" s="70"/>
      <c r="H4566" s="93"/>
      <c r="I4566" s="85"/>
      <c r="J4566" s="85"/>
      <c r="K4566" s="131"/>
      <c r="L4566" s="60"/>
      <c r="M4566" s="33"/>
    </row>
    <row r="4567" spans="1:18" x14ac:dyDescent="0.15">
      <c r="A4567" s="70"/>
      <c r="B4567" s="117"/>
      <c r="C4567" s="70"/>
      <c r="D4567" s="70"/>
      <c r="E4567" s="70"/>
      <c r="F4567" s="70"/>
      <c r="G4567" s="70"/>
      <c r="H4567" s="93"/>
      <c r="I4567" s="85"/>
      <c r="J4567" s="85"/>
      <c r="K4567" s="131"/>
      <c r="L4567" s="60"/>
      <c r="M4567" s="33"/>
    </row>
    <row r="4568" spans="1:18" x14ac:dyDescent="0.15">
      <c r="A4568" s="70"/>
      <c r="B4568" s="117"/>
      <c r="C4568" s="70"/>
      <c r="D4568" s="70"/>
      <c r="E4568" s="73"/>
      <c r="F4568" s="70"/>
      <c r="G4568" s="70"/>
      <c r="H4568" s="93"/>
      <c r="I4568" s="85"/>
      <c r="J4568" s="85"/>
      <c r="K4568" s="131"/>
      <c r="L4568" s="60"/>
      <c r="M4568" s="33"/>
    </row>
    <row r="4569" spans="1:18" x14ac:dyDescent="0.15">
      <c r="A4569" s="70"/>
      <c r="B4569" s="117"/>
      <c r="C4569" s="70"/>
      <c r="D4569" s="70"/>
      <c r="E4569" s="70"/>
      <c r="F4569" s="70"/>
      <c r="G4569" s="70"/>
      <c r="H4569" s="93"/>
      <c r="I4569" s="85"/>
      <c r="J4569" s="85"/>
      <c r="K4569" s="131"/>
      <c r="L4569" s="70"/>
      <c r="M4569" s="33"/>
    </row>
    <row r="4570" spans="1:18" x14ac:dyDescent="0.15">
      <c r="A4570" s="70"/>
      <c r="B4570" s="117"/>
      <c r="C4570" s="70"/>
      <c r="D4570" s="70"/>
      <c r="E4570" s="73"/>
      <c r="F4570" s="70"/>
      <c r="G4570" s="70"/>
      <c r="H4570" s="93"/>
      <c r="I4570" s="85"/>
      <c r="J4570" s="85"/>
      <c r="K4570" s="131"/>
      <c r="L4570" s="60"/>
      <c r="M4570" s="33"/>
    </row>
    <row r="4571" spans="1:18" x14ac:dyDescent="0.15">
      <c r="A4571" s="70"/>
      <c r="B4571" s="117"/>
      <c r="C4571" s="70"/>
      <c r="D4571" s="70"/>
      <c r="E4571" s="73"/>
      <c r="F4571" s="70"/>
      <c r="G4571" s="70"/>
      <c r="H4571" s="93"/>
      <c r="I4571" s="85"/>
      <c r="J4571" s="85"/>
      <c r="K4571" s="131"/>
      <c r="L4571" s="60"/>
      <c r="M4571" s="33"/>
      <c r="Q4571" s="6"/>
      <c r="R4571" s="6"/>
    </row>
    <row r="4572" spans="1:18" x14ac:dyDescent="0.15">
      <c r="A4572" s="70"/>
      <c r="B4572" s="117"/>
      <c r="C4572" s="70"/>
      <c r="D4572" s="70"/>
      <c r="E4572" s="70"/>
      <c r="F4572" s="70"/>
      <c r="G4572" s="70"/>
      <c r="H4572" s="93"/>
      <c r="I4572" s="85"/>
      <c r="J4572" s="85"/>
      <c r="K4572" s="131"/>
      <c r="L4572" s="60"/>
      <c r="M4572" s="33"/>
      <c r="Q4572" s="6"/>
      <c r="R4572" s="6"/>
    </row>
    <row r="4573" spans="1:18" x14ac:dyDescent="0.15">
      <c r="A4573" s="83"/>
      <c r="B4573" s="117"/>
      <c r="C4573" s="70"/>
      <c r="D4573" s="70"/>
      <c r="E4573" s="70"/>
      <c r="F4573" s="70"/>
      <c r="G4573" s="70"/>
      <c r="H4573" s="93"/>
      <c r="I4573" s="85"/>
      <c r="J4573" s="85"/>
      <c r="K4573" s="131"/>
      <c r="L4573" s="60"/>
      <c r="M4573" s="33"/>
      <c r="Q4573" s="6"/>
      <c r="R4573" s="6"/>
    </row>
    <row r="4574" spans="1:18" x14ac:dyDescent="0.15">
      <c r="A4574" s="70"/>
      <c r="B4574" s="117"/>
      <c r="C4574" s="70"/>
      <c r="D4574" s="70"/>
      <c r="E4574" s="70"/>
      <c r="F4574" s="70"/>
      <c r="G4574" s="70"/>
      <c r="H4574" s="93"/>
      <c r="I4574" s="85"/>
      <c r="J4574" s="85"/>
      <c r="K4574" s="131"/>
      <c r="L4574" s="60"/>
      <c r="M4574" s="33"/>
      <c r="Q4574" s="6"/>
      <c r="R4574" s="6"/>
    </row>
    <row r="4575" spans="1:18" x14ac:dyDescent="0.15">
      <c r="A4575" s="70"/>
      <c r="B4575" s="117"/>
      <c r="C4575" s="70"/>
      <c r="D4575" s="70"/>
      <c r="E4575" s="70"/>
      <c r="F4575" s="70"/>
      <c r="G4575" s="70"/>
      <c r="H4575" s="93"/>
      <c r="I4575" s="85"/>
      <c r="J4575" s="85"/>
      <c r="K4575" s="131"/>
      <c r="L4575" s="60"/>
      <c r="M4575" s="37"/>
      <c r="Q4575" s="6"/>
      <c r="R4575" s="6"/>
    </row>
    <row r="4576" spans="1:18" x14ac:dyDescent="0.15">
      <c r="A4576" s="70"/>
      <c r="B4576" s="117"/>
      <c r="C4576" s="70"/>
      <c r="D4576" s="70"/>
      <c r="E4576" s="70"/>
      <c r="F4576" s="70"/>
      <c r="G4576" s="70"/>
      <c r="H4576" s="93"/>
      <c r="I4576" s="85"/>
      <c r="J4576" s="85"/>
      <c r="K4576" s="131"/>
      <c r="L4576" s="60"/>
      <c r="M4576" s="33"/>
      <c r="Q4576" s="6"/>
      <c r="R4576" s="6"/>
    </row>
    <row r="4577" spans="1:18" x14ac:dyDescent="0.15">
      <c r="A4577" s="70"/>
      <c r="B4577" s="117"/>
      <c r="C4577" s="70"/>
      <c r="D4577" s="70"/>
      <c r="E4577" s="70"/>
      <c r="F4577" s="70"/>
      <c r="G4577" s="70"/>
      <c r="H4577" s="93"/>
      <c r="I4577" s="103"/>
      <c r="J4577" s="85"/>
      <c r="K4577" s="131"/>
      <c r="L4577" s="60"/>
      <c r="M4577" s="37"/>
      <c r="Q4577" s="6"/>
      <c r="R4577" s="6"/>
    </row>
    <row r="4578" spans="1:18" x14ac:dyDescent="0.15">
      <c r="A4578" s="70"/>
      <c r="B4578" s="118"/>
      <c r="C4578" s="70"/>
      <c r="D4578" s="70"/>
      <c r="E4578" s="70"/>
      <c r="F4578" s="70"/>
      <c r="G4578" s="70"/>
      <c r="H4578" s="93"/>
      <c r="I4578" s="85"/>
      <c r="J4578" s="85"/>
      <c r="K4578" s="131"/>
      <c r="L4578" s="60"/>
      <c r="M4578" s="33"/>
      <c r="Q4578" s="6"/>
      <c r="R4578" s="6"/>
    </row>
    <row r="4579" spans="1:18" x14ac:dyDescent="0.15">
      <c r="A4579" s="62"/>
      <c r="B4579" s="117"/>
      <c r="C4579" s="70"/>
      <c r="D4579" s="70"/>
      <c r="E4579" s="70"/>
      <c r="F4579" s="70"/>
      <c r="G4579" s="70"/>
      <c r="H4579" s="93"/>
      <c r="I4579" s="85"/>
      <c r="J4579" s="85"/>
      <c r="K4579" s="131"/>
      <c r="L4579" s="60"/>
      <c r="M4579" s="37"/>
      <c r="Q4579" s="6"/>
      <c r="R4579" s="6"/>
    </row>
    <row r="4580" spans="1:18" ht="16" x14ac:dyDescent="0.2">
      <c r="A4580" s="70"/>
      <c r="B4580" s="118"/>
      <c r="C4580" s="73"/>
      <c r="D4580" s="73"/>
      <c r="E4580" s="73"/>
      <c r="F4580" s="73"/>
      <c r="G4580" s="73"/>
      <c r="H4580" s="108"/>
      <c r="I4580" s="85"/>
      <c r="J4580" s="85"/>
      <c r="K4580" s="134"/>
      <c r="L4580" s="67"/>
      <c r="M4580" s="47"/>
      <c r="Q4580" s="6"/>
      <c r="R4580" s="6"/>
    </row>
    <row r="4581" spans="1:18" ht="16" x14ac:dyDescent="0.2">
      <c r="A4581" s="62"/>
      <c r="B4581" s="117"/>
      <c r="C4581" s="70"/>
      <c r="D4581" s="70"/>
      <c r="E4581" s="70"/>
      <c r="F4581" s="70"/>
      <c r="G4581" s="70"/>
      <c r="H4581" s="93"/>
      <c r="I4581" s="85"/>
      <c r="J4581" s="85"/>
      <c r="K4581" s="131"/>
      <c r="L4581" s="60"/>
      <c r="M4581" s="48"/>
      <c r="Q4581" s="6"/>
      <c r="R4581" s="6"/>
    </row>
    <row r="4582" spans="1:18" x14ac:dyDescent="0.15">
      <c r="A4582" s="62"/>
      <c r="B4582" s="117"/>
      <c r="C4582" s="61"/>
      <c r="D4582" s="61"/>
      <c r="E4582" s="61"/>
      <c r="F4582" s="61"/>
      <c r="G4582" s="61"/>
      <c r="H4582" s="115"/>
      <c r="I4582" s="85"/>
      <c r="J4582" s="103"/>
      <c r="K4582" s="131"/>
      <c r="L4582" s="67"/>
      <c r="M4582" s="35"/>
      <c r="Q4582" s="6"/>
      <c r="R4582" s="6"/>
    </row>
    <row r="4583" spans="1:18" x14ac:dyDescent="0.15">
      <c r="A4583" s="70"/>
      <c r="B4583" s="117"/>
      <c r="C4583" s="70"/>
      <c r="D4583" s="70"/>
      <c r="E4583" s="70"/>
      <c r="F4583" s="70"/>
      <c r="G4583" s="70"/>
      <c r="H4583" s="93"/>
      <c r="I4583" s="85"/>
      <c r="J4583" s="85"/>
      <c r="K4583" s="131"/>
      <c r="L4583" s="60"/>
      <c r="M4583" s="33"/>
      <c r="N4583" s="33"/>
    </row>
    <row r="4584" spans="1:18" ht="16" x14ac:dyDescent="0.2">
      <c r="A4584" s="62"/>
      <c r="B4584" s="117"/>
      <c r="C4584" s="70"/>
      <c r="D4584" s="70"/>
      <c r="E4584" s="70"/>
      <c r="F4584" s="70"/>
      <c r="G4584" s="70"/>
      <c r="H4584" s="93"/>
      <c r="I4584" s="85"/>
      <c r="J4584" s="85"/>
      <c r="K4584" s="131"/>
      <c r="L4584" s="60"/>
      <c r="M4584" s="48"/>
      <c r="N4584" s="48"/>
    </row>
    <row r="4585" spans="1:18" x14ac:dyDescent="0.15">
      <c r="A4585" s="70"/>
      <c r="B4585" s="117"/>
      <c r="C4585" s="70"/>
      <c r="D4585" s="70"/>
      <c r="E4585" s="70"/>
      <c r="F4585" s="70"/>
      <c r="G4585" s="70"/>
      <c r="H4585" s="93"/>
      <c r="I4585" s="85"/>
      <c r="J4585" s="85"/>
      <c r="K4585" s="131"/>
      <c r="L4585" s="60"/>
      <c r="M4585" s="37"/>
    </row>
    <row r="4586" spans="1:18" x14ac:dyDescent="0.15">
      <c r="A4586" s="62"/>
      <c r="B4586" s="119"/>
      <c r="C4586" s="70"/>
      <c r="D4586" s="70"/>
      <c r="E4586" s="70"/>
      <c r="F4586" s="70"/>
      <c r="G4586" s="70"/>
      <c r="H4586" s="93"/>
      <c r="I4586" s="85"/>
      <c r="J4586" s="85"/>
      <c r="K4586" s="131"/>
      <c r="L4586" s="60"/>
      <c r="M4586" s="33"/>
    </row>
    <row r="4587" spans="1:18" x14ac:dyDescent="0.15">
      <c r="A4587" s="70"/>
      <c r="B4587" s="118"/>
      <c r="C4587" s="70"/>
      <c r="D4587" s="70"/>
      <c r="E4587" s="70"/>
      <c r="F4587" s="70"/>
      <c r="G4587" s="70"/>
      <c r="H4587" s="93"/>
      <c r="I4587" s="85"/>
      <c r="J4587" s="85"/>
      <c r="K4587" s="131"/>
      <c r="L4587" s="60"/>
      <c r="M4587" s="33"/>
    </row>
    <row r="4588" spans="1:18" x14ac:dyDescent="0.15">
      <c r="A4588" s="70"/>
      <c r="B4588" s="117"/>
      <c r="C4588" s="70"/>
      <c r="D4588" s="70"/>
      <c r="E4588" s="70"/>
      <c r="F4588" s="70"/>
      <c r="G4588" s="70"/>
      <c r="H4588" s="93"/>
      <c r="I4588" s="85"/>
      <c r="J4588" s="103"/>
      <c r="K4588" s="131"/>
      <c r="L4588" s="60"/>
      <c r="M4588" s="37"/>
    </row>
    <row r="4589" spans="1:18" x14ac:dyDescent="0.15">
      <c r="A4589" s="70"/>
      <c r="B4589" s="117"/>
      <c r="C4589" s="70"/>
      <c r="D4589" s="70"/>
      <c r="E4589" s="70"/>
      <c r="F4589" s="70"/>
      <c r="G4589" s="70"/>
      <c r="H4589" s="93"/>
      <c r="I4589" s="85"/>
      <c r="J4589" s="85"/>
      <c r="K4589" s="131"/>
      <c r="L4589" s="60"/>
      <c r="M4589" s="37"/>
    </row>
    <row r="4590" spans="1:18" x14ac:dyDescent="0.15">
      <c r="A4590" s="70"/>
      <c r="B4590" s="117"/>
      <c r="C4590" s="70"/>
      <c r="D4590" s="70"/>
      <c r="E4590" s="70"/>
      <c r="F4590" s="70"/>
      <c r="G4590" s="70"/>
      <c r="H4590" s="93"/>
      <c r="I4590" s="85"/>
      <c r="J4590" s="85"/>
      <c r="K4590" s="131"/>
      <c r="L4590" s="60"/>
      <c r="M4590" s="33"/>
    </row>
    <row r="4591" spans="1:18" x14ac:dyDescent="0.15">
      <c r="A4591" s="70"/>
      <c r="B4591" s="117"/>
      <c r="C4591" s="70"/>
      <c r="D4591" s="70"/>
      <c r="E4591" s="70"/>
      <c r="F4591" s="70"/>
      <c r="G4591" s="70"/>
      <c r="H4591" s="93"/>
      <c r="I4591" s="85"/>
      <c r="J4591" s="85"/>
      <c r="K4591" s="131"/>
      <c r="L4591" s="60"/>
      <c r="M4591" s="37"/>
    </row>
    <row r="4592" spans="1:18" ht="16" x14ac:dyDescent="0.2">
      <c r="A4592" s="70"/>
      <c r="B4592" s="118"/>
      <c r="C4592" s="70"/>
      <c r="D4592" s="70"/>
      <c r="E4592" s="73"/>
      <c r="F4592" s="70"/>
      <c r="G4592" s="70"/>
      <c r="H4592" s="93"/>
      <c r="I4592" s="85"/>
      <c r="J4592" s="85"/>
      <c r="K4592" s="131"/>
      <c r="L4592" s="67"/>
      <c r="M4592" s="47"/>
    </row>
    <row r="4593" spans="1:14" x14ac:dyDescent="0.15">
      <c r="A4593" s="70"/>
      <c r="B4593" s="118"/>
      <c r="C4593" s="70"/>
      <c r="D4593" s="70"/>
      <c r="E4593" s="70"/>
      <c r="F4593" s="70"/>
      <c r="G4593" s="70"/>
      <c r="H4593" s="93"/>
      <c r="I4593" s="85"/>
      <c r="J4593" s="85"/>
      <c r="K4593" s="131"/>
      <c r="L4593" s="60"/>
      <c r="M4593" s="33"/>
    </row>
    <row r="4594" spans="1:14" x14ac:dyDescent="0.15">
      <c r="A4594" s="70"/>
      <c r="B4594" s="117"/>
      <c r="C4594" s="70"/>
      <c r="D4594" s="70"/>
      <c r="E4594" s="70"/>
      <c r="F4594" s="70"/>
      <c r="G4594" s="70"/>
      <c r="H4594" s="93"/>
      <c r="I4594" s="85"/>
      <c r="J4594" s="85"/>
      <c r="K4594" s="131"/>
      <c r="L4594" s="60"/>
      <c r="M4594" s="37"/>
    </row>
    <row r="4595" spans="1:14" x14ac:dyDescent="0.15">
      <c r="A4595" s="70"/>
      <c r="B4595" s="117"/>
      <c r="C4595" s="70"/>
      <c r="D4595" s="70"/>
      <c r="E4595" s="70"/>
      <c r="F4595" s="70"/>
      <c r="G4595" s="70"/>
      <c r="H4595" s="93"/>
      <c r="I4595" s="85"/>
      <c r="J4595" s="85"/>
      <c r="K4595" s="131"/>
      <c r="L4595" s="60"/>
      <c r="M4595" s="37"/>
    </row>
    <row r="4596" spans="1:14" x14ac:dyDescent="0.15">
      <c r="A4596" s="62"/>
      <c r="B4596" s="119"/>
      <c r="C4596" s="70"/>
      <c r="D4596" s="70"/>
      <c r="E4596" s="70"/>
      <c r="F4596" s="70"/>
      <c r="G4596" s="70"/>
      <c r="H4596" s="93"/>
      <c r="I4596" s="85"/>
      <c r="J4596" s="85"/>
      <c r="K4596" s="131"/>
      <c r="L4596" s="60"/>
      <c r="M4596" s="33"/>
    </row>
    <row r="4597" spans="1:14" x14ac:dyDescent="0.15">
      <c r="A4597" s="62"/>
      <c r="B4597" s="119"/>
      <c r="C4597" s="70"/>
      <c r="D4597" s="70"/>
      <c r="E4597" s="70"/>
      <c r="F4597" s="70"/>
      <c r="G4597" s="70"/>
      <c r="H4597" s="93"/>
      <c r="I4597" s="85"/>
      <c r="J4597" s="85"/>
      <c r="K4597" s="131"/>
      <c r="L4597" s="70"/>
      <c r="M4597" s="33"/>
    </row>
    <row r="4598" spans="1:14" x14ac:dyDescent="0.15">
      <c r="A4598" s="70"/>
      <c r="B4598" s="117"/>
      <c r="C4598" s="73"/>
      <c r="D4598" s="73"/>
      <c r="E4598" s="70"/>
      <c r="F4598" s="73"/>
      <c r="G4598" s="73"/>
      <c r="H4598" s="108"/>
      <c r="I4598" s="85"/>
      <c r="J4598" s="85"/>
      <c r="K4598" s="131"/>
      <c r="L4598" s="60"/>
      <c r="M4598" s="33"/>
    </row>
    <row r="4599" spans="1:14" x14ac:dyDescent="0.15">
      <c r="A4599" s="70"/>
      <c r="B4599" s="117"/>
      <c r="C4599" s="70"/>
      <c r="D4599" s="70"/>
      <c r="E4599" s="70"/>
      <c r="F4599" s="70"/>
      <c r="G4599" s="70"/>
      <c r="H4599" s="93"/>
      <c r="I4599" s="85"/>
      <c r="J4599" s="85"/>
      <c r="K4599" s="131"/>
      <c r="L4599" s="60"/>
      <c r="M4599" s="37"/>
    </row>
    <row r="4600" spans="1:14" ht="16" x14ac:dyDescent="0.2">
      <c r="A4600" s="62"/>
      <c r="B4600" s="117"/>
      <c r="C4600" s="70"/>
      <c r="D4600" s="70"/>
      <c r="E4600" s="70"/>
      <c r="F4600" s="70"/>
      <c r="G4600" s="70"/>
      <c r="H4600" s="93"/>
      <c r="I4600" s="85"/>
      <c r="J4600" s="85"/>
      <c r="K4600" s="131"/>
      <c r="L4600" s="60"/>
      <c r="M4600" s="48"/>
    </row>
    <row r="4601" spans="1:14" ht="16" x14ac:dyDescent="0.2">
      <c r="A4601" s="70"/>
      <c r="B4601" s="117"/>
      <c r="C4601" s="73"/>
      <c r="D4601" s="73"/>
      <c r="E4601" s="73"/>
      <c r="F4601" s="73"/>
      <c r="G4601" s="73"/>
      <c r="H4601" s="108"/>
      <c r="I4601" s="103"/>
      <c r="J4601" s="95"/>
      <c r="K4601" s="149"/>
      <c r="L4601" s="60"/>
      <c r="M4601" s="48"/>
      <c r="N4601" s="48"/>
    </row>
    <row r="4602" spans="1:14" ht="16" x14ac:dyDescent="0.2">
      <c r="A4602" s="70"/>
      <c r="B4602" s="117"/>
      <c r="C4602" s="70"/>
      <c r="D4602" s="70"/>
      <c r="E4602" s="70"/>
      <c r="F4602" s="70"/>
      <c r="G4602" s="70"/>
      <c r="H4602" s="93"/>
      <c r="I4602" s="85"/>
      <c r="J4602" s="85"/>
      <c r="K4602" s="131"/>
      <c r="L4602" s="60"/>
      <c r="M4602" s="48"/>
    </row>
    <row r="4603" spans="1:14" ht="16" x14ac:dyDescent="0.2">
      <c r="A4603" s="70"/>
      <c r="B4603" s="117"/>
      <c r="C4603" s="73"/>
      <c r="D4603" s="73"/>
      <c r="E4603" s="70"/>
      <c r="F4603" s="73"/>
      <c r="G4603" s="73"/>
      <c r="H4603" s="108"/>
      <c r="I4603" s="85"/>
      <c r="J4603" s="95"/>
      <c r="K4603" s="131"/>
      <c r="L4603" s="60"/>
      <c r="M4603" s="47"/>
    </row>
    <row r="4604" spans="1:14" x14ac:dyDescent="0.15">
      <c r="A4604" s="70"/>
      <c r="B4604" s="117"/>
      <c r="C4604" s="70"/>
      <c r="D4604" s="70"/>
      <c r="E4604" s="70"/>
      <c r="F4604" s="70"/>
      <c r="G4604" s="70"/>
      <c r="H4604" s="93"/>
      <c r="I4604" s="85"/>
      <c r="J4604" s="85"/>
      <c r="K4604" s="131"/>
      <c r="L4604" s="60"/>
      <c r="M4604" s="33"/>
      <c r="N4604" s="46"/>
    </row>
    <row r="4605" spans="1:14" x14ac:dyDescent="0.15">
      <c r="A4605" s="70"/>
      <c r="B4605" s="117"/>
      <c r="C4605" s="70"/>
      <c r="D4605" s="70"/>
      <c r="E4605" s="70"/>
      <c r="F4605" s="70"/>
      <c r="G4605" s="70"/>
      <c r="H4605" s="93"/>
      <c r="I4605" s="85"/>
      <c r="J4605" s="85"/>
      <c r="K4605" s="131"/>
      <c r="L4605" s="60"/>
      <c r="M4605" s="33"/>
    </row>
    <row r="4606" spans="1:14" ht="16" x14ac:dyDescent="0.2">
      <c r="A4606" s="70"/>
      <c r="B4606" s="117"/>
      <c r="C4606" s="70"/>
      <c r="D4606" s="70"/>
      <c r="E4606" s="70"/>
      <c r="F4606" s="70"/>
      <c r="G4606" s="70"/>
      <c r="H4606" s="93"/>
      <c r="I4606" s="85"/>
      <c r="J4606" s="85"/>
      <c r="K4606" s="131"/>
      <c r="L4606" s="60"/>
      <c r="M4606" s="47"/>
    </row>
    <row r="4607" spans="1:14" x14ac:dyDescent="0.15">
      <c r="A4607" s="70"/>
      <c r="B4607" s="117"/>
      <c r="C4607" s="73"/>
      <c r="D4607" s="73"/>
      <c r="E4607" s="73"/>
      <c r="F4607" s="73"/>
      <c r="G4607" s="73"/>
      <c r="H4607" s="108"/>
      <c r="I4607" s="85"/>
      <c r="J4607" s="95"/>
      <c r="K4607" s="131"/>
      <c r="L4607" s="60"/>
      <c r="M4607" s="33"/>
    </row>
    <row r="4608" spans="1:14" x14ac:dyDescent="0.15">
      <c r="A4608" s="70"/>
      <c r="B4608" s="117"/>
      <c r="C4608" s="70"/>
      <c r="D4608" s="70"/>
      <c r="E4608" s="70"/>
      <c r="F4608" s="70"/>
      <c r="G4608" s="70"/>
      <c r="H4608" s="93"/>
      <c r="I4608" s="85"/>
      <c r="J4608" s="85"/>
      <c r="K4608" s="131"/>
      <c r="L4608" s="70"/>
      <c r="M4608" s="37"/>
    </row>
    <row r="4609" spans="1:18" x14ac:dyDescent="0.15">
      <c r="A4609" s="70"/>
      <c r="B4609" s="117"/>
      <c r="C4609" s="73"/>
      <c r="D4609" s="73"/>
      <c r="E4609" s="73"/>
      <c r="F4609" s="73"/>
      <c r="G4609" s="73"/>
      <c r="H4609" s="108"/>
      <c r="I4609" s="85"/>
      <c r="J4609" s="85"/>
      <c r="K4609" s="131"/>
      <c r="L4609" s="60"/>
      <c r="M4609" s="33"/>
    </row>
    <row r="4610" spans="1:18" x14ac:dyDescent="0.15">
      <c r="A4610" s="70"/>
      <c r="B4610" s="117"/>
      <c r="C4610" s="73"/>
      <c r="D4610" s="73"/>
      <c r="E4610" s="73"/>
      <c r="F4610" s="73"/>
      <c r="G4610" s="73"/>
      <c r="H4610" s="108"/>
      <c r="I4610" s="85"/>
      <c r="J4610" s="85"/>
      <c r="K4610" s="131"/>
      <c r="L4610" s="60"/>
      <c r="M4610" s="33"/>
    </row>
    <row r="4611" spans="1:18" x14ac:dyDescent="0.15">
      <c r="A4611" s="70"/>
      <c r="B4611" s="117"/>
      <c r="C4611" s="70"/>
      <c r="D4611" s="70"/>
      <c r="E4611" s="70"/>
      <c r="F4611" s="70"/>
      <c r="G4611" s="70"/>
      <c r="H4611" s="93"/>
      <c r="I4611" s="85"/>
      <c r="J4611" s="85"/>
      <c r="K4611" s="131"/>
      <c r="L4611" s="60"/>
      <c r="M4611" s="33"/>
    </row>
    <row r="4612" spans="1:18" x14ac:dyDescent="0.15">
      <c r="A4612" s="70"/>
      <c r="B4612" s="117"/>
      <c r="C4612" s="70"/>
      <c r="D4612" s="70"/>
      <c r="E4612" s="70"/>
      <c r="F4612" s="70"/>
      <c r="G4612" s="70"/>
      <c r="H4612" s="93"/>
      <c r="I4612" s="85"/>
      <c r="J4612" s="85"/>
      <c r="K4612" s="131"/>
      <c r="L4612" s="60"/>
      <c r="M4612" s="33"/>
    </row>
    <row r="4613" spans="1:18" x14ac:dyDescent="0.15">
      <c r="A4613" s="70"/>
      <c r="B4613" s="117"/>
      <c r="C4613" s="73"/>
      <c r="D4613" s="73"/>
      <c r="E4613" s="73"/>
      <c r="F4613" s="73"/>
      <c r="G4613" s="73"/>
      <c r="H4613" s="108"/>
      <c r="I4613" s="85"/>
      <c r="J4613" s="85"/>
      <c r="K4613" s="131"/>
      <c r="L4613" s="60"/>
      <c r="M4613" s="33"/>
    </row>
    <row r="4614" spans="1:18" x14ac:dyDescent="0.15">
      <c r="A4614" s="70"/>
      <c r="B4614" s="117"/>
      <c r="C4614" s="70"/>
      <c r="D4614" s="70"/>
      <c r="E4614" s="70"/>
      <c r="F4614" s="70"/>
      <c r="G4614" s="70"/>
      <c r="H4614" s="93"/>
      <c r="I4614" s="85"/>
      <c r="J4614" s="85"/>
      <c r="K4614" s="131"/>
      <c r="L4614" s="60"/>
      <c r="M4614" s="33"/>
    </row>
    <row r="4615" spans="1:18" x14ac:dyDescent="0.15">
      <c r="A4615" s="70"/>
      <c r="B4615" s="117"/>
      <c r="C4615" s="73"/>
      <c r="D4615" s="73"/>
      <c r="E4615" s="73"/>
      <c r="F4615" s="73"/>
      <c r="G4615" s="73"/>
      <c r="H4615" s="108"/>
      <c r="I4615" s="85"/>
      <c r="J4615" s="85"/>
      <c r="K4615" s="131"/>
      <c r="L4615" s="67"/>
      <c r="M4615" s="33"/>
    </row>
    <row r="4616" spans="1:18" x14ac:dyDescent="0.15">
      <c r="A4616" s="70"/>
      <c r="B4616" s="117"/>
      <c r="C4616" s="70"/>
      <c r="D4616" s="70"/>
      <c r="E4616" s="70"/>
      <c r="F4616" s="70"/>
      <c r="G4616" s="70"/>
      <c r="H4616" s="93"/>
      <c r="I4616" s="85"/>
      <c r="J4616" s="85"/>
      <c r="K4616" s="131"/>
      <c r="L4616" s="60"/>
      <c r="M4616" s="33"/>
    </row>
    <row r="4617" spans="1:18" x14ac:dyDescent="0.15">
      <c r="A4617" s="70"/>
      <c r="B4617" s="117"/>
      <c r="C4617" s="70"/>
      <c r="D4617" s="70"/>
      <c r="E4617" s="70"/>
      <c r="F4617" s="70"/>
      <c r="G4617" s="70"/>
      <c r="H4617" s="93"/>
      <c r="I4617" s="85"/>
      <c r="J4617" s="85"/>
      <c r="K4617" s="131"/>
      <c r="L4617" s="60"/>
      <c r="M4617" s="37"/>
      <c r="Q4617"/>
      <c r="R4617"/>
    </row>
    <row r="4618" spans="1:18" x14ac:dyDescent="0.15">
      <c r="A4618" s="70"/>
      <c r="B4618" s="117"/>
      <c r="C4618" s="70"/>
      <c r="D4618" s="70"/>
      <c r="E4618" s="70"/>
      <c r="F4618" s="70"/>
      <c r="G4618" s="70"/>
      <c r="H4618" s="93"/>
      <c r="I4618" s="85"/>
      <c r="J4618" s="85"/>
      <c r="K4618" s="131"/>
      <c r="L4618" s="60"/>
      <c r="M4618" s="33"/>
    </row>
    <row r="4619" spans="1:18" x14ac:dyDescent="0.15">
      <c r="A4619" s="70"/>
      <c r="B4619" s="118"/>
      <c r="C4619" s="70"/>
      <c r="D4619" s="70"/>
      <c r="E4619" s="70"/>
      <c r="F4619" s="70"/>
      <c r="G4619" s="70"/>
      <c r="H4619" s="93"/>
      <c r="I4619" s="85"/>
      <c r="J4619" s="85"/>
      <c r="K4619" s="131"/>
      <c r="L4619" s="60"/>
    </row>
    <row r="4620" spans="1:18" x14ac:dyDescent="0.15">
      <c r="A4620" s="70"/>
      <c r="B4620" s="118"/>
      <c r="C4620" s="70"/>
      <c r="D4620" s="70"/>
      <c r="E4620" s="70"/>
      <c r="F4620" s="70"/>
      <c r="G4620" s="70"/>
      <c r="H4620" s="93"/>
      <c r="I4620" s="85"/>
      <c r="J4620" s="85"/>
      <c r="K4620" s="131"/>
      <c r="L4620" s="60"/>
    </row>
    <row r="4621" spans="1:18" x14ac:dyDescent="0.15">
      <c r="A4621" s="70"/>
      <c r="B4621" s="117"/>
      <c r="C4621" s="70"/>
      <c r="D4621" s="70"/>
      <c r="E4621" s="73"/>
      <c r="F4621" s="70"/>
      <c r="G4621" s="70"/>
      <c r="H4621" s="93"/>
      <c r="I4621" s="85"/>
      <c r="J4621" s="85"/>
      <c r="K4621" s="131"/>
      <c r="L4621" s="60"/>
      <c r="M4621" s="33"/>
    </row>
    <row r="4622" spans="1:18" x14ac:dyDescent="0.15">
      <c r="A4622" s="70"/>
      <c r="B4622" s="117"/>
      <c r="C4622" s="70"/>
      <c r="D4622" s="70"/>
      <c r="E4622" s="70"/>
      <c r="F4622" s="70"/>
      <c r="G4622" s="70"/>
      <c r="H4622" s="93"/>
      <c r="I4622" s="85"/>
      <c r="J4622" s="85"/>
      <c r="K4622" s="131"/>
      <c r="L4622" s="70"/>
      <c r="M4622" s="37"/>
    </row>
    <row r="4623" spans="1:18" x14ac:dyDescent="0.15">
      <c r="A4623" s="70"/>
      <c r="B4623" s="117"/>
      <c r="C4623" s="70"/>
      <c r="D4623" s="70"/>
      <c r="E4623" s="70"/>
      <c r="F4623" s="70"/>
      <c r="G4623" s="70"/>
      <c r="H4623" s="93"/>
      <c r="I4623" s="85"/>
      <c r="J4623" s="85"/>
      <c r="K4623" s="131"/>
      <c r="L4623" s="70"/>
      <c r="M4623" s="37"/>
    </row>
    <row r="4624" spans="1:18" x14ac:dyDescent="0.15">
      <c r="A4624" s="70"/>
      <c r="B4624" s="117"/>
      <c r="C4624" s="70"/>
      <c r="D4624" s="70"/>
      <c r="E4624" s="70"/>
      <c r="F4624" s="70"/>
      <c r="G4624" s="70"/>
      <c r="H4624" s="93"/>
      <c r="I4624" s="85"/>
      <c r="J4624" s="85"/>
      <c r="K4624" s="131"/>
      <c r="L4624" s="70"/>
      <c r="M4624" s="37"/>
    </row>
    <row r="4625" spans="1:14" x14ac:dyDescent="0.15">
      <c r="A4625" s="70"/>
      <c r="B4625" s="117"/>
      <c r="C4625" s="70"/>
      <c r="D4625" s="70"/>
      <c r="E4625" s="70"/>
      <c r="F4625" s="70"/>
      <c r="G4625" s="70"/>
      <c r="H4625" s="93"/>
      <c r="I4625" s="85"/>
      <c r="J4625" s="85"/>
      <c r="K4625" s="131"/>
      <c r="L4625" s="60"/>
      <c r="M4625" s="33"/>
    </row>
    <row r="4626" spans="1:14" x14ac:dyDescent="0.15">
      <c r="A4626" s="70"/>
      <c r="B4626" s="117"/>
      <c r="C4626" s="70"/>
      <c r="D4626" s="70"/>
      <c r="E4626" s="70"/>
      <c r="F4626" s="70"/>
      <c r="G4626" s="70"/>
      <c r="H4626" s="93"/>
      <c r="I4626" s="85"/>
      <c r="J4626" s="85"/>
      <c r="K4626" s="131"/>
      <c r="L4626" s="60"/>
      <c r="M4626" s="33"/>
    </row>
    <row r="4627" spans="1:14" x14ac:dyDescent="0.15">
      <c r="A4627" s="70"/>
      <c r="B4627" s="117"/>
      <c r="C4627" s="70"/>
      <c r="D4627" s="70"/>
      <c r="E4627" s="70"/>
      <c r="F4627" s="70"/>
      <c r="G4627" s="70"/>
      <c r="H4627" s="93"/>
      <c r="I4627" s="85"/>
      <c r="J4627" s="85"/>
      <c r="K4627" s="131"/>
      <c r="L4627" s="60"/>
      <c r="M4627" s="33"/>
    </row>
    <row r="4628" spans="1:14" x14ac:dyDescent="0.15">
      <c r="A4628" s="70"/>
      <c r="B4628" s="118"/>
      <c r="C4628" s="70"/>
      <c r="D4628" s="70"/>
      <c r="E4628" s="70"/>
      <c r="F4628" s="70"/>
      <c r="G4628" s="70"/>
      <c r="H4628" s="93"/>
      <c r="I4628" s="85"/>
      <c r="J4628" s="85"/>
      <c r="K4628" s="131"/>
      <c r="L4628" s="60"/>
      <c r="M4628" s="33"/>
    </row>
    <row r="4629" spans="1:14" x14ac:dyDescent="0.15">
      <c r="A4629" s="70"/>
      <c r="B4629" s="117"/>
      <c r="C4629" s="70"/>
      <c r="D4629" s="70"/>
      <c r="E4629" s="70"/>
      <c r="F4629" s="70"/>
      <c r="G4629" s="70"/>
      <c r="H4629" s="93"/>
      <c r="I4629" s="85"/>
      <c r="J4629" s="85"/>
      <c r="K4629" s="131"/>
      <c r="L4629" s="60"/>
      <c r="M4629" s="33"/>
    </row>
    <row r="4630" spans="1:14" x14ac:dyDescent="0.15">
      <c r="A4630" s="70"/>
      <c r="B4630" s="117"/>
      <c r="C4630" s="70"/>
      <c r="D4630" s="70"/>
      <c r="E4630" s="70"/>
      <c r="F4630" s="70"/>
      <c r="G4630" s="70"/>
      <c r="H4630" s="93"/>
      <c r="I4630" s="85"/>
      <c r="J4630" s="85"/>
      <c r="K4630" s="131"/>
      <c r="L4630" s="60"/>
      <c r="M4630" s="33"/>
    </row>
    <row r="4631" spans="1:14" ht="16" x14ac:dyDescent="0.2">
      <c r="A4631" s="70"/>
      <c r="B4631" s="117"/>
      <c r="C4631" s="70"/>
      <c r="D4631" s="70"/>
      <c r="E4631" s="70"/>
      <c r="F4631" s="70"/>
      <c r="G4631" s="70"/>
      <c r="H4631" s="93"/>
      <c r="I4631" s="85"/>
      <c r="J4631" s="85"/>
      <c r="K4631" s="131"/>
      <c r="L4631" s="60"/>
      <c r="M4631" s="33"/>
      <c r="N4631" s="48"/>
    </row>
    <row r="4632" spans="1:14" x14ac:dyDescent="0.15">
      <c r="A4632" s="70"/>
      <c r="B4632" s="117"/>
      <c r="C4632" s="70"/>
      <c r="D4632" s="70"/>
      <c r="E4632" s="70"/>
      <c r="F4632" s="70"/>
      <c r="G4632" s="70"/>
      <c r="H4632" s="93"/>
      <c r="I4632" s="85"/>
      <c r="J4632" s="85"/>
      <c r="K4632" s="131"/>
      <c r="L4632" s="60"/>
      <c r="M4632" s="33"/>
    </row>
    <row r="4633" spans="1:14" x14ac:dyDescent="0.15">
      <c r="A4633" s="70"/>
      <c r="B4633" s="117"/>
      <c r="C4633" s="70"/>
      <c r="D4633" s="70"/>
      <c r="E4633" s="73"/>
      <c r="F4633" s="70"/>
      <c r="G4633" s="70"/>
      <c r="H4633" s="93"/>
      <c r="I4633" s="85"/>
      <c r="J4633" s="85"/>
      <c r="K4633" s="131"/>
      <c r="L4633" s="60"/>
      <c r="M4633" s="33"/>
    </row>
    <row r="4634" spans="1:14" x14ac:dyDescent="0.15">
      <c r="A4634" s="70"/>
      <c r="B4634" s="117"/>
      <c r="C4634" s="70"/>
      <c r="D4634" s="70"/>
      <c r="E4634" s="73"/>
      <c r="F4634" s="70"/>
      <c r="G4634" s="70"/>
      <c r="H4634" s="93"/>
      <c r="I4634" s="85"/>
      <c r="J4634" s="85"/>
      <c r="K4634" s="131"/>
      <c r="L4634" s="60"/>
      <c r="M4634" s="33"/>
    </row>
    <row r="4635" spans="1:14" x14ac:dyDescent="0.15">
      <c r="A4635" s="70"/>
      <c r="B4635" s="117"/>
      <c r="C4635" s="70"/>
      <c r="D4635" s="70"/>
      <c r="E4635" s="70"/>
      <c r="F4635" s="70"/>
      <c r="G4635" s="70"/>
      <c r="H4635" s="93"/>
      <c r="I4635" s="85"/>
      <c r="J4635" s="85"/>
      <c r="K4635" s="131"/>
      <c r="L4635" s="60"/>
      <c r="M4635" s="33"/>
    </row>
    <row r="4636" spans="1:14" x14ac:dyDescent="0.15">
      <c r="A4636" s="70"/>
      <c r="B4636" s="117"/>
      <c r="C4636" s="70"/>
      <c r="D4636" s="70"/>
      <c r="E4636" s="70"/>
      <c r="F4636" s="70"/>
      <c r="G4636" s="70"/>
      <c r="H4636" s="93"/>
      <c r="I4636" s="85"/>
      <c r="J4636" s="85"/>
      <c r="K4636" s="131"/>
      <c r="L4636" s="60"/>
      <c r="M4636" s="33"/>
    </row>
    <row r="4637" spans="1:14" x14ac:dyDescent="0.15">
      <c r="A4637" s="70"/>
      <c r="B4637" s="117"/>
      <c r="C4637" s="73"/>
      <c r="D4637" s="73"/>
      <c r="E4637" s="73"/>
      <c r="F4637" s="73"/>
      <c r="G4637" s="73"/>
      <c r="H4637" s="108"/>
      <c r="I4637" s="85"/>
      <c r="J4637" s="95"/>
      <c r="K4637" s="134"/>
      <c r="L4637" s="63"/>
      <c r="M4637" s="33"/>
    </row>
    <row r="4638" spans="1:14" ht="16" x14ac:dyDescent="0.2">
      <c r="A4638" s="70"/>
      <c r="B4638" s="117"/>
      <c r="C4638" s="73"/>
      <c r="D4638" s="73"/>
      <c r="E4638" s="70"/>
      <c r="F4638" s="73"/>
      <c r="G4638" s="73"/>
      <c r="H4638" s="108"/>
      <c r="I4638" s="85"/>
      <c r="J4638" s="95"/>
      <c r="K4638" s="131"/>
      <c r="L4638" s="60"/>
      <c r="M4638" s="48"/>
    </row>
    <row r="4639" spans="1:14" ht="16" x14ac:dyDescent="0.2">
      <c r="A4639" s="70"/>
      <c r="B4639" s="117"/>
      <c r="C4639" s="70"/>
      <c r="D4639" s="70"/>
      <c r="E4639" s="70"/>
      <c r="F4639" s="70"/>
      <c r="G4639" s="70"/>
      <c r="H4639" s="93"/>
      <c r="I4639" s="85"/>
      <c r="J4639" s="85"/>
      <c r="L4639" s="60"/>
      <c r="M4639" s="48"/>
      <c r="N4639" s="32"/>
    </row>
    <row r="4640" spans="1:14" ht="16" x14ac:dyDescent="0.2">
      <c r="A4640" s="70"/>
      <c r="B4640" s="117"/>
      <c r="C4640" s="70"/>
      <c r="D4640" s="70"/>
      <c r="E4640" s="70"/>
      <c r="F4640" s="70"/>
      <c r="G4640" s="70"/>
      <c r="H4640" s="93"/>
      <c r="I4640" s="85"/>
      <c r="J4640" s="85"/>
      <c r="K4640" s="131"/>
      <c r="L4640" s="60"/>
      <c r="M4640" s="48"/>
    </row>
    <row r="4641" spans="1:13" x14ac:dyDescent="0.15">
      <c r="A4641" s="70"/>
      <c r="B4641" s="117"/>
      <c r="C4641" s="70"/>
      <c r="D4641" s="70"/>
      <c r="E4641" s="70"/>
      <c r="F4641" s="70"/>
      <c r="G4641" s="70"/>
      <c r="H4641" s="93"/>
      <c r="I4641" s="85"/>
      <c r="J4641" s="85"/>
      <c r="K4641" s="131"/>
      <c r="L4641" s="60"/>
      <c r="M4641" s="33"/>
    </row>
    <row r="4642" spans="1:13" x14ac:dyDescent="0.15">
      <c r="A4642" s="70"/>
      <c r="B4642" s="117"/>
      <c r="C4642" s="70"/>
      <c r="D4642" s="70"/>
      <c r="E4642" s="70"/>
      <c r="F4642" s="70"/>
      <c r="G4642" s="70"/>
      <c r="H4642" s="93"/>
      <c r="I4642" s="85"/>
      <c r="J4642" s="85"/>
      <c r="K4642" s="131"/>
      <c r="L4642" s="60"/>
      <c r="M4642" s="33"/>
    </row>
    <row r="4643" spans="1:13" x14ac:dyDescent="0.15">
      <c r="A4643" s="70"/>
      <c r="B4643" s="117"/>
      <c r="C4643" s="70"/>
      <c r="D4643" s="70"/>
      <c r="E4643" s="70"/>
      <c r="F4643" s="70"/>
      <c r="G4643" s="70"/>
      <c r="H4643" s="93"/>
      <c r="I4643" s="85"/>
      <c r="J4643" s="85"/>
      <c r="K4643" s="131"/>
      <c r="L4643" s="60"/>
      <c r="M4643" s="33"/>
    </row>
    <row r="4644" spans="1:13" x14ac:dyDescent="0.15">
      <c r="A4644" s="70"/>
      <c r="B4644" s="117"/>
      <c r="C4644" s="70"/>
      <c r="D4644" s="70"/>
      <c r="E4644" s="70"/>
      <c r="F4644" s="70"/>
      <c r="G4644" s="70"/>
      <c r="H4644" s="93"/>
      <c r="I4644" s="85"/>
      <c r="J4644" s="85"/>
      <c r="K4644" s="131"/>
      <c r="L4644" s="60"/>
      <c r="M4644" s="33"/>
    </row>
    <row r="4645" spans="1:13" x14ac:dyDescent="0.15">
      <c r="A4645" s="70"/>
      <c r="B4645" s="117"/>
      <c r="C4645" s="70"/>
      <c r="D4645" s="70"/>
      <c r="E4645" s="70"/>
      <c r="F4645" s="70"/>
      <c r="G4645" s="70"/>
      <c r="H4645" s="93"/>
      <c r="I4645" s="85"/>
      <c r="J4645" s="85"/>
      <c r="K4645" s="131"/>
      <c r="L4645" s="60"/>
      <c r="M4645" s="33"/>
    </row>
    <row r="4646" spans="1:13" x14ac:dyDescent="0.15">
      <c r="A4646" s="70"/>
      <c r="B4646" s="117"/>
      <c r="C4646" s="70"/>
      <c r="D4646" s="70"/>
      <c r="E4646" s="70"/>
      <c r="F4646" s="70"/>
      <c r="G4646" s="70"/>
      <c r="H4646" s="93"/>
      <c r="I4646" s="85"/>
      <c r="J4646" s="85"/>
      <c r="K4646" s="131"/>
      <c r="L4646" s="60"/>
      <c r="M4646" s="33"/>
    </row>
    <row r="4647" spans="1:13" x14ac:dyDescent="0.15">
      <c r="A4647" s="70"/>
      <c r="B4647" s="117"/>
      <c r="C4647" s="73"/>
      <c r="D4647" s="73"/>
      <c r="E4647" s="73"/>
      <c r="F4647" s="73"/>
      <c r="G4647" s="73"/>
      <c r="H4647" s="108"/>
      <c r="I4647" s="85"/>
      <c r="J4647" s="95"/>
      <c r="K4647" s="134"/>
      <c r="L4647" s="63"/>
      <c r="M4647" s="33"/>
    </row>
    <row r="4648" spans="1:13" ht="16" x14ac:dyDescent="0.2">
      <c r="A4648" s="70"/>
      <c r="B4648" s="117"/>
      <c r="C4648" s="70"/>
      <c r="D4648" s="70"/>
      <c r="E4648" s="70"/>
      <c r="F4648" s="70"/>
      <c r="G4648" s="70"/>
      <c r="H4648" s="93"/>
      <c r="I4648" s="85"/>
      <c r="J4648" s="85"/>
      <c r="K4648" s="131"/>
      <c r="L4648" s="60"/>
      <c r="M4648" s="47"/>
    </row>
    <row r="4649" spans="1:13" x14ac:dyDescent="0.15">
      <c r="A4649" s="70"/>
      <c r="B4649" s="117"/>
      <c r="C4649" s="70"/>
      <c r="D4649" s="70"/>
      <c r="E4649" s="70"/>
      <c r="F4649" s="70"/>
      <c r="G4649" s="70"/>
      <c r="H4649" s="93"/>
      <c r="I4649" s="85"/>
      <c r="J4649" s="85"/>
      <c r="K4649" s="131"/>
      <c r="L4649" s="60"/>
      <c r="M4649" s="33"/>
    </row>
    <row r="4650" spans="1:13" x14ac:dyDescent="0.15">
      <c r="A4650" s="70"/>
      <c r="B4650" s="117"/>
      <c r="C4650" s="70"/>
      <c r="D4650" s="70"/>
      <c r="E4650" s="70"/>
      <c r="F4650" s="70"/>
      <c r="G4650" s="70"/>
      <c r="H4650" s="93"/>
      <c r="I4650" s="85"/>
      <c r="J4650" s="85"/>
      <c r="K4650" s="131"/>
      <c r="L4650" s="60"/>
      <c r="M4650" s="33"/>
    </row>
    <row r="4651" spans="1:13" ht="16" x14ac:dyDescent="0.2">
      <c r="A4651" s="70"/>
      <c r="B4651" s="117"/>
      <c r="C4651" s="70"/>
      <c r="D4651" s="70"/>
      <c r="E4651" s="70"/>
      <c r="F4651" s="70"/>
      <c r="G4651" s="70"/>
      <c r="H4651" s="93"/>
      <c r="I4651" s="85"/>
      <c r="J4651" s="85"/>
      <c r="K4651" s="131"/>
      <c r="L4651" s="60"/>
      <c r="M4651" s="47"/>
    </row>
    <row r="4652" spans="1:13" x14ac:dyDescent="0.15">
      <c r="A4652" s="70"/>
      <c r="B4652" s="117"/>
      <c r="C4652" s="70"/>
      <c r="D4652" s="70"/>
      <c r="E4652" s="73"/>
      <c r="F4652" s="70"/>
      <c r="G4652" s="70"/>
      <c r="H4652" s="93"/>
      <c r="I4652" s="85"/>
      <c r="J4652" s="85"/>
      <c r="K4652" s="134"/>
      <c r="L4652" s="63"/>
      <c r="M4652" s="33"/>
    </row>
    <row r="4653" spans="1:13" x14ac:dyDescent="0.15">
      <c r="A4653" s="70"/>
      <c r="B4653" s="118"/>
      <c r="C4653" s="70"/>
      <c r="D4653" s="70"/>
      <c r="E4653" s="70"/>
      <c r="F4653" s="70"/>
      <c r="G4653" s="70"/>
      <c r="H4653" s="93"/>
      <c r="I4653" s="85"/>
      <c r="J4653" s="85"/>
      <c r="K4653" s="131"/>
      <c r="L4653" s="60"/>
    </row>
    <row r="4654" spans="1:13" x14ac:dyDescent="0.15">
      <c r="A4654" s="70"/>
      <c r="B4654" s="117"/>
      <c r="C4654" s="73"/>
      <c r="D4654" s="73"/>
      <c r="E4654" s="70"/>
      <c r="F4654" s="73"/>
      <c r="G4654" s="73"/>
      <c r="H4654" s="93"/>
      <c r="I4654" s="85"/>
      <c r="J4654" s="95"/>
      <c r="K4654" s="131"/>
      <c r="L4654" s="60"/>
      <c r="M4654" s="53"/>
    </row>
    <row r="4655" spans="1:13" x14ac:dyDescent="0.15">
      <c r="A4655" s="70"/>
      <c r="B4655" s="118"/>
      <c r="C4655" s="70"/>
      <c r="D4655" s="70"/>
      <c r="E4655" s="70"/>
      <c r="F4655" s="70"/>
      <c r="G4655" s="70"/>
      <c r="H4655" s="93"/>
      <c r="I4655" s="85"/>
      <c r="J4655" s="85"/>
      <c r="K4655" s="131"/>
      <c r="L4655" s="60"/>
    </row>
    <row r="4656" spans="1:13" ht="16" x14ac:dyDescent="0.2">
      <c r="A4656" s="70"/>
      <c r="B4656" s="117"/>
      <c r="C4656" s="70"/>
      <c r="D4656" s="70"/>
      <c r="E4656" s="70"/>
      <c r="F4656" s="70"/>
      <c r="G4656" s="70"/>
      <c r="H4656" s="93"/>
      <c r="I4656" s="85"/>
      <c r="J4656" s="85"/>
      <c r="K4656" s="131"/>
      <c r="L4656" s="60"/>
      <c r="M4656" s="47"/>
    </row>
    <row r="4657" spans="1:14" ht="16" x14ac:dyDescent="0.2">
      <c r="A4657" s="70"/>
      <c r="B4657" s="117"/>
      <c r="C4657" s="70"/>
      <c r="D4657" s="70"/>
      <c r="E4657" s="70"/>
      <c r="F4657" s="70"/>
      <c r="G4657" s="70"/>
      <c r="H4657" s="93"/>
      <c r="I4657" s="85"/>
      <c r="J4657" s="85"/>
      <c r="K4657" s="131"/>
      <c r="L4657" s="60"/>
      <c r="M4657" s="47"/>
    </row>
    <row r="4658" spans="1:14" x14ac:dyDescent="0.15">
      <c r="A4658" s="70"/>
      <c r="B4658" s="118"/>
      <c r="C4658" s="70"/>
      <c r="D4658" s="70"/>
      <c r="E4658" s="70"/>
      <c r="F4658" s="70"/>
      <c r="G4658" s="70"/>
      <c r="H4658" s="93"/>
      <c r="I4658" s="85"/>
      <c r="J4658" s="85"/>
      <c r="K4658" s="131"/>
      <c r="L4658" s="60"/>
      <c r="M4658" s="33"/>
    </row>
    <row r="4659" spans="1:14" ht="16" x14ac:dyDescent="0.2">
      <c r="A4659" s="70"/>
      <c r="B4659" s="117"/>
      <c r="C4659" s="70"/>
      <c r="D4659" s="70"/>
      <c r="E4659" s="70"/>
      <c r="F4659" s="70"/>
      <c r="G4659" s="70"/>
      <c r="H4659" s="93"/>
      <c r="I4659" s="103"/>
      <c r="J4659" s="85"/>
      <c r="L4659" s="60"/>
      <c r="M4659" s="48"/>
      <c r="N4659" s="32"/>
    </row>
    <row r="4660" spans="1:14" ht="16" x14ac:dyDescent="0.2">
      <c r="A4660" s="70"/>
      <c r="B4660" s="117"/>
      <c r="C4660" s="70"/>
      <c r="D4660" s="70"/>
      <c r="E4660" s="70"/>
      <c r="F4660" s="70"/>
      <c r="G4660" s="70"/>
      <c r="H4660" s="93"/>
      <c r="I4660" s="85"/>
      <c r="J4660" s="85"/>
      <c r="K4660" s="131"/>
      <c r="L4660" s="60"/>
      <c r="M4660" s="48"/>
    </row>
    <row r="4661" spans="1:14" ht="16" x14ac:dyDescent="0.2">
      <c r="A4661" s="70"/>
      <c r="B4661" s="117"/>
      <c r="C4661" s="73"/>
      <c r="D4661" s="73"/>
      <c r="E4661" s="70"/>
      <c r="F4661" s="73"/>
      <c r="G4661" s="73"/>
      <c r="H4661" s="93"/>
      <c r="I4661" s="85"/>
      <c r="J4661" s="95"/>
      <c r="K4661" s="131"/>
      <c r="L4661" s="60"/>
      <c r="M4661" s="48"/>
    </row>
    <row r="4662" spans="1:14" x14ac:dyDescent="0.15">
      <c r="A4662" s="70"/>
      <c r="B4662" s="117"/>
      <c r="C4662" s="70"/>
      <c r="D4662" s="70"/>
      <c r="E4662" s="70"/>
      <c r="F4662" s="70"/>
      <c r="G4662" s="70"/>
      <c r="H4662" s="93"/>
      <c r="I4662" s="85"/>
      <c r="J4662" s="85"/>
      <c r="K4662" s="131"/>
      <c r="L4662" s="60"/>
      <c r="M4662" s="37"/>
    </row>
    <row r="4663" spans="1:14" x14ac:dyDescent="0.15">
      <c r="A4663" s="70"/>
      <c r="B4663" s="117"/>
      <c r="C4663" s="70"/>
      <c r="D4663" s="70"/>
      <c r="E4663" s="70"/>
      <c r="F4663" s="70"/>
      <c r="G4663" s="70"/>
      <c r="H4663" s="93"/>
      <c r="I4663" s="85"/>
      <c r="J4663" s="85"/>
      <c r="K4663" s="131"/>
      <c r="L4663" s="60"/>
      <c r="M4663" s="37"/>
    </row>
    <row r="4664" spans="1:14" x14ac:dyDescent="0.15">
      <c r="A4664" s="70"/>
      <c r="B4664" s="117"/>
      <c r="C4664" s="70"/>
      <c r="D4664" s="70"/>
      <c r="E4664" s="70"/>
      <c r="F4664" s="70"/>
      <c r="G4664" s="70"/>
      <c r="H4664" s="93"/>
      <c r="I4664" s="85"/>
      <c r="J4664" s="85"/>
      <c r="K4664" s="131"/>
      <c r="L4664" s="60"/>
      <c r="M4664" s="37"/>
    </row>
    <row r="4665" spans="1:14" x14ac:dyDescent="0.15">
      <c r="A4665" s="70"/>
      <c r="B4665" s="117"/>
      <c r="C4665" s="70"/>
      <c r="D4665" s="70"/>
      <c r="E4665" s="70"/>
      <c r="F4665" s="70"/>
      <c r="G4665" s="70"/>
      <c r="H4665" s="93"/>
      <c r="I4665" s="85"/>
      <c r="J4665" s="85"/>
      <c r="K4665" s="131"/>
      <c r="L4665" s="60"/>
      <c r="M4665" s="37"/>
    </row>
    <row r="4666" spans="1:14" x14ac:dyDescent="0.15">
      <c r="A4666" s="70"/>
      <c r="B4666" s="117"/>
      <c r="C4666" s="70"/>
      <c r="D4666" s="70"/>
      <c r="E4666" s="70"/>
      <c r="F4666" s="70"/>
      <c r="G4666" s="70"/>
      <c r="H4666" s="93"/>
      <c r="I4666" s="85"/>
      <c r="J4666" s="85"/>
      <c r="K4666" s="131"/>
      <c r="L4666" s="60"/>
    </row>
    <row r="4667" spans="1:14" x14ac:dyDescent="0.15">
      <c r="A4667" s="70"/>
      <c r="B4667" s="117"/>
      <c r="C4667" s="70"/>
      <c r="D4667" s="70"/>
      <c r="E4667" s="70"/>
      <c r="F4667" s="70"/>
      <c r="G4667" s="70"/>
      <c r="H4667" s="93"/>
      <c r="I4667" s="85"/>
      <c r="J4667" s="85"/>
      <c r="K4667" s="131"/>
      <c r="L4667" s="60"/>
      <c r="M4667" s="37"/>
    </row>
    <row r="4668" spans="1:14" x14ac:dyDescent="0.15">
      <c r="A4668" s="70"/>
      <c r="B4668" s="117"/>
      <c r="C4668" s="70"/>
      <c r="D4668" s="70"/>
      <c r="E4668" s="70"/>
      <c r="F4668" s="70"/>
      <c r="G4668" s="70"/>
      <c r="H4668" s="93"/>
      <c r="I4668" s="85"/>
      <c r="J4668" s="85"/>
      <c r="K4668" s="131"/>
      <c r="L4668" s="60"/>
      <c r="M4668" s="37"/>
    </row>
    <row r="4669" spans="1:14" x14ac:dyDescent="0.15">
      <c r="A4669" s="70"/>
      <c r="B4669" s="117"/>
      <c r="C4669" s="70"/>
      <c r="D4669" s="70"/>
      <c r="E4669" s="70"/>
      <c r="F4669" s="70"/>
      <c r="G4669" s="70"/>
      <c r="H4669" s="93"/>
      <c r="I4669" s="85"/>
      <c r="J4669" s="85"/>
      <c r="L4669" s="60"/>
      <c r="M4669" s="37"/>
      <c r="N4669" s="32"/>
    </row>
    <row r="4670" spans="1:14" x14ac:dyDescent="0.15">
      <c r="A4670" s="70"/>
      <c r="B4670" s="117"/>
      <c r="C4670" s="70"/>
      <c r="D4670" s="70"/>
      <c r="E4670" s="70"/>
      <c r="F4670" s="70"/>
      <c r="G4670" s="70"/>
      <c r="H4670" s="93"/>
      <c r="I4670" s="85"/>
      <c r="J4670" s="85"/>
      <c r="K4670" s="131"/>
      <c r="L4670" s="60"/>
      <c r="M4670" s="37"/>
    </row>
    <row r="4671" spans="1:14" x14ac:dyDescent="0.15">
      <c r="A4671" s="70"/>
      <c r="B4671" s="117"/>
      <c r="C4671" s="70"/>
      <c r="D4671" s="70"/>
      <c r="E4671" s="70"/>
      <c r="F4671" s="70"/>
      <c r="G4671" s="70"/>
      <c r="H4671" s="93"/>
      <c r="I4671" s="85"/>
      <c r="J4671" s="85"/>
      <c r="K4671" s="131"/>
      <c r="L4671" s="60"/>
      <c r="M4671" s="33"/>
    </row>
    <row r="4672" spans="1:14" x14ac:dyDescent="0.15">
      <c r="A4672" s="70"/>
      <c r="B4672" s="117"/>
      <c r="C4672" s="73"/>
      <c r="D4672" s="73"/>
      <c r="E4672" s="70"/>
      <c r="F4672" s="73"/>
      <c r="G4672" s="73"/>
      <c r="H4672" s="93"/>
      <c r="I4672" s="85"/>
      <c r="J4672" s="95"/>
      <c r="K4672" s="131"/>
      <c r="L4672" s="60"/>
      <c r="M4672" s="33"/>
    </row>
    <row r="4673" spans="1:13" x14ac:dyDescent="0.15">
      <c r="A4673" s="70"/>
      <c r="B4673" s="117"/>
      <c r="C4673" s="70"/>
      <c r="D4673" s="70"/>
      <c r="E4673" s="70"/>
      <c r="F4673" s="70"/>
      <c r="G4673" s="70"/>
      <c r="H4673" s="93"/>
      <c r="I4673" s="85"/>
      <c r="J4673" s="85"/>
      <c r="K4673" s="131"/>
      <c r="L4673" s="60"/>
      <c r="M4673" s="33"/>
    </row>
    <row r="4674" spans="1:13" x14ac:dyDescent="0.15">
      <c r="A4674" s="70"/>
      <c r="B4674" s="117"/>
      <c r="C4674" s="70"/>
      <c r="D4674" s="70"/>
      <c r="E4674" s="70"/>
      <c r="F4674" s="70"/>
      <c r="G4674" s="70"/>
      <c r="H4674" s="93"/>
      <c r="I4674" s="103"/>
      <c r="J4674" s="85"/>
      <c r="K4674" s="131"/>
      <c r="L4674" s="63"/>
      <c r="M4674" s="37"/>
    </row>
    <row r="4675" spans="1:13" x14ac:dyDescent="0.15">
      <c r="A4675" s="70"/>
      <c r="B4675" s="117"/>
      <c r="C4675" s="70"/>
      <c r="D4675" s="70"/>
      <c r="E4675" s="70"/>
      <c r="F4675" s="70"/>
      <c r="G4675" s="70"/>
      <c r="H4675" s="93"/>
      <c r="I4675" s="85"/>
      <c r="J4675" s="85"/>
      <c r="K4675" s="131"/>
      <c r="L4675" s="60"/>
      <c r="M4675" s="33"/>
    </row>
    <row r="4676" spans="1:13" x14ac:dyDescent="0.15">
      <c r="A4676" s="70"/>
      <c r="B4676" s="117"/>
      <c r="C4676" s="70"/>
      <c r="D4676" s="70"/>
      <c r="E4676" s="70"/>
      <c r="F4676" s="70"/>
      <c r="G4676" s="70"/>
      <c r="H4676" s="93"/>
      <c r="I4676" s="85"/>
      <c r="J4676" s="85"/>
      <c r="K4676" s="131"/>
      <c r="L4676" s="60"/>
      <c r="M4676" s="33"/>
    </row>
    <row r="4677" spans="1:13" x14ac:dyDescent="0.15">
      <c r="A4677" s="70"/>
      <c r="B4677" s="117"/>
      <c r="C4677" s="70"/>
      <c r="D4677" s="70"/>
      <c r="E4677" s="70"/>
      <c r="F4677" s="70"/>
      <c r="G4677" s="70"/>
      <c r="H4677" s="93"/>
      <c r="I4677" s="85"/>
      <c r="J4677" s="85"/>
      <c r="K4677" s="131"/>
      <c r="L4677" s="60"/>
      <c r="M4677" s="33"/>
    </row>
    <row r="4678" spans="1:13" x14ac:dyDescent="0.15">
      <c r="A4678" s="70"/>
      <c r="B4678" s="117"/>
      <c r="C4678" s="70"/>
      <c r="D4678" s="70"/>
      <c r="E4678" s="70"/>
      <c r="F4678" s="70"/>
      <c r="G4678" s="70"/>
      <c r="H4678" s="93"/>
      <c r="I4678" s="85"/>
      <c r="J4678" s="85"/>
      <c r="K4678" s="131"/>
      <c r="L4678" s="60"/>
      <c r="M4678" s="33"/>
    </row>
    <row r="4679" spans="1:13" x14ac:dyDescent="0.15">
      <c r="A4679" s="70"/>
      <c r="B4679" s="117"/>
      <c r="C4679" s="70"/>
      <c r="D4679" s="70"/>
      <c r="E4679" s="70"/>
      <c r="F4679" s="70"/>
      <c r="G4679" s="70"/>
      <c r="H4679" s="93"/>
      <c r="I4679" s="85"/>
      <c r="J4679" s="85"/>
      <c r="K4679" s="131"/>
      <c r="L4679" s="60"/>
      <c r="M4679" s="33"/>
    </row>
    <row r="4680" spans="1:13" x14ac:dyDescent="0.15">
      <c r="A4680" s="70"/>
      <c r="B4680" s="117"/>
      <c r="C4680" s="70"/>
      <c r="D4680" s="70"/>
      <c r="E4680" s="73"/>
      <c r="F4680" s="70"/>
      <c r="G4680" s="70"/>
      <c r="H4680" s="93"/>
      <c r="I4680" s="85"/>
      <c r="J4680" s="85"/>
      <c r="K4680" s="131"/>
      <c r="L4680" s="60"/>
      <c r="M4680" s="33"/>
    </row>
    <row r="4681" spans="1:13" x14ac:dyDescent="0.15">
      <c r="A4681" s="70"/>
      <c r="B4681" s="117"/>
      <c r="C4681" s="70"/>
      <c r="D4681" s="70"/>
      <c r="E4681" s="70"/>
      <c r="F4681" s="70"/>
      <c r="G4681" s="70"/>
      <c r="H4681" s="93"/>
      <c r="I4681" s="85"/>
      <c r="J4681" s="85"/>
      <c r="K4681" s="131"/>
      <c r="L4681" s="60"/>
      <c r="M4681" s="33"/>
    </row>
    <row r="4682" spans="1:13" x14ac:dyDescent="0.15">
      <c r="A4682" s="83"/>
      <c r="B4682" s="118"/>
      <c r="C4682" s="83"/>
      <c r="D4682" s="83"/>
      <c r="E4682" s="83"/>
      <c r="F4682" s="83"/>
      <c r="G4682" s="83"/>
      <c r="H4682" s="82"/>
      <c r="I4682" s="85"/>
      <c r="J4682" s="85"/>
      <c r="K4682" s="139"/>
      <c r="L4682" s="72"/>
      <c r="M4682" s="31"/>
    </row>
    <row r="4683" spans="1:13" x14ac:dyDescent="0.15">
      <c r="A4683" s="83"/>
      <c r="B4683" s="118"/>
      <c r="C4683" s="83"/>
      <c r="D4683" s="83"/>
      <c r="E4683" s="83"/>
      <c r="F4683" s="83"/>
      <c r="G4683" s="83"/>
      <c r="H4683" s="82"/>
      <c r="I4683" s="85"/>
      <c r="J4683" s="85"/>
      <c r="K4683" s="139"/>
      <c r="L4683" s="72"/>
      <c r="M4683" s="31"/>
    </row>
    <row r="4684" spans="1:13" x14ac:dyDescent="0.15">
      <c r="A4684" s="70"/>
      <c r="B4684" s="117"/>
      <c r="C4684" s="70"/>
      <c r="D4684" s="70"/>
      <c r="E4684" s="70"/>
      <c r="F4684" s="70"/>
      <c r="G4684" s="70"/>
      <c r="H4684" s="93"/>
      <c r="I4684" s="85"/>
      <c r="J4684" s="85"/>
      <c r="K4684" s="131"/>
      <c r="L4684" s="60"/>
      <c r="M4684" s="33"/>
    </row>
    <row r="4685" spans="1:13" x14ac:dyDescent="0.15">
      <c r="A4685" s="70"/>
      <c r="B4685" s="117"/>
      <c r="C4685" s="70"/>
      <c r="D4685" s="70"/>
      <c r="E4685" s="70"/>
      <c r="F4685" s="70"/>
      <c r="G4685" s="70"/>
      <c r="H4685" s="93"/>
      <c r="I4685" s="85"/>
      <c r="J4685" s="85"/>
      <c r="K4685" s="131"/>
      <c r="L4685" s="60"/>
      <c r="M4685" s="33"/>
    </row>
    <row r="4686" spans="1:13" x14ac:dyDescent="0.15">
      <c r="A4686" s="70"/>
      <c r="B4686" s="117"/>
      <c r="C4686" s="70"/>
      <c r="D4686" s="70"/>
      <c r="E4686" s="70"/>
      <c r="F4686" s="70"/>
      <c r="G4686" s="70"/>
      <c r="H4686" s="93"/>
      <c r="I4686" s="85"/>
      <c r="J4686" s="85"/>
      <c r="K4686" s="131"/>
      <c r="L4686" s="60"/>
      <c r="M4686" s="33"/>
    </row>
    <row r="4687" spans="1:13" x14ac:dyDescent="0.15">
      <c r="A4687" s="70"/>
      <c r="B4687" s="117"/>
      <c r="C4687" s="70"/>
      <c r="D4687" s="70"/>
      <c r="E4687" s="70"/>
      <c r="F4687" s="70"/>
      <c r="G4687" s="70"/>
      <c r="H4687" s="93"/>
      <c r="I4687" s="85"/>
      <c r="J4687" s="85"/>
      <c r="K4687" s="131"/>
      <c r="L4687" s="60"/>
      <c r="M4687" s="33"/>
    </row>
    <row r="4688" spans="1:13" x14ac:dyDescent="0.15">
      <c r="A4688" s="70"/>
      <c r="B4688" s="117"/>
      <c r="C4688" s="70"/>
      <c r="D4688" s="70"/>
      <c r="E4688" s="70"/>
      <c r="F4688" s="70"/>
      <c r="G4688" s="70"/>
      <c r="H4688" s="93"/>
      <c r="I4688" s="85"/>
      <c r="J4688" s="85"/>
      <c r="K4688" s="131"/>
      <c r="L4688" s="60"/>
      <c r="M4688" s="33"/>
    </row>
    <row r="4689" spans="1:15" x14ac:dyDescent="0.15">
      <c r="A4689" s="70"/>
      <c r="B4689" s="117"/>
      <c r="C4689" s="70"/>
      <c r="D4689" s="70"/>
      <c r="E4689" s="70"/>
      <c r="F4689" s="70"/>
      <c r="G4689" s="70"/>
      <c r="H4689" s="93"/>
      <c r="I4689" s="85"/>
      <c r="J4689" s="85"/>
      <c r="K4689" s="131"/>
      <c r="L4689" s="60"/>
      <c r="M4689" s="33"/>
    </row>
    <row r="4690" spans="1:15" x14ac:dyDescent="0.15">
      <c r="A4690" s="70"/>
      <c r="B4690" s="118"/>
      <c r="C4690" s="70"/>
      <c r="D4690" s="70"/>
      <c r="E4690" s="70"/>
      <c r="F4690" s="70"/>
      <c r="G4690" s="70"/>
      <c r="H4690" s="93"/>
      <c r="I4690" s="85"/>
      <c r="J4690" s="85"/>
      <c r="K4690" s="131"/>
      <c r="L4690" s="60"/>
      <c r="M4690" s="33"/>
    </row>
    <row r="4691" spans="1:15" x14ac:dyDescent="0.15">
      <c r="A4691" s="70"/>
      <c r="B4691" s="117"/>
      <c r="C4691" s="70"/>
      <c r="D4691" s="70"/>
      <c r="E4691" s="70"/>
      <c r="F4691" s="70"/>
      <c r="G4691" s="70"/>
      <c r="H4691" s="93"/>
      <c r="I4691" s="85"/>
      <c r="J4691" s="85"/>
      <c r="K4691" s="131"/>
      <c r="L4691" s="60"/>
      <c r="M4691" s="33"/>
    </row>
    <row r="4692" spans="1:15" ht="16" x14ac:dyDescent="0.2">
      <c r="A4692" s="70"/>
      <c r="B4692" s="117"/>
      <c r="C4692" s="70"/>
      <c r="D4692" s="70"/>
      <c r="E4692" s="70"/>
      <c r="F4692" s="70"/>
      <c r="G4692" s="70"/>
      <c r="H4692" s="93"/>
      <c r="I4692" s="85"/>
      <c r="J4692" s="85"/>
      <c r="K4692" s="131"/>
      <c r="L4692" s="60"/>
      <c r="M4692" s="47"/>
    </row>
    <row r="4693" spans="1:15" x14ac:dyDescent="0.15">
      <c r="A4693" s="70"/>
      <c r="B4693" s="117"/>
      <c r="C4693" s="70"/>
      <c r="D4693" s="70"/>
      <c r="E4693" s="70"/>
      <c r="F4693" s="70"/>
      <c r="G4693" s="70"/>
      <c r="H4693" s="93"/>
      <c r="I4693" s="85"/>
      <c r="J4693" s="85"/>
      <c r="K4693" s="131"/>
      <c r="L4693" s="60"/>
      <c r="M4693" s="37"/>
    </row>
    <row r="4694" spans="1:15" x14ac:dyDescent="0.15">
      <c r="A4694" s="70"/>
      <c r="B4694" s="117"/>
      <c r="C4694" s="70"/>
      <c r="D4694" s="70"/>
      <c r="E4694" s="70"/>
      <c r="F4694" s="70"/>
      <c r="G4694" s="70"/>
      <c r="H4694" s="93"/>
      <c r="I4694" s="85"/>
      <c r="J4694" s="85"/>
      <c r="K4694" s="131"/>
      <c r="L4694" s="60"/>
      <c r="M4694" s="33"/>
    </row>
    <row r="4695" spans="1:15" x14ac:dyDescent="0.15">
      <c r="A4695" s="70"/>
      <c r="B4695" s="117"/>
      <c r="C4695" s="70"/>
      <c r="D4695" s="70"/>
      <c r="E4695" s="70"/>
      <c r="F4695" s="70"/>
      <c r="G4695" s="70"/>
      <c r="H4695" s="93"/>
      <c r="I4695" s="85"/>
      <c r="J4695" s="85"/>
      <c r="K4695" s="131"/>
      <c r="L4695" s="60"/>
      <c r="M4695" s="33"/>
    </row>
    <row r="4696" spans="1:15" ht="16" x14ac:dyDescent="0.2">
      <c r="A4696" s="70"/>
      <c r="B4696" s="117"/>
      <c r="C4696" s="70"/>
      <c r="D4696" s="70"/>
      <c r="E4696" s="70"/>
      <c r="F4696" s="70"/>
      <c r="G4696" s="70"/>
      <c r="H4696" s="93"/>
      <c r="I4696" s="85"/>
      <c r="J4696" s="85"/>
      <c r="K4696" s="131"/>
      <c r="L4696" s="60"/>
      <c r="M4696" s="47"/>
    </row>
    <row r="4697" spans="1:15" x14ac:dyDescent="0.15">
      <c r="A4697" s="70"/>
      <c r="B4697" s="117"/>
      <c r="C4697" s="70"/>
      <c r="D4697" s="70"/>
      <c r="E4697" s="70"/>
      <c r="F4697" s="70"/>
      <c r="G4697" s="70"/>
      <c r="H4697" s="93"/>
      <c r="I4697" s="85"/>
      <c r="J4697" s="85"/>
      <c r="K4697" s="131"/>
      <c r="L4697" s="60"/>
      <c r="M4697" s="33"/>
    </row>
    <row r="4698" spans="1:15" x14ac:dyDescent="0.15">
      <c r="A4698" s="70"/>
      <c r="B4698" s="117"/>
      <c r="C4698" s="70"/>
      <c r="D4698" s="70"/>
      <c r="E4698" s="70"/>
      <c r="F4698" s="70"/>
      <c r="G4698" s="70"/>
      <c r="H4698" s="93"/>
      <c r="I4698" s="85"/>
      <c r="J4698" s="85"/>
      <c r="K4698" s="131"/>
      <c r="L4698" s="60"/>
      <c r="M4698" s="33"/>
    </row>
    <row r="4699" spans="1:15" x14ac:dyDescent="0.15">
      <c r="A4699" s="70"/>
      <c r="B4699" s="117"/>
      <c r="C4699" s="70"/>
      <c r="D4699" s="70"/>
      <c r="E4699" s="70"/>
      <c r="F4699" s="70"/>
      <c r="G4699" s="70"/>
      <c r="H4699" s="93"/>
      <c r="I4699" s="85"/>
      <c r="J4699" s="85"/>
      <c r="K4699" s="131"/>
      <c r="L4699" s="60"/>
      <c r="M4699" s="33"/>
    </row>
    <row r="4700" spans="1:15" x14ac:dyDescent="0.15">
      <c r="A4700" s="70"/>
      <c r="B4700" s="117"/>
      <c r="C4700" s="70"/>
      <c r="D4700" s="70"/>
      <c r="E4700" s="70"/>
      <c r="F4700" s="70"/>
      <c r="G4700" s="70"/>
      <c r="H4700" s="93"/>
      <c r="I4700" s="85"/>
      <c r="J4700" s="85"/>
      <c r="K4700" s="131"/>
      <c r="L4700" s="60"/>
      <c r="M4700" s="33"/>
    </row>
    <row r="4701" spans="1:15" x14ac:dyDescent="0.15">
      <c r="A4701" s="70"/>
      <c r="B4701" s="117"/>
      <c r="C4701" s="70"/>
      <c r="D4701" s="70"/>
      <c r="E4701" s="70"/>
      <c r="F4701" s="70"/>
      <c r="G4701" s="70"/>
      <c r="H4701" s="93"/>
      <c r="I4701" s="85"/>
      <c r="J4701" s="85"/>
      <c r="K4701" s="131"/>
      <c r="L4701" s="60"/>
      <c r="M4701" s="37"/>
    </row>
    <row r="4702" spans="1:15" x14ac:dyDescent="0.15">
      <c r="A4702" s="70"/>
      <c r="B4702" s="117"/>
      <c r="C4702" s="62"/>
      <c r="D4702" s="62"/>
      <c r="E4702" s="62"/>
      <c r="F4702" s="62"/>
      <c r="G4702" s="62"/>
      <c r="H4702" s="97"/>
      <c r="I4702" s="85"/>
      <c r="J4702" s="98"/>
      <c r="L4702" s="67"/>
      <c r="M4702" s="35"/>
      <c r="N4702" s="32"/>
      <c r="O4702" s="33"/>
    </row>
    <row r="4703" spans="1:15" ht="16" x14ac:dyDescent="0.2">
      <c r="A4703" s="70"/>
      <c r="B4703" s="117"/>
      <c r="C4703" s="70"/>
      <c r="D4703" s="70"/>
      <c r="E4703" s="70"/>
      <c r="F4703" s="70"/>
      <c r="G4703" s="70"/>
      <c r="H4703" s="93"/>
      <c r="I4703" s="85"/>
      <c r="J4703" s="85"/>
      <c r="K4703" s="131"/>
      <c r="L4703" s="60"/>
      <c r="M4703" s="47"/>
    </row>
    <row r="4704" spans="1:15" x14ac:dyDescent="0.15">
      <c r="A4704" s="70"/>
      <c r="B4704" s="117"/>
      <c r="C4704" s="70"/>
      <c r="D4704" s="70"/>
      <c r="E4704" s="70"/>
      <c r="F4704" s="70"/>
      <c r="G4704" s="70"/>
      <c r="H4704" s="93"/>
      <c r="I4704" s="85"/>
      <c r="J4704" s="85"/>
      <c r="K4704" s="131"/>
      <c r="L4704" s="60"/>
      <c r="M4704" s="33"/>
    </row>
    <row r="4705" spans="1:14" ht="16" x14ac:dyDescent="0.2">
      <c r="A4705" s="70"/>
      <c r="B4705" s="117"/>
      <c r="C4705" s="70"/>
      <c r="D4705" s="70"/>
      <c r="E4705" s="70"/>
      <c r="F4705" s="70"/>
      <c r="G4705" s="70"/>
      <c r="H4705" s="93"/>
      <c r="I4705" s="85"/>
      <c r="J4705" s="85"/>
      <c r="K4705" s="131"/>
      <c r="L4705" s="66"/>
      <c r="M4705" s="47"/>
    </row>
    <row r="4706" spans="1:14" x14ac:dyDescent="0.15">
      <c r="A4706" s="70"/>
      <c r="B4706" s="117"/>
      <c r="C4706" s="73"/>
      <c r="D4706" s="73"/>
      <c r="E4706" s="73"/>
      <c r="F4706" s="73"/>
      <c r="G4706" s="73"/>
      <c r="H4706" s="93"/>
      <c r="I4706" s="85"/>
      <c r="J4706" s="95"/>
      <c r="K4706" s="131"/>
      <c r="L4706" s="60"/>
      <c r="M4706" s="37"/>
    </row>
    <row r="4707" spans="1:14" x14ac:dyDescent="0.15">
      <c r="A4707" s="62"/>
      <c r="B4707" s="117"/>
      <c r="C4707" s="62"/>
      <c r="D4707" s="62"/>
      <c r="E4707" s="62"/>
      <c r="F4707" s="62"/>
      <c r="G4707" s="62"/>
      <c r="H4707" s="97"/>
      <c r="I4707" s="85"/>
      <c r="J4707" s="98"/>
      <c r="K4707" s="131"/>
      <c r="L4707" s="67"/>
      <c r="M4707" s="35"/>
    </row>
    <row r="4708" spans="1:14" x14ac:dyDescent="0.15">
      <c r="A4708" s="70"/>
      <c r="B4708" s="117"/>
      <c r="C4708" s="70"/>
      <c r="D4708" s="70"/>
      <c r="E4708" s="70"/>
      <c r="F4708" s="70"/>
      <c r="G4708" s="70"/>
      <c r="H4708" s="93"/>
      <c r="I4708" s="85"/>
      <c r="J4708" s="85"/>
      <c r="K4708" s="131"/>
      <c r="L4708" s="60"/>
      <c r="M4708" s="33"/>
    </row>
    <row r="4709" spans="1:14" x14ac:dyDescent="0.15">
      <c r="A4709" s="70"/>
      <c r="B4709" s="117"/>
      <c r="C4709" s="70"/>
      <c r="D4709" s="70"/>
      <c r="E4709" s="70"/>
      <c r="F4709" s="70"/>
      <c r="G4709" s="70"/>
      <c r="H4709" s="93"/>
      <c r="I4709" s="85"/>
      <c r="J4709" s="85"/>
      <c r="K4709" s="131"/>
      <c r="L4709" s="60"/>
      <c r="M4709" s="33"/>
    </row>
    <row r="4710" spans="1:14" ht="16" x14ac:dyDescent="0.2">
      <c r="A4710" s="70"/>
      <c r="B4710" s="117"/>
      <c r="C4710" s="70"/>
      <c r="D4710" s="70"/>
      <c r="E4710" s="70"/>
      <c r="F4710" s="70"/>
      <c r="G4710" s="70"/>
      <c r="H4710" s="93"/>
      <c r="I4710" s="85"/>
      <c r="J4710" s="85"/>
      <c r="K4710" s="131"/>
      <c r="L4710" s="60"/>
      <c r="M4710" s="47"/>
    </row>
    <row r="4711" spans="1:14" x14ac:dyDescent="0.15">
      <c r="A4711" s="70"/>
      <c r="B4711" s="117"/>
      <c r="C4711" s="70"/>
      <c r="D4711" s="70"/>
      <c r="E4711" s="70"/>
      <c r="F4711" s="70"/>
      <c r="G4711" s="70"/>
      <c r="H4711" s="93"/>
      <c r="I4711" s="85"/>
      <c r="J4711" s="85"/>
      <c r="K4711" s="131"/>
      <c r="L4711" s="60"/>
      <c r="M4711" s="33"/>
    </row>
    <row r="4712" spans="1:14" x14ac:dyDescent="0.15">
      <c r="A4712" s="70"/>
      <c r="B4712" s="117"/>
      <c r="C4712" s="70"/>
      <c r="D4712" s="70"/>
      <c r="E4712" s="70"/>
      <c r="F4712" s="70"/>
      <c r="G4712" s="70"/>
      <c r="H4712" s="93"/>
      <c r="I4712" s="85"/>
      <c r="J4712" s="85"/>
      <c r="K4712" s="131"/>
      <c r="L4712" s="60"/>
      <c r="N4712" s="33"/>
    </row>
    <row r="4713" spans="1:14" x14ac:dyDescent="0.15">
      <c r="A4713" s="70"/>
      <c r="B4713" s="117"/>
      <c r="C4713" s="70"/>
      <c r="D4713" s="70"/>
      <c r="E4713" s="70"/>
      <c r="F4713" s="70"/>
      <c r="G4713" s="70"/>
      <c r="H4713" s="93"/>
      <c r="I4713" s="85"/>
      <c r="J4713" s="85"/>
      <c r="L4713" s="60"/>
      <c r="N4713" s="32"/>
    </row>
    <row r="4714" spans="1:14" x14ac:dyDescent="0.15">
      <c r="A4714" s="70"/>
      <c r="B4714" s="117"/>
      <c r="C4714" s="70"/>
      <c r="D4714" s="70"/>
      <c r="E4714" s="70"/>
      <c r="F4714" s="70"/>
      <c r="G4714" s="70"/>
      <c r="H4714" s="93"/>
      <c r="I4714" s="85"/>
      <c r="J4714" s="85"/>
      <c r="K4714" s="131"/>
      <c r="L4714" s="60"/>
      <c r="M4714" s="33"/>
    </row>
    <row r="4715" spans="1:14" x14ac:dyDescent="0.15">
      <c r="A4715" s="70"/>
      <c r="B4715" s="117"/>
      <c r="C4715" s="70"/>
      <c r="D4715" s="70"/>
      <c r="E4715" s="70"/>
      <c r="F4715" s="70"/>
      <c r="G4715" s="70"/>
      <c r="H4715" s="93"/>
      <c r="I4715" s="85"/>
      <c r="J4715" s="85"/>
      <c r="K4715" s="131"/>
      <c r="L4715" s="60"/>
      <c r="M4715" s="33"/>
    </row>
    <row r="4716" spans="1:14" ht="16" x14ac:dyDescent="0.2">
      <c r="A4716" s="70"/>
      <c r="B4716" s="117"/>
      <c r="C4716" s="70"/>
      <c r="D4716" s="70"/>
      <c r="E4716" s="70"/>
      <c r="F4716" s="70"/>
      <c r="G4716" s="70"/>
      <c r="H4716" s="93"/>
      <c r="I4716" s="85"/>
      <c r="J4716" s="85"/>
      <c r="K4716" s="131"/>
      <c r="L4716" s="60"/>
      <c r="M4716" s="47"/>
    </row>
    <row r="4717" spans="1:14" x14ac:dyDescent="0.15">
      <c r="A4717" s="70"/>
      <c r="B4717" s="117"/>
      <c r="C4717" s="70"/>
      <c r="D4717" s="70"/>
      <c r="E4717" s="70"/>
      <c r="F4717" s="70"/>
      <c r="G4717" s="70"/>
      <c r="H4717" s="93"/>
      <c r="I4717" s="85"/>
      <c r="J4717" s="85"/>
      <c r="K4717" s="131"/>
      <c r="L4717" s="60"/>
      <c r="M4717" s="33"/>
    </row>
    <row r="4718" spans="1:14" x14ac:dyDescent="0.15">
      <c r="A4718" s="70"/>
      <c r="B4718" s="117"/>
      <c r="C4718" s="70"/>
      <c r="D4718" s="70"/>
      <c r="E4718" s="70"/>
      <c r="F4718" s="70"/>
      <c r="G4718" s="70"/>
      <c r="H4718" s="93"/>
      <c r="I4718" s="85"/>
      <c r="J4718" s="85"/>
      <c r="K4718" s="131"/>
      <c r="L4718" s="60"/>
      <c r="M4718" s="33"/>
    </row>
    <row r="4719" spans="1:14" x14ac:dyDescent="0.15">
      <c r="A4719" s="70"/>
      <c r="B4719" s="117"/>
      <c r="C4719" s="70"/>
      <c r="D4719" s="70"/>
      <c r="E4719" s="73"/>
      <c r="F4719" s="70"/>
      <c r="G4719" s="70"/>
      <c r="H4719" s="93"/>
      <c r="I4719" s="85"/>
      <c r="J4719" s="85"/>
      <c r="K4719" s="131"/>
      <c r="L4719" s="60"/>
      <c r="N4719" s="33"/>
    </row>
    <row r="4720" spans="1:14" x14ac:dyDescent="0.15">
      <c r="A4720" s="70"/>
      <c r="B4720" s="117"/>
      <c r="C4720" s="70"/>
      <c r="D4720" s="70"/>
      <c r="E4720" s="70"/>
      <c r="F4720" s="70"/>
      <c r="G4720" s="70"/>
      <c r="H4720" s="93"/>
      <c r="I4720" s="85"/>
      <c r="J4720" s="85"/>
      <c r="K4720" s="131"/>
      <c r="L4720" s="60"/>
      <c r="M4720" s="33"/>
    </row>
    <row r="4721" spans="1:14" x14ac:dyDescent="0.15">
      <c r="A4721" s="70"/>
      <c r="B4721" s="117"/>
      <c r="C4721" s="70"/>
      <c r="D4721" s="70"/>
      <c r="E4721" s="70"/>
      <c r="F4721" s="70"/>
      <c r="G4721" s="70"/>
      <c r="H4721" s="93"/>
      <c r="I4721" s="85"/>
      <c r="J4721" s="85"/>
      <c r="K4721" s="131"/>
      <c r="L4721" s="60"/>
      <c r="M4721" s="33"/>
      <c r="N4721" s="33"/>
    </row>
    <row r="4722" spans="1:14" x14ac:dyDescent="0.15">
      <c r="A4722" s="70"/>
      <c r="B4722" s="117"/>
      <c r="C4722" s="70"/>
      <c r="D4722" s="70"/>
      <c r="E4722" s="70"/>
      <c r="F4722" s="70"/>
      <c r="G4722" s="70"/>
      <c r="H4722" s="93"/>
      <c r="I4722" s="85"/>
      <c r="J4722" s="85"/>
      <c r="K4722" s="131"/>
      <c r="L4722" s="67"/>
      <c r="M4722" s="33"/>
    </row>
    <row r="4723" spans="1:14" x14ac:dyDescent="0.15">
      <c r="A4723" s="70"/>
      <c r="B4723" s="117"/>
      <c r="C4723" s="70"/>
      <c r="D4723" s="70"/>
      <c r="E4723" s="70"/>
      <c r="F4723" s="70"/>
      <c r="G4723" s="70"/>
      <c r="H4723" s="93"/>
      <c r="I4723" s="85"/>
      <c r="J4723" s="85"/>
      <c r="K4723" s="131"/>
      <c r="L4723" s="60"/>
    </row>
    <row r="4724" spans="1:14" ht="16" x14ac:dyDescent="0.2">
      <c r="A4724" s="70"/>
      <c r="B4724" s="117"/>
      <c r="C4724" s="70"/>
      <c r="D4724" s="70"/>
      <c r="E4724" s="70"/>
      <c r="F4724" s="70"/>
      <c r="G4724" s="70"/>
      <c r="H4724" s="93"/>
      <c r="I4724" s="85"/>
      <c r="J4724" s="85"/>
      <c r="K4724" s="131"/>
      <c r="L4724" s="60"/>
      <c r="M4724" s="47"/>
    </row>
    <row r="4725" spans="1:14" x14ac:dyDescent="0.15">
      <c r="A4725" s="70"/>
      <c r="B4725" s="117"/>
      <c r="C4725" s="70"/>
      <c r="D4725" s="70"/>
      <c r="E4725" s="70"/>
      <c r="F4725" s="70"/>
      <c r="G4725" s="70"/>
      <c r="H4725" s="93"/>
      <c r="I4725" s="85"/>
      <c r="J4725" s="85"/>
      <c r="K4725" s="131"/>
      <c r="L4725" s="60"/>
      <c r="M4725" s="33"/>
    </row>
    <row r="4726" spans="1:14" x14ac:dyDescent="0.15">
      <c r="A4726" s="70"/>
      <c r="B4726" s="117"/>
      <c r="C4726" s="70"/>
      <c r="D4726" s="70"/>
      <c r="E4726" s="70"/>
      <c r="F4726" s="70"/>
      <c r="G4726" s="70"/>
      <c r="H4726" s="93"/>
      <c r="I4726" s="85"/>
      <c r="J4726" s="85"/>
      <c r="K4726" s="131"/>
      <c r="L4726" s="60"/>
      <c r="M4726" s="33"/>
    </row>
    <row r="4727" spans="1:14" x14ac:dyDescent="0.15">
      <c r="A4727" s="70"/>
      <c r="B4727" s="117"/>
      <c r="C4727" s="70"/>
      <c r="D4727" s="70"/>
      <c r="E4727" s="70"/>
      <c r="F4727" s="70"/>
      <c r="G4727" s="70"/>
      <c r="H4727" s="93"/>
      <c r="I4727" s="85"/>
      <c r="J4727" s="85"/>
      <c r="K4727" s="131"/>
      <c r="L4727" s="60"/>
      <c r="M4727" s="33"/>
    </row>
    <row r="4728" spans="1:14" ht="16" x14ac:dyDescent="0.2">
      <c r="A4728" s="70"/>
      <c r="B4728" s="117"/>
      <c r="C4728" s="70"/>
      <c r="D4728" s="70"/>
      <c r="E4728" s="70"/>
      <c r="F4728" s="70"/>
      <c r="G4728" s="70"/>
      <c r="H4728" s="93"/>
      <c r="I4728" s="85"/>
      <c r="J4728" s="85"/>
      <c r="K4728" s="131"/>
      <c r="L4728" s="60"/>
      <c r="M4728" s="47"/>
    </row>
    <row r="4729" spans="1:14" ht="16" x14ac:dyDescent="0.2">
      <c r="A4729" s="70"/>
      <c r="B4729" s="117"/>
      <c r="C4729" s="70"/>
      <c r="D4729" s="70"/>
      <c r="E4729" s="70"/>
      <c r="F4729" s="70"/>
      <c r="G4729" s="70"/>
      <c r="H4729" s="93"/>
      <c r="I4729" s="85"/>
      <c r="J4729" s="85"/>
      <c r="K4729" s="131"/>
      <c r="L4729" s="60"/>
      <c r="M4729" s="47"/>
    </row>
    <row r="4730" spans="1:14" x14ac:dyDescent="0.15">
      <c r="A4730" s="70"/>
      <c r="B4730" s="117"/>
      <c r="C4730" s="70"/>
      <c r="D4730" s="70"/>
      <c r="E4730" s="70"/>
      <c r="F4730" s="70"/>
      <c r="G4730" s="70"/>
      <c r="H4730" s="93"/>
      <c r="I4730" s="85"/>
      <c r="J4730" s="85"/>
      <c r="K4730" s="131"/>
      <c r="L4730" s="60"/>
      <c r="M4730" s="33"/>
    </row>
    <row r="4731" spans="1:14" x14ac:dyDescent="0.15">
      <c r="A4731" s="70"/>
      <c r="B4731" s="117"/>
      <c r="C4731" s="70"/>
      <c r="D4731" s="70"/>
      <c r="E4731" s="70"/>
      <c r="F4731" s="70"/>
      <c r="G4731" s="70"/>
      <c r="H4731" s="93"/>
      <c r="I4731" s="85"/>
      <c r="J4731" s="85"/>
      <c r="K4731" s="131"/>
      <c r="L4731" s="60"/>
      <c r="M4731" s="33"/>
    </row>
    <row r="4732" spans="1:14" x14ac:dyDescent="0.15">
      <c r="A4732" s="70"/>
      <c r="B4732" s="117"/>
      <c r="C4732" s="70"/>
      <c r="D4732" s="70"/>
      <c r="E4732" s="70"/>
      <c r="F4732" s="70"/>
      <c r="G4732" s="70"/>
      <c r="H4732" s="93"/>
      <c r="I4732" s="85"/>
      <c r="J4732" s="85"/>
      <c r="K4732" s="131"/>
      <c r="L4732" s="60"/>
      <c r="M4732" s="33"/>
    </row>
    <row r="4733" spans="1:14" x14ac:dyDescent="0.15">
      <c r="A4733" s="70"/>
      <c r="B4733" s="118"/>
      <c r="C4733" s="70"/>
      <c r="D4733" s="70"/>
      <c r="E4733" s="70"/>
      <c r="F4733" s="70"/>
      <c r="G4733" s="70"/>
      <c r="H4733" s="93"/>
      <c r="I4733" s="85"/>
      <c r="J4733" s="85"/>
      <c r="K4733" s="131"/>
      <c r="L4733" s="60"/>
      <c r="M4733" s="33"/>
    </row>
    <row r="4734" spans="1:14" x14ac:dyDescent="0.15">
      <c r="A4734" s="70"/>
      <c r="B4734" s="118"/>
      <c r="C4734" s="70"/>
      <c r="D4734" s="70"/>
      <c r="E4734" s="70"/>
      <c r="F4734" s="70"/>
      <c r="G4734" s="70"/>
      <c r="H4734" s="93"/>
      <c r="I4734" s="85"/>
      <c r="J4734" s="85"/>
      <c r="K4734" s="131"/>
      <c r="L4734" s="60"/>
      <c r="M4734" s="33"/>
    </row>
    <row r="4735" spans="1:14" x14ac:dyDescent="0.15">
      <c r="A4735" s="70"/>
      <c r="B4735" s="117"/>
      <c r="C4735" s="70"/>
      <c r="D4735" s="70"/>
      <c r="E4735" s="70"/>
      <c r="F4735" s="70"/>
      <c r="G4735" s="70"/>
      <c r="H4735" s="93"/>
      <c r="I4735" s="85"/>
      <c r="J4735" s="85"/>
      <c r="K4735" s="131"/>
      <c r="L4735" s="60"/>
      <c r="M4735" s="37"/>
    </row>
    <row r="4736" spans="1:14" x14ac:dyDescent="0.15">
      <c r="A4736" s="70"/>
      <c r="B4736" s="117"/>
      <c r="C4736" s="70"/>
      <c r="D4736" s="70"/>
      <c r="E4736" s="70"/>
      <c r="F4736" s="70"/>
      <c r="G4736" s="70"/>
      <c r="H4736" s="93"/>
      <c r="I4736" s="85"/>
      <c r="J4736" s="85"/>
      <c r="K4736" s="131"/>
      <c r="L4736" s="60"/>
      <c r="M4736" s="37"/>
    </row>
    <row r="4737" spans="1:13" x14ac:dyDescent="0.15">
      <c r="A4737" s="70"/>
      <c r="B4737" s="117"/>
      <c r="C4737" s="70"/>
      <c r="D4737" s="70"/>
      <c r="E4737" s="70"/>
      <c r="F4737" s="70"/>
      <c r="G4737" s="70"/>
      <c r="H4737" s="93"/>
      <c r="I4737" s="85"/>
      <c r="J4737" s="85"/>
      <c r="K4737" s="131"/>
      <c r="L4737" s="60"/>
      <c r="M4737" s="37"/>
    </row>
    <row r="4738" spans="1:13" x14ac:dyDescent="0.15">
      <c r="A4738" s="70"/>
      <c r="B4738" s="117"/>
      <c r="C4738" s="70"/>
      <c r="D4738" s="70"/>
      <c r="E4738" s="70"/>
      <c r="F4738" s="70"/>
      <c r="G4738" s="70"/>
      <c r="H4738" s="93"/>
      <c r="I4738" s="85"/>
      <c r="J4738" s="85"/>
      <c r="K4738" s="131"/>
      <c r="L4738" s="60"/>
      <c r="M4738" s="37"/>
    </row>
    <row r="4739" spans="1:13" x14ac:dyDescent="0.15">
      <c r="A4739" s="70"/>
      <c r="B4739" s="117"/>
      <c r="C4739" s="70"/>
      <c r="D4739" s="70"/>
      <c r="E4739" s="70"/>
      <c r="F4739" s="70"/>
      <c r="G4739" s="70"/>
      <c r="H4739" s="93"/>
      <c r="I4739" s="85"/>
      <c r="J4739" s="85"/>
      <c r="K4739" s="131"/>
      <c r="L4739" s="60"/>
      <c r="M4739" s="37"/>
    </row>
    <row r="4740" spans="1:13" x14ac:dyDescent="0.15">
      <c r="A4740" s="83"/>
      <c r="B4740" s="118"/>
      <c r="C4740" s="81"/>
      <c r="D4740" s="81"/>
      <c r="E4740" s="83"/>
      <c r="F4740" s="81"/>
      <c r="G4740" s="81"/>
      <c r="H4740" s="82"/>
      <c r="I4740" s="85"/>
      <c r="J4740" s="111"/>
      <c r="K4740" s="139"/>
      <c r="L4740" s="72"/>
      <c r="M4740" s="31"/>
    </row>
    <row r="4741" spans="1:13" x14ac:dyDescent="0.15">
      <c r="A4741" s="70"/>
      <c r="B4741" s="117"/>
      <c r="C4741" s="70"/>
      <c r="D4741" s="70"/>
      <c r="E4741" s="70"/>
      <c r="F4741" s="70"/>
      <c r="G4741" s="70"/>
      <c r="H4741" s="93"/>
      <c r="I4741" s="85"/>
      <c r="J4741" s="85"/>
      <c r="K4741" s="131"/>
      <c r="L4741" s="60"/>
      <c r="M4741" s="33"/>
    </row>
    <row r="4742" spans="1:13" ht="16" x14ac:dyDescent="0.2">
      <c r="A4742" s="70"/>
      <c r="B4742" s="117"/>
      <c r="C4742" s="70"/>
      <c r="D4742" s="70"/>
      <c r="E4742" s="70"/>
      <c r="F4742" s="70"/>
      <c r="G4742" s="70"/>
      <c r="H4742" s="93"/>
      <c r="I4742" s="85"/>
      <c r="J4742" s="85"/>
      <c r="K4742" s="131"/>
      <c r="L4742" s="60"/>
      <c r="M4742" s="47"/>
    </row>
    <row r="4743" spans="1:13" x14ac:dyDescent="0.15">
      <c r="A4743" s="70"/>
      <c r="B4743" s="117"/>
      <c r="C4743" s="70"/>
      <c r="D4743" s="70"/>
      <c r="E4743" s="70"/>
      <c r="F4743" s="70"/>
      <c r="G4743" s="70"/>
      <c r="H4743" s="93"/>
      <c r="I4743" s="85"/>
      <c r="J4743" s="85"/>
      <c r="K4743" s="131"/>
      <c r="L4743" s="60"/>
      <c r="M4743" s="33"/>
    </row>
    <row r="4744" spans="1:13" x14ac:dyDescent="0.15">
      <c r="A4744" s="70"/>
      <c r="B4744" s="117"/>
      <c r="C4744" s="70"/>
      <c r="D4744" s="70"/>
      <c r="E4744" s="70"/>
      <c r="F4744" s="70"/>
      <c r="G4744" s="70"/>
      <c r="H4744" s="93"/>
      <c r="I4744" s="85"/>
      <c r="J4744" s="85"/>
      <c r="K4744" s="131"/>
      <c r="L4744" s="60"/>
      <c r="M4744" s="33"/>
    </row>
    <row r="4745" spans="1:13" x14ac:dyDescent="0.15">
      <c r="A4745" s="70"/>
      <c r="B4745" s="118"/>
      <c r="C4745" s="70"/>
      <c r="D4745" s="70"/>
      <c r="E4745" s="70"/>
      <c r="F4745" s="70"/>
      <c r="G4745" s="70"/>
      <c r="H4745" s="93"/>
      <c r="I4745" s="85"/>
      <c r="J4745" s="85"/>
      <c r="K4745" s="131"/>
      <c r="L4745" s="60"/>
      <c r="M4745" s="33"/>
    </row>
    <row r="4746" spans="1:13" x14ac:dyDescent="0.15">
      <c r="A4746" s="70"/>
      <c r="B4746" s="117"/>
      <c r="C4746" s="70"/>
      <c r="D4746" s="70"/>
      <c r="E4746" s="70"/>
      <c r="F4746" s="70"/>
      <c r="G4746" s="70"/>
      <c r="H4746" s="93"/>
      <c r="I4746" s="85"/>
      <c r="J4746" s="85"/>
      <c r="K4746" s="131"/>
      <c r="L4746" s="60"/>
      <c r="M4746" s="33"/>
    </row>
    <row r="4747" spans="1:13" x14ac:dyDescent="0.15">
      <c r="A4747" s="70"/>
      <c r="B4747" s="118"/>
      <c r="C4747" s="70"/>
      <c r="D4747" s="73"/>
      <c r="E4747" s="73"/>
      <c r="F4747" s="73"/>
      <c r="G4747" s="73"/>
      <c r="H4747" s="93"/>
      <c r="I4747" s="85"/>
      <c r="J4747" s="95"/>
      <c r="K4747" s="131"/>
      <c r="L4747" s="60"/>
      <c r="M4747" s="33"/>
    </row>
    <row r="4748" spans="1:13" x14ac:dyDescent="0.15">
      <c r="A4748" s="70"/>
      <c r="B4748" s="118"/>
      <c r="C4748" s="70"/>
      <c r="D4748" s="70"/>
      <c r="E4748" s="70"/>
      <c r="F4748" s="70"/>
      <c r="G4748" s="70"/>
      <c r="H4748" s="93"/>
      <c r="I4748" s="85"/>
      <c r="J4748" s="85"/>
      <c r="K4748" s="131"/>
      <c r="L4748" s="60"/>
      <c r="M4748" s="33"/>
    </row>
    <row r="4749" spans="1:13" x14ac:dyDescent="0.15">
      <c r="A4749" s="70"/>
      <c r="B4749" s="117"/>
      <c r="C4749" s="70"/>
      <c r="D4749" s="70"/>
      <c r="E4749" s="70"/>
      <c r="F4749" s="70"/>
      <c r="G4749" s="70"/>
      <c r="H4749" s="93"/>
      <c r="I4749" s="85"/>
      <c r="J4749" s="85"/>
      <c r="K4749" s="131"/>
      <c r="L4749" s="60"/>
      <c r="M4749" s="33"/>
    </row>
    <row r="4750" spans="1:13" ht="16" x14ac:dyDescent="0.2">
      <c r="A4750" s="70"/>
      <c r="B4750" s="117"/>
      <c r="C4750" s="70"/>
      <c r="D4750" s="70"/>
      <c r="E4750" s="70"/>
      <c r="F4750" s="70"/>
      <c r="G4750" s="70"/>
      <c r="H4750" s="93"/>
      <c r="I4750" s="85"/>
      <c r="J4750" s="85"/>
      <c r="K4750" s="131"/>
      <c r="L4750" s="60"/>
      <c r="M4750" s="47"/>
    </row>
    <row r="4751" spans="1:13" x14ac:dyDescent="0.15">
      <c r="A4751" s="70"/>
      <c r="B4751" s="117"/>
      <c r="C4751" s="70"/>
      <c r="D4751" s="70"/>
      <c r="E4751" s="70"/>
      <c r="F4751" s="70"/>
      <c r="G4751" s="70"/>
      <c r="H4751" s="93"/>
      <c r="I4751" s="85"/>
      <c r="J4751" s="85"/>
      <c r="K4751" s="131"/>
      <c r="L4751" s="60"/>
      <c r="M4751" s="33"/>
    </row>
    <row r="4752" spans="1:13" x14ac:dyDescent="0.15">
      <c r="A4752" s="70"/>
      <c r="B4752" s="117"/>
      <c r="C4752" s="70"/>
      <c r="D4752" s="70"/>
      <c r="E4752" s="70"/>
      <c r="F4752" s="70"/>
      <c r="G4752" s="70"/>
      <c r="H4752" s="93"/>
      <c r="I4752" s="85"/>
      <c r="J4752" s="85"/>
      <c r="K4752" s="131"/>
      <c r="L4752" s="60"/>
      <c r="M4752" s="33"/>
    </row>
    <row r="4753" spans="1:15" x14ac:dyDescent="0.15">
      <c r="A4753" s="70"/>
      <c r="B4753" s="118"/>
      <c r="C4753" s="70"/>
      <c r="D4753" s="70"/>
      <c r="E4753" s="70"/>
      <c r="F4753" s="70"/>
      <c r="G4753" s="70"/>
      <c r="H4753" s="93"/>
      <c r="I4753" s="85"/>
      <c r="J4753" s="85"/>
      <c r="K4753" s="131"/>
      <c r="L4753" s="60"/>
      <c r="M4753" s="33"/>
      <c r="O4753" s="33"/>
    </row>
    <row r="4754" spans="1:15" x14ac:dyDescent="0.15">
      <c r="A4754" s="70"/>
      <c r="B4754" s="118"/>
      <c r="C4754" s="70"/>
      <c r="D4754" s="70"/>
      <c r="E4754" s="70"/>
      <c r="F4754" s="70"/>
      <c r="G4754" s="70"/>
      <c r="H4754" s="93"/>
      <c r="I4754" s="85"/>
      <c r="J4754" s="85"/>
      <c r="K4754" s="131"/>
      <c r="L4754" s="60"/>
      <c r="M4754" s="33"/>
    </row>
    <row r="4755" spans="1:15" x14ac:dyDescent="0.15">
      <c r="A4755" s="70"/>
      <c r="B4755" s="118"/>
      <c r="C4755" s="70"/>
      <c r="D4755" s="70"/>
      <c r="E4755" s="70"/>
      <c r="F4755" s="70"/>
      <c r="G4755" s="70"/>
      <c r="H4755" s="93"/>
      <c r="I4755" s="85"/>
      <c r="J4755" s="85"/>
      <c r="K4755" s="131"/>
      <c r="L4755" s="60"/>
      <c r="M4755" s="33"/>
    </row>
    <row r="4756" spans="1:15" x14ac:dyDescent="0.15">
      <c r="A4756" s="70"/>
      <c r="B4756" s="118"/>
      <c r="C4756" s="70"/>
      <c r="D4756" s="70"/>
      <c r="E4756" s="70"/>
      <c r="F4756" s="70"/>
      <c r="G4756" s="70"/>
      <c r="H4756" s="93"/>
      <c r="I4756" s="85"/>
      <c r="J4756" s="85"/>
      <c r="K4756" s="131"/>
      <c r="L4756" s="63"/>
      <c r="M4756" s="33"/>
    </row>
    <row r="4757" spans="1:15" x14ac:dyDescent="0.15">
      <c r="A4757" s="70"/>
      <c r="B4757" s="117"/>
      <c r="C4757" s="70"/>
      <c r="D4757" s="70"/>
      <c r="E4757" s="70"/>
      <c r="F4757" s="70"/>
      <c r="G4757" s="70"/>
      <c r="H4757" s="93"/>
      <c r="I4757" s="85"/>
      <c r="J4757" s="85"/>
      <c r="K4757" s="131"/>
      <c r="L4757" s="60"/>
      <c r="M4757" s="33"/>
    </row>
    <row r="4758" spans="1:15" x14ac:dyDescent="0.15">
      <c r="A4758" s="70"/>
      <c r="B4758" s="117"/>
      <c r="C4758" s="70"/>
      <c r="D4758" s="70"/>
      <c r="E4758" s="70"/>
      <c r="F4758" s="70"/>
      <c r="G4758" s="70"/>
      <c r="H4758" s="93"/>
      <c r="I4758" s="85"/>
      <c r="J4758" s="85"/>
      <c r="K4758" s="131"/>
      <c r="L4758" s="60"/>
      <c r="M4758" s="33"/>
    </row>
    <row r="4759" spans="1:15" x14ac:dyDescent="0.15">
      <c r="A4759" s="62"/>
      <c r="B4759" s="117"/>
      <c r="C4759" s="62"/>
      <c r="D4759" s="62"/>
      <c r="E4759" s="62"/>
      <c r="F4759" s="62"/>
      <c r="G4759" s="62"/>
      <c r="H4759" s="97"/>
      <c r="I4759" s="85"/>
      <c r="J4759" s="98"/>
      <c r="K4759" s="135"/>
      <c r="L4759" s="66"/>
      <c r="M4759" s="35"/>
    </row>
    <row r="4760" spans="1:15" x14ac:dyDescent="0.15">
      <c r="A4760" s="70"/>
      <c r="B4760" s="117"/>
      <c r="C4760" s="70"/>
      <c r="D4760" s="70"/>
      <c r="E4760" s="70"/>
      <c r="F4760" s="70"/>
      <c r="G4760" s="70"/>
      <c r="H4760" s="93"/>
      <c r="I4760" s="85"/>
      <c r="J4760" s="85"/>
      <c r="K4760" s="131"/>
      <c r="L4760" s="60"/>
      <c r="M4760" s="33"/>
    </row>
    <row r="4761" spans="1:15" x14ac:dyDescent="0.15">
      <c r="A4761" s="70"/>
      <c r="B4761" s="117"/>
      <c r="C4761" s="70"/>
      <c r="D4761" s="70"/>
      <c r="E4761" s="70"/>
      <c r="F4761" s="70"/>
      <c r="G4761" s="70"/>
      <c r="H4761" s="93"/>
      <c r="I4761" s="85"/>
      <c r="J4761" s="85"/>
      <c r="L4761" s="60"/>
      <c r="M4761" s="37"/>
      <c r="N4761" s="32"/>
    </row>
    <row r="4762" spans="1:15" x14ac:dyDescent="0.15">
      <c r="A4762" s="70"/>
      <c r="B4762" s="117"/>
      <c r="C4762" s="70"/>
      <c r="D4762" s="70"/>
      <c r="E4762" s="70"/>
      <c r="F4762" s="70"/>
      <c r="G4762" s="70"/>
      <c r="H4762" s="93"/>
      <c r="I4762" s="85"/>
      <c r="J4762" s="85"/>
      <c r="K4762" s="131"/>
      <c r="L4762" s="60"/>
      <c r="M4762" s="33"/>
    </row>
    <row r="4763" spans="1:15" x14ac:dyDescent="0.15">
      <c r="A4763" s="70"/>
      <c r="B4763" s="117"/>
      <c r="C4763" s="70"/>
      <c r="D4763" s="70"/>
      <c r="E4763" s="70"/>
      <c r="F4763" s="70"/>
      <c r="G4763" s="70"/>
      <c r="H4763" s="93"/>
      <c r="I4763" s="85"/>
      <c r="J4763" s="85"/>
      <c r="K4763" s="134"/>
      <c r="L4763" s="60"/>
      <c r="M4763" s="33"/>
    </row>
    <row r="4764" spans="1:15" x14ac:dyDescent="0.15">
      <c r="A4764" s="70"/>
      <c r="B4764" s="117"/>
      <c r="C4764" s="70"/>
      <c r="D4764" s="70"/>
      <c r="E4764" s="70"/>
      <c r="F4764" s="70"/>
      <c r="G4764" s="70"/>
      <c r="H4764" s="93"/>
      <c r="I4764" s="85"/>
      <c r="J4764" s="85"/>
      <c r="K4764" s="131"/>
      <c r="L4764" s="60"/>
      <c r="M4764" s="33"/>
    </row>
    <row r="4765" spans="1:15" x14ac:dyDescent="0.15">
      <c r="A4765" s="70"/>
      <c r="B4765" s="117"/>
      <c r="C4765" s="70"/>
      <c r="D4765" s="70"/>
      <c r="E4765" s="70"/>
      <c r="F4765" s="70"/>
      <c r="G4765" s="70"/>
      <c r="H4765" s="93"/>
      <c r="I4765" s="85"/>
      <c r="J4765" s="85"/>
      <c r="K4765" s="131"/>
      <c r="L4765" s="63"/>
      <c r="M4765" s="37"/>
    </row>
    <row r="4766" spans="1:15" x14ac:dyDescent="0.15">
      <c r="A4766" s="70"/>
      <c r="B4766" s="117"/>
      <c r="C4766" s="70"/>
      <c r="D4766" s="70"/>
      <c r="E4766" s="70"/>
      <c r="F4766" s="70"/>
      <c r="G4766" s="70"/>
      <c r="H4766" s="93"/>
      <c r="I4766" s="85"/>
      <c r="J4766" s="85"/>
      <c r="K4766" s="131"/>
      <c r="L4766" s="60"/>
    </row>
    <row r="4767" spans="1:15" x14ac:dyDescent="0.15">
      <c r="A4767" s="70"/>
      <c r="B4767" s="118"/>
      <c r="C4767" s="70"/>
      <c r="D4767" s="70"/>
      <c r="E4767" s="70"/>
      <c r="F4767" s="70"/>
      <c r="G4767" s="70"/>
      <c r="H4767" s="93"/>
      <c r="I4767" s="85"/>
      <c r="J4767" s="85"/>
      <c r="K4767" s="131"/>
      <c r="L4767" s="60"/>
      <c r="M4767" s="33"/>
    </row>
    <row r="4768" spans="1:15" x14ac:dyDescent="0.15">
      <c r="A4768" s="70"/>
      <c r="B4768" s="118"/>
      <c r="C4768" s="70"/>
      <c r="D4768" s="70"/>
      <c r="E4768" s="70"/>
      <c r="F4768" s="70"/>
      <c r="G4768" s="70"/>
      <c r="H4768" s="93"/>
      <c r="I4768" s="85"/>
      <c r="J4768" s="85"/>
      <c r="K4768" s="131"/>
      <c r="L4768" s="60"/>
      <c r="M4768" s="33"/>
    </row>
    <row r="4769" spans="1:13" x14ac:dyDescent="0.15">
      <c r="A4769" s="70"/>
      <c r="B4769" s="117"/>
      <c r="C4769" s="70"/>
      <c r="D4769" s="70"/>
      <c r="E4769" s="70"/>
      <c r="F4769" s="70"/>
      <c r="G4769" s="70"/>
      <c r="H4769" s="93"/>
      <c r="I4769" s="85"/>
      <c r="J4769" s="85"/>
      <c r="K4769" s="131"/>
      <c r="L4769" s="60"/>
      <c r="M4769" s="33"/>
    </row>
    <row r="4770" spans="1:13" x14ac:dyDescent="0.15">
      <c r="A4770" s="70"/>
      <c r="B4770" s="117"/>
      <c r="C4770" s="70"/>
      <c r="D4770" s="70"/>
      <c r="E4770" s="70"/>
      <c r="F4770" s="70"/>
      <c r="G4770" s="70"/>
      <c r="H4770" s="93"/>
      <c r="I4770" s="85"/>
      <c r="J4770" s="85"/>
      <c r="K4770" s="131"/>
      <c r="L4770" s="60"/>
      <c r="M4770" s="33"/>
    </row>
    <row r="4771" spans="1:13" x14ac:dyDescent="0.15">
      <c r="A4771" s="70"/>
      <c r="B4771" s="117"/>
      <c r="C4771" s="70"/>
      <c r="D4771" s="70"/>
      <c r="E4771" s="70"/>
      <c r="F4771" s="70"/>
      <c r="G4771" s="70"/>
      <c r="H4771" s="93"/>
      <c r="I4771" s="85"/>
      <c r="J4771" s="85"/>
      <c r="K4771" s="131"/>
      <c r="L4771" s="60"/>
      <c r="M4771" s="33"/>
    </row>
    <row r="4772" spans="1:13" x14ac:dyDescent="0.15">
      <c r="A4772" s="70"/>
      <c r="B4772" s="118"/>
      <c r="C4772" s="70"/>
      <c r="D4772" s="70"/>
      <c r="E4772" s="70"/>
      <c r="F4772" s="70"/>
      <c r="G4772" s="70"/>
      <c r="H4772" s="93"/>
      <c r="I4772" s="85"/>
      <c r="J4772" s="85"/>
      <c r="K4772" s="131"/>
      <c r="L4772" s="60"/>
      <c r="M4772" s="33"/>
    </row>
    <row r="4773" spans="1:13" x14ac:dyDescent="0.15">
      <c r="A4773" s="70"/>
      <c r="B4773" s="118"/>
      <c r="C4773" s="70"/>
      <c r="D4773" s="70"/>
      <c r="E4773" s="70"/>
      <c r="F4773" s="70"/>
      <c r="G4773" s="70"/>
      <c r="H4773" s="93"/>
      <c r="I4773" s="85"/>
      <c r="J4773" s="85"/>
      <c r="K4773" s="131"/>
      <c r="L4773" s="60"/>
      <c r="M4773" s="33"/>
    </row>
    <row r="4774" spans="1:13" x14ac:dyDescent="0.15">
      <c r="A4774" s="70"/>
      <c r="B4774" s="118"/>
      <c r="C4774" s="70"/>
      <c r="D4774" s="70"/>
      <c r="E4774" s="70"/>
      <c r="F4774" s="70"/>
      <c r="G4774" s="70"/>
      <c r="H4774" s="93"/>
      <c r="I4774" s="85"/>
      <c r="J4774" s="85"/>
      <c r="K4774" s="131"/>
      <c r="L4774" s="60"/>
      <c r="M4774" s="33"/>
    </row>
    <row r="4775" spans="1:13" x14ac:dyDescent="0.15">
      <c r="A4775" s="70"/>
      <c r="B4775" s="117"/>
      <c r="C4775" s="70"/>
      <c r="D4775" s="70"/>
      <c r="E4775" s="70"/>
      <c r="F4775" s="70"/>
      <c r="G4775" s="70"/>
      <c r="H4775" s="93"/>
      <c r="I4775" s="85"/>
      <c r="J4775" s="85"/>
      <c r="K4775" s="131"/>
      <c r="L4775" s="60"/>
      <c r="M4775" s="33"/>
    </row>
    <row r="4776" spans="1:13" x14ac:dyDescent="0.15">
      <c r="A4776" s="70"/>
      <c r="B4776" s="117"/>
      <c r="C4776" s="70"/>
      <c r="D4776" s="70"/>
      <c r="E4776" s="70"/>
      <c r="F4776" s="70"/>
      <c r="G4776" s="70"/>
      <c r="H4776" s="93"/>
      <c r="I4776" s="85"/>
      <c r="J4776" s="85"/>
      <c r="K4776" s="131"/>
      <c r="L4776" s="60"/>
      <c r="M4776" s="33"/>
    </row>
    <row r="4777" spans="1:13" x14ac:dyDescent="0.15">
      <c r="A4777" s="70"/>
      <c r="B4777" s="117"/>
      <c r="C4777" s="70"/>
      <c r="D4777" s="70"/>
      <c r="E4777" s="70"/>
      <c r="F4777" s="70"/>
      <c r="G4777" s="70"/>
      <c r="H4777" s="93"/>
      <c r="I4777" s="85"/>
      <c r="J4777" s="85"/>
      <c r="K4777" s="131"/>
      <c r="L4777" s="60"/>
      <c r="M4777" s="33"/>
    </row>
    <row r="4778" spans="1:13" x14ac:dyDescent="0.15">
      <c r="A4778" s="70"/>
      <c r="B4778" s="117"/>
      <c r="C4778" s="70"/>
      <c r="D4778" s="70"/>
      <c r="E4778" s="70"/>
      <c r="F4778" s="70"/>
      <c r="G4778" s="70"/>
      <c r="H4778" s="93"/>
      <c r="I4778" s="85"/>
      <c r="J4778" s="85"/>
      <c r="K4778" s="131"/>
      <c r="L4778" s="60"/>
      <c r="M4778" s="33"/>
    </row>
    <row r="4779" spans="1:13" x14ac:dyDescent="0.15">
      <c r="A4779" s="70"/>
      <c r="B4779" s="117"/>
      <c r="C4779" s="70"/>
      <c r="D4779" s="70"/>
      <c r="E4779" s="70"/>
      <c r="F4779" s="70"/>
      <c r="G4779" s="70"/>
      <c r="H4779" s="93"/>
      <c r="I4779" s="85"/>
      <c r="J4779" s="85"/>
      <c r="K4779" s="131"/>
      <c r="L4779" s="60"/>
      <c r="M4779" s="33"/>
    </row>
    <row r="4780" spans="1:13" x14ac:dyDescent="0.15">
      <c r="A4780" s="70"/>
      <c r="B4780" s="117"/>
      <c r="C4780" s="70"/>
      <c r="D4780" s="70"/>
      <c r="E4780" s="70"/>
      <c r="F4780" s="70"/>
      <c r="G4780" s="70"/>
      <c r="H4780" s="93"/>
      <c r="I4780" s="85"/>
      <c r="J4780" s="85"/>
      <c r="K4780" s="131"/>
      <c r="L4780" s="60"/>
      <c r="M4780" s="33"/>
    </row>
    <row r="4781" spans="1:13" x14ac:dyDescent="0.15">
      <c r="A4781" s="70"/>
      <c r="B4781" s="117"/>
      <c r="C4781" s="70"/>
      <c r="D4781" s="70"/>
      <c r="E4781" s="73"/>
      <c r="F4781" s="70"/>
      <c r="G4781" s="70"/>
      <c r="H4781" s="93"/>
      <c r="I4781" s="85"/>
      <c r="J4781" s="85"/>
      <c r="K4781" s="131"/>
      <c r="L4781" s="60"/>
      <c r="M4781" s="33"/>
    </row>
    <row r="4782" spans="1:13" x14ac:dyDescent="0.15">
      <c r="A4782" s="70"/>
      <c r="B4782" s="117"/>
      <c r="C4782" s="70"/>
      <c r="D4782" s="70"/>
      <c r="E4782" s="70"/>
      <c r="F4782" s="70"/>
      <c r="G4782" s="70"/>
      <c r="H4782" s="93"/>
      <c r="I4782" s="85"/>
      <c r="J4782" s="85"/>
      <c r="K4782" s="131"/>
      <c r="L4782" s="60"/>
      <c r="M4782" s="33"/>
    </row>
    <row r="4783" spans="1:13" x14ac:dyDescent="0.15">
      <c r="A4783" s="70"/>
      <c r="B4783" s="117"/>
      <c r="C4783" s="70"/>
      <c r="D4783" s="70"/>
      <c r="E4783" s="70"/>
      <c r="F4783" s="70"/>
      <c r="G4783" s="70"/>
      <c r="H4783" s="93"/>
      <c r="I4783" s="85"/>
      <c r="J4783" s="85"/>
      <c r="K4783" s="131"/>
      <c r="L4783" s="60"/>
      <c r="M4783" s="33"/>
    </row>
    <row r="4784" spans="1:13" x14ac:dyDescent="0.15">
      <c r="A4784" s="70"/>
      <c r="B4784" s="117"/>
      <c r="C4784" s="70"/>
      <c r="D4784" s="70"/>
      <c r="E4784" s="70"/>
      <c r="F4784" s="70"/>
      <c r="G4784" s="70"/>
      <c r="H4784" s="93"/>
      <c r="I4784" s="85"/>
      <c r="J4784" s="85"/>
      <c r="K4784" s="131"/>
      <c r="L4784" s="60"/>
      <c r="M4784" s="33"/>
    </row>
    <row r="4785" spans="1:14" ht="16" x14ac:dyDescent="0.2">
      <c r="A4785" s="70"/>
      <c r="B4785" s="117"/>
      <c r="C4785" s="70"/>
      <c r="D4785" s="70"/>
      <c r="E4785" s="70"/>
      <c r="F4785" s="70"/>
      <c r="G4785" s="70"/>
      <c r="H4785" s="93"/>
      <c r="I4785" s="85"/>
      <c r="J4785" s="85"/>
      <c r="K4785" s="131"/>
      <c r="L4785" s="60"/>
      <c r="M4785" s="47"/>
    </row>
    <row r="4786" spans="1:14" x14ac:dyDescent="0.15">
      <c r="A4786" s="70"/>
      <c r="B4786" s="118"/>
      <c r="C4786" s="70"/>
      <c r="D4786" s="70"/>
      <c r="E4786" s="70"/>
      <c r="F4786" s="70"/>
      <c r="G4786" s="70"/>
      <c r="H4786" s="93"/>
      <c r="I4786" s="85"/>
      <c r="J4786" s="85"/>
      <c r="K4786" s="131"/>
      <c r="L4786" s="60"/>
      <c r="M4786" s="33"/>
    </row>
    <row r="4787" spans="1:14" x14ac:dyDescent="0.15">
      <c r="A4787" s="70"/>
      <c r="B4787" s="117"/>
      <c r="C4787" s="70"/>
      <c r="D4787" s="70"/>
      <c r="E4787" s="70"/>
      <c r="F4787" s="70"/>
      <c r="G4787" s="70"/>
      <c r="H4787" s="93"/>
      <c r="I4787" s="85"/>
      <c r="J4787" s="85"/>
      <c r="K4787" s="131"/>
      <c r="L4787" s="60"/>
      <c r="M4787" s="33"/>
    </row>
    <row r="4788" spans="1:14" x14ac:dyDescent="0.15">
      <c r="A4788" s="70"/>
      <c r="B4788" s="117"/>
      <c r="C4788" s="70"/>
      <c r="D4788" s="70"/>
      <c r="E4788" s="70"/>
      <c r="F4788" s="70"/>
      <c r="G4788" s="70"/>
      <c r="H4788" s="93"/>
      <c r="I4788" s="85"/>
      <c r="J4788" s="85"/>
      <c r="K4788" s="131"/>
      <c r="L4788" s="70"/>
      <c r="M4788" s="33"/>
    </row>
    <row r="4789" spans="1:14" x14ac:dyDescent="0.15">
      <c r="A4789" s="70"/>
      <c r="B4789" s="117"/>
      <c r="C4789" s="70"/>
      <c r="D4789" s="70"/>
      <c r="E4789" s="70"/>
      <c r="F4789" s="70"/>
      <c r="G4789" s="70"/>
      <c r="H4789" s="93"/>
      <c r="I4789" s="85"/>
      <c r="J4789" s="85"/>
      <c r="K4789" s="131"/>
      <c r="L4789" s="60"/>
      <c r="M4789" s="33"/>
    </row>
    <row r="4790" spans="1:14" x14ac:dyDescent="0.15">
      <c r="A4790" s="70"/>
      <c r="B4790" s="117"/>
      <c r="C4790" s="70"/>
      <c r="D4790" s="70"/>
      <c r="E4790" s="70"/>
      <c r="F4790" s="70"/>
      <c r="G4790" s="70"/>
      <c r="H4790" s="93"/>
      <c r="I4790" s="85"/>
      <c r="J4790" s="85"/>
      <c r="K4790" s="131"/>
      <c r="L4790" s="60"/>
      <c r="M4790" s="33"/>
    </row>
    <row r="4791" spans="1:14" x14ac:dyDescent="0.15">
      <c r="A4791" s="70"/>
      <c r="B4791" s="117"/>
      <c r="C4791" s="70"/>
      <c r="D4791" s="70"/>
      <c r="E4791" s="70"/>
      <c r="F4791" s="70"/>
      <c r="G4791" s="70"/>
      <c r="H4791" s="93"/>
      <c r="I4791" s="85"/>
      <c r="J4791" s="85"/>
      <c r="K4791" s="131"/>
      <c r="L4791" s="60"/>
      <c r="M4791" s="33"/>
    </row>
    <row r="4792" spans="1:14" x14ac:dyDescent="0.15">
      <c r="A4792" s="70"/>
      <c r="B4792" s="117"/>
      <c r="C4792" s="70"/>
      <c r="D4792" s="70"/>
      <c r="E4792" s="70"/>
      <c r="F4792" s="70"/>
      <c r="G4792" s="70"/>
      <c r="H4792" s="93"/>
      <c r="I4792" s="85"/>
      <c r="J4792" s="85"/>
      <c r="K4792" s="131"/>
      <c r="L4792" s="60"/>
      <c r="M4792" s="33"/>
    </row>
    <row r="4793" spans="1:14" ht="16" x14ac:dyDescent="0.2">
      <c r="A4793" s="70"/>
      <c r="B4793" s="117"/>
      <c r="C4793" s="70"/>
      <c r="D4793" s="70"/>
      <c r="E4793" s="70"/>
      <c r="F4793" s="70"/>
      <c r="G4793" s="70"/>
      <c r="H4793" s="93"/>
      <c r="I4793" s="85"/>
      <c r="J4793" s="85"/>
      <c r="K4793" s="131"/>
      <c r="L4793" s="60"/>
      <c r="M4793" s="33"/>
      <c r="N4793" s="48"/>
    </row>
    <row r="4794" spans="1:14" x14ac:dyDescent="0.15">
      <c r="A4794" s="70"/>
      <c r="B4794" s="117"/>
      <c r="C4794" s="70"/>
      <c r="D4794" s="70"/>
      <c r="E4794" s="70"/>
      <c r="F4794" s="70"/>
      <c r="G4794" s="70"/>
      <c r="H4794" s="93"/>
      <c r="I4794" s="85"/>
      <c r="J4794" s="85"/>
      <c r="K4794" s="131"/>
      <c r="L4794" s="60"/>
      <c r="M4794" s="33"/>
    </row>
    <row r="4795" spans="1:14" x14ac:dyDescent="0.15">
      <c r="A4795" s="83"/>
      <c r="B4795" s="117"/>
      <c r="C4795" s="70"/>
      <c r="D4795" s="70"/>
      <c r="E4795" s="70"/>
      <c r="F4795" s="70"/>
      <c r="G4795" s="70"/>
      <c r="H4795" s="93"/>
      <c r="I4795" s="85"/>
      <c r="J4795" s="85"/>
      <c r="K4795" s="131"/>
      <c r="L4795" s="60"/>
      <c r="M4795" s="33"/>
    </row>
    <row r="4796" spans="1:14" x14ac:dyDescent="0.15">
      <c r="A4796" s="70"/>
      <c r="B4796" s="117"/>
      <c r="C4796" s="70"/>
      <c r="D4796" s="70"/>
      <c r="E4796" s="70"/>
      <c r="F4796" s="70"/>
      <c r="G4796" s="70"/>
      <c r="H4796" s="93"/>
      <c r="I4796" s="85"/>
      <c r="J4796" s="85"/>
      <c r="K4796" s="131"/>
      <c r="L4796" s="60"/>
      <c r="M4796" s="33"/>
    </row>
    <row r="4797" spans="1:14" x14ac:dyDescent="0.15">
      <c r="A4797" s="70"/>
      <c r="B4797" s="117"/>
      <c r="C4797" s="70"/>
      <c r="D4797" s="70"/>
      <c r="E4797" s="70"/>
      <c r="F4797" s="70"/>
      <c r="G4797" s="70"/>
      <c r="H4797" s="93"/>
      <c r="I4797" s="85"/>
      <c r="J4797" s="85"/>
      <c r="K4797" s="131"/>
      <c r="L4797" s="60"/>
      <c r="M4797" s="33"/>
    </row>
    <row r="4798" spans="1:14" x14ac:dyDescent="0.15">
      <c r="A4798" s="70"/>
      <c r="B4798" s="117"/>
      <c r="C4798" s="70"/>
      <c r="D4798" s="70"/>
      <c r="E4798" s="70"/>
      <c r="F4798" s="70"/>
      <c r="G4798" s="70"/>
      <c r="H4798" s="93"/>
      <c r="I4798" s="85"/>
      <c r="J4798" s="85"/>
      <c r="K4798" s="131"/>
      <c r="L4798" s="60"/>
      <c r="M4798" s="33"/>
    </row>
    <row r="4799" spans="1:14" x14ac:dyDescent="0.15">
      <c r="A4799" s="70"/>
      <c r="B4799" s="117"/>
      <c r="C4799" s="70"/>
      <c r="D4799" s="70"/>
      <c r="E4799" s="70"/>
      <c r="F4799" s="70"/>
      <c r="G4799" s="70"/>
      <c r="H4799" s="93"/>
      <c r="I4799" s="85"/>
      <c r="J4799" s="85"/>
      <c r="K4799" s="131"/>
      <c r="L4799" s="60"/>
      <c r="M4799" s="33"/>
    </row>
    <row r="4800" spans="1:14" x14ac:dyDescent="0.15">
      <c r="A4800" s="70"/>
      <c r="B4800" s="117"/>
      <c r="C4800" s="70"/>
      <c r="D4800" s="70"/>
      <c r="E4800" s="70"/>
      <c r="F4800" s="70"/>
      <c r="G4800" s="70"/>
      <c r="H4800" s="93"/>
      <c r="I4800" s="85"/>
      <c r="J4800" s="85"/>
      <c r="K4800" s="131"/>
      <c r="L4800" s="60"/>
      <c r="M4800" s="33"/>
      <c r="N4800" s="35"/>
    </row>
    <row r="4801" spans="1:14" x14ac:dyDescent="0.15">
      <c r="A4801" s="70"/>
      <c r="B4801" s="117"/>
      <c r="C4801" s="70"/>
      <c r="D4801" s="70"/>
      <c r="E4801" s="70"/>
      <c r="F4801" s="70"/>
      <c r="G4801" s="70"/>
      <c r="H4801" s="93"/>
      <c r="I4801" s="85"/>
      <c r="J4801" s="85"/>
      <c r="K4801" s="131"/>
      <c r="L4801" s="60"/>
      <c r="M4801" s="33"/>
    </row>
    <row r="4802" spans="1:14" x14ac:dyDescent="0.15">
      <c r="A4802" s="70"/>
      <c r="B4802" s="117"/>
      <c r="C4802" s="70"/>
      <c r="D4802" s="70"/>
      <c r="E4802" s="70"/>
      <c r="F4802" s="70"/>
      <c r="G4802" s="70"/>
      <c r="H4802" s="93"/>
      <c r="I4802" s="85"/>
      <c r="J4802" s="85"/>
      <c r="K4802" s="131"/>
      <c r="L4802" s="67"/>
      <c r="M4802" s="33"/>
    </row>
    <row r="4803" spans="1:14" x14ac:dyDescent="0.15">
      <c r="A4803" s="70"/>
      <c r="B4803" s="117"/>
      <c r="C4803" s="70"/>
      <c r="D4803" s="70"/>
      <c r="E4803" s="70"/>
      <c r="F4803" s="70"/>
      <c r="G4803" s="70"/>
      <c r="H4803" s="93"/>
      <c r="I4803" s="85"/>
      <c r="J4803" s="85"/>
      <c r="K4803" s="131"/>
      <c r="L4803" s="60"/>
      <c r="M4803" s="33"/>
    </row>
    <row r="4804" spans="1:14" ht="16" x14ac:dyDescent="0.2">
      <c r="A4804" s="70"/>
      <c r="B4804" s="117"/>
      <c r="C4804" s="70"/>
      <c r="D4804" s="70"/>
      <c r="E4804" s="70"/>
      <c r="F4804" s="70"/>
      <c r="G4804" s="70"/>
      <c r="H4804" s="93"/>
      <c r="I4804" s="85"/>
      <c r="J4804" s="85"/>
      <c r="K4804" s="131"/>
      <c r="L4804" s="60"/>
      <c r="M4804" s="47"/>
    </row>
    <row r="4805" spans="1:14" x14ac:dyDescent="0.15">
      <c r="A4805" s="70"/>
      <c r="B4805" s="118"/>
      <c r="C4805" s="70"/>
      <c r="D4805" s="70"/>
      <c r="E4805" s="70"/>
      <c r="F4805" s="70"/>
      <c r="G4805" s="70"/>
      <c r="H4805" s="93"/>
      <c r="I4805" s="85"/>
      <c r="J4805" s="85"/>
      <c r="K4805" s="131"/>
      <c r="L4805" s="60"/>
      <c r="M4805" s="33"/>
    </row>
    <row r="4806" spans="1:14" ht="16" x14ac:dyDescent="0.2">
      <c r="A4806" s="70"/>
      <c r="B4806" s="117"/>
      <c r="C4806" s="70"/>
      <c r="D4806" s="70"/>
      <c r="E4806" s="70"/>
      <c r="F4806" s="70"/>
      <c r="G4806" s="70"/>
      <c r="H4806" s="93"/>
      <c r="I4806" s="85"/>
      <c r="J4806" s="85"/>
      <c r="K4806" s="131"/>
      <c r="L4806" s="60"/>
      <c r="M4806" s="47"/>
    </row>
    <row r="4807" spans="1:14" x14ac:dyDescent="0.15">
      <c r="A4807" s="70"/>
      <c r="B4807" s="117"/>
      <c r="C4807" s="70"/>
      <c r="D4807" s="70"/>
      <c r="E4807" s="70"/>
      <c r="F4807" s="70"/>
      <c r="G4807" s="70"/>
      <c r="H4807" s="93"/>
      <c r="I4807" s="85"/>
      <c r="J4807" s="85"/>
      <c r="K4807" s="131"/>
      <c r="L4807" s="60"/>
      <c r="M4807" s="33"/>
    </row>
    <row r="4808" spans="1:14" x14ac:dyDescent="0.15">
      <c r="A4808" s="70"/>
      <c r="B4808" s="117"/>
      <c r="C4808" s="70"/>
      <c r="D4808" s="70"/>
      <c r="E4808" s="70"/>
      <c r="F4808" s="70"/>
      <c r="G4808" s="70"/>
      <c r="H4808" s="93"/>
      <c r="I4808" s="85"/>
      <c r="J4808" s="85"/>
      <c r="K4808" s="131"/>
      <c r="L4808" s="60"/>
      <c r="M4808" s="33"/>
    </row>
    <row r="4809" spans="1:14" x14ac:dyDescent="0.15">
      <c r="A4809" s="70"/>
      <c r="B4809" s="117"/>
      <c r="C4809" s="70"/>
      <c r="D4809" s="70"/>
      <c r="E4809" s="70"/>
      <c r="F4809" s="70"/>
      <c r="G4809" s="70"/>
      <c r="H4809" s="93"/>
      <c r="I4809" s="85"/>
      <c r="J4809" s="85"/>
      <c r="K4809" s="131"/>
      <c r="L4809" s="60"/>
      <c r="M4809" s="33"/>
    </row>
    <row r="4810" spans="1:14" x14ac:dyDescent="0.15">
      <c r="A4810" s="70"/>
      <c r="B4810" s="117"/>
      <c r="C4810" s="70"/>
      <c r="D4810" s="70"/>
      <c r="E4810" s="70"/>
      <c r="F4810" s="70"/>
      <c r="G4810" s="70"/>
      <c r="H4810" s="93"/>
      <c r="I4810" s="85"/>
      <c r="J4810" s="85"/>
      <c r="K4810" s="131"/>
      <c r="L4810" s="60"/>
      <c r="M4810" s="33"/>
    </row>
    <row r="4811" spans="1:14" x14ac:dyDescent="0.15">
      <c r="A4811" s="70"/>
      <c r="B4811" s="118"/>
      <c r="C4811" s="70"/>
      <c r="D4811" s="70"/>
      <c r="E4811" s="70"/>
      <c r="F4811" s="70"/>
      <c r="G4811" s="70"/>
      <c r="H4811" s="93"/>
      <c r="I4811" s="85"/>
      <c r="J4811" s="85"/>
      <c r="K4811" s="131"/>
      <c r="L4811" s="60"/>
      <c r="M4811" s="33"/>
    </row>
    <row r="4812" spans="1:14" ht="16" x14ac:dyDescent="0.2">
      <c r="A4812" s="70"/>
      <c r="B4812" s="117"/>
      <c r="C4812" s="70"/>
      <c r="D4812" s="70"/>
      <c r="E4812" s="70"/>
      <c r="F4812" s="70"/>
      <c r="G4812" s="70"/>
      <c r="H4812" s="93"/>
      <c r="I4812" s="85"/>
      <c r="J4812" s="85"/>
      <c r="K4812" s="131"/>
      <c r="L4812" s="60"/>
      <c r="M4812" s="47"/>
    </row>
    <row r="4813" spans="1:14" x14ac:dyDescent="0.15">
      <c r="A4813" s="70"/>
      <c r="B4813" s="117"/>
      <c r="C4813" s="70"/>
      <c r="D4813" s="70"/>
      <c r="E4813" s="70"/>
      <c r="F4813" s="70"/>
      <c r="G4813" s="70"/>
      <c r="H4813" s="93"/>
      <c r="I4813" s="85"/>
      <c r="J4813" s="85"/>
      <c r="K4813" s="131"/>
      <c r="L4813" s="60"/>
      <c r="M4813" s="33"/>
    </row>
    <row r="4814" spans="1:14" ht="16" x14ac:dyDescent="0.2">
      <c r="A4814" s="70"/>
      <c r="B4814" s="117"/>
      <c r="C4814" s="70"/>
      <c r="D4814" s="70"/>
      <c r="E4814" s="70"/>
      <c r="F4814" s="70"/>
      <c r="G4814" s="70"/>
      <c r="H4814" s="93"/>
      <c r="I4814" s="85"/>
      <c r="J4814" s="85"/>
      <c r="K4814" s="131"/>
      <c r="L4814" s="60"/>
      <c r="M4814" s="33"/>
      <c r="N4814" s="48"/>
    </row>
    <row r="4815" spans="1:14" x14ac:dyDescent="0.15">
      <c r="A4815" s="70"/>
      <c r="B4815" s="117"/>
      <c r="C4815" s="70"/>
      <c r="D4815" s="70"/>
      <c r="E4815" s="70"/>
      <c r="F4815" s="70"/>
      <c r="G4815" s="70"/>
      <c r="H4815" s="93"/>
      <c r="I4815" s="85"/>
      <c r="J4815" s="85"/>
      <c r="K4815" s="131"/>
      <c r="L4815" s="60"/>
      <c r="M4815" s="33"/>
    </row>
    <row r="4816" spans="1:14" x14ac:dyDescent="0.15">
      <c r="A4816" s="70"/>
      <c r="B4816" s="117"/>
      <c r="C4816" s="70"/>
      <c r="D4816" s="70"/>
      <c r="E4816" s="70"/>
      <c r="F4816" s="70"/>
      <c r="G4816" s="70"/>
      <c r="H4816" s="93"/>
      <c r="I4816" s="85"/>
      <c r="J4816" s="85"/>
      <c r="K4816" s="131"/>
      <c r="L4816" s="60"/>
      <c r="M4816" s="33"/>
    </row>
    <row r="4817" spans="1:14" x14ac:dyDescent="0.15">
      <c r="A4817" s="70"/>
      <c r="B4817" s="117"/>
      <c r="C4817" s="70"/>
      <c r="D4817" s="70"/>
      <c r="E4817" s="70"/>
      <c r="F4817" s="70"/>
      <c r="G4817" s="70"/>
      <c r="H4817" s="93"/>
      <c r="I4817" s="85"/>
      <c r="J4817" s="85"/>
      <c r="K4817" s="131"/>
      <c r="L4817" s="60"/>
      <c r="M4817" s="33"/>
    </row>
    <row r="4818" spans="1:14" x14ac:dyDescent="0.15">
      <c r="A4818" s="70"/>
      <c r="B4818" s="117"/>
      <c r="C4818" s="70"/>
      <c r="D4818" s="70"/>
      <c r="E4818" s="70"/>
      <c r="F4818" s="70"/>
      <c r="G4818" s="70"/>
      <c r="H4818" s="93"/>
      <c r="I4818" s="85"/>
      <c r="J4818" s="85"/>
      <c r="K4818" s="131"/>
      <c r="L4818" s="60"/>
      <c r="M4818" s="33"/>
    </row>
    <row r="4819" spans="1:14" x14ac:dyDescent="0.15">
      <c r="A4819" s="70"/>
      <c r="B4819" s="117"/>
      <c r="C4819" s="70"/>
      <c r="D4819" s="70"/>
      <c r="E4819" s="70"/>
      <c r="F4819" s="70"/>
      <c r="G4819" s="70"/>
      <c r="H4819" s="93"/>
      <c r="I4819" s="85"/>
      <c r="J4819" s="85"/>
      <c r="K4819" s="131"/>
      <c r="L4819" s="60"/>
      <c r="M4819" s="33"/>
    </row>
    <row r="4820" spans="1:14" x14ac:dyDescent="0.15">
      <c r="A4820" s="70"/>
      <c r="B4820" s="118"/>
      <c r="C4820" s="70"/>
      <c r="D4820" s="70"/>
      <c r="E4820" s="73"/>
      <c r="F4820" s="70"/>
      <c r="G4820" s="70"/>
      <c r="H4820" s="93"/>
      <c r="I4820" s="85"/>
      <c r="J4820" s="85"/>
      <c r="K4820" s="131"/>
      <c r="L4820" s="60"/>
      <c r="M4820" s="33"/>
    </row>
    <row r="4821" spans="1:14" x14ac:dyDescent="0.15">
      <c r="A4821" s="70"/>
      <c r="B4821" s="118"/>
      <c r="C4821" s="70"/>
      <c r="D4821" s="70"/>
      <c r="E4821" s="70"/>
      <c r="F4821" s="70"/>
      <c r="G4821" s="70"/>
      <c r="H4821" s="93"/>
      <c r="I4821" s="85"/>
      <c r="J4821" s="85"/>
      <c r="K4821" s="131"/>
      <c r="L4821" s="60"/>
      <c r="M4821" s="33"/>
    </row>
    <row r="4822" spans="1:14" x14ac:dyDescent="0.15">
      <c r="A4822" s="70"/>
      <c r="B4822" s="118"/>
      <c r="C4822" s="70"/>
      <c r="D4822" s="70"/>
      <c r="E4822" s="70"/>
      <c r="F4822" s="70"/>
      <c r="G4822" s="70"/>
      <c r="H4822" s="93"/>
      <c r="I4822" s="85"/>
      <c r="J4822" s="85"/>
      <c r="K4822" s="131"/>
      <c r="L4822" s="60"/>
      <c r="M4822" s="33"/>
    </row>
    <row r="4823" spans="1:14" x14ac:dyDescent="0.15">
      <c r="A4823" s="70"/>
      <c r="B4823" s="118"/>
      <c r="C4823" s="70"/>
      <c r="D4823" s="70"/>
      <c r="E4823" s="70"/>
      <c r="F4823" s="70"/>
      <c r="G4823" s="70"/>
      <c r="H4823" s="93"/>
      <c r="I4823" s="85"/>
      <c r="J4823" s="85"/>
      <c r="K4823" s="131"/>
      <c r="L4823" s="60"/>
      <c r="M4823" s="33"/>
    </row>
    <row r="4824" spans="1:14" x14ac:dyDescent="0.15">
      <c r="A4824" s="70"/>
      <c r="B4824" s="118"/>
      <c r="C4824" s="70"/>
      <c r="D4824" s="70"/>
      <c r="E4824" s="70"/>
      <c r="F4824" s="70"/>
      <c r="G4824" s="70"/>
      <c r="H4824" s="93"/>
      <c r="I4824" s="85"/>
      <c r="J4824" s="85"/>
      <c r="K4824" s="131"/>
      <c r="L4824" s="60"/>
      <c r="M4824" s="33"/>
    </row>
    <row r="4825" spans="1:14" x14ac:dyDescent="0.15">
      <c r="A4825" s="70"/>
      <c r="B4825" s="117"/>
      <c r="C4825" s="70"/>
      <c r="D4825" s="70"/>
      <c r="E4825" s="70"/>
      <c r="F4825" s="70"/>
      <c r="G4825" s="70"/>
      <c r="H4825" s="93"/>
      <c r="I4825" s="85"/>
      <c r="J4825" s="85"/>
      <c r="K4825" s="131"/>
      <c r="L4825" s="60"/>
      <c r="M4825" s="33"/>
      <c r="N4825" s="35"/>
    </row>
    <row r="4826" spans="1:14" x14ac:dyDescent="0.15">
      <c r="A4826" s="70"/>
      <c r="B4826" s="118"/>
      <c r="C4826" s="70"/>
      <c r="D4826" s="70"/>
      <c r="E4826" s="70"/>
      <c r="F4826" s="70"/>
      <c r="G4826" s="70"/>
      <c r="H4826" s="93"/>
      <c r="I4826" s="85"/>
      <c r="J4826" s="85"/>
      <c r="K4826" s="131"/>
      <c r="L4826" s="60"/>
      <c r="M4826" s="33"/>
    </row>
    <row r="4827" spans="1:14" x14ac:dyDescent="0.15">
      <c r="A4827" s="70"/>
      <c r="B4827" s="117"/>
      <c r="C4827" s="70"/>
      <c r="D4827" s="70"/>
      <c r="E4827" s="70"/>
      <c r="F4827" s="70"/>
      <c r="G4827" s="70"/>
      <c r="H4827" s="93"/>
      <c r="I4827" s="85"/>
      <c r="J4827" s="85"/>
      <c r="K4827" s="131"/>
      <c r="L4827" s="60"/>
      <c r="M4827" s="33"/>
    </row>
    <row r="4828" spans="1:14" x14ac:dyDescent="0.15">
      <c r="A4828" s="70"/>
      <c r="B4828" s="117"/>
      <c r="C4828" s="70"/>
      <c r="D4828" s="70"/>
      <c r="E4828" s="70"/>
      <c r="F4828" s="70"/>
      <c r="G4828" s="70"/>
      <c r="H4828" s="93"/>
      <c r="I4828" s="85"/>
      <c r="J4828" s="85"/>
      <c r="K4828" s="131"/>
      <c r="L4828" s="60"/>
      <c r="M4828" s="33"/>
    </row>
    <row r="4829" spans="1:14" x14ac:dyDescent="0.15">
      <c r="A4829" s="70"/>
      <c r="B4829" s="117"/>
      <c r="C4829" s="70"/>
      <c r="D4829" s="70"/>
      <c r="E4829" s="70"/>
      <c r="F4829" s="70"/>
      <c r="G4829" s="70"/>
      <c r="H4829" s="93"/>
      <c r="I4829" s="85"/>
      <c r="J4829" s="85"/>
      <c r="K4829" s="131"/>
      <c r="L4829" s="60"/>
      <c r="M4829" s="33"/>
    </row>
    <row r="4830" spans="1:14" ht="16" x14ac:dyDescent="0.2">
      <c r="A4830" s="70"/>
      <c r="B4830" s="117"/>
      <c r="C4830" s="73"/>
      <c r="D4830" s="73"/>
      <c r="E4830" s="70"/>
      <c r="F4830" s="73"/>
      <c r="G4830" s="73"/>
      <c r="H4830" s="93"/>
      <c r="I4830" s="85"/>
      <c r="J4830" s="95"/>
      <c r="K4830" s="131"/>
      <c r="L4830" s="60"/>
      <c r="M4830" s="47"/>
    </row>
    <row r="4831" spans="1:14" x14ac:dyDescent="0.15">
      <c r="A4831" s="70"/>
      <c r="B4831" s="117"/>
      <c r="C4831" s="70"/>
      <c r="D4831" s="70"/>
      <c r="E4831" s="70"/>
      <c r="F4831" s="70"/>
      <c r="G4831" s="70"/>
      <c r="H4831" s="93"/>
      <c r="I4831" s="85"/>
      <c r="J4831" s="85"/>
      <c r="K4831" s="131"/>
      <c r="L4831" s="60"/>
      <c r="M4831" s="33"/>
    </row>
    <row r="4832" spans="1:14" x14ac:dyDescent="0.15">
      <c r="A4832" s="70"/>
      <c r="B4832" s="117"/>
      <c r="C4832" s="70"/>
      <c r="D4832" s="70"/>
      <c r="E4832" s="70"/>
      <c r="F4832" s="70"/>
      <c r="G4832" s="70"/>
      <c r="H4832" s="93"/>
      <c r="I4832" s="85"/>
      <c r="J4832" s="85"/>
      <c r="K4832" s="131"/>
      <c r="L4832" s="60"/>
      <c r="M4832" s="33"/>
    </row>
    <row r="4833" spans="1:13" x14ac:dyDescent="0.15">
      <c r="A4833" s="70"/>
      <c r="B4833" s="117"/>
      <c r="C4833" s="70"/>
      <c r="D4833" s="70"/>
      <c r="E4833" s="70"/>
      <c r="F4833" s="70"/>
      <c r="G4833" s="70"/>
      <c r="H4833" s="93"/>
      <c r="I4833" s="85"/>
      <c r="J4833" s="85"/>
      <c r="K4833" s="131"/>
      <c r="L4833" s="60"/>
      <c r="M4833" s="33"/>
    </row>
    <row r="4834" spans="1:13" x14ac:dyDescent="0.15">
      <c r="A4834" s="70"/>
      <c r="B4834" s="118"/>
      <c r="C4834" s="70"/>
      <c r="D4834" s="70"/>
      <c r="E4834" s="70"/>
      <c r="F4834" s="70"/>
      <c r="G4834" s="70"/>
      <c r="H4834" s="93"/>
      <c r="I4834" s="85"/>
      <c r="J4834" s="85"/>
      <c r="K4834" s="131"/>
      <c r="L4834" s="60"/>
      <c r="M4834" s="33"/>
    </row>
    <row r="4835" spans="1:13" x14ac:dyDescent="0.15">
      <c r="A4835" s="70"/>
      <c r="B4835" s="117"/>
      <c r="C4835" s="70"/>
      <c r="D4835" s="70"/>
      <c r="E4835" s="70"/>
      <c r="F4835" s="70"/>
      <c r="G4835" s="70"/>
      <c r="H4835" s="93"/>
      <c r="I4835" s="85"/>
      <c r="J4835" s="85"/>
      <c r="K4835" s="131"/>
      <c r="L4835" s="60"/>
      <c r="M4835" s="33"/>
    </row>
    <row r="4836" spans="1:13" x14ac:dyDescent="0.15">
      <c r="A4836" s="70"/>
      <c r="B4836" s="117"/>
      <c r="C4836" s="70"/>
      <c r="D4836" s="70"/>
      <c r="E4836" s="70"/>
      <c r="F4836" s="70"/>
      <c r="G4836" s="70"/>
      <c r="H4836" s="93"/>
      <c r="I4836" s="85"/>
      <c r="J4836" s="85"/>
      <c r="K4836" s="131"/>
      <c r="L4836" s="60"/>
      <c r="M4836" s="33"/>
    </row>
    <row r="4837" spans="1:13" x14ac:dyDescent="0.15">
      <c r="A4837" s="70"/>
      <c r="B4837" s="117"/>
      <c r="C4837" s="70"/>
      <c r="D4837" s="70"/>
      <c r="E4837" s="70"/>
      <c r="F4837" s="70"/>
      <c r="G4837" s="70"/>
      <c r="H4837" s="93"/>
      <c r="I4837" s="85"/>
      <c r="J4837" s="85"/>
      <c r="K4837" s="131"/>
      <c r="L4837" s="60"/>
      <c r="M4837" s="33"/>
    </row>
    <row r="4838" spans="1:13" x14ac:dyDescent="0.15">
      <c r="A4838" s="70"/>
      <c r="B4838" s="117"/>
      <c r="C4838" s="70"/>
      <c r="D4838" s="70"/>
      <c r="E4838" s="70"/>
      <c r="F4838" s="70"/>
      <c r="G4838" s="70"/>
      <c r="H4838" s="93"/>
      <c r="I4838" s="85"/>
      <c r="J4838" s="85"/>
      <c r="K4838" s="131"/>
      <c r="L4838" s="60"/>
      <c r="M4838" s="33"/>
    </row>
    <row r="4839" spans="1:13" x14ac:dyDescent="0.15">
      <c r="A4839" s="70"/>
      <c r="B4839" s="117"/>
      <c r="C4839" s="70"/>
      <c r="D4839" s="70"/>
      <c r="E4839" s="70"/>
      <c r="F4839" s="70"/>
      <c r="G4839" s="70"/>
      <c r="H4839" s="93"/>
      <c r="I4839" s="85"/>
      <c r="J4839" s="85"/>
      <c r="K4839" s="131"/>
      <c r="L4839" s="60"/>
      <c r="M4839" s="33"/>
    </row>
    <row r="4840" spans="1:13" x14ac:dyDescent="0.15">
      <c r="A4840" s="70"/>
      <c r="B4840" s="117"/>
      <c r="C4840" s="70"/>
      <c r="D4840" s="70"/>
      <c r="E4840" s="70"/>
      <c r="F4840" s="70"/>
      <c r="G4840" s="70"/>
      <c r="H4840" s="93"/>
      <c r="I4840" s="85"/>
      <c r="J4840" s="85"/>
      <c r="K4840" s="131"/>
      <c r="L4840" s="60"/>
      <c r="M4840" s="33"/>
    </row>
    <row r="4841" spans="1:13" x14ac:dyDescent="0.15">
      <c r="A4841" s="70"/>
      <c r="B4841" s="117"/>
      <c r="C4841" s="70"/>
      <c r="D4841" s="70"/>
      <c r="E4841" s="70"/>
      <c r="F4841" s="70"/>
      <c r="G4841" s="70"/>
      <c r="H4841" s="93"/>
      <c r="I4841" s="85"/>
      <c r="J4841" s="85"/>
      <c r="K4841" s="131"/>
      <c r="L4841" s="60"/>
      <c r="M4841" s="33"/>
    </row>
    <row r="4842" spans="1:13" x14ac:dyDescent="0.15">
      <c r="A4842" s="70"/>
      <c r="B4842" s="117"/>
      <c r="C4842" s="70"/>
      <c r="D4842" s="70"/>
      <c r="E4842" s="70"/>
      <c r="F4842" s="70"/>
      <c r="G4842" s="70"/>
      <c r="H4842" s="93"/>
      <c r="I4842" s="85"/>
      <c r="J4842" s="85"/>
      <c r="K4842" s="131"/>
      <c r="L4842" s="60"/>
      <c r="M4842" s="33"/>
    </row>
    <row r="4843" spans="1:13" x14ac:dyDescent="0.15">
      <c r="A4843" s="70"/>
      <c r="B4843" s="118"/>
      <c r="C4843" s="70"/>
      <c r="D4843" s="70"/>
      <c r="E4843" s="70"/>
      <c r="F4843" s="70"/>
      <c r="G4843" s="70"/>
      <c r="H4843" s="93"/>
      <c r="I4843" s="85"/>
      <c r="J4843" s="85"/>
      <c r="K4843" s="131"/>
      <c r="L4843" s="60"/>
      <c r="M4843" s="33"/>
    </row>
    <row r="4844" spans="1:13" x14ac:dyDescent="0.15">
      <c r="A4844" s="70"/>
      <c r="B4844" s="117"/>
      <c r="C4844" s="70"/>
      <c r="D4844" s="70"/>
      <c r="E4844" s="70"/>
      <c r="F4844" s="70"/>
      <c r="G4844" s="70"/>
      <c r="H4844" s="93"/>
      <c r="I4844" s="85"/>
      <c r="J4844" s="85"/>
      <c r="K4844" s="131"/>
      <c r="L4844" s="60"/>
      <c r="M4844" s="33"/>
    </row>
    <row r="4845" spans="1:13" x14ac:dyDescent="0.15">
      <c r="A4845" s="70"/>
      <c r="B4845" s="118"/>
      <c r="C4845" s="70"/>
      <c r="D4845" s="70"/>
      <c r="E4845" s="70"/>
      <c r="F4845" s="70"/>
      <c r="G4845" s="70"/>
      <c r="H4845" s="93"/>
      <c r="I4845" s="85"/>
      <c r="J4845" s="85"/>
      <c r="K4845" s="131"/>
      <c r="L4845" s="60"/>
    </row>
    <row r="4846" spans="1:13" x14ac:dyDescent="0.15">
      <c r="A4846" s="70"/>
      <c r="B4846" s="118"/>
      <c r="C4846" s="70"/>
      <c r="D4846" s="70"/>
      <c r="E4846" s="70"/>
      <c r="F4846" s="70"/>
      <c r="G4846" s="70"/>
      <c r="H4846" s="93"/>
      <c r="I4846" s="85"/>
      <c r="J4846" s="85"/>
      <c r="K4846" s="131"/>
      <c r="L4846" s="60"/>
    </row>
    <row r="4847" spans="1:13" x14ac:dyDescent="0.15">
      <c r="A4847" s="70"/>
      <c r="B4847" s="118"/>
      <c r="C4847" s="70"/>
      <c r="D4847" s="70"/>
      <c r="E4847" s="70"/>
      <c r="F4847" s="70"/>
      <c r="G4847" s="70"/>
      <c r="H4847" s="93"/>
      <c r="I4847" s="85"/>
      <c r="J4847" s="85"/>
      <c r="K4847" s="131"/>
      <c r="L4847" s="60"/>
    </row>
    <row r="4848" spans="1:13" x14ac:dyDescent="0.15">
      <c r="A4848" s="70"/>
      <c r="B4848" s="118"/>
      <c r="C4848" s="70"/>
      <c r="D4848" s="70"/>
      <c r="E4848" s="70"/>
      <c r="F4848" s="70"/>
      <c r="G4848" s="70"/>
      <c r="H4848" s="93"/>
      <c r="I4848" s="85"/>
      <c r="J4848" s="85"/>
      <c r="K4848" s="131"/>
      <c r="L4848" s="60"/>
    </row>
    <row r="4849" spans="1:16" x14ac:dyDescent="0.15">
      <c r="A4849" s="73"/>
      <c r="B4849" s="118"/>
      <c r="C4849" s="70"/>
      <c r="D4849" s="70"/>
      <c r="E4849" s="70"/>
      <c r="F4849" s="70"/>
      <c r="G4849" s="70"/>
      <c r="H4849" s="93"/>
      <c r="I4849" s="85"/>
      <c r="J4849" s="85"/>
      <c r="K4849" s="131"/>
      <c r="L4849" s="69"/>
    </row>
    <row r="4850" spans="1:16" x14ac:dyDescent="0.15">
      <c r="A4850" s="70"/>
      <c r="B4850" s="118"/>
      <c r="C4850" s="70"/>
      <c r="D4850" s="70"/>
      <c r="E4850" s="70"/>
      <c r="F4850" s="70"/>
      <c r="G4850" s="70"/>
      <c r="H4850" s="93"/>
      <c r="I4850" s="85"/>
      <c r="J4850" s="85"/>
      <c r="K4850" s="131"/>
      <c r="L4850" s="60"/>
    </row>
    <row r="4851" spans="1:16" x14ac:dyDescent="0.15">
      <c r="A4851" s="73"/>
      <c r="B4851" s="118"/>
      <c r="C4851" s="70"/>
      <c r="D4851" s="70"/>
      <c r="E4851" s="70"/>
      <c r="F4851" s="70"/>
      <c r="G4851" s="70"/>
      <c r="H4851" s="93"/>
      <c r="I4851" s="85"/>
      <c r="J4851" s="85"/>
      <c r="K4851" s="131"/>
      <c r="L4851" s="60"/>
    </row>
    <row r="4852" spans="1:16" x14ac:dyDescent="0.15">
      <c r="A4852" s="70"/>
      <c r="B4852" s="118"/>
      <c r="C4852" s="70"/>
      <c r="D4852" s="70"/>
      <c r="E4852" s="70"/>
      <c r="F4852" s="70"/>
      <c r="G4852" s="70"/>
      <c r="H4852" s="93"/>
      <c r="I4852" s="85"/>
      <c r="J4852" s="85"/>
      <c r="K4852" s="131"/>
      <c r="L4852" s="60"/>
    </row>
    <row r="4853" spans="1:16" ht="16" x14ac:dyDescent="0.2">
      <c r="A4853" s="70"/>
      <c r="B4853" s="118"/>
      <c r="C4853" s="70"/>
      <c r="D4853" s="70"/>
      <c r="E4853" s="70"/>
      <c r="F4853" s="70"/>
      <c r="G4853" s="70"/>
      <c r="H4853" s="93"/>
      <c r="I4853" s="85"/>
      <c r="J4853" s="85"/>
      <c r="K4853" s="131"/>
      <c r="L4853" s="60"/>
      <c r="N4853" s="48"/>
    </row>
    <row r="4854" spans="1:16" x14ac:dyDescent="0.15">
      <c r="A4854" s="70"/>
      <c r="B4854" s="118"/>
      <c r="C4854" s="70"/>
      <c r="D4854" s="70"/>
      <c r="E4854" s="70"/>
      <c r="F4854" s="70"/>
      <c r="G4854" s="70"/>
      <c r="H4854" s="93"/>
      <c r="I4854" s="85"/>
      <c r="J4854" s="85"/>
      <c r="K4854" s="131"/>
      <c r="L4854" s="60"/>
    </row>
    <row r="4855" spans="1:16" x14ac:dyDescent="0.15">
      <c r="A4855" s="70"/>
      <c r="B4855" s="118"/>
      <c r="C4855" s="70"/>
      <c r="D4855" s="70"/>
      <c r="E4855" s="70"/>
      <c r="F4855" s="70"/>
      <c r="G4855" s="70"/>
      <c r="H4855" s="93"/>
      <c r="I4855" s="85"/>
      <c r="J4855" s="85"/>
      <c r="K4855" s="131"/>
      <c r="L4855" s="60"/>
    </row>
    <row r="4856" spans="1:16" x14ac:dyDescent="0.15">
      <c r="A4856" s="70"/>
      <c r="B4856" s="118"/>
      <c r="C4856" s="70"/>
      <c r="D4856" s="70"/>
      <c r="E4856" s="70"/>
      <c r="F4856" s="70"/>
      <c r="G4856" s="70"/>
      <c r="H4856" s="93"/>
      <c r="I4856" s="85"/>
      <c r="J4856" s="85"/>
      <c r="K4856" s="131"/>
      <c r="L4856" s="60"/>
    </row>
    <row r="4857" spans="1:16" x14ac:dyDescent="0.15">
      <c r="A4857" s="70"/>
      <c r="B4857" s="118"/>
      <c r="C4857" s="73"/>
      <c r="D4857" s="73"/>
      <c r="E4857" s="70"/>
      <c r="F4857" s="73"/>
      <c r="G4857" s="73"/>
      <c r="H4857" s="108"/>
      <c r="I4857" s="85"/>
      <c r="J4857" s="95"/>
      <c r="K4857" s="131"/>
      <c r="L4857" s="69"/>
    </row>
    <row r="4858" spans="1:16" x14ac:dyDescent="0.15">
      <c r="A4858" s="70"/>
      <c r="B4858" s="118"/>
      <c r="C4858" s="70"/>
      <c r="D4858" s="70"/>
      <c r="E4858" s="70"/>
      <c r="F4858" s="70"/>
      <c r="G4858" s="70"/>
      <c r="H4858" s="93"/>
      <c r="I4858" s="85"/>
      <c r="J4858" s="85"/>
      <c r="K4858" s="131"/>
      <c r="L4858" s="60"/>
    </row>
    <row r="4859" spans="1:16" x14ac:dyDescent="0.15">
      <c r="A4859" s="70"/>
      <c r="B4859" s="118"/>
      <c r="C4859" s="70"/>
      <c r="D4859" s="70"/>
      <c r="E4859" s="70"/>
      <c r="F4859" s="70"/>
      <c r="G4859" s="70"/>
      <c r="H4859" s="93"/>
      <c r="I4859" s="85"/>
      <c r="J4859" s="85"/>
      <c r="K4859" s="131"/>
      <c r="L4859" s="60"/>
    </row>
    <row r="4860" spans="1:16" x14ac:dyDescent="0.15">
      <c r="A4860" s="70"/>
      <c r="B4860" s="118"/>
      <c r="C4860" s="70"/>
      <c r="D4860" s="70"/>
      <c r="E4860" s="70"/>
      <c r="F4860" s="70"/>
      <c r="G4860" s="70"/>
      <c r="H4860" s="93"/>
      <c r="I4860" s="85"/>
      <c r="J4860" s="85"/>
      <c r="K4860" s="131"/>
      <c r="L4860" s="69"/>
      <c r="P4860" s="51"/>
    </row>
    <row r="4861" spans="1:16" x14ac:dyDescent="0.15">
      <c r="A4861" s="70"/>
      <c r="B4861" s="118"/>
      <c r="C4861" s="70"/>
      <c r="D4861" s="70"/>
      <c r="E4861" s="70"/>
      <c r="F4861" s="70"/>
      <c r="G4861" s="70"/>
      <c r="H4861" s="93"/>
      <c r="I4861" s="85"/>
      <c r="J4861" s="85"/>
      <c r="K4861" s="131"/>
      <c r="L4861" s="69"/>
      <c r="P4861" s="51"/>
    </row>
    <row r="4862" spans="1:16" x14ac:dyDescent="0.15">
      <c r="A4862" s="73"/>
      <c r="B4862" s="117"/>
      <c r="C4862" s="73"/>
      <c r="D4862" s="73"/>
      <c r="E4862" s="73"/>
      <c r="F4862" s="73"/>
      <c r="G4862" s="73"/>
      <c r="H4862" s="108"/>
      <c r="I4862" s="85"/>
      <c r="J4862" s="95"/>
      <c r="K4862" s="131"/>
      <c r="L4862" s="60"/>
      <c r="M4862" s="33"/>
    </row>
    <row r="4863" spans="1:16" x14ac:dyDescent="0.15">
      <c r="A4863" s="70"/>
      <c r="B4863" s="117"/>
      <c r="C4863" s="70"/>
      <c r="D4863" s="70"/>
      <c r="E4863" s="70"/>
      <c r="F4863" s="70"/>
      <c r="G4863" s="70"/>
      <c r="H4863" s="93"/>
      <c r="I4863" s="85"/>
      <c r="J4863" s="85"/>
      <c r="K4863" s="131"/>
      <c r="L4863" s="60"/>
      <c r="M4863" s="33"/>
    </row>
    <row r="4864" spans="1:16" x14ac:dyDescent="0.15">
      <c r="A4864" s="70"/>
      <c r="B4864" s="117"/>
      <c r="C4864" s="70"/>
      <c r="D4864" s="70"/>
      <c r="E4864" s="70"/>
      <c r="F4864" s="70"/>
      <c r="G4864" s="70"/>
      <c r="H4864" s="93"/>
      <c r="I4864" s="85"/>
      <c r="J4864" s="85"/>
      <c r="K4864" s="131"/>
      <c r="L4864" s="60"/>
      <c r="M4864" s="33"/>
    </row>
    <row r="4865" spans="1:16" x14ac:dyDescent="0.15">
      <c r="A4865" s="70"/>
      <c r="B4865" s="117"/>
      <c r="C4865" s="70"/>
      <c r="D4865" s="70"/>
      <c r="E4865" s="70"/>
      <c r="F4865" s="70"/>
      <c r="G4865" s="70"/>
      <c r="H4865" s="93"/>
      <c r="I4865" s="85"/>
      <c r="J4865" s="85"/>
      <c r="K4865" s="131"/>
      <c r="L4865" s="60"/>
      <c r="P4865" s="51"/>
    </row>
    <row r="4866" spans="1:16" x14ac:dyDescent="0.15">
      <c r="A4866" s="70"/>
      <c r="B4866" s="118"/>
      <c r="C4866" s="70"/>
      <c r="D4866" s="70"/>
      <c r="E4866" s="70"/>
      <c r="F4866" s="70"/>
      <c r="G4866" s="70"/>
      <c r="H4866" s="93"/>
      <c r="I4866" s="85"/>
      <c r="J4866" s="85"/>
      <c r="K4866" s="131"/>
      <c r="L4866" s="69"/>
      <c r="P4866" s="51"/>
    </row>
    <row r="4867" spans="1:16" x14ac:dyDescent="0.15">
      <c r="A4867" s="70"/>
      <c r="B4867" s="118"/>
      <c r="C4867" s="70"/>
      <c r="D4867" s="70"/>
      <c r="E4867" s="70"/>
      <c r="F4867" s="70"/>
      <c r="G4867" s="70"/>
      <c r="H4867" s="93"/>
      <c r="I4867" s="85"/>
      <c r="J4867" s="85"/>
      <c r="K4867" s="131"/>
      <c r="L4867" s="69"/>
      <c r="P4867" s="51"/>
    </row>
    <row r="4868" spans="1:16" x14ac:dyDescent="0.15">
      <c r="A4868" s="73"/>
      <c r="B4868" s="118"/>
      <c r="C4868" s="70"/>
      <c r="D4868" s="70"/>
      <c r="E4868" s="70"/>
      <c r="F4868" s="70"/>
      <c r="G4868" s="70"/>
      <c r="H4868" s="93"/>
      <c r="I4868" s="85"/>
      <c r="J4868" s="85"/>
      <c r="K4868" s="131"/>
      <c r="L4868" s="69"/>
      <c r="P4868" s="51"/>
    </row>
    <row r="4869" spans="1:16" x14ac:dyDescent="0.15">
      <c r="A4869" s="70"/>
      <c r="B4869" s="118"/>
      <c r="C4869" s="70"/>
      <c r="D4869" s="70"/>
      <c r="E4869" s="70"/>
      <c r="F4869" s="70"/>
      <c r="G4869" s="70"/>
      <c r="H4869" s="93"/>
      <c r="I4869" s="85"/>
      <c r="J4869" s="85"/>
      <c r="K4869" s="131"/>
      <c r="L4869" s="69"/>
      <c r="P4869" s="51"/>
    </row>
    <row r="4870" spans="1:16" x14ac:dyDescent="0.15">
      <c r="A4870" s="70"/>
      <c r="B4870" s="117"/>
      <c r="C4870" s="70"/>
      <c r="D4870" s="70"/>
      <c r="E4870" s="70"/>
      <c r="F4870" s="70"/>
      <c r="G4870" s="70"/>
      <c r="H4870" s="93"/>
      <c r="I4870" s="85"/>
      <c r="J4870" s="85"/>
      <c r="K4870" s="131"/>
      <c r="L4870" s="60"/>
      <c r="P4870" s="51"/>
    </row>
    <row r="4871" spans="1:16" x14ac:dyDescent="0.15">
      <c r="A4871" s="70"/>
      <c r="B4871" s="117"/>
      <c r="C4871" s="70"/>
      <c r="D4871" s="70"/>
      <c r="E4871" s="70"/>
      <c r="F4871" s="70"/>
      <c r="G4871" s="70"/>
      <c r="H4871" s="93"/>
      <c r="I4871" s="85"/>
      <c r="J4871" s="85"/>
      <c r="K4871" s="131"/>
      <c r="L4871" s="60"/>
      <c r="P4871" s="51"/>
    </row>
    <row r="4872" spans="1:16" x14ac:dyDescent="0.15">
      <c r="A4872" s="70"/>
      <c r="B4872" s="118"/>
      <c r="C4872" s="73"/>
      <c r="D4872" s="73"/>
      <c r="E4872" s="70"/>
      <c r="F4872" s="73"/>
      <c r="G4872" s="73"/>
      <c r="H4872" s="108"/>
      <c r="I4872" s="85"/>
      <c r="J4872" s="95"/>
      <c r="K4872" s="131"/>
      <c r="L4872" s="69"/>
    </row>
    <row r="4873" spans="1:16" x14ac:dyDescent="0.15">
      <c r="A4873" s="70"/>
      <c r="B4873" s="118"/>
      <c r="C4873" s="70"/>
      <c r="D4873" s="70"/>
      <c r="E4873" s="70"/>
      <c r="F4873" s="70"/>
      <c r="G4873" s="70"/>
      <c r="H4873" s="93"/>
      <c r="I4873" s="85"/>
      <c r="J4873" s="85"/>
      <c r="K4873" s="131"/>
      <c r="L4873" s="69"/>
    </row>
    <row r="4874" spans="1:16" x14ac:dyDescent="0.15">
      <c r="A4874" s="70"/>
      <c r="B4874" s="118"/>
      <c r="C4874" s="70"/>
      <c r="D4874" s="70"/>
      <c r="E4874" s="70"/>
      <c r="F4874" s="70"/>
      <c r="G4874" s="70"/>
      <c r="H4874" s="93"/>
      <c r="I4874" s="85"/>
      <c r="J4874" s="85"/>
      <c r="K4874" s="131"/>
      <c r="L4874" s="69"/>
    </row>
    <row r="4875" spans="1:16" x14ac:dyDescent="0.15">
      <c r="A4875" s="70"/>
      <c r="B4875" s="118"/>
      <c r="C4875" s="73"/>
      <c r="D4875" s="73"/>
      <c r="E4875" s="70"/>
      <c r="F4875" s="73"/>
      <c r="G4875" s="73"/>
      <c r="H4875" s="108"/>
      <c r="I4875" s="85"/>
      <c r="J4875" s="95"/>
      <c r="K4875" s="131"/>
      <c r="L4875" s="69"/>
    </row>
    <row r="4876" spans="1:16" x14ac:dyDescent="0.15">
      <c r="A4876" s="70"/>
      <c r="B4876" s="118"/>
      <c r="C4876" s="70"/>
      <c r="D4876" s="70"/>
      <c r="E4876" s="70"/>
      <c r="F4876" s="70"/>
      <c r="G4876" s="70"/>
      <c r="H4876" s="93"/>
      <c r="I4876" s="85"/>
      <c r="J4876" s="85"/>
      <c r="K4876" s="131"/>
      <c r="L4876" s="69"/>
    </row>
    <row r="4877" spans="1:16" x14ac:dyDescent="0.15">
      <c r="A4877" s="70"/>
      <c r="B4877" s="118"/>
      <c r="C4877" s="70"/>
      <c r="D4877" s="70"/>
      <c r="E4877" s="70"/>
      <c r="F4877" s="70"/>
      <c r="G4877" s="70"/>
      <c r="H4877" s="93"/>
      <c r="I4877" s="85"/>
      <c r="J4877" s="85"/>
      <c r="K4877" s="131"/>
      <c r="L4877" s="60"/>
    </row>
    <row r="4878" spans="1:16" x14ac:dyDescent="0.15">
      <c r="A4878" s="70"/>
      <c r="B4878" s="118"/>
      <c r="C4878" s="70"/>
      <c r="D4878" s="70"/>
      <c r="E4878" s="70"/>
      <c r="F4878" s="70"/>
      <c r="G4878" s="70"/>
      <c r="H4878" s="93"/>
      <c r="I4878" s="85"/>
      <c r="J4878" s="85"/>
      <c r="K4878" s="131"/>
      <c r="L4878" s="60"/>
      <c r="P4878" s="51"/>
    </row>
    <row r="4879" spans="1:16" x14ac:dyDescent="0.15">
      <c r="A4879" s="73"/>
      <c r="B4879" s="118"/>
      <c r="C4879" s="70"/>
      <c r="D4879" s="70"/>
      <c r="E4879" s="70"/>
      <c r="F4879" s="70"/>
      <c r="G4879" s="70"/>
      <c r="H4879" s="93"/>
      <c r="I4879" s="85"/>
      <c r="J4879" s="85"/>
      <c r="K4879" s="131"/>
      <c r="L4879" s="60"/>
      <c r="P4879" s="51"/>
    </row>
    <row r="4880" spans="1:16" x14ac:dyDescent="0.15">
      <c r="A4880" s="70"/>
      <c r="B4880" s="118"/>
      <c r="C4880" s="70"/>
      <c r="D4880" s="70"/>
      <c r="E4880" s="70"/>
      <c r="F4880" s="70"/>
      <c r="G4880" s="70"/>
      <c r="H4880" s="93"/>
      <c r="I4880" s="85"/>
      <c r="J4880" s="85"/>
      <c r="K4880" s="131"/>
      <c r="L4880" s="69"/>
      <c r="P4880" s="51"/>
    </row>
    <row r="4881" spans="1:28" x14ac:dyDescent="0.15">
      <c r="A4881" s="70"/>
      <c r="B4881" s="117"/>
      <c r="C4881" s="70"/>
      <c r="D4881" s="70"/>
      <c r="E4881" s="70"/>
      <c r="F4881" s="70"/>
      <c r="G4881" s="70"/>
      <c r="H4881" s="93"/>
      <c r="I4881" s="85"/>
      <c r="J4881" s="85"/>
      <c r="K4881" s="131"/>
      <c r="L4881" s="60"/>
      <c r="M4881" s="33"/>
    </row>
    <row r="4882" spans="1:28" x14ac:dyDescent="0.15">
      <c r="A4882" s="70"/>
      <c r="B4882" s="117"/>
      <c r="C4882" s="70"/>
      <c r="D4882" s="70"/>
      <c r="E4882" s="70"/>
      <c r="F4882" s="70"/>
      <c r="G4882" s="70"/>
      <c r="H4882" s="93"/>
      <c r="I4882" s="85"/>
      <c r="J4882" s="85"/>
      <c r="K4882" s="131"/>
      <c r="L4882" s="60"/>
      <c r="M4882" s="33"/>
    </row>
    <row r="4883" spans="1:28" x14ac:dyDescent="0.15">
      <c r="A4883" s="70"/>
      <c r="B4883" s="118"/>
      <c r="C4883" s="70"/>
      <c r="D4883" s="70"/>
      <c r="E4883" s="70"/>
      <c r="F4883" s="70"/>
      <c r="G4883" s="70"/>
      <c r="H4883" s="93"/>
      <c r="I4883" s="85"/>
      <c r="J4883" s="85"/>
      <c r="K4883" s="131"/>
      <c r="L4883" s="69"/>
    </row>
    <row r="4884" spans="1:28" x14ac:dyDescent="0.15">
      <c r="A4884" s="70"/>
      <c r="B4884" s="118"/>
      <c r="C4884" s="70"/>
      <c r="D4884" s="70"/>
      <c r="E4884" s="70"/>
      <c r="F4884" s="70"/>
      <c r="G4884" s="70"/>
      <c r="H4884" s="93"/>
      <c r="I4884" s="85"/>
      <c r="J4884" s="85"/>
      <c r="K4884" s="131"/>
      <c r="L4884" s="69"/>
    </row>
    <row r="4885" spans="1:28" x14ac:dyDescent="0.15">
      <c r="A4885" s="70"/>
      <c r="B4885" s="118"/>
      <c r="C4885" s="70"/>
      <c r="D4885" s="70"/>
      <c r="E4885" s="70"/>
      <c r="F4885" s="70"/>
      <c r="G4885" s="70"/>
      <c r="H4885" s="93"/>
      <c r="I4885" s="85"/>
      <c r="J4885" s="95"/>
      <c r="K4885" s="131"/>
      <c r="L4885" s="60"/>
      <c r="S4885" s="6"/>
      <c r="T4885" s="6"/>
      <c r="U4885" s="6"/>
      <c r="V4885" s="6"/>
      <c r="W4885" s="6"/>
      <c r="X4885" s="6"/>
      <c r="Y4885" s="6"/>
      <c r="Z4885" s="6"/>
      <c r="AA4885" s="2"/>
      <c r="AB4885" s="2"/>
    </row>
    <row r="4886" spans="1:28" x14ac:dyDescent="0.15">
      <c r="A4886" s="70"/>
      <c r="B4886" s="118"/>
      <c r="C4886" s="70"/>
      <c r="D4886" s="70"/>
      <c r="E4886" s="70"/>
      <c r="F4886" s="70"/>
      <c r="G4886" s="70"/>
      <c r="H4886" s="93"/>
      <c r="I4886" s="85"/>
      <c r="J4886" s="85"/>
      <c r="K4886" s="131"/>
      <c r="L4886" s="60"/>
      <c r="S4886" s="6"/>
      <c r="T4886" s="6"/>
      <c r="U4886" s="6"/>
      <c r="V4886" s="6"/>
      <c r="W4886" s="6"/>
      <c r="X4886" s="6"/>
      <c r="Y4886" s="6"/>
      <c r="Z4886" s="6"/>
      <c r="AA4886" s="2"/>
      <c r="AB4886" s="2"/>
    </row>
    <row r="4887" spans="1:28" x14ac:dyDescent="0.15">
      <c r="A4887" s="70"/>
      <c r="B4887" s="118"/>
      <c r="C4887" s="70"/>
      <c r="D4887" s="70"/>
      <c r="E4887" s="70"/>
      <c r="F4887" s="70"/>
      <c r="G4887" s="70"/>
      <c r="H4887" s="93"/>
      <c r="I4887" s="85"/>
      <c r="J4887" s="85"/>
      <c r="K4887" s="131"/>
      <c r="L4887" s="60"/>
      <c r="S4887" s="6"/>
      <c r="T4887" s="6"/>
      <c r="U4887" s="6"/>
      <c r="V4887" s="6"/>
      <c r="W4887" s="6"/>
      <c r="X4887" s="6"/>
      <c r="Y4887" s="6"/>
      <c r="Z4887" s="6"/>
      <c r="AA4887" s="2"/>
      <c r="AB4887" s="2"/>
    </row>
    <row r="4888" spans="1:28" x14ac:dyDescent="0.15">
      <c r="A4888" s="70"/>
      <c r="B4888" s="117"/>
      <c r="C4888" s="70"/>
      <c r="D4888" s="70"/>
      <c r="E4888" s="70"/>
      <c r="F4888" s="70"/>
      <c r="G4888" s="70"/>
      <c r="H4888" s="93"/>
      <c r="I4888" s="85"/>
      <c r="J4888" s="85"/>
      <c r="K4888" s="131"/>
      <c r="L4888" s="60"/>
      <c r="P4888" s="51"/>
      <c r="S4888" s="6"/>
      <c r="T4888" s="6"/>
      <c r="U4888" s="6"/>
      <c r="V4888" s="6"/>
      <c r="W4888" s="6"/>
      <c r="X4888" s="6"/>
      <c r="Y4888" s="6"/>
      <c r="Z4888" s="6"/>
      <c r="AA4888" s="2"/>
      <c r="AB4888" s="2"/>
    </row>
    <row r="4889" spans="1:28" x14ac:dyDescent="0.15">
      <c r="A4889" s="70"/>
      <c r="B4889" s="118"/>
      <c r="C4889" s="70"/>
      <c r="D4889" s="70"/>
      <c r="E4889" s="70"/>
      <c r="F4889" s="70"/>
      <c r="G4889" s="70"/>
      <c r="H4889" s="93"/>
      <c r="I4889" s="85"/>
      <c r="J4889" s="85"/>
      <c r="K4889" s="131"/>
      <c r="L4889" s="60"/>
      <c r="P4889" s="51"/>
      <c r="S4889" s="6"/>
      <c r="T4889" s="6"/>
      <c r="U4889" s="6"/>
      <c r="V4889" s="6"/>
      <c r="W4889" s="6"/>
      <c r="X4889" s="6"/>
      <c r="Y4889" s="6"/>
      <c r="Z4889" s="6"/>
      <c r="AA4889" s="2"/>
      <c r="AB4889" s="2"/>
    </row>
    <row r="4890" spans="1:28" x14ac:dyDescent="0.15">
      <c r="A4890" s="70"/>
      <c r="B4890" s="118"/>
      <c r="C4890" s="70"/>
      <c r="D4890" s="70"/>
      <c r="E4890" s="70"/>
      <c r="F4890" s="70"/>
      <c r="G4890" s="70"/>
      <c r="H4890" s="93"/>
      <c r="I4890" s="85"/>
      <c r="J4890" s="85"/>
      <c r="K4890" s="131"/>
      <c r="L4890" s="69"/>
      <c r="P4890" s="51"/>
      <c r="S4890" s="6"/>
      <c r="T4890" s="6"/>
      <c r="U4890" s="6"/>
      <c r="V4890" s="6"/>
      <c r="W4890" s="6"/>
      <c r="X4890" s="6"/>
      <c r="Y4890" s="6"/>
      <c r="Z4890" s="6"/>
      <c r="AA4890" s="2"/>
      <c r="AB4890" s="2"/>
    </row>
    <row r="4891" spans="1:28" x14ac:dyDescent="0.15">
      <c r="A4891" s="70"/>
      <c r="B4891" s="118"/>
      <c r="C4891" s="70"/>
      <c r="D4891" s="70"/>
      <c r="E4891" s="70"/>
      <c r="F4891" s="70"/>
      <c r="G4891" s="70"/>
      <c r="H4891" s="93"/>
      <c r="I4891" s="85"/>
      <c r="J4891" s="85"/>
      <c r="K4891" s="131"/>
      <c r="L4891" s="60"/>
      <c r="M4891" s="33"/>
      <c r="P4891" s="51"/>
      <c r="S4891" s="6"/>
      <c r="T4891" s="6"/>
      <c r="U4891" s="6"/>
      <c r="V4891" s="6"/>
      <c r="W4891" s="6"/>
      <c r="X4891" s="6"/>
      <c r="Y4891" s="6"/>
      <c r="Z4891" s="6"/>
      <c r="AA4891" s="2"/>
      <c r="AB4891" s="2"/>
    </row>
    <row r="4892" spans="1:28" x14ac:dyDescent="0.15">
      <c r="A4892" s="70"/>
      <c r="B4892" s="118"/>
      <c r="C4892" s="70"/>
      <c r="D4892" s="70"/>
      <c r="E4892" s="70"/>
      <c r="F4892" s="70"/>
      <c r="G4892" s="70"/>
      <c r="H4892" s="93"/>
      <c r="I4892" s="85"/>
      <c r="J4892" s="85"/>
      <c r="K4892" s="131"/>
      <c r="L4892" s="60"/>
      <c r="P4892" s="51"/>
      <c r="S4892" s="6"/>
      <c r="T4892" s="6"/>
      <c r="U4892" s="6"/>
      <c r="V4892" s="6"/>
      <c r="W4892" s="6"/>
      <c r="X4892" s="6"/>
      <c r="Y4892" s="6"/>
      <c r="Z4892" s="6"/>
      <c r="AA4892" s="2"/>
      <c r="AB4892" s="2"/>
    </row>
    <row r="4893" spans="1:28" x14ac:dyDescent="0.15">
      <c r="A4893" s="73"/>
      <c r="B4893" s="118"/>
      <c r="C4893" s="70"/>
      <c r="D4893" s="70"/>
      <c r="E4893" s="70"/>
      <c r="F4893" s="70"/>
      <c r="G4893" s="70"/>
      <c r="H4893" s="93"/>
      <c r="I4893" s="85"/>
      <c r="J4893" s="85"/>
      <c r="K4893" s="131"/>
      <c r="L4893" s="60"/>
      <c r="P4893" s="51"/>
      <c r="S4893" s="6"/>
      <c r="T4893" s="6"/>
      <c r="U4893" s="6"/>
      <c r="V4893" s="6"/>
      <c r="W4893" s="6"/>
      <c r="X4893" s="6"/>
      <c r="Y4893" s="6"/>
      <c r="Z4893" s="6"/>
      <c r="AA4893" s="2"/>
      <c r="AB4893" s="2"/>
    </row>
    <row r="4894" spans="1:28" x14ac:dyDescent="0.15">
      <c r="A4894" s="73"/>
      <c r="B4894" s="118"/>
      <c r="C4894" s="70"/>
      <c r="D4894" s="70"/>
      <c r="E4894" s="70"/>
      <c r="F4894" s="70"/>
      <c r="G4894" s="70"/>
      <c r="H4894" s="93"/>
      <c r="I4894" s="85"/>
      <c r="J4894" s="85"/>
      <c r="K4894" s="131"/>
      <c r="L4894" s="60"/>
      <c r="P4894" s="51"/>
      <c r="S4894" s="6"/>
      <c r="T4894" s="6"/>
      <c r="U4894" s="6"/>
      <c r="V4894" s="6"/>
      <c r="W4894" s="6"/>
      <c r="X4894" s="6"/>
      <c r="Y4894" s="6"/>
      <c r="Z4894" s="6"/>
      <c r="AA4894" s="2"/>
      <c r="AB4894" s="2"/>
    </row>
    <row r="4895" spans="1:28" x14ac:dyDescent="0.15">
      <c r="A4895" s="70"/>
      <c r="B4895" s="118"/>
      <c r="C4895" s="70"/>
      <c r="D4895" s="70"/>
      <c r="E4895" s="70"/>
      <c r="F4895" s="70"/>
      <c r="G4895" s="70"/>
      <c r="H4895" s="93"/>
      <c r="I4895" s="85"/>
      <c r="J4895" s="85"/>
      <c r="K4895" s="131"/>
      <c r="L4895" s="60"/>
      <c r="P4895" s="51"/>
      <c r="S4895" s="6"/>
      <c r="T4895" s="6"/>
      <c r="U4895" s="6"/>
      <c r="V4895" s="6"/>
      <c r="W4895" s="6"/>
      <c r="X4895" s="6"/>
      <c r="Y4895" s="6"/>
      <c r="Z4895" s="6"/>
      <c r="AA4895" s="2"/>
      <c r="AB4895" s="2"/>
    </row>
    <row r="4896" spans="1:28" x14ac:dyDescent="0.15">
      <c r="A4896" s="70"/>
      <c r="B4896" s="118"/>
      <c r="C4896" s="70"/>
      <c r="D4896" s="70"/>
      <c r="E4896" s="70"/>
      <c r="F4896" s="70"/>
      <c r="G4896" s="70"/>
      <c r="H4896" s="93"/>
      <c r="I4896" s="85"/>
      <c r="J4896" s="85"/>
      <c r="K4896" s="131"/>
      <c r="L4896" s="69"/>
      <c r="P4896" s="51"/>
      <c r="S4896" s="6"/>
      <c r="T4896" s="6"/>
      <c r="U4896" s="6"/>
      <c r="V4896" s="6"/>
      <c r="W4896" s="6"/>
      <c r="X4896" s="6"/>
      <c r="Y4896" s="6"/>
      <c r="Z4896" s="6"/>
      <c r="AA4896" s="2"/>
      <c r="AB4896" s="2"/>
    </row>
    <row r="4897" spans="1:28" x14ac:dyDescent="0.15">
      <c r="A4897" s="70"/>
      <c r="B4897" s="118"/>
      <c r="C4897" s="70"/>
      <c r="D4897" s="70"/>
      <c r="E4897" s="70"/>
      <c r="F4897" s="70"/>
      <c r="G4897" s="70"/>
      <c r="H4897" s="93"/>
      <c r="I4897" s="85"/>
      <c r="J4897" s="85"/>
      <c r="K4897" s="131"/>
      <c r="L4897" s="60"/>
      <c r="P4897" s="51"/>
      <c r="S4897" s="6"/>
      <c r="T4897" s="6"/>
      <c r="U4897" s="6"/>
      <c r="V4897" s="6"/>
      <c r="W4897" s="6"/>
      <c r="X4897" s="6"/>
      <c r="Y4897" s="6"/>
      <c r="Z4897" s="6"/>
      <c r="AA4897" s="2"/>
      <c r="AB4897" s="2"/>
    </row>
    <row r="4898" spans="1:28" x14ac:dyDescent="0.15">
      <c r="A4898" s="73"/>
      <c r="B4898" s="118"/>
      <c r="C4898" s="70"/>
      <c r="D4898" s="70"/>
      <c r="E4898" s="70"/>
      <c r="F4898" s="70"/>
      <c r="G4898" s="70"/>
      <c r="H4898" s="93"/>
      <c r="I4898" s="85"/>
      <c r="J4898" s="85"/>
      <c r="K4898" s="131"/>
      <c r="L4898" s="60"/>
      <c r="P4898" s="51"/>
      <c r="S4898" s="6"/>
      <c r="T4898" s="6"/>
      <c r="U4898" s="6"/>
      <c r="V4898" s="6"/>
      <c r="W4898" s="6"/>
      <c r="X4898" s="6"/>
      <c r="Y4898" s="6"/>
      <c r="Z4898" s="6"/>
      <c r="AA4898" s="2"/>
      <c r="AB4898" s="2"/>
    </row>
    <row r="4899" spans="1:28" x14ac:dyDescent="0.15">
      <c r="A4899" s="70"/>
      <c r="B4899" s="118"/>
      <c r="C4899" s="70"/>
      <c r="D4899" s="70"/>
      <c r="E4899" s="70"/>
      <c r="F4899" s="70"/>
      <c r="G4899" s="70"/>
      <c r="H4899" s="93"/>
      <c r="I4899" s="85"/>
      <c r="J4899" s="85"/>
      <c r="K4899" s="131"/>
      <c r="L4899" s="60"/>
      <c r="P4899" s="51"/>
      <c r="S4899" s="6"/>
      <c r="T4899" s="6"/>
      <c r="U4899" s="6"/>
      <c r="V4899" s="6"/>
      <c r="W4899" s="6"/>
      <c r="X4899" s="6"/>
      <c r="Y4899" s="6"/>
      <c r="Z4899" s="6"/>
      <c r="AA4899" s="2"/>
      <c r="AB4899" s="2"/>
    </row>
    <row r="4900" spans="1:28" ht="16" x14ac:dyDescent="0.2">
      <c r="A4900" s="70"/>
      <c r="B4900" s="118"/>
      <c r="C4900" s="70"/>
      <c r="D4900" s="70"/>
      <c r="E4900" s="70"/>
      <c r="F4900" s="70"/>
      <c r="G4900" s="70"/>
      <c r="H4900" s="93"/>
      <c r="I4900" s="85"/>
      <c r="J4900" s="85"/>
      <c r="K4900" s="131"/>
      <c r="L4900" s="69"/>
      <c r="N4900" s="48"/>
      <c r="P4900" s="51"/>
      <c r="S4900" s="6"/>
      <c r="T4900" s="6"/>
      <c r="U4900" s="6"/>
      <c r="V4900" s="6"/>
      <c r="W4900" s="6"/>
      <c r="X4900" s="6"/>
      <c r="Y4900" s="6"/>
      <c r="Z4900" s="6"/>
      <c r="AA4900" s="2"/>
      <c r="AB4900" s="2"/>
    </row>
    <row r="4901" spans="1:28" x14ac:dyDescent="0.15">
      <c r="A4901" s="70"/>
      <c r="B4901" s="118"/>
      <c r="C4901" s="70"/>
      <c r="D4901" s="70"/>
      <c r="E4901" s="70"/>
      <c r="F4901" s="70"/>
      <c r="G4901" s="70"/>
      <c r="H4901" s="93"/>
      <c r="I4901" s="85"/>
      <c r="J4901" s="85"/>
      <c r="K4901" s="131"/>
      <c r="L4901" s="69"/>
      <c r="P4901" s="51"/>
      <c r="S4901" s="6"/>
      <c r="T4901" s="6"/>
      <c r="U4901" s="6"/>
      <c r="V4901" s="6"/>
      <c r="W4901" s="6"/>
      <c r="X4901" s="6"/>
      <c r="Y4901" s="6"/>
      <c r="Z4901" s="6"/>
      <c r="AA4901" s="2"/>
      <c r="AB4901" s="2"/>
    </row>
    <row r="4902" spans="1:28" x14ac:dyDescent="0.15">
      <c r="A4902" s="73"/>
      <c r="B4902" s="118"/>
      <c r="C4902" s="70"/>
      <c r="D4902" s="70"/>
      <c r="E4902" s="70"/>
      <c r="F4902" s="70"/>
      <c r="G4902" s="70"/>
      <c r="H4902" s="93"/>
      <c r="I4902" s="85"/>
      <c r="J4902" s="85"/>
      <c r="K4902" s="131"/>
      <c r="L4902" s="69"/>
      <c r="P4902" s="51"/>
      <c r="S4902" s="6"/>
      <c r="T4902" s="6"/>
      <c r="U4902" s="6"/>
      <c r="V4902" s="6"/>
      <c r="W4902" s="6"/>
      <c r="X4902" s="6"/>
      <c r="Y4902" s="6"/>
      <c r="Z4902" s="6"/>
      <c r="AA4902" s="2"/>
      <c r="AB4902" s="2"/>
    </row>
    <row r="4903" spans="1:28" x14ac:dyDescent="0.15">
      <c r="A4903" s="70"/>
      <c r="B4903" s="118"/>
      <c r="C4903" s="70"/>
      <c r="D4903" s="70"/>
      <c r="E4903" s="70"/>
      <c r="F4903" s="70"/>
      <c r="G4903" s="70"/>
      <c r="H4903" s="93"/>
      <c r="I4903" s="85"/>
      <c r="J4903" s="85"/>
      <c r="K4903" s="131"/>
      <c r="L4903" s="60"/>
      <c r="P4903" s="51"/>
      <c r="S4903" s="6"/>
      <c r="T4903" s="6"/>
      <c r="U4903" s="6"/>
      <c r="V4903" s="6"/>
      <c r="W4903" s="6"/>
      <c r="X4903" s="6"/>
      <c r="Y4903" s="6"/>
      <c r="Z4903" s="6"/>
      <c r="AA4903" s="2"/>
      <c r="AB4903" s="2"/>
    </row>
    <row r="4904" spans="1:28" x14ac:dyDescent="0.15">
      <c r="A4904" s="70"/>
      <c r="B4904" s="118"/>
      <c r="C4904" s="70"/>
      <c r="D4904" s="70"/>
      <c r="E4904" s="70"/>
      <c r="F4904" s="70"/>
      <c r="G4904" s="70"/>
      <c r="H4904" s="93"/>
      <c r="I4904" s="85"/>
      <c r="J4904" s="85"/>
      <c r="K4904" s="131"/>
      <c r="L4904" s="60"/>
      <c r="P4904" s="51"/>
      <c r="S4904" s="6"/>
      <c r="T4904" s="6"/>
      <c r="U4904" s="6"/>
      <c r="V4904" s="6"/>
      <c r="W4904" s="6"/>
      <c r="X4904" s="6"/>
      <c r="Y4904" s="6"/>
      <c r="Z4904" s="6"/>
      <c r="AA4904" s="2"/>
      <c r="AB4904" s="2"/>
    </row>
    <row r="4905" spans="1:28" x14ac:dyDescent="0.15">
      <c r="A4905" s="73"/>
      <c r="B4905" s="118"/>
      <c r="C4905" s="70"/>
      <c r="D4905" s="70"/>
      <c r="E4905" s="70"/>
      <c r="F4905" s="70"/>
      <c r="G4905" s="70"/>
      <c r="H4905" s="93"/>
      <c r="I4905" s="85"/>
      <c r="J4905" s="85"/>
      <c r="K4905" s="131"/>
      <c r="L4905" s="69"/>
      <c r="P4905" s="35"/>
      <c r="S4905" s="6"/>
      <c r="T4905" s="6"/>
      <c r="U4905" s="6"/>
      <c r="V4905" s="6"/>
      <c r="W4905" s="6"/>
      <c r="X4905" s="6"/>
      <c r="Y4905" s="6"/>
      <c r="Z4905" s="6"/>
      <c r="AA4905" s="2"/>
      <c r="AB4905" s="2"/>
    </row>
    <row r="4906" spans="1:28" x14ac:dyDescent="0.15">
      <c r="A4906" s="70"/>
      <c r="B4906" s="118"/>
      <c r="C4906" s="70"/>
      <c r="D4906" s="70"/>
      <c r="E4906" s="70"/>
      <c r="F4906" s="70"/>
      <c r="G4906" s="70"/>
      <c r="H4906" s="93"/>
      <c r="I4906" s="85"/>
      <c r="J4906" s="85"/>
      <c r="K4906" s="131"/>
      <c r="L4906" s="60"/>
      <c r="P4906" s="35"/>
      <c r="S4906" s="6"/>
      <c r="T4906" s="6"/>
      <c r="U4906" s="6"/>
      <c r="V4906" s="6"/>
      <c r="W4906" s="6"/>
      <c r="X4906" s="6"/>
      <c r="Y4906" s="6"/>
      <c r="Z4906" s="6"/>
      <c r="AA4906" s="2"/>
      <c r="AB4906" s="2"/>
    </row>
    <row r="4907" spans="1:28" x14ac:dyDescent="0.15">
      <c r="A4907" s="70"/>
      <c r="B4907" s="118"/>
      <c r="C4907" s="70"/>
      <c r="D4907" s="70"/>
      <c r="E4907" s="70"/>
      <c r="F4907" s="70"/>
      <c r="G4907" s="70"/>
      <c r="H4907" s="93"/>
      <c r="I4907" s="85"/>
      <c r="J4907" s="85"/>
      <c r="K4907" s="131"/>
      <c r="L4907" s="60"/>
      <c r="P4907" s="35"/>
      <c r="S4907" s="6"/>
      <c r="T4907" s="6"/>
      <c r="U4907" s="6"/>
      <c r="V4907" s="6"/>
      <c r="W4907" s="6"/>
      <c r="X4907" s="6"/>
      <c r="Y4907" s="6"/>
      <c r="Z4907" s="6"/>
      <c r="AA4907" s="2"/>
      <c r="AB4907" s="2"/>
    </row>
    <row r="4908" spans="1:28" x14ac:dyDescent="0.15">
      <c r="A4908" s="70"/>
      <c r="B4908" s="118"/>
      <c r="C4908" s="70"/>
      <c r="D4908" s="70"/>
      <c r="E4908" s="70"/>
      <c r="F4908" s="70"/>
      <c r="G4908" s="70"/>
      <c r="H4908" s="93"/>
      <c r="I4908" s="85"/>
      <c r="J4908" s="85"/>
      <c r="K4908" s="131"/>
      <c r="L4908" s="60"/>
      <c r="P4908" s="35"/>
    </row>
    <row r="4909" spans="1:28" x14ac:dyDescent="0.15">
      <c r="A4909" s="70"/>
      <c r="B4909" s="118"/>
      <c r="C4909" s="70"/>
      <c r="D4909" s="70"/>
      <c r="E4909" s="70"/>
      <c r="F4909" s="70"/>
      <c r="G4909" s="70"/>
      <c r="H4909" s="93"/>
      <c r="I4909" s="85"/>
      <c r="J4909" s="85"/>
      <c r="K4909" s="131"/>
      <c r="L4909" s="60"/>
      <c r="P4909" s="35"/>
    </row>
    <row r="4910" spans="1:28" x14ac:dyDescent="0.15">
      <c r="A4910" s="70"/>
      <c r="B4910" s="118"/>
      <c r="C4910" s="70"/>
      <c r="D4910" s="70"/>
      <c r="E4910" s="70"/>
      <c r="F4910" s="70"/>
      <c r="G4910" s="70"/>
      <c r="H4910" s="93"/>
      <c r="I4910" s="85"/>
      <c r="J4910" s="85"/>
      <c r="K4910" s="131"/>
      <c r="L4910" s="60"/>
      <c r="P4910" s="35"/>
    </row>
    <row r="4911" spans="1:28" x14ac:dyDescent="0.15">
      <c r="A4911" s="70"/>
      <c r="B4911" s="118"/>
      <c r="C4911" s="70"/>
      <c r="D4911" s="70"/>
      <c r="E4911" s="70"/>
      <c r="F4911" s="70"/>
      <c r="G4911" s="70"/>
      <c r="H4911" s="93"/>
      <c r="I4911" s="85"/>
      <c r="J4911" s="85"/>
      <c r="K4911" s="131"/>
      <c r="L4911" s="60"/>
      <c r="P4911" s="35"/>
    </row>
    <row r="4912" spans="1:28" x14ac:dyDescent="0.15">
      <c r="A4912" s="73"/>
      <c r="B4912" s="118"/>
      <c r="C4912" s="70"/>
      <c r="D4912" s="70"/>
      <c r="E4912" s="70"/>
      <c r="F4912" s="70"/>
      <c r="G4912" s="70"/>
      <c r="H4912" s="93"/>
      <c r="I4912" s="85"/>
      <c r="J4912" s="85"/>
      <c r="K4912" s="131"/>
      <c r="L4912" s="69"/>
      <c r="P4912" s="35"/>
    </row>
    <row r="4913" spans="1:16" x14ac:dyDescent="0.15">
      <c r="A4913" s="70"/>
      <c r="B4913" s="118"/>
      <c r="C4913" s="70"/>
      <c r="D4913" s="70"/>
      <c r="E4913" s="70"/>
      <c r="F4913" s="70"/>
      <c r="G4913" s="70"/>
      <c r="H4913" s="93"/>
      <c r="I4913" s="85"/>
      <c r="J4913" s="85"/>
      <c r="K4913" s="131"/>
      <c r="L4913" s="69"/>
      <c r="P4913" s="35"/>
    </row>
    <row r="4914" spans="1:16" x14ac:dyDescent="0.15">
      <c r="A4914" s="70"/>
      <c r="B4914" s="118"/>
      <c r="C4914" s="70"/>
      <c r="D4914" s="70"/>
      <c r="E4914" s="70"/>
      <c r="F4914" s="70"/>
      <c r="G4914" s="70"/>
      <c r="H4914" s="93"/>
      <c r="I4914" s="85"/>
      <c r="J4914" s="85"/>
      <c r="K4914" s="131"/>
      <c r="L4914" s="69"/>
      <c r="P4914" s="35"/>
    </row>
    <row r="4915" spans="1:16" x14ac:dyDescent="0.15">
      <c r="A4915" s="70"/>
      <c r="B4915" s="118"/>
      <c r="C4915" s="70"/>
      <c r="D4915" s="70"/>
      <c r="E4915" s="70"/>
      <c r="F4915" s="70"/>
      <c r="G4915" s="70"/>
      <c r="H4915" s="93"/>
      <c r="I4915" s="85"/>
      <c r="J4915" s="85"/>
      <c r="K4915" s="131"/>
      <c r="L4915" s="60"/>
      <c r="P4915" s="35"/>
    </row>
    <row r="4916" spans="1:16" x14ac:dyDescent="0.15">
      <c r="A4916" s="70"/>
      <c r="B4916" s="118"/>
      <c r="C4916" s="70"/>
      <c r="D4916" s="70"/>
      <c r="E4916" s="70"/>
      <c r="F4916" s="70"/>
      <c r="G4916" s="70"/>
      <c r="H4916" s="93"/>
      <c r="I4916" s="85"/>
      <c r="J4916" s="85"/>
      <c r="K4916" s="131"/>
      <c r="L4916" s="60"/>
      <c r="P4916" s="35"/>
    </row>
    <row r="4917" spans="1:16" x14ac:dyDescent="0.15">
      <c r="A4917" s="73"/>
      <c r="B4917" s="118"/>
      <c r="C4917" s="70"/>
      <c r="D4917" s="70"/>
      <c r="E4917" s="70"/>
      <c r="F4917" s="70"/>
      <c r="G4917" s="70"/>
      <c r="H4917" s="93"/>
      <c r="I4917" s="85"/>
      <c r="J4917" s="85"/>
      <c r="K4917" s="131"/>
      <c r="L4917" s="60"/>
      <c r="P4917" s="35"/>
    </row>
    <row r="4918" spans="1:16" x14ac:dyDescent="0.15">
      <c r="A4918" s="73"/>
      <c r="B4918" s="118"/>
      <c r="C4918" s="70"/>
      <c r="D4918" s="70"/>
      <c r="E4918" s="70"/>
      <c r="F4918" s="70"/>
      <c r="G4918" s="70"/>
      <c r="H4918" s="93"/>
      <c r="I4918" s="85"/>
      <c r="J4918" s="85"/>
      <c r="K4918" s="131"/>
      <c r="L4918" s="60"/>
    </row>
    <row r="4919" spans="1:16" x14ac:dyDescent="0.15">
      <c r="A4919" s="70"/>
      <c r="B4919" s="118"/>
      <c r="C4919" s="70"/>
      <c r="D4919" s="70"/>
      <c r="E4919" s="70"/>
      <c r="F4919" s="70"/>
      <c r="G4919" s="70"/>
      <c r="H4919" s="93"/>
      <c r="I4919" s="85"/>
      <c r="J4919" s="85"/>
      <c r="K4919" s="131"/>
      <c r="L4919" s="60"/>
    </row>
    <row r="4920" spans="1:16" x14ac:dyDescent="0.15">
      <c r="A4920" s="70"/>
      <c r="B4920" s="118"/>
      <c r="C4920" s="70"/>
      <c r="D4920" s="70"/>
      <c r="E4920" s="70"/>
      <c r="F4920" s="70"/>
      <c r="G4920" s="70"/>
      <c r="H4920" s="93"/>
      <c r="I4920" s="85"/>
      <c r="J4920" s="85"/>
      <c r="K4920" s="131"/>
      <c r="L4920" s="60"/>
    </row>
    <row r="4921" spans="1:16" x14ac:dyDescent="0.15">
      <c r="A4921" s="70"/>
      <c r="B4921" s="118"/>
      <c r="C4921" s="70"/>
      <c r="D4921" s="70"/>
      <c r="E4921" s="70"/>
      <c r="F4921" s="70"/>
      <c r="G4921" s="70"/>
      <c r="H4921" s="93"/>
      <c r="I4921" s="85"/>
      <c r="J4921" s="85"/>
      <c r="K4921" s="131"/>
      <c r="L4921" s="60"/>
    </row>
    <row r="4922" spans="1:16" ht="16" x14ac:dyDescent="0.2">
      <c r="A4922" s="70"/>
      <c r="B4922" s="118"/>
      <c r="C4922" s="70"/>
      <c r="D4922" s="70"/>
      <c r="E4922" s="70"/>
      <c r="F4922" s="70"/>
      <c r="G4922" s="70"/>
      <c r="H4922" s="93"/>
      <c r="I4922" s="85"/>
      <c r="J4922" s="85"/>
      <c r="K4922" s="131"/>
      <c r="L4922" s="60"/>
      <c r="N4922" s="48"/>
      <c r="P4922" s="35"/>
    </row>
    <row r="4923" spans="1:16" x14ac:dyDescent="0.15">
      <c r="A4923" s="70"/>
      <c r="B4923" s="118"/>
      <c r="C4923" s="70"/>
      <c r="D4923" s="70"/>
      <c r="E4923" s="70"/>
      <c r="F4923" s="70"/>
      <c r="G4923" s="70"/>
      <c r="H4923" s="93"/>
      <c r="I4923" s="85"/>
      <c r="J4923" s="85"/>
      <c r="K4923" s="131"/>
      <c r="L4923" s="60"/>
      <c r="P4923" s="35"/>
    </row>
    <row r="4924" spans="1:16" x14ac:dyDescent="0.15">
      <c r="A4924" s="70"/>
      <c r="B4924" s="118"/>
      <c r="C4924" s="121"/>
      <c r="D4924" s="121"/>
      <c r="E4924" s="70"/>
      <c r="F4924" s="121"/>
      <c r="G4924" s="121"/>
      <c r="H4924" s="93"/>
      <c r="I4924" s="85"/>
      <c r="J4924" s="122"/>
      <c r="K4924" s="131"/>
      <c r="L4924" s="60"/>
      <c r="P4924" s="35"/>
    </row>
    <row r="4925" spans="1:16" x14ac:dyDescent="0.15">
      <c r="A4925" s="70"/>
      <c r="B4925" s="117"/>
      <c r="C4925" s="121"/>
      <c r="D4925" s="121"/>
      <c r="E4925" s="70"/>
      <c r="F4925" s="121"/>
      <c r="G4925" s="121"/>
      <c r="H4925" s="93"/>
      <c r="I4925" s="85"/>
      <c r="J4925" s="122"/>
      <c r="K4925" s="131"/>
      <c r="L4925" s="60"/>
      <c r="P4925" s="35"/>
    </row>
    <row r="4926" spans="1:16" x14ac:dyDescent="0.15">
      <c r="A4926" s="70"/>
      <c r="B4926" s="118"/>
      <c r="C4926" s="121"/>
      <c r="D4926" s="121"/>
      <c r="E4926" s="70"/>
      <c r="F4926" s="121"/>
      <c r="G4926" s="121"/>
      <c r="H4926" s="93"/>
      <c r="I4926" s="85"/>
      <c r="J4926" s="122"/>
      <c r="K4926" s="131"/>
      <c r="L4926" s="69"/>
    </row>
    <row r="4927" spans="1:16" ht="16" x14ac:dyDescent="0.2">
      <c r="A4927" s="70"/>
      <c r="B4927" s="118"/>
      <c r="C4927" s="121"/>
      <c r="D4927" s="121"/>
      <c r="E4927" s="70"/>
      <c r="F4927" s="121"/>
      <c r="G4927" s="121"/>
      <c r="H4927" s="93"/>
      <c r="I4927" s="85"/>
      <c r="J4927" s="122"/>
      <c r="K4927" s="131"/>
      <c r="L4927" s="60"/>
      <c r="N4927" s="48"/>
      <c r="P4927" s="36"/>
    </row>
    <row r="4928" spans="1:16" x14ac:dyDescent="0.15">
      <c r="A4928" s="70"/>
      <c r="B4928" s="118"/>
      <c r="C4928" s="121"/>
      <c r="D4928" s="121"/>
      <c r="E4928" s="70"/>
      <c r="F4928" s="121"/>
      <c r="G4928" s="121"/>
      <c r="H4928" s="93"/>
      <c r="I4928" s="85"/>
      <c r="J4928" s="122"/>
      <c r="K4928" s="131"/>
      <c r="L4928" s="60"/>
      <c r="P4928" s="35"/>
    </row>
    <row r="4929" spans="1:16" x14ac:dyDescent="0.15">
      <c r="A4929" s="70"/>
      <c r="B4929" s="118"/>
      <c r="C4929" s="121"/>
      <c r="D4929" s="121"/>
      <c r="E4929" s="70"/>
      <c r="F4929" s="121"/>
      <c r="G4929" s="121"/>
      <c r="H4929" s="93"/>
      <c r="I4929" s="85"/>
      <c r="J4929" s="122"/>
      <c r="K4929" s="131"/>
      <c r="L4929" s="69"/>
      <c r="P4929" s="35"/>
    </row>
    <row r="4930" spans="1:16" x14ac:dyDescent="0.15">
      <c r="A4930" s="70"/>
      <c r="B4930" s="118"/>
      <c r="C4930" s="121"/>
      <c r="D4930" s="121"/>
      <c r="E4930" s="70"/>
      <c r="F4930" s="121"/>
      <c r="G4930" s="121"/>
      <c r="H4930" s="93"/>
      <c r="I4930" s="85"/>
      <c r="J4930" s="122"/>
      <c r="K4930" s="131"/>
      <c r="L4930" s="69"/>
      <c r="P4930" s="35"/>
    </row>
    <row r="4931" spans="1:16" x14ac:dyDescent="0.15">
      <c r="A4931" s="70"/>
      <c r="B4931" s="118"/>
      <c r="C4931" s="121"/>
      <c r="D4931" s="121"/>
      <c r="E4931" s="70"/>
      <c r="F4931" s="121"/>
      <c r="G4931" s="121"/>
      <c r="H4931" s="93"/>
      <c r="I4931" s="85"/>
      <c r="J4931" s="122"/>
      <c r="K4931" s="131"/>
      <c r="L4931" s="69"/>
      <c r="P4931" s="35"/>
    </row>
    <row r="4932" spans="1:16" x14ac:dyDescent="0.15">
      <c r="A4932" s="70"/>
      <c r="B4932" s="118"/>
      <c r="C4932" s="121"/>
      <c r="D4932" s="121"/>
      <c r="E4932" s="70"/>
      <c r="F4932" s="121"/>
      <c r="G4932" s="121"/>
      <c r="H4932" s="93"/>
      <c r="I4932" s="85"/>
      <c r="J4932" s="122"/>
      <c r="K4932" s="131"/>
      <c r="L4932" s="60"/>
      <c r="P4932" s="51"/>
    </row>
    <row r="4933" spans="1:16" x14ac:dyDescent="0.15">
      <c r="A4933" s="70"/>
      <c r="B4933" s="118"/>
      <c r="C4933" s="121"/>
      <c r="D4933" s="121"/>
      <c r="E4933" s="70"/>
      <c r="F4933" s="121"/>
      <c r="G4933" s="121"/>
      <c r="H4933" s="93"/>
      <c r="I4933" s="85"/>
      <c r="J4933" s="122"/>
      <c r="K4933" s="131"/>
      <c r="L4933" s="60"/>
      <c r="P4933" s="51"/>
    </row>
    <row r="4934" spans="1:16" x14ac:dyDescent="0.15">
      <c r="A4934" s="70"/>
      <c r="B4934" s="118"/>
      <c r="C4934" s="121"/>
      <c r="D4934" s="121"/>
      <c r="E4934" s="70"/>
      <c r="F4934" s="121"/>
      <c r="G4934" s="121"/>
      <c r="H4934" s="93"/>
      <c r="I4934" s="85"/>
      <c r="J4934" s="122"/>
      <c r="K4934" s="131"/>
      <c r="L4934" s="60"/>
      <c r="P4934" s="51"/>
    </row>
    <row r="4935" spans="1:16" x14ac:dyDescent="0.15">
      <c r="A4935" s="70"/>
      <c r="B4935" s="118"/>
      <c r="C4935" s="121"/>
      <c r="D4935" s="121"/>
      <c r="E4935" s="70"/>
      <c r="F4935" s="121"/>
      <c r="G4935" s="121"/>
      <c r="H4935" s="93"/>
      <c r="I4935" s="85"/>
      <c r="J4935" s="122"/>
      <c r="K4935" s="131"/>
      <c r="L4935" s="60"/>
      <c r="P4935" s="51"/>
    </row>
    <row r="4936" spans="1:16" x14ac:dyDescent="0.15">
      <c r="A4936" s="70"/>
      <c r="B4936" s="118"/>
      <c r="C4936" s="121"/>
      <c r="D4936" s="121"/>
      <c r="E4936" s="70"/>
      <c r="F4936" s="121"/>
      <c r="G4936" s="121"/>
      <c r="H4936" s="93"/>
      <c r="I4936" s="85"/>
      <c r="J4936" s="122"/>
      <c r="K4936" s="131"/>
      <c r="L4936" s="60"/>
      <c r="P4936" s="51"/>
    </row>
    <row r="4937" spans="1:16" x14ac:dyDescent="0.15">
      <c r="A4937" s="70"/>
      <c r="B4937" s="118"/>
      <c r="C4937" s="121"/>
      <c r="D4937" s="121"/>
      <c r="E4937" s="70"/>
      <c r="F4937" s="121"/>
      <c r="G4937" s="121"/>
      <c r="H4937" s="93"/>
      <c r="I4937" s="85"/>
      <c r="J4937" s="122"/>
      <c r="K4937" s="131"/>
      <c r="L4937" s="60"/>
      <c r="P4937" s="51"/>
    </row>
    <row r="4938" spans="1:16" ht="16" x14ac:dyDescent="0.2">
      <c r="A4938" s="70"/>
      <c r="B4938" s="118"/>
      <c r="C4938" s="121"/>
      <c r="D4938" s="121"/>
      <c r="E4938" s="70"/>
      <c r="F4938" s="121"/>
      <c r="G4938" s="121"/>
      <c r="H4938" s="93"/>
      <c r="I4938" s="85"/>
      <c r="J4938" s="122"/>
      <c r="K4938" s="131"/>
      <c r="L4938" s="60"/>
      <c r="N4938" s="48"/>
      <c r="P4938" s="51"/>
    </row>
    <row r="4939" spans="1:16" x14ac:dyDescent="0.15">
      <c r="A4939" s="70"/>
      <c r="B4939" s="118"/>
      <c r="C4939" s="121"/>
      <c r="D4939" s="121"/>
      <c r="E4939" s="70"/>
      <c r="F4939" s="121"/>
      <c r="G4939" s="121"/>
      <c r="H4939" s="93"/>
      <c r="I4939" s="85"/>
      <c r="J4939" s="122"/>
      <c r="K4939" s="131"/>
      <c r="L4939" s="60"/>
      <c r="P4939" s="51"/>
    </row>
    <row r="4940" spans="1:16" x14ac:dyDescent="0.15">
      <c r="A4940" s="70"/>
      <c r="B4940" s="118"/>
      <c r="C4940" s="121"/>
      <c r="D4940" s="121"/>
      <c r="E4940" s="70"/>
      <c r="F4940" s="121"/>
      <c r="G4940" s="121"/>
      <c r="H4940" s="93"/>
      <c r="I4940" s="85"/>
      <c r="J4940" s="122"/>
      <c r="K4940" s="131"/>
      <c r="L4940" s="60"/>
      <c r="P4940" s="51"/>
    </row>
    <row r="4941" spans="1:16" x14ac:dyDescent="0.15">
      <c r="A4941" s="70"/>
      <c r="B4941" s="118"/>
      <c r="C4941" s="121"/>
      <c r="D4941" s="121"/>
      <c r="E4941" s="70"/>
      <c r="F4941" s="121"/>
      <c r="G4941" s="121"/>
      <c r="H4941" s="93"/>
      <c r="I4941" s="85"/>
      <c r="J4941" s="122"/>
      <c r="K4941" s="131"/>
      <c r="L4941" s="60"/>
      <c r="P4941" s="51"/>
    </row>
    <row r="4942" spans="1:16" x14ac:dyDescent="0.15">
      <c r="A4942" s="70"/>
      <c r="B4942" s="118"/>
      <c r="C4942" s="121"/>
      <c r="D4942" s="121"/>
      <c r="E4942" s="70"/>
      <c r="F4942" s="121"/>
      <c r="G4942" s="121"/>
      <c r="H4942" s="93"/>
      <c r="I4942" s="85"/>
      <c r="J4942" s="122"/>
      <c r="K4942" s="131"/>
      <c r="L4942" s="69"/>
      <c r="P4942" s="51"/>
    </row>
    <row r="4943" spans="1:16" ht="16" x14ac:dyDescent="0.2">
      <c r="A4943" s="70"/>
      <c r="B4943" s="118"/>
      <c r="C4943" s="121"/>
      <c r="D4943" s="121"/>
      <c r="E4943" s="70"/>
      <c r="F4943" s="121"/>
      <c r="G4943" s="121"/>
      <c r="H4943" s="93"/>
      <c r="I4943" s="85"/>
      <c r="J4943" s="122"/>
      <c r="K4943" s="131"/>
      <c r="L4943" s="69"/>
      <c r="N4943" s="48"/>
      <c r="P4943" s="51"/>
    </row>
    <row r="4944" spans="1:16" ht="16" x14ac:dyDescent="0.2">
      <c r="A4944" s="70"/>
      <c r="B4944" s="118"/>
      <c r="C4944" s="121"/>
      <c r="D4944" s="121"/>
      <c r="E4944" s="70"/>
      <c r="F4944" s="121"/>
      <c r="G4944" s="121"/>
      <c r="H4944" s="93"/>
      <c r="I4944" s="85"/>
      <c r="J4944" s="122"/>
      <c r="K4944" s="131"/>
      <c r="L4944" s="60"/>
      <c r="N4944" s="48"/>
      <c r="P4944" s="51"/>
    </row>
    <row r="4945" spans="1:16" x14ac:dyDescent="0.15">
      <c r="A4945" s="70"/>
      <c r="B4945" s="118"/>
      <c r="C4945" s="121"/>
      <c r="D4945" s="121"/>
      <c r="E4945" s="70"/>
      <c r="F4945" s="121"/>
      <c r="G4945" s="121"/>
      <c r="H4945" s="93"/>
      <c r="I4945" s="85"/>
      <c r="J4945" s="122"/>
      <c r="K4945" s="131"/>
      <c r="L4945" s="60"/>
    </row>
    <row r="4946" spans="1:16" x14ac:dyDescent="0.15">
      <c r="A4946" s="70"/>
      <c r="B4946" s="117"/>
      <c r="C4946" s="121"/>
      <c r="D4946" s="121"/>
      <c r="E4946" s="70"/>
      <c r="F4946" s="121"/>
      <c r="G4946" s="121"/>
      <c r="H4946" s="93"/>
      <c r="I4946" s="85"/>
      <c r="J4946" s="122"/>
      <c r="K4946" s="131"/>
      <c r="L4946" s="60"/>
    </row>
    <row r="4947" spans="1:16" ht="16" x14ac:dyDescent="0.2">
      <c r="A4947" s="70"/>
      <c r="B4947" s="118"/>
      <c r="C4947" s="121"/>
      <c r="D4947" s="121"/>
      <c r="E4947" s="70"/>
      <c r="F4947" s="121"/>
      <c r="G4947" s="121"/>
      <c r="H4947" s="93"/>
      <c r="I4947" s="85"/>
      <c r="J4947" s="122"/>
      <c r="K4947" s="131"/>
      <c r="L4947" s="60"/>
      <c r="N4947" s="48"/>
    </row>
    <row r="4948" spans="1:16" x14ac:dyDescent="0.15">
      <c r="A4948" s="70"/>
      <c r="B4948" s="118"/>
      <c r="C4948" s="121"/>
      <c r="D4948" s="121"/>
      <c r="E4948" s="70"/>
      <c r="F4948" s="121"/>
      <c r="G4948" s="121"/>
      <c r="H4948" s="93"/>
      <c r="I4948" s="85"/>
      <c r="J4948" s="122"/>
      <c r="K4948" s="131"/>
      <c r="L4948" s="69"/>
    </row>
    <row r="4949" spans="1:16" x14ac:dyDescent="0.15">
      <c r="A4949" s="70"/>
      <c r="B4949" s="118"/>
      <c r="C4949" s="121"/>
      <c r="D4949" s="121"/>
      <c r="E4949" s="70"/>
      <c r="F4949" s="121"/>
      <c r="G4949" s="121"/>
      <c r="H4949" s="93"/>
      <c r="I4949" s="85"/>
      <c r="J4949" s="122"/>
      <c r="K4949" s="131"/>
      <c r="L4949" s="60"/>
      <c r="P4949" s="51"/>
    </row>
    <row r="4950" spans="1:16" x14ac:dyDescent="0.15">
      <c r="A4950" s="70"/>
      <c r="B4950" s="118"/>
      <c r="C4950" s="121"/>
      <c r="D4950" s="121"/>
      <c r="E4950" s="70"/>
      <c r="F4950" s="121"/>
      <c r="G4950" s="121"/>
      <c r="H4950" s="93"/>
      <c r="I4950" s="85"/>
      <c r="J4950" s="122"/>
      <c r="K4950" s="131"/>
      <c r="L4950" s="60"/>
      <c r="P4950" s="51"/>
    </row>
    <row r="4951" spans="1:16" x14ac:dyDescent="0.15">
      <c r="A4951" s="73"/>
      <c r="B4951" s="118"/>
      <c r="C4951" s="121"/>
      <c r="D4951" s="121"/>
      <c r="E4951" s="70"/>
      <c r="F4951" s="121"/>
      <c r="G4951" s="121"/>
      <c r="H4951" s="93"/>
      <c r="I4951" s="85"/>
      <c r="J4951" s="122"/>
      <c r="K4951" s="131"/>
      <c r="L4951" s="69"/>
    </row>
    <row r="4952" spans="1:16" x14ac:dyDescent="0.15">
      <c r="A4952" s="70"/>
      <c r="B4952" s="117"/>
      <c r="C4952" s="121"/>
      <c r="D4952" s="121"/>
      <c r="E4952" s="70"/>
      <c r="F4952" s="121"/>
      <c r="G4952" s="121"/>
      <c r="H4952" s="93"/>
      <c r="I4952" s="85"/>
      <c r="J4952" s="122"/>
      <c r="K4952" s="131"/>
      <c r="L4952" s="60"/>
      <c r="M4952" s="33"/>
    </row>
    <row r="4953" spans="1:16" x14ac:dyDescent="0.15">
      <c r="A4953" s="70"/>
      <c r="B4953" s="117"/>
      <c r="C4953" s="121"/>
      <c r="D4953" s="121"/>
      <c r="E4953" s="70"/>
      <c r="F4953" s="121"/>
      <c r="G4953" s="121"/>
      <c r="H4953" s="93"/>
      <c r="I4953" s="85"/>
      <c r="J4953" s="122"/>
      <c r="L4953" s="60"/>
      <c r="M4953" s="33"/>
    </row>
    <row r="4954" spans="1:16" x14ac:dyDescent="0.15">
      <c r="A4954" s="70"/>
      <c r="B4954" s="118"/>
      <c r="C4954" s="121"/>
      <c r="D4954" s="121"/>
      <c r="E4954" s="70"/>
      <c r="F4954" s="121"/>
      <c r="G4954" s="121"/>
      <c r="H4954" s="93"/>
      <c r="I4954" s="85"/>
      <c r="J4954" s="122"/>
      <c r="K4954" s="131"/>
      <c r="L4954" s="60"/>
    </row>
    <row r="4955" spans="1:16" x14ac:dyDescent="0.15">
      <c r="A4955" s="70"/>
      <c r="B4955" s="117"/>
      <c r="C4955" s="121"/>
      <c r="D4955" s="121"/>
      <c r="E4955" s="70"/>
      <c r="F4955" s="121"/>
      <c r="G4955" s="121"/>
      <c r="H4955" s="93"/>
      <c r="I4955" s="85"/>
      <c r="J4955" s="122"/>
      <c r="K4955" s="131"/>
      <c r="L4955" s="60"/>
      <c r="M4955" s="33"/>
    </row>
    <row r="4956" spans="1:16" x14ac:dyDescent="0.15">
      <c r="A4956" s="70"/>
      <c r="B4956" s="118"/>
      <c r="C4956" s="121"/>
      <c r="D4956" s="121"/>
      <c r="E4956" s="70"/>
      <c r="F4956" s="121"/>
      <c r="G4956" s="121"/>
      <c r="H4956" s="93"/>
      <c r="I4956" s="85"/>
      <c r="J4956" s="122"/>
      <c r="K4956" s="131"/>
      <c r="L4956" s="69"/>
    </row>
    <row r="4957" spans="1:16" x14ac:dyDescent="0.15">
      <c r="A4957" s="70"/>
      <c r="B4957" s="118"/>
      <c r="C4957" s="121"/>
      <c r="D4957" s="121"/>
      <c r="E4957" s="70"/>
      <c r="F4957" s="121"/>
      <c r="G4957" s="121"/>
      <c r="H4957" s="93"/>
      <c r="I4957" s="85"/>
      <c r="J4957" s="122"/>
      <c r="K4957" s="131"/>
      <c r="L4957" s="69"/>
    </row>
    <row r="4958" spans="1:16" x14ac:dyDescent="0.15">
      <c r="A4958" s="70"/>
      <c r="B4958" s="118"/>
      <c r="C4958" s="121"/>
      <c r="D4958" s="121"/>
      <c r="E4958" s="70"/>
      <c r="F4958" s="121"/>
      <c r="G4958" s="121"/>
      <c r="H4958" s="93"/>
      <c r="I4958" s="85"/>
      <c r="J4958" s="122"/>
      <c r="K4958" s="131"/>
      <c r="L4958" s="69"/>
    </row>
    <row r="4959" spans="1:16" ht="16" x14ac:dyDescent="0.2">
      <c r="A4959" s="70"/>
      <c r="B4959" s="118"/>
      <c r="C4959" s="121"/>
      <c r="D4959" s="121"/>
      <c r="E4959" s="70"/>
      <c r="F4959" s="121"/>
      <c r="G4959" s="121"/>
      <c r="H4959" s="93"/>
      <c r="I4959" s="85"/>
      <c r="J4959" s="122"/>
      <c r="K4959" s="131"/>
      <c r="L4959" s="69"/>
      <c r="N4959" s="48"/>
    </row>
    <row r="4960" spans="1:16" x14ac:dyDescent="0.15">
      <c r="A4960" s="70"/>
      <c r="B4960" s="118"/>
      <c r="C4960" s="121"/>
      <c r="D4960" s="121"/>
      <c r="E4960" s="70"/>
      <c r="F4960" s="121"/>
      <c r="G4960" s="121"/>
      <c r="H4960" s="93"/>
      <c r="I4960" s="85"/>
      <c r="J4960" s="122"/>
      <c r="K4960" s="131"/>
      <c r="L4960" s="69"/>
    </row>
    <row r="4961" spans="1:18" x14ac:dyDescent="0.15">
      <c r="A4961" s="70"/>
      <c r="B4961" s="118"/>
      <c r="C4961" s="121"/>
      <c r="D4961" s="121"/>
      <c r="E4961" s="70"/>
      <c r="F4961" s="121"/>
      <c r="G4961" s="121"/>
      <c r="H4961" s="93"/>
      <c r="I4961" s="85"/>
      <c r="J4961" s="122"/>
      <c r="K4961" s="131"/>
      <c r="L4961" s="60"/>
    </row>
    <row r="4962" spans="1:18" x14ac:dyDescent="0.15">
      <c r="A4962" s="73"/>
      <c r="B4962" s="118"/>
      <c r="C4962" s="121"/>
      <c r="D4962" s="121"/>
      <c r="E4962" s="70"/>
      <c r="F4962" s="121"/>
      <c r="G4962" s="121"/>
      <c r="H4962" s="93"/>
      <c r="I4962" s="85"/>
      <c r="J4962" s="122"/>
      <c r="K4962" s="131"/>
      <c r="L4962" s="60"/>
      <c r="Q4962" s="6"/>
      <c r="R4962" s="6"/>
    </row>
    <row r="4963" spans="1:18" x14ac:dyDescent="0.15">
      <c r="A4963" s="70"/>
      <c r="B4963" s="117"/>
      <c r="C4963" s="121"/>
      <c r="D4963" s="121"/>
      <c r="E4963" s="70"/>
      <c r="F4963" s="121"/>
      <c r="G4963" s="121"/>
      <c r="H4963" s="93"/>
      <c r="I4963" s="85"/>
      <c r="J4963" s="122"/>
      <c r="K4963" s="131"/>
      <c r="L4963" s="60"/>
      <c r="M4963" s="33"/>
      <c r="Q4963" s="6"/>
      <c r="R4963" s="6"/>
    </row>
    <row r="4964" spans="1:18" x14ac:dyDescent="0.15">
      <c r="A4964" s="70"/>
      <c r="B4964" s="118"/>
      <c r="C4964" s="121"/>
      <c r="D4964" s="121"/>
      <c r="E4964" s="70"/>
      <c r="F4964" s="121"/>
      <c r="G4964" s="121"/>
      <c r="H4964" s="93"/>
      <c r="I4964" s="85"/>
      <c r="J4964" s="122"/>
      <c r="K4964" s="131"/>
      <c r="L4964" s="69"/>
      <c r="Q4964" s="6"/>
      <c r="R4964" s="6"/>
    </row>
    <row r="4965" spans="1:18" x14ac:dyDescent="0.15">
      <c r="A4965" s="73"/>
      <c r="B4965" s="118"/>
      <c r="C4965" s="121"/>
      <c r="D4965" s="121"/>
      <c r="E4965" s="70"/>
      <c r="F4965" s="121"/>
      <c r="G4965" s="121"/>
      <c r="H4965" s="93"/>
      <c r="I4965" s="85"/>
      <c r="J4965" s="122"/>
      <c r="K4965" s="131"/>
      <c r="L4965" s="60"/>
      <c r="Q4965" s="6"/>
      <c r="R4965" s="6"/>
    </row>
    <row r="4966" spans="1:18" x14ac:dyDescent="0.15">
      <c r="A4966" s="70"/>
      <c r="B4966" s="117"/>
      <c r="C4966" s="121"/>
      <c r="D4966" s="121"/>
      <c r="E4966" s="70"/>
      <c r="F4966" s="121"/>
      <c r="G4966" s="121"/>
      <c r="H4966" s="93"/>
      <c r="I4966" s="85"/>
      <c r="J4966" s="122"/>
      <c r="K4966" s="131"/>
      <c r="L4966" s="60"/>
      <c r="M4966" s="33"/>
      <c r="Q4966" s="6"/>
      <c r="R4966" s="6"/>
    </row>
    <row r="4967" spans="1:18" x14ac:dyDescent="0.15">
      <c r="A4967" s="70"/>
      <c r="B4967" s="117"/>
      <c r="C4967" s="121"/>
      <c r="D4967" s="121"/>
      <c r="E4967" s="70"/>
      <c r="F4967" s="121"/>
      <c r="G4967" s="121"/>
      <c r="H4967" s="93"/>
      <c r="I4967" s="85"/>
      <c r="J4967" s="122"/>
      <c r="K4967" s="131"/>
      <c r="L4967" s="60"/>
      <c r="M4967" s="33"/>
      <c r="Q4967" s="6"/>
      <c r="R4967" s="6"/>
    </row>
    <row r="4968" spans="1:18" x14ac:dyDescent="0.15">
      <c r="A4968" s="70"/>
      <c r="B4968" s="118"/>
      <c r="C4968" s="121"/>
      <c r="D4968" s="121"/>
      <c r="E4968" s="70"/>
      <c r="F4968" s="121"/>
      <c r="G4968" s="121"/>
      <c r="H4968" s="93"/>
      <c r="I4968" s="85"/>
      <c r="J4968" s="122"/>
      <c r="K4968" s="131"/>
      <c r="L4968" s="60"/>
      <c r="Q4968" s="6"/>
      <c r="R4968" s="6"/>
    </row>
    <row r="4969" spans="1:18" x14ac:dyDescent="0.15">
      <c r="A4969" s="73"/>
      <c r="B4969" s="118"/>
      <c r="C4969" s="121"/>
      <c r="D4969" s="121"/>
      <c r="E4969" s="70"/>
      <c r="F4969" s="121"/>
      <c r="G4969" s="121"/>
      <c r="H4969" s="93"/>
      <c r="I4969" s="85"/>
      <c r="J4969" s="122"/>
      <c r="K4969" s="131"/>
      <c r="L4969" s="60"/>
      <c r="P4969" s="51"/>
    </row>
    <row r="4970" spans="1:18" x14ac:dyDescent="0.15">
      <c r="A4970" s="73"/>
      <c r="B4970" s="118"/>
      <c r="C4970" s="121"/>
      <c r="D4970" s="121"/>
      <c r="E4970" s="70"/>
      <c r="F4970" s="121"/>
      <c r="G4970" s="121"/>
      <c r="H4970" s="93"/>
      <c r="I4970" s="85"/>
      <c r="J4970" s="122"/>
      <c r="K4970" s="131"/>
      <c r="L4970" s="60"/>
    </row>
    <row r="4971" spans="1:18" x14ac:dyDescent="0.15">
      <c r="A4971" s="70"/>
      <c r="B4971" s="118"/>
      <c r="C4971" s="121"/>
      <c r="D4971" s="121"/>
      <c r="E4971" s="70"/>
      <c r="F4971" s="121"/>
      <c r="G4971" s="121"/>
      <c r="H4971" s="93"/>
      <c r="I4971" s="85"/>
      <c r="J4971" s="122"/>
      <c r="K4971" s="131"/>
      <c r="L4971" s="60"/>
    </row>
    <row r="4972" spans="1:18" x14ac:dyDescent="0.15">
      <c r="A4972" s="70"/>
      <c r="B4972" s="118"/>
      <c r="C4972" s="121"/>
      <c r="D4972" s="121"/>
      <c r="E4972" s="70"/>
      <c r="F4972" s="121"/>
      <c r="G4972" s="121"/>
      <c r="H4972" s="93"/>
      <c r="I4972" s="85"/>
      <c r="J4972" s="122"/>
      <c r="K4972" s="131"/>
      <c r="L4972" s="60"/>
    </row>
    <row r="4973" spans="1:18" x14ac:dyDescent="0.15">
      <c r="A4973" s="70"/>
      <c r="B4973" s="118"/>
      <c r="C4973" s="121"/>
      <c r="D4973" s="121"/>
      <c r="E4973" s="70"/>
      <c r="F4973" s="121"/>
      <c r="G4973" s="121"/>
      <c r="H4973" s="93"/>
      <c r="I4973" s="85"/>
      <c r="J4973" s="122"/>
      <c r="K4973" s="131"/>
      <c r="L4973" s="60"/>
    </row>
    <row r="4974" spans="1:18" x14ac:dyDescent="0.15">
      <c r="A4974" s="70"/>
      <c r="B4974" s="118"/>
      <c r="C4974" s="121"/>
      <c r="D4974" s="121"/>
      <c r="E4974" s="70"/>
      <c r="F4974" s="121"/>
      <c r="G4974" s="121"/>
      <c r="H4974" s="108"/>
      <c r="I4974" s="85"/>
      <c r="J4974" s="122"/>
      <c r="K4974" s="131"/>
      <c r="L4974" s="60"/>
    </row>
    <row r="4975" spans="1:18" x14ac:dyDescent="0.15">
      <c r="A4975" s="70"/>
      <c r="B4975" s="118"/>
      <c r="C4975" s="121"/>
      <c r="D4975" s="121"/>
      <c r="E4975" s="70"/>
      <c r="F4975" s="121"/>
      <c r="G4975" s="121"/>
      <c r="H4975" s="93"/>
      <c r="I4975" s="85"/>
      <c r="J4975" s="122"/>
      <c r="K4975" s="131"/>
      <c r="L4975" s="60"/>
    </row>
    <row r="4976" spans="1:18" x14ac:dyDescent="0.15">
      <c r="A4976" s="70"/>
      <c r="B4976" s="118"/>
      <c r="C4976" s="121"/>
      <c r="D4976" s="121"/>
      <c r="E4976" s="70"/>
      <c r="F4976" s="121"/>
      <c r="G4976" s="121"/>
      <c r="H4976" s="93"/>
      <c r="I4976" s="85"/>
      <c r="J4976" s="122"/>
      <c r="K4976" s="131"/>
      <c r="L4976" s="60"/>
    </row>
    <row r="4977" spans="1:14" x14ac:dyDescent="0.15">
      <c r="A4977" s="70"/>
      <c r="B4977" s="118"/>
      <c r="C4977" s="121"/>
      <c r="D4977" s="121"/>
      <c r="E4977" s="70"/>
      <c r="F4977" s="121"/>
      <c r="G4977" s="121"/>
      <c r="H4977" s="93"/>
      <c r="I4977" s="85"/>
      <c r="J4977" s="122"/>
      <c r="K4977" s="131"/>
      <c r="L4977" s="60"/>
    </row>
    <row r="4978" spans="1:14" ht="16" x14ac:dyDescent="0.2">
      <c r="A4978" s="70"/>
      <c r="B4978" s="118"/>
      <c r="C4978" s="121"/>
      <c r="D4978" s="121"/>
      <c r="E4978" s="70"/>
      <c r="F4978" s="121"/>
      <c r="G4978" s="121"/>
      <c r="H4978" s="93"/>
      <c r="I4978" s="85"/>
      <c r="J4978" s="122"/>
      <c r="K4978" s="131"/>
      <c r="L4978" s="60"/>
      <c r="N4978" s="48"/>
    </row>
    <row r="4979" spans="1:14" ht="16" x14ac:dyDescent="0.2">
      <c r="A4979" s="70"/>
      <c r="B4979" s="118"/>
      <c r="C4979" s="121"/>
      <c r="D4979" s="121"/>
      <c r="E4979" s="70"/>
      <c r="F4979" s="121"/>
      <c r="G4979" s="121"/>
      <c r="H4979" s="93"/>
      <c r="I4979" s="85"/>
      <c r="J4979" s="122"/>
      <c r="K4979" s="131"/>
      <c r="L4979" s="69"/>
      <c r="N4979" s="48"/>
    </row>
    <row r="4980" spans="1:14" x14ac:dyDescent="0.15">
      <c r="A4980" s="70"/>
      <c r="B4980" s="118"/>
      <c r="C4980" s="121"/>
      <c r="D4980" s="121"/>
      <c r="E4980" s="70"/>
      <c r="F4980" s="121"/>
      <c r="G4980" s="121"/>
      <c r="H4980" s="93"/>
      <c r="I4980" s="85"/>
      <c r="J4980" s="122"/>
      <c r="K4980" s="131"/>
      <c r="L4980" s="69"/>
    </row>
    <row r="4981" spans="1:14" x14ac:dyDescent="0.15">
      <c r="A4981" s="70"/>
      <c r="B4981" s="118"/>
      <c r="C4981" s="121"/>
      <c r="D4981" s="121"/>
      <c r="E4981" s="70"/>
      <c r="F4981" s="121"/>
      <c r="G4981" s="121"/>
      <c r="H4981" s="93"/>
      <c r="I4981" s="85"/>
      <c r="J4981" s="122"/>
      <c r="K4981" s="131"/>
      <c r="L4981" s="69"/>
    </row>
    <row r="4982" spans="1:14" x14ac:dyDescent="0.15">
      <c r="A4982" s="73"/>
      <c r="B4982" s="118"/>
      <c r="C4982" s="121"/>
      <c r="D4982" s="121"/>
      <c r="E4982" s="70"/>
      <c r="F4982" s="121"/>
      <c r="G4982" s="121"/>
      <c r="H4982" s="93"/>
      <c r="I4982" s="85"/>
      <c r="J4982" s="122"/>
      <c r="K4982" s="131"/>
      <c r="L4982" s="69"/>
    </row>
    <row r="4983" spans="1:14" x14ac:dyDescent="0.15">
      <c r="A4983" s="70"/>
      <c r="B4983" s="118"/>
      <c r="C4983" s="121"/>
      <c r="D4983" s="121"/>
      <c r="E4983" s="70"/>
      <c r="F4983" s="121"/>
      <c r="G4983" s="121"/>
      <c r="H4983" s="93"/>
      <c r="I4983" s="85"/>
      <c r="J4983" s="122"/>
      <c r="K4983" s="131"/>
      <c r="L4983" s="60"/>
    </row>
    <row r="4984" spans="1:14" x14ac:dyDescent="0.15">
      <c r="A4984" s="70"/>
      <c r="B4984" s="118"/>
      <c r="C4984" s="121"/>
      <c r="D4984" s="121"/>
      <c r="E4984" s="70"/>
      <c r="F4984" s="121"/>
      <c r="G4984" s="121"/>
      <c r="H4984" s="93"/>
      <c r="I4984" s="85"/>
      <c r="J4984" s="122"/>
      <c r="K4984" s="131"/>
      <c r="L4984" s="60"/>
    </row>
    <row r="4985" spans="1:14" x14ac:dyDescent="0.15">
      <c r="A4985" s="70"/>
      <c r="B4985" s="118"/>
      <c r="C4985" s="121"/>
      <c r="D4985" s="121"/>
      <c r="E4985" s="70"/>
      <c r="F4985" s="121"/>
      <c r="G4985" s="121"/>
      <c r="H4985" s="93"/>
      <c r="I4985" s="85"/>
      <c r="J4985" s="122"/>
      <c r="K4985" s="131"/>
      <c r="L4985" s="60"/>
    </row>
    <row r="4986" spans="1:14" x14ac:dyDescent="0.15">
      <c r="A4986" s="70"/>
      <c r="B4986" s="118"/>
      <c r="C4986" s="121"/>
      <c r="D4986" s="121"/>
      <c r="E4986" s="70"/>
      <c r="F4986" s="121"/>
      <c r="G4986" s="121"/>
      <c r="H4986" s="93"/>
      <c r="I4986" s="85"/>
      <c r="J4986" s="122"/>
      <c r="K4986" s="131"/>
      <c r="L4986" s="60"/>
    </row>
    <row r="4987" spans="1:14" x14ac:dyDescent="0.15">
      <c r="A4987" s="70"/>
      <c r="B4987" s="118"/>
      <c r="C4987" s="121"/>
      <c r="D4987" s="121"/>
      <c r="E4987" s="70"/>
      <c r="F4987" s="121"/>
      <c r="G4987" s="121"/>
      <c r="H4987" s="93"/>
      <c r="I4987" s="85"/>
      <c r="J4987" s="122"/>
      <c r="K4987" s="131"/>
      <c r="L4987" s="60"/>
    </row>
    <row r="4988" spans="1:14" x14ac:dyDescent="0.15">
      <c r="A4988" s="73"/>
      <c r="B4988" s="118"/>
      <c r="C4988" s="121"/>
      <c r="D4988" s="121"/>
      <c r="E4988" s="70"/>
      <c r="F4988" s="121"/>
      <c r="G4988" s="121"/>
      <c r="H4988" s="93"/>
      <c r="I4988" s="85"/>
      <c r="J4988" s="122"/>
      <c r="K4988" s="131"/>
      <c r="L4988" s="60"/>
      <c r="M4988" s="33"/>
    </row>
    <row r="4989" spans="1:14" x14ac:dyDescent="0.15">
      <c r="A4989" s="70"/>
      <c r="B4989" s="117"/>
      <c r="C4989" s="121"/>
      <c r="D4989" s="121"/>
      <c r="E4989" s="70"/>
      <c r="F4989" s="121"/>
      <c r="G4989" s="121"/>
      <c r="H4989" s="93"/>
      <c r="I4989" s="85"/>
      <c r="J4989" s="122"/>
      <c r="K4989" s="131"/>
      <c r="L4989" s="60"/>
      <c r="M4989" s="33"/>
    </row>
    <row r="4990" spans="1:14" x14ac:dyDescent="0.15">
      <c r="A4990" s="70"/>
      <c r="B4990" s="118"/>
      <c r="C4990" s="121"/>
      <c r="D4990" s="121"/>
      <c r="E4990" s="70"/>
      <c r="F4990" s="121"/>
      <c r="G4990" s="121"/>
      <c r="H4990" s="93"/>
      <c r="I4990" s="85"/>
      <c r="J4990" s="122"/>
      <c r="K4990" s="131"/>
      <c r="L4990" s="69"/>
    </row>
    <row r="4991" spans="1:14" x14ac:dyDescent="0.15">
      <c r="A4991" s="70"/>
      <c r="B4991" s="118"/>
      <c r="C4991" s="121"/>
      <c r="D4991" s="121"/>
      <c r="E4991" s="70"/>
      <c r="F4991" s="121"/>
      <c r="G4991" s="121"/>
      <c r="H4991" s="93"/>
      <c r="I4991" s="85"/>
      <c r="J4991" s="122"/>
      <c r="K4991" s="131"/>
      <c r="L4991" s="60"/>
    </row>
    <row r="4992" spans="1:14" ht="16" x14ac:dyDescent="0.2">
      <c r="A4992" s="70"/>
      <c r="B4992" s="117"/>
      <c r="C4992" s="121"/>
      <c r="D4992" s="121"/>
      <c r="E4992" s="70"/>
      <c r="F4992" s="121"/>
      <c r="G4992" s="121"/>
      <c r="H4992" s="93"/>
      <c r="I4992" s="85"/>
      <c r="J4992" s="122"/>
      <c r="K4992" s="131"/>
      <c r="L4992" s="60"/>
      <c r="M4992" s="33"/>
      <c r="N4992" s="48"/>
    </row>
    <row r="4993" spans="1:14" x14ac:dyDescent="0.15">
      <c r="A4993" s="70"/>
      <c r="B4993" s="118"/>
      <c r="C4993" s="121"/>
      <c r="D4993" s="121"/>
      <c r="E4993" s="70"/>
      <c r="F4993" s="121"/>
      <c r="G4993" s="121"/>
      <c r="H4993" s="93"/>
      <c r="I4993" s="85"/>
      <c r="J4993" s="122"/>
      <c r="K4993" s="131"/>
      <c r="L4993" s="60"/>
    </row>
    <row r="4994" spans="1:14" x14ac:dyDescent="0.15">
      <c r="A4994" s="70"/>
      <c r="B4994" s="118"/>
      <c r="C4994" s="121"/>
      <c r="D4994" s="121"/>
      <c r="E4994" s="70"/>
      <c r="F4994" s="121"/>
      <c r="G4994" s="121"/>
      <c r="H4994" s="93"/>
      <c r="I4994" s="85"/>
      <c r="J4994" s="122"/>
      <c r="K4994" s="131"/>
      <c r="L4994" s="60"/>
    </row>
    <row r="4995" spans="1:14" x14ac:dyDescent="0.15">
      <c r="A4995" s="70"/>
      <c r="B4995" s="118"/>
      <c r="C4995" s="121"/>
      <c r="D4995" s="121"/>
      <c r="E4995" s="70"/>
      <c r="F4995" s="121"/>
      <c r="G4995" s="121"/>
      <c r="H4995" s="93"/>
      <c r="I4995" s="85"/>
      <c r="J4995" s="122"/>
      <c r="K4995" s="131"/>
      <c r="L4995" s="69"/>
    </row>
    <row r="4996" spans="1:14" x14ac:dyDescent="0.15">
      <c r="A4996" s="70"/>
      <c r="B4996" s="118"/>
      <c r="C4996" s="121"/>
      <c r="D4996" s="121"/>
      <c r="E4996" s="70"/>
      <c r="F4996" s="121"/>
      <c r="G4996" s="121"/>
      <c r="H4996" s="93"/>
      <c r="I4996" s="85"/>
      <c r="J4996" s="122"/>
      <c r="K4996" s="131"/>
      <c r="L4996" s="69"/>
    </row>
    <row r="4997" spans="1:14" x14ac:dyDescent="0.15">
      <c r="A4997" s="70"/>
      <c r="B4997" s="118"/>
      <c r="C4997" s="121"/>
      <c r="D4997" s="121"/>
      <c r="E4997" s="70"/>
      <c r="F4997" s="121"/>
      <c r="G4997" s="121"/>
      <c r="H4997" s="93"/>
      <c r="I4997" s="85"/>
      <c r="J4997" s="122"/>
      <c r="K4997" s="131"/>
      <c r="L4997" s="69"/>
    </row>
    <row r="4998" spans="1:14" x14ac:dyDescent="0.15">
      <c r="A4998" s="70"/>
      <c r="B4998" s="118"/>
      <c r="C4998" s="121"/>
      <c r="D4998" s="121"/>
      <c r="E4998" s="70"/>
      <c r="F4998" s="121"/>
      <c r="G4998" s="121"/>
      <c r="H4998" s="93"/>
      <c r="I4998" s="85"/>
      <c r="J4998" s="122"/>
      <c r="K4998" s="131"/>
      <c r="L4998" s="69"/>
    </row>
    <row r="4999" spans="1:14" x14ac:dyDescent="0.15">
      <c r="A4999" s="70"/>
      <c r="B4999" s="118"/>
      <c r="C4999" s="121"/>
      <c r="D4999" s="121"/>
      <c r="E4999" s="70"/>
      <c r="F4999" s="121"/>
      <c r="G4999" s="121"/>
      <c r="H4999" s="93"/>
      <c r="I4999" s="85"/>
      <c r="J4999" s="122"/>
      <c r="K4999" s="131"/>
      <c r="L4999" s="69"/>
    </row>
    <row r="5000" spans="1:14" x14ac:dyDescent="0.15">
      <c r="A5000" s="70"/>
      <c r="B5000" s="118"/>
      <c r="C5000" s="121"/>
      <c r="D5000" s="121"/>
      <c r="E5000" s="70"/>
      <c r="F5000" s="121"/>
      <c r="G5000" s="121"/>
      <c r="H5000" s="93"/>
      <c r="I5000" s="85"/>
      <c r="J5000" s="122"/>
      <c r="K5000" s="131"/>
      <c r="L5000" s="60"/>
    </row>
    <row r="5001" spans="1:14" x14ac:dyDescent="0.15">
      <c r="A5001" s="70"/>
      <c r="B5001" s="118"/>
      <c r="C5001" s="121"/>
      <c r="D5001" s="121"/>
      <c r="E5001" s="70"/>
      <c r="F5001" s="121"/>
      <c r="G5001" s="121"/>
      <c r="H5001" s="93"/>
      <c r="I5001" s="85"/>
      <c r="J5001" s="122"/>
      <c r="K5001" s="131"/>
      <c r="L5001" s="60"/>
    </row>
    <row r="5002" spans="1:14" x14ac:dyDescent="0.15">
      <c r="A5002" s="70"/>
      <c r="B5002" s="118"/>
      <c r="C5002" s="121"/>
      <c r="D5002" s="121"/>
      <c r="E5002" s="70"/>
      <c r="F5002" s="121"/>
      <c r="G5002" s="121"/>
      <c r="H5002" s="93"/>
      <c r="I5002" s="85"/>
      <c r="J5002" s="122"/>
      <c r="K5002" s="131"/>
      <c r="L5002" s="60"/>
    </row>
    <row r="5003" spans="1:14" x14ac:dyDescent="0.15">
      <c r="A5003" s="70"/>
      <c r="B5003" s="118"/>
      <c r="C5003" s="121"/>
      <c r="D5003" s="121"/>
      <c r="E5003" s="70"/>
      <c r="F5003" s="121"/>
      <c r="G5003" s="121"/>
      <c r="H5003" s="93"/>
      <c r="I5003" s="85"/>
      <c r="J5003" s="122"/>
      <c r="K5003" s="131"/>
      <c r="L5003" s="60"/>
    </row>
    <row r="5004" spans="1:14" x14ac:dyDescent="0.15">
      <c r="A5004" s="70"/>
      <c r="B5004" s="118"/>
      <c r="C5004" s="121"/>
      <c r="D5004" s="121"/>
      <c r="E5004" s="70"/>
      <c r="F5004" s="121"/>
      <c r="G5004" s="121"/>
      <c r="H5004" s="93"/>
      <c r="I5004" s="85"/>
      <c r="J5004" s="122"/>
      <c r="K5004" s="131"/>
      <c r="L5004" s="60"/>
    </row>
    <row r="5005" spans="1:14" x14ac:dyDescent="0.15">
      <c r="A5005" s="70"/>
      <c r="B5005" s="118"/>
      <c r="C5005" s="121"/>
      <c r="D5005" s="121"/>
      <c r="E5005" s="70"/>
      <c r="F5005" s="121"/>
      <c r="G5005" s="121"/>
      <c r="H5005" s="93"/>
      <c r="I5005" s="85"/>
      <c r="J5005" s="122"/>
      <c r="K5005" s="131"/>
      <c r="L5005" s="60"/>
    </row>
    <row r="5006" spans="1:14" x14ac:dyDescent="0.15">
      <c r="A5006" s="73"/>
      <c r="B5006" s="118"/>
      <c r="C5006" s="121"/>
      <c r="D5006" s="121"/>
      <c r="E5006" s="70"/>
      <c r="F5006" s="121"/>
      <c r="G5006" s="121"/>
      <c r="H5006" s="93"/>
      <c r="I5006" s="85"/>
      <c r="J5006" s="122"/>
      <c r="K5006" s="131"/>
      <c r="L5006" s="69"/>
    </row>
    <row r="5007" spans="1:14" x14ac:dyDescent="0.15">
      <c r="A5007" s="70"/>
      <c r="B5007" s="118"/>
      <c r="C5007" s="121"/>
      <c r="D5007" s="121"/>
      <c r="E5007" s="70"/>
      <c r="F5007" s="121"/>
      <c r="G5007" s="121"/>
      <c r="H5007" s="93"/>
      <c r="I5007" s="85"/>
      <c r="J5007" s="122"/>
      <c r="K5007" s="131"/>
      <c r="L5007" s="69"/>
    </row>
    <row r="5008" spans="1:14" ht="16" x14ac:dyDescent="0.2">
      <c r="A5008" s="73"/>
      <c r="B5008" s="118"/>
      <c r="C5008" s="121"/>
      <c r="D5008" s="121"/>
      <c r="E5008" s="70"/>
      <c r="F5008" s="121"/>
      <c r="G5008" s="121"/>
      <c r="H5008" s="93"/>
      <c r="I5008" s="85"/>
      <c r="J5008" s="122"/>
      <c r="K5008" s="131"/>
      <c r="L5008" s="69"/>
      <c r="N5008" s="48"/>
    </row>
    <row r="5009" spans="1:16" x14ac:dyDescent="0.15">
      <c r="A5009" s="70"/>
      <c r="B5009" s="118"/>
      <c r="C5009" s="121"/>
      <c r="D5009" s="121"/>
      <c r="E5009" s="70"/>
      <c r="F5009" s="121"/>
      <c r="G5009" s="121"/>
      <c r="H5009" s="93"/>
      <c r="I5009" s="85"/>
      <c r="J5009" s="122"/>
      <c r="K5009" s="131"/>
      <c r="L5009" s="60"/>
      <c r="P5009" s="51"/>
    </row>
    <row r="5010" spans="1:16" x14ac:dyDescent="0.15">
      <c r="A5010" s="70"/>
      <c r="B5010" s="117"/>
      <c r="C5010" s="121"/>
      <c r="D5010" s="121"/>
      <c r="E5010" s="70"/>
      <c r="F5010" s="121"/>
      <c r="G5010" s="121"/>
      <c r="H5010" s="93"/>
      <c r="I5010" s="85"/>
      <c r="J5010" s="122"/>
      <c r="K5010" s="131"/>
      <c r="L5010" s="60"/>
      <c r="M5010" s="33"/>
    </row>
    <row r="5011" spans="1:16" x14ac:dyDescent="0.15">
      <c r="A5011" s="70"/>
      <c r="B5011" s="118"/>
      <c r="C5011" s="121"/>
      <c r="D5011" s="121"/>
      <c r="E5011" s="70"/>
      <c r="F5011" s="121"/>
      <c r="G5011" s="121"/>
      <c r="H5011" s="93"/>
      <c r="I5011" s="85"/>
      <c r="J5011" s="122"/>
      <c r="K5011" s="131"/>
      <c r="L5011" s="60"/>
    </row>
    <row r="5012" spans="1:16" x14ac:dyDescent="0.15">
      <c r="A5012" s="70"/>
      <c r="B5012" s="118"/>
      <c r="C5012" s="121"/>
      <c r="D5012" s="121"/>
      <c r="E5012" s="70"/>
      <c r="F5012" s="121"/>
      <c r="G5012" s="121"/>
      <c r="H5012" s="93"/>
      <c r="I5012" s="85"/>
      <c r="J5012" s="122"/>
      <c r="K5012" s="131"/>
      <c r="L5012" s="60"/>
    </row>
    <row r="5013" spans="1:16" x14ac:dyDescent="0.15">
      <c r="A5013" s="70"/>
      <c r="B5013" s="118"/>
      <c r="C5013" s="121"/>
      <c r="D5013" s="121"/>
      <c r="E5013" s="70"/>
      <c r="F5013" s="121"/>
      <c r="G5013" s="121"/>
      <c r="H5013" s="93"/>
      <c r="I5013" s="85"/>
      <c r="J5013" s="122"/>
      <c r="K5013" s="131"/>
      <c r="L5013" s="60"/>
    </row>
    <row r="5014" spans="1:16" ht="16" x14ac:dyDescent="0.2">
      <c r="A5014" s="70"/>
      <c r="B5014" s="118"/>
      <c r="C5014" s="121"/>
      <c r="D5014" s="121"/>
      <c r="E5014" s="70"/>
      <c r="F5014" s="121"/>
      <c r="G5014" s="121"/>
      <c r="H5014" s="93"/>
      <c r="I5014" s="85"/>
      <c r="J5014" s="122"/>
      <c r="K5014" s="131"/>
      <c r="L5014" s="60"/>
      <c r="N5014" s="48"/>
    </row>
    <row r="5015" spans="1:16" x14ac:dyDescent="0.15">
      <c r="A5015" s="73"/>
      <c r="B5015" s="118"/>
      <c r="C5015" s="121"/>
      <c r="D5015" s="121"/>
      <c r="E5015" s="70"/>
      <c r="F5015" s="121"/>
      <c r="G5015" s="121"/>
      <c r="H5015" s="93"/>
      <c r="I5015" s="85"/>
      <c r="J5015" s="122"/>
      <c r="K5015" s="131"/>
      <c r="L5015" s="69"/>
    </row>
    <row r="5016" spans="1:16" x14ac:dyDescent="0.15">
      <c r="A5016" s="73"/>
      <c r="B5016" s="117"/>
      <c r="C5016" s="121"/>
      <c r="D5016" s="121"/>
      <c r="E5016" s="70"/>
      <c r="F5016" s="121"/>
      <c r="G5016" s="121"/>
      <c r="H5016" s="93"/>
      <c r="I5016" s="85"/>
      <c r="J5016" s="122"/>
      <c r="K5016" s="131"/>
      <c r="L5016" s="60"/>
      <c r="M5016" s="33"/>
    </row>
    <row r="5017" spans="1:16" x14ac:dyDescent="0.15">
      <c r="A5017" s="73"/>
      <c r="B5017" s="117"/>
      <c r="C5017" s="121"/>
      <c r="D5017" s="121"/>
      <c r="E5017" s="73"/>
      <c r="F5017" s="121"/>
      <c r="G5017" s="121"/>
      <c r="H5017" s="93"/>
      <c r="I5017" s="85"/>
      <c r="J5017" s="122"/>
      <c r="K5017" s="131"/>
      <c r="L5017" s="60"/>
      <c r="M5017" s="33"/>
    </row>
    <row r="5018" spans="1:16" x14ac:dyDescent="0.15">
      <c r="A5018" s="70"/>
      <c r="B5018" s="117"/>
      <c r="C5018" s="121"/>
      <c r="D5018" s="121"/>
      <c r="E5018" s="70"/>
      <c r="F5018" s="121"/>
      <c r="G5018" s="121"/>
      <c r="H5018" s="93"/>
      <c r="I5018" s="85"/>
      <c r="J5018" s="122"/>
      <c r="K5018" s="131"/>
      <c r="L5018" s="60"/>
      <c r="M5018" s="33"/>
    </row>
    <row r="5019" spans="1:16" x14ac:dyDescent="0.15">
      <c r="A5019" s="70"/>
      <c r="B5019" s="117"/>
      <c r="C5019" s="121"/>
      <c r="D5019" s="121"/>
      <c r="E5019" s="70"/>
      <c r="F5019" s="121"/>
      <c r="G5019" s="121"/>
      <c r="H5019" s="93"/>
      <c r="I5019" s="85"/>
      <c r="J5019" s="122"/>
      <c r="K5019" s="131"/>
      <c r="L5019" s="60"/>
      <c r="M5019" s="33"/>
    </row>
    <row r="5020" spans="1:16" x14ac:dyDescent="0.15">
      <c r="A5020" s="70"/>
      <c r="B5020" s="117"/>
      <c r="C5020" s="121"/>
      <c r="D5020" s="121"/>
      <c r="E5020" s="70"/>
      <c r="F5020" s="121"/>
      <c r="G5020" s="121"/>
      <c r="H5020" s="93"/>
      <c r="I5020" s="85"/>
      <c r="J5020" s="122"/>
      <c r="K5020" s="131"/>
      <c r="L5020" s="60"/>
      <c r="M5020" s="33"/>
    </row>
    <row r="5021" spans="1:16" x14ac:dyDescent="0.15">
      <c r="A5021" s="70"/>
      <c r="B5021" s="118"/>
      <c r="C5021" s="121"/>
      <c r="D5021" s="121"/>
      <c r="E5021" s="70"/>
      <c r="F5021" s="121"/>
      <c r="G5021" s="121"/>
      <c r="H5021" s="93"/>
      <c r="I5021" s="85"/>
      <c r="J5021" s="122"/>
      <c r="K5021" s="131"/>
      <c r="L5021" s="60"/>
    </row>
    <row r="5022" spans="1:16" x14ac:dyDescent="0.15">
      <c r="A5022" s="70"/>
      <c r="B5022" s="118"/>
      <c r="C5022" s="121"/>
      <c r="D5022" s="121"/>
      <c r="E5022" s="70"/>
      <c r="F5022" s="121"/>
      <c r="G5022" s="121"/>
      <c r="H5022" s="93"/>
      <c r="I5022" s="85"/>
      <c r="J5022" s="122"/>
      <c r="K5022" s="131"/>
      <c r="L5022" s="60"/>
    </row>
    <row r="5023" spans="1:16" x14ac:dyDescent="0.15">
      <c r="A5023" s="70"/>
      <c r="B5023" s="118"/>
      <c r="C5023" s="121"/>
      <c r="D5023" s="121"/>
      <c r="E5023" s="70"/>
      <c r="F5023" s="121"/>
      <c r="G5023" s="121"/>
      <c r="H5023" s="93"/>
      <c r="I5023" s="85"/>
      <c r="J5023" s="122"/>
      <c r="K5023" s="131"/>
      <c r="L5023" s="69"/>
    </row>
    <row r="5024" spans="1:16" ht="16" x14ac:dyDescent="0.2">
      <c r="A5024" s="70"/>
      <c r="B5024" s="118"/>
      <c r="C5024" s="121"/>
      <c r="D5024" s="121"/>
      <c r="E5024" s="70"/>
      <c r="F5024" s="121"/>
      <c r="G5024" s="121"/>
      <c r="H5024" s="93"/>
      <c r="I5024" s="85"/>
      <c r="J5024" s="122"/>
      <c r="K5024" s="131"/>
      <c r="L5024" s="60"/>
      <c r="N5024" s="48"/>
    </row>
    <row r="5025" spans="1:16" x14ac:dyDescent="0.15">
      <c r="A5025" s="70"/>
      <c r="B5025" s="118"/>
      <c r="C5025" s="121"/>
      <c r="D5025" s="121"/>
      <c r="E5025" s="70"/>
      <c r="F5025" s="121"/>
      <c r="G5025" s="121"/>
      <c r="H5025" s="93"/>
      <c r="I5025" s="85"/>
      <c r="J5025" s="122"/>
      <c r="K5025" s="131"/>
      <c r="L5025" s="60"/>
    </row>
    <row r="5026" spans="1:16" x14ac:dyDescent="0.15">
      <c r="A5026" s="70"/>
      <c r="B5026" s="118"/>
      <c r="C5026" s="121"/>
      <c r="D5026" s="121"/>
      <c r="E5026" s="70"/>
      <c r="F5026" s="121"/>
      <c r="G5026" s="121"/>
      <c r="H5026" s="93"/>
      <c r="I5026" s="85"/>
      <c r="J5026" s="122"/>
      <c r="K5026" s="131"/>
      <c r="L5026" s="69"/>
    </row>
    <row r="5027" spans="1:16" x14ac:dyDescent="0.15">
      <c r="A5027" s="70"/>
      <c r="B5027" s="118"/>
      <c r="C5027" s="121"/>
      <c r="D5027" s="121"/>
      <c r="E5027" s="70"/>
      <c r="F5027" s="121"/>
      <c r="G5027" s="121"/>
      <c r="H5027" s="93"/>
      <c r="I5027" s="85"/>
      <c r="J5027" s="122"/>
      <c r="K5027" s="131"/>
      <c r="L5027" s="60"/>
    </row>
    <row r="5028" spans="1:16" x14ac:dyDescent="0.15">
      <c r="A5028" s="70"/>
      <c r="B5028" s="118"/>
      <c r="C5028" s="121"/>
      <c r="D5028" s="121"/>
      <c r="E5028" s="70"/>
      <c r="F5028" s="121"/>
      <c r="G5028" s="121"/>
      <c r="H5028" s="93"/>
      <c r="I5028" s="85"/>
      <c r="J5028" s="122"/>
      <c r="K5028" s="131"/>
      <c r="L5028" s="60"/>
    </row>
    <row r="5029" spans="1:16" x14ac:dyDescent="0.15">
      <c r="A5029" s="70"/>
      <c r="B5029" s="117"/>
      <c r="C5029" s="121"/>
      <c r="D5029" s="121"/>
      <c r="E5029" s="70"/>
      <c r="F5029" s="121"/>
      <c r="G5029" s="121"/>
      <c r="H5029" s="93"/>
      <c r="I5029" s="85"/>
      <c r="J5029" s="122"/>
      <c r="K5029" s="131"/>
      <c r="L5029" s="60"/>
      <c r="M5029" s="33"/>
    </row>
    <row r="5030" spans="1:16" x14ac:dyDescent="0.15">
      <c r="A5030" s="70"/>
      <c r="B5030" s="117"/>
      <c r="C5030" s="121"/>
      <c r="D5030" s="121"/>
      <c r="E5030" s="73"/>
      <c r="F5030" s="121"/>
      <c r="G5030" s="121"/>
      <c r="H5030" s="93"/>
      <c r="I5030" s="85"/>
      <c r="J5030" s="122"/>
      <c r="K5030" s="131"/>
      <c r="L5030" s="60"/>
      <c r="M5030" s="33"/>
    </row>
    <row r="5031" spans="1:16" x14ac:dyDescent="0.15">
      <c r="A5031" s="70"/>
      <c r="B5031" s="118"/>
      <c r="C5031" s="121"/>
      <c r="D5031" s="121"/>
      <c r="E5031" s="70"/>
      <c r="F5031" s="121"/>
      <c r="G5031" s="121"/>
      <c r="H5031" s="93"/>
      <c r="I5031" s="85"/>
      <c r="J5031" s="122"/>
      <c r="K5031" s="131"/>
      <c r="L5031" s="60"/>
      <c r="P5031" s="51"/>
    </row>
    <row r="5032" spans="1:16" ht="16" x14ac:dyDescent="0.2">
      <c r="A5032" s="70"/>
      <c r="B5032" s="118"/>
      <c r="C5032" s="121"/>
      <c r="D5032" s="121"/>
      <c r="E5032" s="70"/>
      <c r="F5032" s="121"/>
      <c r="G5032" s="121"/>
      <c r="H5032" s="93"/>
      <c r="I5032" s="85"/>
      <c r="J5032" s="122"/>
      <c r="K5032" s="131"/>
      <c r="L5032" s="60"/>
      <c r="N5032" s="48"/>
      <c r="P5032" s="51"/>
    </row>
    <row r="5033" spans="1:16" x14ac:dyDescent="0.15">
      <c r="A5033" s="70"/>
      <c r="B5033" s="118"/>
      <c r="C5033" s="121"/>
      <c r="D5033" s="121"/>
      <c r="E5033" s="70"/>
      <c r="F5033" s="121"/>
      <c r="G5033" s="121"/>
      <c r="H5033" s="93"/>
      <c r="I5033" s="85"/>
      <c r="J5033" s="122"/>
      <c r="K5033" s="131"/>
      <c r="L5033" s="60"/>
      <c r="P5033" s="51"/>
    </row>
    <row r="5034" spans="1:16" x14ac:dyDescent="0.15">
      <c r="A5034" s="70"/>
      <c r="B5034" s="118"/>
      <c r="C5034" s="121"/>
      <c r="D5034" s="121"/>
      <c r="E5034" s="70"/>
      <c r="F5034" s="121"/>
      <c r="G5034" s="121"/>
      <c r="H5034" s="93"/>
      <c r="I5034" s="85"/>
      <c r="J5034" s="122"/>
      <c r="K5034" s="131"/>
      <c r="L5034" s="60"/>
      <c r="P5034" s="51"/>
    </row>
    <row r="5035" spans="1:16" x14ac:dyDescent="0.15">
      <c r="A5035" s="70"/>
      <c r="B5035" s="118"/>
      <c r="C5035" s="121"/>
      <c r="D5035" s="121"/>
      <c r="E5035" s="70"/>
      <c r="F5035" s="121"/>
      <c r="G5035" s="121"/>
      <c r="H5035" s="93"/>
      <c r="I5035" s="85"/>
      <c r="J5035" s="122"/>
      <c r="K5035" s="131"/>
      <c r="L5035" s="60"/>
      <c r="P5035" s="51"/>
    </row>
    <row r="5036" spans="1:16" x14ac:dyDescent="0.15">
      <c r="A5036" s="70"/>
      <c r="B5036" s="118"/>
      <c r="C5036" s="121"/>
      <c r="D5036" s="121"/>
      <c r="E5036" s="70"/>
      <c r="F5036" s="121"/>
      <c r="G5036" s="121"/>
      <c r="H5036" s="93"/>
      <c r="I5036" s="85"/>
      <c r="J5036" s="122"/>
      <c r="K5036" s="131"/>
      <c r="L5036" s="69"/>
      <c r="P5036" s="51"/>
    </row>
    <row r="5037" spans="1:16" x14ac:dyDescent="0.15">
      <c r="A5037" s="70"/>
      <c r="B5037" s="118"/>
      <c r="C5037" s="121"/>
      <c r="D5037" s="121"/>
      <c r="E5037" s="70"/>
      <c r="F5037" s="121"/>
      <c r="G5037" s="121"/>
      <c r="H5037" s="93"/>
      <c r="I5037" s="85"/>
      <c r="J5037" s="122"/>
      <c r="K5037" s="131"/>
      <c r="L5037" s="60"/>
    </row>
    <row r="5038" spans="1:16" x14ac:dyDescent="0.15">
      <c r="A5038" s="70"/>
      <c r="B5038" s="117"/>
      <c r="C5038" s="121"/>
      <c r="D5038" s="121"/>
      <c r="E5038" s="70"/>
      <c r="F5038" s="121"/>
      <c r="G5038" s="121"/>
      <c r="H5038" s="93"/>
      <c r="I5038" s="85"/>
      <c r="J5038" s="122"/>
      <c r="K5038" s="131"/>
      <c r="L5038" s="60"/>
      <c r="M5038" s="33"/>
    </row>
    <row r="5039" spans="1:16" x14ac:dyDescent="0.15">
      <c r="A5039" s="70"/>
      <c r="B5039" s="118"/>
      <c r="C5039" s="121"/>
      <c r="D5039" s="121"/>
      <c r="E5039" s="70"/>
      <c r="F5039" s="121"/>
      <c r="G5039" s="121"/>
      <c r="H5039" s="93"/>
      <c r="I5039" s="85"/>
      <c r="J5039" s="122"/>
      <c r="K5039" s="131"/>
      <c r="L5039" s="60"/>
    </row>
    <row r="5040" spans="1:16" x14ac:dyDescent="0.15">
      <c r="A5040" s="70"/>
      <c r="B5040" s="117"/>
      <c r="C5040" s="121"/>
      <c r="D5040" s="121"/>
      <c r="E5040" s="70"/>
      <c r="F5040" s="121"/>
      <c r="G5040" s="121"/>
      <c r="H5040" s="93"/>
      <c r="I5040" s="85"/>
      <c r="J5040" s="122"/>
      <c r="K5040" s="131"/>
      <c r="L5040" s="60"/>
    </row>
    <row r="5041" spans="1:14" x14ac:dyDescent="0.15">
      <c r="A5041" s="70"/>
      <c r="B5041" s="118"/>
      <c r="C5041" s="121"/>
      <c r="D5041" s="121"/>
      <c r="E5041" s="70"/>
      <c r="F5041" s="121"/>
      <c r="G5041" s="121"/>
      <c r="H5041" s="93"/>
      <c r="I5041" s="85"/>
      <c r="J5041" s="122"/>
      <c r="K5041" s="131"/>
      <c r="L5041" s="60"/>
    </row>
    <row r="5042" spans="1:14" x14ac:dyDescent="0.15">
      <c r="A5042" s="70"/>
      <c r="B5042" s="118"/>
      <c r="C5042" s="121"/>
      <c r="D5042" s="121"/>
      <c r="E5042" s="70"/>
      <c r="F5042" s="121"/>
      <c r="G5042" s="121"/>
      <c r="H5042" s="93"/>
      <c r="I5042" s="85"/>
      <c r="J5042" s="122"/>
      <c r="K5042" s="131"/>
      <c r="L5042" s="60"/>
    </row>
    <row r="5043" spans="1:14" x14ac:dyDescent="0.15">
      <c r="A5043" s="70"/>
      <c r="B5043" s="117"/>
      <c r="C5043" s="121"/>
      <c r="D5043" s="121"/>
      <c r="E5043" s="70"/>
      <c r="F5043" s="121"/>
      <c r="G5043" s="121"/>
      <c r="H5043" s="93"/>
      <c r="I5043" s="85"/>
      <c r="J5043" s="122"/>
      <c r="K5043" s="131"/>
      <c r="L5043" s="60"/>
      <c r="M5043" s="33"/>
    </row>
    <row r="5044" spans="1:14" x14ac:dyDescent="0.15">
      <c r="A5044" s="73"/>
      <c r="B5044" s="118"/>
      <c r="C5044" s="121"/>
      <c r="D5044" s="121"/>
      <c r="E5044" s="70"/>
      <c r="F5044" s="121"/>
      <c r="G5044" s="121"/>
      <c r="H5044" s="93"/>
      <c r="I5044" s="85"/>
      <c r="J5044" s="122"/>
      <c r="K5044" s="131"/>
      <c r="L5044" s="60"/>
    </row>
    <row r="5045" spans="1:14" x14ac:dyDescent="0.15">
      <c r="A5045" s="70"/>
      <c r="B5045" s="117"/>
      <c r="C5045" s="121"/>
      <c r="D5045" s="121"/>
      <c r="E5045" s="70"/>
      <c r="F5045" s="121"/>
      <c r="G5045" s="121"/>
      <c r="H5045" s="93"/>
      <c r="I5045" s="85"/>
      <c r="J5045" s="122"/>
      <c r="K5045" s="131"/>
      <c r="L5045" s="60"/>
    </row>
    <row r="5046" spans="1:14" ht="16" x14ac:dyDescent="0.2">
      <c r="A5046" s="70"/>
      <c r="B5046" s="118"/>
      <c r="C5046" s="121"/>
      <c r="D5046" s="121"/>
      <c r="E5046" s="70"/>
      <c r="F5046" s="121"/>
      <c r="G5046" s="121"/>
      <c r="H5046" s="93"/>
      <c r="I5046" s="85"/>
      <c r="J5046" s="122"/>
      <c r="K5046" s="131"/>
      <c r="L5046" s="60"/>
      <c r="N5046" s="48"/>
    </row>
    <row r="5047" spans="1:14" x14ac:dyDescent="0.15">
      <c r="A5047" s="73"/>
      <c r="B5047" s="118"/>
      <c r="C5047" s="121"/>
      <c r="D5047" s="121"/>
      <c r="E5047" s="70"/>
      <c r="F5047" s="121"/>
      <c r="G5047" s="121"/>
      <c r="H5047" s="93"/>
      <c r="I5047" s="85"/>
      <c r="J5047" s="122"/>
      <c r="K5047" s="131"/>
      <c r="L5047" s="60"/>
    </row>
    <row r="5048" spans="1:14" x14ac:dyDescent="0.15">
      <c r="A5048" s="70"/>
      <c r="B5048" s="118"/>
      <c r="C5048" s="121"/>
      <c r="D5048" s="121"/>
      <c r="E5048" s="70"/>
      <c r="F5048" s="121"/>
      <c r="G5048" s="121"/>
      <c r="H5048" s="93"/>
      <c r="I5048" s="85"/>
      <c r="J5048" s="122"/>
      <c r="K5048" s="131"/>
      <c r="L5048" s="69"/>
    </row>
    <row r="5049" spans="1:14" ht="16" x14ac:dyDescent="0.2">
      <c r="A5049" s="73"/>
      <c r="B5049" s="118"/>
      <c r="C5049" s="121"/>
      <c r="D5049" s="121"/>
      <c r="E5049" s="70"/>
      <c r="F5049" s="121"/>
      <c r="G5049" s="121"/>
      <c r="H5049" s="93"/>
      <c r="I5049" s="85"/>
      <c r="J5049" s="122"/>
      <c r="K5049" s="131"/>
      <c r="L5049" s="69"/>
      <c r="N5049" s="48"/>
    </row>
    <row r="5050" spans="1:14" ht="16" x14ac:dyDescent="0.2">
      <c r="A5050" s="70"/>
      <c r="B5050" s="118"/>
      <c r="C5050" s="121"/>
      <c r="D5050" s="121"/>
      <c r="E5050" s="70"/>
      <c r="F5050" s="121"/>
      <c r="G5050" s="121"/>
      <c r="H5050" s="93"/>
      <c r="I5050" s="85"/>
      <c r="J5050" s="122"/>
      <c r="K5050" s="131"/>
      <c r="L5050" s="69"/>
      <c r="N5050" s="48"/>
    </row>
    <row r="5051" spans="1:14" x14ac:dyDescent="0.15">
      <c r="A5051" s="70"/>
      <c r="B5051" s="118"/>
      <c r="C5051" s="121"/>
      <c r="D5051" s="121"/>
      <c r="E5051" s="70"/>
      <c r="F5051" s="121"/>
      <c r="G5051" s="121"/>
      <c r="H5051" s="93"/>
      <c r="I5051" s="85"/>
      <c r="J5051" s="122"/>
      <c r="K5051" s="131"/>
      <c r="L5051" s="69"/>
    </row>
    <row r="5052" spans="1:14" x14ac:dyDescent="0.15">
      <c r="A5052" s="70"/>
      <c r="B5052" s="118"/>
      <c r="C5052" s="121"/>
      <c r="D5052" s="121"/>
      <c r="E5052" s="70"/>
      <c r="F5052" s="121"/>
      <c r="G5052" s="121"/>
      <c r="H5052" s="93"/>
      <c r="I5052" s="85"/>
      <c r="J5052" s="122"/>
      <c r="K5052" s="131"/>
      <c r="L5052" s="60"/>
    </row>
    <row r="5053" spans="1:14" ht="16" x14ac:dyDescent="0.2">
      <c r="A5053" s="70"/>
      <c r="B5053" s="118"/>
      <c r="C5053" s="121"/>
      <c r="D5053" s="121"/>
      <c r="E5053" s="70"/>
      <c r="F5053" s="121"/>
      <c r="G5053" s="121"/>
      <c r="H5053" s="93"/>
      <c r="I5053" s="85"/>
      <c r="J5053" s="122"/>
      <c r="K5053" s="131"/>
      <c r="L5053" s="69"/>
      <c r="N5053" s="48"/>
    </row>
    <row r="5054" spans="1:14" x14ac:dyDescent="0.15">
      <c r="A5054" s="70"/>
      <c r="B5054" s="118"/>
      <c r="C5054" s="121"/>
      <c r="D5054" s="121"/>
      <c r="E5054" s="70"/>
      <c r="F5054" s="121"/>
      <c r="G5054" s="121"/>
      <c r="H5054" s="93"/>
      <c r="I5054" s="85"/>
      <c r="J5054" s="122"/>
      <c r="K5054" s="131"/>
      <c r="L5054" s="69"/>
    </row>
    <row r="5055" spans="1:14" x14ac:dyDescent="0.15">
      <c r="A5055" s="70"/>
      <c r="B5055" s="118"/>
      <c r="C5055" s="121"/>
      <c r="D5055" s="121"/>
      <c r="E5055" s="70"/>
      <c r="F5055" s="121"/>
      <c r="G5055" s="121"/>
      <c r="H5055" s="93"/>
      <c r="I5055" s="85"/>
      <c r="J5055" s="122"/>
      <c r="K5055" s="131"/>
      <c r="L5055" s="69"/>
    </row>
    <row r="5056" spans="1:14" ht="16" x14ac:dyDescent="0.2">
      <c r="A5056" s="70"/>
      <c r="B5056" s="118"/>
      <c r="C5056" s="121"/>
      <c r="D5056" s="121"/>
      <c r="E5056" s="70"/>
      <c r="F5056" s="121"/>
      <c r="G5056" s="121"/>
      <c r="H5056" s="93"/>
      <c r="I5056" s="85"/>
      <c r="J5056" s="122"/>
      <c r="K5056" s="131"/>
      <c r="L5056" s="69"/>
      <c r="N5056" s="48"/>
    </row>
    <row r="5057" spans="1:14" x14ac:dyDescent="0.15">
      <c r="A5057" s="70"/>
      <c r="B5057" s="118"/>
      <c r="C5057" s="121"/>
      <c r="D5057" s="121"/>
      <c r="E5057" s="70"/>
      <c r="F5057" s="121"/>
      <c r="G5057" s="121"/>
      <c r="H5057" s="93"/>
      <c r="I5057" s="85"/>
      <c r="J5057" s="122"/>
      <c r="K5057" s="131"/>
      <c r="L5057" s="69"/>
    </row>
    <row r="5058" spans="1:14" x14ac:dyDescent="0.15">
      <c r="A5058" s="70"/>
      <c r="B5058" s="118"/>
      <c r="C5058" s="121"/>
      <c r="D5058" s="121"/>
      <c r="E5058" s="70"/>
      <c r="F5058" s="121"/>
      <c r="G5058" s="121"/>
      <c r="H5058" s="93"/>
      <c r="I5058" s="85"/>
      <c r="J5058" s="122"/>
      <c r="K5058" s="131"/>
      <c r="L5058" s="69"/>
    </row>
    <row r="5059" spans="1:14" x14ac:dyDescent="0.15">
      <c r="A5059" s="70"/>
      <c r="B5059" s="118"/>
      <c r="C5059" s="121"/>
      <c r="D5059" s="121"/>
      <c r="E5059" s="70"/>
      <c r="F5059" s="121"/>
      <c r="G5059" s="121"/>
      <c r="H5059" s="93"/>
      <c r="I5059" s="85"/>
      <c r="J5059" s="122"/>
      <c r="K5059" s="131"/>
      <c r="L5059" s="69"/>
    </row>
    <row r="5060" spans="1:14" x14ac:dyDescent="0.15">
      <c r="A5060" s="73"/>
      <c r="B5060" s="118"/>
      <c r="C5060" s="121"/>
      <c r="D5060" s="121"/>
      <c r="E5060" s="70"/>
      <c r="F5060" s="121"/>
      <c r="G5060" s="121"/>
      <c r="H5060" s="93"/>
      <c r="I5060" s="85"/>
      <c r="J5060" s="122"/>
      <c r="K5060" s="131"/>
      <c r="L5060" s="69"/>
    </row>
    <row r="5061" spans="1:14" x14ac:dyDescent="0.15">
      <c r="A5061" s="70"/>
      <c r="B5061" s="118"/>
      <c r="C5061" s="121"/>
      <c r="D5061" s="121"/>
      <c r="E5061" s="70"/>
      <c r="F5061" s="121"/>
      <c r="G5061" s="121"/>
      <c r="H5061" s="93"/>
      <c r="I5061" s="85"/>
      <c r="J5061" s="122"/>
      <c r="K5061" s="131"/>
      <c r="L5061" s="69"/>
    </row>
    <row r="5062" spans="1:14" x14ac:dyDescent="0.15">
      <c r="A5062" s="70"/>
      <c r="B5062" s="118"/>
      <c r="C5062" s="121"/>
      <c r="D5062" s="121"/>
      <c r="E5062" s="70"/>
      <c r="F5062" s="121"/>
      <c r="G5062" s="121"/>
      <c r="H5062" s="93"/>
      <c r="I5062" s="85"/>
      <c r="J5062" s="122"/>
      <c r="K5062" s="131"/>
      <c r="L5062" s="69"/>
    </row>
    <row r="5063" spans="1:14" x14ac:dyDescent="0.15">
      <c r="A5063" s="70"/>
      <c r="B5063" s="118"/>
      <c r="C5063" s="121"/>
      <c r="D5063" s="121"/>
      <c r="E5063" s="70"/>
      <c r="F5063" s="121"/>
      <c r="G5063" s="121"/>
      <c r="H5063" s="93"/>
      <c r="I5063" s="85"/>
      <c r="J5063" s="122"/>
      <c r="K5063" s="131"/>
      <c r="L5063" s="69"/>
    </row>
    <row r="5064" spans="1:14" x14ac:dyDescent="0.15">
      <c r="A5064" s="70"/>
      <c r="B5064" s="118"/>
      <c r="C5064" s="121"/>
      <c r="D5064" s="121"/>
      <c r="E5064" s="70"/>
      <c r="F5064" s="121"/>
      <c r="G5064" s="121"/>
      <c r="H5064" s="93"/>
      <c r="I5064" s="85"/>
      <c r="J5064" s="122"/>
      <c r="K5064" s="131"/>
      <c r="L5064" s="69"/>
    </row>
    <row r="5065" spans="1:14" x14ac:dyDescent="0.15">
      <c r="A5065" s="70"/>
      <c r="B5065" s="118"/>
      <c r="C5065" s="121"/>
      <c r="D5065" s="121"/>
      <c r="E5065" s="70"/>
      <c r="F5065" s="121"/>
      <c r="G5065" s="121"/>
      <c r="H5065" s="93"/>
      <c r="I5065" s="85"/>
      <c r="J5065" s="122"/>
      <c r="K5065" s="131"/>
      <c r="L5065" s="60"/>
    </row>
    <row r="5066" spans="1:14" x14ac:dyDescent="0.15">
      <c r="A5066" s="70"/>
      <c r="B5066" s="118"/>
      <c r="C5066" s="121"/>
      <c r="D5066" s="121"/>
      <c r="E5066" s="70"/>
      <c r="F5066" s="121"/>
      <c r="G5066" s="121"/>
      <c r="H5066" s="93"/>
      <c r="I5066" s="85"/>
      <c r="J5066" s="122"/>
      <c r="K5066" s="131"/>
      <c r="L5066" s="69"/>
    </row>
    <row r="5067" spans="1:14" ht="16" x14ac:dyDescent="0.2">
      <c r="A5067" s="70"/>
      <c r="B5067" s="118"/>
      <c r="C5067" s="121"/>
      <c r="D5067" s="121"/>
      <c r="E5067" s="70"/>
      <c r="F5067" s="121"/>
      <c r="G5067" s="121"/>
      <c r="H5067" s="93"/>
      <c r="I5067" s="85"/>
      <c r="J5067" s="122"/>
      <c r="K5067" s="131"/>
      <c r="L5067" s="60"/>
      <c r="N5067" s="48"/>
    </row>
    <row r="5068" spans="1:14" x14ac:dyDescent="0.15">
      <c r="A5068" s="70"/>
      <c r="B5068" s="118"/>
      <c r="C5068" s="121"/>
      <c r="D5068" s="121"/>
      <c r="E5068" s="70"/>
      <c r="F5068" s="121"/>
      <c r="G5068" s="121"/>
      <c r="H5068" s="93"/>
      <c r="I5068" s="85"/>
      <c r="J5068" s="122"/>
      <c r="K5068" s="131"/>
      <c r="L5068" s="69"/>
    </row>
    <row r="5069" spans="1:14" x14ac:dyDescent="0.15">
      <c r="A5069" s="70"/>
      <c r="B5069" s="118"/>
      <c r="C5069" s="121"/>
      <c r="D5069" s="121"/>
      <c r="E5069" s="70"/>
      <c r="F5069" s="121"/>
      <c r="G5069" s="121"/>
      <c r="H5069" s="93"/>
      <c r="I5069" s="85"/>
      <c r="J5069" s="122"/>
      <c r="K5069" s="131"/>
      <c r="L5069" s="69"/>
    </row>
    <row r="5070" spans="1:14" x14ac:dyDescent="0.15">
      <c r="A5070" s="70"/>
      <c r="B5070" s="118"/>
      <c r="C5070" s="121"/>
      <c r="D5070" s="121"/>
      <c r="E5070" s="70"/>
      <c r="F5070" s="121"/>
      <c r="G5070" s="121"/>
      <c r="H5070" s="93"/>
      <c r="I5070" s="85"/>
      <c r="J5070" s="122"/>
      <c r="K5070" s="131"/>
      <c r="L5070" s="69"/>
    </row>
    <row r="5071" spans="1:14" x14ac:dyDescent="0.15">
      <c r="A5071" s="70"/>
      <c r="B5071" s="118"/>
      <c r="C5071" s="121"/>
      <c r="D5071" s="121"/>
      <c r="E5071" s="70"/>
      <c r="F5071" s="121"/>
      <c r="G5071" s="121"/>
      <c r="H5071" s="93"/>
      <c r="I5071" s="85"/>
      <c r="J5071" s="122"/>
      <c r="K5071" s="131"/>
      <c r="L5071" s="60"/>
    </row>
    <row r="5072" spans="1:14" x14ac:dyDescent="0.15">
      <c r="A5072" s="70"/>
      <c r="B5072" s="117"/>
      <c r="C5072" s="121"/>
      <c r="D5072" s="121"/>
      <c r="E5072" s="73"/>
      <c r="F5072" s="121"/>
      <c r="G5072" s="121"/>
      <c r="H5072" s="93"/>
      <c r="I5072" s="85"/>
      <c r="J5072" s="122"/>
      <c r="K5072" s="131"/>
      <c r="L5072" s="60"/>
      <c r="M5072" s="33"/>
    </row>
    <row r="5073" spans="1:16" x14ac:dyDescent="0.15">
      <c r="A5073" s="70"/>
      <c r="B5073" s="118"/>
      <c r="C5073" s="121"/>
      <c r="D5073" s="121"/>
      <c r="E5073" s="70"/>
      <c r="F5073" s="121"/>
      <c r="G5073" s="121"/>
      <c r="H5073" s="93"/>
      <c r="I5073" s="85"/>
      <c r="J5073" s="122"/>
      <c r="K5073" s="131"/>
      <c r="L5073" s="60"/>
    </row>
    <row r="5074" spans="1:16" x14ac:dyDescent="0.15">
      <c r="A5074" s="70"/>
      <c r="B5074" s="117"/>
      <c r="C5074" s="121"/>
      <c r="D5074" s="121"/>
      <c r="E5074" s="70"/>
      <c r="F5074" s="121"/>
      <c r="G5074" s="121"/>
      <c r="H5074" s="93"/>
      <c r="I5074" s="85"/>
      <c r="J5074" s="122"/>
      <c r="K5074" s="131"/>
      <c r="L5074" s="60"/>
      <c r="M5074" s="33"/>
    </row>
    <row r="5075" spans="1:16" x14ac:dyDescent="0.15">
      <c r="A5075" s="70"/>
      <c r="B5075" s="117"/>
      <c r="C5075" s="121"/>
      <c r="D5075" s="121"/>
      <c r="E5075" s="70"/>
      <c r="F5075" s="121"/>
      <c r="G5075" s="121"/>
      <c r="H5075" s="93"/>
      <c r="I5075" s="85"/>
      <c r="J5075" s="122"/>
      <c r="K5075" s="131"/>
      <c r="L5075" s="60"/>
      <c r="M5075" s="33"/>
    </row>
    <row r="5076" spans="1:16" x14ac:dyDescent="0.15">
      <c r="A5076" s="70"/>
      <c r="B5076" s="117"/>
      <c r="C5076" s="121"/>
      <c r="D5076" s="121"/>
      <c r="E5076" s="70"/>
      <c r="F5076" s="121"/>
      <c r="G5076" s="121"/>
      <c r="H5076" s="93"/>
      <c r="I5076" s="85"/>
      <c r="J5076" s="122"/>
      <c r="K5076" s="131"/>
      <c r="L5076" s="60"/>
      <c r="M5076" s="33"/>
    </row>
    <row r="5077" spans="1:16" x14ac:dyDescent="0.15">
      <c r="A5077" s="70"/>
      <c r="B5077" s="118"/>
      <c r="C5077" s="121"/>
      <c r="D5077" s="121"/>
      <c r="E5077" s="70"/>
      <c r="F5077" s="121"/>
      <c r="G5077" s="121"/>
      <c r="H5077" s="93"/>
      <c r="I5077" s="85"/>
      <c r="J5077" s="122"/>
      <c r="K5077" s="131"/>
      <c r="L5077" s="60"/>
    </row>
    <row r="5078" spans="1:16" x14ac:dyDescent="0.15">
      <c r="A5078" s="70"/>
      <c r="B5078" s="118"/>
      <c r="C5078" s="121"/>
      <c r="D5078" s="121"/>
      <c r="E5078" s="70"/>
      <c r="F5078" s="121"/>
      <c r="G5078" s="121"/>
      <c r="H5078" s="93"/>
      <c r="I5078" s="85"/>
      <c r="J5078" s="122"/>
      <c r="K5078" s="131"/>
      <c r="L5078" s="60"/>
    </row>
    <row r="5079" spans="1:16" x14ac:dyDescent="0.15">
      <c r="A5079" s="70"/>
      <c r="B5079" s="118"/>
      <c r="C5079" s="121"/>
      <c r="D5079" s="121"/>
      <c r="E5079" s="70"/>
      <c r="F5079" s="121"/>
      <c r="G5079" s="121"/>
      <c r="H5079" s="93"/>
      <c r="I5079" s="85"/>
      <c r="J5079" s="122"/>
      <c r="K5079" s="131"/>
      <c r="L5079" s="60"/>
    </row>
    <row r="5080" spans="1:16" x14ac:dyDescent="0.15">
      <c r="A5080" s="73"/>
      <c r="B5080" s="118"/>
      <c r="C5080" s="121"/>
      <c r="D5080" s="121"/>
      <c r="E5080" s="70"/>
      <c r="F5080" s="121"/>
      <c r="G5080" s="121"/>
      <c r="H5080" s="93"/>
      <c r="I5080" s="85"/>
      <c r="J5080" s="122"/>
      <c r="K5080" s="131"/>
      <c r="L5080" s="60"/>
    </row>
    <row r="5081" spans="1:16" x14ac:dyDescent="0.15">
      <c r="A5081" s="70"/>
      <c r="B5081" s="118"/>
      <c r="C5081" s="121"/>
      <c r="D5081" s="121"/>
      <c r="E5081" s="70"/>
      <c r="F5081" s="121"/>
      <c r="G5081" s="121"/>
      <c r="H5081" s="93"/>
      <c r="I5081" s="85"/>
      <c r="J5081" s="122"/>
      <c r="K5081" s="131"/>
      <c r="L5081" s="60"/>
    </row>
    <row r="5082" spans="1:16" x14ac:dyDescent="0.15">
      <c r="A5082" s="73"/>
      <c r="B5082" s="118"/>
      <c r="C5082" s="121"/>
      <c r="D5082" s="121"/>
      <c r="E5082" s="70"/>
      <c r="F5082" s="121"/>
      <c r="G5082" s="121"/>
      <c r="H5082" s="93"/>
      <c r="I5082" s="85"/>
      <c r="J5082" s="122"/>
      <c r="K5082" s="131"/>
      <c r="L5082" s="60"/>
    </row>
    <row r="5083" spans="1:16" x14ac:dyDescent="0.15">
      <c r="A5083" s="70"/>
      <c r="B5083" s="117"/>
      <c r="C5083" s="121"/>
      <c r="D5083" s="121"/>
      <c r="E5083" s="70"/>
      <c r="F5083" s="121"/>
      <c r="G5083" s="121"/>
      <c r="H5083" s="93"/>
      <c r="I5083" s="85"/>
      <c r="J5083" s="122"/>
      <c r="K5083" s="131"/>
      <c r="L5083" s="60"/>
    </row>
    <row r="5084" spans="1:16" x14ac:dyDescent="0.15">
      <c r="A5084" s="70"/>
      <c r="B5084" s="118"/>
      <c r="C5084" s="121"/>
      <c r="D5084" s="121"/>
      <c r="E5084" s="70"/>
      <c r="F5084" s="121"/>
      <c r="G5084" s="121"/>
      <c r="H5084" s="93"/>
      <c r="I5084" s="85"/>
      <c r="J5084" s="122"/>
      <c r="K5084" s="131"/>
      <c r="L5084" s="69"/>
      <c r="P5084" s="51"/>
    </row>
    <row r="5085" spans="1:16" x14ac:dyDescent="0.15">
      <c r="A5085" s="70"/>
      <c r="B5085" s="118"/>
      <c r="C5085" s="121"/>
      <c r="D5085" s="121"/>
      <c r="E5085" s="70"/>
      <c r="F5085" s="121"/>
      <c r="G5085" s="121"/>
      <c r="H5085" s="93"/>
      <c r="I5085" s="85"/>
      <c r="J5085" s="122"/>
      <c r="K5085" s="131"/>
      <c r="L5085" s="69"/>
      <c r="P5085" s="51"/>
    </row>
    <row r="5086" spans="1:16" x14ac:dyDescent="0.15">
      <c r="A5086" s="73"/>
      <c r="B5086" s="118"/>
      <c r="C5086" s="121"/>
      <c r="D5086" s="121"/>
      <c r="E5086" s="70"/>
      <c r="F5086" s="121"/>
      <c r="G5086" s="121"/>
      <c r="H5086" s="93"/>
      <c r="I5086" s="85"/>
      <c r="J5086" s="122"/>
      <c r="K5086" s="131"/>
      <c r="L5086" s="69"/>
      <c r="P5086" s="51"/>
    </row>
    <row r="5087" spans="1:16" x14ac:dyDescent="0.15">
      <c r="A5087" s="70"/>
      <c r="B5087" s="118"/>
      <c r="C5087" s="121"/>
      <c r="D5087" s="121"/>
      <c r="E5087" s="70"/>
      <c r="F5087" s="121"/>
      <c r="G5087" s="121"/>
      <c r="H5087" s="93"/>
      <c r="I5087" s="85"/>
      <c r="J5087" s="122"/>
      <c r="K5087" s="131"/>
      <c r="L5087" s="69"/>
      <c r="P5087" s="51"/>
    </row>
    <row r="5088" spans="1:16" x14ac:dyDescent="0.15">
      <c r="A5088" s="70"/>
      <c r="B5088" s="118"/>
      <c r="C5088" s="121"/>
      <c r="D5088" s="121"/>
      <c r="E5088" s="70"/>
      <c r="F5088" s="121"/>
      <c r="G5088" s="121"/>
      <c r="H5088" s="93"/>
      <c r="I5088" s="85"/>
      <c r="J5088" s="122"/>
      <c r="K5088" s="131"/>
      <c r="L5088" s="69"/>
      <c r="P5088" s="51"/>
    </row>
    <row r="5089" spans="1:26" x14ac:dyDescent="0.15">
      <c r="A5089" s="70"/>
      <c r="B5089" s="118"/>
      <c r="C5089" s="121"/>
      <c r="D5089" s="121"/>
      <c r="E5089" s="70"/>
      <c r="F5089" s="121"/>
      <c r="G5089" s="121"/>
      <c r="H5089" s="93"/>
      <c r="I5089" s="85"/>
      <c r="J5089" s="122"/>
      <c r="K5089" s="131"/>
      <c r="L5089" s="69"/>
      <c r="P5089" s="51"/>
    </row>
    <row r="5090" spans="1:26" ht="16" x14ac:dyDescent="0.2">
      <c r="A5090" s="70"/>
      <c r="B5090" s="118"/>
      <c r="C5090" s="121"/>
      <c r="D5090" s="121"/>
      <c r="E5090" s="121"/>
      <c r="F5090" s="121"/>
      <c r="G5090" s="121"/>
      <c r="H5090" s="93"/>
      <c r="I5090" s="85"/>
      <c r="J5090" s="122"/>
      <c r="K5090" s="131"/>
      <c r="L5090" s="69"/>
      <c r="N5090" s="48"/>
      <c r="P5090" s="51"/>
    </row>
    <row r="5091" spans="1:26" ht="16" x14ac:dyDescent="0.2">
      <c r="A5091" s="70"/>
      <c r="B5091" s="117"/>
      <c r="C5091" s="121"/>
      <c r="D5091" s="121"/>
      <c r="E5091" s="121"/>
      <c r="F5091" s="121"/>
      <c r="G5091" s="121"/>
      <c r="H5091" s="93"/>
      <c r="I5091" s="85"/>
      <c r="J5091" s="122"/>
      <c r="K5091" s="131"/>
      <c r="L5091" s="60"/>
      <c r="M5091" s="47"/>
      <c r="P5091" s="51"/>
    </row>
    <row r="5092" spans="1:26" x14ac:dyDescent="0.15">
      <c r="A5092" s="70"/>
      <c r="B5092" s="117"/>
      <c r="C5092" s="121"/>
      <c r="D5092" s="121"/>
      <c r="E5092" s="121"/>
      <c r="F5092" s="121"/>
      <c r="G5092" s="121"/>
      <c r="H5092" s="93"/>
      <c r="I5092" s="85"/>
      <c r="J5092" s="122"/>
      <c r="K5092" s="131"/>
      <c r="L5092" s="60"/>
      <c r="M5092" s="33"/>
    </row>
    <row r="5093" spans="1:26" ht="16" x14ac:dyDescent="0.2">
      <c r="A5093" s="70"/>
      <c r="B5093" s="118"/>
      <c r="C5093" s="121"/>
      <c r="D5093" s="121"/>
      <c r="E5093" s="121"/>
      <c r="F5093" s="121"/>
      <c r="G5093" s="121"/>
      <c r="H5093" s="93"/>
      <c r="I5093" s="85"/>
      <c r="J5093" s="122"/>
      <c r="K5093" s="131"/>
      <c r="L5093" s="69"/>
      <c r="N5093" s="48"/>
    </row>
    <row r="5094" spans="1:26" x14ac:dyDescent="0.15">
      <c r="A5094" s="70"/>
      <c r="B5094" s="118"/>
      <c r="C5094" s="121"/>
      <c r="D5094" s="121"/>
      <c r="E5094" s="121"/>
      <c r="F5094" s="121"/>
      <c r="G5094" s="121"/>
      <c r="H5094" s="93"/>
      <c r="I5094" s="85"/>
      <c r="J5094" s="122"/>
      <c r="K5094" s="131"/>
      <c r="L5094" s="69"/>
    </row>
    <row r="5095" spans="1:26" x14ac:dyDescent="0.15">
      <c r="A5095" s="70"/>
      <c r="B5095" s="117"/>
      <c r="C5095" s="121"/>
      <c r="D5095" s="121"/>
      <c r="E5095" s="121"/>
      <c r="F5095" s="121"/>
      <c r="G5095" s="121"/>
      <c r="H5095" s="93"/>
      <c r="I5095" s="85"/>
      <c r="J5095" s="122"/>
      <c r="K5095" s="131"/>
      <c r="L5095" s="60"/>
      <c r="M5095" s="33"/>
    </row>
    <row r="5096" spans="1:26" x14ac:dyDescent="0.15">
      <c r="A5096" s="73"/>
      <c r="B5096" s="118"/>
      <c r="C5096" s="121"/>
      <c r="D5096" s="121"/>
      <c r="E5096" s="121"/>
      <c r="F5096" s="121"/>
      <c r="G5096" s="121"/>
      <c r="H5096" s="93"/>
      <c r="I5096" s="85"/>
      <c r="J5096" s="122"/>
      <c r="K5096" s="131"/>
      <c r="L5096" s="60"/>
    </row>
    <row r="5097" spans="1:26" x14ac:dyDescent="0.15">
      <c r="A5097" s="70"/>
      <c r="B5097" s="118"/>
      <c r="C5097" s="121"/>
      <c r="D5097" s="121"/>
      <c r="E5097" s="121"/>
      <c r="F5097" s="121"/>
      <c r="G5097" s="121"/>
      <c r="H5097" s="93"/>
      <c r="I5097" s="85"/>
      <c r="J5097" s="122"/>
      <c r="K5097" s="131"/>
      <c r="L5097" s="60"/>
      <c r="P5097" s="51"/>
    </row>
    <row r="5098" spans="1:26" x14ac:dyDescent="0.15">
      <c r="A5098" s="70"/>
      <c r="B5098" s="118"/>
      <c r="C5098" s="121"/>
      <c r="D5098" s="121"/>
      <c r="E5098" s="121"/>
      <c r="F5098" s="121"/>
      <c r="G5098" s="121"/>
      <c r="H5098" s="93"/>
      <c r="I5098" s="85"/>
      <c r="J5098" s="122"/>
      <c r="K5098" s="131"/>
      <c r="L5098" s="60"/>
    </row>
    <row r="5099" spans="1:26" x14ac:dyDescent="0.15">
      <c r="A5099" s="70"/>
      <c r="B5099" s="118"/>
      <c r="C5099" s="121"/>
      <c r="D5099" s="121"/>
      <c r="E5099" s="121"/>
      <c r="F5099" s="121"/>
      <c r="G5099" s="121"/>
      <c r="H5099" s="93"/>
      <c r="I5099" s="85"/>
      <c r="J5099" s="122"/>
      <c r="K5099" s="131"/>
      <c r="L5099" s="69"/>
    </row>
    <row r="5100" spans="1:26" x14ac:dyDescent="0.15">
      <c r="A5100" s="73"/>
      <c r="B5100" s="118"/>
      <c r="C5100" s="121"/>
      <c r="D5100" s="121"/>
      <c r="E5100" s="121"/>
      <c r="F5100" s="121"/>
      <c r="G5100" s="121"/>
      <c r="H5100" s="93"/>
      <c r="I5100" s="85"/>
      <c r="J5100" s="122"/>
      <c r="K5100" s="131"/>
      <c r="L5100" s="60"/>
    </row>
    <row r="5101" spans="1:26" x14ac:dyDescent="0.15">
      <c r="A5101" s="70"/>
      <c r="B5101" s="118"/>
      <c r="C5101" s="121"/>
      <c r="D5101" s="121"/>
      <c r="E5101" s="121"/>
      <c r="F5101" s="121"/>
      <c r="G5101" s="121"/>
      <c r="H5101" s="93"/>
      <c r="I5101" s="85"/>
      <c r="J5101" s="122"/>
      <c r="K5101" s="131"/>
      <c r="L5101" s="60"/>
    </row>
    <row r="5102" spans="1:26" x14ac:dyDescent="0.15">
      <c r="A5102" s="70"/>
      <c r="B5102" s="118"/>
      <c r="C5102" s="121"/>
      <c r="D5102" s="121"/>
      <c r="E5102" s="121"/>
      <c r="F5102" s="121"/>
      <c r="G5102" s="121"/>
      <c r="H5102" s="93"/>
      <c r="I5102" s="85"/>
      <c r="J5102" s="122"/>
      <c r="K5102" s="131"/>
      <c r="L5102" s="60"/>
    </row>
    <row r="5103" spans="1:26" x14ac:dyDescent="0.15">
      <c r="A5103" s="73"/>
      <c r="B5103" s="118"/>
      <c r="C5103" s="121"/>
      <c r="D5103" s="121"/>
      <c r="E5103" s="121"/>
      <c r="F5103" s="121"/>
      <c r="G5103" s="121"/>
      <c r="H5103" s="93"/>
      <c r="I5103" s="85"/>
      <c r="J5103" s="122"/>
      <c r="K5103" s="131"/>
      <c r="L5103" s="69"/>
      <c r="S5103"/>
      <c r="T5103"/>
      <c r="U5103"/>
      <c r="V5103"/>
      <c r="W5103"/>
      <c r="X5103"/>
      <c r="Y5103"/>
      <c r="Z5103"/>
    </row>
    <row r="5104" spans="1:26" x14ac:dyDescent="0.15">
      <c r="A5104" s="73"/>
      <c r="B5104" s="118"/>
      <c r="C5104" s="121"/>
      <c r="D5104" s="121"/>
      <c r="E5104" s="121"/>
      <c r="F5104" s="121"/>
      <c r="G5104" s="121"/>
      <c r="H5104" s="93"/>
      <c r="I5104" s="85"/>
      <c r="J5104" s="122"/>
      <c r="K5104" s="131"/>
      <c r="L5104" s="60"/>
    </row>
    <row r="5105" spans="1:16" x14ac:dyDescent="0.15">
      <c r="A5105" s="70"/>
      <c r="B5105" s="117"/>
      <c r="C5105" s="121"/>
      <c r="D5105" s="121"/>
      <c r="E5105" s="121"/>
      <c r="F5105" s="121"/>
      <c r="G5105" s="121"/>
      <c r="H5105" s="93"/>
      <c r="I5105" s="85"/>
      <c r="J5105" s="122"/>
      <c r="K5105" s="131"/>
      <c r="L5105" s="60"/>
      <c r="M5105" s="33"/>
    </row>
    <row r="5106" spans="1:16" x14ac:dyDescent="0.15">
      <c r="A5106" s="70"/>
      <c r="B5106" s="117"/>
      <c r="C5106" s="121"/>
      <c r="D5106" s="121"/>
      <c r="E5106" s="121"/>
      <c r="F5106" s="121"/>
      <c r="G5106" s="121"/>
      <c r="H5106" s="93"/>
      <c r="I5106" s="85"/>
      <c r="J5106" s="122"/>
      <c r="K5106" s="131"/>
      <c r="L5106" s="60"/>
      <c r="M5106" s="33"/>
    </row>
    <row r="5107" spans="1:16" x14ac:dyDescent="0.15">
      <c r="A5107" s="70"/>
      <c r="B5107" s="118"/>
      <c r="C5107" s="121"/>
      <c r="D5107" s="121"/>
      <c r="E5107" s="121"/>
      <c r="F5107" s="121"/>
      <c r="G5107" s="121"/>
      <c r="H5107" s="93"/>
      <c r="I5107" s="85"/>
      <c r="J5107" s="122"/>
      <c r="K5107" s="131"/>
      <c r="L5107" s="60"/>
      <c r="P5107" s="51"/>
    </row>
    <row r="5108" spans="1:16" x14ac:dyDescent="0.15">
      <c r="A5108" s="70"/>
      <c r="B5108" s="118"/>
      <c r="C5108" s="121"/>
      <c r="D5108" s="121"/>
      <c r="E5108" s="121"/>
      <c r="F5108" s="121"/>
      <c r="G5108" s="121"/>
      <c r="H5108" s="93"/>
      <c r="I5108" s="85"/>
      <c r="J5108" s="122"/>
      <c r="K5108" s="131"/>
      <c r="L5108" s="60"/>
    </row>
    <row r="5109" spans="1:16" x14ac:dyDescent="0.15">
      <c r="A5109" s="70"/>
      <c r="B5109" s="117"/>
      <c r="C5109" s="121"/>
      <c r="D5109" s="121"/>
      <c r="E5109" s="121"/>
      <c r="F5109" s="121"/>
      <c r="G5109" s="121"/>
      <c r="H5109" s="93"/>
      <c r="I5109" s="85"/>
      <c r="J5109" s="122"/>
      <c r="K5109" s="131"/>
      <c r="L5109" s="60"/>
      <c r="M5109" s="33"/>
    </row>
    <row r="5110" spans="1:16" x14ac:dyDescent="0.15">
      <c r="A5110" s="70"/>
      <c r="B5110" s="117"/>
      <c r="C5110" s="121"/>
      <c r="D5110" s="121"/>
      <c r="E5110" s="121"/>
      <c r="F5110" s="121"/>
      <c r="G5110" s="121"/>
      <c r="H5110" s="93"/>
      <c r="I5110" s="85"/>
      <c r="J5110" s="122"/>
      <c r="K5110" s="131"/>
      <c r="L5110" s="60"/>
      <c r="M5110" s="33"/>
    </row>
    <row r="5111" spans="1:16" x14ac:dyDescent="0.15">
      <c r="A5111" s="70"/>
      <c r="B5111" s="118"/>
      <c r="C5111" s="121"/>
      <c r="D5111" s="121"/>
      <c r="E5111" s="121"/>
      <c r="F5111" s="121"/>
      <c r="G5111" s="121"/>
      <c r="H5111" s="93"/>
      <c r="I5111" s="85"/>
      <c r="J5111" s="122"/>
      <c r="K5111" s="131"/>
      <c r="L5111" s="60"/>
    </row>
    <row r="5112" spans="1:16" x14ac:dyDescent="0.15">
      <c r="A5112" s="70"/>
      <c r="B5112" s="117"/>
      <c r="C5112" s="121"/>
      <c r="D5112" s="121"/>
      <c r="E5112" s="121"/>
      <c r="F5112" s="121"/>
      <c r="G5112" s="121"/>
      <c r="H5112" s="93"/>
      <c r="I5112" s="85"/>
      <c r="J5112" s="122"/>
      <c r="K5112" s="131"/>
      <c r="L5112" s="60"/>
      <c r="M5112" s="33"/>
    </row>
    <row r="5113" spans="1:16" x14ac:dyDescent="0.15">
      <c r="A5113" s="70"/>
      <c r="B5113" s="118"/>
      <c r="C5113" s="121"/>
      <c r="D5113" s="121"/>
      <c r="E5113" s="121"/>
      <c r="F5113" s="121"/>
      <c r="G5113" s="121"/>
      <c r="H5113" s="93"/>
      <c r="I5113" s="85"/>
      <c r="J5113" s="122"/>
      <c r="K5113" s="131"/>
      <c r="L5113" s="69"/>
    </row>
    <row r="5114" spans="1:16" x14ac:dyDescent="0.15">
      <c r="A5114" s="73"/>
      <c r="B5114" s="118"/>
      <c r="C5114" s="121"/>
      <c r="D5114" s="121"/>
      <c r="E5114" s="121"/>
      <c r="F5114" s="121"/>
      <c r="G5114" s="121"/>
      <c r="H5114" s="93"/>
      <c r="I5114" s="85"/>
      <c r="J5114" s="122"/>
      <c r="K5114" s="131"/>
      <c r="L5114" s="69"/>
    </row>
    <row r="5115" spans="1:16" x14ac:dyDescent="0.15">
      <c r="A5115" s="70"/>
      <c r="B5115" s="118"/>
      <c r="C5115" s="121"/>
      <c r="D5115" s="121"/>
      <c r="E5115" s="121"/>
      <c r="F5115" s="121"/>
      <c r="G5115" s="121"/>
      <c r="H5115" s="93"/>
      <c r="I5115" s="85"/>
      <c r="J5115" s="122"/>
      <c r="K5115" s="131"/>
      <c r="L5115" s="69"/>
    </row>
    <row r="5116" spans="1:16" x14ac:dyDescent="0.15">
      <c r="A5116" s="70"/>
      <c r="B5116" s="118"/>
      <c r="C5116" s="121"/>
      <c r="D5116" s="121"/>
      <c r="E5116" s="121"/>
      <c r="F5116" s="121"/>
      <c r="G5116" s="121"/>
      <c r="H5116" s="93"/>
      <c r="I5116" s="85"/>
      <c r="J5116" s="122"/>
      <c r="K5116" s="131"/>
      <c r="L5116" s="60"/>
    </row>
    <row r="5117" spans="1:16" x14ac:dyDescent="0.15">
      <c r="A5117" s="70"/>
      <c r="B5117" s="118"/>
      <c r="C5117" s="121"/>
      <c r="D5117" s="121"/>
      <c r="E5117" s="121"/>
      <c r="F5117" s="121"/>
      <c r="G5117" s="121"/>
      <c r="H5117" s="93"/>
      <c r="I5117" s="85"/>
      <c r="J5117" s="122"/>
      <c r="K5117" s="131"/>
      <c r="L5117" s="60"/>
    </row>
    <row r="5118" spans="1:16" x14ac:dyDescent="0.15">
      <c r="A5118" s="70"/>
      <c r="B5118" s="118"/>
      <c r="C5118" s="121"/>
      <c r="D5118" s="121"/>
      <c r="E5118" s="121"/>
      <c r="F5118" s="121"/>
      <c r="G5118" s="121"/>
      <c r="H5118" s="93"/>
      <c r="I5118" s="85"/>
      <c r="J5118" s="122"/>
      <c r="K5118" s="131"/>
      <c r="L5118" s="60"/>
    </row>
    <row r="5119" spans="1:16" x14ac:dyDescent="0.15">
      <c r="A5119" s="70"/>
      <c r="B5119" s="118"/>
      <c r="C5119" s="121"/>
      <c r="D5119" s="121"/>
      <c r="E5119" s="121"/>
      <c r="F5119" s="121"/>
      <c r="G5119" s="121"/>
      <c r="H5119" s="93"/>
      <c r="I5119" s="85"/>
      <c r="J5119" s="122"/>
      <c r="K5119" s="131"/>
      <c r="L5119" s="60"/>
    </row>
    <row r="5120" spans="1:16" x14ac:dyDescent="0.15">
      <c r="A5120" s="70"/>
      <c r="B5120" s="118"/>
      <c r="C5120" s="121"/>
      <c r="D5120" s="121"/>
      <c r="E5120" s="121"/>
      <c r="F5120" s="121"/>
      <c r="G5120" s="121"/>
      <c r="H5120" s="93"/>
      <c r="I5120" s="85"/>
      <c r="J5120" s="122"/>
      <c r="K5120" s="131"/>
      <c r="L5120" s="69"/>
    </row>
    <row r="5121" spans="1:13" x14ac:dyDescent="0.15">
      <c r="A5121" s="70"/>
      <c r="B5121" s="118"/>
      <c r="C5121" s="121"/>
      <c r="D5121" s="121"/>
      <c r="E5121" s="121"/>
      <c r="F5121" s="121"/>
      <c r="G5121" s="121"/>
      <c r="H5121" s="93"/>
      <c r="I5121" s="85"/>
      <c r="J5121" s="122"/>
      <c r="K5121" s="131"/>
      <c r="L5121" s="69"/>
    </row>
    <row r="5122" spans="1:13" x14ac:dyDescent="0.15">
      <c r="A5122" s="70"/>
      <c r="B5122" s="118"/>
      <c r="C5122" s="121"/>
      <c r="D5122" s="121"/>
      <c r="E5122" s="121"/>
      <c r="F5122" s="121"/>
      <c r="G5122" s="121"/>
      <c r="H5122" s="93"/>
      <c r="I5122" s="85"/>
      <c r="J5122" s="122"/>
      <c r="K5122" s="131"/>
      <c r="L5122" s="60"/>
    </row>
    <row r="5123" spans="1:13" x14ac:dyDescent="0.15">
      <c r="A5123" s="70"/>
      <c r="B5123" s="118"/>
      <c r="C5123" s="121"/>
      <c r="D5123" s="121"/>
      <c r="E5123" s="121"/>
      <c r="F5123" s="121"/>
      <c r="G5123" s="121"/>
      <c r="H5123" s="93"/>
      <c r="I5123" s="85"/>
      <c r="J5123" s="122"/>
      <c r="K5123" s="131"/>
      <c r="L5123" s="60"/>
    </row>
    <row r="5124" spans="1:13" x14ac:dyDescent="0.15">
      <c r="A5124" s="70"/>
      <c r="B5124" s="118"/>
      <c r="C5124" s="121"/>
      <c r="D5124" s="121"/>
      <c r="E5124" s="121"/>
      <c r="F5124" s="121"/>
      <c r="G5124" s="121"/>
      <c r="H5124" s="93"/>
      <c r="I5124" s="85"/>
      <c r="J5124" s="122"/>
      <c r="K5124" s="131"/>
      <c r="L5124" s="60"/>
    </row>
    <row r="5125" spans="1:13" x14ac:dyDescent="0.15">
      <c r="A5125" s="70"/>
      <c r="B5125" s="118"/>
      <c r="C5125" s="121"/>
      <c r="D5125" s="121"/>
      <c r="E5125" s="121"/>
      <c r="F5125" s="121"/>
      <c r="G5125" s="121"/>
      <c r="H5125" s="93"/>
      <c r="I5125" s="85"/>
      <c r="J5125" s="122"/>
      <c r="K5125" s="131"/>
      <c r="L5125" s="60"/>
    </row>
    <row r="5126" spans="1:13" x14ac:dyDescent="0.15">
      <c r="A5126" s="70"/>
      <c r="B5126" s="118"/>
      <c r="C5126" s="121"/>
      <c r="D5126" s="121"/>
      <c r="E5126" s="121"/>
      <c r="F5126" s="121"/>
      <c r="G5126" s="121"/>
      <c r="H5126" s="93"/>
      <c r="I5126" s="85"/>
      <c r="J5126" s="122"/>
      <c r="K5126" s="131"/>
      <c r="L5126" s="60"/>
    </row>
    <row r="5127" spans="1:13" x14ac:dyDescent="0.15">
      <c r="A5127" s="70"/>
      <c r="B5127" s="118"/>
      <c r="C5127" s="121"/>
      <c r="D5127" s="121"/>
      <c r="E5127" s="121"/>
      <c r="F5127" s="121"/>
      <c r="G5127" s="121"/>
      <c r="H5127" s="93"/>
      <c r="I5127" s="85"/>
      <c r="J5127" s="122"/>
      <c r="K5127" s="131"/>
      <c r="L5127" s="69"/>
    </row>
    <row r="5128" spans="1:13" x14ac:dyDescent="0.15">
      <c r="A5128" s="70"/>
      <c r="B5128" s="117"/>
      <c r="C5128" s="121"/>
      <c r="D5128" s="121"/>
      <c r="E5128" s="121"/>
      <c r="F5128" s="121"/>
      <c r="G5128" s="121"/>
      <c r="H5128" s="93"/>
      <c r="I5128" s="85"/>
      <c r="J5128" s="122"/>
      <c r="K5128" s="131"/>
      <c r="L5128" s="60"/>
      <c r="M5128" s="33"/>
    </row>
    <row r="5129" spans="1:13" x14ac:dyDescent="0.15">
      <c r="A5129" s="73"/>
      <c r="B5129" s="118"/>
      <c r="C5129" s="121"/>
      <c r="D5129" s="121"/>
      <c r="E5129" s="121"/>
      <c r="F5129" s="121"/>
      <c r="G5129" s="121"/>
      <c r="H5129" s="93"/>
      <c r="I5129" s="85"/>
      <c r="J5129" s="122"/>
      <c r="K5129" s="131"/>
      <c r="L5129" s="60"/>
    </row>
    <row r="5130" spans="1:13" x14ac:dyDescent="0.15">
      <c r="A5130" s="70"/>
      <c r="B5130" s="118"/>
      <c r="C5130" s="121"/>
      <c r="D5130" s="121"/>
      <c r="E5130" s="121"/>
      <c r="F5130" s="121"/>
      <c r="G5130" s="121"/>
      <c r="H5130" s="93"/>
      <c r="I5130" s="85"/>
      <c r="J5130" s="122"/>
      <c r="K5130" s="131"/>
      <c r="L5130" s="69"/>
    </row>
    <row r="5131" spans="1:13" x14ac:dyDescent="0.15">
      <c r="A5131" s="70"/>
      <c r="B5131" s="118"/>
      <c r="C5131" s="121"/>
      <c r="D5131" s="121"/>
      <c r="E5131" s="121"/>
      <c r="F5131" s="121"/>
      <c r="G5131" s="121"/>
      <c r="H5131" s="93"/>
      <c r="I5131" s="85"/>
      <c r="J5131" s="122"/>
      <c r="K5131" s="131"/>
      <c r="L5131" s="69"/>
    </row>
    <row r="5132" spans="1:13" x14ac:dyDescent="0.15">
      <c r="A5132" s="70"/>
      <c r="B5132" s="118"/>
      <c r="C5132" s="121"/>
      <c r="D5132" s="121"/>
      <c r="E5132" s="121"/>
      <c r="F5132" s="121"/>
      <c r="G5132" s="121"/>
      <c r="H5132" s="93"/>
      <c r="I5132" s="85"/>
      <c r="J5132" s="122"/>
      <c r="K5132" s="131"/>
      <c r="L5132" s="60"/>
    </row>
    <row r="5133" spans="1:13" x14ac:dyDescent="0.15">
      <c r="A5133" s="73"/>
      <c r="B5133" s="118"/>
      <c r="C5133" s="121"/>
      <c r="D5133" s="121"/>
      <c r="E5133" s="121"/>
      <c r="F5133" s="121"/>
      <c r="G5133" s="121"/>
      <c r="H5133" s="93"/>
      <c r="I5133" s="85"/>
      <c r="J5133" s="122"/>
      <c r="K5133" s="131"/>
      <c r="L5133" s="60"/>
    </row>
    <row r="5134" spans="1:13" x14ac:dyDescent="0.15">
      <c r="A5134" s="70"/>
      <c r="B5134" s="117"/>
      <c r="C5134" s="121"/>
      <c r="D5134" s="121"/>
      <c r="E5134" s="121"/>
      <c r="F5134" s="121"/>
      <c r="G5134" s="121"/>
      <c r="H5134" s="93"/>
      <c r="I5134" s="85"/>
      <c r="J5134" s="122"/>
      <c r="K5134" s="131"/>
      <c r="L5134" s="60"/>
    </row>
    <row r="5135" spans="1:13" x14ac:dyDescent="0.15">
      <c r="A5135" s="70"/>
      <c r="B5135" s="118"/>
      <c r="C5135" s="121"/>
      <c r="D5135" s="121"/>
      <c r="E5135" s="121"/>
      <c r="F5135" s="121"/>
      <c r="G5135" s="121"/>
      <c r="H5135" s="93"/>
      <c r="I5135" s="85"/>
      <c r="J5135" s="122"/>
      <c r="K5135" s="131"/>
      <c r="L5135" s="60"/>
    </row>
    <row r="5136" spans="1:13" x14ac:dyDescent="0.15">
      <c r="A5136" s="70"/>
      <c r="B5136" s="118"/>
      <c r="C5136" s="121"/>
      <c r="D5136" s="121"/>
      <c r="E5136" s="121"/>
      <c r="F5136" s="121"/>
      <c r="G5136" s="121"/>
      <c r="H5136" s="93"/>
      <c r="I5136" s="85"/>
      <c r="J5136" s="122"/>
      <c r="K5136" s="131"/>
      <c r="L5136" s="60"/>
      <c r="M5136" s="50"/>
    </row>
    <row r="5137" spans="1:13" x14ac:dyDescent="0.15">
      <c r="A5137" s="70"/>
      <c r="B5137" s="118"/>
      <c r="C5137" s="121"/>
      <c r="D5137" s="121"/>
      <c r="E5137" s="121"/>
      <c r="F5137" s="121"/>
      <c r="G5137" s="121"/>
      <c r="H5137" s="93"/>
      <c r="I5137" s="85"/>
      <c r="J5137" s="122"/>
      <c r="K5137" s="131"/>
      <c r="L5137" s="60"/>
    </row>
    <row r="5138" spans="1:13" x14ac:dyDescent="0.15">
      <c r="A5138" s="73"/>
      <c r="B5138" s="118"/>
      <c r="C5138" s="121"/>
      <c r="D5138" s="121"/>
      <c r="E5138" s="121"/>
      <c r="F5138" s="121"/>
      <c r="G5138" s="121"/>
      <c r="H5138" s="93"/>
      <c r="I5138" s="85"/>
      <c r="J5138" s="122"/>
      <c r="K5138" s="131"/>
      <c r="L5138" s="60"/>
    </row>
    <row r="5139" spans="1:13" x14ac:dyDescent="0.15">
      <c r="A5139" s="73"/>
      <c r="B5139" s="118"/>
      <c r="C5139" s="121"/>
      <c r="D5139" s="121"/>
      <c r="E5139" s="121"/>
      <c r="F5139" s="121"/>
      <c r="G5139" s="121"/>
      <c r="H5139" s="93"/>
      <c r="I5139" s="85"/>
      <c r="J5139" s="122"/>
      <c r="K5139" s="131"/>
      <c r="L5139" s="69"/>
    </row>
    <row r="5140" spans="1:13" x14ac:dyDescent="0.15">
      <c r="A5140" s="70"/>
      <c r="B5140" s="118"/>
      <c r="C5140" s="121"/>
      <c r="D5140" s="121"/>
      <c r="E5140" s="121"/>
      <c r="F5140" s="121"/>
      <c r="G5140" s="121"/>
      <c r="H5140" s="93"/>
      <c r="I5140" s="85"/>
      <c r="J5140" s="122"/>
      <c r="K5140" s="131"/>
      <c r="L5140" s="60"/>
    </row>
    <row r="5141" spans="1:13" x14ac:dyDescent="0.15">
      <c r="A5141" s="70"/>
      <c r="B5141" s="118"/>
      <c r="C5141" s="121"/>
      <c r="D5141" s="121"/>
      <c r="E5141" s="121"/>
      <c r="F5141" s="121"/>
      <c r="G5141" s="121"/>
      <c r="H5141" s="93"/>
      <c r="I5141" s="85"/>
      <c r="J5141" s="122"/>
      <c r="K5141" s="131"/>
      <c r="L5141" s="60"/>
    </row>
    <row r="5142" spans="1:13" x14ac:dyDescent="0.15">
      <c r="A5142" s="70"/>
      <c r="B5142" s="118"/>
      <c r="C5142" s="121"/>
      <c r="D5142" s="121"/>
      <c r="E5142" s="121"/>
      <c r="F5142" s="121"/>
      <c r="G5142" s="121"/>
      <c r="H5142" s="93"/>
      <c r="I5142" s="85"/>
      <c r="J5142" s="122"/>
      <c r="K5142" s="131"/>
      <c r="L5142" s="60"/>
    </row>
    <row r="5143" spans="1:13" x14ac:dyDescent="0.15">
      <c r="A5143" s="70"/>
      <c r="B5143" s="118"/>
      <c r="C5143" s="121"/>
      <c r="D5143" s="121"/>
      <c r="E5143" s="121"/>
      <c r="F5143" s="121"/>
      <c r="G5143" s="121"/>
      <c r="H5143" s="93"/>
      <c r="I5143" s="85"/>
      <c r="J5143" s="122"/>
      <c r="K5143" s="131"/>
      <c r="L5143" s="60"/>
    </row>
    <row r="5144" spans="1:13" x14ac:dyDescent="0.15">
      <c r="A5144" s="70"/>
      <c r="B5144" s="118"/>
      <c r="C5144" s="121"/>
      <c r="D5144" s="121"/>
      <c r="E5144" s="121"/>
      <c r="F5144" s="121"/>
      <c r="G5144" s="121"/>
      <c r="H5144" s="93"/>
      <c r="I5144" s="85"/>
      <c r="J5144" s="122"/>
      <c r="K5144" s="134"/>
      <c r="L5144" s="60"/>
    </row>
    <row r="5145" spans="1:13" x14ac:dyDescent="0.15">
      <c r="A5145" s="70"/>
      <c r="B5145" s="118"/>
      <c r="C5145" s="121"/>
      <c r="D5145" s="121"/>
      <c r="E5145" s="121"/>
      <c r="F5145" s="121"/>
      <c r="G5145" s="121"/>
      <c r="H5145" s="93"/>
      <c r="I5145" s="85"/>
      <c r="J5145" s="122"/>
      <c r="K5145" s="131"/>
      <c r="L5145" s="60"/>
    </row>
    <row r="5146" spans="1:13" x14ac:dyDescent="0.15">
      <c r="A5146" s="70"/>
      <c r="B5146" s="118"/>
      <c r="C5146" s="121"/>
      <c r="D5146" s="121"/>
      <c r="E5146" s="121"/>
      <c r="F5146" s="121"/>
      <c r="G5146" s="121"/>
      <c r="H5146" s="93"/>
      <c r="I5146" s="85"/>
      <c r="J5146" s="122"/>
      <c r="K5146" s="131"/>
      <c r="L5146" s="60"/>
    </row>
    <row r="5147" spans="1:13" x14ac:dyDescent="0.15">
      <c r="A5147" s="70"/>
      <c r="B5147" s="118"/>
      <c r="C5147" s="121"/>
      <c r="D5147" s="121"/>
      <c r="E5147" s="121"/>
      <c r="F5147" s="121"/>
      <c r="G5147" s="121"/>
      <c r="H5147" s="93"/>
      <c r="I5147" s="85"/>
      <c r="J5147" s="122"/>
      <c r="K5147" s="131"/>
      <c r="L5147" s="60"/>
    </row>
    <row r="5148" spans="1:13" x14ac:dyDescent="0.15">
      <c r="A5148" s="70"/>
      <c r="B5148" s="117"/>
      <c r="C5148" s="121"/>
      <c r="D5148" s="121"/>
      <c r="E5148" s="121"/>
      <c r="F5148" s="121"/>
      <c r="G5148" s="121"/>
      <c r="H5148" s="93"/>
      <c r="I5148" s="85"/>
      <c r="J5148" s="122"/>
      <c r="K5148" s="131"/>
      <c r="L5148" s="60"/>
      <c r="M5148" s="33"/>
    </row>
    <row r="5149" spans="1:13" x14ac:dyDescent="0.15">
      <c r="A5149" s="70"/>
      <c r="B5149" s="118"/>
      <c r="C5149" s="121"/>
      <c r="D5149" s="121"/>
      <c r="E5149" s="121"/>
      <c r="F5149" s="121"/>
      <c r="G5149" s="121"/>
      <c r="H5149" s="93"/>
      <c r="I5149" s="85"/>
      <c r="J5149" s="122"/>
      <c r="K5149" s="131"/>
      <c r="L5149" s="60"/>
    </row>
    <row r="5150" spans="1:13" x14ac:dyDescent="0.15">
      <c r="A5150" s="70"/>
      <c r="B5150" s="118"/>
      <c r="C5150" s="121"/>
      <c r="D5150" s="121"/>
      <c r="E5150" s="121"/>
      <c r="F5150" s="121"/>
      <c r="G5150" s="121"/>
      <c r="H5150" s="93"/>
      <c r="I5150" s="85"/>
      <c r="J5150" s="122"/>
      <c r="K5150" s="131"/>
      <c r="L5150" s="69"/>
    </row>
    <row r="5151" spans="1:13" x14ac:dyDescent="0.15">
      <c r="A5151" s="70"/>
      <c r="B5151" s="118"/>
      <c r="C5151" s="121"/>
      <c r="D5151" s="121"/>
      <c r="E5151" s="121"/>
      <c r="F5151" s="121"/>
      <c r="G5151" s="121"/>
      <c r="H5151" s="93"/>
      <c r="I5151" s="85"/>
      <c r="J5151" s="122"/>
      <c r="K5151" s="131"/>
      <c r="L5151" s="60"/>
    </row>
    <row r="5152" spans="1:13" x14ac:dyDescent="0.15">
      <c r="A5152" s="70"/>
      <c r="B5152" s="118"/>
      <c r="C5152" s="121"/>
      <c r="D5152" s="121"/>
      <c r="E5152" s="121"/>
      <c r="F5152" s="121"/>
      <c r="G5152" s="121"/>
      <c r="H5152" s="93"/>
      <c r="I5152" s="85"/>
      <c r="J5152" s="122"/>
      <c r="K5152" s="131"/>
      <c r="L5152" s="69"/>
    </row>
    <row r="5153" spans="1:12" x14ac:dyDescent="0.15">
      <c r="A5153" s="70"/>
      <c r="B5153" s="118"/>
      <c r="C5153" s="121"/>
      <c r="D5153" s="121"/>
      <c r="E5153" s="121"/>
      <c r="F5153" s="121"/>
      <c r="G5153" s="121"/>
      <c r="H5153" s="93"/>
      <c r="I5153" s="85"/>
      <c r="J5153" s="122"/>
      <c r="K5153" s="131"/>
      <c r="L5153" s="60"/>
    </row>
    <row r="5154" spans="1:12" x14ac:dyDescent="0.15">
      <c r="A5154" s="70"/>
      <c r="B5154" s="118"/>
      <c r="C5154" s="121"/>
      <c r="D5154" s="121"/>
      <c r="E5154" s="121"/>
      <c r="F5154" s="121"/>
      <c r="G5154" s="121"/>
      <c r="H5154" s="93"/>
      <c r="I5154" s="85"/>
      <c r="J5154" s="122"/>
      <c r="K5154" s="131"/>
      <c r="L5154" s="60"/>
    </row>
    <row r="5155" spans="1:12" x14ac:dyDescent="0.15">
      <c r="A5155" s="73"/>
      <c r="B5155" s="118"/>
      <c r="C5155" s="121"/>
      <c r="D5155" s="121"/>
      <c r="E5155" s="121"/>
      <c r="F5155" s="121"/>
      <c r="G5155" s="121"/>
      <c r="H5155" s="93"/>
      <c r="I5155" s="85"/>
      <c r="J5155" s="122"/>
      <c r="K5155" s="131"/>
      <c r="L5155" s="60"/>
    </row>
    <row r="5156" spans="1:12" x14ac:dyDescent="0.15">
      <c r="A5156" s="70"/>
      <c r="B5156" s="118"/>
      <c r="C5156" s="121"/>
      <c r="D5156" s="121"/>
      <c r="E5156" s="121"/>
      <c r="F5156" s="121"/>
      <c r="G5156" s="121"/>
      <c r="H5156" s="93"/>
      <c r="I5156" s="85"/>
      <c r="J5156" s="122"/>
      <c r="K5156" s="131"/>
      <c r="L5156" s="60"/>
    </row>
    <row r="5157" spans="1:12" x14ac:dyDescent="0.15">
      <c r="A5157" s="70"/>
      <c r="B5157" s="118"/>
      <c r="C5157" s="121"/>
      <c r="D5157" s="121"/>
      <c r="E5157" s="121"/>
      <c r="F5157" s="121"/>
      <c r="G5157" s="121"/>
      <c r="H5157" s="93"/>
      <c r="I5157" s="85"/>
      <c r="J5157" s="122"/>
      <c r="K5157" s="131"/>
      <c r="L5157" s="60"/>
    </row>
    <row r="5158" spans="1:12" x14ac:dyDescent="0.15">
      <c r="A5158" s="70"/>
      <c r="B5158" s="118"/>
      <c r="C5158" s="121"/>
      <c r="D5158" s="121"/>
      <c r="E5158" s="121"/>
      <c r="F5158" s="121"/>
      <c r="G5158" s="121"/>
      <c r="H5158" s="93"/>
      <c r="I5158" s="85"/>
      <c r="J5158" s="122"/>
      <c r="K5158" s="131"/>
      <c r="L5158" s="60"/>
    </row>
    <row r="5159" spans="1:12" x14ac:dyDescent="0.15">
      <c r="A5159" s="70"/>
      <c r="B5159" s="118"/>
      <c r="C5159" s="121"/>
      <c r="D5159" s="121"/>
      <c r="E5159" s="121"/>
      <c r="F5159" s="121"/>
      <c r="G5159" s="121"/>
      <c r="H5159" s="93"/>
      <c r="I5159" s="85"/>
      <c r="J5159" s="122"/>
      <c r="K5159" s="131"/>
      <c r="L5159" s="60"/>
    </row>
    <row r="5160" spans="1:12" x14ac:dyDescent="0.15">
      <c r="A5160" s="70"/>
      <c r="B5160" s="118"/>
      <c r="C5160" s="121"/>
      <c r="D5160" s="121"/>
      <c r="E5160" s="121"/>
      <c r="F5160" s="121"/>
      <c r="G5160" s="121"/>
      <c r="H5160" s="93"/>
      <c r="I5160" s="85"/>
      <c r="J5160" s="122"/>
      <c r="K5160" s="131"/>
      <c r="L5160" s="69"/>
    </row>
    <row r="5161" spans="1:12" x14ac:dyDescent="0.15">
      <c r="A5161" s="70"/>
      <c r="B5161" s="118"/>
      <c r="C5161" s="121"/>
      <c r="D5161" s="121"/>
      <c r="E5161" s="121"/>
      <c r="F5161" s="121"/>
      <c r="G5161" s="121"/>
      <c r="H5161" s="93"/>
      <c r="I5161" s="85"/>
      <c r="J5161" s="122"/>
      <c r="K5161" s="131"/>
      <c r="L5161" s="69"/>
    </row>
    <row r="5162" spans="1:12" x14ac:dyDescent="0.15">
      <c r="A5162" s="70"/>
      <c r="B5162" s="118"/>
      <c r="C5162" s="121"/>
      <c r="D5162" s="121"/>
      <c r="E5162" s="121"/>
      <c r="F5162" s="121"/>
      <c r="G5162" s="121"/>
      <c r="H5162" s="93"/>
      <c r="I5162" s="85"/>
      <c r="J5162" s="122"/>
      <c r="K5162" s="131"/>
      <c r="L5162" s="60"/>
    </row>
    <row r="5163" spans="1:12" x14ac:dyDescent="0.15">
      <c r="A5163" s="70"/>
      <c r="B5163" s="118"/>
      <c r="C5163" s="121"/>
      <c r="D5163" s="121"/>
      <c r="E5163" s="121"/>
      <c r="F5163" s="121"/>
      <c r="G5163" s="121"/>
      <c r="H5163" s="93"/>
      <c r="I5163" s="85"/>
      <c r="J5163" s="122"/>
      <c r="K5163" s="131"/>
      <c r="L5163" s="69"/>
    </row>
    <row r="5164" spans="1:12" x14ac:dyDescent="0.15">
      <c r="A5164" s="70"/>
      <c r="B5164" s="118"/>
      <c r="C5164" s="121"/>
      <c r="D5164" s="121"/>
      <c r="E5164" s="121"/>
      <c r="F5164" s="121"/>
      <c r="G5164" s="121"/>
      <c r="H5164" s="93"/>
      <c r="I5164" s="85"/>
      <c r="J5164" s="122"/>
      <c r="K5164" s="131"/>
      <c r="L5164" s="60"/>
    </row>
    <row r="5165" spans="1:12" x14ac:dyDescent="0.15">
      <c r="A5165" s="70"/>
      <c r="B5165" s="118"/>
      <c r="C5165" s="121"/>
      <c r="D5165" s="121"/>
      <c r="E5165" s="121"/>
      <c r="F5165" s="121"/>
      <c r="G5165" s="121"/>
      <c r="H5165" s="93"/>
      <c r="I5165" s="85"/>
      <c r="J5165" s="122"/>
      <c r="K5165" s="131"/>
      <c r="L5165" s="60"/>
    </row>
    <row r="5166" spans="1:12" x14ac:dyDescent="0.15">
      <c r="A5166" s="70"/>
      <c r="B5166" s="118"/>
      <c r="C5166" s="121"/>
      <c r="D5166" s="121"/>
      <c r="E5166" s="121"/>
      <c r="F5166" s="121"/>
      <c r="G5166" s="121"/>
      <c r="H5166" s="93"/>
      <c r="I5166" s="85"/>
      <c r="J5166" s="122"/>
      <c r="K5166" s="131"/>
      <c r="L5166" s="60"/>
    </row>
    <row r="5167" spans="1:12" x14ac:dyDescent="0.15">
      <c r="A5167" s="70"/>
      <c r="B5167" s="118"/>
      <c r="C5167" s="121"/>
      <c r="D5167" s="121"/>
      <c r="E5167" s="121"/>
      <c r="F5167" s="121"/>
      <c r="G5167" s="121"/>
      <c r="H5167" s="93"/>
      <c r="I5167" s="85"/>
      <c r="J5167" s="122"/>
      <c r="K5167" s="131"/>
      <c r="L5167" s="60"/>
    </row>
    <row r="5168" spans="1:12" x14ac:dyDescent="0.15">
      <c r="A5168" s="70"/>
      <c r="B5168" s="118"/>
      <c r="C5168" s="121"/>
      <c r="D5168" s="121"/>
      <c r="E5168" s="121"/>
      <c r="F5168" s="121"/>
      <c r="G5168" s="121"/>
      <c r="H5168" s="93"/>
      <c r="I5168" s="85"/>
      <c r="J5168" s="122"/>
      <c r="K5168" s="131"/>
      <c r="L5168" s="60"/>
    </row>
    <row r="5169" spans="1:14" x14ac:dyDescent="0.15">
      <c r="A5169" s="70"/>
      <c r="B5169" s="118"/>
      <c r="C5169" s="121"/>
      <c r="D5169" s="121"/>
      <c r="E5169" s="121"/>
      <c r="F5169" s="121"/>
      <c r="G5169" s="121"/>
      <c r="H5169" s="93"/>
      <c r="I5169" s="85"/>
      <c r="J5169" s="122"/>
      <c r="K5169" s="131"/>
      <c r="L5169" s="69"/>
    </row>
    <row r="5170" spans="1:14" x14ac:dyDescent="0.15">
      <c r="A5170" s="70"/>
      <c r="B5170" s="118"/>
      <c r="C5170" s="121"/>
      <c r="D5170" s="121"/>
      <c r="E5170" s="121"/>
      <c r="F5170" s="121"/>
      <c r="G5170" s="121"/>
      <c r="H5170" s="93"/>
      <c r="I5170" s="85"/>
      <c r="J5170" s="122"/>
      <c r="K5170" s="131"/>
      <c r="L5170" s="60"/>
    </row>
    <row r="5171" spans="1:14" x14ac:dyDescent="0.15">
      <c r="A5171" s="70"/>
      <c r="B5171" s="118"/>
      <c r="C5171" s="121"/>
      <c r="D5171" s="121"/>
      <c r="E5171" s="121"/>
      <c r="F5171" s="121"/>
      <c r="G5171" s="121"/>
      <c r="H5171" s="93"/>
      <c r="I5171" s="85"/>
      <c r="J5171" s="122"/>
      <c r="K5171" s="131"/>
      <c r="L5171" s="60"/>
    </row>
    <row r="5172" spans="1:14" x14ac:dyDescent="0.15">
      <c r="A5172" s="70"/>
      <c r="B5172" s="118"/>
      <c r="C5172" s="121"/>
      <c r="D5172" s="121"/>
      <c r="E5172" s="121"/>
      <c r="F5172" s="121"/>
      <c r="G5172" s="121"/>
      <c r="H5172" s="93"/>
      <c r="I5172" s="85"/>
      <c r="J5172" s="122"/>
      <c r="K5172" s="131"/>
      <c r="L5172" s="60"/>
    </row>
    <row r="5173" spans="1:14" x14ac:dyDescent="0.15">
      <c r="A5173" s="70"/>
      <c r="B5173" s="118"/>
      <c r="C5173" s="121"/>
      <c r="D5173" s="121"/>
      <c r="E5173" s="121"/>
      <c r="F5173" s="121"/>
      <c r="G5173" s="121"/>
      <c r="H5173" s="93"/>
      <c r="I5173" s="85"/>
      <c r="J5173" s="122"/>
      <c r="K5173" s="131"/>
      <c r="L5173" s="60"/>
    </row>
    <row r="5174" spans="1:14" x14ac:dyDescent="0.15">
      <c r="A5174" s="70"/>
      <c r="B5174" s="117"/>
      <c r="C5174" s="121"/>
      <c r="D5174" s="121"/>
      <c r="E5174" s="121"/>
      <c r="F5174" s="121"/>
      <c r="G5174" s="121"/>
      <c r="H5174" s="93"/>
      <c r="I5174" s="85"/>
      <c r="J5174" s="122"/>
      <c r="K5174" s="131"/>
      <c r="L5174" s="60"/>
      <c r="M5174" s="33"/>
    </row>
    <row r="5175" spans="1:14" x14ac:dyDescent="0.15">
      <c r="A5175" s="70"/>
      <c r="B5175" s="118"/>
      <c r="C5175" s="121"/>
      <c r="D5175" s="121"/>
      <c r="E5175" s="121"/>
      <c r="F5175" s="121"/>
      <c r="G5175" s="121"/>
      <c r="H5175" s="93"/>
      <c r="I5175" s="85"/>
      <c r="J5175" s="122"/>
      <c r="K5175" s="131"/>
      <c r="L5175" s="60"/>
    </row>
    <row r="5176" spans="1:14" x14ac:dyDescent="0.15">
      <c r="A5176" s="70"/>
      <c r="B5176" s="118"/>
      <c r="C5176" s="121"/>
      <c r="D5176" s="121"/>
      <c r="E5176" s="121"/>
      <c r="F5176" s="121"/>
      <c r="G5176" s="121"/>
      <c r="H5176" s="93"/>
      <c r="I5176" s="85"/>
      <c r="J5176" s="122"/>
      <c r="K5176" s="131"/>
      <c r="L5176" s="60"/>
    </row>
    <row r="5177" spans="1:14" x14ac:dyDescent="0.15">
      <c r="A5177" s="70"/>
      <c r="B5177" s="118"/>
      <c r="C5177" s="121"/>
      <c r="D5177" s="121"/>
      <c r="E5177" s="121"/>
      <c r="F5177" s="121"/>
      <c r="G5177" s="121"/>
      <c r="H5177" s="93"/>
      <c r="I5177" s="85"/>
      <c r="J5177" s="122"/>
      <c r="K5177" s="131"/>
      <c r="L5177" s="60"/>
    </row>
    <row r="5178" spans="1:14" x14ac:dyDescent="0.15">
      <c r="A5178" s="70"/>
      <c r="B5178" s="118"/>
      <c r="C5178" s="121"/>
      <c r="D5178" s="121"/>
      <c r="E5178" s="121"/>
      <c r="F5178" s="121"/>
      <c r="G5178" s="121"/>
      <c r="H5178" s="93"/>
      <c r="I5178" s="85"/>
      <c r="J5178" s="122"/>
      <c r="K5178" s="131"/>
      <c r="L5178" s="60"/>
    </row>
    <row r="5179" spans="1:14" ht="16" x14ac:dyDescent="0.2">
      <c r="A5179" s="70"/>
      <c r="B5179" s="118"/>
      <c r="C5179" s="121"/>
      <c r="D5179" s="121"/>
      <c r="E5179" s="121"/>
      <c r="F5179" s="121"/>
      <c r="G5179" s="121"/>
      <c r="H5179" s="93"/>
      <c r="I5179" s="85"/>
      <c r="J5179" s="122"/>
      <c r="K5179" s="131"/>
      <c r="L5179" s="60"/>
      <c r="N5179" s="48"/>
    </row>
    <row r="5180" spans="1:14" x14ac:dyDescent="0.15">
      <c r="A5180" s="70"/>
      <c r="B5180" s="118"/>
      <c r="C5180" s="121"/>
      <c r="D5180" s="121"/>
      <c r="E5180" s="121"/>
      <c r="F5180" s="121"/>
      <c r="G5180" s="121"/>
      <c r="H5180" s="93"/>
      <c r="I5180" s="85"/>
      <c r="J5180" s="122"/>
      <c r="K5180" s="131"/>
      <c r="L5180" s="60"/>
    </row>
    <row r="5181" spans="1:14" x14ac:dyDescent="0.15">
      <c r="A5181" s="70"/>
      <c r="B5181" s="118"/>
      <c r="C5181" s="121"/>
      <c r="D5181" s="121"/>
      <c r="E5181" s="121"/>
      <c r="F5181" s="121"/>
      <c r="G5181" s="121"/>
      <c r="H5181" s="93"/>
      <c r="I5181" s="85"/>
      <c r="J5181" s="122"/>
      <c r="K5181" s="131"/>
      <c r="L5181" s="60"/>
    </row>
    <row r="5182" spans="1:14" x14ac:dyDescent="0.15">
      <c r="A5182" s="70"/>
      <c r="B5182" s="118"/>
      <c r="C5182" s="121"/>
      <c r="D5182" s="121"/>
      <c r="E5182" s="121"/>
      <c r="F5182" s="121"/>
      <c r="G5182" s="121"/>
      <c r="H5182" s="93"/>
      <c r="I5182" s="85"/>
      <c r="J5182" s="122"/>
      <c r="K5182" s="131"/>
      <c r="L5182" s="60"/>
    </row>
    <row r="5183" spans="1:14" x14ac:dyDescent="0.15">
      <c r="A5183" s="70"/>
      <c r="B5183" s="118"/>
      <c r="C5183" s="121"/>
      <c r="D5183" s="121"/>
      <c r="E5183" s="121"/>
      <c r="F5183" s="121"/>
      <c r="G5183" s="121"/>
      <c r="H5183" s="93"/>
      <c r="I5183" s="85"/>
      <c r="J5183" s="122"/>
      <c r="K5183" s="131"/>
      <c r="L5183" s="60"/>
    </row>
    <row r="5184" spans="1:14" x14ac:dyDescent="0.15">
      <c r="A5184" s="70"/>
      <c r="B5184" s="118"/>
      <c r="C5184" s="121"/>
      <c r="D5184" s="121"/>
      <c r="E5184" s="121"/>
      <c r="F5184" s="121"/>
      <c r="G5184" s="121"/>
      <c r="H5184" s="93"/>
      <c r="I5184" s="85"/>
      <c r="J5184" s="122"/>
      <c r="K5184" s="131"/>
      <c r="L5184" s="60"/>
    </row>
    <row r="5185" spans="1:13" x14ac:dyDescent="0.15">
      <c r="A5185" s="70"/>
      <c r="B5185" s="118"/>
      <c r="C5185" s="121"/>
      <c r="D5185" s="121"/>
      <c r="E5185" s="121"/>
      <c r="F5185" s="121"/>
      <c r="G5185" s="121"/>
      <c r="H5185" s="93"/>
      <c r="I5185" s="85"/>
      <c r="J5185" s="122"/>
      <c r="K5185" s="131"/>
      <c r="L5185" s="60"/>
    </row>
    <row r="5186" spans="1:13" x14ac:dyDescent="0.15">
      <c r="A5186" s="70"/>
      <c r="B5186" s="118"/>
      <c r="C5186" s="121"/>
      <c r="D5186" s="121"/>
      <c r="E5186" s="121"/>
      <c r="F5186" s="121"/>
      <c r="G5186" s="121"/>
      <c r="H5186" s="93"/>
      <c r="I5186" s="85"/>
      <c r="J5186" s="122"/>
      <c r="K5186" s="131"/>
      <c r="L5186" s="60"/>
    </row>
    <row r="5187" spans="1:13" x14ac:dyDescent="0.15">
      <c r="A5187" s="70"/>
      <c r="B5187" s="118"/>
      <c r="C5187" s="121"/>
      <c r="D5187" s="121"/>
      <c r="E5187" s="121"/>
      <c r="F5187" s="121"/>
      <c r="G5187" s="121"/>
      <c r="H5187" s="93"/>
      <c r="I5187" s="85"/>
      <c r="J5187" s="122"/>
      <c r="K5187" s="131"/>
      <c r="L5187" s="60"/>
    </row>
    <row r="5188" spans="1:13" x14ac:dyDescent="0.15">
      <c r="A5188" s="70"/>
      <c r="B5188" s="118"/>
      <c r="C5188" s="121"/>
      <c r="D5188" s="121"/>
      <c r="E5188" s="121"/>
      <c r="F5188" s="121"/>
      <c r="G5188" s="121"/>
      <c r="H5188" s="93"/>
      <c r="I5188" s="85"/>
      <c r="J5188" s="122"/>
      <c r="K5188" s="131"/>
      <c r="L5188" s="60"/>
    </row>
    <row r="5189" spans="1:13" x14ac:dyDescent="0.15">
      <c r="A5189" s="70"/>
      <c r="B5189" s="118"/>
      <c r="C5189" s="121"/>
      <c r="D5189" s="121"/>
      <c r="E5189" s="121"/>
      <c r="F5189" s="121"/>
      <c r="G5189" s="121"/>
      <c r="H5189" s="93"/>
      <c r="I5189" s="85"/>
      <c r="J5189" s="122"/>
      <c r="K5189" s="131"/>
      <c r="L5189" s="60"/>
    </row>
    <row r="5190" spans="1:13" x14ac:dyDescent="0.15">
      <c r="A5190" s="70"/>
      <c r="B5190" s="118"/>
      <c r="C5190" s="121"/>
      <c r="D5190" s="121"/>
      <c r="E5190" s="121"/>
      <c r="F5190" s="121"/>
      <c r="G5190" s="121"/>
      <c r="H5190" s="93"/>
      <c r="I5190" s="85"/>
      <c r="J5190" s="122"/>
      <c r="K5190" s="131"/>
      <c r="L5190" s="69"/>
    </row>
    <row r="5191" spans="1:13" x14ac:dyDescent="0.15">
      <c r="A5191" s="70"/>
      <c r="B5191" s="118"/>
      <c r="C5191" s="121"/>
      <c r="D5191" s="121"/>
      <c r="E5191" s="121"/>
      <c r="F5191" s="121"/>
      <c r="G5191" s="121"/>
      <c r="H5191" s="93"/>
      <c r="I5191" s="85"/>
      <c r="J5191" s="122"/>
      <c r="K5191" s="131"/>
      <c r="L5191" s="69"/>
    </row>
    <row r="5192" spans="1:13" x14ac:dyDescent="0.15">
      <c r="A5192" s="70"/>
      <c r="B5192" s="118"/>
      <c r="C5192" s="121"/>
      <c r="D5192" s="121"/>
      <c r="E5192" s="121"/>
      <c r="F5192" s="121"/>
      <c r="G5192" s="121"/>
      <c r="H5192" s="93"/>
      <c r="I5192" s="85"/>
      <c r="J5192" s="122"/>
      <c r="K5192" s="131"/>
      <c r="L5192" s="69"/>
    </row>
    <row r="5193" spans="1:13" x14ac:dyDescent="0.15">
      <c r="A5193" s="73"/>
      <c r="B5193" s="118"/>
      <c r="C5193" s="121"/>
      <c r="D5193" s="121"/>
      <c r="E5193" s="121"/>
      <c r="F5193" s="121"/>
      <c r="G5193" s="121"/>
      <c r="H5193" s="93"/>
      <c r="I5193" s="85"/>
      <c r="J5193" s="122"/>
      <c r="K5193" s="131"/>
      <c r="L5193" s="69"/>
    </row>
    <row r="5194" spans="1:13" x14ac:dyDescent="0.15">
      <c r="A5194" s="70"/>
      <c r="B5194" s="118"/>
      <c r="C5194" s="121"/>
      <c r="D5194" s="121"/>
      <c r="E5194" s="121"/>
      <c r="F5194" s="121"/>
      <c r="G5194" s="121"/>
      <c r="H5194" s="93"/>
      <c r="I5194" s="85"/>
      <c r="J5194" s="122"/>
      <c r="K5194" s="131"/>
      <c r="L5194" s="60"/>
    </row>
    <row r="5195" spans="1:13" x14ac:dyDescent="0.15">
      <c r="A5195" s="70"/>
      <c r="B5195" s="118"/>
      <c r="C5195" s="121"/>
      <c r="D5195" s="121"/>
      <c r="E5195" s="121"/>
      <c r="F5195" s="121"/>
      <c r="G5195" s="121"/>
      <c r="H5195" s="93"/>
      <c r="I5195" s="85"/>
      <c r="J5195" s="122"/>
      <c r="K5195" s="131"/>
      <c r="L5195" s="63"/>
    </row>
    <row r="5196" spans="1:13" x14ac:dyDescent="0.15">
      <c r="A5196" s="70"/>
      <c r="B5196" s="118"/>
      <c r="C5196" s="121"/>
      <c r="D5196" s="121"/>
      <c r="E5196" s="121"/>
      <c r="F5196" s="121"/>
      <c r="G5196" s="121"/>
      <c r="H5196" s="93"/>
      <c r="I5196" s="85"/>
      <c r="J5196" s="122"/>
      <c r="K5196" s="131"/>
      <c r="L5196" s="69"/>
    </row>
    <row r="5197" spans="1:13" x14ac:dyDescent="0.15">
      <c r="A5197" s="70"/>
      <c r="B5197" s="118"/>
      <c r="C5197" s="121"/>
      <c r="D5197" s="121"/>
      <c r="E5197" s="121"/>
      <c r="F5197" s="121"/>
      <c r="G5197" s="121"/>
      <c r="H5197" s="93"/>
      <c r="I5197" s="85"/>
      <c r="J5197" s="122"/>
      <c r="K5197" s="131"/>
      <c r="L5197" s="60"/>
    </row>
    <row r="5198" spans="1:13" x14ac:dyDescent="0.15">
      <c r="A5198" s="70"/>
      <c r="B5198" s="118"/>
      <c r="C5198" s="121"/>
      <c r="D5198" s="121"/>
      <c r="E5198" s="121"/>
      <c r="F5198" s="121"/>
      <c r="G5198" s="121"/>
      <c r="H5198" s="93"/>
      <c r="I5198" s="85"/>
      <c r="J5198" s="122"/>
      <c r="K5198" s="131"/>
      <c r="L5198" s="60"/>
    </row>
    <row r="5199" spans="1:13" x14ac:dyDescent="0.15">
      <c r="A5199" s="70"/>
      <c r="B5199" s="118"/>
      <c r="C5199" s="121"/>
      <c r="D5199" s="121"/>
      <c r="E5199" s="121"/>
      <c r="F5199" s="121"/>
      <c r="G5199" s="121"/>
      <c r="H5199" s="93"/>
      <c r="I5199" s="85"/>
      <c r="J5199" s="122"/>
      <c r="K5199" s="131"/>
      <c r="L5199" s="60"/>
      <c r="M5199" s="33"/>
    </row>
    <row r="5200" spans="1:13" x14ac:dyDescent="0.15">
      <c r="A5200" s="70"/>
      <c r="B5200" s="118"/>
      <c r="C5200" s="121"/>
      <c r="D5200" s="121"/>
      <c r="E5200" s="121"/>
      <c r="F5200" s="121"/>
      <c r="G5200" s="121"/>
      <c r="H5200" s="93"/>
      <c r="I5200" s="85"/>
      <c r="J5200" s="122"/>
      <c r="K5200" s="131"/>
      <c r="L5200" s="60"/>
    </row>
    <row r="5201" spans="1:12" x14ac:dyDescent="0.15">
      <c r="A5201" s="70"/>
      <c r="B5201" s="118"/>
      <c r="C5201" s="121"/>
      <c r="D5201" s="121"/>
      <c r="E5201" s="121"/>
      <c r="F5201" s="121"/>
      <c r="G5201" s="121"/>
      <c r="H5201" s="93"/>
      <c r="I5201" s="85"/>
      <c r="J5201" s="122"/>
      <c r="K5201" s="131"/>
      <c r="L5201" s="69"/>
    </row>
    <row r="5202" spans="1:12" x14ac:dyDescent="0.15">
      <c r="A5202" s="70"/>
      <c r="B5202" s="118"/>
      <c r="C5202" s="121"/>
      <c r="D5202" s="121"/>
      <c r="E5202" s="121"/>
      <c r="F5202" s="121"/>
      <c r="G5202" s="121"/>
      <c r="H5202" s="93"/>
      <c r="I5202" s="85"/>
      <c r="J5202" s="122"/>
      <c r="K5202" s="131"/>
      <c r="L5202" s="69"/>
    </row>
    <row r="5203" spans="1:12" x14ac:dyDescent="0.15">
      <c r="A5203" s="70"/>
      <c r="B5203" s="118"/>
      <c r="C5203" s="121"/>
      <c r="D5203" s="121"/>
      <c r="E5203" s="121"/>
      <c r="F5203" s="121"/>
      <c r="G5203" s="121"/>
      <c r="H5203" s="93"/>
      <c r="I5203" s="85"/>
      <c r="J5203" s="122"/>
      <c r="K5203" s="131"/>
      <c r="L5203" s="60"/>
    </row>
    <row r="5204" spans="1:12" x14ac:dyDescent="0.15">
      <c r="A5204" s="70"/>
      <c r="B5204" s="118"/>
      <c r="C5204" s="121"/>
      <c r="D5204" s="121"/>
      <c r="E5204" s="121"/>
      <c r="F5204" s="121"/>
      <c r="G5204" s="121"/>
      <c r="H5204" s="93"/>
      <c r="I5204" s="85"/>
      <c r="J5204" s="122"/>
      <c r="K5204" s="131"/>
      <c r="L5204" s="60"/>
    </row>
    <row r="5205" spans="1:12" x14ac:dyDescent="0.15">
      <c r="A5205" s="70"/>
      <c r="B5205" s="118"/>
      <c r="C5205" s="121"/>
      <c r="D5205" s="121"/>
      <c r="E5205" s="121"/>
      <c r="F5205" s="121"/>
      <c r="G5205" s="121"/>
      <c r="H5205" s="93"/>
      <c r="I5205" s="85"/>
      <c r="J5205" s="122"/>
      <c r="K5205" s="131"/>
      <c r="L5205" s="60"/>
    </row>
    <row r="5206" spans="1:12" x14ac:dyDescent="0.15">
      <c r="A5206" s="70"/>
      <c r="B5206" s="118"/>
      <c r="C5206" s="121"/>
      <c r="D5206" s="121"/>
      <c r="E5206" s="121"/>
      <c r="F5206" s="121"/>
      <c r="G5206" s="121"/>
      <c r="H5206" s="93"/>
      <c r="I5206" s="85"/>
      <c r="J5206" s="122"/>
      <c r="K5206" s="131"/>
      <c r="L5206" s="60"/>
    </row>
    <row r="5207" spans="1:12" x14ac:dyDescent="0.15">
      <c r="A5207" s="70"/>
      <c r="B5207" s="118"/>
      <c r="C5207" s="121"/>
      <c r="D5207" s="121"/>
      <c r="E5207" s="121"/>
      <c r="F5207" s="121"/>
      <c r="G5207" s="121"/>
      <c r="H5207" s="93"/>
      <c r="I5207" s="85"/>
      <c r="J5207" s="122"/>
      <c r="K5207" s="131"/>
      <c r="L5207" s="60"/>
    </row>
    <row r="5208" spans="1:12" x14ac:dyDescent="0.15">
      <c r="A5208" s="70"/>
      <c r="B5208" s="118"/>
      <c r="C5208" s="121"/>
      <c r="D5208" s="121"/>
      <c r="E5208" s="121"/>
      <c r="F5208" s="121"/>
      <c r="G5208" s="121"/>
      <c r="H5208" s="93"/>
      <c r="I5208" s="85"/>
      <c r="J5208" s="122"/>
      <c r="K5208" s="131"/>
      <c r="L5208" s="60"/>
    </row>
    <row r="5209" spans="1:12" x14ac:dyDescent="0.15">
      <c r="A5209" s="73"/>
      <c r="B5209" s="118"/>
      <c r="C5209" s="121"/>
      <c r="D5209" s="121"/>
      <c r="E5209" s="121"/>
      <c r="F5209" s="121"/>
      <c r="G5209" s="121"/>
      <c r="H5209" s="93"/>
      <c r="I5209" s="85"/>
      <c r="J5209" s="122"/>
      <c r="K5209" s="131"/>
      <c r="L5209" s="60"/>
    </row>
    <row r="5210" spans="1:12" x14ac:dyDescent="0.15">
      <c r="A5210" s="70"/>
      <c r="B5210" s="118"/>
      <c r="C5210" s="121"/>
      <c r="D5210" s="121"/>
      <c r="E5210" s="121"/>
      <c r="F5210" s="121"/>
      <c r="G5210" s="121"/>
      <c r="H5210" s="93"/>
      <c r="I5210" s="85"/>
      <c r="J5210" s="122"/>
      <c r="K5210" s="131"/>
      <c r="L5210" s="60"/>
    </row>
    <row r="5211" spans="1:12" x14ac:dyDescent="0.15">
      <c r="A5211" s="70"/>
      <c r="B5211" s="118"/>
      <c r="C5211" s="121"/>
      <c r="D5211" s="121"/>
      <c r="E5211" s="121"/>
      <c r="F5211" s="121"/>
      <c r="G5211" s="121"/>
      <c r="H5211" s="93"/>
      <c r="I5211" s="85"/>
      <c r="J5211" s="122"/>
      <c r="K5211" s="131"/>
      <c r="L5211" s="60"/>
    </row>
    <row r="5212" spans="1:12" x14ac:dyDescent="0.15">
      <c r="A5212" s="70"/>
      <c r="B5212" s="118"/>
      <c r="C5212" s="121"/>
      <c r="D5212" s="121"/>
      <c r="E5212" s="121"/>
      <c r="F5212" s="121"/>
      <c r="G5212" s="121"/>
      <c r="H5212" s="93"/>
      <c r="I5212" s="85"/>
      <c r="J5212" s="122"/>
      <c r="K5212" s="131"/>
      <c r="L5212" s="60"/>
    </row>
    <row r="5213" spans="1:12" x14ac:dyDescent="0.15">
      <c r="A5213" s="70"/>
      <c r="B5213" s="118"/>
      <c r="C5213" s="121"/>
      <c r="D5213" s="121"/>
      <c r="E5213" s="121"/>
      <c r="F5213" s="121"/>
      <c r="G5213" s="121"/>
      <c r="H5213" s="93"/>
      <c r="I5213" s="85"/>
      <c r="J5213" s="122"/>
      <c r="K5213" s="131"/>
      <c r="L5213" s="60"/>
    </row>
    <row r="5214" spans="1:12" x14ac:dyDescent="0.15">
      <c r="A5214" s="70"/>
      <c r="B5214" s="118"/>
      <c r="C5214" s="121"/>
      <c r="D5214" s="121"/>
      <c r="E5214" s="121"/>
      <c r="F5214" s="121"/>
      <c r="G5214" s="121"/>
      <c r="H5214" s="93"/>
      <c r="I5214" s="85"/>
      <c r="J5214" s="122"/>
      <c r="K5214" s="131"/>
      <c r="L5214" s="69"/>
    </row>
    <row r="5215" spans="1:12" x14ac:dyDescent="0.15">
      <c r="A5215" s="70"/>
      <c r="B5215" s="118"/>
      <c r="C5215" s="121"/>
      <c r="D5215" s="121"/>
      <c r="E5215" s="121"/>
      <c r="F5215" s="121"/>
      <c r="G5215" s="121"/>
      <c r="H5215" s="93"/>
      <c r="I5215" s="85"/>
      <c r="J5215" s="122"/>
      <c r="K5215" s="131"/>
      <c r="L5215" s="69"/>
    </row>
    <row r="5216" spans="1:12" x14ac:dyDescent="0.15">
      <c r="A5216" s="70"/>
      <c r="B5216" s="118"/>
      <c r="C5216" s="121"/>
      <c r="D5216" s="121"/>
      <c r="E5216" s="121"/>
      <c r="F5216" s="121"/>
      <c r="G5216" s="121"/>
      <c r="H5216" s="108"/>
      <c r="I5216" s="85"/>
      <c r="J5216" s="122"/>
      <c r="K5216" s="131"/>
      <c r="L5216" s="60"/>
    </row>
    <row r="5217" spans="1:12" x14ac:dyDescent="0.15">
      <c r="A5217" s="70"/>
      <c r="B5217" s="118"/>
      <c r="C5217" s="121"/>
      <c r="D5217" s="121"/>
      <c r="E5217" s="121"/>
      <c r="F5217" s="121"/>
      <c r="G5217" s="121"/>
      <c r="H5217" s="93"/>
      <c r="I5217" s="85"/>
      <c r="J5217" s="122"/>
      <c r="K5217" s="131"/>
      <c r="L5217" s="69"/>
    </row>
    <row r="5218" spans="1:12" x14ac:dyDescent="0.15">
      <c r="A5218" s="73"/>
      <c r="B5218" s="118"/>
      <c r="C5218" s="121"/>
      <c r="D5218" s="121"/>
      <c r="E5218" s="121"/>
      <c r="F5218" s="121"/>
      <c r="G5218" s="121"/>
      <c r="H5218" s="93"/>
      <c r="I5218" s="85"/>
      <c r="J5218" s="122"/>
      <c r="K5218" s="131"/>
      <c r="L5218" s="69"/>
    </row>
    <row r="5219" spans="1:12" x14ac:dyDescent="0.15">
      <c r="A5219" s="73"/>
      <c r="B5219" s="118"/>
      <c r="C5219" s="121"/>
      <c r="D5219" s="121"/>
      <c r="E5219" s="121"/>
      <c r="F5219" s="121"/>
      <c r="G5219" s="121"/>
      <c r="H5219" s="93"/>
      <c r="I5219" s="85"/>
      <c r="J5219" s="122"/>
      <c r="K5219" s="131"/>
      <c r="L5219" s="69"/>
    </row>
    <row r="5220" spans="1:12" x14ac:dyDescent="0.15">
      <c r="A5220" s="70"/>
      <c r="B5220" s="118"/>
      <c r="C5220" s="121"/>
      <c r="D5220" s="121"/>
      <c r="E5220" s="121"/>
      <c r="F5220" s="121"/>
      <c r="G5220" s="121"/>
      <c r="H5220" s="93"/>
      <c r="I5220" s="85"/>
      <c r="J5220" s="122"/>
      <c r="K5220" s="131"/>
      <c r="L5220" s="69"/>
    </row>
    <row r="5221" spans="1:12" x14ac:dyDescent="0.15">
      <c r="A5221" s="70"/>
      <c r="B5221" s="118"/>
      <c r="C5221" s="121"/>
      <c r="D5221" s="121"/>
      <c r="E5221" s="121"/>
      <c r="F5221" s="121"/>
      <c r="G5221" s="121"/>
      <c r="H5221" s="93"/>
      <c r="I5221" s="85"/>
      <c r="J5221" s="122"/>
      <c r="K5221" s="131"/>
      <c r="L5221" s="60"/>
    </row>
    <row r="5222" spans="1:12" x14ac:dyDescent="0.15">
      <c r="A5222" s="70"/>
      <c r="B5222" s="118"/>
      <c r="C5222" s="121"/>
      <c r="D5222" s="121"/>
      <c r="E5222" s="121"/>
      <c r="F5222" s="121"/>
      <c r="G5222" s="121"/>
      <c r="H5222" s="93"/>
      <c r="I5222" s="85"/>
      <c r="J5222" s="122"/>
      <c r="K5222" s="131"/>
      <c r="L5222" s="60"/>
    </row>
    <row r="5223" spans="1:12" x14ac:dyDescent="0.15">
      <c r="A5223" s="70"/>
      <c r="B5223" s="118"/>
      <c r="C5223" s="121"/>
      <c r="D5223" s="121"/>
      <c r="E5223" s="121"/>
      <c r="F5223" s="121"/>
      <c r="G5223" s="121"/>
      <c r="H5223" s="93"/>
      <c r="I5223" s="85"/>
      <c r="J5223" s="122"/>
      <c r="K5223" s="131"/>
      <c r="L5223" s="72"/>
    </row>
    <row r="5224" spans="1:12" x14ac:dyDescent="0.15">
      <c r="A5224" s="70"/>
      <c r="B5224" s="118"/>
      <c r="C5224" s="121"/>
      <c r="D5224" s="121"/>
      <c r="E5224" s="121"/>
      <c r="F5224" s="121"/>
      <c r="G5224" s="121"/>
      <c r="H5224" s="93"/>
      <c r="I5224" s="85"/>
      <c r="J5224" s="122"/>
      <c r="K5224" s="131"/>
      <c r="L5224" s="69"/>
    </row>
    <row r="5225" spans="1:12" x14ac:dyDescent="0.15">
      <c r="A5225" s="70"/>
      <c r="B5225" s="118"/>
      <c r="C5225" s="121"/>
      <c r="D5225" s="121"/>
      <c r="E5225" s="121"/>
      <c r="F5225" s="121"/>
      <c r="G5225" s="121"/>
      <c r="H5225" s="93"/>
      <c r="I5225" s="85"/>
      <c r="J5225" s="122"/>
      <c r="K5225" s="131"/>
      <c r="L5225" s="69"/>
    </row>
    <row r="5226" spans="1:12" x14ac:dyDescent="0.15">
      <c r="A5226" s="70"/>
      <c r="B5226" s="118"/>
      <c r="C5226" s="121"/>
      <c r="D5226" s="121"/>
      <c r="E5226" s="121"/>
      <c r="F5226" s="121"/>
      <c r="G5226" s="121"/>
      <c r="H5226" s="93"/>
      <c r="I5226" s="85"/>
      <c r="J5226" s="122"/>
      <c r="K5226" s="131"/>
      <c r="L5226" s="63"/>
    </row>
    <row r="5227" spans="1:12" x14ac:dyDescent="0.15">
      <c r="A5227" s="70"/>
      <c r="B5227" s="118"/>
      <c r="C5227" s="121"/>
      <c r="D5227" s="121"/>
      <c r="E5227" s="121"/>
      <c r="F5227" s="121"/>
      <c r="G5227" s="121"/>
      <c r="H5227" s="93"/>
      <c r="I5227" s="85"/>
      <c r="J5227" s="122"/>
      <c r="K5227" s="131"/>
      <c r="L5227" s="69"/>
    </row>
    <row r="5228" spans="1:12" x14ac:dyDescent="0.15">
      <c r="A5228" s="70"/>
      <c r="B5228" s="118"/>
      <c r="C5228" s="121"/>
      <c r="D5228" s="121"/>
      <c r="E5228" s="121"/>
      <c r="F5228" s="121"/>
      <c r="G5228" s="121"/>
      <c r="H5228" s="93"/>
      <c r="I5228" s="85"/>
      <c r="J5228" s="122"/>
      <c r="K5228" s="131"/>
      <c r="L5228" s="69"/>
    </row>
    <row r="5229" spans="1:12" x14ac:dyDescent="0.15">
      <c r="A5229" s="70"/>
      <c r="B5229" s="118"/>
      <c r="C5229" s="121"/>
      <c r="D5229" s="121"/>
      <c r="E5229" s="121"/>
      <c r="F5229" s="121"/>
      <c r="G5229" s="121"/>
      <c r="H5229" s="93"/>
      <c r="I5229" s="85"/>
      <c r="J5229" s="122"/>
      <c r="K5229" s="131"/>
      <c r="L5229" s="60"/>
    </row>
    <row r="5230" spans="1:12" x14ac:dyDescent="0.15">
      <c r="A5230" s="70"/>
      <c r="B5230" s="118"/>
      <c r="C5230" s="121"/>
      <c r="D5230" s="121"/>
      <c r="E5230" s="121"/>
      <c r="F5230" s="121"/>
      <c r="G5230" s="121"/>
      <c r="H5230" s="93"/>
      <c r="I5230" s="85"/>
      <c r="J5230" s="122"/>
      <c r="K5230" s="131"/>
      <c r="L5230" s="69"/>
    </row>
    <row r="5231" spans="1:12" x14ac:dyDescent="0.15">
      <c r="A5231" s="70"/>
      <c r="B5231" s="118"/>
      <c r="C5231" s="121"/>
      <c r="D5231" s="121"/>
      <c r="E5231" s="121"/>
      <c r="F5231" s="121"/>
      <c r="G5231" s="121"/>
      <c r="H5231" s="93"/>
      <c r="I5231" s="85"/>
      <c r="J5231" s="121"/>
      <c r="K5231" s="131"/>
      <c r="L5231" s="69"/>
    </row>
    <row r="5232" spans="1:12" x14ac:dyDescent="0.15">
      <c r="A5232" s="73"/>
      <c r="B5232" s="118"/>
      <c r="C5232" s="121"/>
      <c r="D5232" s="121"/>
      <c r="E5232" s="121"/>
      <c r="F5232" s="121"/>
      <c r="G5232" s="121"/>
      <c r="H5232" s="93"/>
      <c r="I5232" s="85"/>
      <c r="J5232" s="122"/>
      <c r="K5232" s="131"/>
      <c r="L5232" s="69"/>
    </row>
    <row r="5233" spans="1:12" x14ac:dyDescent="0.15">
      <c r="A5233" s="70"/>
      <c r="B5233" s="118"/>
      <c r="C5233" s="121"/>
      <c r="D5233" s="121"/>
      <c r="E5233" s="121"/>
      <c r="F5233" s="121"/>
      <c r="G5233" s="121"/>
      <c r="H5233" s="93"/>
      <c r="I5233" s="85"/>
      <c r="J5233" s="122"/>
      <c r="K5233" s="131"/>
      <c r="L5233" s="69"/>
    </row>
    <row r="5234" spans="1:12" x14ac:dyDescent="0.15">
      <c r="A5234" s="70"/>
      <c r="B5234" s="118"/>
      <c r="C5234" s="121"/>
      <c r="D5234" s="121"/>
      <c r="E5234" s="121"/>
      <c r="F5234" s="121"/>
      <c r="G5234" s="121"/>
      <c r="H5234" s="93"/>
      <c r="I5234" s="85"/>
      <c r="J5234" s="122"/>
      <c r="K5234" s="131"/>
      <c r="L5234" s="69"/>
    </row>
    <row r="5235" spans="1:12" x14ac:dyDescent="0.15">
      <c r="A5235" s="70"/>
      <c r="B5235" s="118"/>
      <c r="C5235" s="121"/>
      <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236" s="85"/>
      <c r="J5236" s="122"/>
      <c r="K5236" s="131"/>
      <c r="L5236" s="69"/>
    </row>
    <row r="5237" spans="1:12" x14ac:dyDescent="0.15">
      <c r="A5237" s="70"/>
      <c r="B5237" s="118"/>
      <c r="C5237" s="121"/>
      <c r="D5237" s="121"/>
      <c r="E5237" s="121"/>
      <c r="F5237" s="121"/>
      <c r="G5237" s="121"/>
      <c r="H5237" s="93"/>
      <c r="I5237" s="85"/>
      <c r="J5237" s="122"/>
      <c r="K5237" s="131"/>
      <c r="L5237" s="69"/>
    </row>
    <row r="5238" spans="1:12" x14ac:dyDescent="0.15">
      <c r="A5238" s="73"/>
      <c r="B5238" s="118"/>
      <c r="C5238" s="121"/>
      <c r="D5238" s="121"/>
      <c r="E5238" s="121"/>
      <c r="F5238" s="121"/>
      <c r="G5238" s="121"/>
      <c r="H5238" s="93"/>
      <c r="I5238" s="85"/>
      <c r="J5238" s="122"/>
      <c r="K5238" s="131"/>
      <c r="L5238" s="69"/>
    </row>
    <row r="5239" spans="1:12" x14ac:dyDescent="0.15">
      <c r="A5239" s="70"/>
      <c r="B5239" s="118"/>
      <c r="C5239" s="121"/>
      <c r="D5239" s="121"/>
      <c r="E5239" s="121"/>
      <c r="F5239" s="121"/>
      <c r="G5239" s="121"/>
      <c r="H5239" s="93"/>
      <c r="I5239" s="85"/>
      <c r="J5239" s="122"/>
      <c r="K5239" s="131"/>
      <c r="L5239" s="69"/>
    </row>
    <row r="5240" spans="1:12" x14ac:dyDescent="0.15">
      <c r="A5240" s="70"/>
      <c r="B5240" s="118"/>
      <c r="C5240" s="121"/>
      <c r="D5240" s="121"/>
      <c r="E5240" s="121"/>
      <c r="F5240" s="121"/>
      <c r="G5240" s="121"/>
      <c r="H5240" s="93"/>
      <c r="I5240" s="85"/>
      <c r="J5240" s="122"/>
      <c r="K5240" s="131"/>
      <c r="L5240" s="60"/>
    </row>
    <row r="5241" spans="1:12" x14ac:dyDescent="0.15">
      <c r="A5241" s="70"/>
      <c r="B5241" s="118"/>
      <c r="C5241" s="121"/>
      <c r="D5241" s="121"/>
      <c r="E5241" s="121"/>
      <c r="F5241" s="121"/>
      <c r="G5241" s="121"/>
      <c r="H5241" s="93"/>
      <c r="I5241" s="85"/>
      <c r="J5241" s="122"/>
      <c r="K5241" s="131"/>
      <c r="L5241" s="60"/>
    </row>
    <row r="5242" spans="1:12" x14ac:dyDescent="0.15">
      <c r="A5242" s="70"/>
      <c r="B5242" s="118"/>
      <c r="C5242" s="121"/>
      <c r="D5242" s="121"/>
      <c r="E5242" s="121"/>
      <c r="F5242" s="121"/>
      <c r="G5242" s="121"/>
      <c r="H5242" s="93"/>
      <c r="I5242" s="85"/>
      <c r="J5242" s="122"/>
      <c r="K5242" s="131"/>
      <c r="L5242" s="69"/>
    </row>
    <row r="5243" spans="1:12" x14ac:dyDescent="0.15">
      <c r="A5243" s="70"/>
      <c r="B5243" s="118"/>
      <c r="C5243" s="121"/>
      <c r="D5243" s="121"/>
      <c r="E5243" s="121"/>
      <c r="F5243" s="121"/>
      <c r="G5243" s="121"/>
      <c r="H5243" s="93"/>
      <c r="I5243" s="85"/>
      <c r="J5243" s="122"/>
      <c r="K5243" s="131"/>
      <c r="L5243" s="69"/>
    </row>
    <row r="5244" spans="1:12" x14ac:dyDescent="0.15">
      <c r="A5244" s="70"/>
      <c r="B5244" s="118"/>
      <c r="C5244" s="121"/>
      <c r="D5244" s="121"/>
      <c r="E5244" s="121"/>
      <c r="F5244" s="121"/>
      <c r="G5244" s="121"/>
      <c r="H5244" s="93"/>
      <c r="I5244" s="85"/>
      <c r="J5244" s="122"/>
      <c r="K5244" s="131"/>
      <c r="L5244" s="69"/>
    </row>
    <row r="5245" spans="1:12" x14ac:dyDescent="0.15">
      <c r="A5245" s="70"/>
      <c r="B5245" s="118"/>
      <c r="C5245" s="121"/>
      <c r="D5245" s="121"/>
      <c r="E5245" s="121"/>
      <c r="F5245" s="121"/>
      <c r="G5245" s="121"/>
      <c r="H5245" s="93"/>
      <c r="I5245" s="85"/>
      <c r="J5245" s="122"/>
      <c r="K5245" s="131"/>
      <c r="L5245" s="69"/>
    </row>
    <row r="5246" spans="1:12" x14ac:dyDescent="0.15">
      <c r="A5246" s="70"/>
      <c r="B5246" s="118"/>
      <c r="C5246" s="121"/>
      <c r="D5246" s="121"/>
      <c r="E5246" s="121"/>
      <c r="F5246" s="121"/>
      <c r="G5246" s="121"/>
      <c r="H5246" s="93"/>
      <c r="I5246" s="85"/>
      <c r="J5246" s="122"/>
      <c r="K5246" s="131"/>
      <c r="L5246" s="69"/>
    </row>
    <row r="5247" spans="1:12" x14ac:dyDescent="0.15">
      <c r="A5247" s="70"/>
      <c r="B5247" s="118"/>
      <c r="C5247" s="121"/>
      <c r="D5247" s="121"/>
      <c r="E5247" s="121"/>
      <c r="F5247" s="121"/>
      <c r="G5247" s="121"/>
      <c r="H5247" s="93"/>
      <c r="I5247" s="85"/>
      <c r="J5247" s="122"/>
      <c r="K5247" s="131"/>
      <c r="L5247" s="60"/>
    </row>
    <row r="5248" spans="1:12" x14ac:dyDescent="0.15">
      <c r="A5248" s="70"/>
      <c r="B5248" s="118"/>
      <c r="C5248" s="121"/>
      <c r="D5248" s="121"/>
      <c r="E5248" s="121"/>
      <c r="F5248" s="121"/>
      <c r="G5248" s="121"/>
      <c r="H5248" s="93"/>
      <c r="I5248" s="85"/>
      <c r="J5248" s="122"/>
      <c r="K5248" s="131"/>
      <c r="L5248" s="60"/>
    </row>
    <row r="5249" spans="1:12" x14ac:dyDescent="0.15">
      <c r="A5249" s="70"/>
      <c r="B5249" s="118"/>
      <c r="C5249" s="121"/>
      <c r="D5249" s="121"/>
      <c r="E5249" s="121"/>
      <c r="F5249" s="121"/>
      <c r="G5249" s="121"/>
      <c r="H5249" s="93"/>
      <c r="I5249" s="85"/>
      <c r="J5249" s="122"/>
      <c r="K5249" s="131"/>
      <c r="L5249" s="69"/>
    </row>
    <row r="5250" spans="1:12" x14ac:dyDescent="0.15">
      <c r="A5250" s="70"/>
      <c r="B5250" s="118"/>
      <c r="C5250" s="121"/>
      <c r="D5250" s="121"/>
      <c r="E5250" s="121"/>
      <c r="F5250" s="121"/>
      <c r="G5250" s="121"/>
      <c r="H5250" s="93"/>
      <c r="I5250" s="85"/>
      <c r="J5250" s="122"/>
      <c r="K5250" s="131"/>
      <c r="L5250" s="60"/>
    </row>
    <row r="5251" spans="1:12" x14ac:dyDescent="0.15">
      <c r="A5251" s="70"/>
      <c r="B5251" s="118"/>
      <c r="C5251" s="121"/>
      <c r="D5251" s="121"/>
      <c r="E5251" s="121"/>
      <c r="F5251" s="121"/>
      <c r="G5251" s="121"/>
      <c r="H5251" s="93"/>
      <c r="I5251" s="85"/>
      <c r="J5251" s="122"/>
      <c r="K5251" s="131"/>
      <c r="L5251" s="69"/>
    </row>
    <row r="5252" spans="1:12" x14ac:dyDescent="0.15">
      <c r="A5252" s="70"/>
      <c r="B5252" s="118"/>
      <c r="C5252" s="121"/>
      <c r="D5252" s="121"/>
      <c r="E5252" s="121"/>
      <c r="F5252" s="121"/>
      <c r="G5252" s="121"/>
      <c r="H5252" s="93"/>
      <c r="I5252" s="85"/>
      <c r="J5252" s="122"/>
      <c r="K5252" s="131"/>
      <c r="L5252" s="69"/>
    </row>
    <row r="5253" spans="1:12" x14ac:dyDescent="0.15">
      <c r="A5253" s="73"/>
      <c r="B5253" s="118"/>
      <c r="C5253" s="121"/>
      <c r="D5253" s="121"/>
      <c r="E5253" s="121"/>
      <c r="F5253" s="121"/>
      <c r="G5253" s="121"/>
      <c r="H5253" s="93"/>
      <c r="I5253" s="85"/>
      <c r="J5253" s="122"/>
      <c r="K5253" s="131"/>
      <c r="L5253" s="69"/>
    </row>
    <row r="5254" spans="1:12" x14ac:dyDescent="0.15">
      <c r="A5254" s="70"/>
      <c r="B5254" s="118"/>
      <c r="C5254" s="121"/>
      <c r="D5254" s="121"/>
      <c r="E5254" s="121"/>
      <c r="F5254" s="121"/>
      <c r="G5254" s="121"/>
      <c r="H5254" s="93"/>
      <c r="I5254" s="85"/>
      <c r="J5254" s="122"/>
      <c r="K5254" s="131"/>
      <c r="L5254" s="69"/>
    </row>
    <row r="5255" spans="1:12" x14ac:dyDescent="0.15">
      <c r="A5255" s="70"/>
      <c r="B5255" s="118"/>
      <c r="C5255" s="121"/>
      <c r="D5255" s="121"/>
      <c r="E5255" s="121"/>
      <c r="F5255" s="121"/>
      <c r="G5255" s="121"/>
      <c r="H5255" s="93"/>
      <c r="I5255" s="85"/>
      <c r="J5255" s="122"/>
      <c r="K5255" s="131"/>
      <c r="L5255" s="69"/>
    </row>
    <row r="5256" spans="1:12" x14ac:dyDescent="0.15">
      <c r="A5256" s="70"/>
      <c r="B5256" s="118"/>
      <c r="C5256" s="121"/>
      <c r="D5256" s="121"/>
      <c r="E5256" s="121"/>
      <c r="F5256" s="121"/>
      <c r="G5256" s="121"/>
      <c r="H5256" s="93"/>
      <c r="I5256" s="85"/>
      <c r="J5256" s="122"/>
      <c r="K5256" s="131"/>
      <c r="L5256" s="69"/>
    </row>
    <row r="5257" spans="1:12" x14ac:dyDescent="0.15">
      <c r="A5257" s="70"/>
      <c r="B5257" s="118"/>
      <c r="C5257" s="121"/>
      <c r="D5257" s="121"/>
      <c r="E5257" s="121"/>
      <c r="F5257" s="121"/>
      <c r="G5257" s="121"/>
      <c r="H5257" s="93"/>
      <c r="I5257" s="85"/>
      <c r="J5257" s="122"/>
      <c r="K5257" s="131"/>
      <c r="L5257" s="69"/>
    </row>
    <row r="5258" spans="1:12" x14ac:dyDescent="0.15">
      <c r="A5258" s="70"/>
      <c r="B5258" s="118"/>
      <c r="C5258" s="121"/>
      <c r="D5258" s="121"/>
      <c r="E5258" s="121"/>
      <c r="F5258" s="121"/>
      <c r="G5258" s="121"/>
      <c r="H5258" s="93"/>
      <c r="I5258" s="85"/>
      <c r="J5258" s="122"/>
      <c r="K5258" s="131"/>
      <c r="L5258" s="69"/>
    </row>
    <row r="5259" spans="1:12" x14ac:dyDescent="0.15">
      <c r="A5259" s="70"/>
      <c r="B5259" s="118"/>
      <c r="C5259" s="121"/>
      <c r="D5259" s="121"/>
      <c r="E5259" s="121"/>
      <c r="F5259" s="121"/>
      <c r="G5259" s="121"/>
      <c r="H5259" s="93"/>
      <c r="I5259" s="85"/>
      <c r="J5259" s="122"/>
      <c r="K5259" s="134"/>
      <c r="L5259" s="69"/>
    </row>
    <row r="5260" spans="1:12" x14ac:dyDescent="0.15">
      <c r="A5260" s="70"/>
      <c r="B5260" s="118"/>
      <c r="C5260" s="121"/>
      <c r="D5260" s="121"/>
      <c r="E5260" s="121"/>
      <c r="F5260" s="121"/>
      <c r="G5260" s="121"/>
      <c r="H5260" s="93"/>
      <c r="I5260" s="85"/>
      <c r="J5260" s="122"/>
      <c r="K5260" s="131"/>
      <c r="L5260" s="69"/>
    </row>
    <row r="5261" spans="1:12" x14ac:dyDescent="0.15">
      <c r="A5261" s="73"/>
      <c r="B5261" s="118"/>
      <c r="C5261" s="121"/>
      <c r="D5261" s="121"/>
      <c r="E5261" s="121"/>
      <c r="F5261" s="121"/>
      <c r="G5261" s="121"/>
      <c r="H5261" s="93"/>
      <c r="I5261" s="85"/>
      <c r="J5261" s="122"/>
      <c r="K5261" s="131"/>
      <c r="L5261" s="69"/>
    </row>
    <row r="5262" spans="1:12" x14ac:dyDescent="0.15">
      <c r="A5262" s="70"/>
      <c r="B5262" s="118"/>
      <c r="C5262" s="121"/>
      <c r="D5262" s="121"/>
      <c r="E5262" s="121"/>
      <c r="F5262" s="121"/>
      <c r="G5262" s="121"/>
      <c r="H5262" s="93"/>
      <c r="I5262" s="85"/>
      <c r="J5262" s="122"/>
      <c r="K5262" s="131"/>
      <c r="L5262" s="60"/>
    </row>
    <row r="5263" spans="1:12" x14ac:dyDescent="0.15">
      <c r="A5263" s="70"/>
      <c r="B5263" s="118"/>
      <c r="C5263" s="121"/>
      <c r="D5263" s="121"/>
      <c r="E5263" s="121"/>
      <c r="F5263" s="121"/>
      <c r="G5263" s="121"/>
      <c r="H5263" s="93"/>
      <c r="I5263" s="85"/>
      <c r="J5263" s="122"/>
      <c r="K5263" s="131"/>
      <c r="L5263" s="69"/>
    </row>
    <row r="5264" spans="1:12" x14ac:dyDescent="0.15">
      <c r="A5264" s="70"/>
      <c r="B5264" s="118"/>
      <c r="C5264" s="121"/>
      <c r="D5264" s="121"/>
      <c r="E5264" s="121"/>
      <c r="F5264" s="121"/>
      <c r="G5264" s="121"/>
      <c r="H5264" s="93"/>
      <c r="I5264" s="85"/>
      <c r="J5264" s="122"/>
      <c r="K5264" s="131"/>
      <c r="L5264" s="60"/>
    </row>
    <row r="5265" spans="1:13" x14ac:dyDescent="0.15">
      <c r="A5265" s="70"/>
      <c r="B5265" s="118"/>
      <c r="C5265" s="121"/>
      <c r="D5265" s="121"/>
      <c r="E5265" s="121"/>
      <c r="F5265" s="121"/>
      <c r="G5265" s="121"/>
      <c r="H5265" s="93"/>
      <c r="I5265" s="85"/>
      <c r="J5265" s="122"/>
      <c r="K5265" s="131"/>
      <c r="L5265" s="60"/>
    </row>
    <row r="5266" spans="1:13" x14ac:dyDescent="0.15">
      <c r="A5266" s="70"/>
      <c r="B5266" s="118"/>
      <c r="C5266" s="121"/>
      <c r="D5266" s="121"/>
      <c r="E5266" s="121"/>
      <c r="F5266" s="121"/>
      <c r="G5266" s="121"/>
      <c r="H5266" s="93"/>
      <c r="I5266" s="85"/>
      <c r="J5266" s="122"/>
      <c r="K5266" s="131"/>
      <c r="L5266" s="72"/>
    </row>
    <row r="5267" spans="1:13" x14ac:dyDescent="0.15">
      <c r="A5267" s="70"/>
      <c r="B5267" s="118"/>
      <c r="C5267" s="121"/>
      <c r="D5267" s="121"/>
      <c r="E5267" s="121"/>
      <c r="F5267" s="121"/>
      <c r="G5267" s="121"/>
      <c r="H5267" s="93"/>
      <c r="I5267" s="85"/>
      <c r="J5267" s="122"/>
      <c r="K5267" s="131"/>
      <c r="L5267" s="72"/>
    </row>
    <row r="5268" spans="1:13" x14ac:dyDescent="0.15">
      <c r="A5268" s="70"/>
      <c r="B5268" s="118"/>
      <c r="C5268" s="121"/>
      <c r="D5268" s="121"/>
      <c r="E5268" s="121"/>
      <c r="F5268" s="121"/>
      <c r="G5268" s="121"/>
      <c r="H5268" s="93"/>
      <c r="I5268" s="85"/>
      <c r="J5268" s="122"/>
      <c r="K5268" s="131"/>
      <c r="L5268" s="69"/>
    </row>
    <row r="5269" spans="1:13" x14ac:dyDescent="0.15">
      <c r="A5269" s="73"/>
      <c r="B5269" s="118"/>
      <c r="C5269" s="121"/>
      <c r="D5269" s="121"/>
      <c r="E5269" s="121"/>
      <c r="F5269" s="121"/>
      <c r="G5269" s="121"/>
      <c r="H5269" s="93"/>
      <c r="I5269" s="85"/>
      <c r="J5269" s="122"/>
      <c r="K5269" s="131"/>
      <c r="L5269" s="60"/>
    </row>
    <row r="5270" spans="1:13" x14ac:dyDescent="0.15">
      <c r="A5270" s="70"/>
      <c r="B5270" s="118"/>
      <c r="C5270" s="121"/>
      <c r="D5270" s="121"/>
      <c r="E5270" s="121"/>
      <c r="F5270" s="121"/>
      <c r="G5270" s="121"/>
      <c r="H5270" s="93"/>
      <c r="I5270" s="85"/>
      <c r="J5270" s="122"/>
      <c r="K5270" s="131"/>
      <c r="L5270" s="72"/>
    </row>
    <row r="5271" spans="1:13" x14ac:dyDescent="0.15">
      <c r="A5271" s="70"/>
      <c r="B5271" s="118"/>
      <c r="C5271" s="121"/>
      <c r="D5271" s="121"/>
      <c r="E5271" s="121"/>
      <c r="F5271" s="121"/>
      <c r="G5271" s="121"/>
      <c r="H5271" s="93"/>
      <c r="I5271" s="85"/>
      <c r="J5271" s="122"/>
      <c r="K5271" s="131"/>
      <c r="L5271" s="60"/>
    </row>
    <row r="5272" spans="1:13" x14ac:dyDescent="0.15">
      <c r="A5272" s="70"/>
      <c r="B5272" s="118"/>
      <c r="C5272" s="121"/>
      <c r="D5272" s="121"/>
      <c r="E5272" s="121"/>
      <c r="F5272" s="121"/>
      <c r="G5272" s="121"/>
      <c r="H5272" s="93"/>
      <c r="I5272" s="85"/>
      <c r="J5272" s="122"/>
      <c r="K5272" s="131"/>
      <c r="L5272" s="69"/>
    </row>
    <row r="5273" spans="1:13" x14ac:dyDescent="0.15">
      <c r="A5273" s="70"/>
      <c r="B5273" s="118"/>
      <c r="C5273" s="121"/>
      <c r="D5273" s="121"/>
      <c r="E5273" s="121"/>
      <c r="F5273" s="121"/>
      <c r="G5273" s="121"/>
      <c r="H5273" s="93"/>
      <c r="I5273" s="85"/>
      <c r="J5273" s="122"/>
      <c r="K5273" s="131"/>
      <c r="L5273" s="60"/>
    </row>
    <row r="5274" spans="1:13" x14ac:dyDescent="0.15">
      <c r="A5274" s="73"/>
      <c r="B5274" s="118"/>
      <c r="C5274" s="121"/>
      <c r="D5274" s="121"/>
      <c r="E5274" s="121"/>
      <c r="F5274" s="121"/>
      <c r="G5274" s="121"/>
      <c r="H5274" s="108"/>
      <c r="I5274" s="85"/>
      <c r="J5274" s="122"/>
      <c r="K5274" s="131"/>
      <c r="L5274" s="69"/>
    </row>
    <row r="5275" spans="1:13" x14ac:dyDescent="0.15">
      <c r="A5275" s="70"/>
      <c r="B5275" s="118"/>
      <c r="C5275" s="121"/>
      <c r="D5275" s="121"/>
      <c r="E5275" s="121"/>
      <c r="F5275" s="121"/>
      <c r="G5275" s="121"/>
      <c r="H5275" s="93"/>
      <c r="I5275" s="85"/>
      <c r="J5275" s="122"/>
      <c r="K5275" s="131"/>
      <c r="L5275" s="69"/>
    </row>
    <row r="5276" spans="1:13" x14ac:dyDescent="0.15">
      <c r="A5276" s="70"/>
      <c r="B5276" s="118"/>
      <c r="C5276" s="121"/>
      <c r="D5276" s="121"/>
      <c r="E5276" s="121"/>
      <c r="F5276" s="121"/>
      <c r="G5276" s="121"/>
      <c r="H5276" s="93"/>
      <c r="I5276" s="85"/>
      <c r="J5276" s="122"/>
      <c r="K5276" s="131"/>
      <c r="L5276" s="60"/>
    </row>
    <row r="5277" spans="1:13" x14ac:dyDescent="0.15">
      <c r="A5277" s="70"/>
      <c r="B5277" s="118"/>
      <c r="C5277" s="121"/>
      <c r="D5277" s="121"/>
      <c r="E5277" s="121"/>
      <c r="F5277" s="121"/>
      <c r="G5277" s="121"/>
      <c r="H5277" s="93"/>
      <c r="I5277" s="85"/>
      <c r="J5277" s="122"/>
      <c r="K5277" s="131"/>
      <c r="L5277" s="60"/>
    </row>
    <row r="5278" spans="1:13" x14ac:dyDescent="0.15">
      <c r="A5278" s="70"/>
      <c r="B5278" s="118"/>
      <c r="C5278" s="121"/>
      <c r="D5278" s="121"/>
      <c r="E5278" s="121"/>
      <c r="F5278" s="121"/>
      <c r="G5278" s="121"/>
      <c r="H5278" s="93"/>
      <c r="I5278" s="85"/>
      <c r="J5278" s="122"/>
      <c r="K5278" s="131"/>
      <c r="L5278" s="60"/>
      <c r="M5278" s="50"/>
    </row>
    <row r="5279" spans="1:13" x14ac:dyDescent="0.15">
      <c r="A5279" s="70"/>
      <c r="B5279" s="118"/>
      <c r="C5279" s="121"/>
      <c r="D5279" s="121"/>
      <c r="E5279" s="121"/>
      <c r="F5279" s="121"/>
      <c r="G5279" s="121"/>
      <c r="H5279" s="93"/>
      <c r="I5279" s="85"/>
      <c r="J5279" s="122"/>
      <c r="K5279" s="131"/>
      <c r="L5279" s="60"/>
    </row>
    <row r="5280" spans="1:13" x14ac:dyDescent="0.15">
      <c r="A5280" s="70"/>
      <c r="B5280" s="118"/>
      <c r="C5280" s="121"/>
      <c r="D5280" s="121"/>
      <c r="E5280" s="121"/>
      <c r="F5280" s="121"/>
      <c r="G5280" s="121"/>
      <c r="H5280" s="93"/>
      <c r="I5280" s="85"/>
      <c r="J5280" s="122"/>
      <c r="K5280" s="131"/>
      <c r="L5280" s="69"/>
    </row>
    <row r="5281" spans="1:12" x14ac:dyDescent="0.15">
      <c r="A5281" s="70"/>
      <c r="B5281" s="118"/>
      <c r="C5281" s="121"/>
      <c r="D5281" s="121"/>
      <c r="E5281" s="121"/>
      <c r="F5281" s="121"/>
      <c r="G5281" s="121"/>
      <c r="H5281" s="93"/>
      <c r="I5281" s="85"/>
      <c r="J5281" s="122"/>
      <c r="K5281" s="131"/>
      <c r="L5281" s="69"/>
    </row>
    <row r="5282" spans="1:12" x14ac:dyDescent="0.15">
      <c r="A5282" s="70"/>
      <c r="B5282" s="118"/>
      <c r="C5282" s="121"/>
      <c r="D5282" s="121"/>
      <c r="E5282" s="121"/>
      <c r="F5282" s="121"/>
      <c r="G5282" s="121"/>
      <c r="H5282" s="93"/>
      <c r="I5282" s="85"/>
      <c r="J5282" s="122"/>
      <c r="K5282" s="131"/>
      <c r="L5282" s="69"/>
    </row>
    <row r="5283" spans="1:12" x14ac:dyDescent="0.15">
      <c r="A5283" s="70"/>
      <c r="B5283" s="118"/>
      <c r="C5283" s="121"/>
      <c r="D5283" s="121"/>
      <c r="E5283" s="121"/>
      <c r="F5283" s="121"/>
      <c r="G5283" s="121"/>
      <c r="H5283" s="93"/>
      <c r="I5283" s="85"/>
      <c r="J5283" s="122"/>
      <c r="K5283" s="131"/>
      <c r="L5283" s="69"/>
    </row>
    <row r="5284" spans="1:12" x14ac:dyDescent="0.15">
      <c r="A5284" s="70"/>
      <c r="B5284" s="118"/>
      <c r="C5284" s="121"/>
      <c r="D5284" s="121"/>
      <c r="E5284" s="121"/>
      <c r="F5284" s="121"/>
      <c r="G5284" s="121"/>
      <c r="H5284" s="93"/>
      <c r="I5284" s="85"/>
      <c r="J5284" s="122"/>
      <c r="K5284" s="131"/>
      <c r="L5284" s="69"/>
    </row>
    <row r="5285" spans="1:12" x14ac:dyDescent="0.15">
      <c r="A5285" s="70"/>
      <c r="B5285" s="118"/>
      <c r="C5285" s="121"/>
      <c r="D5285" s="121"/>
      <c r="E5285" s="121"/>
      <c r="F5285" s="121"/>
      <c r="G5285" s="121"/>
      <c r="H5285" s="93"/>
      <c r="I5285" s="85"/>
      <c r="J5285" s="122"/>
      <c r="K5285" s="131"/>
      <c r="L5285" s="69"/>
    </row>
    <row r="5286" spans="1:12" x14ac:dyDescent="0.15">
      <c r="A5286" s="70"/>
      <c r="B5286" s="118"/>
      <c r="C5286" s="121"/>
      <c r="D5286" s="121"/>
      <c r="E5286" s="121"/>
      <c r="F5286" s="121"/>
      <c r="G5286" s="121"/>
      <c r="H5286" s="108"/>
      <c r="I5286" s="85"/>
      <c r="J5286" s="122"/>
      <c r="K5286" s="131"/>
      <c r="L5286" s="60"/>
    </row>
    <row r="5287" spans="1:12" x14ac:dyDescent="0.15">
      <c r="A5287" s="70"/>
      <c r="B5287" s="118"/>
      <c r="C5287" s="121"/>
      <c r="D5287" s="121"/>
      <c r="E5287" s="121"/>
      <c r="F5287" s="121"/>
      <c r="G5287" s="121"/>
      <c r="H5287" s="93"/>
      <c r="I5287" s="85"/>
      <c r="J5287" s="122"/>
      <c r="K5287" s="131"/>
      <c r="L5287" s="69"/>
    </row>
    <row r="5288" spans="1:12" x14ac:dyDescent="0.15">
      <c r="A5288" s="70"/>
      <c r="B5288" s="118"/>
      <c r="C5288" s="121"/>
      <c r="D5288" s="121"/>
      <c r="E5288" s="121"/>
      <c r="F5288" s="121"/>
      <c r="G5288" s="121"/>
      <c r="H5288" s="93"/>
      <c r="I5288" s="85"/>
      <c r="J5288" s="122"/>
      <c r="K5288" s="131"/>
      <c r="L5288" s="69"/>
    </row>
    <row r="5289" spans="1:12" x14ac:dyDescent="0.15">
      <c r="A5289" s="70"/>
      <c r="B5289" s="118"/>
      <c r="C5289" s="121"/>
      <c r="D5289" s="121"/>
      <c r="E5289" s="121"/>
      <c r="F5289" s="121"/>
      <c r="G5289" s="121"/>
      <c r="H5289" s="93"/>
      <c r="I5289" s="85"/>
      <c r="J5289" s="122"/>
      <c r="K5289" s="131"/>
      <c r="L5289" s="69"/>
    </row>
    <row r="5290" spans="1:12" x14ac:dyDescent="0.15">
      <c r="A5290" s="70"/>
      <c r="B5290" s="118"/>
      <c r="C5290" s="121"/>
      <c r="D5290" s="121"/>
      <c r="E5290" s="121"/>
      <c r="F5290" s="121"/>
      <c r="G5290" s="121"/>
      <c r="H5290" s="93"/>
      <c r="I5290" s="85"/>
      <c r="J5290" s="122"/>
      <c r="K5290" s="131"/>
      <c r="L5290" s="69"/>
    </row>
    <row r="5291" spans="1:12" x14ac:dyDescent="0.15">
      <c r="A5291" s="70"/>
      <c r="B5291" s="118"/>
      <c r="C5291" s="121"/>
      <c r="D5291" s="121"/>
      <c r="E5291" s="121"/>
      <c r="F5291" s="121"/>
      <c r="G5291" s="121"/>
      <c r="H5291" s="93"/>
      <c r="I5291" s="85"/>
      <c r="J5291" s="122"/>
      <c r="K5291" s="131"/>
      <c r="L5291" s="69"/>
    </row>
    <row r="5292" spans="1:12" x14ac:dyDescent="0.15">
      <c r="A5292" s="70"/>
      <c r="B5292" s="118"/>
      <c r="C5292" s="121"/>
      <c r="D5292" s="121"/>
      <c r="E5292" s="121"/>
      <c r="F5292" s="121"/>
      <c r="G5292" s="121"/>
      <c r="H5292" s="93"/>
      <c r="I5292" s="85"/>
      <c r="J5292" s="122"/>
      <c r="K5292" s="131"/>
      <c r="L5292" s="69"/>
    </row>
    <row r="5293" spans="1:12" x14ac:dyDescent="0.15">
      <c r="A5293" s="70"/>
      <c r="B5293" s="118"/>
      <c r="C5293" s="121"/>
      <c r="D5293" s="121"/>
      <c r="E5293" s="121"/>
      <c r="F5293" s="121"/>
      <c r="G5293" s="121"/>
      <c r="H5293" s="93"/>
      <c r="I5293" s="85"/>
      <c r="J5293" s="122"/>
      <c r="K5293" s="131"/>
      <c r="L5293" s="69"/>
    </row>
    <row r="5294" spans="1:12" x14ac:dyDescent="0.15">
      <c r="A5294" s="70"/>
      <c r="B5294" s="118"/>
      <c r="C5294" s="121"/>
      <c r="D5294" s="121"/>
      <c r="E5294" s="121"/>
      <c r="F5294" s="121"/>
      <c r="G5294" s="121"/>
      <c r="H5294" s="93"/>
      <c r="I5294" s="85"/>
      <c r="J5294" s="122"/>
      <c r="K5294" s="131"/>
      <c r="L5294" s="69"/>
    </row>
    <row r="5295" spans="1:12" x14ac:dyDescent="0.15">
      <c r="A5295" s="70"/>
      <c r="B5295" s="118"/>
      <c r="C5295" s="121"/>
      <c r="D5295" s="121"/>
      <c r="E5295" s="121"/>
      <c r="F5295" s="121"/>
      <c r="G5295" s="121"/>
      <c r="H5295" s="93"/>
      <c r="I5295" s="85"/>
      <c r="J5295" s="122"/>
      <c r="K5295" s="131"/>
      <c r="L5295" s="69"/>
    </row>
    <row r="5296" spans="1:12" x14ac:dyDescent="0.15">
      <c r="A5296" s="70"/>
      <c r="B5296" s="118"/>
      <c r="C5296" s="121"/>
      <c r="D5296" s="121"/>
      <c r="E5296" s="121"/>
      <c r="F5296" s="121"/>
      <c r="G5296" s="121"/>
      <c r="H5296" s="93"/>
      <c r="I5296" s="85"/>
      <c r="J5296" s="122"/>
      <c r="K5296" s="131"/>
      <c r="L5296" s="69"/>
    </row>
    <row r="5297" spans="1:12" x14ac:dyDescent="0.15">
      <c r="A5297" s="73"/>
      <c r="B5297" s="118"/>
      <c r="C5297" s="121"/>
      <c r="D5297" s="121"/>
      <c r="E5297" s="121"/>
      <c r="F5297" s="121"/>
      <c r="G5297" s="121"/>
      <c r="H5297" s="93"/>
      <c r="I5297" s="85"/>
      <c r="J5297" s="122"/>
      <c r="K5297" s="131"/>
      <c r="L5297" s="69"/>
    </row>
    <row r="5298" spans="1:12" x14ac:dyDescent="0.15">
      <c r="A5298" s="70"/>
      <c r="B5298" s="118"/>
      <c r="C5298" s="121"/>
      <c r="D5298" s="121"/>
      <c r="E5298" s="121"/>
      <c r="F5298" s="121"/>
      <c r="G5298" s="121"/>
      <c r="H5298" s="93"/>
      <c r="I5298" s="85"/>
      <c r="J5298" s="122"/>
      <c r="K5298" s="131"/>
      <c r="L5298" s="69"/>
    </row>
    <row r="5299" spans="1:12" x14ac:dyDescent="0.15">
      <c r="A5299" s="70"/>
      <c r="B5299" s="118"/>
      <c r="C5299" s="121"/>
      <c r="D5299" s="121"/>
      <c r="E5299" s="121"/>
      <c r="F5299" s="121"/>
      <c r="G5299" s="121"/>
      <c r="H5299" s="93"/>
      <c r="I5299" s="85"/>
      <c r="J5299" s="122"/>
      <c r="K5299" s="131"/>
      <c r="L5299" s="72"/>
    </row>
    <row r="5300" spans="1:12" x14ac:dyDescent="0.15">
      <c r="A5300" s="70"/>
      <c r="B5300" s="118"/>
      <c r="C5300" s="121"/>
      <c r="D5300" s="121"/>
      <c r="E5300" s="121"/>
      <c r="F5300" s="121"/>
      <c r="G5300" s="121"/>
      <c r="H5300" s="93"/>
      <c r="I5300" s="85"/>
      <c r="J5300" s="122"/>
      <c r="K5300" s="131"/>
      <c r="L5300" s="69"/>
    </row>
    <row r="5301" spans="1:12" x14ac:dyDescent="0.15">
      <c r="A5301" s="70"/>
      <c r="B5301" s="118"/>
      <c r="C5301" s="121"/>
      <c r="D5301" s="121"/>
      <c r="E5301" s="121"/>
      <c r="F5301" s="121"/>
      <c r="G5301" s="121"/>
      <c r="H5301" s="93"/>
      <c r="I5301" s="85"/>
      <c r="J5301" s="122"/>
      <c r="K5301" s="131"/>
      <c r="L5301" s="60"/>
    </row>
    <row r="5302" spans="1:12" x14ac:dyDescent="0.15">
      <c r="A5302" s="70"/>
      <c r="B5302" s="118"/>
      <c r="C5302" s="121"/>
      <c r="D5302" s="121"/>
      <c r="E5302" s="121"/>
      <c r="F5302" s="121"/>
      <c r="G5302" s="121"/>
      <c r="H5302" s="93"/>
      <c r="I5302" s="85"/>
      <c r="J5302" s="122"/>
      <c r="K5302" s="131"/>
      <c r="L5302" s="69"/>
    </row>
    <row r="5303" spans="1:12" x14ac:dyDescent="0.15">
      <c r="A5303" s="70"/>
      <c r="B5303" s="118"/>
      <c r="C5303" s="121"/>
      <c r="D5303" s="121"/>
      <c r="E5303" s="121"/>
      <c r="F5303" s="121"/>
      <c r="G5303" s="121"/>
      <c r="H5303" s="93"/>
      <c r="I5303" s="85"/>
      <c r="J5303" s="122"/>
      <c r="K5303" s="131"/>
      <c r="L5303" s="69"/>
    </row>
    <row r="5304" spans="1:12" x14ac:dyDescent="0.15">
      <c r="A5304" s="70"/>
      <c r="B5304" s="118"/>
      <c r="C5304" s="121"/>
      <c r="D5304" s="121"/>
      <c r="E5304" s="121"/>
      <c r="F5304" s="121"/>
      <c r="G5304" s="121"/>
      <c r="H5304" s="93"/>
      <c r="I5304" s="85"/>
      <c r="J5304" s="122"/>
      <c r="K5304" s="131"/>
      <c r="L5304" s="60"/>
    </row>
    <row r="5305" spans="1:12" x14ac:dyDescent="0.15">
      <c r="A5305" s="70"/>
      <c r="B5305" s="118"/>
      <c r="C5305" s="121"/>
      <c r="D5305" s="121"/>
      <c r="E5305" s="121"/>
      <c r="F5305" s="121"/>
      <c r="G5305" s="121"/>
      <c r="H5305" s="93"/>
      <c r="I5305" s="85"/>
      <c r="J5305" s="122"/>
      <c r="K5305" s="134"/>
      <c r="L5305" s="69"/>
    </row>
    <row r="5306" spans="1:12" x14ac:dyDescent="0.15">
      <c r="A5306" s="70"/>
      <c r="B5306" s="118"/>
      <c r="C5306" s="121"/>
      <c r="D5306" s="121"/>
      <c r="E5306" s="121"/>
      <c r="F5306" s="121"/>
      <c r="G5306" s="121"/>
      <c r="H5306" s="93"/>
      <c r="I5306" s="85"/>
      <c r="J5306" s="122"/>
      <c r="K5306" s="131"/>
      <c r="L5306" s="60"/>
    </row>
    <row r="5307" spans="1:12" x14ac:dyDescent="0.15">
      <c r="A5307" s="73"/>
      <c r="B5307" s="118"/>
      <c r="C5307" s="121"/>
      <c r="D5307" s="121"/>
      <c r="E5307" s="121"/>
      <c r="F5307" s="121"/>
      <c r="G5307" s="121"/>
      <c r="H5307" s="93"/>
      <c r="I5307" s="85"/>
      <c r="J5307" s="122"/>
      <c r="K5307" s="131"/>
      <c r="L5307" s="69"/>
    </row>
    <row r="5308" spans="1:12" x14ac:dyDescent="0.15">
      <c r="A5308" s="70"/>
      <c r="B5308" s="118"/>
      <c r="C5308" s="121"/>
      <c r="D5308" s="121"/>
      <c r="E5308" s="121"/>
      <c r="F5308" s="121"/>
      <c r="G5308" s="121"/>
      <c r="H5308" s="93"/>
      <c r="I5308" s="85"/>
      <c r="J5308" s="122"/>
      <c r="K5308" s="131"/>
      <c r="L5308" s="69"/>
    </row>
    <row r="5309" spans="1:12" x14ac:dyDescent="0.15">
      <c r="A5309" s="70"/>
      <c r="B5309" s="118"/>
      <c r="C5309" s="121"/>
      <c r="D5309" s="121"/>
      <c r="E5309" s="121"/>
      <c r="F5309" s="121"/>
      <c r="G5309" s="121"/>
      <c r="H5309" s="93"/>
      <c r="I5309" s="85"/>
      <c r="J5309" s="122"/>
      <c r="K5309" s="131"/>
      <c r="L5309" s="69"/>
    </row>
    <row r="5310" spans="1:12" x14ac:dyDescent="0.15">
      <c r="A5310" s="70"/>
      <c r="B5310" s="118"/>
      <c r="C5310" s="121"/>
      <c r="D5310" s="121"/>
      <c r="E5310" s="121"/>
      <c r="F5310" s="121"/>
      <c r="G5310" s="121"/>
      <c r="H5310" s="93"/>
      <c r="I5310" s="85"/>
      <c r="J5310" s="122"/>
      <c r="K5310" s="131"/>
      <c r="L5310" s="69"/>
    </row>
    <row r="5311" spans="1:12" x14ac:dyDescent="0.15">
      <c r="A5311" s="70"/>
      <c r="B5311" s="118"/>
      <c r="C5311" s="121"/>
      <c r="D5311" s="121"/>
      <c r="E5311" s="121"/>
      <c r="F5311" s="121"/>
      <c r="G5311" s="121"/>
      <c r="H5311" s="93"/>
      <c r="I5311" s="85"/>
      <c r="J5311" s="122"/>
      <c r="K5311" s="131"/>
      <c r="L5311" s="69"/>
    </row>
    <row r="5312" spans="1:12" x14ac:dyDescent="0.15">
      <c r="A5312" s="73"/>
      <c r="B5312" s="118"/>
      <c r="C5312" s="121"/>
      <c r="D5312" s="121"/>
      <c r="E5312" s="121"/>
      <c r="F5312" s="121"/>
      <c r="G5312" s="121"/>
      <c r="H5312" s="93"/>
      <c r="I5312" s="85"/>
      <c r="J5312" s="122"/>
      <c r="K5312" s="131"/>
      <c r="L5312" s="69"/>
    </row>
    <row r="5313" spans="1:15" x14ac:dyDescent="0.15">
      <c r="A5313" s="70"/>
      <c r="B5313" s="118"/>
      <c r="C5313" s="121"/>
      <c r="D5313" s="121"/>
      <c r="E5313" s="121"/>
      <c r="F5313" s="121"/>
      <c r="G5313" s="121"/>
      <c r="H5313" s="93"/>
      <c r="I5313" s="85"/>
      <c r="J5313" s="122"/>
      <c r="K5313" s="131"/>
      <c r="L5313" s="69"/>
      <c r="O5313" s="51"/>
    </row>
    <row r="5314" spans="1:15" x14ac:dyDescent="0.15">
      <c r="A5314" s="70"/>
      <c r="B5314" s="118"/>
      <c r="C5314" s="121"/>
      <c r="D5314" s="121"/>
      <c r="E5314" s="121"/>
      <c r="F5314" s="121"/>
      <c r="G5314" s="121"/>
      <c r="H5314" s="93"/>
      <c r="I5314" s="85"/>
      <c r="J5314" s="122"/>
      <c r="K5314" s="131"/>
      <c r="L5314" s="69"/>
    </row>
    <row r="5315" spans="1:15" x14ac:dyDescent="0.15">
      <c r="A5315" s="70"/>
      <c r="B5315" s="118"/>
      <c r="C5315" s="121"/>
      <c r="D5315" s="121"/>
      <c r="E5315" s="121"/>
      <c r="F5315" s="121"/>
      <c r="G5315" s="121"/>
      <c r="H5315" s="93"/>
      <c r="I5315" s="85"/>
      <c r="J5315" s="122"/>
      <c r="K5315" s="131"/>
      <c r="L5315" s="69"/>
      <c r="M5315" s="50"/>
    </row>
    <row r="5316" spans="1:15" x14ac:dyDescent="0.15">
      <c r="A5316" s="70"/>
      <c r="B5316" s="118"/>
      <c r="C5316" s="121"/>
      <c r="D5316" s="121"/>
      <c r="E5316" s="121"/>
      <c r="F5316" s="121"/>
      <c r="G5316" s="121"/>
      <c r="H5316" s="93"/>
      <c r="I5316" s="85"/>
      <c r="J5316" s="122"/>
      <c r="K5316" s="131"/>
      <c r="L5316" s="69"/>
      <c r="M5316" s="50"/>
    </row>
    <row r="5317" spans="1:15" x14ac:dyDescent="0.15">
      <c r="A5317" s="70"/>
      <c r="B5317" s="118"/>
      <c r="C5317" s="121"/>
      <c r="D5317" s="121"/>
      <c r="E5317" s="121"/>
      <c r="F5317" s="121"/>
      <c r="G5317" s="121"/>
      <c r="H5317" s="93"/>
      <c r="I5317" s="85"/>
      <c r="J5317" s="122"/>
      <c r="K5317" s="131"/>
      <c r="L5317" s="69"/>
    </row>
    <row r="5318" spans="1:15" x14ac:dyDescent="0.15">
      <c r="A5318" s="70"/>
      <c r="B5318" s="118"/>
      <c r="C5318" s="121"/>
      <c r="D5318" s="121"/>
      <c r="E5318" s="121"/>
      <c r="F5318" s="121"/>
      <c r="G5318" s="121"/>
      <c r="H5318" s="93"/>
      <c r="I5318" s="85"/>
      <c r="J5318" s="122"/>
      <c r="K5318" s="131"/>
      <c r="L5318" s="69"/>
    </row>
    <row r="5319" spans="1:15" x14ac:dyDescent="0.15">
      <c r="A5319" s="70"/>
      <c r="B5319" s="118"/>
      <c r="C5319" s="121"/>
      <c r="D5319" s="121"/>
      <c r="E5319" s="121"/>
      <c r="F5319" s="121"/>
      <c r="G5319" s="121"/>
      <c r="H5319" s="93"/>
      <c r="I5319" s="85"/>
      <c r="J5319" s="122"/>
      <c r="K5319" s="131"/>
      <c r="L5319" s="69"/>
    </row>
    <row r="5320" spans="1:15" x14ac:dyDescent="0.15">
      <c r="A5320" s="70"/>
      <c r="B5320" s="118"/>
      <c r="C5320" s="121"/>
      <c r="D5320" s="121"/>
      <c r="E5320" s="121"/>
      <c r="F5320" s="121"/>
      <c r="G5320" s="121"/>
      <c r="H5320" s="93"/>
      <c r="I5320" s="85"/>
      <c r="J5320" s="122"/>
      <c r="K5320" s="131"/>
      <c r="L5320" s="69"/>
    </row>
    <row r="5321" spans="1:15" x14ac:dyDescent="0.15">
      <c r="A5321" s="73"/>
      <c r="B5321" s="118"/>
      <c r="C5321" s="121"/>
      <c r="D5321" s="121"/>
      <c r="E5321" s="121"/>
      <c r="F5321" s="121"/>
      <c r="G5321" s="121"/>
      <c r="H5321" s="93"/>
      <c r="I5321" s="85"/>
      <c r="J5321" s="122"/>
      <c r="K5321" s="131"/>
      <c r="L5321" s="69"/>
    </row>
    <row r="5322" spans="1:15" x14ac:dyDescent="0.15">
      <c r="A5322" s="70"/>
      <c r="B5322" s="118"/>
      <c r="C5322" s="121"/>
      <c r="D5322" s="121"/>
      <c r="E5322" s="121"/>
      <c r="F5322" s="121"/>
      <c r="G5322" s="121"/>
      <c r="H5322" s="93"/>
      <c r="I5322" s="85"/>
      <c r="J5322" s="122"/>
      <c r="K5322" s="131"/>
      <c r="L5322" s="69"/>
    </row>
    <row r="5323" spans="1:15" x14ac:dyDescent="0.15">
      <c r="A5323" s="70"/>
      <c r="B5323" s="118"/>
      <c r="C5323" s="121"/>
      <c r="D5323" s="121"/>
      <c r="E5323" s="121"/>
      <c r="F5323" s="121"/>
      <c r="G5323" s="121"/>
      <c r="H5323" s="93"/>
      <c r="I5323" s="85"/>
      <c r="J5323" s="122"/>
      <c r="K5323" s="131"/>
      <c r="L5323" s="69"/>
    </row>
    <row r="5324" spans="1:15" x14ac:dyDescent="0.15">
      <c r="A5324" s="70"/>
      <c r="B5324" s="118"/>
      <c r="C5324" s="121"/>
      <c r="D5324" s="121"/>
      <c r="E5324" s="121"/>
      <c r="F5324" s="121"/>
      <c r="G5324" s="121"/>
      <c r="H5324" s="93"/>
      <c r="I5324" s="85"/>
      <c r="J5324" s="122"/>
      <c r="K5324" s="131"/>
      <c r="L5324" s="69"/>
    </row>
    <row r="5325" spans="1:15" x14ac:dyDescent="0.15">
      <c r="A5325" s="70"/>
      <c r="B5325" s="118"/>
      <c r="C5325" s="121"/>
      <c r="D5325" s="121"/>
      <c r="E5325" s="121"/>
      <c r="F5325" s="121"/>
      <c r="G5325" s="121"/>
      <c r="H5325" s="93"/>
      <c r="I5325" s="85"/>
      <c r="J5325" s="122"/>
      <c r="K5325" s="131"/>
      <c r="L5325" s="69"/>
    </row>
    <row r="5326" spans="1:15" x14ac:dyDescent="0.15">
      <c r="A5326" s="70"/>
      <c r="B5326" s="118"/>
      <c r="C5326" s="121"/>
      <c r="D5326" s="121"/>
      <c r="E5326" s="121"/>
      <c r="F5326" s="121"/>
      <c r="G5326" s="121"/>
      <c r="H5326" s="93"/>
      <c r="I5326" s="85"/>
      <c r="J5326" s="122"/>
      <c r="K5326" s="131"/>
      <c r="L5326" s="69"/>
    </row>
    <row r="5327" spans="1:15" x14ac:dyDescent="0.15">
      <c r="A5327" s="70"/>
      <c r="B5327" s="118"/>
      <c r="C5327" s="121"/>
      <c r="D5327" s="121"/>
      <c r="E5327" s="121"/>
      <c r="F5327" s="121"/>
      <c r="G5327" s="121"/>
      <c r="H5327" s="93"/>
      <c r="I5327" s="85"/>
      <c r="J5327" s="122"/>
      <c r="K5327" s="131"/>
      <c r="L5327" s="69"/>
    </row>
    <row r="5328" spans="1:15" x14ac:dyDescent="0.15">
      <c r="A5328" s="70"/>
      <c r="B5328" s="118"/>
      <c r="C5328" s="121"/>
      <c r="D5328" s="121"/>
      <c r="E5328" s="121"/>
      <c r="F5328" s="121"/>
      <c r="G5328" s="121"/>
      <c r="H5328" s="93"/>
      <c r="I5328" s="85"/>
      <c r="J5328" s="122"/>
      <c r="K5328" s="131"/>
      <c r="L5328" s="69"/>
      <c r="M5328" s="50"/>
    </row>
    <row r="5329" spans="1:13" x14ac:dyDescent="0.15">
      <c r="A5329" s="70"/>
      <c r="B5329" s="118"/>
      <c r="C5329" s="121"/>
      <c r="D5329" s="121"/>
      <c r="E5329" s="121"/>
      <c r="F5329" s="121"/>
      <c r="G5329" s="121"/>
      <c r="H5329" s="93"/>
      <c r="I5329" s="85"/>
      <c r="J5329" s="122"/>
      <c r="K5329" s="131"/>
      <c r="L5329" s="69"/>
      <c r="M5329" s="50"/>
    </row>
    <row r="5330" spans="1:13" x14ac:dyDescent="0.15">
      <c r="A5330" s="70"/>
      <c r="B5330" s="118"/>
      <c r="C5330" s="121"/>
      <c r="D5330" s="121"/>
      <c r="E5330" s="121"/>
      <c r="F5330" s="121"/>
      <c r="G5330" s="121"/>
      <c r="H5330" s="93"/>
      <c r="I5330" s="85"/>
      <c r="J5330" s="122"/>
      <c r="K5330" s="131"/>
      <c r="L5330" s="69"/>
      <c r="M5330" s="50"/>
    </row>
    <row r="5331" spans="1:13" x14ac:dyDescent="0.15">
      <c r="A5331" s="70"/>
      <c r="B5331" s="118"/>
      <c r="C5331" s="121"/>
      <c r="D5331" s="121"/>
      <c r="E5331" s="121"/>
      <c r="F5331" s="121"/>
      <c r="G5331" s="121"/>
      <c r="H5331" s="93"/>
      <c r="I5331" s="85"/>
      <c r="J5331" s="122"/>
      <c r="K5331" s="131"/>
      <c r="L5331" s="69"/>
      <c r="M5331" s="50"/>
    </row>
    <row r="5332" spans="1:13" x14ac:dyDescent="0.15">
      <c r="A5332" s="70"/>
      <c r="B5332" s="118"/>
      <c r="C5332" s="121"/>
      <c r="D5332" s="121"/>
      <c r="E5332" s="121"/>
      <c r="F5332" s="121"/>
      <c r="G5332" s="121"/>
      <c r="H5332" s="93"/>
      <c r="I5332" s="85"/>
      <c r="J5332" s="122"/>
      <c r="K5332" s="131"/>
      <c r="L5332" s="69"/>
      <c r="M5332" s="50"/>
    </row>
    <row r="5333" spans="1:13" x14ac:dyDescent="0.15">
      <c r="A5333" s="70"/>
      <c r="B5333" s="118"/>
      <c r="C5333" s="121"/>
      <c r="D5333" s="121"/>
      <c r="E5333" s="121"/>
      <c r="F5333" s="121"/>
      <c r="G5333" s="121"/>
      <c r="H5333" s="93"/>
      <c r="I5333" s="85"/>
      <c r="J5333" s="122"/>
      <c r="K5333" s="131"/>
      <c r="L5333" s="69"/>
      <c r="M5333" s="50"/>
    </row>
    <row r="5334" spans="1:13" x14ac:dyDescent="0.15">
      <c r="A5334" s="70"/>
      <c r="B5334" s="118"/>
      <c r="C5334" s="121"/>
      <c r="D5334" s="121"/>
      <c r="E5334" s="121"/>
      <c r="F5334" s="121"/>
      <c r="G5334" s="121"/>
      <c r="H5334" s="93"/>
      <c r="I5334" s="85"/>
      <c r="J5334" s="122"/>
      <c r="K5334" s="131"/>
      <c r="L5334" s="69"/>
      <c r="M5334" s="50"/>
    </row>
    <row r="5335" spans="1:13" x14ac:dyDescent="0.15">
      <c r="A5335" s="70"/>
      <c r="B5335" s="118"/>
      <c r="C5335" s="121"/>
      <c r="D5335" s="121"/>
      <c r="E5335" s="121"/>
      <c r="F5335" s="121"/>
      <c r="G5335" s="121"/>
      <c r="H5335" s="93"/>
      <c r="I5335" s="85"/>
      <c r="J5335" s="122"/>
      <c r="K5335" s="131"/>
      <c r="L5335" s="69"/>
      <c r="M5335" s="50"/>
    </row>
    <row r="5336" spans="1:13" x14ac:dyDescent="0.15">
      <c r="A5336" s="70"/>
      <c r="B5336" s="118"/>
      <c r="C5336" s="121"/>
      <c r="D5336" s="121"/>
      <c r="E5336" s="121"/>
      <c r="F5336" s="121"/>
      <c r="G5336" s="121"/>
      <c r="H5336" s="93"/>
      <c r="I5336" s="85"/>
      <c r="J5336" s="122"/>
      <c r="K5336" s="131"/>
      <c r="L5336" s="69"/>
      <c r="M5336" s="50"/>
    </row>
    <row r="5337" spans="1:13" x14ac:dyDescent="0.15">
      <c r="A5337" s="70"/>
      <c r="B5337" s="118"/>
      <c r="C5337" s="121"/>
      <c r="D5337" s="121"/>
      <c r="E5337" s="121"/>
      <c r="F5337" s="121"/>
      <c r="G5337" s="121"/>
      <c r="H5337" s="93"/>
      <c r="I5337" s="85"/>
      <c r="J5337" s="122"/>
      <c r="K5337" s="131"/>
      <c r="L5337" s="69"/>
      <c r="M5337" s="50"/>
    </row>
    <row r="5338" spans="1:13" x14ac:dyDescent="0.15">
      <c r="A5338" s="70"/>
      <c r="B5338" s="118"/>
      <c r="C5338" s="121"/>
      <c r="D5338" s="121"/>
      <c r="E5338" s="121"/>
      <c r="F5338" s="121"/>
      <c r="G5338" s="121"/>
      <c r="H5338" s="93"/>
      <c r="I5338" s="85"/>
      <c r="J5338" s="122"/>
      <c r="K5338" s="131"/>
      <c r="L5338" s="69"/>
      <c r="M5338" s="50"/>
    </row>
    <row r="5339" spans="1:13" x14ac:dyDescent="0.15">
      <c r="A5339" s="73"/>
      <c r="B5339" s="118"/>
      <c r="C5339" s="121"/>
      <c r="D5339" s="121"/>
      <c r="E5339" s="121"/>
      <c r="F5339" s="121"/>
      <c r="G5339" s="121"/>
      <c r="H5339" s="93"/>
      <c r="I5339" s="85"/>
      <c r="J5339" s="122"/>
      <c r="K5339" s="131"/>
      <c r="L5339" s="69"/>
      <c r="M5339" s="50"/>
    </row>
    <row r="5340" spans="1:13" x14ac:dyDescent="0.15">
      <c r="A5340" s="70"/>
      <c r="B5340" s="118"/>
      <c r="C5340" s="121"/>
      <c r="D5340" s="121"/>
      <c r="E5340" s="121"/>
      <c r="F5340" s="121"/>
      <c r="G5340" s="121"/>
      <c r="H5340" s="93"/>
      <c r="I5340" s="85"/>
      <c r="J5340" s="122"/>
      <c r="K5340" s="134"/>
      <c r="L5340" s="69"/>
      <c r="M5340" s="50"/>
    </row>
    <row r="5341" spans="1:13" x14ac:dyDescent="0.15">
      <c r="A5341" s="70"/>
      <c r="B5341" s="118"/>
      <c r="C5341" s="121"/>
      <c r="D5341" s="121"/>
      <c r="E5341" s="121"/>
      <c r="F5341" s="121"/>
      <c r="G5341" s="121"/>
      <c r="H5341" s="93"/>
      <c r="I5341" s="85"/>
      <c r="J5341" s="122"/>
      <c r="K5341" s="131"/>
      <c r="L5341" s="60"/>
    </row>
    <row r="5342" spans="1:13" x14ac:dyDescent="0.15">
      <c r="A5342" s="70"/>
      <c r="B5342" s="118"/>
      <c r="C5342" s="121"/>
      <c r="D5342" s="121"/>
      <c r="E5342" s="121"/>
      <c r="F5342" s="121"/>
      <c r="G5342" s="121"/>
      <c r="H5342" s="93"/>
      <c r="I5342" s="85"/>
      <c r="J5342" s="122"/>
      <c r="K5342" s="131"/>
      <c r="L5342" s="60"/>
    </row>
    <row r="5343" spans="1:13" x14ac:dyDescent="0.15">
      <c r="A5343" s="70"/>
      <c r="B5343" s="118"/>
      <c r="C5343" s="121"/>
      <c r="D5343" s="121"/>
      <c r="E5343" s="121"/>
      <c r="F5343" s="121"/>
      <c r="G5343" s="121"/>
      <c r="H5343" s="93"/>
      <c r="I5343" s="85"/>
      <c r="J5343" s="122"/>
      <c r="K5343" s="131"/>
      <c r="L5343" s="60"/>
      <c r="M5343" s="50"/>
    </row>
    <row r="5344" spans="1:13" x14ac:dyDescent="0.15">
      <c r="A5344" s="70"/>
      <c r="B5344" s="118"/>
      <c r="C5344" s="121"/>
      <c r="D5344" s="121"/>
      <c r="E5344" s="121"/>
      <c r="F5344" s="121"/>
      <c r="G5344" s="121"/>
      <c r="H5344" s="93"/>
      <c r="I5344" s="85"/>
      <c r="J5344" s="122"/>
      <c r="K5344" s="131"/>
      <c r="L5344" s="60"/>
    </row>
    <row r="5345" spans="1:13" x14ac:dyDescent="0.15">
      <c r="A5345" s="70"/>
      <c r="B5345" s="118"/>
      <c r="C5345" s="121"/>
      <c r="D5345" s="121"/>
      <c r="E5345" s="121"/>
      <c r="F5345" s="121"/>
      <c r="G5345" s="121"/>
      <c r="H5345" s="93"/>
      <c r="I5345" s="85"/>
      <c r="J5345" s="122"/>
      <c r="K5345" s="131"/>
      <c r="L5345" s="60"/>
      <c r="M5345" s="50"/>
    </row>
    <row r="5346" spans="1:13" x14ac:dyDescent="0.15">
      <c r="A5346" s="70"/>
      <c r="B5346" s="118"/>
      <c r="C5346" s="121"/>
      <c r="D5346" s="121"/>
      <c r="E5346" s="121"/>
      <c r="F5346" s="121"/>
      <c r="G5346" s="121"/>
      <c r="H5346" s="93"/>
      <c r="I5346" s="85"/>
      <c r="J5346" s="122"/>
      <c r="K5346" s="131"/>
      <c r="L5346" s="60"/>
    </row>
    <row r="5347" spans="1:13" x14ac:dyDescent="0.15">
      <c r="A5347" s="70"/>
      <c r="B5347" s="118"/>
      <c r="C5347" s="121"/>
      <c r="D5347" s="121"/>
      <c r="E5347" s="121"/>
      <c r="F5347" s="121"/>
      <c r="G5347" s="121"/>
      <c r="H5347" s="93"/>
      <c r="I5347" s="85"/>
      <c r="J5347" s="122"/>
      <c r="K5347" s="131"/>
      <c r="L5347" s="60"/>
    </row>
    <row r="5348" spans="1:13" x14ac:dyDescent="0.15">
      <c r="A5348" s="70"/>
      <c r="B5348" s="118"/>
      <c r="C5348" s="121"/>
      <c r="D5348" s="121"/>
      <c r="E5348" s="121"/>
      <c r="F5348" s="121"/>
      <c r="G5348" s="121"/>
      <c r="H5348" s="93"/>
      <c r="I5348" s="85"/>
      <c r="J5348" s="122"/>
      <c r="K5348" s="131"/>
      <c r="L5348" s="63"/>
    </row>
    <row r="5349" spans="1:13" x14ac:dyDescent="0.15">
      <c r="A5349" s="70"/>
      <c r="B5349" s="118"/>
      <c r="C5349" s="121"/>
      <c r="D5349" s="121"/>
      <c r="E5349" s="121"/>
      <c r="F5349" s="121"/>
      <c r="G5349" s="121"/>
      <c r="H5349" s="93"/>
      <c r="I5349" s="85"/>
      <c r="J5349" s="122"/>
      <c r="K5349" s="131"/>
      <c r="L5349" s="60"/>
    </row>
    <row r="5350" spans="1:13" x14ac:dyDescent="0.15">
      <c r="A5350" s="73"/>
      <c r="B5350" s="118"/>
      <c r="C5350" s="121"/>
      <c r="D5350" s="121"/>
      <c r="E5350" s="121"/>
      <c r="F5350" s="121"/>
      <c r="G5350" s="121"/>
      <c r="H5350" s="93"/>
      <c r="I5350" s="85"/>
      <c r="J5350" s="122"/>
      <c r="K5350" s="131"/>
      <c r="L5350" s="69"/>
    </row>
    <row r="5351" spans="1:13" x14ac:dyDescent="0.15">
      <c r="A5351" s="70"/>
      <c r="B5351" s="118"/>
      <c r="C5351" s="121"/>
      <c r="D5351" s="121"/>
      <c r="E5351" s="121"/>
      <c r="F5351" s="121"/>
      <c r="G5351" s="121"/>
      <c r="H5351" s="93"/>
      <c r="I5351" s="85"/>
      <c r="J5351" s="85"/>
      <c r="K5351" s="131"/>
      <c r="L5351" s="69"/>
      <c r="M5351" s="50"/>
    </row>
    <row r="5352" spans="1:13" x14ac:dyDescent="0.15">
      <c r="A5352" s="70"/>
      <c r="B5352" s="118"/>
      <c r="C5352" s="121"/>
      <c r="D5352" s="121"/>
      <c r="E5352" s="121"/>
      <c r="F5352" s="121"/>
      <c r="G5352" s="121"/>
      <c r="H5352" s="93"/>
      <c r="I5352" s="85"/>
      <c r="J5352" s="122"/>
      <c r="K5352" s="131"/>
      <c r="L5352" s="72"/>
      <c r="M5352" s="50"/>
    </row>
    <row r="5353" spans="1:13" x14ac:dyDescent="0.15">
      <c r="A5353" s="70"/>
      <c r="B5353" s="118"/>
      <c r="C5353" s="121"/>
      <c r="D5353" s="121"/>
      <c r="E5353" s="121"/>
      <c r="F5353" s="121"/>
      <c r="G5353" s="121"/>
      <c r="H5353" s="93"/>
      <c r="I5353" s="85"/>
      <c r="J5353" s="122"/>
      <c r="K5353" s="131"/>
      <c r="L5353" s="60"/>
      <c r="M5353" s="50"/>
    </row>
    <row r="5354" spans="1:13" x14ac:dyDescent="0.15">
      <c r="A5354" s="70"/>
      <c r="B5354" s="118"/>
      <c r="C5354" s="121"/>
      <c r="D5354" s="121"/>
      <c r="E5354" s="121"/>
      <c r="F5354" s="121"/>
      <c r="G5354" s="121"/>
      <c r="H5354" s="93"/>
      <c r="I5354" s="85"/>
      <c r="J5354" s="122"/>
      <c r="K5354" s="131"/>
      <c r="L5354" s="69"/>
      <c r="M5354" s="50"/>
    </row>
    <row r="5355" spans="1:13" x14ac:dyDescent="0.15">
      <c r="A5355" s="70"/>
      <c r="B5355" s="118"/>
      <c r="C5355" s="121"/>
      <c r="D5355" s="121"/>
      <c r="E5355" s="121"/>
      <c r="F5355" s="121"/>
      <c r="G5355" s="121"/>
      <c r="H5355" s="93"/>
      <c r="I5355" s="85"/>
      <c r="J5355" s="122"/>
      <c r="K5355" s="131"/>
      <c r="L5355" s="69"/>
    </row>
    <row r="5356" spans="1:13" x14ac:dyDescent="0.15">
      <c r="A5356" s="70"/>
      <c r="B5356" s="118"/>
      <c r="C5356" s="121"/>
      <c r="D5356" s="121"/>
      <c r="E5356" s="121"/>
      <c r="F5356" s="121"/>
      <c r="G5356" s="121"/>
      <c r="H5356" s="93"/>
      <c r="I5356" s="85"/>
      <c r="J5356" s="122"/>
      <c r="K5356" s="131"/>
      <c r="L5356" s="69"/>
    </row>
    <row r="5357" spans="1:13" x14ac:dyDescent="0.15">
      <c r="A5357" s="70"/>
      <c r="B5357" s="118"/>
      <c r="C5357" s="121"/>
      <c r="D5357" s="121"/>
      <c r="E5357" s="121"/>
      <c r="F5357" s="121"/>
      <c r="G5357" s="121"/>
      <c r="H5357" s="93"/>
      <c r="I5357" s="85"/>
      <c r="J5357" s="122"/>
      <c r="K5357" s="131"/>
      <c r="L5357" s="60"/>
    </row>
    <row r="5358" spans="1:13" x14ac:dyDescent="0.15">
      <c r="A5358" s="70"/>
      <c r="B5358" s="118"/>
      <c r="C5358" s="121"/>
      <c r="D5358" s="121"/>
      <c r="E5358" s="121"/>
      <c r="F5358" s="121"/>
      <c r="G5358" s="121"/>
      <c r="H5358" s="93"/>
      <c r="I5358" s="85"/>
      <c r="J5358" s="122"/>
      <c r="K5358" s="131"/>
      <c r="L5358" s="69"/>
    </row>
    <row r="5359" spans="1:13" x14ac:dyDescent="0.15">
      <c r="A5359" s="70"/>
      <c r="B5359" s="118"/>
      <c r="C5359" s="121"/>
      <c r="D5359" s="121"/>
      <c r="E5359" s="121"/>
      <c r="F5359" s="121"/>
      <c r="G5359" s="121"/>
      <c r="H5359" s="93"/>
      <c r="I5359" s="85"/>
      <c r="J5359" s="122"/>
      <c r="K5359" s="131"/>
      <c r="L5359" s="69"/>
    </row>
    <row r="5360" spans="1:13" x14ac:dyDescent="0.15">
      <c r="A5360" s="70"/>
      <c r="B5360" s="118"/>
      <c r="C5360" s="121"/>
      <c r="D5360" s="121"/>
      <c r="E5360" s="121"/>
      <c r="F5360" s="121"/>
      <c r="G5360" s="121"/>
      <c r="H5360" s="93"/>
      <c r="I5360" s="85"/>
      <c r="J5360" s="122"/>
      <c r="K5360" s="131"/>
      <c r="L5360" s="60"/>
    </row>
    <row r="5361" spans="1:15" x14ac:dyDescent="0.15">
      <c r="A5361" s="73"/>
      <c r="B5361" s="118"/>
      <c r="C5361" s="121"/>
      <c r="D5361" s="121"/>
      <c r="E5361" s="121"/>
      <c r="F5361" s="121"/>
      <c r="G5361" s="121"/>
      <c r="H5361" s="93"/>
      <c r="I5361" s="85"/>
      <c r="J5361" s="122"/>
      <c r="K5361" s="131"/>
      <c r="L5361" s="60"/>
    </row>
    <row r="5362" spans="1:15" x14ac:dyDescent="0.15">
      <c r="A5362" s="70"/>
      <c r="B5362" s="118"/>
      <c r="C5362" s="121"/>
      <c r="D5362" s="121"/>
      <c r="E5362" s="121"/>
      <c r="F5362" s="121"/>
      <c r="G5362" s="121"/>
      <c r="H5362" s="93"/>
      <c r="I5362" s="85"/>
      <c r="J5362" s="122"/>
      <c r="K5362" s="131"/>
      <c r="L5362" s="60"/>
    </row>
    <row r="5363" spans="1:15" ht="16" x14ac:dyDescent="0.2">
      <c r="A5363" s="70"/>
      <c r="B5363" s="118"/>
      <c r="C5363" s="121"/>
      <c r="D5363" s="121"/>
      <c r="E5363" s="121"/>
      <c r="F5363" s="121"/>
      <c r="G5363" s="121"/>
      <c r="H5363" s="93"/>
      <c r="I5363" s="85"/>
      <c r="J5363" s="122"/>
      <c r="K5363" s="131"/>
      <c r="L5363" s="60"/>
      <c r="N5363" s="48"/>
    </row>
    <row r="5364" spans="1:15" x14ac:dyDescent="0.15">
      <c r="A5364" s="70"/>
      <c r="B5364" s="118"/>
      <c r="C5364" s="121"/>
      <c r="D5364" s="121"/>
      <c r="E5364" s="121"/>
      <c r="F5364" s="121"/>
      <c r="G5364" s="121"/>
      <c r="H5364" s="93"/>
      <c r="I5364" s="85"/>
      <c r="J5364" s="122"/>
      <c r="K5364" s="131"/>
      <c r="L5364" s="60"/>
    </row>
    <row r="5365" spans="1:15" x14ac:dyDescent="0.15">
      <c r="A5365" s="70"/>
      <c r="B5365" s="118"/>
      <c r="C5365" s="121"/>
      <c r="D5365" s="121"/>
      <c r="E5365" s="121"/>
      <c r="F5365" s="121"/>
      <c r="G5365" s="121"/>
      <c r="H5365" s="93"/>
      <c r="I5365" s="85"/>
      <c r="J5365" s="122"/>
      <c r="K5365" s="131"/>
      <c r="L5365" s="60"/>
      <c r="M5365" s="50"/>
    </row>
    <row r="5366" spans="1:15" x14ac:dyDescent="0.15">
      <c r="A5366" s="70"/>
      <c r="B5366" s="118"/>
      <c r="C5366" s="121"/>
      <c r="D5366" s="121"/>
      <c r="E5366" s="121"/>
      <c r="F5366" s="121"/>
      <c r="G5366" s="121"/>
      <c r="H5366" s="93"/>
      <c r="I5366" s="85"/>
      <c r="J5366" s="122"/>
      <c r="K5366" s="131"/>
      <c r="L5366" s="60"/>
    </row>
    <row r="5367" spans="1:15" x14ac:dyDescent="0.15">
      <c r="A5367" s="70"/>
      <c r="B5367" s="118"/>
      <c r="C5367" s="121"/>
      <c r="D5367" s="121"/>
      <c r="E5367" s="121"/>
      <c r="F5367" s="121"/>
      <c r="G5367" s="121"/>
      <c r="H5367" s="93"/>
      <c r="I5367" s="85"/>
      <c r="J5367" s="122"/>
      <c r="K5367" s="131"/>
      <c r="L5367" s="60"/>
    </row>
    <row r="5368" spans="1:15" x14ac:dyDescent="0.15">
      <c r="A5368" s="70"/>
      <c r="B5368" s="118"/>
      <c r="C5368" s="121"/>
      <c r="D5368" s="121"/>
      <c r="E5368" s="121"/>
      <c r="F5368" s="121"/>
      <c r="G5368" s="121"/>
      <c r="H5368" s="93"/>
      <c r="I5368" s="85"/>
      <c r="J5368" s="122"/>
      <c r="K5368" s="131"/>
      <c r="L5368" s="60"/>
    </row>
    <row r="5369" spans="1:15" x14ac:dyDescent="0.15">
      <c r="A5369" s="70"/>
      <c r="B5369" s="118"/>
      <c r="C5369" s="121"/>
      <c r="D5369" s="121"/>
      <c r="E5369" s="121"/>
      <c r="F5369" s="121"/>
      <c r="G5369" s="121"/>
      <c r="H5369" s="93"/>
      <c r="I5369" s="85"/>
      <c r="J5369" s="122"/>
      <c r="K5369" s="131"/>
      <c r="L5369" s="60"/>
      <c r="M5369" s="50"/>
      <c r="O5369" s="51"/>
    </row>
    <row r="5370" spans="1:15" ht="16" x14ac:dyDescent="0.2">
      <c r="A5370" s="70"/>
      <c r="B5370" s="118"/>
      <c r="C5370" s="121"/>
      <c r="D5370" s="121"/>
      <c r="E5370" s="121"/>
      <c r="F5370" s="121"/>
      <c r="G5370" s="121"/>
      <c r="H5370" s="93"/>
      <c r="I5370" s="85"/>
      <c r="J5370" s="122"/>
      <c r="K5370" s="131"/>
      <c r="L5370" s="60"/>
      <c r="M5370" s="50"/>
      <c r="N5370" s="48"/>
    </row>
    <row r="5371" spans="1:15" x14ac:dyDescent="0.15">
      <c r="A5371" s="70"/>
      <c r="B5371" s="118"/>
      <c r="C5371" s="121"/>
      <c r="D5371" s="121"/>
      <c r="E5371" s="121"/>
      <c r="F5371" s="121"/>
      <c r="G5371" s="121"/>
      <c r="H5371" s="93"/>
      <c r="I5371" s="85"/>
      <c r="J5371" s="122"/>
      <c r="K5371" s="131"/>
      <c r="L5371" s="60"/>
    </row>
    <row r="5372" spans="1:15" x14ac:dyDescent="0.15">
      <c r="A5372" s="70"/>
      <c r="B5372" s="118"/>
      <c r="C5372" s="121"/>
      <c r="D5372" s="121"/>
      <c r="E5372" s="121"/>
      <c r="F5372" s="121"/>
      <c r="G5372" s="121"/>
      <c r="H5372" s="93"/>
      <c r="I5372" s="85"/>
      <c r="J5372" s="122"/>
      <c r="K5372" s="131"/>
      <c r="L5372" s="60"/>
    </row>
    <row r="5373" spans="1:15" x14ac:dyDescent="0.15">
      <c r="A5373" s="70"/>
      <c r="B5373" s="118"/>
      <c r="C5373" s="121"/>
      <c r="D5373" s="121"/>
      <c r="E5373" s="121"/>
      <c r="F5373" s="121"/>
      <c r="G5373" s="121"/>
      <c r="H5373" s="93"/>
      <c r="I5373" s="85"/>
      <c r="J5373" s="122"/>
      <c r="K5373" s="131"/>
      <c r="L5373" s="60"/>
    </row>
    <row r="5374" spans="1:15" x14ac:dyDescent="0.15">
      <c r="A5374" s="70"/>
      <c r="B5374" s="118"/>
      <c r="C5374" s="121"/>
      <c r="D5374" s="121"/>
      <c r="E5374" s="121"/>
      <c r="F5374" s="121"/>
      <c r="G5374" s="121"/>
      <c r="H5374" s="93"/>
      <c r="I5374" s="85"/>
      <c r="J5374" s="122"/>
      <c r="K5374" s="131"/>
      <c r="L5374" s="60"/>
      <c r="M5374" s="50"/>
    </row>
    <row r="5375" spans="1:15" x14ac:dyDescent="0.15">
      <c r="A5375" s="70"/>
      <c r="B5375" s="118"/>
      <c r="C5375" s="121"/>
      <c r="D5375" s="121"/>
      <c r="E5375" s="121"/>
      <c r="F5375" s="121"/>
      <c r="G5375" s="121"/>
      <c r="H5375" s="93"/>
      <c r="I5375" s="85"/>
      <c r="J5375" s="122"/>
      <c r="K5375" s="131"/>
      <c r="L5375" s="60"/>
      <c r="M5375" s="50"/>
    </row>
    <row r="5376" spans="1:15" ht="16" x14ac:dyDescent="0.2">
      <c r="A5376" s="70"/>
      <c r="B5376" s="118"/>
      <c r="C5376" s="121"/>
      <c r="D5376" s="121"/>
      <c r="E5376" s="121"/>
      <c r="F5376" s="121"/>
      <c r="G5376" s="121"/>
      <c r="H5376" s="93"/>
      <c r="I5376" s="85"/>
      <c r="J5376" s="122"/>
      <c r="K5376" s="131"/>
      <c r="L5376" s="60"/>
      <c r="M5376" s="50"/>
      <c r="N5376" s="48"/>
    </row>
    <row r="5377" spans="1:14" x14ac:dyDescent="0.15">
      <c r="A5377" s="73"/>
      <c r="B5377" s="118"/>
      <c r="C5377" s="121"/>
      <c r="D5377" s="121"/>
      <c r="E5377" s="121"/>
      <c r="F5377" s="121"/>
      <c r="G5377" s="121"/>
      <c r="H5377" s="93"/>
      <c r="I5377" s="85"/>
      <c r="J5377" s="122"/>
      <c r="K5377" s="131"/>
      <c r="L5377" s="60"/>
      <c r="M5377" s="50"/>
    </row>
    <row r="5378" spans="1:14" ht="16" x14ac:dyDescent="0.2">
      <c r="A5378" s="70"/>
      <c r="B5378" s="118"/>
      <c r="C5378" s="121"/>
      <c r="D5378" s="121"/>
      <c r="E5378" s="121"/>
      <c r="F5378" s="121"/>
      <c r="G5378" s="121"/>
      <c r="H5378" s="93"/>
      <c r="I5378" s="85"/>
      <c r="J5378" s="122"/>
      <c r="K5378" s="131"/>
      <c r="L5378" s="60"/>
      <c r="N5378" s="48"/>
    </row>
    <row r="5379" spans="1:14" x14ac:dyDescent="0.15">
      <c r="A5379" s="70"/>
      <c r="B5379" s="118"/>
      <c r="C5379" s="121"/>
      <c r="D5379" s="121"/>
      <c r="E5379" s="121"/>
      <c r="F5379" s="121"/>
      <c r="G5379" s="121"/>
      <c r="H5379" s="93"/>
      <c r="I5379" s="85"/>
      <c r="J5379" s="122"/>
      <c r="K5379" s="131"/>
      <c r="L5379" s="60"/>
    </row>
    <row r="5380" spans="1:14" x14ac:dyDescent="0.15">
      <c r="A5380" s="70"/>
      <c r="B5380" s="118"/>
      <c r="C5380" s="121"/>
      <c r="D5380" s="121"/>
      <c r="E5380" s="121"/>
      <c r="F5380" s="121"/>
      <c r="G5380" s="121"/>
      <c r="H5380" s="93"/>
      <c r="I5380" s="85"/>
      <c r="J5380" s="122"/>
      <c r="K5380" s="131"/>
      <c r="L5380" s="60"/>
      <c r="M5380" s="50"/>
    </row>
    <row r="5381" spans="1:14" x14ac:dyDescent="0.15">
      <c r="A5381" s="73"/>
      <c r="B5381" s="118"/>
      <c r="C5381" s="121"/>
      <c r="D5381" s="121"/>
      <c r="E5381" s="121"/>
      <c r="F5381" s="121"/>
      <c r="G5381" s="121"/>
      <c r="H5381" s="93"/>
      <c r="I5381" s="85"/>
      <c r="J5381" s="122"/>
      <c r="K5381" s="131"/>
      <c r="L5381" s="60"/>
    </row>
    <row r="5382" spans="1:14" x14ac:dyDescent="0.15">
      <c r="A5382" s="70"/>
      <c r="B5382" s="118"/>
      <c r="C5382" s="121"/>
      <c r="D5382" s="121"/>
      <c r="E5382" s="121"/>
      <c r="F5382" s="121"/>
      <c r="G5382" s="121"/>
      <c r="H5382" s="93"/>
      <c r="I5382" s="85"/>
      <c r="J5382" s="122"/>
      <c r="K5382" s="131"/>
      <c r="L5382" s="60"/>
      <c r="M5382" s="50"/>
    </row>
    <row r="5383" spans="1:14" x14ac:dyDescent="0.15">
      <c r="A5383" s="70"/>
      <c r="B5383" s="118"/>
      <c r="C5383" s="121"/>
      <c r="D5383" s="121"/>
      <c r="E5383" s="121"/>
      <c r="F5383" s="121"/>
      <c r="G5383" s="121"/>
      <c r="H5383" s="93"/>
      <c r="I5383" s="85"/>
      <c r="J5383" s="122"/>
      <c r="K5383" s="131"/>
      <c r="L5383" s="60"/>
      <c r="M5383" s="50"/>
    </row>
    <row r="5384" spans="1:14" x14ac:dyDescent="0.15">
      <c r="A5384" s="70"/>
      <c r="B5384" s="118"/>
      <c r="C5384" s="121"/>
      <c r="D5384" s="121"/>
      <c r="E5384" s="121"/>
      <c r="F5384" s="121"/>
      <c r="G5384" s="121"/>
      <c r="H5384" s="93"/>
      <c r="I5384" s="85"/>
      <c r="J5384" s="122"/>
      <c r="K5384" s="131"/>
      <c r="L5384" s="60"/>
      <c r="M5384" s="50"/>
    </row>
    <row r="5385" spans="1:14" ht="16" x14ac:dyDescent="0.2">
      <c r="A5385" s="70"/>
      <c r="B5385" s="118"/>
      <c r="C5385" s="121"/>
      <c r="D5385" s="121"/>
      <c r="E5385" s="121"/>
      <c r="F5385" s="121"/>
      <c r="G5385" s="121"/>
      <c r="H5385" s="93"/>
      <c r="I5385" s="85"/>
      <c r="J5385" s="122"/>
      <c r="K5385" s="131"/>
      <c r="L5385" s="60"/>
      <c r="N5385" s="48"/>
    </row>
    <row r="5386" spans="1:14" x14ac:dyDescent="0.15">
      <c r="A5386" s="70"/>
      <c r="B5386" s="118"/>
      <c r="C5386" s="121"/>
      <c r="D5386" s="121"/>
      <c r="E5386" s="121"/>
      <c r="F5386" s="121"/>
      <c r="G5386" s="121"/>
      <c r="H5386" s="93"/>
      <c r="I5386" s="85"/>
      <c r="J5386" s="122"/>
      <c r="K5386" s="131"/>
      <c r="L5386" s="60"/>
      <c r="M5386" s="50"/>
    </row>
    <row r="5387" spans="1:14" x14ac:dyDescent="0.15">
      <c r="A5387" s="70"/>
      <c r="B5387" s="118"/>
      <c r="C5387" s="121"/>
      <c r="D5387" s="121"/>
      <c r="E5387" s="121"/>
      <c r="F5387" s="121"/>
      <c r="G5387" s="121"/>
      <c r="H5387" s="93"/>
      <c r="I5387" s="85"/>
      <c r="J5387" s="122"/>
      <c r="K5387" s="131"/>
      <c r="L5387" s="60"/>
      <c r="M5387" s="50"/>
    </row>
    <row r="5388" spans="1:14" x14ac:dyDescent="0.15">
      <c r="A5388" s="70"/>
      <c r="B5388" s="118"/>
      <c r="C5388" s="121"/>
      <c r="D5388" s="121"/>
      <c r="E5388" s="121"/>
      <c r="F5388" s="121"/>
      <c r="G5388" s="121"/>
      <c r="H5388" s="93"/>
      <c r="I5388" s="85"/>
      <c r="J5388" s="122"/>
      <c r="K5388" s="131"/>
      <c r="L5388" s="60"/>
      <c r="M5388" s="50"/>
    </row>
    <row r="5389" spans="1:14" x14ac:dyDescent="0.15">
      <c r="A5389" s="70"/>
      <c r="B5389" s="118"/>
      <c r="C5389" s="121"/>
      <c r="D5389" s="121"/>
      <c r="E5389" s="121"/>
      <c r="F5389" s="121"/>
      <c r="G5389" s="121"/>
      <c r="H5389" s="93"/>
      <c r="I5389" s="85"/>
      <c r="J5389" s="122"/>
      <c r="K5389" s="131"/>
      <c r="L5389" s="60"/>
    </row>
    <row r="5390" spans="1:14" x14ac:dyDescent="0.15">
      <c r="A5390" s="73"/>
      <c r="B5390" s="118"/>
      <c r="C5390" s="121"/>
      <c r="D5390" s="121"/>
      <c r="E5390" s="121"/>
      <c r="F5390" s="121"/>
      <c r="G5390" s="121"/>
      <c r="H5390" s="93"/>
      <c r="I5390" s="85"/>
      <c r="J5390" s="122"/>
      <c r="K5390" s="131"/>
      <c r="L5390" s="60"/>
    </row>
    <row r="5391" spans="1:14" x14ac:dyDescent="0.15">
      <c r="A5391" s="70"/>
      <c r="B5391" s="118"/>
      <c r="C5391" s="121"/>
      <c r="D5391" s="121"/>
      <c r="E5391" s="121"/>
      <c r="F5391" s="121"/>
      <c r="G5391" s="121"/>
      <c r="H5391" s="93"/>
      <c r="I5391" s="85"/>
      <c r="J5391" s="122"/>
      <c r="K5391" s="131"/>
      <c r="L5391" s="60"/>
      <c r="M5391" s="50"/>
    </row>
    <row r="5392" spans="1:14" x14ac:dyDescent="0.15">
      <c r="A5392" s="70"/>
      <c r="B5392" s="118"/>
      <c r="C5392" s="121"/>
      <c r="D5392" s="121"/>
      <c r="E5392" s="121"/>
      <c r="F5392" s="121"/>
      <c r="G5392" s="121"/>
      <c r="H5392" s="93"/>
      <c r="I5392" s="85"/>
      <c r="J5392" s="122"/>
      <c r="K5392" s="131"/>
      <c r="L5392" s="60"/>
      <c r="M5392" s="50"/>
    </row>
    <row r="5393" spans="1:14" x14ac:dyDescent="0.15">
      <c r="A5393" s="70"/>
      <c r="B5393" s="118"/>
      <c r="C5393" s="121"/>
      <c r="D5393" s="121"/>
      <c r="E5393" s="121"/>
      <c r="F5393" s="121"/>
      <c r="G5393" s="121"/>
      <c r="H5393" s="93"/>
      <c r="I5393" s="85"/>
      <c r="J5393" s="122"/>
      <c r="K5393" s="131"/>
      <c r="L5393" s="60"/>
      <c r="M5393" s="50"/>
    </row>
    <row r="5394" spans="1:14" x14ac:dyDescent="0.15">
      <c r="A5394" s="73"/>
      <c r="B5394" s="118"/>
      <c r="C5394" s="121"/>
      <c r="D5394" s="121"/>
      <c r="E5394" s="121"/>
      <c r="F5394" s="121"/>
      <c r="G5394" s="121"/>
      <c r="H5394" s="93"/>
      <c r="I5394" s="85"/>
      <c r="J5394" s="122"/>
      <c r="K5394" s="131"/>
      <c r="L5394" s="60"/>
      <c r="M5394" s="50"/>
    </row>
    <row r="5395" spans="1:14" x14ac:dyDescent="0.15">
      <c r="A5395" s="70"/>
      <c r="B5395" s="118"/>
      <c r="C5395" s="121"/>
      <c r="D5395" s="121"/>
      <c r="E5395" s="121"/>
      <c r="F5395" s="121"/>
      <c r="G5395" s="121"/>
      <c r="H5395" s="93"/>
      <c r="I5395" s="85"/>
      <c r="J5395" s="122"/>
      <c r="K5395" s="131"/>
      <c r="L5395" s="60"/>
      <c r="M5395" s="50"/>
    </row>
    <row r="5396" spans="1:14" x14ac:dyDescent="0.15">
      <c r="A5396" s="73"/>
      <c r="B5396" s="118"/>
      <c r="C5396" s="121"/>
      <c r="D5396" s="121"/>
      <c r="E5396" s="121"/>
      <c r="F5396" s="121"/>
      <c r="G5396" s="121"/>
      <c r="H5396" s="93"/>
      <c r="I5396" s="85"/>
      <c r="J5396" s="122"/>
      <c r="K5396" s="131"/>
      <c r="L5396" s="60"/>
    </row>
    <row r="5397" spans="1:14" x14ac:dyDescent="0.15">
      <c r="A5397" s="70"/>
      <c r="B5397" s="118"/>
      <c r="C5397" s="121"/>
      <c r="D5397" s="121"/>
      <c r="E5397" s="121"/>
      <c r="F5397" s="121"/>
      <c r="G5397" s="121"/>
      <c r="H5397" s="93"/>
      <c r="I5397" s="85"/>
      <c r="J5397" s="122"/>
      <c r="K5397" s="131"/>
      <c r="L5397" s="60"/>
    </row>
    <row r="5398" spans="1:14" x14ac:dyDescent="0.15">
      <c r="A5398" s="70"/>
      <c r="B5398" s="118"/>
      <c r="C5398" s="121"/>
      <c r="D5398" s="121"/>
      <c r="E5398" s="121"/>
      <c r="F5398" s="121"/>
      <c r="G5398" s="121"/>
      <c r="H5398" s="93"/>
      <c r="I5398" s="85"/>
      <c r="J5398" s="122"/>
      <c r="K5398" s="131"/>
      <c r="L5398" s="60"/>
    </row>
    <row r="5399" spans="1:14" x14ac:dyDescent="0.15">
      <c r="A5399" s="70"/>
      <c r="B5399" s="118"/>
      <c r="C5399" s="121"/>
      <c r="D5399" s="121"/>
      <c r="E5399" s="121"/>
      <c r="F5399" s="121"/>
      <c r="G5399" s="121"/>
      <c r="H5399" s="93"/>
      <c r="I5399" s="85"/>
      <c r="J5399" s="122"/>
      <c r="K5399" s="131"/>
      <c r="L5399" s="60"/>
      <c r="M5399" s="50"/>
    </row>
    <row r="5400" spans="1:14" x14ac:dyDescent="0.15">
      <c r="A5400" s="70"/>
      <c r="B5400" s="118"/>
      <c r="C5400" s="121"/>
      <c r="D5400" s="121"/>
      <c r="E5400" s="121"/>
      <c r="F5400" s="121"/>
      <c r="G5400" s="121"/>
      <c r="H5400" s="93"/>
      <c r="I5400" s="85"/>
      <c r="J5400" s="122"/>
      <c r="K5400" s="131"/>
      <c r="L5400" s="60"/>
    </row>
    <row r="5401" spans="1:14" x14ac:dyDescent="0.15">
      <c r="A5401" s="70"/>
      <c r="B5401" s="118"/>
      <c r="C5401" s="121"/>
      <c r="D5401" s="121"/>
      <c r="E5401" s="121"/>
      <c r="F5401" s="121"/>
      <c r="G5401" s="121"/>
      <c r="H5401" s="93"/>
      <c r="I5401" s="85"/>
      <c r="J5401" s="122"/>
      <c r="K5401" s="131"/>
      <c r="L5401" s="60"/>
      <c r="M5401" s="50"/>
    </row>
    <row r="5402" spans="1:14" ht="16" x14ac:dyDescent="0.2">
      <c r="A5402" s="70"/>
      <c r="B5402" s="118"/>
      <c r="C5402" s="121"/>
      <c r="D5402" s="121"/>
      <c r="E5402" s="121"/>
      <c r="F5402" s="121"/>
      <c r="G5402" s="121"/>
      <c r="H5402" s="93"/>
      <c r="I5402" s="85"/>
      <c r="J5402" s="122"/>
      <c r="K5402" s="131"/>
      <c r="L5402" s="60"/>
      <c r="N5402" s="48"/>
    </row>
    <row r="5403" spans="1:14" x14ac:dyDescent="0.15">
      <c r="A5403" s="70"/>
      <c r="B5403" s="118"/>
      <c r="C5403" s="121"/>
      <c r="D5403" s="121"/>
      <c r="E5403" s="121"/>
      <c r="F5403" s="121"/>
      <c r="G5403" s="121"/>
      <c r="H5403" s="93"/>
      <c r="I5403" s="85"/>
      <c r="J5403" s="85"/>
      <c r="K5403" s="131"/>
      <c r="L5403" s="60"/>
      <c r="M5403" s="50"/>
    </row>
    <row r="5404" spans="1:14" x14ac:dyDescent="0.15">
      <c r="A5404" s="70"/>
      <c r="B5404" s="118"/>
      <c r="C5404" s="121"/>
      <c r="D5404" s="121"/>
      <c r="E5404" s="121"/>
      <c r="F5404" s="121"/>
      <c r="G5404" s="121"/>
      <c r="H5404" s="93"/>
      <c r="I5404" s="85"/>
      <c r="J5404" s="122"/>
      <c r="K5404" s="131"/>
      <c r="L5404" s="60"/>
      <c r="M5404" s="50"/>
    </row>
    <row r="5405" spans="1:14" x14ac:dyDescent="0.15">
      <c r="A5405" s="70"/>
      <c r="B5405" s="118"/>
      <c r="C5405" s="121"/>
      <c r="D5405" s="121"/>
      <c r="E5405" s="121"/>
      <c r="F5405" s="121"/>
      <c r="G5405" s="121"/>
      <c r="H5405" s="93"/>
      <c r="I5405" s="85"/>
      <c r="J5405" s="122"/>
      <c r="K5405" s="131"/>
      <c r="L5405" s="60"/>
    </row>
    <row r="5406" spans="1:14" x14ac:dyDescent="0.15">
      <c r="A5406" s="70"/>
      <c r="B5406" s="118"/>
      <c r="C5406" s="121"/>
      <c r="D5406" s="121"/>
      <c r="E5406" s="121"/>
      <c r="F5406" s="121"/>
      <c r="G5406" s="121"/>
      <c r="H5406" s="93"/>
      <c r="I5406" s="85"/>
      <c r="J5406" s="122"/>
      <c r="K5406" s="131"/>
      <c r="L5406" s="60"/>
    </row>
    <row r="5407" spans="1:14" x14ac:dyDescent="0.15">
      <c r="A5407" s="70"/>
      <c r="B5407" s="118"/>
      <c r="C5407" s="121"/>
      <c r="D5407" s="121"/>
      <c r="E5407" s="121"/>
      <c r="F5407" s="121"/>
      <c r="G5407" s="121"/>
      <c r="H5407" s="93"/>
      <c r="I5407" s="85"/>
      <c r="J5407" s="122"/>
      <c r="K5407" s="131"/>
      <c r="L5407" s="60"/>
    </row>
    <row r="5408" spans="1:14" x14ac:dyDescent="0.15">
      <c r="A5408" s="70"/>
      <c r="B5408" s="118"/>
      <c r="C5408" s="121"/>
      <c r="D5408" s="121"/>
      <c r="E5408" s="121"/>
      <c r="F5408" s="121"/>
      <c r="G5408" s="121"/>
      <c r="H5408" s="93"/>
      <c r="I5408" s="85"/>
      <c r="J5408" s="122"/>
      <c r="K5408" s="131"/>
      <c r="L5408" s="60"/>
    </row>
    <row r="5409" spans="1:14" x14ac:dyDescent="0.15">
      <c r="A5409" s="70"/>
      <c r="B5409" s="118"/>
      <c r="C5409" s="121"/>
      <c r="D5409" s="121"/>
      <c r="E5409" s="121"/>
      <c r="F5409" s="121"/>
      <c r="G5409" s="121"/>
      <c r="H5409" s="93"/>
      <c r="I5409" s="85"/>
      <c r="J5409" s="122"/>
      <c r="K5409" s="131"/>
      <c r="L5409" s="60"/>
    </row>
    <row r="5410" spans="1:14" x14ac:dyDescent="0.15">
      <c r="A5410" s="70"/>
      <c r="B5410" s="118"/>
      <c r="C5410" s="121"/>
      <c r="D5410" s="121"/>
      <c r="E5410" s="121"/>
      <c r="F5410" s="121"/>
      <c r="G5410" s="121"/>
      <c r="H5410" s="93"/>
      <c r="I5410" s="85"/>
      <c r="J5410" s="122"/>
      <c r="K5410" s="131"/>
      <c r="L5410" s="60"/>
    </row>
    <row r="5411" spans="1:14" x14ac:dyDescent="0.15">
      <c r="A5411" s="70"/>
      <c r="B5411" s="118"/>
      <c r="C5411" s="121"/>
      <c r="D5411" s="121"/>
      <c r="E5411" s="121"/>
      <c r="F5411" s="121"/>
      <c r="G5411" s="121"/>
      <c r="H5411" s="93"/>
      <c r="I5411" s="85"/>
      <c r="J5411" s="122"/>
      <c r="K5411" s="131"/>
      <c r="L5411" s="60"/>
    </row>
    <row r="5412" spans="1:14" x14ac:dyDescent="0.15">
      <c r="A5412" s="70"/>
      <c r="B5412" s="118"/>
      <c r="C5412" s="121"/>
      <c r="D5412" s="121"/>
      <c r="E5412" s="121"/>
      <c r="F5412" s="121"/>
      <c r="G5412" s="121"/>
      <c r="H5412" s="93"/>
      <c r="I5412" s="85"/>
      <c r="J5412" s="122"/>
      <c r="K5412" s="131"/>
      <c r="L5412" s="60"/>
    </row>
    <row r="5413" spans="1:14" x14ac:dyDescent="0.15">
      <c r="A5413" s="70"/>
      <c r="B5413" s="118"/>
      <c r="C5413" s="121"/>
      <c r="D5413" s="121"/>
      <c r="E5413" s="121"/>
      <c r="F5413" s="121"/>
      <c r="G5413" s="121"/>
      <c r="H5413" s="93"/>
      <c r="I5413" s="85"/>
      <c r="J5413" s="122"/>
      <c r="K5413" s="131"/>
      <c r="L5413" s="60"/>
    </row>
    <row r="5414" spans="1:14" x14ac:dyDescent="0.15">
      <c r="A5414" s="70"/>
      <c r="B5414" s="118"/>
      <c r="C5414" s="121"/>
      <c r="D5414" s="121"/>
      <c r="E5414" s="121"/>
      <c r="F5414" s="121"/>
      <c r="G5414" s="121"/>
      <c r="H5414" s="93"/>
      <c r="I5414" s="85"/>
      <c r="J5414" s="122"/>
      <c r="K5414" s="131"/>
      <c r="L5414" s="60"/>
    </row>
    <row r="5415" spans="1:14" x14ac:dyDescent="0.15">
      <c r="A5415" s="70"/>
      <c r="B5415" s="118"/>
      <c r="C5415" s="121"/>
      <c r="D5415" s="121"/>
      <c r="E5415" s="121"/>
      <c r="F5415" s="121"/>
      <c r="G5415" s="121"/>
      <c r="H5415" s="93"/>
      <c r="I5415" s="85"/>
      <c r="J5415" s="122"/>
      <c r="K5415" s="131"/>
      <c r="L5415" s="60"/>
    </row>
    <row r="5416" spans="1:14" x14ac:dyDescent="0.15">
      <c r="A5416" s="70"/>
      <c r="B5416" s="118"/>
      <c r="C5416" s="121"/>
      <c r="D5416" s="121"/>
      <c r="E5416" s="121"/>
      <c r="F5416" s="121"/>
      <c r="G5416" s="121"/>
      <c r="H5416" s="93"/>
      <c r="I5416" s="85"/>
      <c r="J5416" s="122"/>
      <c r="K5416" s="131"/>
      <c r="L5416" s="60"/>
    </row>
    <row r="5417" spans="1:14" x14ac:dyDescent="0.15">
      <c r="A5417" s="70"/>
      <c r="B5417" s="118"/>
      <c r="C5417" s="121"/>
      <c r="D5417" s="121"/>
      <c r="E5417" s="121"/>
      <c r="F5417" s="121"/>
      <c r="G5417" s="121"/>
      <c r="H5417" s="93"/>
      <c r="I5417" s="85"/>
      <c r="J5417" s="122"/>
      <c r="K5417" s="131"/>
      <c r="L5417" s="60"/>
      <c r="M5417" s="33"/>
    </row>
    <row r="5418" spans="1:14" ht="16" x14ac:dyDescent="0.2">
      <c r="A5418" s="70"/>
      <c r="B5418" s="118"/>
      <c r="C5418" s="121"/>
      <c r="D5418" s="121"/>
      <c r="E5418" s="121"/>
      <c r="F5418" s="121"/>
      <c r="G5418" s="121"/>
      <c r="H5418" s="93"/>
      <c r="I5418" s="85"/>
      <c r="J5418" s="122"/>
      <c r="K5418" s="131"/>
      <c r="L5418" s="60"/>
      <c r="N5418" s="48"/>
    </row>
    <row r="5419" spans="1:14" x14ac:dyDescent="0.15">
      <c r="A5419" s="70"/>
      <c r="B5419" s="118"/>
      <c r="C5419" s="121"/>
      <c r="D5419" s="121"/>
      <c r="E5419" s="121"/>
      <c r="F5419" s="121"/>
      <c r="G5419" s="121"/>
      <c r="H5419" s="93"/>
      <c r="I5419" s="85"/>
      <c r="J5419" s="122"/>
      <c r="K5419" s="131"/>
      <c r="L5419" s="60"/>
    </row>
    <row r="5420" spans="1:14" x14ac:dyDescent="0.15">
      <c r="A5420" s="70"/>
      <c r="B5420" s="118"/>
      <c r="C5420" s="121"/>
      <c r="D5420" s="121"/>
      <c r="E5420" s="121"/>
      <c r="F5420" s="121"/>
      <c r="G5420" s="121"/>
      <c r="H5420" s="93"/>
      <c r="I5420" s="85"/>
      <c r="J5420" s="122"/>
      <c r="K5420" s="131"/>
      <c r="L5420" s="60"/>
    </row>
    <row r="5421" spans="1:14" x14ac:dyDescent="0.15">
      <c r="A5421" s="73"/>
      <c r="B5421" s="118"/>
      <c r="C5421" s="121"/>
      <c r="D5421" s="121"/>
      <c r="E5421" s="121"/>
      <c r="F5421" s="121"/>
      <c r="G5421" s="121"/>
      <c r="H5421" s="93"/>
      <c r="I5421" s="85"/>
      <c r="J5421" s="122"/>
      <c r="K5421" s="131"/>
      <c r="L5421" s="60"/>
    </row>
    <row r="5422" spans="1:14" ht="16" x14ac:dyDescent="0.2">
      <c r="A5422" s="73"/>
      <c r="B5422" s="118"/>
      <c r="C5422" s="121"/>
      <c r="D5422" s="121"/>
      <c r="E5422" s="121"/>
      <c r="F5422" s="121"/>
      <c r="G5422" s="121"/>
      <c r="H5422" s="93"/>
      <c r="I5422" s="85"/>
      <c r="J5422" s="122"/>
      <c r="K5422" s="131"/>
      <c r="L5422" s="60"/>
      <c r="N5422" s="48"/>
    </row>
    <row r="5423" spans="1:14" x14ac:dyDescent="0.15">
      <c r="A5423" s="70"/>
      <c r="B5423" s="118"/>
      <c r="C5423" s="121"/>
      <c r="D5423" s="121"/>
      <c r="E5423" s="121"/>
      <c r="F5423" s="121"/>
      <c r="G5423" s="121"/>
      <c r="H5423" s="93"/>
      <c r="I5423" s="85"/>
      <c r="J5423" s="122"/>
      <c r="K5423" s="131"/>
      <c r="L5423" s="60"/>
    </row>
    <row r="5424" spans="1:14" x14ac:dyDescent="0.15">
      <c r="A5424" s="70"/>
      <c r="B5424" s="118"/>
      <c r="C5424" s="121"/>
      <c r="D5424" s="121"/>
      <c r="E5424" s="121"/>
      <c r="F5424" s="121"/>
      <c r="G5424" s="121"/>
      <c r="H5424" s="93"/>
      <c r="I5424" s="85"/>
      <c r="J5424" s="122"/>
      <c r="K5424" s="131"/>
      <c r="L5424" s="60"/>
    </row>
    <row r="5425" spans="1:15" x14ac:dyDescent="0.15">
      <c r="A5425" s="70"/>
      <c r="B5425" s="118"/>
      <c r="C5425" s="121"/>
      <c r="D5425" s="121"/>
      <c r="E5425" s="121"/>
      <c r="F5425" s="121"/>
      <c r="G5425" s="121"/>
      <c r="H5425" s="93"/>
      <c r="I5425" s="85"/>
      <c r="J5425" s="122"/>
      <c r="K5425" s="131"/>
      <c r="L5425" s="60"/>
    </row>
    <row r="5426" spans="1:15" x14ac:dyDescent="0.15">
      <c r="A5426" s="70"/>
      <c r="B5426" s="118"/>
      <c r="C5426" s="121"/>
      <c r="D5426" s="121"/>
      <c r="E5426" s="121"/>
      <c r="F5426" s="121"/>
      <c r="G5426" s="121"/>
      <c r="H5426" s="93"/>
      <c r="I5426" s="85"/>
      <c r="J5426" s="122"/>
      <c r="K5426" s="131"/>
      <c r="L5426" s="60"/>
    </row>
    <row r="5427" spans="1:15" x14ac:dyDescent="0.15">
      <c r="A5427" s="70"/>
      <c r="B5427" s="118"/>
      <c r="C5427" s="121"/>
      <c r="D5427" s="121"/>
      <c r="E5427" s="121"/>
      <c r="F5427" s="121"/>
      <c r="G5427" s="121"/>
      <c r="H5427" s="93"/>
      <c r="I5427" s="85"/>
      <c r="J5427" s="122"/>
      <c r="K5427" s="131"/>
      <c r="L5427" s="60"/>
    </row>
    <row r="5428" spans="1:15" x14ac:dyDescent="0.15">
      <c r="A5428" s="70"/>
      <c r="B5428" s="118"/>
      <c r="C5428" s="121"/>
      <c r="D5428" s="121"/>
      <c r="E5428" s="121"/>
      <c r="F5428" s="121"/>
      <c r="G5428" s="121"/>
      <c r="H5428" s="93"/>
      <c r="I5428" s="85"/>
      <c r="J5428" s="122"/>
      <c r="K5428" s="131"/>
      <c r="L5428" s="60"/>
    </row>
    <row r="5429" spans="1:15" x14ac:dyDescent="0.15">
      <c r="A5429" s="70"/>
      <c r="B5429" s="118"/>
      <c r="C5429" s="121"/>
      <c r="D5429" s="121"/>
      <c r="E5429" s="121"/>
      <c r="F5429" s="121"/>
      <c r="G5429" s="121"/>
      <c r="H5429" s="93"/>
      <c r="I5429" s="85"/>
      <c r="J5429" s="122"/>
      <c r="K5429" s="131"/>
      <c r="L5429" s="60"/>
    </row>
    <row r="5430" spans="1:15" x14ac:dyDescent="0.15">
      <c r="A5430" s="70"/>
      <c r="B5430" s="118"/>
      <c r="C5430" s="121"/>
      <c r="D5430" s="121"/>
      <c r="E5430" s="121"/>
      <c r="F5430" s="121"/>
      <c r="G5430" s="121"/>
      <c r="H5430" s="93"/>
      <c r="I5430" s="85"/>
      <c r="J5430" s="122"/>
      <c r="K5430" s="131"/>
      <c r="L5430" s="60"/>
    </row>
    <row r="5431" spans="1:15" x14ac:dyDescent="0.15">
      <c r="A5431" s="70"/>
      <c r="B5431" s="118"/>
      <c r="C5431" s="121"/>
      <c r="D5431" s="121"/>
      <c r="E5431" s="121"/>
      <c r="F5431" s="121"/>
      <c r="G5431" s="121"/>
      <c r="H5431" s="93"/>
      <c r="I5431" s="85"/>
      <c r="J5431" s="122"/>
      <c r="K5431" s="131"/>
      <c r="L5431" s="60"/>
    </row>
    <row r="5432" spans="1:15" x14ac:dyDescent="0.15">
      <c r="A5432" s="70"/>
      <c r="B5432" s="118"/>
      <c r="C5432" s="121"/>
      <c r="D5432" s="121"/>
      <c r="E5432" s="121"/>
      <c r="F5432" s="121"/>
      <c r="G5432" s="121"/>
      <c r="H5432" s="93"/>
      <c r="I5432" s="85"/>
      <c r="J5432" s="122"/>
      <c r="K5432" s="131"/>
      <c r="L5432" s="60"/>
    </row>
    <row r="5433" spans="1:15" x14ac:dyDescent="0.15">
      <c r="A5433" s="70"/>
      <c r="B5433" s="118"/>
      <c r="C5433" s="121"/>
      <c r="D5433" s="121"/>
      <c r="E5433" s="121"/>
      <c r="F5433" s="121"/>
      <c r="G5433" s="121"/>
      <c r="H5433" s="93"/>
      <c r="I5433" s="85"/>
      <c r="J5433" s="122"/>
      <c r="K5433" s="131"/>
      <c r="L5433" s="60"/>
    </row>
    <row r="5434" spans="1:15" x14ac:dyDescent="0.15">
      <c r="A5434" s="73"/>
      <c r="B5434" s="118"/>
      <c r="C5434" s="121"/>
      <c r="D5434" s="121"/>
      <c r="E5434" s="121"/>
      <c r="F5434" s="121"/>
      <c r="G5434" s="121"/>
      <c r="H5434" s="93"/>
      <c r="I5434" s="85"/>
      <c r="J5434" s="122"/>
      <c r="K5434" s="131"/>
      <c r="L5434" s="60"/>
    </row>
    <row r="5435" spans="1:15" x14ac:dyDescent="0.15">
      <c r="A5435" s="70"/>
      <c r="B5435" s="118"/>
      <c r="C5435" s="121"/>
      <c r="D5435" s="121"/>
      <c r="E5435" s="121"/>
      <c r="F5435" s="121"/>
      <c r="G5435" s="121"/>
      <c r="H5435" s="93"/>
      <c r="I5435" s="85"/>
      <c r="J5435" s="122"/>
      <c r="K5435" s="131"/>
      <c r="L5435" s="60"/>
    </row>
    <row r="5436" spans="1:15" x14ac:dyDescent="0.15">
      <c r="A5436" s="70"/>
      <c r="B5436" s="118"/>
      <c r="C5436" s="121"/>
      <c r="D5436" s="121"/>
      <c r="E5436" s="121"/>
      <c r="F5436" s="121"/>
      <c r="G5436" s="121"/>
      <c r="H5436" s="93"/>
      <c r="I5436" s="85"/>
      <c r="J5436" s="122"/>
      <c r="K5436" s="131"/>
      <c r="L5436" s="60"/>
    </row>
    <row r="5437" spans="1:15" x14ac:dyDescent="0.15">
      <c r="A5437" s="70"/>
      <c r="B5437" s="118"/>
      <c r="C5437" s="121"/>
      <c r="D5437" s="121"/>
      <c r="E5437" s="121"/>
      <c r="F5437" s="121"/>
      <c r="G5437" s="121"/>
      <c r="H5437" s="108"/>
      <c r="I5437" s="85"/>
      <c r="J5437" s="122"/>
      <c r="K5437" s="131"/>
      <c r="L5437" s="60"/>
    </row>
    <row r="5438" spans="1:15" x14ac:dyDescent="0.15">
      <c r="A5438" s="70"/>
      <c r="B5438" s="118"/>
      <c r="C5438" s="121"/>
      <c r="D5438" s="121"/>
      <c r="E5438" s="121"/>
      <c r="F5438" s="121"/>
      <c r="G5438" s="121"/>
      <c r="H5438" s="93"/>
      <c r="I5438" s="85"/>
      <c r="J5438" s="85"/>
      <c r="K5438" s="131"/>
      <c r="L5438" s="63"/>
      <c r="O5438" s="51"/>
    </row>
    <row r="5439" spans="1:15" x14ac:dyDescent="0.15">
      <c r="A5439" s="70"/>
      <c r="B5439" s="118"/>
      <c r="C5439" s="121"/>
      <c r="D5439" s="121"/>
      <c r="E5439" s="121"/>
      <c r="F5439" s="121"/>
      <c r="G5439" s="121"/>
      <c r="H5439" s="93"/>
      <c r="I5439" s="85"/>
      <c r="J5439" s="122"/>
      <c r="K5439" s="131"/>
      <c r="L5439" s="60"/>
    </row>
    <row r="5440" spans="1:15" x14ac:dyDescent="0.15">
      <c r="A5440" s="70"/>
      <c r="B5440" s="118"/>
      <c r="C5440" s="121"/>
      <c r="D5440" s="121"/>
      <c r="E5440" s="121"/>
      <c r="F5440" s="121"/>
      <c r="G5440" s="121"/>
      <c r="H5440" s="93"/>
      <c r="I5440" s="85"/>
      <c r="J5440" s="122"/>
      <c r="K5440" s="131"/>
      <c r="L5440" s="60"/>
    </row>
    <row r="5441" spans="1:14" x14ac:dyDescent="0.15">
      <c r="A5441" s="70"/>
      <c r="B5441" s="118"/>
      <c r="C5441" s="121"/>
      <c r="D5441" s="121"/>
      <c r="E5441" s="121"/>
      <c r="F5441" s="121"/>
      <c r="G5441" s="121"/>
      <c r="H5441" s="93"/>
      <c r="I5441" s="85"/>
      <c r="J5441" s="122"/>
      <c r="K5441" s="131"/>
      <c r="L5441" s="60"/>
    </row>
    <row r="5442" spans="1:14" x14ac:dyDescent="0.15">
      <c r="A5442" s="70"/>
      <c r="B5442" s="118"/>
      <c r="C5442" s="121"/>
      <c r="D5442" s="121"/>
      <c r="E5442" s="121"/>
      <c r="F5442" s="121"/>
      <c r="G5442" s="121"/>
      <c r="H5442" s="108"/>
      <c r="I5442" s="85"/>
      <c r="J5442" s="122"/>
      <c r="K5442" s="131"/>
      <c r="L5442" s="69"/>
    </row>
    <row r="5443" spans="1:14" ht="16" x14ac:dyDescent="0.2">
      <c r="A5443" s="70"/>
      <c r="B5443" s="118"/>
      <c r="C5443" s="121"/>
      <c r="D5443" s="121"/>
      <c r="E5443" s="121"/>
      <c r="F5443" s="121"/>
      <c r="G5443" s="121"/>
      <c r="H5443" s="93"/>
      <c r="I5443" s="85"/>
      <c r="J5443" s="122"/>
      <c r="K5443" s="131"/>
      <c r="L5443" s="69"/>
      <c r="N5443" s="48"/>
    </row>
    <row r="5444" spans="1:14" x14ac:dyDescent="0.15">
      <c r="A5444" s="70"/>
      <c r="B5444" s="118"/>
      <c r="C5444" s="121"/>
      <c r="D5444" s="121"/>
      <c r="E5444" s="121"/>
      <c r="F5444" s="121"/>
      <c r="G5444" s="121"/>
      <c r="H5444" s="93"/>
      <c r="I5444" s="85"/>
      <c r="J5444" s="122"/>
      <c r="K5444" s="131"/>
      <c r="L5444" s="60"/>
    </row>
    <row r="5445" spans="1:14" x14ac:dyDescent="0.15">
      <c r="A5445" s="70"/>
      <c r="B5445" s="118"/>
      <c r="C5445" s="121"/>
      <c r="D5445" s="121"/>
      <c r="E5445" s="121"/>
      <c r="F5445" s="121"/>
      <c r="G5445" s="121"/>
      <c r="H5445" s="93"/>
      <c r="I5445" s="85"/>
      <c r="J5445" s="122"/>
      <c r="K5445" s="131"/>
      <c r="L5445" s="69"/>
    </row>
    <row r="5446" spans="1:14" x14ac:dyDescent="0.15">
      <c r="A5446" s="70"/>
      <c r="B5446" s="118"/>
      <c r="C5446" s="121"/>
      <c r="D5446" s="121"/>
      <c r="E5446" s="121"/>
      <c r="F5446" s="121"/>
      <c r="G5446" s="121"/>
      <c r="H5446" s="93"/>
      <c r="I5446" s="85"/>
      <c r="J5446" s="122"/>
      <c r="K5446" s="131"/>
      <c r="L5446" s="69"/>
    </row>
    <row r="5447" spans="1:14" x14ac:dyDescent="0.15">
      <c r="A5447" s="73"/>
      <c r="B5447" s="118"/>
      <c r="C5447" s="121"/>
      <c r="D5447" s="121"/>
      <c r="E5447" s="121"/>
      <c r="F5447" s="121"/>
      <c r="G5447" s="121"/>
      <c r="H5447" s="93"/>
      <c r="I5447" s="85"/>
      <c r="J5447" s="122"/>
      <c r="K5447" s="131"/>
      <c r="L5447" s="69"/>
    </row>
    <row r="5448" spans="1:14" x14ac:dyDescent="0.15">
      <c r="A5448" s="70"/>
      <c r="B5448" s="118"/>
      <c r="C5448" s="121"/>
      <c r="D5448" s="121"/>
      <c r="E5448" s="121"/>
      <c r="F5448" s="121"/>
      <c r="G5448" s="121"/>
      <c r="H5448" s="93"/>
      <c r="I5448" s="85"/>
      <c r="J5448" s="122"/>
      <c r="K5448" s="131"/>
      <c r="L5448" s="69"/>
    </row>
    <row r="5449" spans="1:14" x14ac:dyDescent="0.15">
      <c r="A5449" s="70"/>
      <c r="B5449" s="118"/>
      <c r="C5449" s="121"/>
      <c r="D5449" s="121"/>
      <c r="E5449" s="121"/>
      <c r="F5449" s="121"/>
      <c r="G5449" s="121"/>
      <c r="H5449" s="93"/>
      <c r="I5449" s="85"/>
      <c r="J5449" s="122"/>
      <c r="K5449" s="131"/>
      <c r="L5449" s="69"/>
    </row>
    <row r="5450" spans="1:14" x14ac:dyDescent="0.15">
      <c r="A5450" s="70"/>
      <c r="B5450" s="118"/>
      <c r="C5450" s="121"/>
      <c r="D5450" s="121"/>
      <c r="E5450" s="121"/>
      <c r="F5450" s="121"/>
      <c r="G5450" s="121"/>
      <c r="H5450" s="93"/>
      <c r="I5450" s="85"/>
      <c r="J5450" s="122"/>
      <c r="K5450" s="131"/>
      <c r="L5450" s="60"/>
    </row>
    <row r="5451" spans="1:14" ht="16" x14ac:dyDescent="0.2">
      <c r="A5451" s="70"/>
      <c r="B5451" s="118"/>
      <c r="C5451" s="121"/>
      <c r="D5451" s="121"/>
      <c r="E5451" s="121"/>
      <c r="F5451" s="121"/>
      <c r="G5451" s="121"/>
      <c r="H5451" s="93"/>
      <c r="I5451" s="85"/>
      <c r="J5451" s="122"/>
      <c r="K5451" s="131"/>
      <c r="L5451" s="69"/>
      <c r="N5451" s="48"/>
    </row>
    <row r="5452" spans="1:14" ht="16" x14ac:dyDescent="0.2">
      <c r="A5452" s="70"/>
      <c r="B5452" s="118"/>
      <c r="C5452" s="121"/>
      <c r="D5452" s="121"/>
      <c r="E5452" s="121"/>
      <c r="F5452" s="121"/>
      <c r="G5452" s="121"/>
      <c r="H5452" s="93"/>
      <c r="I5452" s="85"/>
      <c r="J5452" s="122"/>
      <c r="K5452" s="131"/>
      <c r="L5452" s="60"/>
      <c r="N5452" s="48"/>
    </row>
    <row r="5453" spans="1:14" x14ac:dyDescent="0.15">
      <c r="A5453" s="70"/>
      <c r="B5453" s="118"/>
      <c r="C5453" s="121"/>
      <c r="D5453" s="121"/>
      <c r="E5453" s="121"/>
      <c r="F5453" s="121"/>
      <c r="G5453" s="121"/>
      <c r="H5453" s="93"/>
      <c r="I5453" s="85"/>
      <c r="J5453" s="122"/>
      <c r="K5453" s="131"/>
      <c r="L5453" s="69"/>
    </row>
    <row r="5454" spans="1:14" x14ac:dyDescent="0.15">
      <c r="A5454" s="70"/>
      <c r="B5454" s="118"/>
      <c r="C5454" s="121"/>
      <c r="D5454" s="121"/>
      <c r="E5454" s="121"/>
      <c r="F5454" s="121"/>
      <c r="G5454" s="121"/>
      <c r="H5454" s="93"/>
      <c r="I5454" s="85"/>
      <c r="J5454" s="122"/>
      <c r="K5454" s="131"/>
      <c r="L5454" s="60"/>
    </row>
    <row r="5455" spans="1:14" x14ac:dyDescent="0.15">
      <c r="A5455" s="70"/>
      <c r="B5455" s="118"/>
      <c r="C5455" s="121"/>
      <c r="D5455" s="121"/>
      <c r="E5455" s="121"/>
      <c r="F5455" s="121"/>
      <c r="G5455" s="121"/>
      <c r="H5455" s="93"/>
      <c r="I5455" s="85"/>
      <c r="J5455" s="122"/>
      <c r="K5455" s="131"/>
      <c r="L5455" s="60"/>
    </row>
    <row r="5456" spans="1:14" x14ac:dyDescent="0.15">
      <c r="A5456" s="70"/>
      <c r="B5456" s="118"/>
      <c r="C5456" s="121"/>
      <c r="D5456" s="121"/>
      <c r="E5456" s="121"/>
      <c r="F5456" s="121"/>
      <c r="G5456" s="121"/>
      <c r="H5456" s="93"/>
      <c r="I5456" s="85"/>
      <c r="J5456" s="122"/>
      <c r="K5456" s="131"/>
      <c r="L5456" s="60"/>
    </row>
    <row r="5457" spans="1:18" x14ac:dyDescent="0.15">
      <c r="A5457" s="70"/>
      <c r="B5457" s="118"/>
      <c r="C5457" s="121"/>
      <c r="D5457" s="121"/>
      <c r="E5457" s="121"/>
      <c r="F5457" s="121"/>
      <c r="G5457" s="121"/>
      <c r="H5457" s="93"/>
      <c r="I5457" s="85"/>
      <c r="J5457" s="121"/>
      <c r="K5457" s="131"/>
      <c r="L5457" s="69"/>
    </row>
    <row r="5458" spans="1:18" x14ac:dyDescent="0.15">
      <c r="A5458" s="70"/>
      <c r="B5458" s="118"/>
      <c r="C5458" s="121"/>
      <c r="D5458" s="121"/>
      <c r="E5458" s="121"/>
      <c r="F5458" s="121"/>
      <c r="G5458" s="121"/>
      <c r="H5458" s="93"/>
      <c r="I5458" s="85"/>
      <c r="J5458" s="122"/>
      <c r="K5458" s="131"/>
      <c r="L5458" s="69"/>
    </row>
    <row r="5459" spans="1:18" x14ac:dyDescent="0.15">
      <c r="A5459" s="70"/>
      <c r="B5459" s="118"/>
      <c r="C5459" s="121"/>
      <c r="D5459" s="121"/>
      <c r="E5459" s="121"/>
      <c r="F5459" s="121"/>
      <c r="G5459" s="121"/>
      <c r="H5459" s="93"/>
      <c r="I5459" s="85"/>
      <c r="J5459" s="122"/>
      <c r="K5459" s="131"/>
      <c r="L5459" s="69"/>
    </row>
    <row r="5460" spans="1:18" x14ac:dyDescent="0.15">
      <c r="A5460" s="73"/>
      <c r="B5460" s="118"/>
      <c r="C5460" s="121"/>
      <c r="D5460" s="121"/>
      <c r="E5460" s="121"/>
      <c r="F5460" s="121"/>
      <c r="G5460" s="121"/>
      <c r="H5460" s="93"/>
      <c r="I5460" s="85"/>
      <c r="J5460" s="122"/>
      <c r="K5460" s="150"/>
      <c r="L5460" s="69"/>
    </row>
    <row r="5461" spans="1:18" x14ac:dyDescent="0.15">
      <c r="A5461" s="70"/>
      <c r="B5461" s="118"/>
      <c r="C5461" s="121"/>
      <c r="D5461" s="121"/>
      <c r="E5461" s="121"/>
      <c r="F5461" s="121"/>
      <c r="G5461" s="121"/>
      <c r="H5461" s="93"/>
      <c r="I5461" s="85"/>
      <c r="J5461" s="122"/>
      <c r="K5461" s="150"/>
      <c r="L5461" s="69"/>
      <c r="Q5461" s="6"/>
      <c r="R5461" s="6"/>
    </row>
    <row r="5462" spans="1:18" x14ac:dyDescent="0.15">
      <c r="A5462" s="70"/>
      <c r="B5462" s="118"/>
      <c r="C5462" s="121"/>
      <c r="D5462" s="121"/>
      <c r="E5462" s="121"/>
      <c r="F5462" s="121"/>
      <c r="G5462" s="121"/>
      <c r="H5462" s="93"/>
      <c r="I5462" s="85"/>
      <c r="J5462" s="122"/>
      <c r="K5462" s="150"/>
      <c r="L5462" s="69"/>
      <c r="Q5462" s="6"/>
      <c r="R5462" s="6"/>
    </row>
    <row r="5463" spans="1:18" x14ac:dyDescent="0.15">
      <c r="A5463" s="70"/>
      <c r="B5463" s="118"/>
      <c r="C5463" s="121"/>
      <c r="D5463" s="121"/>
      <c r="E5463" s="121"/>
      <c r="F5463" s="121"/>
      <c r="G5463" s="121"/>
      <c r="H5463" s="93"/>
      <c r="I5463" s="85"/>
      <c r="J5463" s="122"/>
      <c r="K5463" s="150"/>
      <c r="L5463" s="69"/>
      <c r="Q5463" s="6"/>
      <c r="R5463" s="6"/>
    </row>
    <row r="5464" spans="1:18" x14ac:dyDescent="0.15">
      <c r="A5464" s="70"/>
      <c r="B5464" s="118"/>
      <c r="C5464" s="121"/>
      <c r="D5464" s="121"/>
      <c r="E5464" s="121"/>
      <c r="F5464" s="121"/>
      <c r="G5464" s="121"/>
      <c r="H5464" s="93"/>
      <c r="I5464" s="85"/>
      <c r="J5464" s="122"/>
      <c r="K5464" s="150"/>
      <c r="L5464" s="60"/>
      <c r="Q5464" s="6"/>
      <c r="R5464" s="6"/>
    </row>
    <row r="5465" spans="1:18" x14ac:dyDescent="0.15">
      <c r="A5465" s="70"/>
      <c r="B5465" s="118"/>
      <c r="C5465" s="121"/>
      <c r="D5465" s="121"/>
      <c r="E5465" s="121"/>
      <c r="F5465" s="121"/>
      <c r="G5465" s="121"/>
      <c r="H5465" s="93"/>
      <c r="I5465" s="85"/>
      <c r="J5465" s="122"/>
      <c r="K5465" s="150"/>
      <c r="L5465" s="60"/>
      <c r="Q5465" s="6"/>
      <c r="R5465" s="6"/>
    </row>
    <row r="5466" spans="1:18" x14ac:dyDescent="0.15">
      <c r="A5466" s="70"/>
      <c r="B5466" s="118"/>
      <c r="C5466" s="121"/>
      <c r="D5466" s="121"/>
      <c r="E5466" s="121"/>
      <c r="F5466" s="121"/>
      <c r="G5466" s="121"/>
      <c r="H5466" s="93"/>
      <c r="I5466" s="85"/>
      <c r="J5466" s="122"/>
      <c r="K5466" s="150"/>
      <c r="L5466" s="69"/>
      <c r="Q5466" s="6"/>
      <c r="R5466" s="6"/>
    </row>
    <row r="5467" spans="1:18" x14ac:dyDescent="0.15">
      <c r="A5467" s="70"/>
      <c r="B5467" s="118"/>
      <c r="C5467" s="121"/>
      <c r="D5467" s="121"/>
      <c r="E5467" s="121"/>
      <c r="F5467" s="121"/>
      <c r="G5467" s="121"/>
      <c r="H5467" s="93"/>
      <c r="I5467" s="85"/>
      <c r="J5467" s="122"/>
      <c r="K5467" s="150"/>
      <c r="L5467" s="69"/>
      <c r="Q5467" s="6"/>
      <c r="R5467" s="6"/>
    </row>
    <row r="5468" spans="1:18" x14ac:dyDescent="0.15">
      <c r="A5468" s="70"/>
      <c r="B5468" s="118"/>
      <c r="C5468" s="121"/>
      <c r="D5468" s="121"/>
      <c r="E5468" s="121"/>
      <c r="F5468" s="121"/>
      <c r="G5468" s="121"/>
      <c r="H5468" s="93"/>
      <c r="I5468" s="85"/>
      <c r="J5468" s="122"/>
      <c r="K5468" s="150"/>
      <c r="L5468" s="60"/>
      <c r="Q5468" s="6"/>
      <c r="R5468" s="6"/>
    </row>
    <row r="5469" spans="1:18" x14ac:dyDescent="0.15">
      <c r="A5469" s="70"/>
      <c r="B5469" s="118"/>
      <c r="C5469" s="121"/>
      <c r="D5469" s="121"/>
      <c r="E5469" s="121"/>
      <c r="F5469" s="121"/>
      <c r="G5469" s="121"/>
      <c r="H5469" s="93"/>
      <c r="I5469" s="85"/>
      <c r="J5469" s="122"/>
      <c r="K5469" s="150"/>
      <c r="L5469" s="69"/>
      <c r="Q5469" s="6"/>
      <c r="R5469" s="6"/>
    </row>
    <row r="5470" spans="1:18" x14ac:dyDescent="0.15">
      <c r="A5470" s="70"/>
      <c r="B5470" s="118"/>
      <c r="C5470" s="121"/>
      <c r="D5470" s="121"/>
      <c r="E5470" s="121"/>
      <c r="F5470" s="121"/>
      <c r="G5470" s="121"/>
      <c r="H5470" s="93"/>
      <c r="I5470" s="85"/>
      <c r="J5470" s="122"/>
      <c r="K5470" s="150"/>
      <c r="L5470" s="60"/>
      <c r="Q5470" s="6"/>
      <c r="R5470" s="6"/>
    </row>
    <row r="5471" spans="1:18" x14ac:dyDescent="0.15">
      <c r="A5471" s="70"/>
      <c r="B5471" s="118"/>
      <c r="C5471" s="121"/>
      <c r="D5471" s="121"/>
      <c r="E5471" s="121"/>
      <c r="F5471" s="121"/>
      <c r="G5471" s="121"/>
      <c r="H5471" s="93"/>
      <c r="I5471" s="85"/>
      <c r="J5471" s="122"/>
      <c r="K5471" s="150"/>
      <c r="L5471" s="69"/>
      <c r="Q5471" s="6"/>
      <c r="R5471" s="6"/>
    </row>
    <row r="5472" spans="1:18" x14ac:dyDescent="0.15">
      <c r="A5472" s="70"/>
      <c r="B5472" s="118"/>
      <c r="C5472" s="121"/>
      <c r="D5472" s="121"/>
      <c r="E5472" s="121"/>
      <c r="F5472" s="121"/>
      <c r="G5472" s="121"/>
      <c r="H5472" s="93"/>
      <c r="I5472" s="85"/>
      <c r="J5472" s="122"/>
      <c r="K5472" s="150"/>
      <c r="L5472" s="69"/>
      <c r="Q5472" s="6"/>
      <c r="R5472" s="6"/>
    </row>
    <row r="5473" spans="1:14" x14ac:dyDescent="0.15">
      <c r="A5473" s="70"/>
      <c r="B5473" s="118"/>
      <c r="C5473" s="121"/>
      <c r="D5473" s="121"/>
      <c r="E5473" s="121"/>
      <c r="F5473" s="121"/>
      <c r="G5473" s="121"/>
      <c r="H5473" s="93"/>
      <c r="I5473" s="85"/>
      <c r="J5473" s="122"/>
      <c r="K5473" s="150"/>
      <c r="L5473" s="69"/>
    </row>
    <row r="5474" spans="1:14" x14ac:dyDescent="0.15">
      <c r="A5474" s="70"/>
      <c r="B5474" s="118"/>
      <c r="C5474" s="121"/>
      <c r="D5474" s="121"/>
      <c r="E5474" s="121"/>
      <c r="F5474" s="121"/>
      <c r="G5474" s="121"/>
      <c r="H5474" s="93"/>
      <c r="I5474" s="85"/>
      <c r="J5474" s="122"/>
      <c r="K5474" s="150"/>
      <c r="L5474" s="69"/>
    </row>
    <row r="5475" spans="1:14" ht="16" x14ac:dyDescent="0.2">
      <c r="A5475" s="70"/>
      <c r="B5475" s="118"/>
      <c r="C5475" s="121"/>
      <c r="D5475" s="121"/>
      <c r="E5475" s="121"/>
      <c r="F5475" s="121"/>
      <c r="G5475" s="121"/>
      <c r="H5475" s="93"/>
      <c r="I5475" s="85"/>
      <c r="J5475" s="122"/>
      <c r="K5475" s="150"/>
      <c r="L5475" s="69"/>
      <c r="N5475" s="48"/>
    </row>
    <row r="5476" spans="1:14" x14ac:dyDescent="0.15">
      <c r="A5476" s="70"/>
      <c r="B5476" s="118"/>
      <c r="C5476" s="121"/>
      <c r="D5476" s="121"/>
      <c r="E5476" s="121"/>
      <c r="F5476" s="121"/>
      <c r="G5476" s="121"/>
      <c r="H5476" s="93"/>
      <c r="I5476" s="85"/>
      <c r="J5476" s="122"/>
      <c r="K5476" s="150"/>
      <c r="L5476" s="69"/>
    </row>
    <row r="5477" spans="1:14" x14ac:dyDescent="0.15">
      <c r="A5477" s="70"/>
      <c r="B5477" s="118"/>
      <c r="C5477" s="121"/>
      <c r="D5477" s="121"/>
      <c r="E5477" s="121"/>
      <c r="F5477" s="121"/>
      <c r="G5477" s="121"/>
      <c r="H5477" s="93"/>
      <c r="I5477" s="85"/>
      <c r="J5477" s="122"/>
      <c r="K5477" s="150"/>
      <c r="L5477" s="60"/>
    </row>
    <row r="5478" spans="1:14" x14ac:dyDescent="0.15">
      <c r="A5478" s="70"/>
      <c r="B5478" s="117"/>
      <c r="C5478" s="121"/>
      <c r="D5478" s="121"/>
      <c r="E5478" s="121"/>
      <c r="F5478" s="121"/>
      <c r="G5478" s="121"/>
      <c r="H5478" s="93"/>
      <c r="I5478" s="85"/>
      <c r="J5478" s="122"/>
      <c r="K5478" s="150"/>
      <c r="L5478" s="60"/>
      <c r="M5478" s="33"/>
    </row>
    <row r="5479" spans="1:14" x14ac:dyDescent="0.15">
      <c r="A5479" s="73"/>
      <c r="B5479" s="118"/>
      <c r="C5479" s="121"/>
      <c r="D5479" s="121"/>
      <c r="E5479" s="121"/>
      <c r="F5479" s="121"/>
      <c r="G5479" s="121"/>
      <c r="H5479" s="108"/>
      <c r="I5479" s="85"/>
      <c r="J5479" s="122"/>
      <c r="K5479" s="150"/>
      <c r="L5479" s="60"/>
    </row>
    <row r="5480" spans="1:14" x14ac:dyDescent="0.15">
      <c r="A5480" s="70"/>
      <c r="B5480" s="118"/>
      <c r="C5480" s="121"/>
      <c r="D5480" s="121"/>
      <c r="E5480" s="121"/>
      <c r="F5480" s="121"/>
      <c r="G5480" s="121"/>
      <c r="H5480" s="93"/>
      <c r="I5480" s="85"/>
      <c r="J5480" s="122"/>
      <c r="K5480" s="150"/>
      <c r="L5480" s="69"/>
    </row>
    <row r="5481" spans="1:14" x14ac:dyDescent="0.15">
      <c r="A5481" s="73"/>
      <c r="B5481" s="118"/>
      <c r="C5481" s="121"/>
      <c r="D5481" s="121"/>
      <c r="E5481" s="121"/>
      <c r="F5481" s="121"/>
      <c r="G5481" s="121"/>
      <c r="H5481" s="93"/>
      <c r="I5481" s="85"/>
      <c r="J5481" s="122"/>
      <c r="K5481" s="150"/>
      <c r="L5481" s="69"/>
    </row>
    <row r="5482" spans="1:14" x14ac:dyDescent="0.15">
      <c r="A5482" s="70"/>
      <c r="B5482" s="118"/>
      <c r="C5482" s="121"/>
      <c r="D5482" s="121"/>
      <c r="E5482" s="121"/>
      <c r="F5482" s="121"/>
      <c r="G5482" s="121"/>
      <c r="H5482" s="93"/>
      <c r="I5482" s="85"/>
      <c r="J5482" s="122"/>
      <c r="K5482" s="150"/>
      <c r="L5482" s="60"/>
    </row>
    <row r="5483" spans="1:14" x14ac:dyDescent="0.15">
      <c r="A5483" s="70"/>
      <c r="B5483" s="118"/>
      <c r="C5483" s="121"/>
      <c r="D5483" s="121"/>
      <c r="E5483" s="121"/>
      <c r="F5483" s="121"/>
      <c r="G5483" s="121"/>
      <c r="H5483" s="93"/>
      <c r="I5483" s="85"/>
      <c r="J5483" s="122"/>
      <c r="K5483" s="150"/>
      <c r="L5483" s="69"/>
    </row>
    <row r="5484" spans="1:14" x14ac:dyDescent="0.15">
      <c r="A5484" s="70"/>
      <c r="B5484" s="118"/>
      <c r="C5484" s="121"/>
      <c r="D5484" s="121"/>
      <c r="E5484" s="121"/>
      <c r="F5484" s="121"/>
      <c r="G5484" s="121"/>
      <c r="H5484" s="93"/>
      <c r="I5484" s="85"/>
      <c r="J5484" s="122"/>
      <c r="K5484" s="150"/>
      <c r="L5484" s="69"/>
    </row>
    <row r="5485" spans="1:14" x14ac:dyDescent="0.15">
      <c r="A5485" s="70"/>
      <c r="B5485" s="118"/>
      <c r="C5485" s="121"/>
      <c r="D5485" s="121"/>
      <c r="E5485" s="121"/>
      <c r="F5485" s="121"/>
      <c r="G5485" s="121"/>
      <c r="H5485" s="93"/>
      <c r="I5485" s="85"/>
      <c r="J5485" s="122"/>
      <c r="K5485" s="150"/>
      <c r="L5485" s="69"/>
    </row>
    <row r="5486" spans="1:14" x14ac:dyDescent="0.15">
      <c r="A5486" s="70"/>
      <c r="B5486" s="118"/>
      <c r="C5486" s="121"/>
      <c r="D5486" s="121"/>
      <c r="E5486" s="121"/>
      <c r="F5486" s="121"/>
      <c r="G5486" s="121"/>
      <c r="H5486" s="93"/>
      <c r="I5486" s="85"/>
      <c r="J5486" s="122"/>
      <c r="K5486" s="150"/>
      <c r="L5486" s="69"/>
    </row>
    <row r="5487" spans="1:14" x14ac:dyDescent="0.15">
      <c r="A5487" s="70"/>
      <c r="B5487" s="118"/>
      <c r="C5487" s="121"/>
      <c r="D5487" s="121"/>
      <c r="E5487" s="121"/>
      <c r="F5487" s="121"/>
      <c r="G5487" s="121"/>
      <c r="H5487" s="93"/>
      <c r="I5487" s="85"/>
      <c r="J5487" s="122"/>
      <c r="K5487" s="150"/>
      <c r="L5487" s="69"/>
    </row>
    <row r="5488" spans="1:14" x14ac:dyDescent="0.15">
      <c r="A5488" s="70"/>
      <c r="B5488" s="118"/>
      <c r="C5488" s="121"/>
      <c r="D5488" s="121"/>
      <c r="E5488" s="121"/>
      <c r="F5488" s="121"/>
      <c r="G5488" s="121"/>
      <c r="H5488" s="93"/>
      <c r="I5488" s="85"/>
      <c r="J5488" s="122"/>
      <c r="K5488" s="150"/>
      <c r="L5488" s="60"/>
    </row>
    <row r="5489" spans="1:14" ht="16" x14ac:dyDescent="0.2">
      <c r="A5489" s="70"/>
      <c r="B5489" s="118"/>
      <c r="C5489" s="121"/>
      <c r="D5489" s="121"/>
      <c r="E5489" s="121"/>
      <c r="F5489" s="121"/>
      <c r="G5489" s="121"/>
      <c r="H5489" s="93"/>
      <c r="I5489" s="85"/>
      <c r="J5489" s="122"/>
      <c r="K5489" s="150"/>
      <c r="L5489" s="60"/>
      <c r="N5489" s="48"/>
    </row>
    <row r="5490" spans="1:14" x14ac:dyDescent="0.15">
      <c r="A5490" s="70"/>
      <c r="B5490" s="118"/>
      <c r="C5490" s="121"/>
      <c r="D5490" s="121"/>
      <c r="E5490" s="121"/>
      <c r="F5490" s="121"/>
      <c r="G5490" s="121"/>
      <c r="H5490" s="93"/>
      <c r="I5490" s="85"/>
      <c r="J5490" s="122"/>
      <c r="K5490" s="150"/>
      <c r="L5490" s="69"/>
    </row>
    <row r="5491" spans="1:14" x14ac:dyDescent="0.15">
      <c r="A5491" s="70"/>
      <c r="B5491" s="118"/>
      <c r="C5491" s="121"/>
      <c r="D5491" s="121"/>
      <c r="E5491" s="121"/>
      <c r="F5491" s="121"/>
      <c r="G5491" s="121"/>
      <c r="H5491" s="93"/>
      <c r="I5491" s="85"/>
      <c r="J5491" s="122"/>
      <c r="K5491" s="150"/>
      <c r="L5491" s="69"/>
    </row>
    <row r="5492" spans="1:14" x14ac:dyDescent="0.15">
      <c r="A5492" s="70"/>
      <c r="B5492" s="118"/>
      <c r="C5492" s="121"/>
      <c r="D5492" s="121"/>
      <c r="E5492" s="121"/>
      <c r="F5492" s="121"/>
      <c r="G5492" s="121"/>
      <c r="H5492" s="93"/>
      <c r="I5492" s="85"/>
      <c r="J5492" s="122"/>
      <c r="K5492" s="150"/>
      <c r="L5492" s="69"/>
    </row>
    <row r="5493" spans="1:14" x14ac:dyDescent="0.15">
      <c r="A5493" s="70"/>
      <c r="B5493" s="118"/>
      <c r="C5493" s="121"/>
      <c r="D5493" s="121"/>
      <c r="E5493" s="121"/>
      <c r="F5493" s="121"/>
      <c r="G5493" s="121"/>
      <c r="H5493" s="93"/>
      <c r="I5493" s="85"/>
      <c r="J5493" s="122"/>
      <c r="K5493" s="150"/>
      <c r="L5493" s="69"/>
    </row>
    <row r="5494" spans="1:14" x14ac:dyDescent="0.15">
      <c r="A5494" s="70"/>
      <c r="B5494" s="118"/>
      <c r="C5494" s="121"/>
      <c r="D5494" s="121"/>
      <c r="E5494" s="121"/>
      <c r="F5494" s="121"/>
      <c r="G5494" s="121"/>
      <c r="H5494" s="93"/>
      <c r="I5494" s="85"/>
      <c r="J5494" s="122"/>
      <c r="K5494" s="150"/>
      <c r="L5494" s="69"/>
    </row>
    <row r="5495" spans="1:14" x14ac:dyDescent="0.15">
      <c r="A5495" s="73"/>
      <c r="B5495" s="118"/>
      <c r="C5495" s="121"/>
      <c r="D5495" s="121"/>
      <c r="E5495" s="121"/>
      <c r="F5495" s="121"/>
      <c r="G5495" s="121"/>
      <c r="H5495" s="93"/>
      <c r="I5495" s="85"/>
      <c r="J5495" s="122"/>
      <c r="K5495" s="150"/>
      <c r="L5495" s="69"/>
    </row>
    <row r="5496" spans="1:14" x14ac:dyDescent="0.15">
      <c r="A5496" s="70"/>
      <c r="B5496" s="118"/>
      <c r="C5496" s="121"/>
      <c r="D5496" s="121"/>
      <c r="E5496" s="121"/>
      <c r="F5496" s="121"/>
      <c r="G5496" s="121"/>
      <c r="H5496" s="93"/>
      <c r="I5496" s="85"/>
      <c r="J5496" s="122"/>
      <c r="K5496" s="150"/>
      <c r="L5496" s="69"/>
    </row>
    <row r="5497" spans="1:14" x14ac:dyDescent="0.15">
      <c r="A5497" s="70"/>
      <c r="B5497" s="118"/>
      <c r="C5497" s="121"/>
      <c r="D5497" s="121"/>
      <c r="E5497" s="121"/>
      <c r="F5497" s="121"/>
      <c r="G5497" s="121"/>
      <c r="H5497" s="93"/>
      <c r="I5497" s="85"/>
      <c r="J5497" s="122"/>
      <c r="K5497" s="150"/>
      <c r="L5497" s="69"/>
    </row>
    <row r="5498" spans="1:14" x14ac:dyDescent="0.15">
      <c r="A5498" s="70"/>
      <c r="B5498" s="118"/>
      <c r="C5498" s="121"/>
      <c r="D5498" s="121"/>
      <c r="E5498" s="121"/>
      <c r="F5498" s="121"/>
      <c r="G5498" s="121"/>
      <c r="H5498" s="93"/>
      <c r="I5498" s="85"/>
      <c r="J5498" s="122"/>
      <c r="K5498" s="150"/>
      <c r="L5498" s="69"/>
    </row>
    <row r="5499" spans="1:14" x14ac:dyDescent="0.15">
      <c r="A5499" s="70"/>
      <c r="B5499" s="118"/>
      <c r="C5499" s="121"/>
      <c r="D5499" s="121"/>
      <c r="E5499" s="121"/>
      <c r="F5499" s="121"/>
      <c r="G5499" s="121"/>
      <c r="H5499" s="93"/>
      <c r="I5499" s="85"/>
      <c r="J5499" s="122"/>
      <c r="K5499" s="150"/>
      <c r="L5499" s="69"/>
    </row>
    <row r="5500" spans="1:14" x14ac:dyDescent="0.15">
      <c r="A5500" s="70"/>
      <c r="B5500" s="118"/>
      <c r="C5500" s="121"/>
      <c r="D5500" s="121"/>
      <c r="E5500" s="121"/>
      <c r="F5500" s="121"/>
      <c r="G5500" s="121"/>
      <c r="H5500" s="93"/>
      <c r="I5500" s="85"/>
      <c r="J5500" s="122"/>
      <c r="K5500" s="150"/>
      <c r="L5500" s="69"/>
    </row>
    <row r="5501" spans="1:14" x14ac:dyDescent="0.15">
      <c r="A5501" s="70"/>
      <c r="B5501" s="118"/>
      <c r="C5501" s="121"/>
      <c r="D5501" s="121"/>
      <c r="E5501" s="121"/>
      <c r="F5501" s="121"/>
      <c r="G5501" s="121"/>
      <c r="H5501" s="93"/>
      <c r="I5501" s="85"/>
      <c r="J5501" s="122"/>
      <c r="K5501" s="150"/>
      <c r="L5501" s="60"/>
    </row>
    <row r="5502" spans="1:14" x14ac:dyDescent="0.15">
      <c r="A5502" s="70"/>
      <c r="B5502" s="118"/>
      <c r="C5502" s="121"/>
      <c r="D5502" s="121"/>
      <c r="E5502" s="121"/>
      <c r="F5502" s="121"/>
      <c r="G5502" s="121"/>
      <c r="H5502" s="93"/>
      <c r="I5502" s="85"/>
      <c r="J5502" s="122"/>
      <c r="K5502" s="150"/>
      <c r="L5502" s="60"/>
    </row>
    <row r="5503" spans="1:14" x14ac:dyDescent="0.15">
      <c r="A5503" s="70"/>
      <c r="B5503" s="118"/>
      <c r="C5503" s="121"/>
      <c r="D5503" s="121"/>
      <c r="E5503" s="121"/>
      <c r="F5503" s="121"/>
      <c r="G5503" s="121"/>
      <c r="H5503" s="93"/>
      <c r="I5503" s="85"/>
      <c r="J5503" s="122"/>
      <c r="K5503" s="150"/>
      <c r="L5503" s="60"/>
    </row>
    <row r="5504" spans="1:14" ht="16" x14ac:dyDescent="0.2">
      <c r="A5504" s="70"/>
      <c r="B5504" s="118"/>
      <c r="C5504" s="121"/>
      <c r="D5504" s="121"/>
      <c r="E5504" s="121"/>
      <c r="F5504" s="121"/>
      <c r="G5504" s="121"/>
      <c r="H5504" s="93"/>
      <c r="I5504" s="85"/>
      <c r="J5504" s="122"/>
      <c r="K5504" s="150"/>
      <c r="L5504" s="60"/>
      <c r="N5504" s="48"/>
    </row>
    <row r="5505" spans="1:14" x14ac:dyDescent="0.15">
      <c r="A5505" s="70"/>
      <c r="B5505" s="118"/>
      <c r="C5505" s="121"/>
      <c r="D5505" s="121"/>
      <c r="E5505" s="121"/>
      <c r="F5505" s="121"/>
      <c r="G5505" s="121"/>
      <c r="H5505" s="93"/>
      <c r="I5505" s="85"/>
      <c r="J5505" s="122"/>
      <c r="K5505" s="150"/>
      <c r="L5505" s="60"/>
    </row>
    <row r="5506" spans="1:14" x14ac:dyDescent="0.15">
      <c r="A5506" s="70"/>
      <c r="B5506" s="118"/>
      <c r="C5506" s="121"/>
      <c r="D5506" s="121"/>
      <c r="E5506" s="121"/>
      <c r="F5506" s="121"/>
      <c r="G5506" s="121"/>
      <c r="H5506" s="93"/>
      <c r="I5506" s="85"/>
      <c r="J5506" s="122"/>
      <c r="K5506" s="150"/>
      <c r="L5506" s="69"/>
    </row>
    <row r="5507" spans="1:14" x14ac:dyDescent="0.15">
      <c r="A5507" s="70"/>
      <c r="B5507" s="118"/>
      <c r="C5507" s="121"/>
      <c r="D5507" s="121"/>
      <c r="E5507" s="121"/>
      <c r="F5507" s="121"/>
      <c r="G5507" s="121"/>
      <c r="H5507" s="93"/>
      <c r="I5507" s="85"/>
      <c r="J5507" s="122"/>
      <c r="K5507" s="150"/>
      <c r="L5507" s="69"/>
    </row>
    <row r="5508" spans="1:14" x14ac:dyDescent="0.15">
      <c r="A5508" s="70"/>
      <c r="B5508" s="118"/>
      <c r="C5508" s="121"/>
      <c r="D5508" s="121"/>
      <c r="E5508" s="121"/>
      <c r="F5508" s="121"/>
      <c r="G5508" s="121"/>
      <c r="H5508" s="93"/>
      <c r="I5508" s="85"/>
      <c r="J5508" s="122"/>
      <c r="K5508" s="150"/>
      <c r="L5508" s="69"/>
    </row>
    <row r="5509" spans="1:14" x14ac:dyDescent="0.15">
      <c r="A5509" s="70"/>
      <c r="B5509" s="118"/>
      <c r="C5509" s="121"/>
      <c r="D5509" s="121"/>
      <c r="E5509" s="121"/>
      <c r="F5509" s="121"/>
      <c r="G5509" s="121"/>
      <c r="H5509" s="93"/>
      <c r="I5509" s="85"/>
      <c r="J5509" s="122"/>
      <c r="K5509" s="150"/>
      <c r="L5509" s="69"/>
    </row>
    <row r="5510" spans="1:14" x14ac:dyDescent="0.15">
      <c r="A5510" s="70"/>
      <c r="B5510" s="118"/>
      <c r="C5510" s="121"/>
      <c r="D5510" s="121"/>
      <c r="E5510" s="121"/>
      <c r="F5510" s="121"/>
      <c r="G5510" s="121"/>
      <c r="H5510" s="93"/>
      <c r="I5510" s="85"/>
      <c r="J5510" s="122"/>
      <c r="K5510" s="150"/>
      <c r="L5510" s="69"/>
    </row>
    <row r="5511" spans="1:14" ht="16" x14ac:dyDescent="0.2">
      <c r="A5511" s="73"/>
      <c r="B5511" s="118"/>
      <c r="C5511" s="121"/>
      <c r="D5511" s="121"/>
      <c r="E5511" s="121"/>
      <c r="F5511" s="121"/>
      <c r="G5511" s="121"/>
      <c r="H5511" s="93"/>
      <c r="I5511" s="85"/>
      <c r="J5511" s="122"/>
      <c r="K5511" s="150"/>
      <c r="L5511" s="69"/>
      <c r="N5511" s="48"/>
    </row>
    <row r="5512" spans="1:14" ht="16" x14ac:dyDescent="0.2">
      <c r="A5512" s="70"/>
      <c r="B5512" s="118"/>
      <c r="C5512" s="121"/>
      <c r="D5512" s="121"/>
      <c r="E5512" s="121"/>
      <c r="F5512" s="121"/>
      <c r="G5512" s="121"/>
      <c r="H5512" s="93"/>
      <c r="I5512" s="85"/>
      <c r="J5512" s="122"/>
      <c r="K5512" s="150"/>
      <c r="L5512" s="69"/>
      <c r="N5512" s="48"/>
    </row>
    <row r="5513" spans="1:14" x14ac:dyDescent="0.15">
      <c r="A5513" s="70"/>
      <c r="B5513" s="118"/>
      <c r="C5513" s="121"/>
      <c r="D5513" s="121"/>
      <c r="E5513" s="121"/>
      <c r="F5513" s="121"/>
      <c r="G5513" s="121"/>
      <c r="H5513" s="93"/>
      <c r="I5513" s="85"/>
      <c r="J5513" s="122"/>
      <c r="K5513" s="150"/>
      <c r="L5513" s="69"/>
    </row>
    <row r="5514" spans="1:14" x14ac:dyDescent="0.15">
      <c r="A5514" s="70"/>
      <c r="B5514" s="118"/>
      <c r="C5514" s="121"/>
      <c r="D5514" s="121"/>
      <c r="E5514" s="121"/>
      <c r="F5514" s="121"/>
      <c r="G5514" s="121"/>
      <c r="H5514" s="93"/>
      <c r="I5514" s="85"/>
      <c r="J5514" s="122"/>
      <c r="K5514" s="150"/>
      <c r="L5514" s="69"/>
    </row>
    <row r="5515" spans="1:14" x14ac:dyDescent="0.15">
      <c r="A5515" s="70"/>
      <c r="B5515" s="118"/>
      <c r="C5515" s="121"/>
      <c r="D5515" s="121"/>
      <c r="E5515" s="121"/>
      <c r="F5515" s="121"/>
      <c r="G5515" s="121"/>
      <c r="H5515" s="93"/>
      <c r="I5515" s="85"/>
      <c r="J5515" s="122"/>
      <c r="K5515" s="150"/>
      <c r="L5515" s="69"/>
    </row>
    <row r="5516" spans="1:14" x14ac:dyDescent="0.15">
      <c r="A5516" s="73"/>
      <c r="B5516" s="118"/>
      <c r="C5516" s="121"/>
      <c r="D5516" s="121"/>
      <c r="E5516" s="121"/>
      <c r="F5516" s="121"/>
      <c r="G5516" s="121"/>
      <c r="H5516" s="93"/>
      <c r="I5516" s="85"/>
      <c r="J5516" s="122"/>
      <c r="K5516" s="150"/>
      <c r="L5516" s="69"/>
    </row>
    <row r="5517" spans="1:14" x14ac:dyDescent="0.15">
      <c r="A5517" s="70"/>
      <c r="B5517" s="118"/>
      <c r="C5517" s="121"/>
      <c r="D5517" s="121"/>
      <c r="E5517" s="121"/>
      <c r="F5517" s="121"/>
      <c r="G5517" s="121"/>
      <c r="H5517" s="93"/>
      <c r="I5517" s="85"/>
      <c r="J5517" s="122"/>
      <c r="K5517" s="150"/>
      <c r="L5517" s="69"/>
    </row>
    <row r="5518" spans="1:14" x14ac:dyDescent="0.15">
      <c r="A5518" s="70"/>
      <c r="B5518" s="118"/>
      <c r="C5518" s="121"/>
      <c r="D5518" s="121"/>
      <c r="E5518" s="121"/>
      <c r="F5518" s="121"/>
      <c r="G5518" s="121"/>
      <c r="H5518" s="93"/>
      <c r="I5518" s="85"/>
      <c r="J5518" s="122"/>
      <c r="K5518" s="150"/>
      <c r="L5518" s="60"/>
    </row>
    <row r="5519" spans="1:14" x14ac:dyDescent="0.15">
      <c r="A5519" s="70"/>
      <c r="B5519" s="118"/>
      <c r="C5519" s="121"/>
      <c r="D5519" s="121"/>
      <c r="E5519" s="121"/>
      <c r="F5519" s="121"/>
      <c r="G5519" s="121"/>
      <c r="H5519" s="93"/>
      <c r="I5519" s="85"/>
      <c r="J5519" s="122"/>
      <c r="K5519" s="150"/>
      <c r="L5519" s="69"/>
    </row>
    <row r="5520" spans="1:14" ht="16" x14ac:dyDescent="0.2">
      <c r="A5520" s="70"/>
      <c r="B5520" s="118"/>
      <c r="C5520" s="121"/>
      <c r="D5520" s="121"/>
      <c r="E5520" s="121"/>
      <c r="F5520" s="121"/>
      <c r="G5520" s="121"/>
      <c r="H5520" s="93"/>
      <c r="I5520" s="85"/>
      <c r="J5520" s="122"/>
      <c r="K5520" s="150"/>
      <c r="L5520" s="69"/>
      <c r="N5520" s="48"/>
    </row>
    <row r="5521" spans="1:14" x14ac:dyDescent="0.15">
      <c r="A5521" s="70"/>
      <c r="B5521" s="118"/>
      <c r="C5521" s="121"/>
      <c r="D5521" s="121"/>
      <c r="E5521" s="121"/>
      <c r="F5521" s="121"/>
      <c r="G5521" s="121"/>
      <c r="H5521" s="93"/>
      <c r="I5521" s="85"/>
      <c r="J5521" s="122"/>
      <c r="K5521" s="150"/>
      <c r="L5521" s="69"/>
    </row>
    <row r="5522" spans="1:14" x14ac:dyDescent="0.15">
      <c r="A5522" s="70"/>
      <c r="B5522" s="118"/>
      <c r="C5522" s="121"/>
      <c r="D5522" s="121"/>
      <c r="E5522" s="121"/>
      <c r="F5522" s="121"/>
      <c r="G5522" s="121"/>
      <c r="H5522" s="93"/>
      <c r="I5522" s="85"/>
      <c r="J5522" s="122"/>
      <c r="K5522" s="150"/>
      <c r="L5522" s="69"/>
    </row>
    <row r="5523" spans="1:14" x14ac:dyDescent="0.15">
      <c r="A5523" s="70"/>
      <c r="B5523" s="118"/>
      <c r="C5523" s="121"/>
      <c r="D5523" s="121"/>
      <c r="E5523" s="121"/>
      <c r="F5523" s="121"/>
      <c r="G5523" s="121"/>
      <c r="H5523" s="108"/>
      <c r="I5523" s="85"/>
      <c r="J5523" s="122"/>
      <c r="K5523" s="150"/>
      <c r="L5523" s="69"/>
    </row>
    <row r="5524" spans="1:14" ht="16" x14ac:dyDescent="0.2">
      <c r="A5524" s="70"/>
      <c r="B5524" s="118"/>
      <c r="C5524" s="121"/>
      <c r="D5524" s="121"/>
      <c r="E5524" s="121"/>
      <c r="F5524" s="121"/>
      <c r="G5524" s="121"/>
      <c r="H5524" s="93"/>
      <c r="I5524" s="85"/>
      <c r="J5524" s="122"/>
      <c r="K5524" s="150"/>
      <c r="L5524" s="69"/>
      <c r="N5524" s="48"/>
    </row>
    <row r="5525" spans="1:14" x14ac:dyDescent="0.15">
      <c r="A5525" s="70"/>
      <c r="B5525" s="118"/>
      <c r="C5525" s="121"/>
      <c r="D5525" s="121"/>
      <c r="E5525" s="121"/>
      <c r="F5525" s="121"/>
      <c r="G5525" s="121"/>
      <c r="H5525" s="93"/>
      <c r="I5525" s="85"/>
      <c r="J5525" s="122"/>
      <c r="K5525" s="150"/>
      <c r="L5525" s="69"/>
    </row>
    <row r="5526" spans="1:14" x14ac:dyDescent="0.15">
      <c r="A5526" s="70"/>
      <c r="B5526" s="118"/>
      <c r="C5526" s="121"/>
      <c r="D5526" s="121"/>
      <c r="E5526" s="121"/>
      <c r="F5526" s="121"/>
      <c r="G5526" s="121"/>
      <c r="H5526" s="93"/>
      <c r="I5526" s="85"/>
      <c r="J5526" s="122"/>
      <c r="K5526" s="150"/>
      <c r="L5526" s="69"/>
    </row>
    <row r="5527" spans="1:14" ht="16" x14ac:dyDescent="0.2">
      <c r="A5527" s="70"/>
      <c r="B5527" s="118"/>
      <c r="C5527" s="121"/>
      <c r="D5527" s="121"/>
      <c r="E5527" s="121"/>
      <c r="F5527" s="121"/>
      <c r="G5527" s="121"/>
      <c r="H5527" s="93"/>
      <c r="I5527" s="85"/>
      <c r="J5527" s="122"/>
      <c r="K5527" s="150"/>
      <c r="L5527" s="69"/>
      <c r="N5527" s="48"/>
    </row>
    <row r="5528" spans="1:14" x14ac:dyDescent="0.15">
      <c r="A5528" s="70"/>
      <c r="B5528" s="118"/>
      <c r="C5528" s="121"/>
      <c r="D5528" s="121"/>
      <c r="E5528" s="121"/>
      <c r="F5528" s="121"/>
      <c r="G5528" s="121"/>
      <c r="H5528" s="93"/>
      <c r="I5528" s="85"/>
      <c r="J5528" s="122"/>
      <c r="K5528" s="150"/>
      <c r="L5528" s="69"/>
    </row>
    <row r="5529" spans="1:14" ht="16" x14ac:dyDescent="0.2">
      <c r="A5529" s="73"/>
      <c r="B5529" s="118"/>
      <c r="C5529" s="121"/>
      <c r="D5529" s="121"/>
      <c r="E5529" s="121"/>
      <c r="F5529" s="121"/>
      <c r="G5529" s="121"/>
      <c r="H5529" s="93"/>
      <c r="I5529" s="85"/>
      <c r="J5529" s="122"/>
      <c r="K5529" s="150"/>
      <c r="L5529" s="69"/>
      <c r="N5529" s="48"/>
    </row>
    <row r="5530" spans="1:14" ht="16" x14ac:dyDescent="0.2">
      <c r="A5530" s="70"/>
      <c r="B5530" s="118"/>
      <c r="C5530" s="121"/>
      <c r="D5530" s="121"/>
      <c r="E5530" s="121"/>
      <c r="F5530" s="121"/>
      <c r="G5530" s="121"/>
      <c r="H5530" s="93"/>
      <c r="I5530" s="85"/>
      <c r="J5530" s="122"/>
      <c r="K5530" s="150"/>
      <c r="L5530" s="69"/>
      <c r="N5530" s="48"/>
    </row>
    <row r="5531" spans="1:14" ht="16" x14ac:dyDescent="0.2">
      <c r="A5531" s="70"/>
      <c r="B5531" s="118"/>
      <c r="C5531" s="121"/>
      <c r="D5531" s="121"/>
      <c r="E5531" s="121"/>
      <c r="F5531" s="121"/>
      <c r="G5531" s="121"/>
      <c r="H5531" s="93"/>
      <c r="I5531" s="85"/>
      <c r="J5531" s="122"/>
      <c r="K5531" s="150"/>
      <c r="L5531" s="69"/>
      <c r="N5531" s="48"/>
    </row>
    <row r="5532" spans="1:14" ht="16" x14ac:dyDescent="0.2">
      <c r="A5532" s="73"/>
      <c r="B5532" s="118"/>
      <c r="C5532" s="121"/>
      <c r="D5532" s="121"/>
      <c r="E5532" s="121"/>
      <c r="F5532" s="121"/>
      <c r="G5532" s="121"/>
      <c r="H5532" s="93"/>
      <c r="I5532" s="85"/>
      <c r="J5532" s="122"/>
      <c r="K5532" s="150"/>
      <c r="L5532" s="69"/>
      <c r="N5532" s="48"/>
    </row>
    <row r="5533" spans="1:14" ht="16" x14ac:dyDescent="0.2">
      <c r="A5533" s="70"/>
      <c r="B5533" s="118"/>
      <c r="C5533" s="121"/>
      <c r="D5533" s="121"/>
      <c r="E5533" s="121"/>
      <c r="F5533" s="121"/>
      <c r="G5533" s="121"/>
      <c r="H5533" s="93"/>
      <c r="I5533" s="85"/>
      <c r="J5533" s="122"/>
      <c r="K5533" s="150"/>
      <c r="L5533" s="69"/>
      <c r="N5533" s="48"/>
    </row>
    <row r="5534" spans="1:14" ht="16" x14ac:dyDescent="0.2">
      <c r="A5534" s="70"/>
      <c r="B5534" s="118"/>
      <c r="C5534" s="121"/>
      <c r="D5534" s="121"/>
      <c r="E5534" s="121"/>
      <c r="F5534" s="121"/>
      <c r="G5534" s="121"/>
      <c r="H5534" s="93"/>
      <c r="I5534" s="85"/>
      <c r="J5534" s="122"/>
      <c r="K5534" s="150"/>
      <c r="L5534" s="69"/>
      <c r="N5534" s="48"/>
    </row>
    <row r="5535" spans="1:14" ht="16" x14ac:dyDescent="0.2">
      <c r="A5535" s="70"/>
      <c r="B5535" s="118"/>
      <c r="C5535" s="121"/>
      <c r="D5535" s="121"/>
      <c r="E5535" s="121"/>
      <c r="F5535" s="121"/>
      <c r="G5535" s="121"/>
      <c r="H5535" s="93"/>
      <c r="I5535" s="85"/>
      <c r="J5535" s="122"/>
      <c r="K5535" s="150"/>
      <c r="L5535" s="69"/>
      <c r="N5535" s="48"/>
    </row>
    <row r="5536" spans="1:14" x14ac:dyDescent="0.15">
      <c r="A5536" s="70"/>
      <c r="B5536" s="118"/>
      <c r="C5536" s="121"/>
      <c r="D5536" s="121"/>
      <c r="E5536" s="121"/>
      <c r="F5536" s="121"/>
      <c r="G5536" s="121"/>
      <c r="H5536" s="93"/>
      <c r="I5536" s="85"/>
      <c r="J5536" s="122"/>
      <c r="K5536" s="150"/>
      <c r="L5536" s="60"/>
    </row>
    <row r="5537" spans="1:15" x14ac:dyDescent="0.15">
      <c r="A5537" s="70"/>
      <c r="B5537" s="118"/>
      <c r="C5537" s="121"/>
      <c r="D5537" s="121"/>
      <c r="E5537" s="121"/>
      <c r="F5537" s="121"/>
      <c r="G5537" s="121"/>
      <c r="H5537" s="93"/>
      <c r="I5537" s="85"/>
      <c r="J5537" s="122"/>
      <c r="K5537" s="150"/>
      <c r="L5537" s="69"/>
    </row>
    <row r="5538" spans="1:15" x14ac:dyDescent="0.15">
      <c r="A5538" s="70"/>
      <c r="B5538" s="118"/>
      <c r="C5538" s="121"/>
      <c r="D5538" s="121"/>
      <c r="E5538" s="121"/>
      <c r="F5538" s="121"/>
      <c r="G5538" s="121"/>
      <c r="H5538" s="93"/>
      <c r="I5538" s="85"/>
      <c r="J5538" s="122"/>
      <c r="K5538" s="150"/>
      <c r="L5538" s="69"/>
    </row>
    <row r="5539" spans="1:15" x14ac:dyDescent="0.15">
      <c r="A5539" s="70"/>
      <c r="B5539" s="118"/>
      <c r="C5539" s="121"/>
      <c r="D5539" s="121"/>
      <c r="E5539" s="121"/>
      <c r="F5539" s="121"/>
      <c r="G5539" s="121"/>
      <c r="H5539" s="93"/>
      <c r="I5539" s="85"/>
      <c r="J5539" s="122"/>
      <c r="K5539" s="150"/>
      <c r="L5539" s="69"/>
    </row>
    <row r="5540" spans="1:15" ht="16" x14ac:dyDescent="0.2">
      <c r="A5540" s="70"/>
      <c r="B5540" s="118"/>
      <c r="C5540" s="121"/>
      <c r="D5540" s="121"/>
      <c r="E5540" s="121"/>
      <c r="F5540" s="121"/>
      <c r="G5540" s="121"/>
      <c r="H5540" s="93"/>
      <c r="I5540" s="85"/>
      <c r="J5540" s="122"/>
      <c r="K5540" s="150"/>
      <c r="L5540" s="60"/>
      <c r="N5540" s="48"/>
    </row>
    <row r="5541" spans="1:15" x14ac:dyDescent="0.15">
      <c r="A5541" s="70"/>
      <c r="B5541" s="118"/>
      <c r="C5541" s="121"/>
      <c r="D5541" s="121"/>
      <c r="E5541" s="121"/>
      <c r="F5541" s="121"/>
      <c r="G5541" s="121"/>
      <c r="H5541" s="93"/>
      <c r="I5541" s="85"/>
      <c r="J5541" s="122"/>
      <c r="K5541" s="150"/>
      <c r="L5541" s="69"/>
    </row>
    <row r="5542" spans="1:15" x14ac:dyDescent="0.15">
      <c r="A5542" s="70"/>
      <c r="B5542" s="118"/>
      <c r="C5542" s="121"/>
      <c r="D5542" s="121"/>
      <c r="E5542" s="121"/>
      <c r="F5542" s="121"/>
      <c r="G5542" s="121"/>
      <c r="H5542" s="93"/>
      <c r="I5542" s="85"/>
      <c r="J5542" s="122"/>
      <c r="K5542" s="150"/>
      <c r="L5542" s="60"/>
    </row>
    <row r="5543" spans="1:15" x14ac:dyDescent="0.15">
      <c r="A5543" s="70"/>
      <c r="B5543" s="118"/>
      <c r="C5543" s="121"/>
      <c r="D5543" s="121"/>
      <c r="E5543" s="121"/>
      <c r="F5543" s="121"/>
      <c r="G5543" s="121"/>
      <c r="H5543" s="93"/>
      <c r="I5543" s="85"/>
      <c r="J5543" s="122"/>
      <c r="K5543" s="150"/>
      <c r="L5543" s="69"/>
    </row>
    <row r="5544" spans="1:15" x14ac:dyDescent="0.15">
      <c r="A5544" s="70"/>
      <c r="B5544" s="118"/>
      <c r="C5544" s="121"/>
      <c r="D5544" s="121"/>
      <c r="E5544" s="121"/>
      <c r="F5544" s="121"/>
      <c r="G5544" s="121"/>
      <c r="H5544" s="93"/>
      <c r="I5544" s="85"/>
      <c r="J5544" s="122"/>
      <c r="K5544" s="150"/>
      <c r="L5544" s="69"/>
    </row>
    <row r="5545" spans="1:15" x14ac:dyDescent="0.15">
      <c r="A5545" s="70"/>
      <c r="B5545" s="118"/>
      <c r="C5545" s="121"/>
      <c r="D5545" s="121"/>
      <c r="E5545" s="121"/>
      <c r="F5545" s="121"/>
      <c r="G5545" s="121"/>
      <c r="H5545" s="93"/>
      <c r="I5545" s="85"/>
      <c r="J5545" s="122"/>
      <c r="K5545" s="150"/>
      <c r="L5545" s="69"/>
    </row>
    <row r="5546" spans="1:15" x14ac:dyDescent="0.15">
      <c r="A5546" s="70"/>
      <c r="B5546" s="118"/>
      <c r="C5546" s="121"/>
      <c r="D5546" s="121"/>
      <c r="E5546" s="121"/>
      <c r="F5546" s="121"/>
      <c r="G5546" s="121"/>
      <c r="H5546" s="93"/>
      <c r="I5546" s="85"/>
      <c r="J5546" s="122"/>
      <c r="K5546" s="150"/>
      <c r="L5546" s="69"/>
    </row>
    <row r="5547" spans="1:15" x14ac:dyDescent="0.15">
      <c r="A5547" s="70"/>
      <c r="B5547" s="118"/>
      <c r="C5547" s="121"/>
      <c r="D5547" s="121"/>
      <c r="E5547" s="121"/>
      <c r="F5547" s="121"/>
      <c r="G5547" s="121"/>
      <c r="H5547" s="93"/>
      <c r="I5547" s="85"/>
      <c r="J5547" s="122"/>
      <c r="K5547" s="150"/>
      <c r="L5547" s="69"/>
    </row>
    <row r="5548" spans="1:15" x14ac:dyDescent="0.15">
      <c r="A5548" s="70"/>
      <c r="B5548" s="118"/>
      <c r="C5548" s="121"/>
      <c r="D5548" s="121"/>
      <c r="E5548" s="121"/>
      <c r="F5548" s="121"/>
      <c r="G5548" s="121"/>
      <c r="H5548" s="93"/>
      <c r="I5548" s="85"/>
      <c r="J5548" s="122"/>
      <c r="K5548" s="150"/>
      <c r="L5548" s="69"/>
    </row>
    <row r="5549" spans="1:15" x14ac:dyDescent="0.15">
      <c r="A5549" s="70"/>
      <c r="B5549" s="118"/>
      <c r="C5549" s="121"/>
      <c r="D5549" s="121"/>
      <c r="E5549" s="121"/>
      <c r="F5549" s="121"/>
      <c r="G5549" s="121"/>
      <c r="H5549" s="93"/>
      <c r="I5549" s="85"/>
      <c r="J5549" s="122"/>
      <c r="K5549" s="150"/>
      <c r="L5549" s="69"/>
      <c r="O5549" s="51"/>
    </row>
    <row r="5550" spans="1:15" x14ac:dyDescent="0.15">
      <c r="A5550" s="70"/>
      <c r="B5550" s="118"/>
      <c r="C5550" s="121"/>
      <c r="D5550" s="121"/>
      <c r="E5550" s="121"/>
      <c r="F5550" s="121"/>
      <c r="G5550" s="121"/>
      <c r="H5550" s="93"/>
      <c r="I5550" s="85"/>
      <c r="J5550" s="122"/>
      <c r="K5550" s="150"/>
      <c r="L5550" s="69"/>
    </row>
    <row r="5551" spans="1:15" x14ac:dyDescent="0.15">
      <c r="A5551" s="70"/>
      <c r="B5551" s="118"/>
      <c r="C5551" s="121"/>
      <c r="D5551" s="121"/>
      <c r="E5551" s="121"/>
      <c r="F5551" s="121"/>
      <c r="G5551" s="121"/>
      <c r="H5551" s="93"/>
      <c r="I5551" s="85"/>
      <c r="J5551" s="122"/>
      <c r="K5551" s="150"/>
      <c r="L5551" s="60"/>
    </row>
    <row r="5552" spans="1:15" x14ac:dyDescent="0.15">
      <c r="A5552" s="70"/>
      <c r="B5552" s="118"/>
      <c r="C5552" s="121"/>
      <c r="D5552" s="121"/>
      <c r="E5552" s="121"/>
      <c r="F5552" s="121"/>
      <c r="G5552" s="121"/>
      <c r="H5552" s="93"/>
      <c r="I5552" s="85"/>
      <c r="J5552" s="122"/>
      <c r="K5552" s="150"/>
      <c r="L5552" s="69"/>
    </row>
    <row r="5553" spans="1:15" x14ac:dyDescent="0.15">
      <c r="A5553" s="70"/>
      <c r="B5553" s="118"/>
      <c r="C5553" s="121"/>
      <c r="D5553" s="121"/>
      <c r="E5553" s="121"/>
      <c r="F5553" s="121"/>
      <c r="G5553" s="121"/>
      <c r="H5553" s="93"/>
      <c r="I5553" s="85"/>
      <c r="J5553" s="122"/>
      <c r="K5553" s="150"/>
      <c r="L5553" s="69"/>
    </row>
    <row r="5554" spans="1:15" x14ac:dyDescent="0.15">
      <c r="A5554" s="70"/>
      <c r="B5554" s="118"/>
      <c r="C5554" s="121"/>
      <c r="D5554" s="121"/>
      <c r="E5554" s="121"/>
      <c r="F5554" s="121"/>
      <c r="G5554" s="121"/>
      <c r="H5554" s="93"/>
      <c r="I5554" s="85"/>
      <c r="J5554" s="122"/>
      <c r="K5554" s="150"/>
      <c r="L5554" s="69"/>
    </row>
    <row r="5555" spans="1:15" x14ac:dyDescent="0.15">
      <c r="A5555" s="70"/>
      <c r="B5555" s="118"/>
      <c r="C5555" s="121"/>
      <c r="D5555" s="121"/>
      <c r="E5555" s="121"/>
      <c r="F5555" s="121"/>
      <c r="G5555" s="121"/>
      <c r="H5555" s="93"/>
      <c r="I5555" s="85"/>
      <c r="J5555" s="122"/>
      <c r="K5555" s="150"/>
      <c r="L5555" s="69"/>
    </row>
    <row r="5556" spans="1:15" x14ac:dyDescent="0.15">
      <c r="A5556" s="70"/>
      <c r="B5556" s="118"/>
      <c r="C5556" s="121"/>
      <c r="D5556" s="121"/>
      <c r="E5556" s="121"/>
      <c r="F5556" s="121"/>
      <c r="G5556" s="121"/>
      <c r="H5556" s="93"/>
      <c r="I5556" s="85"/>
      <c r="J5556" s="122"/>
      <c r="K5556" s="150"/>
      <c r="L5556" s="69"/>
    </row>
    <row r="5557" spans="1:15" x14ac:dyDescent="0.15">
      <c r="A5557" s="70"/>
      <c r="B5557" s="118"/>
      <c r="C5557" s="121"/>
      <c r="D5557" s="121"/>
      <c r="E5557" s="121"/>
      <c r="F5557" s="121"/>
      <c r="G5557" s="121"/>
      <c r="H5557" s="93"/>
      <c r="I5557" s="85"/>
      <c r="J5557" s="122"/>
      <c r="K5557" s="150"/>
      <c r="L5557" s="69"/>
    </row>
    <row r="5558" spans="1:15" x14ac:dyDescent="0.15">
      <c r="A5558" s="70"/>
      <c r="B5558" s="118"/>
      <c r="C5558" s="121"/>
      <c r="D5558" s="121"/>
      <c r="E5558" s="121"/>
      <c r="F5558" s="121"/>
      <c r="G5558" s="121"/>
      <c r="H5558" s="93"/>
      <c r="I5558" s="85"/>
      <c r="J5558" s="122"/>
      <c r="K5558" s="150"/>
      <c r="L5558" s="69"/>
      <c r="O5558" s="51"/>
    </row>
    <row r="5559" spans="1:15" x14ac:dyDescent="0.15">
      <c r="A5559" s="70"/>
      <c r="B5559" s="118"/>
      <c r="C5559" s="121"/>
      <c r="D5559" s="121"/>
      <c r="E5559" s="121"/>
      <c r="F5559" s="121"/>
      <c r="G5559" s="121"/>
      <c r="H5559" s="93"/>
      <c r="I5559" s="85"/>
      <c r="J5559" s="122"/>
      <c r="K5559" s="150"/>
      <c r="L5559" s="69"/>
    </row>
    <row r="5560" spans="1:15" x14ac:dyDescent="0.15">
      <c r="A5560" s="70"/>
      <c r="B5560" s="118"/>
      <c r="C5560" s="121"/>
      <c r="D5560" s="121"/>
      <c r="E5560" s="121"/>
      <c r="F5560" s="121"/>
      <c r="G5560" s="121"/>
      <c r="H5560" s="93"/>
      <c r="I5560" s="85"/>
      <c r="J5560" s="122"/>
      <c r="K5560" s="150"/>
      <c r="L5560" s="69"/>
    </row>
    <row r="5561" spans="1:15" x14ac:dyDescent="0.15">
      <c r="A5561" s="70"/>
      <c r="B5561" s="118"/>
      <c r="C5561" s="121"/>
      <c r="D5561" s="121"/>
      <c r="E5561" s="121"/>
      <c r="F5561" s="121"/>
      <c r="G5561" s="121"/>
      <c r="H5561" s="93"/>
      <c r="I5561" s="85"/>
      <c r="J5561" s="122"/>
      <c r="K5561" s="150"/>
      <c r="L5561" s="60"/>
    </row>
    <row r="5562" spans="1:15" x14ac:dyDescent="0.15">
      <c r="A5562" s="70"/>
      <c r="B5562" s="118"/>
      <c r="C5562" s="121"/>
      <c r="D5562" s="121"/>
      <c r="E5562" s="121"/>
      <c r="F5562" s="121"/>
      <c r="G5562" s="121"/>
      <c r="H5562" s="93"/>
      <c r="I5562" s="85"/>
      <c r="J5562" s="122"/>
      <c r="K5562" s="150"/>
      <c r="L5562" s="60"/>
    </row>
    <row r="5563" spans="1:15" ht="16" x14ac:dyDescent="0.2">
      <c r="A5563" s="70"/>
      <c r="B5563" s="118"/>
      <c r="C5563" s="121"/>
      <c r="D5563" s="121"/>
      <c r="E5563" s="121"/>
      <c r="F5563" s="121"/>
      <c r="G5563" s="121"/>
      <c r="H5563" s="93"/>
      <c r="I5563" s="85"/>
      <c r="J5563" s="122"/>
      <c r="K5563" s="150"/>
      <c r="L5563" s="60"/>
      <c r="N5563" s="48"/>
    </row>
    <row r="5564" spans="1:15" x14ac:dyDescent="0.15">
      <c r="A5564" s="70"/>
      <c r="B5564" s="118"/>
      <c r="C5564" s="121"/>
      <c r="D5564" s="121"/>
      <c r="E5564" s="121"/>
      <c r="F5564" s="121"/>
      <c r="G5564" s="121"/>
      <c r="H5564" s="93"/>
      <c r="I5564" s="85"/>
      <c r="J5564" s="122"/>
      <c r="K5564" s="150"/>
      <c r="L5564" s="69"/>
    </row>
    <row r="5565" spans="1:15" x14ac:dyDescent="0.15">
      <c r="A5565" s="70"/>
      <c r="B5565" s="118"/>
      <c r="C5565" s="121"/>
      <c r="D5565" s="121"/>
      <c r="E5565" s="121"/>
      <c r="F5565" s="121"/>
      <c r="G5565" s="121"/>
      <c r="H5565" s="93"/>
      <c r="I5565" s="85"/>
      <c r="J5565" s="122"/>
      <c r="K5565" s="150"/>
      <c r="L5565" s="69"/>
    </row>
    <row r="5566" spans="1:15" x14ac:dyDescent="0.15">
      <c r="A5566" s="70"/>
      <c r="B5566" s="118"/>
      <c r="C5566" s="121"/>
      <c r="D5566" s="121"/>
      <c r="E5566" s="121"/>
      <c r="F5566" s="121"/>
      <c r="G5566" s="121"/>
      <c r="H5566" s="93"/>
      <c r="I5566" s="85"/>
      <c r="J5566" s="122"/>
      <c r="K5566" s="150"/>
      <c r="L5566" s="69"/>
    </row>
    <row r="5567" spans="1:15" x14ac:dyDescent="0.15">
      <c r="A5567" s="70"/>
      <c r="B5567" s="118"/>
      <c r="C5567" s="121"/>
      <c r="D5567" s="121"/>
      <c r="E5567" s="121"/>
      <c r="F5567" s="121"/>
      <c r="G5567" s="121"/>
      <c r="H5567" s="93"/>
      <c r="I5567" s="85"/>
      <c r="J5567" s="122"/>
      <c r="K5567" s="150"/>
      <c r="L5567" s="60"/>
      <c r="M5567" s="50"/>
      <c r="O5567" s="51"/>
    </row>
    <row r="5568" spans="1:15" x14ac:dyDescent="0.15">
      <c r="A5568" s="70"/>
      <c r="B5568" s="118"/>
      <c r="C5568" s="121"/>
      <c r="D5568" s="121"/>
      <c r="E5568" s="121"/>
      <c r="F5568" s="121"/>
      <c r="G5568" s="121"/>
      <c r="H5568" s="93"/>
      <c r="I5568" s="85"/>
      <c r="J5568" s="122"/>
      <c r="K5568" s="150"/>
      <c r="L5568" s="69"/>
      <c r="M5568" s="50"/>
    </row>
    <row r="5569" spans="1:13" x14ac:dyDescent="0.15">
      <c r="A5569" s="70"/>
      <c r="B5569" s="118"/>
      <c r="C5569" s="121"/>
      <c r="D5569" s="121"/>
      <c r="E5569" s="121"/>
      <c r="F5569" s="121"/>
      <c r="G5569" s="121"/>
      <c r="H5569" s="93"/>
      <c r="I5569" s="85"/>
      <c r="J5569" s="122"/>
      <c r="K5569" s="150"/>
      <c r="L5569" s="60"/>
      <c r="M5569" s="50"/>
    </row>
    <row r="5570" spans="1:13" x14ac:dyDescent="0.15">
      <c r="A5570" s="70"/>
      <c r="B5570" s="118"/>
      <c r="C5570" s="121"/>
      <c r="D5570" s="121"/>
      <c r="E5570" s="121"/>
      <c r="F5570" s="121"/>
      <c r="G5570" s="121"/>
      <c r="H5570" s="93"/>
      <c r="I5570" s="85"/>
      <c r="J5570" s="122"/>
      <c r="K5570" s="150"/>
      <c r="L5570" s="69"/>
      <c r="M5570" s="50"/>
    </row>
    <row r="5571" spans="1:13" x14ac:dyDescent="0.15">
      <c r="A5571" s="70"/>
      <c r="B5571" s="118"/>
      <c r="C5571" s="121"/>
      <c r="D5571" s="121"/>
      <c r="E5571" s="121"/>
      <c r="F5571" s="121"/>
      <c r="G5571" s="121"/>
      <c r="H5571" s="93"/>
      <c r="I5571" s="85"/>
      <c r="J5571" s="122"/>
      <c r="K5571" s="150"/>
      <c r="L5571" s="69"/>
      <c r="M5571" s="50"/>
    </row>
    <row r="5572" spans="1:13" x14ac:dyDescent="0.15">
      <c r="A5572" s="70"/>
      <c r="B5572" s="118"/>
      <c r="C5572" s="121"/>
      <c r="D5572" s="121"/>
      <c r="E5572" s="121"/>
      <c r="F5572" s="121"/>
      <c r="G5572" s="121"/>
      <c r="H5572" s="93"/>
      <c r="I5572" s="85"/>
      <c r="J5572" s="122"/>
      <c r="K5572" s="150"/>
      <c r="L5572" s="69"/>
      <c r="M5572" s="50"/>
    </row>
    <row r="5573" spans="1:13" x14ac:dyDescent="0.15">
      <c r="A5573" s="70"/>
      <c r="B5573" s="118"/>
      <c r="C5573" s="121"/>
      <c r="D5573" s="121"/>
      <c r="E5573" s="121"/>
      <c r="F5573" s="121"/>
      <c r="G5573" s="121"/>
      <c r="H5573" s="93"/>
      <c r="I5573" s="85"/>
      <c r="J5573" s="122"/>
      <c r="K5573" s="150"/>
      <c r="L5573" s="69"/>
      <c r="M5573" s="50"/>
    </row>
    <row r="5574" spans="1:13" x14ac:dyDescent="0.15">
      <c r="A5574" s="70"/>
      <c r="B5574" s="118"/>
      <c r="C5574" s="121"/>
      <c r="D5574" s="121"/>
      <c r="E5574" s="121"/>
      <c r="F5574" s="121"/>
      <c r="G5574" s="121"/>
      <c r="H5574" s="93"/>
      <c r="I5574" s="85"/>
      <c r="J5574" s="122"/>
      <c r="K5574" s="150"/>
      <c r="L5574" s="69"/>
      <c r="M5574" s="50"/>
    </row>
    <row r="5575" spans="1:13" x14ac:dyDescent="0.15">
      <c r="A5575" s="70"/>
      <c r="B5575" s="118"/>
      <c r="C5575" s="121"/>
      <c r="D5575" s="121"/>
      <c r="E5575" s="121"/>
      <c r="F5575" s="121"/>
      <c r="G5575" s="121"/>
      <c r="H5575" s="93"/>
      <c r="I5575" s="85"/>
      <c r="J5575" s="122"/>
      <c r="K5575" s="150"/>
      <c r="L5575" s="69"/>
      <c r="M5575" s="50"/>
    </row>
    <row r="5576" spans="1:13" x14ac:dyDescent="0.15">
      <c r="A5576" s="70"/>
      <c r="B5576" s="118"/>
      <c r="C5576" s="121"/>
      <c r="D5576" s="121"/>
      <c r="E5576" s="121"/>
      <c r="F5576" s="121"/>
      <c r="G5576" s="121"/>
      <c r="H5576" s="93"/>
      <c r="I5576" s="85"/>
      <c r="J5576" s="122"/>
      <c r="K5576" s="150"/>
      <c r="L5576" s="60"/>
      <c r="M5576" s="50"/>
    </row>
    <row r="5577" spans="1:13" x14ac:dyDescent="0.15">
      <c r="A5577" s="73"/>
      <c r="B5577" s="118"/>
      <c r="C5577" s="121"/>
      <c r="D5577" s="121"/>
      <c r="E5577" s="121"/>
      <c r="F5577" s="121"/>
      <c r="G5577" s="121"/>
      <c r="H5577" s="93"/>
      <c r="I5577" s="85"/>
      <c r="J5577" s="122"/>
      <c r="K5577" s="150"/>
      <c r="L5577" s="69"/>
      <c r="M5577" s="50"/>
    </row>
    <row r="5578" spans="1:13" x14ac:dyDescent="0.15">
      <c r="A5578" s="70"/>
      <c r="B5578" s="118"/>
      <c r="C5578" s="121"/>
      <c r="D5578" s="121"/>
      <c r="E5578" s="121"/>
      <c r="F5578" s="121"/>
      <c r="G5578" s="121"/>
      <c r="H5578" s="93"/>
      <c r="I5578" s="85"/>
      <c r="J5578" s="122"/>
      <c r="K5578" s="150"/>
      <c r="L5578" s="69"/>
      <c r="M5578" s="50"/>
    </row>
    <row r="5579" spans="1:13" x14ac:dyDescent="0.15">
      <c r="A5579" s="70"/>
      <c r="B5579" s="118"/>
      <c r="C5579" s="121"/>
      <c r="D5579" s="121"/>
      <c r="E5579" s="121"/>
      <c r="F5579" s="121"/>
      <c r="G5579" s="121"/>
      <c r="H5579" s="93"/>
      <c r="I5579" s="85"/>
      <c r="J5579" s="122"/>
      <c r="K5579" s="150"/>
      <c r="L5579" s="69"/>
      <c r="M5579" s="50"/>
    </row>
    <row r="5580" spans="1:13" x14ac:dyDescent="0.15">
      <c r="A5580" s="73"/>
      <c r="B5580" s="118"/>
      <c r="C5580" s="121"/>
      <c r="D5580" s="121"/>
      <c r="E5580" s="121"/>
      <c r="F5580" s="121"/>
      <c r="G5580" s="121"/>
      <c r="H5580" s="93"/>
      <c r="I5580" s="85"/>
      <c r="J5580" s="122"/>
      <c r="K5580" s="150"/>
      <c r="L5580" s="69"/>
      <c r="M5580" s="50"/>
    </row>
    <row r="5581" spans="1:13" x14ac:dyDescent="0.15">
      <c r="A5581" s="70"/>
      <c r="B5581" s="118"/>
      <c r="C5581" s="121"/>
      <c r="D5581" s="121"/>
      <c r="E5581" s="121"/>
      <c r="F5581" s="121"/>
      <c r="G5581" s="121"/>
      <c r="H5581" s="93"/>
      <c r="I5581" s="85"/>
      <c r="J5581" s="122"/>
      <c r="K5581" s="150"/>
      <c r="L5581" s="69"/>
      <c r="M5581" s="50"/>
    </row>
    <row r="5582" spans="1:13" x14ac:dyDescent="0.15">
      <c r="A5582" s="73"/>
      <c r="B5582" s="118"/>
      <c r="C5582" s="121"/>
      <c r="D5582" s="121"/>
      <c r="E5582" s="121"/>
      <c r="F5582" s="121"/>
      <c r="G5582" s="121"/>
      <c r="H5582" s="93"/>
      <c r="I5582" s="85"/>
      <c r="J5582" s="122"/>
      <c r="K5582" s="150"/>
      <c r="L5582" s="69"/>
      <c r="M5582" s="50"/>
    </row>
    <row r="5583" spans="1:13" x14ac:dyDescent="0.15">
      <c r="A5583" s="70"/>
      <c r="B5583" s="118"/>
      <c r="C5583" s="121"/>
      <c r="D5583" s="121"/>
      <c r="E5583" s="121"/>
      <c r="F5583" s="121"/>
      <c r="G5583" s="121"/>
      <c r="H5583" s="93"/>
      <c r="I5583" s="85"/>
      <c r="J5583" s="122"/>
      <c r="K5583" s="150"/>
      <c r="L5583" s="69"/>
      <c r="M5583" s="50"/>
    </row>
    <row r="5584" spans="1:13" x14ac:dyDescent="0.15">
      <c r="A5584" s="70"/>
      <c r="B5584" s="118"/>
      <c r="C5584" s="121"/>
      <c r="D5584" s="121"/>
      <c r="E5584" s="121"/>
      <c r="F5584" s="121"/>
      <c r="G5584" s="121"/>
      <c r="H5584" s="93"/>
      <c r="I5584" s="85"/>
      <c r="J5584" s="122"/>
      <c r="K5584" s="150"/>
      <c r="L5584" s="69"/>
      <c r="M5584" s="50"/>
    </row>
    <row r="5585" spans="1:14" x14ac:dyDescent="0.15">
      <c r="A5585" s="70"/>
      <c r="B5585" s="118"/>
      <c r="C5585" s="121"/>
      <c r="D5585" s="121"/>
      <c r="E5585" s="121"/>
      <c r="F5585" s="121"/>
      <c r="G5585" s="121"/>
      <c r="H5585" s="93"/>
      <c r="I5585" s="85"/>
      <c r="J5585" s="122"/>
      <c r="K5585" s="150"/>
      <c r="L5585" s="69"/>
      <c r="M5585" s="50"/>
    </row>
    <row r="5586" spans="1:14" x14ac:dyDescent="0.15">
      <c r="A5586" s="70"/>
      <c r="B5586" s="118"/>
      <c r="C5586" s="121"/>
      <c r="D5586" s="121"/>
      <c r="E5586" s="121"/>
      <c r="F5586" s="121"/>
      <c r="G5586" s="121"/>
      <c r="H5586" s="93"/>
      <c r="I5586" s="85"/>
      <c r="J5586" s="122"/>
      <c r="K5586" s="150"/>
      <c r="L5586" s="69"/>
      <c r="M5586" s="50"/>
    </row>
    <row r="5587" spans="1:14" x14ac:dyDescent="0.15">
      <c r="A5587" s="70"/>
      <c r="B5587" s="118"/>
      <c r="C5587" s="121"/>
      <c r="D5587" s="121"/>
      <c r="E5587" s="121"/>
      <c r="F5587" s="121"/>
      <c r="G5587" s="121"/>
      <c r="H5587" s="93"/>
      <c r="I5587" s="85"/>
      <c r="J5587" s="122"/>
      <c r="K5587" s="150"/>
      <c r="L5587" s="69"/>
      <c r="M5587" s="50"/>
    </row>
    <row r="5588" spans="1:14" x14ac:dyDescent="0.15">
      <c r="A5588" s="70"/>
      <c r="B5588" s="118"/>
      <c r="C5588" s="121"/>
      <c r="D5588" s="121"/>
      <c r="E5588" s="121"/>
      <c r="F5588" s="121"/>
      <c r="G5588" s="121"/>
      <c r="H5588" s="93"/>
      <c r="I5588" s="85"/>
      <c r="J5588" s="122"/>
      <c r="K5588" s="150"/>
      <c r="L5588" s="69"/>
      <c r="M5588" s="50"/>
    </row>
    <row r="5589" spans="1:14" x14ac:dyDescent="0.15">
      <c r="A5589" s="70"/>
      <c r="B5589" s="118"/>
      <c r="C5589" s="121"/>
      <c r="D5589" s="121"/>
      <c r="E5589" s="121"/>
      <c r="F5589" s="121"/>
      <c r="G5589" s="121"/>
      <c r="H5589" s="93"/>
      <c r="I5589" s="85"/>
      <c r="J5589" s="122"/>
      <c r="K5589" s="150"/>
      <c r="L5589" s="69"/>
      <c r="M5589" s="50"/>
    </row>
    <row r="5590" spans="1:14" x14ac:dyDescent="0.15">
      <c r="A5590" s="70"/>
      <c r="B5590" s="117"/>
      <c r="C5590" s="121"/>
      <c r="D5590" s="121"/>
      <c r="E5590" s="121"/>
      <c r="F5590" s="121"/>
      <c r="G5590" s="121"/>
      <c r="H5590" s="93"/>
      <c r="I5590" s="85"/>
      <c r="J5590" s="122"/>
      <c r="K5590" s="150"/>
      <c r="L5590" s="60"/>
      <c r="M5590" s="33"/>
    </row>
    <row r="5591" spans="1:14" x14ac:dyDescent="0.15">
      <c r="A5591" s="70"/>
      <c r="B5591" s="118"/>
      <c r="C5591" s="121"/>
      <c r="D5591" s="121"/>
      <c r="E5591" s="121"/>
      <c r="F5591" s="121"/>
      <c r="G5591" s="121"/>
      <c r="H5591" s="93"/>
      <c r="I5591" s="85"/>
      <c r="J5591" s="122"/>
      <c r="K5591" s="150"/>
      <c r="L5591" s="60"/>
      <c r="M5591" s="50"/>
    </row>
    <row r="5592" spans="1:14" x14ac:dyDescent="0.15">
      <c r="A5592" s="70"/>
      <c r="B5592" s="118"/>
      <c r="C5592" s="121"/>
      <c r="D5592" s="121"/>
      <c r="E5592" s="121"/>
      <c r="F5592" s="121"/>
      <c r="G5592" s="121"/>
      <c r="H5592" s="93"/>
      <c r="I5592" s="85"/>
      <c r="J5592" s="122"/>
      <c r="K5592" s="150"/>
      <c r="L5592" s="60"/>
      <c r="M5592" s="50"/>
    </row>
    <row r="5593" spans="1:14" x14ac:dyDescent="0.15">
      <c r="A5593" s="70"/>
      <c r="B5593" s="118"/>
      <c r="C5593" s="121"/>
      <c r="D5593" s="121"/>
      <c r="E5593" s="121"/>
      <c r="F5593" s="121"/>
      <c r="G5593" s="121"/>
      <c r="H5593" s="93"/>
      <c r="I5593" s="85"/>
      <c r="J5593" s="122"/>
      <c r="K5593" s="150"/>
      <c r="L5593" s="69"/>
      <c r="M5593" s="50"/>
    </row>
    <row r="5594" spans="1:14" x14ac:dyDescent="0.15">
      <c r="A5594" s="70"/>
      <c r="B5594" s="117"/>
      <c r="C5594" s="121"/>
      <c r="D5594" s="121"/>
      <c r="E5594" s="121"/>
      <c r="F5594" s="121"/>
      <c r="G5594" s="121"/>
      <c r="H5594" s="93"/>
      <c r="I5594" s="85"/>
      <c r="J5594" s="122"/>
      <c r="K5594" s="150"/>
      <c r="L5594" s="60"/>
      <c r="M5594" s="33"/>
    </row>
    <row r="5595" spans="1:14" ht="16" x14ac:dyDescent="0.2">
      <c r="A5595" s="70"/>
      <c r="B5595" s="118"/>
      <c r="C5595" s="121"/>
      <c r="D5595" s="121"/>
      <c r="E5595" s="121"/>
      <c r="F5595" s="121"/>
      <c r="G5595" s="121"/>
      <c r="H5595" s="93"/>
      <c r="I5595" s="85"/>
      <c r="J5595" s="122"/>
      <c r="K5595" s="150"/>
      <c r="L5595" s="69"/>
      <c r="M5595" s="50"/>
      <c r="N5595" s="48"/>
    </row>
    <row r="5596" spans="1:14" x14ac:dyDescent="0.15">
      <c r="A5596" s="70"/>
      <c r="B5596" s="118"/>
      <c r="C5596" s="121"/>
      <c r="D5596" s="121"/>
      <c r="E5596" s="121"/>
      <c r="F5596" s="121"/>
      <c r="G5596" s="121"/>
      <c r="H5596" s="93"/>
      <c r="I5596" s="85"/>
      <c r="J5596" s="122"/>
      <c r="K5596" s="150"/>
      <c r="L5596" s="69"/>
      <c r="M5596" s="50"/>
    </row>
    <row r="5597" spans="1:14" x14ac:dyDescent="0.15">
      <c r="A5597" s="70"/>
      <c r="B5597" s="118"/>
      <c r="C5597" s="121"/>
      <c r="D5597" s="121"/>
      <c r="E5597" s="121"/>
      <c r="F5597" s="121"/>
      <c r="G5597" s="121"/>
      <c r="H5597" s="93"/>
      <c r="I5597" s="85"/>
      <c r="J5597" s="122"/>
      <c r="K5597" s="150"/>
      <c r="L5597" s="69"/>
      <c r="M5597" s="50"/>
    </row>
    <row r="5598" spans="1:14" x14ac:dyDescent="0.15">
      <c r="A5598" s="70"/>
      <c r="B5598" s="118"/>
      <c r="C5598" s="121"/>
      <c r="D5598" s="121"/>
      <c r="E5598" s="121"/>
      <c r="F5598" s="121"/>
      <c r="G5598" s="121"/>
      <c r="H5598" s="93"/>
      <c r="I5598" s="85"/>
      <c r="J5598" s="122"/>
      <c r="K5598" s="150"/>
      <c r="L5598" s="69"/>
      <c r="M5598" s="50"/>
    </row>
    <row r="5599" spans="1:14" x14ac:dyDescent="0.15">
      <c r="A5599" s="73"/>
      <c r="B5599" s="118"/>
      <c r="C5599" s="121"/>
      <c r="D5599" s="121"/>
      <c r="E5599" s="121"/>
      <c r="F5599" s="121"/>
      <c r="G5599" s="121"/>
      <c r="H5599" s="93"/>
      <c r="I5599" s="85"/>
      <c r="J5599" s="122"/>
      <c r="K5599" s="150"/>
      <c r="L5599" s="69"/>
      <c r="M5599" s="50"/>
    </row>
    <row r="5600" spans="1:14" x14ac:dyDescent="0.15">
      <c r="A5600" s="70"/>
      <c r="B5600" s="118"/>
      <c r="C5600" s="121"/>
      <c r="D5600" s="121"/>
      <c r="E5600" s="121"/>
      <c r="F5600" s="121"/>
      <c r="G5600" s="121"/>
      <c r="H5600" s="93"/>
      <c r="I5600" s="85"/>
      <c r="J5600" s="122"/>
      <c r="K5600" s="150"/>
      <c r="L5600" s="69"/>
      <c r="M5600" s="50"/>
    </row>
    <row r="5601" spans="1:15" x14ac:dyDescent="0.15">
      <c r="A5601" s="70"/>
      <c r="B5601" s="118"/>
      <c r="C5601" s="121"/>
      <c r="D5601" s="121"/>
      <c r="E5601" s="121"/>
      <c r="F5601" s="121"/>
      <c r="G5601" s="121"/>
      <c r="H5601" s="93"/>
      <c r="I5601" s="85"/>
      <c r="J5601" s="122"/>
      <c r="K5601" s="150"/>
      <c r="L5601" s="69"/>
      <c r="M5601" s="50"/>
    </row>
    <row r="5602" spans="1:15" x14ac:dyDescent="0.15">
      <c r="A5602" s="70"/>
      <c r="B5602" s="118"/>
      <c r="C5602" s="121"/>
      <c r="D5602" s="121"/>
      <c r="E5602" s="121"/>
      <c r="F5602" s="121"/>
      <c r="G5602" s="121"/>
      <c r="H5602" s="93"/>
      <c r="I5602" s="85"/>
      <c r="J5602" s="122"/>
      <c r="K5602" s="150"/>
      <c r="L5602" s="69"/>
      <c r="M5602" s="50"/>
    </row>
    <row r="5603" spans="1:15" x14ac:dyDescent="0.15">
      <c r="A5603" s="70"/>
      <c r="B5603" s="118"/>
      <c r="C5603" s="121"/>
      <c r="D5603" s="121"/>
      <c r="E5603" s="121"/>
      <c r="F5603" s="121"/>
      <c r="G5603" s="121"/>
      <c r="H5603" s="93"/>
      <c r="I5603" s="85"/>
      <c r="J5603" s="122"/>
      <c r="K5603" s="150"/>
      <c r="L5603" s="69"/>
      <c r="M5603" s="50"/>
    </row>
    <row r="5604" spans="1:15" x14ac:dyDescent="0.15">
      <c r="A5604" s="70"/>
      <c r="B5604" s="118"/>
      <c r="C5604" s="121"/>
      <c r="D5604" s="121"/>
      <c r="E5604" s="121"/>
      <c r="F5604" s="121"/>
      <c r="G5604" s="121"/>
      <c r="H5604" s="93"/>
      <c r="I5604" s="85"/>
      <c r="J5604" s="122"/>
      <c r="K5604" s="150"/>
      <c r="L5604" s="69"/>
      <c r="M5604" s="50"/>
    </row>
    <row r="5605" spans="1:15" x14ac:dyDescent="0.15">
      <c r="A5605" s="70"/>
      <c r="B5605" s="118"/>
      <c r="C5605" s="121"/>
      <c r="D5605" s="121"/>
      <c r="E5605" s="121"/>
      <c r="F5605" s="121"/>
      <c r="G5605" s="121"/>
      <c r="H5605" s="93"/>
      <c r="I5605" s="85"/>
      <c r="J5605" s="122"/>
      <c r="K5605" s="150"/>
      <c r="L5605" s="69"/>
      <c r="M5605" s="50"/>
    </row>
    <row r="5606" spans="1:15" x14ac:dyDescent="0.15">
      <c r="A5606" s="70"/>
      <c r="B5606" s="118"/>
      <c r="C5606" s="121"/>
      <c r="D5606" s="121"/>
      <c r="E5606" s="121"/>
      <c r="F5606" s="121"/>
      <c r="G5606" s="121"/>
      <c r="H5606" s="93"/>
      <c r="I5606" s="85"/>
      <c r="J5606" s="122"/>
      <c r="K5606" s="150"/>
      <c r="L5606" s="69"/>
      <c r="M5606" s="50"/>
    </row>
    <row r="5607" spans="1:15" x14ac:dyDescent="0.15">
      <c r="A5607" s="70"/>
      <c r="B5607" s="118"/>
      <c r="C5607" s="121"/>
      <c r="D5607" s="121"/>
      <c r="E5607" s="121"/>
      <c r="F5607" s="121"/>
      <c r="G5607" s="121"/>
      <c r="H5607" s="93"/>
      <c r="I5607" s="85"/>
      <c r="J5607" s="122"/>
      <c r="K5607" s="150"/>
      <c r="L5607" s="69"/>
      <c r="M5607" s="50"/>
    </row>
    <row r="5608" spans="1:15" x14ac:dyDescent="0.15">
      <c r="A5608" s="73"/>
      <c r="B5608" s="118"/>
      <c r="C5608" s="121"/>
      <c r="D5608" s="121"/>
      <c r="E5608" s="121"/>
      <c r="F5608" s="121"/>
      <c r="G5608" s="121"/>
      <c r="H5608" s="93"/>
      <c r="I5608" s="85"/>
      <c r="J5608" s="122"/>
      <c r="K5608" s="150"/>
      <c r="L5608" s="69"/>
      <c r="M5608" s="50"/>
    </row>
    <row r="5609" spans="1:15" x14ac:dyDescent="0.15">
      <c r="A5609" s="70"/>
      <c r="B5609" s="118"/>
      <c r="C5609" s="121"/>
      <c r="D5609" s="121"/>
      <c r="E5609" s="121"/>
      <c r="F5609" s="121"/>
      <c r="G5609" s="121"/>
      <c r="H5609" s="93"/>
      <c r="I5609" s="85"/>
      <c r="J5609" s="122"/>
      <c r="K5609" s="150"/>
      <c r="L5609" s="69"/>
      <c r="M5609" s="50"/>
    </row>
    <row r="5610" spans="1:15" x14ac:dyDescent="0.15">
      <c r="A5610" s="70"/>
      <c r="B5610" s="118"/>
      <c r="C5610" s="121"/>
      <c r="D5610" s="121"/>
      <c r="E5610" s="121"/>
      <c r="F5610" s="121"/>
      <c r="G5610" s="121"/>
      <c r="H5610" s="93"/>
      <c r="I5610" s="85"/>
      <c r="J5610" s="122"/>
      <c r="K5610" s="150"/>
      <c r="L5610" s="69"/>
      <c r="M5610" s="50"/>
    </row>
    <row r="5611" spans="1:15" x14ac:dyDescent="0.15">
      <c r="A5611" s="73"/>
      <c r="B5611" s="118"/>
      <c r="C5611" s="121"/>
      <c r="D5611" s="121"/>
      <c r="E5611" s="121"/>
      <c r="F5611" s="121"/>
      <c r="G5611" s="121"/>
      <c r="H5611" s="93"/>
      <c r="I5611" s="85"/>
      <c r="J5611" s="122"/>
      <c r="K5611" s="150"/>
      <c r="L5611" s="69"/>
      <c r="M5611" s="50"/>
      <c r="O5611" s="51"/>
    </row>
    <row r="5612" spans="1:15" x14ac:dyDescent="0.15">
      <c r="A5612" s="70"/>
      <c r="B5612" s="118"/>
      <c r="C5612" s="121"/>
      <c r="D5612" s="121"/>
      <c r="E5612" s="121"/>
      <c r="F5612" s="121"/>
      <c r="G5612" s="121"/>
      <c r="H5612" s="93"/>
      <c r="I5612" s="85"/>
      <c r="J5612" s="122"/>
      <c r="K5612" s="150"/>
      <c r="L5612" s="69"/>
      <c r="M5612" s="50"/>
      <c r="O5612" s="51"/>
    </row>
    <row r="5613" spans="1:15" x14ac:dyDescent="0.15">
      <c r="A5613" s="70"/>
      <c r="B5613" s="118"/>
      <c r="C5613" s="121"/>
      <c r="D5613" s="121"/>
      <c r="E5613" s="121"/>
      <c r="F5613" s="121"/>
      <c r="G5613" s="121"/>
      <c r="H5613" s="93"/>
      <c r="I5613" s="85"/>
      <c r="J5613" s="122"/>
      <c r="K5613" s="150"/>
      <c r="L5613" s="69"/>
      <c r="M5613" s="50"/>
      <c r="O5613" s="51"/>
    </row>
    <row r="5614" spans="1:15" x14ac:dyDescent="0.15">
      <c r="A5614" s="70"/>
      <c r="B5614" s="118"/>
      <c r="C5614" s="121"/>
      <c r="D5614" s="121"/>
      <c r="E5614" s="121"/>
      <c r="F5614" s="121"/>
      <c r="G5614" s="121"/>
      <c r="H5614" s="93"/>
      <c r="I5614" s="85"/>
      <c r="J5614" s="122"/>
      <c r="K5614" s="150"/>
      <c r="L5614" s="69"/>
      <c r="M5614" s="50"/>
      <c r="O5614" s="51"/>
    </row>
    <row r="5615" spans="1:15" x14ac:dyDescent="0.15">
      <c r="A5615" s="70"/>
      <c r="B5615" s="118"/>
      <c r="C5615" s="121"/>
      <c r="D5615" s="121"/>
      <c r="E5615" s="121"/>
      <c r="F5615" s="121"/>
      <c r="G5615" s="121"/>
      <c r="H5615" s="93"/>
      <c r="I5615" s="85"/>
      <c r="J5615" s="122"/>
      <c r="K5615" s="150"/>
      <c r="L5615" s="69"/>
      <c r="M5615" s="50"/>
      <c r="O5615" s="51"/>
    </row>
    <row r="5616" spans="1:15" x14ac:dyDescent="0.15">
      <c r="A5616" s="70"/>
      <c r="B5616" s="118"/>
      <c r="C5616" s="121"/>
      <c r="D5616" s="121"/>
      <c r="E5616" s="121"/>
      <c r="F5616" s="121"/>
      <c r="G5616" s="121"/>
      <c r="H5616" s="93"/>
      <c r="I5616" s="85"/>
      <c r="J5616" s="122"/>
      <c r="K5616" s="150"/>
      <c r="L5616" s="69"/>
      <c r="M5616" s="50"/>
      <c r="O5616" s="51"/>
    </row>
    <row r="5617" spans="1:15" x14ac:dyDescent="0.15">
      <c r="A5617" s="70"/>
      <c r="B5617" s="118"/>
      <c r="C5617" s="121"/>
      <c r="D5617" s="121"/>
      <c r="E5617" s="121"/>
      <c r="F5617" s="121"/>
      <c r="G5617" s="121"/>
      <c r="H5617" s="93"/>
      <c r="I5617" s="85"/>
      <c r="J5617" s="122"/>
      <c r="K5617" s="150"/>
      <c r="L5617" s="69"/>
      <c r="M5617" s="50"/>
      <c r="O5617" s="51"/>
    </row>
    <row r="5618" spans="1:15" x14ac:dyDescent="0.15">
      <c r="A5618" s="73"/>
      <c r="B5618" s="118"/>
      <c r="C5618" s="121"/>
      <c r="D5618" s="121"/>
      <c r="E5618" s="121"/>
      <c r="F5618" s="121"/>
      <c r="G5618" s="121"/>
      <c r="H5618" s="93"/>
      <c r="I5618" s="85"/>
      <c r="J5618" s="122"/>
      <c r="K5618" s="150"/>
      <c r="L5618" s="69"/>
      <c r="M5618" s="50"/>
      <c r="O5618" s="51"/>
    </row>
    <row r="5619" spans="1:15" x14ac:dyDescent="0.15">
      <c r="A5619" s="70"/>
      <c r="B5619" s="118"/>
      <c r="C5619" s="121"/>
      <c r="D5619" s="121"/>
      <c r="E5619" s="121"/>
      <c r="F5619" s="121"/>
      <c r="G5619" s="121"/>
      <c r="H5619" s="93"/>
      <c r="I5619" s="85"/>
      <c r="J5619" s="122"/>
      <c r="K5619" s="150"/>
      <c r="L5619" s="69"/>
      <c r="M5619" s="50"/>
    </row>
    <row r="5620" spans="1:15" x14ac:dyDescent="0.15">
      <c r="A5620" s="70"/>
      <c r="B5620" s="118"/>
      <c r="C5620" s="121"/>
      <c r="D5620" s="121"/>
      <c r="E5620" s="121"/>
      <c r="F5620" s="121"/>
      <c r="G5620" s="121"/>
      <c r="H5620" s="93"/>
      <c r="I5620" s="85"/>
      <c r="J5620" s="122"/>
      <c r="K5620" s="150"/>
      <c r="L5620" s="60"/>
      <c r="M5620" s="50"/>
    </row>
    <row r="5621" spans="1:15" x14ac:dyDescent="0.15">
      <c r="A5621" s="70"/>
      <c r="B5621" s="118"/>
      <c r="C5621" s="121"/>
      <c r="D5621" s="121"/>
      <c r="E5621" s="121"/>
      <c r="F5621" s="121"/>
      <c r="G5621" s="121"/>
      <c r="H5621" s="93"/>
      <c r="I5621" s="85"/>
      <c r="J5621" s="122"/>
      <c r="K5621" s="150"/>
      <c r="L5621" s="69"/>
      <c r="M5621" s="50"/>
    </row>
    <row r="5622" spans="1:15" x14ac:dyDescent="0.15">
      <c r="A5622" s="70"/>
      <c r="B5622" s="118"/>
      <c r="C5622" s="121"/>
      <c r="D5622" s="121"/>
      <c r="E5622" s="121"/>
      <c r="F5622" s="121"/>
      <c r="G5622" s="121"/>
      <c r="H5622" s="93"/>
      <c r="I5622" s="85"/>
      <c r="J5622" s="122"/>
      <c r="K5622" s="150"/>
      <c r="L5622" s="69"/>
      <c r="M5622" s="50"/>
    </row>
    <row r="5623" spans="1:15" x14ac:dyDescent="0.15">
      <c r="A5623" s="70"/>
      <c r="B5623" s="118"/>
      <c r="C5623" s="121"/>
      <c r="D5623" s="121"/>
      <c r="E5623" s="121"/>
      <c r="F5623" s="121"/>
      <c r="G5623" s="121"/>
      <c r="H5623" s="93"/>
      <c r="I5623" s="85"/>
      <c r="J5623" s="122"/>
      <c r="K5623" s="150"/>
      <c r="L5623" s="69"/>
      <c r="M5623" s="50"/>
      <c r="O5623" s="51"/>
    </row>
    <row r="5624" spans="1:15" x14ac:dyDescent="0.15">
      <c r="A5624" s="70"/>
      <c r="B5624" s="118"/>
      <c r="C5624" s="121"/>
      <c r="D5624" s="121"/>
      <c r="E5624" s="121"/>
      <c r="F5624" s="121"/>
      <c r="G5624" s="121"/>
      <c r="H5624" s="93"/>
      <c r="I5624" s="85"/>
      <c r="J5624" s="122"/>
      <c r="K5624" s="150"/>
      <c r="L5624" s="69"/>
      <c r="M5624" s="50"/>
    </row>
    <row r="5625" spans="1:15" x14ac:dyDescent="0.15">
      <c r="A5625" s="70"/>
      <c r="B5625" s="118"/>
      <c r="C5625" s="121"/>
      <c r="D5625" s="121"/>
      <c r="E5625" s="121"/>
      <c r="F5625" s="121"/>
      <c r="G5625" s="121"/>
      <c r="H5625" s="93"/>
      <c r="I5625" s="85"/>
      <c r="J5625" s="122"/>
      <c r="K5625" s="150"/>
      <c r="L5625" s="69"/>
      <c r="M5625" s="50"/>
    </row>
    <row r="5626" spans="1:15" x14ac:dyDescent="0.15">
      <c r="A5626" s="70"/>
      <c r="B5626" s="118"/>
      <c r="C5626" s="121"/>
      <c r="D5626" s="121"/>
      <c r="E5626" s="121"/>
      <c r="F5626" s="121"/>
      <c r="G5626" s="121"/>
      <c r="H5626" s="93"/>
      <c r="I5626" s="85"/>
      <c r="J5626" s="122"/>
      <c r="K5626" s="150"/>
      <c r="L5626" s="60"/>
      <c r="M5626" s="50"/>
    </row>
    <row r="5627" spans="1:15" x14ac:dyDescent="0.15">
      <c r="A5627" s="70"/>
      <c r="B5627" s="118"/>
      <c r="C5627" s="121"/>
      <c r="D5627" s="121"/>
      <c r="E5627" s="121"/>
      <c r="F5627" s="121"/>
      <c r="G5627" s="121"/>
      <c r="H5627" s="93"/>
      <c r="I5627" s="85"/>
      <c r="J5627" s="122"/>
      <c r="K5627" s="150"/>
      <c r="L5627" s="60"/>
      <c r="M5627" s="50"/>
      <c r="O5627" s="51"/>
    </row>
    <row r="5628" spans="1:15" x14ac:dyDescent="0.15">
      <c r="A5628" s="73"/>
      <c r="B5628" s="118"/>
      <c r="C5628" s="121"/>
      <c r="D5628" s="121"/>
      <c r="E5628" s="121"/>
      <c r="F5628" s="121"/>
      <c r="G5628" s="121"/>
      <c r="H5628" s="93"/>
      <c r="I5628" s="85"/>
      <c r="J5628" s="122"/>
      <c r="K5628" s="150"/>
      <c r="L5628" s="60"/>
      <c r="O5628" s="51"/>
    </row>
    <row r="5629" spans="1:15" x14ac:dyDescent="0.15">
      <c r="A5629" s="70"/>
      <c r="B5629" s="118"/>
      <c r="C5629" s="121"/>
      <c r="D5629" s="121"/>
      <c r="E5629" s="121"/>
      <c r="F5629" s="121"/>
      <c r="G5629" s="121"/>
      <c r="H5629" s="93"/>
      <c r="I5629" s="85"/>
      <c r="J5629" s="122"/>
      <c r="K5629" s="150"/>
      <c r="L5629" s="60"/>
    </row>
    <row r="5630" spans="1:15" x14ac:dyDescent="0.15">
      <c r="A5630" s="73"/>
      <c r="B5630" s="118"/>
      <c r="C5630" s="121"/>
      <c r="D5630" s="121"/>
      <c r="E5630" s="121"/>
      <c r="F5630" s="121"/>
      <c r="G5630" s="121"/>
      <c r="H5630" s="93"/>
      <c r="I5630" s="85"/>
      <c r="J5630" s="122"/>
      <c r="K5630" s="150"/>
      <c r="L5630" s="60"/>
    </row>
    <row r="5631" spans="1:15" x14ac:dyDescent="0.15">
      <c r="A5631" s="73"/>
      <c r="B5631" s="118"/>
      <c r="C5631" s="121"/>
      <c r="D5631" s="121"/>
      <c r="E5631" s="121"/>
      <c r="F5631" s="121"/>
      <c r="G5631" s="121"/>
      <c r="H5631" s="93"/>
      <c r="I5631" s="85"/>
      <c r="J5631" s="122"/>
      <c r="K5631" s="150"/>
      <c r="L5631" s="60"/>
    </row>
    <row r="5632" spans="1:15" x14ac:dyDescent="0.15">
      <c r="A5632" s="70"/>
      <c r="B5632" s="118"/>
      <c r="C5632" s="121"/>
      <c r="D5632" s="121"/>
      <c r="E5632" s="121"/>
      <c r="F5632" s="121"/>
      <c r="G5632" s="121"/>
      <c r="H5632" s="93"/>
      <c r="I5632" s="85"/>
      <c r="J5632" s="122"/>
      <c r="K5632" s="150"/>
      <c r="L5632" s="60"/>
    </row>
    <row r="5633" spans="1:13" x14ac:dyDescent="0.15">
      <c r="A5633" s="70"/>
      <c r="B5633" s="118"/>
      <c r="C5633" s="121"/>
      <c r="D5633" s="121"/>
      <c r="E5633" s="121"/>
      <c r="F5633" s="121"/>
      <c r="G5633" s="121"/>
      <c r="H5633" s="93"/>
      <c r="I5633" s="85"/>
      <c r="J5633" s="122"/>
      <c r="K5633" s="150"/>
      <c r="L5633" s="69"/>
    </row>
    <row r="5634" spans="1:13" x14ac:dyDescent="0.15">
      <c r="A5634" s="70"/>
      <c r="B5634" s="118"/>
      <c r="C5634" s="121"/>
      <c r="D5634" s="121"/>
      <c r="E5634" s="121"/>
      <c r="F5634" s="121"/>
      <c r="G5634" s="121"/>
      <c r="H5634" s="93"/>
      <c r="I5634" s="85"/>
      <c r="J5634" s="122"/>
      <c r="K5634" s="150"/>
      <c r="L5634" s="60"/>
    </row>
    <row r="5635" spans="1:13" x14ac:dyDescent="0.15">
      <c r="A5635" s="70"/>
      <c r="B5635" s="118"/>
      <c r="C5635" s="121"/>
      <c r="D5635" s="121"/>
      <c r="E5635" s="121"/>
      <c r="F5635" s="121"/>
      <c r="G5635" s="121"/>
      <c r="H5635" s="93"/>
      <c r="I5635" s="85"/>
      <c r="J5635" s="122"/>
      <c r="K5635" s="150"/>
      <c r="L5635" s="69"/>
    </row>
    <row r="5636" spans="1:13" x14ac:dyDescent="0.15">
      <c r="A5636" s="70"/>
      <c r="B5636" s="118"/>
      <c r="C5636" s="121"/>
      <c r="D5636" s="121"/>
      <c r="E5636" s="121"/>
      <c r="F5636" s="121"/>
      <c r="G5636" s="121"/>
      <c r="H5636" s="93"/>
      <c r="I5636" s="85"/>
      <c r="J5636" s="122"/>
      <c r="K5636" s="150"/>
      <c r="L5636" s="60"/>
      <c r="M5636" s="50"/>
    </row>
    <row r="5637" spans="1:13" x14ac:dyDescent="0.15">
      <c r="A5637" s="70"/>
      <c r="B5637" s="118"/>
      <c r="C5637" s="121"/>
      <c r="D5637" s="121"/>
      <c r="E5637" s="121"/>
      <c r="F5637" s="121"/>
      <c r="G5637" s="121"/>
      <c r="H5637" s="93"/>
      <c r="I5637" s="85"/>
      <c r="J5637" s="122"/>
      <c r="K5637" s="150"/>
      <c r="L5637" s="69"/>
      <c r="M5637" s="50"/>
    </row>
    <row r="5638" spans="1:13" x14ac:dyDescent="0.15">
      <c r="A5638" s="70"/>
      <c r="B5638" s="118"/>
      <c r="C5638" s="121"/>
      <c r="D5638" s="121"/>
      <c r="E5638" s="121"/>
      <c r="F5638" s="121"/>
      <c r="G5638" s="121"/>
      <c r="H5638" s="93"/>
      <c r="I5638" s="85"/>
      <c r="J5638" s="122"/>
      <c r="K5638" s="150"/>
      <c r="L5638" s="69"/>
    </row>
    <row r="5639" spans="1:13" x14ac:dyDescent="0.15">
      <c r="A5639" s="70"/>
      <c r="B5639" s="118"/>
      <c r="C5639" s="121"/>
      <c r="D5639" s="121"/>
      <c r="E5639" s="121"/>
      <c r="F5639" s="121"/>
      <c r="G5639" s="121"/>
      <c r="H5639" s="93"/>
      <c r="I5639" s="85"/>
      <c r="J5639" s="122"/>
      <c r="K5639" s="150"/>
      <c r="L5639" s="69"/>
    </row>
    <row r="5640" spans="1:13" x14ac:dyDescent="0.15">
      <c r="A5640" s="70"/>
      <c r="B5640" s="118"/>
      <c r="C5640" s="121"/>
      <c r="D5640" s="121"/>
      <c r="E5640" s="121"/>
      <c r="F5640" s="121"/>
      <c r="G5640" s="121"/>
      <c r="H5640" s="93"/>
      <c r="I5640" s="85"/>
      <c r="J5640" s="122"/>
      <c r="K5640" s="150"/>
      <c r="L5640" s="69"/>
    </row>
    <row r="5641" spans="1:13" x14ac:dyDescent="0.15">
      <c r="A5641" s="70"/>
      <c r="B5641" s="118"/>
      <c r="C5641" s="121"/>
      <c r="D5641" s="121"/>
      <c r="E5641" s="121"/>
      <c r="F5641" s="121"/>
      <c r="G5641" s="121"/>
      <c r="H5641" s="93"/>
      <c r="I5641" s="85"/>
      <c r="J5641" s="122"/>
      <c r="K5641" s="150"/>
      <c r="L5641" s="69"/>
    </row>
    <row r="5642" spans="1:13" x14ac:dyDescent="0.15">
      <c r="A5642" s="70"/>
      <c r="B5642" s="118"/>
      <c r="C5642" s="121"/>
      <c r="D5642" s="121"/>
      <c r="E5642" s="121"/>
      <c r="F5642" s="121"/>
      <c r="G5642" s="121"/>
      <c r="H5642" s="93"/>
      <c r="I5642" s="85"/>
      <c r="J5642" s="122"/>
      <c r="K5642" s="150"/>
      <c r="L5642" s="69"/>
      <c r="M5642" s="50"/>
    </row>
    <row r="5643" spans="1:13" x14ac:dyDescent="0.15">
      <c r="A5643" s="70"/>
      <c r="B5643" s="118"/>
      <c r="C5643" s="121"/>
      <c r="D5643" s="121"/>
      <c r="E5643" s="121"/>
      <c r="F5643" s="121"/>
      <c r="G5643" s="121"/>
      <c r="H5643" s="93"/>
      <c r="I5643" s="85"/>
      <c r="J5643" s="122"/>
      <c r="K5643" s="150"/>
      <c r="L5643" s="69"/>
      <c r="M5643" s="50"/>
    </row>
    <row r="5644" spans="1:13" x14ac:dyDescent="0.15">
      <c r="A5644" s="70"/>
      <c r="B5644" s="118"/>
      <c r="C5644" s="121"/>
      <c r="D5644" s="121"/>
      <c r="E5644" s="121"/>
      <c r="F5644" s="121"/>
      <c r="G5644" s="121"/>
      <c r="H5644" s="93"/>
      <c r="I5644" s="85"/>
      <c r="J5644" s="122"/>
      <c r="K5644" s="150"/>
      <c r="L5644" s="69"/>
      <c r="M5644" s="50"/>
    </row>
    <row r="5645" spans="1:13" x14ac:dyDescent="0.15">
      <c r="A5645" s="70"/>
      <c r="B5645" s="118"/>
      <c r="C5645" s="121"/>
      <c r="D5645" s="121"/>
      <c r="E5645" s="121"/>
      <c r="F5645" s="121"/>
      <c r="G5645" s="121"/>
      <c r="H5645" s="93"/>
      <c r="I5645" s="85"/>
      <c r="J5645" s="122"/>
      <c r="K5645" s="150"/>
      <c r="L5645" s="69"/>
      <c r="M5645" s="50"/>
    </row>
    <row r="5646" spans="1:13" x14ac:dyDescent="0.15">
      <c r="A5646" s="70"/>
      <c r="B5646" s="118"/>
      <c r="C5646" s="121"/>
      <c r="D5646" s="121"/>
      <c r="E5646" s="121"/>
      <c r="F5646" s="121"/>
      <c r="G5646" s="121"/>
      <c r="H5646" s="93"/>
      <c r="I5646" s="85"/>
      <c r="J5646" s="122"/>
      <c r="K5646" s="150"/>
      <c r="L5646" s="60"/>
      <c r="M5646" s="50"/>
    </row>
    <row r="5647" spans="1:13" x14ac:dyDescent="0.15">
      <c r="A5647" s="70"/>
      <c r="B5647" s="118"/>
      <c r="C5647" s="121"/>
      <c r="D5647" s="121"/>
      <c r="E5647" s="121"/>
      <c r="F5647" s="121"/>
      <c r="G5647" s="121"/>
      <c r="H5647" s="93"/>
      <c r="I5647" s="85"/>
      <c r="J5647" s="122"/>
      <c r="K5647" s="150"/>
      <c r="L5647" s="60"/>
      <c r="M5647" s="50"/>
    </row>
    <row r="5648" spans="1:13" x14ac:dyDescent="0.15">
      <c r="A5648" s="70"/>
      <c r="B5648" s="118"/>
      <c r="C5648" s="121"/>
      <c r="D5648" s="121"/>
      <c r="E5648" s="121"/>
      <c r="F5648" s="121"/>
      <c r="G5648" s="121"/>
      <c r="H5648" s="93"/>
      <c r="I5648" s="85"/>
      <c r="J5648" s="122"/>
      <c r="K5648" s="150"/>
      <c r="L5648" s="69"/>
      <c r="M5648" s="50"/>
    </row>
    <row r="5649" spans="1:15" x14ac:dyDescent="0.15">
      <c r="A5649" s="73"/>
      <c r="B5649" s="118"/>
      <c r="C5649" s="121"/>
      <c r="D5649" s="121"/>
      <c r="E5649" s="121"/>
      <c r="F5649" s="121"/>
      <c r="G5649" s="121"/>
      <c r="H5649" s="93"/>
      <c r="I5649" s="85"/>
      <c r="J5649" s="122"/>
      <c r="K5649" s="150"/>
      <c r="L5649" s="69"/>
      <c r="M5649" s="50"/>
    </row>
    <row r="5650" spans="1:15" x14ac:dyDescent="0.15">
      <c r="A5650" s="73"/>
      <c r="B5650" s="118"/>
      <c r="C5650" s="121"/>
      <c r="D5650" s="121"/>
      <c r="E5650" s="121"/>
      <c r="F5650" s="121"/>
      <c r="G5650" s="121"/>
      <c r="H5650" s="93"/>
      <c r="I5650" s="85"/>
      <c r="J5650" s="122"/>
      <c r="K5650" s="150"/>
      <c r="L5650" s="69"/>
      <c r="M5650" s="50"/>
    </row>
    <row r="5651" spans="1:15" x14ac:dyDescent="0.15">
      <c r="A5651" s="73"/>
      <c r="B5651" s="118"/>
      <c r="C5651" s="121"/>
      <c r="D5651" s="121"/>
      <c r="E5651" s="121"/>
      <c r="F5651" s="121"/>
      <c r="G5651" s="121"/>
      <c r="H5651" s="93"/>
      <c r="I5651" s="85"/>
      <c r="J5651" s="122"/>
      <c r="K5651" s="150"/>
      <c r="L5651" s="69"/>
      <c r="M5651" s="50"/>
    </row>
    <row r="5652" spans="1:15" x14ac:dyDescent="0.15">
      <c r="A5652" s="70"/>
      <c r="B5652" s="118"/>
      <c r="C5652" s="121"/>
      <c r="D5652" s="121"/>
      <c r="E5652" s="121"/>
      <c r="F5652" s="121"/>
      <c r="G5652" s="121"/>
      <c r="H5652" s="93"/>
      <c r="I5652" s="85"/>
      <c r="J5652" s="122"/>
      <c r="K5652" s="150"/>
      <c r="L5652" s="69"/>
      <c r="M5652" s="50"/>
    </row>
    <row r="5653" spans="1:15" x14ac:dyDescent="0.15">
      <c r="A5653" s="70"/>
      <c r="B5653" s="118"/>
      <c r="C5653" s="121"/>
      <c r="D5653" s="121"/>
      <c r="E5653" s="121"/>
      <c r="F5653" s="121"/>
      <c r="G5653" s="121"/>
      <c r="H5653" s="93"/>
      <c r="I5653" s="85"/>
      <c r="J5653" s="122"/>
      <c r="K5653" s="150"/>
      <c r="L5653" s="69"/>
      <c r="M5653" s="50"/>
      <c r="O5653" s="51"/>
    </row>
    <row r="5654" spans="1:15" x14ac:dyDescent="0.15">
      <c r="A5654" s="70"/>
      <c r="B5654" s="117"/>
      <c r="C5654" s="121"/>
      <c r="D5654" s="121"/>
      <c r="E5654" s="121"/>
      <c r="F5654" s="121"/>
      <c r="G5654" s="121"/>
      <c r="H5654" s="93"/>
      <c r="I5654" s="85"/>
      <c r="J5654" s="123"/>
      <c r="K5654" s="150"/>
      <c r="L5654" s="66"/>
      <c r="M5654" s="33"/>
    </row>
    <row r="5655" spans="1:15" x14ac:dyDescent="0.15">
      <c r="A5655" s="70"/>
      <c r="B5655" s="118"/>
      <c r="C5655" s="121"/>
      <c r="D5655" s="121"/>
      <c r="E5655" s="121"/>
      <c r="F5655" s="121"/>
      <c r="G5655" s="121"/>
      <c r="H5655" s="93"/>
      <c r="I5655" s="85"/>
      <c r="J5655" s="122"/>
      <c r="K5655" s="150"/>
      <c r="L5655" s="60"/>
      <c r="M5655" s="33"/>
    </row>
    <row r="5656" spans="1:15" x14ac:dyDescent="0.15">
      <c r="A5656" s="70"/>
      <c r="B5656" s="118"/>
      <c r="C5656" s="121"/>
      <c r="D5656" s="121"/>
      <c r="E5656" s="121"/>
      <c r="F5656" s="121"/>
      <c r="G5656" s="121"/>
      <c r="H5656" s="93"/>
      <c r="I5656" s="85"/>
      <c r="J5656" s="122"/>
      <c r="K5656" s="150"/>
      <c r="L5656" s="75"/>
    </row>
    <row r="5657" spans="1:15" x14ac:dyDescent="0.15">
      <c r="A5657" s="70"/>
      <c r="B5657" s="117"/>
      <c r="C5657" s="121"/>
      <c r="D5657" s="121"/>
      <c r="E5657" s="121"/>
      <c r="F5657" s="121"/>
      <c r="G5657" s="121"/>
      <c r="H5657" s="93"/>
      <c r="I5657" s="85"/>
      <c r="J5657" s="122"/>
      <c r="K5657" s="150"/>
      <c r="L5657" s="75"/>
      <c r="M5657" s="33"/>
    </row>
    <row r="5658" spans="1:15" x14ac:dyDescent="0.15">
      <c r="A5658" s="70"/>
      <c r="B5658" s="118"/>
      <c r="C5658" s="121"/>
      <c r="D5658" s="121"/>
      <c r="E5658" s="121"/>
      <c r="F5658" s="121"/>
      <c r="G5658" s="121"/>
      <c r="H5658" s="93"/>
      <c r="I5658" s="85"/>
      <c r="J5658" s="122"/>
      <c r="K5658" s="150"/>
      <c r="L5658" s="75"/>
      <c r="O5658" s="35"/>
    </row>
    <row r="5659" spans="1:15" x14ac:dyDescent="0.15">
      <c r="A5659" s="70"/>
      <c r="B5659" s="117"/>
      <c r="C5659" s="121"/>
      <c r="D5659" s="121"/>
      <c r="E5659" s="121"/>
      <c r="F5659" s="121"/>
      <c r="G5659" s="121"/>
      <c r="H5659" s="93"/>
      <c r="I5659" s="85"/>
      <c r="J5659" s="122"/>
      <c r="K5659" s="150"/>
      <c r="L5659" s="75"/>
    </row>
    <row r="5660" spans="1:15" x14ac:dyDescent="0.15">
      <c r="A5660" s="70"/>
      <c r="B5660" s="117"/>
      <c r="C5660" s="121"/>
      <c r="D5660" s="121"/>
      <c r="E5660" s="121"/>
      <c r="F5660" s="121"/>
      <c r="G5660" s="121"/>
      <c r="H5660" s="93"/>
      <c r="I5660" s="85"/>
      <c r="J5660" s="122"/>
      <c r="K5660" s="150"/>
      <c r="L5660" s="75"/>
      <c r="M5660" s="53"/>
    </row>
    <row r="5661" spans="1:15" x14ac:dyDescent="0.15">
      <c r="A5661" s="70"/>
      <c r="B5661" s="118"/>
      <c r="C5661" s="121"/>
      <c r="D5661" s="121"/>
      <c r="E5661" s="121"/>
      <c r="F5661" s="121"/>
      <c r="G5661" s="121"/>
      <c r="H5661" s="93"/>
      <c r="I5661" s="85"/>
      <c r="J5661" s="122"/>
      <c r="K5661" s="150"/>
      <c r="L5661" s="75"/>
      <c r="M5661" s="33"/>
    </row>
    <row r="5662" spans="1:15" x14ac:dyDescent="0.15">
      <c r="A5662" s="70"/>
      <c r="B5662" s="117"/>
      <c r="C5662" s="121"/>
      <c r="D5662" s="121"/>
      <c r="E5662" s="121"/>
      <c r="F5662" s="121"/>
      <c r="G5662" s="121"/>
      <c r="H5662" s="93"/>
      <c r="I5662" s="85"/>
      <c r="J5662" s="122"/>
      <c r="K5662" s="150"/>
      <c r="L5662" s="75"/>
      <c r="M5662" s="33"/>
    </row>
    <row r="5663" spans="1:15" x14ac:dyDescent="0.15">
      <c r="A5663" s="70"/>
      <c r="B5663" s="117"/>
      <c r="C5663" s="121"/>
      <c r="D5663" s="121"/>
      <c r="E5663" s="121"/>
      <c r="F5663" s="121"/>
      <c r="G5663" s="121"/>
      <c r="H5663" s="93"/>
      <c r="I5663" s="85"/>
      <c r="J5663" s="122"/>
      <c r="K5663" s="150"/>
      <c r="L5663" s="75"/>
      <c r="M5663" s="33"/>
    </row>
    <row r="5664" spans="1:15" x14ac:dyDescent="0.15">
      <c r="A5664" s="70"/>
      <c r="B5664" s="117"/>
      <c r="C5664" s="121"/>
      <c r="D5664" s="121"/>
      <c r="E5664" s="121"/>
      <c r="F5664" s="121"/>
      <c r="G5664" s="121"/>
      <c r="H5664" s="93"/>
      <c r="I5664" s="85"/>
      <c r="J5664" s="122"/>
      <c r="K5664" s="150"/>
      <c r="L5664" s="75"/>
      <c r="M5664" s="33"/>
    </row>
    <row r="5665" spans="1:13" x14ac:dyDescent="0.15">
      <c r="A5665" s="62"/>
      <c r="B5665" s="119"/>
      <c r="C5665" s="121"/>
      <c r="D5665" s="121"/>
      <c r="E5665" s="121"/>
      <c r="F5665" s="121"/>
      <c r="G5665" s="121"/>
      <c r="H5665" s="93"/>
      <c r="I5665" s="85"/>
      <c r="J5665" s="122"/>
      <c r="K5665" s="150"/>
      <c r="L5665" s="75"/>
      <c r="M5665" s="33"/>
    </row>
    <row r="5666" spans="1:13" x14ac:dyDescent="0.15">
      <c r="A5666" s="70"/>
      <c r="B5666" s="117"/>
      <c r="C5666" s="121"/>
      <c r="D5666" s="121"/>
      <c r="E5666" s="121"/>
      <c r="F5666" s="121"/>
      <c r="G5666" s="121"/>
      <c r="H5666" s="93"/>
      <c r="I5666" s="85"/>
      <c r="J5666" s="122"/>
      <c r="K5666" s="150"/>
      <c r="L5666" s="75"/>
      <c r="M5666" s="33"/>
    </row>
    <row r="5667" spans="1:13" x14ac:dyDescent="0.15">
      <c r="A5667" s="70"/>
      <c r="B5667" s="117"/>
      <c r="C5667" s="121"/>
      <c r="D5667" s="121"/>
      <c r="E5667" s="121"/>
      <c r="F5667" s="121"/>
      <c r="G5667" s="121"/>
      <c r="H5667" s="93"/>
      <c r="I5667" s="85"/>
      <c r="J5667" s="122"/>
      <c r="K5667" s="150"/>
      <c r="L5667" s="75"/>
      <c r="M5667" s="33"/>
    </row>
    <row r="5668" spans="1:13" x14ac:dyDescent="0.15">
      <c r="A5668" s="70"/>
      <c r="B5668" s="117"/>
      <c r="C5668" s="121"/>
      <c r="D5668" s="121"/>
      <c r="E5668" s="121"/>
      <c r="F5668" s="121"/>
      <c r="G5668" s="121"/>
      <c r="H5668" s="93"/>
      <c r="I5668" s="85"/>
      <c r="J5668" s="122"/>
      <c r="K5668" s="150"/>
      <c r="L5668" s="75"/>
      <c r="M5668" s="33"/>
    </row>
    <row r="5669" spans="1:13" x14ac:dyDescent="0.15">
      <c r="A5669" s="70"/>
      <c r="B5669" s="117"/>
      <c r="C5669" s="121"/>
      <c r="D5669" s="121"/>
      <c r="E5669" s="121"/>
      <c r="F5669" s="121"/>
      <c r="G5669" s="121"/>
      <c r="H5669" s="93"/>
      <c r="I5669" s="85"/>
      <c r="J5669" s="122"/>
      <c r="K5669" s="235"/>
      <c r="L5669" s="75"/>
      <c r="M5669" s="33"/>
    </row>
    <row r="5670" spans="1:13" x14ac:dyDescent="0.15">
      <c r="A5670" s="70"/>
      <c r="B5670" s="118"/>
      <c r="C5670" s="121"/>
      <c r="D5670" s="121"/>
      <c r="E5670" s="121"/>
      <c r="F5670" s="121"/>
      <c r="G5670" s="121"/>
      <c r="H5670" s="93"/>
      <c r="I5670" s="85"/>
      <c r="J5670" s="122"/>
      <c r="K5670" s="150"/>
      <c r="L5670" s="75"/>
      <c r="M5670" s="33"/>
    </row>
    <row r="5671" spans="1:13" x14ac:dyDescent="0.15">
      <c r="A5671" s="70"/>
      <c r="B5671" s="118"/>
      <c r="C5671" s="121"/>
      <c r="D5671" s="121"/>
      <c r="E5671" s="121"/>
      <c r="F5671" s="121"/>
      <c r="G5671" s="121"/>
      <c r="H5671" s="93"/>
      <c r="I5671" s="85"/>
      <c r="J5671" s="122"/>
      <c r="K5671" s="150"/>
      <c r="L5671" s="75"/>
      <c r="M5671" s="33"/>
    </row>
    <row r="5672" spans="1:13" x14ac:dyDescent="0.15">
      <c r="A5672" s="70"/>
      <c r="B5672" s="117"/>
      <c r="C5672" s="121"/>
      <c r="D5672" s="121"/>
      <c r="E5672" s="121"/>
      <c r="F5672" s="121"/>
      <c r="G5672" s="121"/>
      <c r="H5672" s="93"/>
      <c r="I5672" s="85"/>
      <c r="J5672" s="122"/>
      <c r="K5672" s="150"/>
      <c r="L5672" s="75"/>
      <c r="M5672" s="33"/>
    </row>
    <row r="5673" spans="1:13" x14ac:dyDescent="0.15">
      <c r="A5673" s="70"/>
      <c r="B5673" s="117"/>
      <c r="C5673" s="121"/>
      <c r="D5673" s="121"/>
      <c r="E5673" s="121"/>
      <c r="F5673" s="121"/>
      <c r="G5673" s="121"/>
      <c r="H5673" s="93"/>
      <c r="I5673" s="85"/>
      <c r="J5673" s="122"/>
      <c r="K5673" s="150"/>
      <c r="L5673" s="75"/>
    </row>
    <row r="5674" spans="1:13" x14ac:dyDescent="0.15">
      <c r="A5674" s="70"/>
      <c r="B5674" s="117"/>
      <c r="C5674" s="121"/>
      <c r="D5674" s="121"/>
      <c r="E5674" s="121"/>
      <c r="F5674" s="121"/>
      <c r="G5674" s="121"/>
      <c r="H5674" s="93"/>
      <c r="I5674" s="85"/>
      <c r="J5674" s="122"/>
      <c r="K5674" s="150"/>
      <c r="L5674" s="75"/>
      <c r="M5674" s="33"/>
    </row>
    <row r="5675" spans="1:13" ht="16" x14ac:dyDescent="0.2">
      <c r="A5675" s="70"/>
      <c r="B5675" s="117"/>
      <c r="C5675" s="121"/>
      <c r="D5675" s="121"/>
      <c r="E5675" s="121"/>
      <c r="F5675" s="121"/>
      <c r="G5675" s="121"/>
      <c r="H5675" s="93"/>
      <c r="I5675" s="85"/>
      <c r="J5675" s="122"/>
      <c r="K5675" s="150"/>
      <c r="L5675" s="75"/>
      <c r="M5675" s="47"/>
    </row>
    <row r="5676" spans="1:13" x14ac:dyDescent="0.15">
      <c r="A5676" s="70"/>
      <c r="B5676" s="117"/>
      <c r="C5676" s="121"/>
      <c r="D5676" s="121"/>
      <c r="E5676" s="121"/>
      <c r="F5676" s="121"/>
      <c r="G5676" s="121"/>
      <c r="H5676" s="93"/>
      <c r="I5676" s="85"/>
      <c r="J5676" s="122"/>
      <c r="K5676" s="150"/>
      <c r="L5676" s="75"/>
      <c r="M5676" s="33"/>
    </row>
    <row r="5677" spans="1:13" x14ac:dyDescent="0.15">
      <c r="A5677" s="70"/>
      <c r="B5677" s="118"/>
      <c r="C5677" s="121"/>
      <c r="D5677" s="121"/>
      <c r="E5677" s="121"/>
      <c r="F5677" s="121"/>
      <c r="G5677" s="121"/>
      <c r="H5677" s="93"/>
      <c r="I5677" s="85"/>
      <c r="J5677" s="122"/>
      <c r="K5677" s="150"/>
      <c r="L5677" s="75"/>
    </row>
    <row r="5678" spans="1:13" x14ac:dyDescent="0.15">
      <c r="A5678" s="70"/>
      <c r="B5678" s="118"/>
      <c r="C5678" s="121"/>
      <c r="D5678" s="121"/>
      <c r="E5678" s="121"/>
      <c r="F5678" s="121"/>
      <c r="G5678" s="121"/>
      <c r="H5678" s="93"/>
      <c r="I5678" s="85"/>
      <c r="J5678" s="122"/>
      <c r="K5678" s="150"/>
      <c r="L5678" s="75"/>
    </row>
    <row r="5679" spans="1:13" x14ac:dyDescent="0.15">
      <c r="A5679" s="70"/>
      <c r="B5679" s="118"/>
      <c r="C5679" s="121"/>
      <c r="D5679" s="121"/>
      <c r="E5679" s="121"/>
      <c r="F5679" s="121"/>
      <c r="G5679" s="121"/>
      <c r="H5679" s="93"/>
      <c r="I5679" s="85"/>
      <c r="J5679" s="122"/>
      <c r="K5679" s="150"/>
      <c r="L5679" s="75"/>
      <c r="M5679" s="33"/>
    </row>
    <row r="5680" spans="1:13" x14ac:dyDescent="0.15">
      <c r="A5680" s="70"/>
      <c r="B5680" s="118"/>
      <c r="C5680" s="121"/>
      <c r="D5680" s="121"/>
      <c r="E5680" s="121"/>
      <c r="F5680" s="121"/>
      <c r="G5680" s="121"/>
      <c r="H5680" s="93"/>
      <c r="I5680" s="85"/>
      <c r="J5680" s="122"/>
      <c r="K5680" s="150"/>
      <c r="L5680" s="75"/>
    </row>
    <row r="5681" spans="1:13" x14ac:dyDescent="0.15">
      <c r="A5681" s="70"/>
      <c r="B5681" s="118"/>
      <c r="C5681" s="121"/>
      <c r="D5681" s="121"/>
      <c r="E5681" s="121"/>
      <c r="F5681" s="121"/>
      <c r="G5681" s="121"/>
      <c r="H5681" s="93"/>
      <c r="I5681" s="85"/>
      <c r="J5681" s="122"/>
      <c r="K5681" s="150"/>
      <c r="L5681" s="75"/>
      <c r="M5681" s="50"/>
    </row>
    <row r="5682" spans="1:13" x14ac:dyDescent="0.15">
      <c r="A5682" s="70"/>
      <c r="B5682" s="118"/>
      <c r="C5682" s="121"/>
      <c r="D5682" s="121"/>
      <c r="E5682" s="121"/>
      <c r="F5682" s="121"/>
      <c r="G5682" s="121"/>
      <c r="H5682" s="93"/>
      <c r="I5682" s="85"/>
      <c r="J5682" s="122"/>
      <c r="K5682" s="150"/>
      <c r="L5682" s="75"/>
    </row>
    <row r="5683" spans="1:13" x14ac:dyDescent="0.15">
      <c r="A5683" s="86"/>
      <c r="B5683" s="230"/>
      <c r="C5683" s="231"/>
      <c r="D5683" s="232"/>
      <c r="E5683" s="232"/>
      <c r="F5683" s="232"/>
      <c r="G5683" s="232"/>
      <c r="H5683" s="87"/>
      <c r="I5683" s="85"/>
      <c r="J5683" s="233"/>
      <c r="K5683" s="234"/>
      <c r="L5683" s="77"/>
    </row>
    <row r="5684" spans="1:13" x14ac:dyDescent="0.15">
      <c r="A5684" s="86"/>
      <c r="B5684" s="230"/>
      <c r="C5684" s="231"/>
      <c r="D5684" s="232"/>
      <c r="E5684" s="232"/>
      <c r="F5684" s="232"/>
      <c r="G5684" s="232"/>
      <c r="H5684" s="87"/>
      <c r="I5684" s="85"/>
      <c r="J5684" s="233"/>
      <c r="K5684" s="234"/>
      <c r="L5684" s="77"/>
    </row>
    <row r="5685" spans="1:13" x14ac:dyDescent="0.15">
      <c r="A5685" s="86"/>
      <c r="B5685" s="230"/>
      <c r="C5685" s="231"/>
      <c r="D5685" s="232"/>
      <c r="E5685" s="232"/>
      <c r="F5685" s="232"/>
      <c r="G5685" s="232"/>
      <c r="H5685" s="87"/>
      <c r="I5685" s="85"/>
      <c r="J5685" s="233"/>
      <c r="K5685" s="234"/>
      <c r="L5685" s="77"/>
    </row>
    <row r="5686" spans="1:13" x14ac:dyDescent="0.15">
      <c r="A5686" s="86"/>
      <c r="B5686" s="230"/>
      <c r="C5686" s="231"/>
      <c r="D5686" s="232"/>
      <c r="E5686" s="232"/>
      <c r="F5686" s="232"/>
      <c r="G5686" s="232"/>
      <c r="H5686" s="87"/>
      <c r="I5686" s="85"/>
      <c r="J5686" s="233"/>
      <c r="K5686" s="234"/>
      <c r="L5686" s="77"/>
    </row>
    <row r="5687" spans="1:13" x14ac:dyDescent="0.15">
      <c r="A5687" s="86"/>
      <c r="B5687" s="230"/>
      <c r="C5687" s="231"/>
      <c r="D5687" s="232"/>
      <c r="E5687" s="232"/>
      <c r="F5687" s="232"/>
      <c r="G5687" s="232"/>
      <c r="H5687" s="87"/>
      <c r="I5687" s="85"/>
      <c r="J5687" s="233"/>
      <c r="K5687" s="234"/>
      <c r="L5687" s="77"/>
    </row>
    <row r="5688" spans="1:13" x14ac:dyDescent="0.15">
      <c r="A5688" s="86"/>
      <c r="B5688" s="230"/>
      <c r="C5688" s="231"/>
      <c r="D5688" s="232"/>
      <c r="E5688" s="232"/>
      <c r="F5688" s="232"/>
      <c r="G5688" s="232"/>
      <c r="H5688" s="87"/>
      <c r="I5688" s="85"/>
      <c r="J5688" s="233"/>
      <c r="K5688" s="234"/>
      <c r="L5688" s="77"/>
    </row>
    <row r="5689" spans="1:13" x14ac:dyDescent="0.15">
      <c r="A5689" s="86"/>
      <c r="B5689" s="230"/>
      <c r="C5689" s="231"/>
      <c r="D5689" s="232"/>
      <c r="E5689" s="232"/>
      <c r="F5689" s="232"/>
      <c r="G5689" s="232"/>
      <c r="H5689" s="87"/>
      <c r="I5689" s="85"/>
      <c r="J5689" s="233"/>
      <c r="K5689" s="234"/>
      <c r="L5689" s="77"/>
    </row>
    <row r="5690" spans="1:13" x14ac:dyDescent="0.15">
      <c r="A5690" s="86"/>
      <c r="B5690" s="230"/>
      <c r="C5690" s="231"/>
      <c r="D5690" s="232"/>
      <c r="E5690" s="232"/>
      <c r="F5690" s="232"/>
      <c r="G5690" s="232"/>
      <c r="H5690" s="87"/>
      <c r="I5690" s="85"/>
      <c r="J5690" s="233"/>
      <c r="K5690" s="234"/>
      <c r="L5690" s="77"/>
    </row>
    <row r="5691" spans="1:13" x14ac:dyDescent="0.15">
      <c r="A5691" s="86"/>
      <c r="B5691" s="230"/>
      <c r="C5691" s="231"/>
      <c r="D5691" s="232"/>
      <c r="E5691" s="232"/>
      <c r="F5691" s="232"/>
      <c r="G5691" s="232"/>
      <c r="H5691" s="87"/>
      <c r="I5691" s="85"/>
      <c r="J5691" s="233"/>
      <c r="K5691" s="234"/>
      <c r="L5691" s="77"/>
    </row>
    <row r="5692" spans="1:13" x14ac:dyDescent="0.15">
      <c r="A5692" s="86"/>
      <c r="B5692" s="230"/>
      <c r="C5692" s="231"/>
      <c r="D5692" s="232"/>
      <c r="E5692" s="232"/>
      <c r="F5692" s="232"/>
      <c r="G5692" s="232"/>
      <c r="H5692" s="87"/>
      <c r="I5692" s="85"/>
      <c r="J5692" s="233"/>
      <c r="K5692" s="234"/>
      <c r="L5692" s="77"/>
    </row>
    <row r="5693" spans="1:13" x14ac:dyDescent="0.15">
      <c r="A5693" s="86"/>
      <c r="B5693" s="230"/>
      <c r="C5693" s="231"/>
      <c r="D5693" s="232"/>
      <c r="E5693" s="232"/>
      <c r="F5693" s="232"/>
      <c r="G5693" s="232"/>
      <c r="H5693" s="87"/>
      <c r="I5693" s="85"/>
      <c r="J5693" s="233"/>
      <c r="K5693" s="234"/>
      <c r="L5693" s="77"/>
    </row>
    <row r="5694" spans="1:13" x14ac:dyDescent="0.15">
      <c r="A5694" s="86"/>
      <c r="B5694" s="230"/>
      <c r="C5694" s="231"/>
      <c r="D5694" s="232"/>
      <c r="E5694" s="232"/>
      <c r="F5694" s="232"/>
      <c r="G5694" s="232"/>
      <c r="H5694" s="87"/>
      <c r="I5694" s="85"/>
      <c r="J5694" s="233"/>
      <c r="K5694" s="234"/>
      <c r="L5694" s="77"/>
      <c r="M5694" s="50"/>
    </row>
    <row r="5695" spans="1:13" x14ac:dyDescent="0.15">
      <c r="A5695" s="86"/>
      <c r="B5695" s="230"/>
      <c r="C5695" s="231"/>
      <c r="D5695" s="232"/>
      <c r="E5695" s="232"/>
      <c r="F5695" s="232"/>
      <c r="G5695" s="232"/>
      <c r="H5695" s="87"/>
      <c r="I5695" s="85"/>
      <c r="J5695" s="233"/>
      <c r="K5695" s="234"/>
      <c r="L5695" s="77"/>
      <c r="M5695" s="50"/>
    </row>
    <row r="5696" spans="1:13" x14ac:dyDescent="0.15">
      <c r="A5696" s="86"/>
      <c r="B5696" s="230"/>
      <c r="C5696" s="231"/>
      <c r="D5696" s="232"/>
      <c r="E5696" s="232"/>
      <c r="F5696" s="232"/>
      <c r="G5696" s="232"/>
      <c r="H5696" s="87"/>
      <c r="I5696" s="85"/>
      <c r="J5696" s="233"/>
      <c r="K5696" s="234"/>
      <c r="L5696" s="77"/>
      <c r="M5696" s="50"/>
    </row>
    <row r="5697" spans="1:15" x14ac:dyDescent="0.15">
      <c r="A5697" s="86"/>
      <c r="B5697" s="230"/>
      <c r="C5697" s="231"/>
      <c r="D5697" s="232"/>
      <c r="E5697" s="232"/>
      <c r="F5697" s="232"/>
      <c r="G5697" s="232"/>
      <c r="H5697" s="87"/>
      <c r="I5697" s="85"/>
      <c r="J5697" s="233"/>
      <c r="K5697" s="234"/>
      <c r="L5697" s="77"/>
    </row>
    <row r="5698" spans="1:15" x14ac:dyDescent="0.15">
      <c r="A5698" s="86"/>
      <c r="B5698" s="230"/>
      <c r="C5698" s="231"/>
      <c r="D5698" s="232"/>
      <c r="E5698" s="232"/>
      <c r="F5698" s="232"/>
      <c r="G5698" s="232"/>
      <c r="H5698" s="87"/>
      <c r="I5698" s="85"/>
      <c r="J5698" s="233"/>
      <c r="K5698" s="234"/>
      <c r="L5698" s="77"/>
    </row>
    <row r="5699" spans="1:15" x14ac:dyDescent="0.15">
      <c r="A5699" s="86"/>
      <c r="B5699" s="230"/>
      <c r="C5699" s="231"/>
      <c r="D5699" s="232"/>
      <c r="E5699" s="232"/>
      <c r="F5699" s="232"/>
      <c r="G5699" s="232"/>
      <c r="H5699" s="87"/>
      <c r="I5699" s="85"/>
      <c r="J5699" s="233"/>
      <c r="K5699" s="234"/>
      <c r="L5699" s="77"/>
    </row>
    <row r="5700" spans="1:15" x14ac:dyDescent="0.15">
      <c r="A5700" s="86"/>
      <c r="B5700" s="230"/>
      <c r="C5700" s="231"/>
      <c r="D5700" s="232"/>
      <c r="E5700" s="232"/>
      <c r="F5700" s="232"/>
      <c r="G5700" s="232"/>
      <c r="H5700" s="87"/>
      <c r="I5700" s="85"/>
      <c r="J5700" s="233"/>
      <c r="K5700" s="234"/>
      <c r="L5700" s="77"/>
    </row>
    <row r="5701" spans="1:15" x14ac:dyDescent="0.15">
      <c r="A5701" s="86"/>
      <c r="B5701" s="230"/>
      <c r="C5701" s="231"/>
      <c r="D5701" s="232"/>
      <c r="E5701" s="232"/>
      <c r="F5701" s="232"/>
      <c r="G5701" s="232"/>
      <c r="H5701" s="87"/>
      <c r="I5701" s="85"/>
      <c r="J5701" s="233"/>
      <c r="K5701" s="234"/>
      <c r="L5701" s="77"/>
    </row>
    <row r="5702" spans="1:15" x14ac:dyDescent="0.15">
      <c r="A5702" s="86"/>
      <c r="B5702" s="230"/>
      <c r="C5702" s="231"/>
      <c r="D5702" s="232"/>
      <c r="E5702" s="232"/>
      <c r="F5702" s="232"/>
      <c r="G5702" s="232"/>
      <c r="H5702" s="87"/>
      <c r="I5702" s="85"/>
      <c r="J5702" s="233"/>
      <c r="K5702" s="234"/>
      <c r="L5702" s="77"/>
    </row>
    <row r="5703" spans="1:15" x14ac:dyDescent="0.15">
      <c r="A5703" s="86"/>
      <c r="B5703" s="230"/>
      <c r="C5703" s="231"/>
      <c r="D5703" s="232"/>
      <c r="E5703" s="232"/>
      <c r="F5703" s="232"/>
      <c r="G5703" s="232"/>
      <c r="H5703" s="87"/>
      <c r="I5703" s="85"/>
      <c r="J5703" s="233"/>
      <c r="K5703" s="234"/>
      <c r="L5703" s="77"/>
      <c r="M5703" s="50"/>
    </row>
    <row r="5704" spans="1:15" x14ac:dyDescent="0.15">
      <c r="A5704" s="86"/>
      <c r="B5704" s="230"/>
      <c r="C5704" s="231"/>
      <c r="D5704" s="232"/>
      <c r="E5704" s="232"/>
      <c r="F5704" s="232"/>
      <c r="G5704" s="232"/>
      <c r="H5704" s="87"/>
      <c r="I5704" s="85"/>
      <c r="J5704" s="233"/>
      <c r="K5704" s="234"/>
      <c r="L5704" s="77"/>
      <c r="M5704" s="50"/>
    </row>
    <row r="5705" spans="1:15" x14ac:dyDescent="0.15">
      <c r="A5705" s="86"/>
      <c r="B5705" s="230"/>
      <c r="C5705" s="231"/>
      <c r="D5705" s="232"/>
      <c r="E5705" s="232"/>
      <c r="F5705" s="232"/>
      <c r="G5705" s="232"/>
      <c r="H5705" s="87"/>
      <c r="I5705" s="85"/>
      <c r="J5705" s="233"/>
      <c r="K5705" s="234"/>
      <c r="L5705" s="77"/>
      <c r="M5705" s="50"/>
    </row>
    <row r="5706" spans="1:15" x14ac:dyDescent="0.15">
      <c r="A5706" s="86"/>
      <c r="B5706" s="230"/>
      <c r="C5706" s="231"/>
      <c r="D5706" s="232"/>
      <c r="E5706" s="232"/>
      <c r="F5706" s="232"/>
      <c r="G5706" s="232"/>
      <c r="H5706" s="87"/>
      <c r="I5706" s="85"/>
      <c r="J5706" s="233"/>
      <c r="K5706" s="234"/>
      <c r="L5706" s="77"/>
      <c r="M5706" s="50"/>
    </row>
    <row r="5707" spans="1:15" x14ac:dyDescent="0.15">
      <c r="A5707" s="86"/>
      <c r="B5707" s="230"/>
      <c r="C5707" s="231"/>
      <c r="D5707" s="232"/>
      <c r="E5707" s="232"/>
      <c r="F5707" s="232"/>
      <c r="G5707" s="232"/>
      <c r="H5707" s="87"/>
      <c r="I5707" s="85"/>
      <c r="J5707" s="233"/>
      <c r="K5707" s="234"/>
      <c r="L5707" s="77"/>
      <c r="M5707" s="50"/>
    </row>
    <row r="5708" spans="1:15" x14ac:dyDescent="0.15">
      <c r="A5708" s="86"/>
      <c r="B5708" s="230"/>
      <c r="C5708" s="231"/>
      <c r="D5708" s="232"/>
      <c r="E5708" s="232"/>
      <c r="F5708" s="232"/>
      <c r="G5708" s="232"/>
      <c r="H5708" s="87"/>
      <c r="I5708" s="85"/>
      <c r="J5708" s="233"/>
      <c r="K5708" s="234"/>
      <c r="L5708" s="77"/>
    </row>
    <row r="5709" spans="1:15" x14ac:dyDescent="0.15">
      <c r="A5709" s="86"/>
      <c r="B5709" s="230"/>
      <c r="C5709" s="231"/>
      <c r="D5709" s="232"/>
      <c r="E5709" s="232"/>
      <c r="F5709" s="232"/>
      <c r="G5709" s="232"/>
      <c r="H5709" s="87"/>
      <c r="I5709" s="85"/>
      <c r="J5709" s="233"/>
      <c r="K5709" s="234"/>
      <c r="L5709" s="77"/>
      <c r="M5709" s="50"/>
    </row>
    <row r="5710" spans="1:15" x14ac:dyDescent="0.15">
      <c r="A5710" s="86"/>
      <c r="B5710" s="230"/>
      <c r="C5710" s="231"/>
      <c r="D5710" s="232"/>
      <c r="E5710" s="232"/>
      <c r="F5710" s="232"/>
      <c r="G5710" s="232"/>
      <c r="H5710" s="87"/>
      <c r="I5710" s="85"/>
      <c r="J5710" s="233"/>
      <c r="K5710" s="234"/>
      <c r="L5710" s="77"/>
      <c r="M5710" s="50"/>
      <c r="O5710" s="51"/>
    </row>
    <row r="5711" spans="1:15" x14ac:dyDescent="0.15">
      <c r="A5711" s="86"/>
      <c r="B5711" s="230"/>
      <c r="C5711" s="231"/>
      <c r="D5711" s="232"/>
      <c r="E5711" s="232"/>
      <c r="F5711" s="232"/>
      <c r="G5711" s="232"/>
      <c r="H5711" s="87"/>
      <c r="I5711" s="85"/>
      <c r="J5711" s="233"/>
      <c r="K5711" s="234"/>
      <c r="L5711" s="77"/>
      <c r="M5711" s="50"/>
    </row>
    <row r="5712" spans="1:15" x14ac:dyDescent="0.15">
      <c r="A5712" s="86"/>
      <c r="B5712" s="230"/>
      <c r="C5712" s="231"/>
      <c r="D5712" s="232"/>
      <c r="E5712" s="232"/>
      <c r="F5712" s="232"/>
      <c r="G5712" s="232"/>
      <c r="H5712" s="87"/>
      <c r="I5712" s="85"/>
      <c r="J5712" s="233"/>
      <c r="K5712" s="234"/>
      <c r="L5712" s="77"/>
      <c r="M5712" s="50"/>
    </row>
    <row r="5713" spans="1:13" x14ac:dyDescent="0.15">
      <c r="A5713" s="86"/>
      <c r="B5713" s="230"/>
      <c r="C5713" s="231"/>
      <c r="D5713" s="232"/>
      <c r="E5713" s="232"/>
      <c r="F5713" s="232"/>
      <c r="G5713" s="232"/>
      <c r="H5713" s="87"/>
      <c r="I5713" s="85"/>
      <c r="J5713" s="233"/>
      <c r="K5713" s="234"/>
      <c r="L5713" s="77"/>
    </row>
    <row r="5714" spans="1:13" x14ac:dyDescent="0.15">
      <c r="A5714" s="86"/>
      <c r="B5714" s="230"/>
      <c r="C5714" s="231"/>
      <c r="D5714" s="232"/>
      <c r="E5714" s="232"/>
      <c r="F5714" s="232"/>
      <c r="G5714" s="232"/>
      <c r="H5714" s="87"/>
      <c r="I5714" s="85"/>
      <c r="J5714" s="233"/>
      <c r="K5714" s="234"/>
      <c r="L5714" s="77"/>
    </row>
    <row r="5715" spans="1:13" x14ac:dyDescent="0.15">
      <c r="A5715" s="86"/>
      <c r="B5715" s="230"/>
      <c r="C5715" s="231"/>
      <c r="D5715" s="232"/>
      <c r="E5715" s="232"/>
      <c r="F5715" s="232"/>
      <c r="G5715" s="232"/>
      <c r="H5715" s="87"/>
      <c r="I5715" s="85"/>
      <c r="J5715" s="233"/>
      <c r="K5715" s="234"/>
      <c r="L5715" s="77"/>
    </row>
    <row r="5716" spans="1:13" x14ac:dyDescent="0.15">
      <c r="A5716" s="86"/>
      <c r="B5716" s="230"/>
      <c r="C5716" s="231"/>
      <c r="D5716" s="232"/>
      <c r="E5716" s="232"/>
      <c r="F5716" s="232"/>
      <c r="G5716" s="232"/>
      <c r="H5716" s="87"/>
      <c r="I5716" s="85"/>
      <c r="J5716" s="233"/>
      <c r="K5716" s="234"/>
      <c r="L5716" s="77"/>
      <c r="M5716" s="50"/>
    </row>
    <row r="5717" spans="1:13" x14ac:dyDescent="0.15">
      <c r="A5717" s="86"/>
      <c r="B5717" s="230"/>
      <c r="C5717" s="231"/>
      <c r="D5717" s="232"/>
      <c r="E5717" s="232"/>
      <c r="F5717" s="232"/>
      <c r="G5717" s="232"/>
      <c r="H5717" s="87"/>
      <c r="I5717" s="85"/>
      <c r="J5717" s="233"/>
      <c r="K5717" s="234"/>
      <c r="L5717" s="77"/>
    </row>
    <row r="5718" spans="1:13" x14ac:dyDescent="0.15">
      <c r="A5718" s="86"/>
      <c r="B5718" s="230"/>
      <c r="C5718" s="231"/>
      <c r="D5718" s="232"/>
      <c r="E5718" s="232"/>
      <c r="F5718" s="232"/>
      <c r="G5718" s="232"/>
      <c r="H5718" s="87"/>
      <c r="I5718" s="85"/>
      <c r="J5718" s="233"/>
      <c r="K5718" s="234"/>
      <c r="L5718" s="77"/>
    </row>
    <row r="5719" spans="1:13" x14ac:dyDescent="0.15">
      <c r="A5719" s="86"/>
      <c r="B5719" s="230"/>
      <c r="C5719" s="231"/>
      <c r="D5719" s="232"/>
      <c r="E5719" s="232"/>
      <c r="F5719" s="232"/>
      <c r="G5719" s="232"/>
      <c r="H5719" s="87"/>
      <c r="I5719" s="85"/>
      <c r="J5719" s="233"/>
      <c r="K5719" s="234"/>
      <c r="L5719" s="77"/>
    </row>
    <row r="5720" spans="1:13" x14ac:dyDescent="0.15">
      <c r="A5720" s="86"/>
      <c r="B5720" s="230"/>
      <c r="C5720" s="231"/>
      <c r="D5720" s="232"/>
      <c r="E5720" s="232"/>
      <c r="F5720" s="232"/>
      <c r="G5720" s="232"/>
      <c r="H5720" s="87"/>
      <c r="I5720" s="85"/>
      <c r="J5720" s="233"/>
      <c r="K5720" s="234"/>
      <c r="L5720" s="77"/>
    </row>
    <row r="5721" spans="1:13" x14ac:dyDescent="0.15">
      <c r="A5721" s="86"/>
      <c r="B5721" s="230"/>
      <c r="C5721" s="231"/>
      <c r="D5721" s="232"/>
      <c r="E5721" s="232"/>
      <c r="F5721" s="232"/>
      <c r="G5721" s="232"/>
      <c r="H5721" s="87"/>
      <c r="I5721" s="85"/>
      <c r="J5721" s="233"/>
      <c r="K5721" s="234"/>
      <c r="L5721" s="77"/>
      <c r="M5721" s="50"/>
    </row>
    <row r="5722" spans="1:13" x14ac:dyDescent="0.15">
      <c r="A5722" s="86"/>
      <c r="B5722" s="230"/>
      <c r="C5722" s="231"/>
      <c r="D5722" s="232"/>
      <c r="E5722" s="232"/>
      <c r="F5722" s="232"/>
      <c r="G5722" s="232"/>
      <c r="H5722" s="87"/>
      <c r="I5722" s="85"/>
      <c r="J5722" s="233"/>
      <c r="K5722" s="234"/>
      <c r="L5722" s="77"/>
      <c r="M5722" s="50"/>
    </row>
    <row r="5723" spans="1:13" x14ac:dyDescent="0.15">
      <c r="A5723" s="73"/>
      <c r="B5723" s="118"/>
      <c r="C5723" s="121"/>
      <c r="D5723" s="121"/>
      <c r="E5723" s="121"/>
      <c r="F5723" s="121"/>
      <c r="G5723" s="121"/>
      <c r="H5723" s="93"/>
      <c r="I5723" s="85"/>
      <c r="J5723" s="122"/>
      <c r="K5723" s="150"/>
      <c r="L5723" s="75"/>
      <c r="M5723" s="50"/>
    </row>
    <row r="5724" spans="1:13" x14ac:dyDescent="0.15">
      <c r="A5724" s="70"/>
      <c r="B5724" s="118"/>
      <c r="C5724" s="121"/>
      <c r="D5724" s="121"/>
      <c r="E5724" s="121"/>
      <c r="F5724" s="121"/>
      <c r="G5724" s="121"/>
      <c r="H5724" s="93"/>
      <c r="I5724" s="85"/>
      <c r="J5724" s="122"/>
      <c r="K5724" s="150"/>
      <c r="L5724" s="75"/>
    </row>
    <row r="5725" spans="1:13" x14ac:dyDescent="0.15">
      <c r="A5725" s="70"/>
      <c r="B5725" s="118"/>
      <c r="C5725" s="121"/>
      <c r="D5725" s="121"/>
      <c r="E5725" s="121"/>
      <c r="F5725" s="121"/>
      <c r="G5725" s="121"/>
      <c r="H5725" s="93"/>
      <c r="I5725" s="85"/>
      <c r="J5725" s="122"/>
      <c r="K5725" s="150"/>
      <c r="L5725" s="75"/>
    </row>
    <row r="5726" spans="1:13" x14ac:dyDescent="0.15">
      <c r="A5726" s="70"/>
      <c r="B5726" s="118"/>
      <c r="C5726" s="121"/>
      <c r="D5726" s="121"/>
      <c r="E5726" s="121"/>
      <c r="F5726" s="121"/>
      <c r="G5726" s="121"/>
      <c r="H5726" s="93"/>
      <c r="I5726" s="85"/>
      <c r="J5726" s="122"/>
      <c r="K5726" s="150"/>
      <c r="L5726" s="75"/>
      <c r="M5726" s="50"/>
    </row>
    <row r="5727" spans="1:13" x14ac:dyDescent="0.15">
      <c r="A5727" s="70"/>
      <c r="B5727" s="118"/>
      <c r="C5727" s="121"/>
      <c r="D5727" s="121"/>
      <c r="E5727" s="121"/>
      <c r="F5727" s="121"/>
      <c r="G5727" s="121"/>
      <c r="H5727" s="93"/>
      <c r="I5727" s="85"/>
      <c r="J5727" s="122"/>
      <c r="K5727" s="150"/>
      <c r="L5727" s="75"/>
    </row>
    <row r="5728" spans="1:13" x14ac:dyDescent="0.15">
      <c r="A5728" s="70"/>
      <c r="B5728" s="118"/>
      <c r="C5728" s="121"/>
      <c r="D5728" s="121"/>
      <c r="E5728" s="121"/>
      <c r="F5728" s="121"/>
      <c r="G5728" s="121"/>
      <c r="H5728" s="93"/>
      <c r="I5728" s="85"/>
      <c r="J5728" s="122"/>
      <c r="K5728" s="150"/>
      <c r="L5728" s="75"/>
    </row>
    <row r="5729" spans="1:15" x14ac:dyDescent="0.15">
      <c r="A5729" s="70"/>
      <c r="B5729" s="118"/>
      <c r="C5729" s="121"/>
      <c r="D5729" s="121"/>
      <c r="E5729" s="121"/>
      <c r="F5729" s="121"/>
      <c r="G5729" s="121"/>
      <c r="H5729" s="93"/>
      <c r="I5729" s="85"/>
      <c r="J5729" s="122"/>
      <c r="K5729" s="150"/>
      <c r="L5729" s="75"/>
    </row>
    <row r="5730" spans="1:15" x14ac:dyDescent="0.15">
      <c r="A5730" s="70"/>
      <c r="B5730" s="118"/>
      <c r="C5730" s="121"/>
      <c r="D5730" s="121"/>
      <c r="E5730" s="121"/>
      <c r="F5730" s="121"/>
      <c r="G5730" s="121"/>
      <c r="H5730" s="93"/>
      <c r="I5730" s="85"/>
      <c r="J5730" s="122"/>
      <c r="K5730" s="150"/>
      <c r="L5730" s="75"/>
      <c r="M5730" s="50"/>
    </row>
    <row r="5731" spans="1:15" x14ac:dyDescent="0.15">
      <c r="A5731" s="70"/>
      <c r="B5731" s="118"/>
      <c r="C5731" s="121"/>
      <c r="D5731" s="121"/>
      <c r="E5731" s="121"/>
      <c r="F5731" s="121"/>
      <c r="G5731" s="121"/>
      <c r="H5731" s="93"/>
      <c r="I5731" s="85"/>
      <c r="J5731" s="122"/>
      <c r="K5731" s="150"/>
      <c r="L5731" s="75"/>
      <c r="M5731" s="50"/>
    </row>
    <row r="5732" spans="1:15" x14ac:dyDescent="0.15">
      <c r="A5732" s="70"/>
      <c r="B5732" s="118"/>
      <c r="C5732" s="121"/>
      <c r="D5732" s="121"/>
      <c r="E5732" s="121"/>
      <c r="F5732" s="121"/>
      <c r="G5732" s="121"/>
      <c r="H5732" s="93"/>
      <c r="I5732" s="85"/>
      <c r="J5732" s="122"/>
      <c r="K5732" s="150"/>
      <c r="L5732" s="75"/>
      <c r="M5732" s="50"/>
    </row>
    <row r="5733" spans="1:15" x14ac:dyDescent="0.15">
      <c r="A5733" s="70"/>
      <c r="B5733" s="118"/>
      <c r="C5733" s="121"/>
      <c r="D5733" s="121"/>
      <c r="E5733" s="121"/>
      <c r="F5733" s="121"/>
      <c r="G5733" s="121"/>
      <c r="H5733" s="93"/>
      <c r="I5733" s="85"/>
      <c r="J5733" s="122"/>
      <c r="K5733" s="150"/>
      <c r="L5733" s="75"/>
      <c r="M5733" s="50"/>
    </row>
    <row r="5734" spans="1:15" x14ac:dyDescent="0.15">
      <c r="A5734" s="70"/>
      <c r="B5734" s="118"/>
      <c r="C5734" s="121"/>
      <c r="D5734" s="121"/>
      <c r="E5734" s="121"/>
      <c r="F5734" s="121"/>
      <c r="G5734" s="121"/>
      <c r="H5734" s="93"/>
      <c r="I5734" s="85"/>
      <c r="J5734" s="122"/>
      <c r="K5734" s="150"/>
      <c r="L5734" s="75"/>
      <c r="M5734" s="50"/>
    </row>
    <row r="5735" spans="1:15" x14ac:dyDescent="0.15">
      <c r="A5735" s="70"/>
      <c r="B5735" s="118"/>
      <c r="C5735" s="121"/>
      <c r="D5735" s="121"/>
      <c r="E5735" s="121"/>
      <c r="F5735" s="121"/>
      <c r="G5735" s="121"/>
      <c r="H5735" s="93"/>
      <c r="I5735" s="85"/>
      <c r="J5735" s="122"/>
      <c r="K5735" s="150"/>
      <c r="L5735" s="75"/>
      <c r="M5735" s="50"/>
    </row>
    <row r="5736" spans="1:15" x14ac:dyDescent="0.15">
      <c r="A5736" s="70"/>
      <c r="B5736" s="118"/>
      <c r="C5736" s="121"/>
      <c r="D5736" s="121"/>
      <c r="E5736" s="121"/>
      <c r="F5736" s="121"/>
      <c r="G5736" s="121"/>
      <c r="H5736" s="93"/>
      <c r="I5736" s="85"/>
      <c r="J5736" s="122"/>
      <c r="K5736" s="150"/>
      <c r="L5736" s="75"/>
      <c r="M5736" s="50"/>
    </row>
    <row r="5737" spans="1:15" x14ac:dyDescent="0.15">
      <c r="A5737" s="70"/>
      <c r="B5737" s="118"/>
      <c r="C5737" s="121"/>
      <c r="D5737" s="121"/>
      <c r="E5737" s="121"/>
      <c r="F5737" s="121"/>
      <c r="G5737" s="121"/>
      <c r="H5737" s="93"/>
      <c r="I5737" s="85"/>
      <c r="J5737" s="122"/>
      <c r="K5737" s="150"/>
      <c r="L5737" s="75"/>
      <c r="M5737" s="50"/>
    </row>
    <row r="5738" spans="1:15" x14ac:dyDescent="0.15">
      <c r="A5738" s="70"/>
      <c r="B5738" s="118"/>
      <c r="C5738" s="121"/>
      <c r="D5738" s="121"/>
      <c r="E5738" s="121"/>
      <c r="F5738" s="121"/>
      <c r="G5738" s="121"/>
      <c r="H5738" s="93"/>
      <c r="I5738" s="85"/>
      <c r="J5738" s="122"/>
      <c r="K5738" s="150"/>
      <c r="L5738" s="75"/>
      <c r="M5738" s="50"/>
    </row>
    <row r="5739" spans="1:15" x14ac:dyDescent="0.15">
      <c r="A5739" s="73"/>
      <c r="B5739" s="118"/>
      <c r="C5739" s="121"/>
      <c r="D5739" s="121"/>
      <c r="E5739" s="121"/>
      <c r="F5739" s="121"/>
      <c r="G5739" s="121"/>
      <c r="H5739" s="93"/>
      <c r="I5739" s="85"/>
      <c r="J5739" s="122"/>
      <c r="K5739" s="150"/>
      <c r="L5739" s="75"/>
      <c r="M5739" s="50"/>
    </row>
    <row r="5740" spans="1:15" x14ac:dyDescent="0.15">
      <c r="A5740" s="70"/>
      <c r="B5740" s="118"/>
      <c r="C5740" s="121"/>
      <c r="D5740" s="121"/>
      <c r="E5740" s="121"/>
      <c r="F5740" s="121"/>
      <c r="G5740" s="121"/>
      <c r="H5740" s="93"/>
      <c r="I5740" s="85"/>
      <c r="J5740" s="122"/>
      <c r="K5740" s="150"/>
      <c r="L5740" s="75"/>
      <c r="M5740" s="50"/>
    </row>
    <row r="5741" spans="1:15" x14ac:dyDescent="0.15">
      <c r="A5741" s="70"/>
      <c r="B5741" s="118"/>
      <c r="C5741" s="121"/>
      <c r="D5741" s="121"/>
      <c r="E5741" s="121"/>
      <c r="F5741" s="121"/>
      <c r="G5741" s="121"/>
      <c r="H5741" s="93"/>
      <c r="I5741" s="85"/>
      <c r="J5741" s="85"/>
      <c r="K5741" s="150"/>
      <c r="L5741" s="75"/>
      <c r="M5741" s="50"/>
    </row>
    <row r="5742" spans="1:15" x14ac:dyDescent="0.15">
      <c r="A5742" s="70"/>
      <c r="B5742" s="118"/>
      <c r="C5742" s="121"/>
      <c r="D5742" s="121"/>
      <c r="E5742" s="121"/>
      <c r="F5742" s="121"/>
      <c r="G5742" s="121"/>
      <c r="H5742" s="93"/>
      <c r="I5742" s="85"/>
      <c r="J5742" s="85"/>
      <c r="K5742" s="150"/>
      <c r="L5742" s="75"/>
      <c r="M5742" s="50"/>
      <c r="O5742" s="51"/>
    </row>
    <row r="5743" spans="1:15" x14ac:dyDescent="0.15">
      <c r="A5743" s="70"/>
      <c r="B5743" s="118"/>
      <c r="C5743" s="121"/>
      <c r="D5743" s="121"/>
      <c r="E5743" s="121"/>
      <c r="F5743" s="121"/>
      <c r="G5743" s="121"/>
      <c r="H5743" s="93"/>
      <c r="I5743" s="85"/>
      <c r="J5743" s="85"/>
      <c r="K5743" s="150"/>
      <c r="L5743" s="76"/>
      <c r="M5743" s="50"/>
    </row>
    <row r="5744" spans="1:15" x14ac:dyDescent="0.15">
      <c r="A5744" s="70"/>
      <c r="B5744" s="118"/>
      <c r="C5744" s="121"/>
      <c r="D5744" s="121"/>
      <c r="E5744" s="121"/>
      <c r="F5744" s="121"/>
      <c r="G5744" s="121"/>
      <c r="H5744" s="93"/>
      <c r="I5744" s="85"/>
      <c r="J5744" s="85"/>
      <c r="K5744" s="150"/>
      <c r="L5744" s="76"/>
      <c r="M5744" s="50"/>
    </row>
    <row r="5745" spans="1:15" x14ac:dyDescent="0.15">
      <c r="A5745" s="70"/>
      <c r="B5745" s="118"/>
      <c r="C5745" s="121"/>
      <c r="D5745" s="121"/>
      <c r="E5745" s="121"/>
      <c r="F5745" s="121"/>
      <c r="G5745" s="121"/>
      <c r="H5745" s="93"/>
      <c r="I5745" s="85"/>
      <c r="J5745" s="85"/>
      <c r="K5745" s="150"/>
      <c r="L5745" s="75"/>
      <c r="M5745" s="50"/>
    </row>
    <row r="5746" spans="1:15" x14ac:dyDescent="0.15">
      <c r="A5746" s="70"/>
      <c r="B5746" s="118"/>
      <c r="C5746" s="121"/>
      <c r="D5746" s="121"/>
      <c r="E5746" s="121"/>
      <c r="F5746" s="121"/>
      <c r="G5746" s="121"/>
      <c r="H5746" s="93"/>
      <c r="I5746" s="85"/>
      <c r="J5746" s="85"/>
      <c r="K5746" s="150"/>
      <c r="L5746" s="76"/>
      <c r="M5746" s="50"/>
    </row>
    <row r="5747" spans="1:15" x14ac:dyDescent="0.15">
      <c r="A5747" s="70"/>
      <c r="B5747" s="118"/>
      <c r="C5747" s="121"/>
      <c r="D5747" s="121"/>
      <c r="E5747" s="121"/>
      <c r="F5747" s="121"/>
      <c r="G5747" s="121"/>
      <c r="H5747" s="93"/>
      <c r="I5747" s="85"/>
      <c r="J5747" s="85"/>
      <c r="K5747" s="150"/>
      <c r="L5747" s="76"/>
      <c r="M5747" s="50"/>
    </row>
    <row r="5748" spans="1:15" x14ac:dyDescent="0.15">
      <c r="A5748" s="70"/>
      <c r="B5748" s="118"/>
      <c r="C5748" s="121"/>
      <c r="D5748" s="121"/>
      <c r="E5748" s="121"/>
      <c r="F5748" s="121"/>
      <c r="G5748" s="121"/>
      <c r="H5748" s="93"/>
      <c r="I5748" s="85"/>
      <c r="J5748" s="85"/>
      <c r="K5748" s="150"/>
      <c r="L5748" s="75"/>
      <c r="M5748" s="50"/>
    </row>
    <row r="5749" spans="1:15" x14ac:dyDescent="0.15">
      <c r="A5749" s="70"/>
      <c r="B5749" s="118"/>
      <c r="C5749" s="121"/>
      <c r="D5749" s="121"/>
      <c r="E5749" s="121"/>
      <c r="F5749" s="121"/>
      <c r="G5749" s="121"/>
      <c r="H5749" s="93"/>
      <c r="I5749" s="85"/>
      <c r="J5749" s="85"/>
      <c r="K5749" s="150"/>
      <c r="L5749" s="75"/>
      <c r="M5749" s="50"/>
    </row>
    <row r="5750" spans="1:15" x14ac:dyDescent="0.15">
      <c r="A5750" s="73"/>
      <c r="B5750" s="118"/>
      <c r="C5750" s="121"/>
      <c r="D5750" s="121"/>
      <c r="E5750" s="121"/>
      <c r="F5750" s="121"/>
      <c r="G5750" s="121"/>
      <c r="H5750" s="93"/>
      <c r="I5750" s="85"/>
      <c r="J5750" s="85"/>
      <c r="K5750" s="150"/>
      <c r="L5750" s="75"/>
      <c r="M5750" s="50"/>
      <c r="O5750" s="51"/>
    </row>
    <row r="5751" spans="1:15" x14ac:dyDescent="0.15">
      <c r="A5751" s="70"/>
      <c r="B5751" s="118"/>
      <c r="C5751" s="121"/>
      <c r="D5751" s="121"/>
      <c r="E5751" s="121"/>
      <c r="F5751" s="121"/>
      <c r="G5751" s="121"/>
      <c r="H5751" s="93"/>
      <c r="I5751" s="85"/>
      <c r="J5751" s="95"/>
      <c r="K5751" s="150"/>
      <c r="L5751" s="76"/>
      <c r="M5751" s="50"/>
    </row>
    <row r="5752" spans="1:15" x14ac:dyDescent="0.15">
      <c r="A5752" s="70"/>
      <c r="B5752" s="118"/>
      <c r="C5752" s="121"/>
      <c r="D5752" s="121"/>
      <c r="E5752" s="121"/>
      <c r="F5752" s="121"/>
      <c r="G5752" s="121"/>
      <c r="H5752" s="93"/>
      <c r="I5752" s="85"/>
      <c r="J5752" s="85"/>
      <c r="K5752" s="150"/>
      <c r="L5752" s="76"/>
      <c r="M5752" s="50"/>
      <c r="O5752" s="51"/>
    </row>
    <row r="5753" spans="1:15" x14ac:dyDescent="0.15">
      <c r="A5753" s="70"/>
      <c r="B5753" s="118"/>
      <c r="C5753" s="121"/>
      <c r="D5753" s="121"/>
      <c r="E5753" s="121"/>
      <c r="F5753" s="121"/>
      <c r="G5753" s="121"/>
      <c r="H5753" s="93"/>
      <c r="I5753" s="85"/>
      <c r="J5753" s="85"/>
      <c r="K5753" s="150"/>
      <c r="L5753" s="75"/>
      <c r="M5753" s="50"/>
    </row>
    <row r="5754" spans="1:15" x14ac:dyDescent="0.15">
      <c r="A5754" s="70"/>
      <c r="B5754" s="118"/>
      <c r="C5754" s="121"/>
      <c r="D5754" s="121"/>
      <c r="E5754" s="121"/>
      <c r="F5754" s="121"/>
      <c r="G5754" s="121"/>
      <c r="H5754" s="93"/>
      <c r="I5754" s="85"/>
      <c r="J5754" s="85"/>
      <c r="K5754" s="150"/>
      <c r="L5754" s="75"/>
      <c r="M5754" s="50"/>
    </row>
    <row r="5755" spans="1:15" x14ac:dyDescent="0.15">
      <c r="A5755" s="70"/>
      <c r="B5755" s="118"/>
      <c r="C5755" s="121"/>
      <c r="D5755" s="121"/>
      <c r="E5755" s="121"/>
      <c r="F5755" s="121"/>
      <c r="G5755" s="121"/>
      <c r="H5755" s="93"/>
      <c r="I5755" s="85"/>
      <c r="J5755" s="85"/>
      <c r="K5755" s="150"/>
      <c r="L5755" s="75"/>
      <c r="M5755" s="50"/>
    </row>
    <row r="5756" spans="1:15" x14ac:dyDescent="0.15">
      <c r="A5756" s="73"/>
      <c r="B5756" s="118"/>
      <c r="C5756" s="121"/>
      <c r="D5756" s="121"/>
      <c r="E5756" s="121"/>
      <c r="F5756" s="121"/>
      <c r="G5756" s="121"/>
      <c r="H5756" s="93"/>
      <c r="I5756" s="85"/>
      <c r="J5756" s="85"/>
      <c r="K5756" s="150"/>
      <c r="L5756" s="75"/>
      <c r="M5756" s="50"/>
    </row>
    <row r="5757" spans="1:15" x14ac:dyDescent="0.15">
      <c r="A5757" s="70"/>
      <c r="B5757" s="118"/>
      <c r="C5757" s="121"/>
      <c r="D5757" s="121"/>
      <c r="E5757" s="121"/>
      <c r="F5757" s="121"/>
      <c r="G5757" s="121"/>
      <c r="H5757" s="93"/>
      <c r="I5757" s="85"/>
      <c r="J5757" s="85"/>
      <c r="K5757" s="150"/>
      <c r="L5757" s="75"/>
      <c r="M5757" s="50"/>
    </row>
    <row r="5758" spans="1:15" x14ac:dyDescent="0.15">
      <c r="A5758" s="70"/>
      <c r="B5758" s="118"/>
      <c r="C5758" s="121"/>
      <c r="D5758" s="121"/>
      <c r="E5758" s="121"/>
      <c r="F5758" s="121"/>
      <c r="G5758" s="121"/>
      <c r="H5758" s="93"/>
      <c r="I5758" s="85"/>
      <c r="J5758" s="122"/>
      <c r="K5758" s="150"/>
      <c r="L5758" s="75"/>
      <c r="M5758" s="50"/>
    </row>
  </sheetData>
  <sortState xmlns:xlrd2="http://schemas.microsoft.com/office/spreadsheetml/2017/richdata2" ref="A4:AB308">
    <sortCondition ref="D4:D309"/>
    <sortCondition ref="E4:E309"/>
    <sortCondition ref="F4:F309"/>
    <sortCondition ref="G4:G309"/>
  </sortState>
  <dataConsolidate/>
  <mergeCells count="1">
    <mergeCell ref="A2:J2"/>
  </mergeCells>
  <hyperlinks>
    <hyperlink ref="L215" r:id="rId1" xr:uid="{00000000-0004-0000-0300-000000000000}"/>
  </hyperlinks>
  <pageMargins left="0.5" right="0.5" top="0.75" bottom="0.5" header="0.5" footer="0.5"/>
  <pageSetup scale="75" fitToHeight="400" orientation="landscape" horizontalDpi="4294967292" verticalDpi="4294967292"/>
  <headerFooter alignWithMargins="0">
    <oddHeader>&amp;F&amp;RPage &amp;P</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5758"/>
  <sheetViews>
    <sheetView topLeftCell="A5717" workbookViewId="0">
      <selection activeCell="A5758" sqref="A5758:IV5758"/>
    </sheetView>
  </sheetViews>
  <sheetFormatPr baseColWidth="10" defaultColWidth="11.5" defaultRowHeight="13" x14ac:dyDescent="0.15"/>
  <cols>
    <col min="1" max="1" width="9.1640625" style="171" customWidth="1"/>
    <col min="2" max="2" width="23.33203125" style="126" customWidth="1"/>
    <col min="3" max="3" width="10.83203125" style="127" customWidth="1"/>
    <col min="4" max="5" width="13.6640625" style="127" customWidth="1"/>
    <col min="6" max="6" width="15.33203125" style="127" customWidth="1"/>
    <col min="7" max="7" width="14.83203125" style="127" customWidth="1"/>
    <col min="8" max="8" width="17.1640625" style="126" customWidth="1"/>
    <col min="9" max="9" width="9.5" style="94" customWidth="1"/>
    <col min="10" max="10" width="16.6640625" style="94" customWidth="1"/>
    <col min="11" max="11" width="22.1640625" style="138" customWidth="1"/>
    <col min="12" max="12" width="9.1640625" style="71" customWidth="1"/>
    <col min="13" max="13" width="9" style="49" customWidth="1"/>
    <col min="14" max="14" width="12.5" style="37" customWidth="1"/>
    <col min="15" max="16" width="9" style="37" customWidth="1"/>
    <col min="17" max="25" width="8.83203125" style="3" customWidth="1"/>
    <col min="26" max="26" width="10.83203125" style="4" customWidth="1"/>
  </cols>
  <sheetData>
    <row r="1" spans="1:26" s="26" customFormat="1" ht="20" customHeight="1" x14ac:dyDescent="0.2">
      <c r="A1" s="223" t="s">
        <v>122</v>
      </c>
      <c r="B1" s="78"/>
      <c r="C1" s="79"/>
      <c r="D1" s="79"/>
      <c r="E1" s="79"/>
      <c r="F1" s="79"/>
      <c r="G1" s="79"/>
      <c r="H1" s="78"/>
      <c r="I1" s="80"/>
      <c r="J1" s="80"/>
      <c r="K1" s="129"/>
      <c r="L1" s="59"/>
      <c r="M1" s="45"/>
      <c r="N1" s="45"/>
      <c r="O1" s="45"/>
      <c r="P1" s="45"/>
      <c r="Q1" s="27"/>
      <c r="R1" s="27"/>
      <c r="S1" s="27"/>
      <c r="T1" s="27"/>
      <c r="U1" s="27"/>
      <c r="V1" s="27"/>
      <c r="W1" s="27"/>
      <c r="X1" s="27"/>
      <c r="Y1" s="27"/>
      <c r="Z1" s="27"/>
    </row>
    <row r="2" spans="1:26" s="5" customFormat="1" ht="55" customHeight="1" x14ac:dyDescent="0.15">
      <c r="A2" s="310" t="s">
        <v>8050</v>
      </c>
      <c r="B2" s="310"/>
      <c r="C2" s="310"/>
      <c r="D2" s="310"/>
      <c r="E2" s="310"/>
      <c r="F2" s="310"/>
      <c r="G2" s="310"/>
      <c r="H2" s="310"/>
      <c r="I2" s="310"/>
      <c r="J2" s="310"/>
      <c r="K2" s="130"/>
      <c r="L2" s="60"/>
      <c r="M2" s="46"/>
      <c r="N2" s="46"/>
      <c r="O2" s="46"/>
      <c r="P2" s="46"/>
      <c r="Q2" s="7"/>
      <c r="R2" s="7"/>
      <c r="S2" s="7"/>
      <c r="T2" s="7"/>
      <c r="U2" s="7"/>
      <c r="V2" s="7"/>
      <c r="W2" s="7"/>
      <c r="X2" s="7"/>
      <c r="Y2" s="7"/>
      <c r="Z2" s="7"/>
    </row>
    <row r="3" spans="1:26" s="44" customFormat="1" ht="68" x14ac:dyDescent="0.15">
      <c r="A3" s="163" t="s">
        <v>3407</v>
      </c>
      <c r="B3" s="39" t="s">
        <v>4858</v>
      </c>
      <c r="C3" s="40" t="s">
        <v>4250</v>
      </c>
      <c r="D3" s="40" t="s">
        <v>4041</v>
      </c>
      <c r="E3" s="40" t="s">
        <v>4904</v>
      </c>
      <c r="F3" s="40" t="s">
        <v>3409</v>
      </c>
      <c r="G3" s="40" t="s">
        <v>4299</v>
      </c>
      <c r="H3" s="174"/>
      <c r="I3" s="41" t="s">
        <v>3174</v>
      </c>
      <c r="J3" s="42" t="s">
        <v>3419</v>
      </c>
      <c r="K3" s="39" t="s">
        <v>3634</v>
      </c>
      <c r="L3" s="38" t="s">
        <v>5012</v>
      </c>
      <c r="M3" s="39" t="s">
        <v>6711</v>
      </c>
      <c r="N3" s="39" t="s">
        <v>7507</v>
      </c>
      <c r="O3" s="58" t="s">
        <v>7507</v>
      </c>
      <c r="P3" s="58" t="s">
        <v>7914</v>
      </c>
      <c r="Q3" s="58" t="s">
        <v>7915</v>
      </c>
      <c r="R3" s="58" t="s">
        <v>7916</v>
      </c>
      <c r="S3" s="43"/>
      <c r="T3" s="43"/>
      <c r="U3" s="43"/>
      <c r="V3" s="43"/>
      <c r="W3" s="43"/>
      <c r="X3" s="43"/>
      <c r="Y3" s="43"/>
      <c r="Z3" s="43"/>
    </row>
    <row r="4" spans="1:26" ht="14" x14ac:dyDescent="0.15">
      <c r="A4" s="164" t="s">
        <v>2538</v>
      </c>
      <c r="B4" s="90"/>
      <c r="C4" s="70" t="s">
        <v>4772</v>
      </c>
      <c r="D4" s="91" t="s">
        <v>2837</v>
      </c>
      <c r="E4" s="91" t="s">
        <v>3178</v>
      </c>
      <c r="F4" s="91" t="s">
        <v>3885</v>
      </c>
      <c r="G4" s="91" t="s">
        <v>7202</v>
      </c>
      <c r="H4" s="176"/>
      <c r="I4" s="85">
        <f t="shared" ref="I4:I44" si="0">LOG(J4)</f>
        <v>5.6766936096248664</v>
      </c>
      <c r="J4" s="92">
        <v>475000</v>
      </c>
      <c r="K4" s="133" t="s">
        <v>3347</v>
      </c>
      <c r="L4" s="65">
        <v>59</v>
      </c>
    </row>
    <row r="5" spans="1:26" ht="16" x14ac:dyDescent="0.2">
      <c r="A5" s="164" t="s">
        <v>2538</v>
      </c>
      <c r="B5" s="90"/>
      <c r="C5" s="70" t="s">
        <v>4772</v>
      </c>
      <c r="D5" s="91" t="s">
        <v>2837</v>
      </c>
      <c r="E5" s="91" t="s">
        <v>3178</v>
      </c>
      <c r="F5" s="91" t="s">
        <v>7189</v>
      </c>
      <c r="G5" s="91" t="s">
        <v>7190</v>
      </c>
      <c r="H5" s="176"/>
      <c r="I5" s="85">
        <f t="shared" si="0"/>
        <v>5.9164539485499255</v>
      </c>
      <c r="J5" s="92">
        <v>825000</v>
      </c>
      <c r="K5" s="133" t="s">
        <v>3347</v>
      </c>
      <c r="L5" s="64">
        <v>59</v>
      </c>
      <c r="M5" s="47"/>
    </row>
    <row r="6" spans="1:26" ht="16" x14ac:dyDescent="0.2">
      <c r="A6" s="91" t="s">
        <v>2538</v>
      </c>
      <c r="B6" s="90"/>
      <c r="C6" s="70" t="s">
        <v>4772</v>
      </c>
      <c r="D6" s="91" t="s">
        <v>2837</v>
      </c>
      <c r="E6" s="91" t="s">
        <v>3178</v>
      </c>
      <c r="F6" s="91" t="s">
        <v>2997</v>
      </c>
      <c r="G6" s="91" t="s">
        <v>3884</v>
      </c>
      <c r="H6" s="176"/>
      <c r="I6" s="85">
        <f t="shared" si="0"/>
        <v>4.5250448070368456</v>
      </c>
      <c r="J6" s="92">
        <v>33500</v>
      </c>
      <c r="K6" s="133" t="s">
        <v>3347</v>
      </c>
      <c r="L6" s="64">
        <v>59</v>
      </c>
      <c r="M6" s="47"/>
    </row>
    <row r="7" spans="1:26" ht="14" x14ac:dyDescent="0.15">
      <c r="A7" s="91" t="s">
        <v>2538</v>
      </c>
      <c r="B7" s="90"/>
      <c r="C7" s="70" t="s">
        <v>4772</v>
      </c>
      <c r="D7" s="91" t="s">
        <v>2837</v>
      </c>
      <c r="E7" s="91" t="s">
        <v>7198</v>
      </c>
      <c r="F7" s="91" t="s">
        <v>7199</v>
      </c>
      <c r="G7" s="91" t="s">
        <v>7200</v>
      </c>
      <c r="H7" s="176"/>
      <c r="I7" s="85">
        <f t="shared" si="0"/>
        <v>5.9030899869919438</v>
      </c>
      <c r="J7" s="92">
        <v>800000</v>
      </c>
      <c r="K7" s="133" t="s">
        <v>3347</v>
      </c>
      <c r="L7" s="64">
        <v>59</v>
      </c>
    </row>
    <row r="8" spans="1:26" ht="16" x14ac:dyDescent="0.2">
      <c r="A8" s="91" t="s">
        <v>2538</v>
      </c>
      <c r="B8" s="90"/>
      <c r="C8" s="70" t="s">
        <v>4772</v>
      </c>
      <c r="D8" s="91" t="s">
        <v>2837</v>
      </c>
      <c r="E8" s="91" t="s">
        <v>3724</v>
      </c>
      <c r="F8" s="91" t="s">
        <v>3683</v>
      </c>
      <c r="G8" s="91" t="s">
        <v>3684</v>
      </c>
      <c r="H8" s="176"/>
      <c r="I8" s="85">
        <f t="shared" si="0"/>
        <v>4.5440680443502757</v>
      </c>
      <c r="J8" s="92">
        <v>35000</v>
      </c>
      <c r="K8" s="133" t="s">
        <v>3347</v>
      </c>
      <c r="L8" s="65">
        <v>59</v>
      </c>
      <c r="M8" s="47"/>
    </row>
    <row r="9" spans="1:26" ht="14" x14ac:dyDescent="0.15">
      <c r="A9" s="91" t="s">
        <v>2538</v>
      </c>
      <c r="B9" s="90"/>
      <c r="C9" s="73" t="s">
        <v>4772</v>
      </c>
      <c r="D9" s="164" t="s">
        <v>2837</v>
      </c>
      <c r="E9" s="91" t="s">
        <v>3724</v>
      </c>
      <c r="F9" s="164" t="s">
        <v>3683</v>
      </c>
      <c r="G9" s="164" t="s">
        <v>3727</v>
      </c>
      <c r="H9" s="196"/>
      <c r="I9" s="85">
        <f t="shared" si="0"/>
        <v>4.8419848045901137</v>
      </c>
      <c r="J9" s="92">
        <v>69500</v>
      </c>
      <c r="K9" s="133" t="s">
        <v>3347</v>
      </c>
      <c r="L9" s="65">
        <v>59</v>
      </c>
    </row>
    <row r="10" spans="1:26" ht="14" x14ac:dyDescent="0.15">
      <c r="A10" s="91" t="s">
        <v>2538</v>
      </c>
      <c r="B10" s="90"/>
      <c r="C10" s="70" t="s">
        <v>4772</v>
      </c>
      <c r="D10" s="91" t="s">
        <v>2837</v>
      </c>
      <c r="E10" s="91" t="s">
        <v>3724</v>
      </c>
      <c r="F10" s="91" t="s">
        <v>3725</v>
      </c>
      <c r="G10" s="91" t="s">
        <v>3728</v>
      </c>
      <c r="H10" s="176"/>
      <c r="I10" s="85">
        <f t="shared" si="0"/>
        <v>4.7993405494535821</v>
      </c>
      <c r="J10" s="92">
        <v>63000</v>
      </c>
      <c r="K10" s="133" t="s">
        <v>3347</v>
      </c>
      <c r="L10" s="65">
        <v>59</v>
      </c>
    </row>
    <row r="11" spans="1:26" ht="14" x14ac:dyDescent="0.15">
      <c r="A11" s="91" t="s">
        <v>2538</v>
      </c>
      <c r="B11" s="90"/>
      <c r="C11" s="70" t="s">
        <v>4772</v>
      </c>
      <c r="D11" s="91" t="s">
        <v>2837</v>
      </c>
      <c r="E11" s="91" t="s">
        <v>3724</v>
      </c>
      <c r="F11" s="91" t="s">
        <v>3725</v>
      </c>
      <c r="G11" s="91" t="s">
        <v>3682</v>
      </c>
      <c r="H11" s="176"/>
      <c r="I11" s="85">
        <f t="shared" si="0"/>
        <v>5.0773679052841567</v>
      </c>
      <c r="J11" s="92">
        <v>119500</v>
      </c>
      <c r="K11" s="133" t="s">
        <v>3347</v>
      </c>
      <c r="L11" s="64">
        <v>59</v>
      </c>
    </row>
    <row r="12" spans="1:26" ht="14" x14ac:dyDescent="0.15">
      <c r="A12" s="164" t="s">
        <v>2538</v>
      </c>
      <c r="B12" s="90"/>
      <c r="C12" s="70" t="s">
        <v>4772</v>
      </c>
      <c r="D12" s="91" t="s">
        <v>2837</v>
      </c>
      <c r="E12" s="91" t="s">
        <v>3724</v>
      </c>
      <c r="F12" s="91" t="s">
        <v>3725</v>
      </c>
      <c r="G12" s="91" t="s">
        <v>3471</v>
      </c>
      <c r="H12" s="176"/>
      <c r="I12" s="85">
        <f t="shared" si="0"/>
        <v>5.2278867046136739</v>
      </c>
      <c r="J12" s="92">
        <v>169000</v>
      </c>
      <c r="K12" s="133" t="s">
        <v>3347</v>
      </c>
      <c r="L12" s="64">
        <v>59</v>
      </c>
    </row>
    <row r="13" spans="1:26" ht="14" x14ac:dyDescent="0.15">
      <c r="A13" s="91" t="s">
        <v>2538</v>
      </c>
      <c r="B13" s="90"/>
      <c r="C13" s="70" t="s">
        <v>4772</v>
      </c>
      <c r="D13" s="91" t="s">
        <v>2837</v>
      </c>
      <c r="E13" s="91" t="s">
        <v>3724</v>
      </c>
      <c r="F13" s="91" t="s">
        <v>3685</v>
      </c>
      <c r="G13" s="91" t="s">
        <v>4708</v>
      </c>
      <c r="H13" s="176"/>
      <c r="I13" s="85">
        <f t="shared" si="0"/>
        <v>4.685741738602264</v>
      </c>
      <c r="J13" s="92">
        <v>48500</v>
      </c>
      <c r="K13" s="133" t="s">
        <v>3347</v>
      </c>
      <c r="L13" s="64">
        <v>59</v>
      </c>
    </row>
    <row r="14" spans="1:26" ht="14" x14ac:dyDescent="0.15">
      <c r="A14" s="91" t="s">
        <v>2538</v>
      </c>
      <c r="B14" s="90"/>
      <c r="C14" s="70" t="s">
        <v>4772</v>
      </c>
      <c r="D14" s="91" t="s">
        <v>2837</v>
      </c>
      <c r="E14" s="91" t="s">
        <v>3088</v>
      </c>
      <c r="F14" s="91" t="s">
        <v>3304</v>
      </c>
      <c r="G14" s="91" t="s">
        <v>3305</v>
      </c>
      <c r="H14" s="176"/>
      <c r="I14" s="85">
        <f t="shared" si="0"/>
        <v>4.9357591037453119</v>
      </c>
      <c r="J14" s="92">
        <v>86250</v>
      </c>
      <c r="K14" s="133" t="s">
        <v>3347</v>
      </c>
      <c r="L14" s="64">
        <v>59</v>
      </c>
    </row>
    <row r="15" spans="1:26" ht="14" x14ac:dyDescent="0.15">
      <c r="A15" s="70" t="s">
        <v>2538</v>
      </c>
      <c r="B15" s="82"/>
      <c r="C15" s="70" t="s">
        <v>4772</v>
      </c>
      <c r="D15" s="70" t="s">
        <v>3773</v>
      </c>
      <c r="E15" s="70" t="s">
        <v>7053</v>
      </c>
      <c r="F15" s="70" t="s">
        <v>4656</v>
      </c>
      <c r="G15" s="70" t="s">
        <v>4674</v>
      </c>
      <c r="H15" s="93"/>
      <c r="I15" s="85">
        <f t="shared" si="0"/>
        <v>3.6283889300503116</v>
      </c>
      <c r="J15" s="85">
        <v>4250</v>
      </c>
      <c r="K15" s="131" t="s">
        <v>4772</v>
      </c>
      <c r="L15" s="63">
        <v>59</v>
      </c>
    </row>
    <row r="16" spans="1:26" ht="14" x14ac:dyDescent="0.15">
      <c r="A16" s="70" t="s">
        <v>2538</v>
      </c>
      <c r="B16" s="82"/>
      <c r="C16" s="70" t="s">
        <v>4772</v>
      </c>
      <c r="D16" s="70" t="s">
        <v>7077</v>
      </c>
      <c r="E16" s="70" t="s">
        <v>7078</v>
      </c>
      <c r="F16" s="70" t="s">
        <v>7068</v>
      </c>
      <c r="G16" s="70" t="s">
        <v>4028</v>
      </c>
      <c r="H16" s="93"/>
      <c r="I16" s="85">
        <f t="shared" si="0"/>
        <v>3.1986570869544226</v>
      </c>
      <c r="J16" s="85">
        <v>1580</v>
      </c>
      <c r="K16" s="131" t="s">
        <v>5708</v>
      </c>
      <c r="L16" s="63">
        <v>59</v>
      </c>
    </row>
    <row r="17" spans="1:26" ht="14" x14ac:dyDescent="0.15">
      <c r="A17" s="164" t="s">
        <v>2538</v>
      </c>
      <c r="B17" s="90"/>
      <c r="C17" s="70" t="s">
        <v>4772</v>
      </c>
      <c r="D17" s="91" t="s">
        <v>7007</v>
      </c>
      <c r="E17" s="91" t="s">
        <v>2446</v>
      </c>
      <c r="F17" s="91" t="s">
        <v>2447</v>
      </c>
      <c r="G17" s="91" t="s">
        <v>2448</v>
      </c>
      <c r="H17" s="176"/>
      <c r="I17" s="85">
        <f t="shared" si="0"/>
        <v>5.5118833609788744</v>
      </c>
      <c r="J17" s="92">
        <v>325000</v>
      </c>
      <c r="K17" s="133" t="s">
        <v>3347</v>
      </c>
      <c r="L17" s="64">
        <v>59</v>
      </c>
    </row>
    <row r="18" spans="1:26" ht="14" x14ac:dyDescent="0.15">
      <c r="A18" s="70" t="s">
        <v>2538</v>
      </c>
      <c r="B18" s="82"/>
      <c r="C18" s="70" t="s">
        <v>4772</v>
      </c>
      <c r="D18" s="70" t="s">
        <v>3437</v>
      </c>
      <c r="E18" s="70" t="s">
        <v>3457</v>
      </c>
      <c r="F18" s="70" t="s">
        <v>6292</v>
      </c>
      <c r="G18" s="70" t="s">
        <v>4126</v>
      </c>
      <c r="H18" s="93"/>
      <c r="I18" s="85">
        <f t="shared" si="0"/>
        <v>1.2174839442139063</v>
      </c>
      <c r="J18" s="85">
        <v>16.5</v>
      </c>
      <c r="K18" s="131" t="s">
        <v>5708</v>
      </c>
      <c r="L18" s="63">
        <v>59</v>
      </c>
    </row>
    <row r="19" spans="1:26" ht="14" x14ac:dyDescent="0.15">
      <c r="A19" s="70" t="s">
        <v>2538</v>
      </c>
      <c r="B19" s="82"/>
      <c r="C19" s="70" t="s">
        <v>4772</v>
      </c>
      <c r="D19" s="70" t="s">
        <v>3437</v>
      </c>
      <c r="E19" s="70" t="s">
        <v>3457</v>
      </c>
      <c r="F19" s="70" t="s">
        <v>7374</v>
      </c>
      <c r="G19" s="70" t="s">
        <v>3842</v>
      </c>
      <c r="H19" s="93"/>
      <c r="I19" s="85">
        <f t="shared" si="0"/>
        <v>2.4471580313422194</v>
      </c>
      <c r="J19" s="85">
        <v>280</v>
      </c>
      <c r="K19" s="131" t="s">
        <v>5708</v>
      </c>
      <c r="L19" s="63">
        <v>59</v>
      </c>
    </row>
    <row r="20" spans="1:26" ht="14" x14ac:dyDescent="0.15">
      <c r="A20" s="70" t="s">
        <v>2538</v>
      </c>
      <c r="B20" s="82"/>
      <c r="C20" s="70" t="s">
        <v>4772</v>
      </c>
      <c r="D20" s="70" t="s">
        <v>3437</v>
      </c>
      <c r="E20" s="70" t="s">
        <v>3457</v>
      </c>
      <c r="F20" s="70" t="s">
        <v>7374</v>
      </c>
      <c r="G20" s="70" t="s">
        <v>3834</v>
      </c>
      <c r="H20" s="93"/>
      <c r="I20" s="85">
        <f t="shared" si="0"/>
        <v>2.5051499783199058</v>
      </c>
      <c r="J20" s="85">
        <v>320</v>
      </c>
      <c r="K20" s="131" t="s">
        <v>5708</v>
      </c>
      <c r="L20" s="63">
        <v>59</v>
      </c>
    </row>
    <row r="21" spans="1:26" ht="14" x14ac:dyDescent="0.15">
      <c r="A21" s="70" t="s">
        <v>2538</v>
      </c>
      <c r="B21" s="82"/>
      <c r="C21" s="70" t="s">
        <v>5708</v>
      </c>
      <c r="D21" s="70" t="s">
        <v>3773</v>
      </c>
      <c r="E21" s="70" t="s">
        <v>3774</v>
      </c>
      <c r="F21" s="70" t="s">
        <v>4362</v>
      </c>
      <c r="G21" s="70" t="s">
        <v>4494</v>
      </c>
      <c r="H21" s="93"/>
      <c r="I21" s="85">
        <f t="shared" si="0"/>
        <v>3.7745169657285498</v>
      </c>
      <c r="J21" s="95">
        <v>5950</v>
      </c>
      <c r="K21" s="131" t="s">
        <v>3177</v>
      </c>
      <c r="L21" s="63">
        <v>59</v>
      </c>
    </row>
    <row r="22" spans="1:26" ht="14" x14ac:dyDescent="0.15">
      <c r="A22" s="86" t="s">
        <v>2633</v>
      </c>
      <c r="B22" s="87"/>
      <c r="C22" s="88" t="s">
        <v>3750</v>
      </c>
      <c r="D22" s="86" t="s">
        <v>2837</v>
      </c>
      <c r="E22" s="86" t="s">
        <v>3178</v>
      </c>
      <c r="F22" s="86" t="s">
        <v>4562</v>
      </c>
      <c r="G22" s="86" t="s">
        <v>6112</v>
      </c>
      <c r="H22" s="87" t="s">
        <v>89</v>
      </c>
      <c r="I22" s="85">
        <f t="shared" si="0"/>
        <v>5.1760912590556813</v>
      </c>
      <c r="J22" s="89">
        <v>150000</v>
      </c>
      <c r="K22" s="132" t="s">
        <v>6522</v>
      </c>
      <c r="L22" s="68" t="s">
        <v>6928</v>
      </c>
      <c r="M22" s="49" t="s">
        <v>6653</v>
      </c>
      <c r="P22" s="49"/>
    </row>
    <row r="23" spans="1:26" ht="56" x14ac:dyDescent="0.15">
      <c r="A23" s="190" t="s">
        <v>2633</v>
      </c>
      <c r="B23" s="191"/>
      <c r="C23" s="192" t="s">
        <v>3750</v>
      </c>
      <c r="D23" s="190" t="s">
        <v>7007</v>
      </c>
      <c r="E23" s="190" t="s">
        <v>2446</v>
      </c>
      <c r="F23" s="190" t="s">
        <v>2447</v>
      </c>
      <c r="G23" s="190" t="s">
        <v>4915</v>
      </c>
      <c r="H23" s="190" t="s">
        <v>4915</v>
      </c>
      <c r="I23" s="183">
        <f t="shared" si="0"/>
        <v>5.6020599913279625</v>
      </c>
      <c r="J23" s="193">
        <v>400000</v>
      </c>
      <c r="K23" s="194" t="s">
        <v>51</v>
      </c>
      <c r="L23" s="195">
        <v>8</v>
      </c>
      <c r="M23" s="186" t="s">
        <v>6653</v>
      </c>
      <c r="N23" s="186"/>
      <c r="O23" s="186"/>
      <c r="P23" s="186"/>
      <c r="Q23" s="187"/>
      <c r="R23" s="187"/>
    </row>
    <row r="24" spans="1:26" s="189" customFormat="1" ht="14" x14ac:dyDescent="0.15">
      <c r="A24" s="190" t="s">
        <v>2633</v>
      </c>
      <c r="B24" s="191"/>
      <c r="C24" s="192" t="s">
        <v>3750</v>
      </c>
      <c r="D24" s="190" t="s">
        <v>2837</v>
      </c>
      <c r="E24" s="190" t="s">
        <v>3178</v>
      </c>
      <c r="F24" s="190" t="s">
        <v>87</v>
      </c>
      <c r="G24" s="190" t="s">
        <v>3524</v>
      </c>
      <c r="H24" s="191" t="s">
        <v>88</v>
      </c>
      <c r="I24" s="183">
        <f t="shared" si="0"/>
        <v>4.6020599913279625</v>
      </c>
      <c r="J24" s="193">
        <v>40000</v>
      </c>
      <c r="K24" s="194" t="s">
        <v>80</v>
      </c>
      <c r="L24" s="195" t="s">
        <v>3529</v>
      </c>
      <c r="M24" s="186" t="s">
        <v>6653</v>
      </c>
      <c r="N24" s="186"/>
      <c r="O24" s="186"/>
      <c r="P24" s="186"/>
      <c r="Q24" s="187"/>
      <c r="R24" s="187"/>
      <c r="S24" s="187"/>
      <c r="T24" s="187"/>
      <c r="U24" s="187"/>
      <c r="V24" s="187"/>
      <c r="W24" s="187"/>
      <c r="X24" s="187"/>
      <c r="Y24" s="187"/>
      <c r="Z24" s="188"/>
    </row>
    <row r="25" spans="1:26" s="189" customFormat="1" ht="14" x14ac:dyDescent="0.15">
      <c r="A25" s="70" t="s">
        <v>2633</v>
      </c>
      <c r="B25" s="93" t="s">
        <v>5790</v>
      </c>
      <c r="C25" s="70" t="s">
        <v>3750</v>
      </c>
      <c r="D25" s="70" t="s">
        <v>3437</v>
      </c>
      <c r="E25" s="70" t="s">
        <v>3457</v>
      </c>
      <c r="F25" s="70" t="s">
        <v>3220</v>
      </c>
      <c r="G25" s="70" t="s">
        <v>7980</v>
      </c>
      <c r="H25" s="93"/>
      <c r="I25" s="85">
        <f t="shared" si="0"/>
        <v>1.7403626894942439</v>
      </c>
      <c r="J25" s="85">
        <v>55</v>
      </c>
      <c r="K25" s="131" t="s">
        <v>6630</v>
      </c>
      <c r="L25" s="60" t="s">
        <v>6604</v>
      </c>
      <c r="M25" s="49" t="s">
        <v>6727</v>
      </c>
      <c r="N25" s="37"/>
      <c r="O25" s="37"/>
      <c r="P25" s="37"/>
      <c r="Q25" s="6"/>
      <c r="R25" s="6"/>
      <c r="S25" s="187"/>
      <c r="T25" s="187"/>
      <c r="U25" s="187"/>
      <c r="V25" s="187"/>
      <c r="W25" s="187"/>
      <c r="X25" s="187"/>
      <c r="Y25" s="187"/>
      <c r="Z25" s="188"/>
    </row>
    <row r="26" spans="1:26" ht="14" x14ac:dyDescent="0.15">
      <c r="A26" s="86" t="s">
        <v>2538</v>
      </c>
      <c r="B26" s="87"/>
      <c r="C26" s="88" t="s">
        <v>3750</v>
      </c>
      <c r="D26" s="86" t="s">
        <v>3243</v>
      </c>
      <c r="E26" s="86" t="s">
        <v>3244</v>
      </c>
      <c r="F26" s="86" t="s">
        <v>3753</v>
      </c>
      <c r="G26" s="86" t="s">
        <v>6538</v>
      </c>
      <c r="H26" s="87" t="s">
        <v>4</v>
      </c>
      <c r="I26" s="85">
        <f t="shared" si="0"/>
        <v>4</v>
      </c>
      <c r="J26" s="89">
        <v>10000</v>
      </c>
      <c r="K26" s="132" t="s">
        <v>5</v>
      </c>
      <c r="L26" s="68" t="s">
        <v>6716</v>
      </c>
    </row>
    <row r="27" spans="1:26" ht="28" x14ac:dyDescent="0.15">
      <c r="A27" s="86" t="s">
        <v>2538</v>
      </c>
      <c r="B27" s="87"/>
      <c r="C27" s="88" t="s">
        <v>3750</v>
      </c>
      <c r="D27" s="86" t="s">
        <v>3243</v>
      </c>
      <c r="E27" s="86" t="s">
        <v>3295</v>
      </c>
      <c r="F27" s="86" t="s">
        <v>4925</v>
      </c>
      <c r="G27" s="86" t="s">
        <v>5100</v>
      </c>
      <c r="H27" s="87" t="s">
        <v>6</v>
      </c>
      <c r="I27" s="85">
        <f t="shared" si="0"/>
        <v>4.4771212547196626</v>
      </c>
      <c r="J27" s="89">
        <v>30000</v>
      </c>
      <c r="K27" s="132" t="s">
        <v>6522</v>
      </c>
      <c r="L27" s="68" t="s">
        <v>4829</v>
      </c>
      <c r="M27" s="49" t="s">
        <v>6653</v>
      </c>
    </row>
    <row r="28" spans="1:26" ht="28" x14ac:dyDescent="0.15">
      <c r="A28" s="62" t="s">
        <v>2538</v>
      </c>
      <c r="B28" s="93" t="s">
        <v>2665</v>
      </c>
      <c r="C28" s="102" t="s">
        <v>3750</v>
      </c>
      <c r="D28" s="62" t="s">
        <v>2548</v>
      </c>
      <c r="E28" s="102" t="s">
        <v>5975</v>
      </c>
      <c r="F28" s="102" t="s">
        <v>5976</v>
      </c>
      <c r="G28" s="102" t="s">
        <v>4599</v>
      </c>
      <c r="H28" s="175" t="s">
        <v>38</v>
      </c>
      <c r="I28" s="85">
        <f t="shared" si="0"/>
        <v>2.3010299956639813</v>
      </c>
      <c r="J28" s="104">
        <v>200</v>
      </c>
      <c r="K28" s="144"/>
      <c r="L28" s="61">
        <v>153</v>
      </c>
    </row>
    <row r="29" spans="1:26" ht="28" x14ac:dyDescent="0.15">
      <c r="A29" s="86" t="s">
        <v>2538</v>
      </c>
      <c r="B29" s="87"/>
      <c r="C29" s="88" t="s">
        <v>3750</v>
      </c>
      <c r="D29" s="86" t="s">
        <v>1992</v>
      </c>
      <c r="E29" s="86" t="s">
        <v>4304</v>
      </c>
      <c r="F29" s="86" t="s">
        <v>3615</v>
      </c>
      <c r="G29" s="86" t="s">
        <v>7772</v>
      </c>
      <c r="H29" s="87" t="s">
        <v>12</v>
      </c>
      <c r="I29" s="85">
        <f t="shared" si="0"/>
        <v>2.6989700043360187</v>
      </c>
      <c r="J29" s="89">
        <v>500</v>
      </c>
      <c r="K29" s="132" t="s">
        <v>6475</v>
      </c>
      <c r="L29" s="68" t="s">
        <v>6847</v>
      </c>
      <c r="M29" s="49" t="s">
        <v>6653</v>
      </c>
    </row>
    <row r="30" spans="1:26" ht="28" x14ac:dyDescent="0.15">
      <c r="A30" s="86" t="s">
        <v>2538</v>
      </c>
      <c r="B30" s="87"/>
      <c r="C30" s="88" t="s">
        <v>3750</v>
      </c>
      <c r="D30" s="86" t="s">
        <v>1992</v>
      </c>
      <c r="E30" s="86" t="s">
        <v>7065</v>
      </c>
      <c r="F30" s="86" t="s">
        <v>7063</v>
      </c>
      <c r="G30" s="86" t="s">
        <v>5069</v>
      </c>
      <c r="H30" s="87" t="s">
        <v>8</v>
      </c>
      <c r="I30" s="85">
        <f t="shared" si="0"/>
        <v>3.4771212547196626</v>
      </c>
      <c r="J30" s="89">
        <v>3000</v>
      </c>
      <c r="K30" s="132" t="s">
        <v>6477</v>
      </c>
      <c r="L30" s="68">
        <v>3</v>
      </c>
      <c r="M30" s="49" t="s">
        <v>6653</v>
      </c>
    </row>
    <row r="31" spans="1:26" ht="28" x14ac:dyDescent="0.15">
      <c r="A31" s="86" t="s">
        <v>2538</v>
      </c>
      <c r="B31" s="87"/>
      <c r="C31" s="88" t="s">
        <v>3750</v>
      </c>
      <c r="D31" s="86" t="s">
        <v>2439</v>
      </c>
      <c r="E31" s="86" t="s">
        <v>2440</v>
      </c>
      <c r="F31" s="86" t="s">
        <v>5324</v>
      </c>
      <c r="G31" s="86" t="s">
        <v>5622</v>
      </c>
      <c r="H31" s="87" t="s">
        <v>25</v>
      </c>
      <c r="I31" s="85">
        <f t="shared" si="0"/>
        <v>2.3010299956639813</v>
      </c>
      <c r="J31" s="89">
        <v>200</v>
      </c>
      <c r="K31" s="132" t="s">
        <v>6779</v>
      </c>
      <c r="L31" s="68" t="s">
        <v>6845</v>
      </c>
      <c r="M31" s="49" t="s">
        <v>6653</v>
      </c>
    </row>
    <row r="32" spans="1:26" s="189" customFormat="1" ht="56" x14ac:dyDescent="0.15">
      <c r="A32" s="70" t="s">
        <v>2538</v>
      </c>
      <c r="B32" s="82"/>
      <c r="C32" s="70" t="s">
        <v>3750</v>
      </c>
      <c r="D32" s="70" t="s">
        <v>1992</v>
      </c>
      <c r="E32" s="70" t="s">
        <v>7065</v>
      </c>
      <c r="F32" s="70" t="s">
        <v>7063</v>
      </c>
      <c r="G32" s="70" t="s">
        <v>3594</v>
      </c>
      <c r="H32" s="93" t="s">
        <v>7</v>
      </c>
      <c r="I32" s="85">
        <f t="shared" si="0"/>
        <v>3.1760912590556813</v>
      </c>
      <c r="J32" s="85">
        <v>1500</v>
      </c>
      <c r="K32" s="131" t="s">
        <v>6776</v>
      </c>
      <c r="L32" s="60">
        <v>59</v>
      </c>
      <c r="M32" s="49" t="s">
        <v>6653</v>
      </c>
      <c r="N32" s="37"/>
      <c r="O32" s="37"/>
      <c r="P32" s="37"/>
      <c r="Q32" s="3"/>
      <c r="R32" s="3"/>
      <c r="S32" s="187"/>
      <c r="T32" s="187"/>
      <c r="U32" s="187"/>
      <c r="V32" s="187"/>
      <c r="W32" s="187"/>
      <c r="X32" s="187"/>
      <c r="Y32" s="187"/>
      <c r="Z32" s="188"/>
    </row>
    <row r="33" spans="1:26" ht="28" x14ac:dyDescent="0.15">
      <c r="A33" s="86" t="s">
        <v>2538</v>
      </c>
      <c r="B33" s="87"/>
      <c r="C33" s="88" t="s">
        <v>3750</v>
      </c>
      <c r="D33" s="86" t="s">
        <v>1992</v>
      </c>
      <c r="E33" s="86" t="s">
        <v>4304</v>
      </c>
      <c r="F33" s="86" t="s">
        <v>5130</v>
      </c>
      <c r="G33" s="86" t="s">
        <v>3447</v>
      </c>
      <c r="H33" s="87" t="s">
        <v>11</v>
      </c>
      <c r="I33" s="85">
        <f t="shared" si="0"/>
        <v>2.9542425094393248</v>
      </c>
      <c r="J33" s="89">
        <v>900</v>
      </c>
      <c r="K33" s="132" t="s">
        <v>6599</v>
      </c>
      <c r="L33" s="68" t="s">
        <v>6846</v>
      </c>
      <c r="M33" s="49" t="s">
        <v>6653</v>
      </c>
    </row>
    <row r="34" spans="1:26" ht="14" x14ac:dyDescent="0.15">
      <c r="A34" s="86" t="s">
        <v>2538</v>
      </c>
      <c r="B34" s="87"/>
      <c r="C34" s="88" t="s">
        <v>3750</v>
      </c>
      <c r="D34" s="86" t="s">
        <v>1992</v>
      </c>
      <c r="E34" s="86" t="s">
        <v>7065</v>
      </c>
      <c r="F34" s="86" t="s">
        <v>3574</v>
      </c>
      <c r="G34" s="86" t="s">
        <v>5070</v>
      </c>
      <c r="H34" s="87" t="s">
        <v>9</v>
      </c>
      <c r="I34" s="85">
        <f t="shared" si="0"/>
        <v>4</v>
      </c>
      <c r="J34" s="89">
        <v>10000</v>
      </c>
      <c r="K34" s="132" t="s">
        <v>7900</v>
      </c>
      <c r="L34" s="68" t="s">
        <v>4066</v>
      </c>
    </row>
    <row r="35" spans="1:26" ht="28" x14ac:dyDescent="0.15">
      <c r="A35" s="86" t="s">
        <v>2538</v>
      </c>
      <c r="B35" s="87"/>
      <c r="C35" s="88" t="s">
        <v>3750</v>
      </c>
      <c r="D35" s="86" t="s">
        <v>2439</v>
      </c>
      <c r="E35" s="86" t="s">
        <v>2440</v>
      </c>
      <c r="F35" s="86" t="s">
        <v>2441</v>
      </c>
      <c r="G35" s="86" t="s">
        <v>4284</v>
      </c>
      <c r="H35" s="87" t="s">
        <v>27</v>
      </c>
      <c r="I35" s="85">
        <f t="shared" si="0"/>
        <v>2.6989700043360187</v>
      </c>
      <c r="J35" s="89">
        <v>500</v>
      </c>
      <c r="K35" s="132" t="s">
        <v>6712</v>
      </c>
      <c r="L35" s="68">
        <v>4</v>
      </c>
      <c r="M35" s="54" t="s">
        <v>6653</v>
      </c>
    </row>
    <row r="36" spans="1:26" ht="28" x14ac:dyDescent="0.15">
      <c r="A36" s="86" t="s">
        <v>2538</v>
      </c>
      <c r="B36" s="87"/>
      <c r="C36" s="88" t="s">
        <v>3750</v>
      </c>
      <c r="D36" s="86" t="s">
        <v>1992</v>
      </c>
      <c r="E36" s="86" t="s">
        <v>7065</v>
      </c>
      <c r="F36" s="86" t="s">
        <v>7074</v>
      </c>
      <c r="G36" s="86" t="s">
        <v>5314</v>
      </c>
      <c r="H36" s="87" t="s">
        <v>10</v>
      </c>
      <c r="I36" s="85">
        <f t="shared" si="0"/>
        <v>3.5440680443502757</v>
      </c>
      <c r="J36" s="89">
        <v>3500</v>
      </c>
      <c r="K36" s="132" t="s">
        <v>6515</v>
      </c>
      <c r="L36" s="68">
        <v>3</v>
      </c>
      <c r="M36" s="49" t="s">
        <v>6653</v>
      </c>
    </row>
    <row r="37" spans="1:26" ht="42" x14ac:dyDescent="0.15">
      <c r="A37" s="86" t="s">
        <v>2538</v>
      </c>
      <c r="B37" s="87"/>
      <c r="C37" s="88" t="s">
        <v>3750</v>
      </c>
      <c r="D37" s="86" t="s">
        <v>2439</v>
      </c>
      <c r="E37" s="86" t="s">
        <v>2440</v>
      </c>
      <c r="F37" s="86" t="s">
        <v>2443</v>
      </c>
      <c r="G37" s="86" t="s">
        <v>2444</v>
      </c>
      <c r="H37" s="87" t="s">
        <v>26</v>
      </c>
      <c r="I37" s="85">
        <f t="shared" si="0"/>
        <v>2.5490032620257876</v>
      </c>
      <c r="J37" s="89">
        <v>354</v>
      </c>
      <c r="K37" s="132" t="s">
        <v>6634</v>
      </c>
      <c r="L37" s="68" t="s">
        <v>6844</v>
      </c>
      <c r="M37" s="49" t="s">
        <v>6653</v>
      </c>
    </row>
    <row r="38" spans="1:26" s="13" customFormat="1" ht="28" x14ac:dyDescent="0.15">
      <c r="A38" s="86" t="s">
        <v>2538</v>
      </c>
      <c r="B38" s="87"/>
      <c r="C38" s="88" t="s">
        <v>3750</v>
      </c>
      <c r="D38" s="86" t="s">
        <v>3437</v>
      </c>
      <c r="E38" s="86" t="s">
        <v>3457</v>
      </c>
      <c r="F38" s="86" t="s">
        <v>3556</v>
      </c>
      <c r="G38" s="86" t="s">
        <v>3851</v>
      </c>
      <c r="H38" s="87"/>
      <c r="I38" s="85">
        <f t="shared" si="0"/>
        <v>2.3010299956639813</v>
      </c>
      <c r="J38" s="89">
        <v>200</v>
      </c>
      <c r="K38" s="132" t="s">
        <v>6700</v>
      </c>
      <c r="L38" s="68">
        <v>3</v>
      </c>
      <c r="M38" s="54" t="s">
        <v>6653</v>
      </c>
      <c r="N38" s="37"/>
      <c r="O38" s="37"/>
      <c r="P38" s="37"/>
      <c r="Q38" s="3"/>
      <c r="R38" s="3"/>
      <c r="S38" s="12"/>
      <c r="T38" s="12"/>
      <c r="U38" s="12"/>
      <c r="V38" s="12"/>
      <c r="W38" s="12"/>
      <c r="X38" s="12"/>
      <c r="Y38" s="12"/>
      <c r="Z38" s="16"/>
    </row>
    <row r="39" spans="1:26" s="13" customFormat="1" ht="28" x14ac:dyDescent="0.15">
      <c r="A39" s="86" t="s">
        <v>2538</v>
      </c>
      <c r="B39" s="87"/>
      <c r="C39" s="88" t="s">
        <v>3750</v>
      </c>
      <c r="D39" s="86" t="s">
        <v>3437</v>
      </c>
      <c r="E39" s="86" t="s">
        <v>3457</v>
      </c>
      <c r="F39" s="86" t="s">
        <v>3835</v>
      </c>
      <c r="G39" s="86" t="s">
        <v>4147</v>
      </c>
      <c r="H39" s="87"/>
      <c r="I39" s="85">
        <f t="shared" si="0"/>
        <v>2.1760912590556813</v>
      </c>
      <c r="J39" s="89">
        <v>150</v>
      </c>
      <c r="K39" s="132" t="s">
        <v>6682</v>
      </c>
      <c r="L39" s="68">
        <v>3</v>
      </c>
      <c r="M39" s="49" t="s">
        <v>6653</v>
      </c>
      <c r="N39" s="37"/>
      <c r="O39" s="37"/>
      <c r="P39" s="37"/>
      <c r="Q39"/>
      <c r="R39"/>
      <c r="S39" s="12"/>
      <c r="T39" s="12"/>
      <c r="U39" s="12"/>
      <c r="V39" s="12"/>
      <c r="W39" s="12"/>
      <c r="X39" s="12"/>
      <c r="Y39" s="12"/>
      <c r="Z39" s="16"/>
    </row>
    <row r="40" spans="1:26" ht="56" x14ac:dyDescent="0.15">
      <c r="A40" s="86" t="s">
        <v>2538</v>
      </c>
      <c r="B40" s="87"/>
      <c r="C40" s="88" t="s">
        <v>3750</v>
      </c>
      <c r="D40" s="86" t="s">
        <v>3437</v>
      </c>
      <c r="E40" s="86" t="s">
        <v>3457</v>
      </c>
      <c r="F40" s="86" t="s">
        <v>4661</v>
      </c>
      <c r="G40" s="86" t="s">
        <v>7800</v>
      </c>
      <c r="H40" s="87"/>
      <c r="I40" s="85">
        <f t="shared" si="0"/>
        <v>1.954242509439325</v>
      </c>
      <c r="J40" s="89">
        <v>90</v>
      </c>
      <c r="K40" s="146" t="s">
        <v>6771</v>
      </c>
      <c r="L40" s="68" t="s">
        <v>1127</v>
      </c>
      <c r="M40" s="54" t="s">
        <v>6653</v>
      </c>
    </row>
    <row r="41" spans="1:26" s="11" customFormat="1" ht="42" x14ac:dyDescent="0.15">
      <c r="A41" s="86" t="s">
        <v>2538</v>
      </c>
      <c r="B41" s="87"/>
      <c r="C41" s="88" t="s">
        <v>3750</v>
      </c>
      <c r="D41" s="86" t="s">
        <v>3437</v>
      </c>
      <c r="E41" s="86" t="s">
        <v>3457</v>
      </c>
      <c r="F41" s="86" t="s">
        <v>4661</v>
      </c>
      <c r="G41" s="86" t="s">
        <v>3959</v>
      </c>
      <c r="H41" s="87"/>
      <c r="I41" s="85">
        <f t="shared" si="0"/>
        <v>1.954242509439325</v>
      </c>
      <c r="J41" s="89">
        <v>90</v>
      </c>
      <c r="K41" s="132" t="s">
        <v>6772</v>
      </c>
      <c r="L41" s="68">
        <v>3</v>
      </c>
      <c r="M41" s="49" t="s">
        <v>6653</v>
      </c>
      <c r="N41" s="37"/>
      <c r="O41" s="37"/>
      <c r="P41" s="37"/>
      <c r="Q41" s="3"/>
      <c r="R41" s="3"/>
      <c r="S41" s="203"/>
      <c r="T41" s="203"/>
      <c r="U41" s="203"/>
      <c r="V41" s="203"/>
      <c r="W41" s="203"/>
      <c r="X41" s="203"/>
      <c r="Y41" s="203"/>
      <c r="Z41" s="204"/>
    </row>
    <row r="42" spans="1:26" s="13" customFormat="1" ht="28" x14ac:dyDescent="0.15">
      <c r="A42" s="86" t="s">
        <v>2538</v>
      </c>
      <c r="B42" s="87"/>
      <c r="C42" s="88" t="s">
        <v>3750</v>
      </c>
      <c r="D42" s="86" t="s">
        <v>3437</v>
      </c>
      <c r="E42" s="86" t="s">
        <v>3457</v>
      </c>
      <c r="F42" s="86" t="s">
        <v>4661</v>
      </c>
      <c r="G42" s="86" t="s">
        <v>6492</v>
      </c>
      <c r="H42" s="87"/>
      <c r="I42" s="85">
        <f t="shared" si="0"/>
        <v>1.954242509439325</v>
      </c>
      <c r="J42" s="89">
        <v>90</v>
      </c>
      <c r="K42" s="146" t="s">
        <v>6713</v>
      </c>
      <c r="L42" s="68">
        <v>4</v>
      </c>
      <c r="M42" s="49" t="s">
        <v>6653</v>
      </c>
      <c r="N42" s="37"/>
      <c r="O42" s="37"/>
      <c r="P42" s="37"/>
      <c r="Q42" s="3"/>
      <c r="R42" s="3"/>
      <c r="S42" s="12"/>
      <c r="T42" s="12"/>
      <c r="U42" s="12"/>
      <c r="V42" s="12"/>
      <c r="W42" s="12"/>
      <c r="X42" s="12"/>
      <c r="Y42" s="12"/>
      <c r="Z42" s="16"/>
    </row>
    <row r="43" spans="1:26" ht="42" x14ac:dyDescent="0.15">
      <c r="A43" s="91" t="s">
        <v>2538</v>
      </c>
      <c r="B43" s="90"/>
      <c r="C43" s="91" t="s">
        <v>3750</v>
      </c>
      <c r="D43" s="91" t="s">
        <v>3437</v>
      </c>
      <c r="E43" s="91" t="s">
        <v>3457</v>
      </c>
      <c r="F43" s="91" t="s">
        <v>4661</v>
      </c>
      <c r="G43" s="91" t="s">
        <v>3116</v>
      </c>
      <c r="H43" s="176"/>
      <c r="I43" s="85">
        <f t="shared" si="0"/>
        <v>2</v>
      </c>
      <c r="J43" s="92">
        <v>100</v>
      </c>
      <c r="K43" s="133" t="s">
        <v>6586</v>
      </c>
      <c r="L43" s="65">
        <v>59</v>
      </c>
      <c r="M43" s="49" t="s">
        <v>6653</v>
      </c>
    </row>
    <row r="44" spans="1:26" ht="41" customHeight="1" x14ac:dyDescent="0.15">
      <c r="A44" s="86" t="s">
        <v>2538</v>
      </c>
      <c r="B44" s="87"/>
      <c r="C44" s="88" t="s">
        <v>3750</v>
      </c>
      <c r="D44" s="86" t="s">
        <v>3437</v>
      </c>
      <c r="E44" s="86" t="s">
        <v>3457</v>
      </c>
      <c r="F44" s="86" t="s">
        <v>4661</v>
      </c>
      <c r="G44" s="86" t="s">
        <v>4528</v>
      </c>
      <c r="H44" s="87"/>
      <c r="I44" s="85">
        <f t="shared" si="0"/>
        <v>2.6989700043360187</v>
      </c>
      <c r="J44" s="89">
        <v>500</v>
      </c>
      <c r="K44" s="132" t="s">
        <v>6717</v>
      </c>
      <c r="L44" s="68" t="s">
        <v>6714</v>
      </c>
      <c r="M44" s="54"/>
    </row>
    <row r="45" spans="1:26" s="13" customFormat="1" ht="28" x14ac:dyDescent="0.15">
      <c r="A45" s="70" t="s">
        <v>2538</v>
      </c>
      <c r="B45" s="93" t="s">
        <v>7359</v>
      </c>
      <c r="C45" s="70" t="s">
        <v>3750</v>
      </c>
      <c r="D45" s="70" t="s">
        <v>3437</v>
      </c>
      <c r="E45" s="70" t="s">
        <v>3457</v>
      </c>
      <c r="F45" s="70" t="s">
        <v>7147</v>
      </c>
      <c r="G45" s="70" t="s">
        <v>5597</v>
      </c>
      <c r="H45" s="93"/>
      <c r="I45" s="85">
        <v>-999</v>
      </c>
      <c r="J45" s="85">
        <v>-999</v>
      </c>
      <c r="K45" s="132" t="s">
        <v>6717</v>
      </c>
      <c r="L45" s="63">
        <v>-999</v>
      </c>
      <c r="M45" s="49" t="s">
        <v>6809</v>
      </c>
      <c r="N45" s="37"/>
      <c r="O45" s="37"/>
      <c r="P45" s="37"/>
      <c r="Q45" s="3"/>
      <c r="R45" s="3"/>
      <c r="S45" s="12"/>
      <c r="T45" s="12"/>
      <c r="U45" s="12"/>
      <c r="V45" s="12"/>
      <c r="W45" s="12"/>
      <c r="X45" s="12"/>
      <c r="Y45" s="12"/>
      <c r="Z45" s="16"/>
    </row>
    <row r="46" spans="1:26" ht="28" x14ac:dyDescent="0.15">
      <c r="A46" s="70" t="s">
        <v>2538</v>
      </c>
      <c r="B46" s="82"/>
      <c r="C46" s="70" t="s">
        <v>3750</v>
      </c>
      <c r="D46" s="70" t="s">
        <v>3437</v>
      </c>
      <c r="E46" s="70" t="s">
        <v>3457</v>
      </c>
      <c r="F46" s="70" t="s">
        <v>7147</v>
      </c>
      <c r="G46" s="70" t="s">
        <v>3554</v>
      </c>
      <c r="H46" s="93"/>
      <c r="I46" s="85">
        <f t="shared" ref="I46:I57" si="1">LOG(J46)</f>
        <v>1.6532125137753437</v>
      </c>
      <c r="J46" s="85">
        <v>45</v>
      </c>
      <c r="K46" s="131" t="s">
        <v>6683</v>
      </c>
      <c r="L46" s="63">
        <v>59</v>
      </c>
      <c r="M46" s="49" t="s">
        <v>6809</v>
      </c>
    </row>
    <row r="47" spans="1:26" ht="31" customHeight="1" x14ac:dyDescent="0.15">
      <c r="A47" s="86" t="s">
        <v>2538</v>
      </c>
      <c r="B47" s="87"/>
      <c r="C47" s="88" t="s">
        <v>3750</v>
      </c>
      <c r="D47" s="86" t="s">
        <v>3437</v>
      </c>
      <c r="E47" s="86" t="s">
        <v>3457</v>
      </c>
      <c r="F47" s="86" t="s">
        <v>7147</v>
      </c>
      <c r="G47" s="86" t="s">
        <v>6491</v>
      </c>
      <c r="H47" s="87"/>
      <c r="I47" s="85">
        <f t="shared" si="1"/>
        <v>1.6989700043360187</v>
      </c>
      <c r="J47" s="89">
        <v>50</v>
      </c>
      <c r="K47" s="132" t="s">
        <v>6598</v>
      </c>
      <c r="L47" s="68">
        <v>3</v>
      </c>
      <c r="M47" s="49" t="s">
        <v>6653</v>
      </c>
    </row>
    <row r="48" spans="1:26" ht="24" customHeight="1" x14ac:dyDescent="0.15">
      <c r="A48" s="86" t="s">
        <v>2538</v>
      </c>
      <c r="B48" s="87"/>
      <c r="C48" s="88" t="s">
        <v>3750</v>
      </c>
      <c r="D48" s="86" t="s">
        <v>3437</v>
      </c>
      <c r="E48" s="86" t="s">
        <v>3457</v>
      </c>
      <c r="F48" s="86" t="s">
        <v>7147</v>
      </c>
      <c r="G48" s="86" t="s">
        <v>2236</v>
      </c>
      <c r="H48" s="87"/>
      <c r="I48" s="85">
        <f t="shared" si="1"/>
        <v>1.6989700043360187</v>
      </c>
      <c r="J48" s="89">
        <v>50</v>
      </c>
      <c r="K48" s="132" t="s">
        <v>6715</v>
      </c>
      <c r="L48" s="68" t="s">
        <v>6714</v>
      </c>
      <c r="M48" s="54"/>
    </row>
    <row r="49" spans="1:26" ht="42" x14ac:dyDescent="0.15">
      <c r="A49" s="70" t="s">
        <v>2479</v>
      </c>
      <c r="B49" s="93" t="s">
        <v>5855</v>
      </c>
      <c r="C49" s="70" t="s">
        <v>3750</v>
      </c>
      <c r="D49" s="70" t="s">
        <v>2837</v>
      </c>
      <c r="E49" s="70" t="s">
        <v>3178</v>
      </c>
      <c r="F49" s="70" t="s">
        <v>1914</v>
      </c>
      <c r="G49" s="70" t="s">
        <v>5543</v>
      </c>
      <c r="H49" s="93" t="s">
        <v>86</v>
      </c>
      <c r="I49" s="85">
        <f t="shared" si="1"/>
        <v>4.0791812460476251</v>
      </c>
      <c r="J49" s="85">
        <v>12000</v>
      </c>
      <c r="K49" s="131" t="s">
        <v>1511</v>
      </c>
      <c r="L49" s="60">
        <v>143</v>
      </c>
      <c r="M49" s="33" t="s">
        <v>6653</v>
      </c>
    </row>
    <row r="50" spans="1:26" ht="28" x14ac:dyDescent="0.15">
      <c r="A50" s="180" t="s">
        <v>2479</v>
      </c>
      <c r="B50" s="181"/>
      <c r="C50" s="180" t="s">
        <v>3750</v>
      </c>
      <c r="D50" s="180" t="s">
        <v>7007</v>
      </c>
      <c r="E50" s="180" t="s">
        <v>2446</v>
      </c>
      <c r="F50" s="180" t="s">
        <v>2447</v>
      </c>
      <c r="G50" s="180" t="s">
        <v>28</v>
      </c>
      <c r="H50" s="182" t="s">
        <v>29</v>
      </c>
      <c r="I50" s="183">
        <f t="shared" si="1"/>
        <v>5.3979400000000002</v>
      </c>
      <c r="J50" s="183">
        <v>249999.99500797401</v>
      </c>
      <c r="K50" s="184" t="s">
        <v>30</v>
      </c>
      <c r="L50" s="185">
        <v>148</v>
      </c>
      <c r="M50" s="186"/>
      <c r="N50" s="186"/>
      <c r="O50" s="186"/>
      <c r="P50" s="186"/>
      <c r="Q50" s="187"/>
      <c r="R50" s="187"/>
    </row>
    <row r="51" spans="1:26" ht="42" x14ac:dyDescent="0.15">
      <c r="A51" s="70" t="s">
        <v>2479</v>
      </c>
      <c r="B51" s="82" t="s">
        <v>47</v>
      </c>
      <c r="C51" s="70" t="s">
        <v>3750</v>
      </c>
      <c r="D51" s="70" t="s">
        <v>2837</v>
      </c>
      <c r="E51" s="70" t="s">
        <v>3724</v>
      </c>
      <c r="F51" s="70" t="s">
        <v>3725</v>
      </c>
      <c r="G51" s="70" t="s">
        <v>5251</v>
      </c>
      <c r="H51" s="93" t="s">
        <v>90</v>
      </c>
      <c r="I51" s="85">
        <f t="shared" si="1"/>
        <v>5.0413926851582254</v>
      </c>
      <c r="J51" s="85">
        <v>110000</v>
      </c>
      <c r="K51" s="131" t="s">
        <v>6522</v>
      </c>
      <c r="L51" s="60" t="s">
        <v>171</v>
      </c>
      <c r="M51" s="49" t="s">
        <v>6653</v>
      </c>
      <c r="N51" s="32" t="s">
        <v>1388</v>
      </c>
    </row>
    <row r="52" spans="1:26" ht="42" x14ac:dyDescent="0.15">
      <c r="A52" s="180" t="s">
        <v>2479</v>
      </c>
      <c r="B52" s="182" t="s">
        <v>5857</v>
      </c>
      <c r="C52" s="180" t="s">
        <v>3750</v>
      </c>
      <c r="D52" s="180" t="s">
        <v>2837</v>
      </c>
      <c r="E52" s="180" t="s">
        <v>3178</v>
      </c>
      <c r="F52" s="180" t="s">
        <v>1914</v>
      </c>
      <c r="G52" s="180" t="s">
        <v>5532</v>
      </c>
      <c r="H52" s="182" t="s">
        <v>52</v>
      </c>
      <c r="I52" s="183">
        <f t="shared" si="1"/>
        <v>4.685741738602264</v>
      </c>
      <c r="J52" s="183">
        <f>AVERAGE(12000, 85000)</f>
        <v>48500</v>
      </c>
      <c r="K52" s="184" t="s">
        <v>53</v>
      </c>
      <c r="L52" s="185">
        <v>56</v>
      </c>
      <c r="M52" s="186" t="s">
        <v>6653</v>
      </c>
      <c r="N52" s="186" t="s">
        <v>1229</v>
      </c>
      <c r="O52" s="186"/>
      <c r="P52" s="186"/>
      <c r="Q52" s="187"/>
      <c r="R52" s="187"/>
    </row>
    <row r="53" spans="1:26" ht="28" x14ac:dyDescent="0.15">
      <c r="A53" s="70" t="s">
        <v>2481</v>
      </c>
      <c r="B53" s="93" t="s">
        <v>2480</v>
      </c>
      <c r="C53" s="70" t="s">
        <v>3750</v>
      </c>
      <c r="D53" s="70" t="s">
        <v>2837</v>
      </c>
      <c r="E53" s="70" t="s">
        <v>3538</v>
      </c>
      <c r="F53" s="70" t="s">
        <v>3539</v>
      </c>
      <c r="G53" s="70" t="s">
        <v>7845</v>
      </c>
      <c r="H53" s="93" t="s">
        <v>91</v>
      </c>
      <c r="I53" s="85">
        <f t="shared" si="1"/>
        <v>5.6989999999999998</v>
      </c>
      <c r="J53" s="85">
        <v>500034.53497697797</v>
      </c>
      <c r="K53" s="131" t="s">
        <v>5963</v>
      </c>
      <c r="L53" s="60">
        <v>165</v>
      </c>
      <c r="M53" s="37" t="s">
        <v>6653</v>
      </c>
    </row>
    <row r="54" spans="1:26" ht="14" x14ac:dyDescent="0.15">
      <c r="A54" s="70" t="s">
        <v>2481</v>
      </c>
      <c r="B54" s="93" t="s">
        <v>2480</v>
      </c>
      <c r="C54" s="70" t="s">
        <v>3750</v>
      </c>
      <c r="D54" s="70" t="s">
        <v>6983</v>
      </c>
      <c r="E54" s="70" t="s">
        <v>6034</v>
      </c>
      <c r="F54" s="70" t="s">
        <v>6035</v>
      </c>
      <c r="G54" s="70" t="s">
        <v>3879</v>
      </c>
      <c r="H54" s="93"/>
      <c r="I54" s="85">
        <f t="shared" si="1"/>
        <v>4.3010299956639813</v>
      </c>
      <c r="J54" s="98">
        <v>20000</v>
      </c>
      <c r="K54" s="131"/>
      <c r="L54" s="70">
        <v>150</v>
      </c>
      <c r="M54" s="35"/>
    </row>
    <row r="55" spans="1:26" ht="14" x14ac:dyDescent="0.15">
      <c r="A55" s="70" t="s">
        <v>2481</v>
      </c>
      <c r="B55" s="93" t="s">
        <v>2480</v>
      </c>
      <c r="C55" s="70" t="s">
        <v>3750</v>
      </c>
      <c r="D55" s="70" t="s">
        <v>6983</v>
      </c>
      <c r="E55" s="70" t="s">
        <v>6034</v>
      </c>
      <c r="F55" s="70" t="s">
        <v>6035</v>
      </c>
      <c r="G55" s="70" t="s">
        <v>5285</v>
      </c>
      <c r="H55" s="93"/>
      <c r="I55" s="85">
        <f t="shared" si="1"/>
        <v>4.3010299956639813</v>
      </c>
      <c r="J55" s="98">
        <v>20000</v>
      </c>
      <c r="K55" s="131" t="s">
        <v>6036</v>
      </c>
      <c r="L55" s="70">
        <v>150</v>
      </c>
      <c r="M55" s="35"/>
    </row>
    <row r="56" spans="1:26" ht="28" x14ac:dyDescent="0.15">
      <c r="A56" s="70" t="s">
        <v>2481</v>
      </c>
      <c r="B56" s="93" t="s">
        <v>2480</v>
      </c>
      <c r="C56" s="70" t="s">
        <v>3750</v>
      </c>
      <c r="D56" s="70" t="s">
        <v>6983</v>
      </c>
      <c r="E56" s="70" t="s">
        <v>7859</v>
      </c>
      <c r="F56" s="70" t="s">
        <v>5876</v>
      </c>
      <c r="G56" s="70" t="s">
        <v>55</v>
      </c>
      <c r="H56" s="93"/>
      <c r="I56" s="85">
        <f t="shared" si="1"/>
        <v>3.9542425094393248</v>
      </c>
      <c r="J56" s="98">
        <v>9000</v>
      </c>
      <c r="K56" s="131" t="s">
        <v>56</v>
      </c>
      <c r="L56" s="70">
        <v>150</v>
      </c>
      <c r="M56" s="35"/>
    </row>
    <row r="57" spans="1:26" ht="14" x14ac:dyDescent="0.15">
      <c r="A57" s="70" t="s">
        <v>2481</v>
      </c>
      <c r="B57" s="93" t="s">
        <v>2480</v>
      </c>
      <c r="C57" s="70" t="s">
        <v>3750</v>
      </c>
      <c r="D57" s="70" t="s">
        <v>6983</v>
      </c>
      <c r="E57" s="70" t="s">
        <v>7859</v>
      </c>
      <c r="F57" s="70" t="s">
        <v>5876</v>
      </c>
      <c r="G57" s="70" t="s">
        <v>5910</v>
      </c>
      <c r="H57" s="93"/>
      <c r="I57" s="85">
        <f t="shared" si="1"/>
        <v>3.9542425094393248</v>
      </c>
      <c r="J57" s="98">
        <v>9000</v>
      </c>
      <c r="K57" s="131" t="s">
        <v>57</v>
      </c>
      <c r="L57" s="70">
        <v>150</v>
      </c>
      <c r="M57" s="35"/>
    </row>
    <row r="58" spans="1:26" ht="28" x14ac:dyDescent="0.15">
      <c r="A58" s="73" t="s">
        <v>2481</v>
      </c>
      <c r="B58" s="93" t="s">
        <v>4979</v>
      </c>
      <c r="C58" s="70" t="s">
        <v>3750</v>
      </c>
      <c r="D58" s="70" t="s">
        <v>7012</v>
      </c>
      <c r="E58" s="70" t="s">
        <v>3477</v>
      </c>
      <c r="F58" s="70" t="s">
        <v>6252</v>
      </c>
      <c r="G58" s="70" t="s">
        <v>6253</v>
      </c>
      <c r="H58" s="93" t="s">
        <v>13</v>
      </c>
      <c r="I58" s="85">
        <v>-999</v>
      </c>
      <c r="J58" s="85">
        <v>-999</v>
      </c>
      <c r="K58" s="131" t="s">
        <v>14</v>
      </c>
      <c r="L58" s="63">
        <v>-999</v>
      </c>
      <c r="M58" s="33" t="s">
        <v>15</v>
      </c>
    </row>
    <row r="59" spans="1:26" ht="28" x14ac:dyDescent="0.15">
      <c r="A59" s="70" t="s">
        <v>2481</v>
      </c>
      <c r="B59" s="93" t="s">
        <v>2425</v>
      </c>
      <c r="C59" s="70" t="s">
        <v>3750</v>
      </c>
      <c r="D59" s="70" t="s">
        <v>7012</v>
      </c>
      <c r="E59" s="70" t="s">
        <v>3477</v>
      </c>
      <c r="F59" s="70" t="s">
        <v>6252</v>
      </c>
      <c r="G59" s="70" t="s">
        <v>2323</v>
      </c>
      <c r="H59" s="93" t="s">
        <v>17</v>
      </c>
      <c r="I59" s="85">
        <v>-999</v>
      </c>
      <c r="J59" s="85">
        <v>-999</v>
      </c>
      <c r="K59" s="131" t="s">
        <v>14</v>
      </c>
      <c r="L59" s="60">
        <v>-999</v>
      </c>
      <c r="M59" s="33"/>
    </row>
    <row r="60" spans="1:26" ht="28" x14ac:dyDescent="0.15">
      <c r="A60" s="70" t="s">
        <v>2481</v>
      </c>
      <c r="B60" s="93" t="s">
        <v>2425</v>
      </c>
      <c r="C60" s="70" t="s">
        <v>3750</v>
      </c>
      <c r="D60" s="70" t="s">
        <v>7012</v>
      </c>
      <c r="E60" s="70" t="s">
        <v>3477</v>
      </c>
      <c r="F60" s="70" t="s">
        <v>6252</v>
      </c>
      <c r="G60" s="70" t="s">
        <v>5644</v>
      </c>
      <c r="H60" s="93" t="s">
        <v>18</v>
      </c>
      <c r="I60" s="85">
        <v>-999</v>
      </c>
      <c r="J60" s="85">
        <v>-999</v>
      </c>
      <c r="K60" s="131" t="s">
        <v>14</v>
      </c>
      <c r="L60" s="60">
        <v>-999</v>
      </c>
      <c r="M60" s="33"/>
    </row>
    <row r="61" spans="1:26" ht="28" x14ac:dyDescent="0.15">
      <c r="A61" s="70" t="s">
        <v>2481</v>
      </c>
      <c r="B61" s="93" t="s">
        <v>4982</v>
      </c>
      <c r="C61" s="70" t="s">
        <v>3750</v>
      </c>
      <c r="D61" s="70" t="s">
        <v>7012</v>
      </c>
      <c r="E61" s="70" t="s">
        <v>3477</v>
      </c>
      <c r="F61" s="70" t="s">
        <v>6252</v>
      </c>
      <c r="G61" s="70" t="s">
        <v>5135</v>
      </c>
      <c r="H61" s="93" t="s">
        <v>19</v>
      </c>
      <c r="I61" s="85">
        <v>-999</v>
      </c>
      <c r="J61" s="85">
        <v>-999</v>
      </c>
      <c r="K61" s="131" t="s">
        <v>14</v>
      </c>
      <c r="L61" s="63">
        <v>-999</v>
      </c>
      <c r="M61" s="33"/>
    </row>
    <row r="62" spans="1:26" ht="28" x14ac:dyDescent="0.15">
      <c r="A62" s="70" t="s">
        <v>2481</v>
      </c>
      <c r="B62" s="93" t="s">
        <v>7357</v>
      </c>
      <c r="C62" s="70" t="s">
        <v>3750</v>
      </c>
      <c r="D62" s="70" t="s">
        <v>7012</v>
      </c>
      <c r="E62" s="70" t="s">
        <v>3477</v>
      </c>
      <c r="F62" s="70" t="s">
        <v>6252</v>
      </c>
      <c r="G62" s="70" t="s">
        <v>4853</v>
      </c>
      <c r="H62" s="93" t="s">
        <v>20</v>
      </c>
      <c r="I62" s="85">
        <v>-999</v>
      </c>
      <c r="J62" s="85">
        <v>-999</v>
      </c>
      <c r="K62" s="131" t="s">
        <v>14</v>
      </c>
      <c r="L62" s="60">
        <v>-999</v>
      </c>
      <c r="M62" s="33"/>
    </row>
    <row r="63" spans="1:26" s="189" customFormat="1" ht="28" x14ac:dyDescent="0.15">
      <c r="A63" s="73" t="s">
        <v>2481</v>
      </c>
      <c r="B63" s="93" t="s">
        <v>2425</v>
      </c>
      <c r="C63" s="70" t="s">
        <v>3750</v>
      </c>
      <c r="D63" s="70" t="s">
        <v>7012</v>
      </c>
      <c r="E63" s="70" t="s">
        <v>3477</v>
      </c>
      <c r="F63" s="70" t="s">
        <v>6252</v>
      </c>
      <c r="G63" s="70" t="s">
        <v>2972</v>
      </c>
      <c r="H63" s="93" t="s">
        <v>21</v>
      </c>
      <c r="I63" s="85">
        <v>-999</v>
      </c>
      <c r="J63" s="85">
        <v>-999</v>
      </c>
      <c r="K63" s="131" t="s">
        <v>14</v>
      </c>
      <c r="L63" s="63">
        <v>-999</v>
      </c>
      <c r="M63" s="33"/>
      <c r="N63" s="37"/>
      <c r="O63" s="37"/>
      <c r="P63" s="37"/>
      <c r="Q63" s="3"/>
      <c r="R63" s="3"/>
      <c r="S63" s="187"/>
      <c r="T63" s="187"/>
      <c r="U63" s="187"/>
      <c r="V63" s="187"/>
      <c r="W63" s="187"/>
      <c r="X63" s="187"/>
      <c r="Y63" s="187"/>
      <c r="Z63" s="188"/>
    </row>
    <row r="64" spans="1:26" s="189" customFormat="1" ht="28" x14ac:dyDescent="0.15">
      <c r="A64" s="70" t="s">
        <v>2481</v>
      </c>
      <c r="B64" s="93" t="s">
        <v>7357</v>
      </c>
      <c r="C64" s="70" t="s">
        <v>3750</v>
      </c>
      <c r="D64" s="70" t="s">
        <v>7012</v>
      </c>
      <c r="E64" s="70" t="s">
        <v>3477</v>
      </c>
      <c r="F64" s="70" t="s">
        <v>6252</v>
      </c>
      <c r="G64" s="70" t="s">
        <v>5066</v>
      </c>
      <c r="H64" s="93" t="s">
        <v>22</v>
      </c>
      <c r="I64" s="85">
        <v>-999</v>
      </c>
      <c r="J64" s="85">
        <v>-999</v>
      </c>
      <c r="K64" s="131" t="s">
        <v>14</v>
      </c>
      <c r="L64" s="63">
        <v>-999</v>
      </c>
      <c r="M64" s="33"/>
      <c r="N64" s="37"/>
      <c r="O64" s="37"/>
      <c r="P64" s="37"/>
      <c r="Q64" s="3"/>
      <c r="R64" s="3"/>
      <c r="S64" s="187"/>
      <c r="T64" s="187"/>
      <c r="U64" s="187"/>
      <c r="V64" s="187"/>
      <c r="W64" s="187"/>
      <c r="X64" s="187"/>
      <c r="Y64" s="187"/>
      <c r="Z64" s="188"/>
    </row>
    <row r="65" spans="1:26" ht="28" x14ac:dyDescent="0.15">
      <c r="A65" s="70" t="s">
        <v>2481</v>
      </c>
      <c r="B65" s="93" t="s">
        <v>2281</v>
      </c>
      <c r="C65" s="70" t="s">
        <v>3750</v>
      </c>
      <c r="D65" s="70" t="s">
        <v>7012</v>
      </c>
      <c r="E65" s="70" t="s">
        <v>3477</v>
      </c>
      <c r="F65" s="70" t="s">
        <v>6252</v>
      </c>
      <c r="G65" s="70" t="s">
        <v>3130</v>
      </c>
      <c r="H65" s="93" t="s">
        <v>16</v>
      </c>
      <c r="I65" s="85">
        <f>LOG(J65)</f>
        <v>2.2787536009528289</v>
      </c>
      <c r="J65" s="85">
        <v>190</v>
      </c>
      <c r="K65" s="131" t="s">
        <v>14</v>
      </c>
      <c r="L65" s="60">
        <v>209</v>
      </c>
      <c r="M65" s="33"/>
    </row>
    <row r="66" spans="1:26" ht="28" x14ac:dyDescent="0.15">
      <c r="A66" s="73" t="s">
        <v>2481</v>
      </c>
      <c r="B66" s="93" t="s">
        <v>7408</v>
      </c>
      <c r="C66" s="70" t="s">
        <v>3750</v>
      </c>
      <c r="D66" s="70" t="s">
        <v>7012</v>
      </c>
      <c r="E66" s="70" t="s">
        <v>3361</v>
      </c>
      <c r="F66" s="70" t="s">
        <v>6497</v>
      </c>
      <c r="G66" s="70" t="s">
        <v>5950</v>
      </c>
      <c r="H66" s="93" t="s">
        <v>23</v>
      </c>
      <c r="I66" s="85">
        <v>-999</v>
      </c>
      <c r="J66" s="85">
        <v>-999</v>
      </c>
      <c r="K66" s="131" t="s">
        <v>14</v>
      </c>
      <c r="L66" s="60">
        <v>-999</v>
      </c>
      <c r="M66" s="33"/>
    </row>
    <row r="67" spans="1:26" ht="16" x14ac:dyDescent="0.2">
      <c r="A67" s="70" t="s">
        <v>2481</v>
      </c>
      <c r="B67" s="93" t="s">
        <v>7247</v>
      </c>
      <c r="C67" s="70" t="s">
        <v>3750</v>
      </c>
      <c r="D67" s="70" t="s">
        <v>7077</v>
      </c>
      <c r="E67" s="70" t="s">
        <v>7274</v>
      </c>
      <c r="F67" s="70" t="s">
        <v>7402</v>
      </c>
      <c r="G67" s="70" t="s">
        <v>5273</v>
      </c>
      <c r="H67" s="93" t="s">
        <v>24</v>
      </c>
      <c r="I67" s="85">
        <v>-999</v>
      </c>
      <c r="J67" s="85">
        <v>-999</v>
      </c>
      <c r="K67" s="131" t="s">
        <v>3177</v>
      </c>
      <c r="L67" s="60">
        <v>-999</v>
      </c>
      <c r="M67" s="33" t="s">
        <v>6653</v>
      </c>
      <c r="N67" s="48"/>
    </row>
    <row r="68" spans="1:26" ht="28" x14ac:dyDescent="0.15">
      <c r="A68" s="62" t="s">
        <v>2481</v>
      </c>
      <c r="B68" s="93" t="s">
        <v>1855</v>
      </c>
      <c r="C68" s="102" t="s">
        <v>3750</v>
      </c>
      <c r="D68" s="62" t="s">
        <v>2548</v>
      </c>
      <c r="E68" s="102" t="s">
        <v>5975</v>
      </c>
      <c r="F68" s="102" t="s">
        <v>5976</v>
      </c>
      <c r="G68" s="102" t="s">
        <v>6174</v>
      </c>
      <c r="H68" s="175" t="s">
        <v>33</v>
      </c>
      <c r="I68" s="98">
        <v>-999</v>
      </c>
      <c r="J68" s="98">
        <v>-999</v>
      </c>
      <c r="K68" s="135" t="s">
        <v>34</v>
      </c>
      <c r="L68" s="62">
        <v>-999</v>
      </c>
    </row>
    <row r="69" spans="1:26" ht="28" x14ac:dyDescent="0.2">
      <c r="A69" s="70" t="s">
        <v>2481</v>
      </c>
      <c r="B69" s="93" t="s">
        <v>2111</v>
      </c>
      <c r="C69" s="70" t="s">
        <v>3750</v>
      </c>
      <c r="D69" s="70" t="s">
        <v>3773</v>
      </c>
      <c r="E69" s="70" t="s">
        <v>3774</v>
      </c>
      <c r="F69" s="70" t="s">
        <v>3169</v>
      </c>
      <c r="G69" s="70" t="s">
        <v>3608</v>
      </c>
      <c r="H69" s="93" t="s">
        <v>92</v>
      </c>
      <c r="I69" s="85">
        <f>LOG(J69)</f>
        <v>4.6989999999999998</v>
      </c>
      <c r="J69" s="85">
        <v>50003.453497697803</v>
      </c>
      <c r="K69" s="131" t="s">
        <v>6476</v>
      </c>
      <c r="L69" s="60">
        <v>165</v>
      </c>
      <c r="M69" s="47" t="s">
        <v>6653</v>
      </c>
    </row>
    <row r="70" spans="1:26" ht="28" x14ac:dyDescent="0.15">
      <c r="A70" s="62" t="s">
        <v>2481</v>
      </c>
      <c r="B70" s="93" t="s">
        <v>4337</v>
      </c>
      <c r="C70" s="102" t="s">
        <v>3750</v>
      </c>
      <c r="D70" s="62" t="s">
        <v>2548</v>
      </c>
      <c r="E70" s="102" t="s">
        <v>5975</v>
      </c>
      <c r="F70" s="102" t="s">
        <v>2061</v>
      </c>
      <c r="G70" s="102" t="s">
        <v>6325</v>
      </c>
      <c r="H70" s="175" t="s">
        <v>82</v>
      </c>
      <c r="I70" s="98">
        <v>-999</v>
      </c>
      <c r="J70" s="98">
        <v>-999</v>
      </c>
      <c r="K70" s="135"/>
      <c r="L70" s="62">
        <v>-999</v>
      </c>
    </row>
    <row r="71" spans="1:26" ht="28" x14ac:dyDescent="0.15">
      <c r="A71" s="62" t="s">
        <v>2481</v>
      </c>
      <c r="B71" s="93" t="s">
        <v>491</v>
      </c>
      <c r="C71" s="102" t="s">
        <v>3750</v>
      </c>
      <c r="D71" s="62" t="s">
        <v>2548</v>
      </c>
      <c r="E71" s="102" t="s">
        <v>5975</v>
      </c>
      <c r="F71" s="102" t="s">
        <v>5976</v>
      </c>
      <c r="G71" s="102" t="s">
        <v>1929</v>
      </c>
      <c r="H71" s="175" t="s">
        <v>35</v>
      </c>
      <c r="I71" s="98">
        <v>-999</v>
      </c>
      <c r="J71" s="98">
        <v>-999</v>
      </c>
      <c r="K71" s="135" t="s">
        <v>36</v>
      </c>
      <c r="L71" s="62">
        <v>-999</v>
      </c>
    </row>
    <row r="72" spans="1:26" s="13" customFormat="1" ht="42" x14ac:dyDescent="0.15">
      <c r="A72" s="172" t="s">
        <v>2481</v>
      </c>
      <c r="B72" s="197" t="s">
        <v>1204</v>
      </c>
      <c r="C72" s="198" t="s">
        <v>3750</v>
      </c>
      <c r="D72" s="172" t="s">
        <v>2548</v>
      </c>
      <c r="E72" s="198" t="s">
        <v>5977</v>
      </c>
      <c r="F72" s="198" t="s">
        <v>2581</v>
      </c>
      <c r="G72" s="198" t="s">
        <v>1745</v>
      </c>
      <c r="H72" s="199" t="s">
        <v>39</v>
      </c>
      <c r="I72" s="200">
        <v>-999</v>
      </c>
      <c r="J72" s="200">
        <v>-999</v>
      </c>
      <c r="K72" s="201" t="s">
        <v>3</v>
      </c>
      <c r="L72" s="172">
        <v>-999</v>
      </c>
      <c r="M72" s="202"/>
      <c r="N72" s="202"/>
      <c r="O72" s="202"/>
      <c r="P72" s="202"/>
      <c r="Q72" s="203"/>
      <c r="R72" s="203"/>
      <c r="S72" s="12"/>
      <c r="T72" s="12"/>
      <c r="U72" s="12"/>
      <c r="V72" s="12"/>
      <c r="W72" s="12"/>
      <c r="X72" s="12"/>
      <c r="Y72" s="12"/>
      <c r="Z72" s="16"/>
    </row>
    <row r="73" spans="1:26" ht="42" x14ac:dyDescent="0.15">
      <c r="A73" s="62" t="s">
        <v>2481</v>
      </c>
      <c r="B73" s="93" t="s">
        <v>2740</v>
      </c>
      <c r="C73" s="102" t="s">
        <v>3750</v>
      </c>
      <c r="D73" s="62" t="s">
        <v>2548</v>
      </c>
      <c r="E73" s="102" t="s">
        <v>5975</v>
      </c>
      <c r="F73" s="102" t="s">
        <v>1553</v>
      </c>
      <c r="G73" s="102" t="s">
        <v>2741</v>
      </c>
      <c r="H73" s="175" t="s">
        <v>84</v>
      </c>
      <c r="I73" s="98">
        <v>-999</v>
      </c>
      <c r="J73" s="98">
        <v>-999</v>
      </c>
      <c r="K73" s="135" t="s">
        <v>85</v>
      </c>
      <c r="L73" s="62">
        <v>-999</v>
      </c>
    </row>
    <row r="74" spans="1:26" s="13" customFormat="1" ht="28" x14ac:dyDescent="0.15">
      <c r="A74" s="62" t="s">
        <v>2481</v>
      </c>
      <c r="B74" s="93" t="s">
        <v>5852</v>
      </c>
      <c r="C74" s="102" t="s">
        <v>3750</v>
      </c>
      <c r="D74" s="62" t="s">
        <v>2548</v>
      </c>
      <c r="E74" s="102" t="s">
        <v>5975</v>
      </c>
      <c r="F74" s="102" t="s">
        <v>1509</v>
      </c>
      <c r="G74" s="102" t="s">
        <v>7367</v>
      </c>
      <c r="H74" s="175" t="s">
        <v>83</v>
      </c>
      <c r="I74" s="98">
        <v>-999</v>
      </c>
      <c r="J74" s="98">
        <v>-999</v>
      </c>
      <c r="K74" s="135"/>
      <c r="L74" s="62">
        <v>-999</v>
      </c>
      <c r="M74" s="49"/>
      <c r="N74" s="37"/>
      <c r="O74" s="37"/>
      <c r="P74" s="37"/>
      <c r="Q74" s="3"/>
      <c r="R74" s="3"/>
      <c r="S74" s="12"/>
      <c r="T74" s="12"/>
      <c r="U74" s="12"/>
      <c r="V74" s="12"/>
      <c r="W74" s="12"/>
      <c r="X74" s="12"/>
      <c r="Y74" s="12"/>
      <c r="Z74" s="16"/>
    </row>
    <row r="75" spans="1:26" ht="28" x14ac:dyDescent="0.15">
      <c r="A75" s="180" t="s">
        <v>2481</v>
      </c>
      <c r="B75" s="181" t="s">
        <v>7499</v>
      </c>
      <c r="C75" s="180" t="s">
        <v>3750</v>
      </c>
      <c r="D75" s="180" t="s">
        <v>3773</v>
      </c>
      <c r="E75" s="180" t="s">
        <v>2036</v>
      </c>
      <c r="F75" s="180" t="s">
        <v>6951</v>
      </c>
      <c r="G75" s="180" t="s">
        <v>5900</v>
      </c>
      <c r="H75" s="182" t="s">
        <v>95</v>
      </c>
      <c r="I75" s="183">
        <v>-999</v>
      </c>
      <c r="J75" s="183">
        <v>-999</v>
      </c>
      <c r="K75" s="184" t="s">
        <v>54</v>
      </c>
      <c r="L75" s="185">
        <v>-999</v>
      </c>
      <c r="M75" s="186"/>
      <c r="N75" s="186"/>
      <c r="O75" s="186"/>
      <c r="P75" s="186"/>
      <c r="Q75" s="187"/>
      <c r="R75" s="187"/>
    </row>
    <row r="76" spans="1:26" ht="42" x14ac:dyDescent="0.15">
      <c r="A76" s="62" t="s">
        <v>2481</v>
      </c>
      <c r="B76" s="93" t="s">
        <v>420</v>
      </c>
      <c r="C76" s="102" t="s">
        <v>3750</v>
      </c>
      <c r="D76" s="62" t="s">
        <v>2548</v>
      </c>
      <c r="E76" s="102" t="s">
        <v>1656</v>
      </c>
      <c r="F76" s="102" t="s">
        <v>1657</v>
      </c>
      <c r="G76" s="102" t="s">
        <v>4519</v>
      </c>
      <c r="H76" s="126" t="s">
        <v>96</v>
      </c>
      <c r="I76" s="85">
        <f t="shared" ref="I76:I81" si="2">LOG(J76)</f>
        <v>1.4353665066126613</v>
      </c>
      <c r="J76" s="104">
        <v>27.25</v>
      </c>
      <c r="K76" s="144"/>
      <c r="L76" s="62">
        <v>153</v>
      </c>
    </row>
    <row r="77" spans="1:26" ht="14" x14ac:dyDescent="0.15">
      <c r="A77" s="62" t="s">
        <v>2481</v>
      </c>
      <c r="B77" s="93" t="s">
        <v>2664</v>
      </c>
      <c r="C77" s="102" t="s">
        <v>3750</v>
      </c>
      <c r="D77" s="62" t="s">
        <v>2548</v>
      </c>
      <c r="E77" s="102" t="s">
        <v>5975</v>
      </c>
      <c r="F77" s="102" t="s">
        <v>5976</v>
      </c>
      <c r="G77" s="102" t="s">
        <v>6123</v>
      </c>
      <c r="H77" s="175" t="s">
        <v>37</v>
      </c>
      <c r="I77" s="85">
        <f t="shared" si="2"/>
        <v>2.1818435879447726</v>
      </c>
      <c r="J77" s="104">
        <v>152</v>
      </c>
      <c r="K77" s="144"/>
      <c r="L77" s="61">
        <v>153</v>
      </c>
    </row>
    <row r="78" spans="1:26" ht="28" x14ac:dyDescent="0.15">
      <c r="A78" s="70" t="s">
        <v>2481</v>
      </c>
      <c r="B78" s="93" t="s">
        <v>2480</v>
      </c>
      <c r="C78" s="70" t="s">
        <v>3750</v>
      </c>
      <c r="D78" s="70" t="s">
        <v>6983</v>
      </c>
      <c r="E78" s="70" t="s">
        <v>3159</v>
      </c>
      <c r="F78" s="70" t="s">
        <v>1439</v>
      </c>
      <c r="G78" s="70" t="s">
        <v>2964</v>
      </c>
      <c r="H78" s="93"/>
      <c r="I78" s="85">
        <f t="shared" si="2"/>
        <v>4.720159303405957</v>
      </c>
      <c r="J78" s="98">
        <v>52500</v>
      </c>
      <c r="K78" s="131" t="s">
        <v>58</v>
      </c>
      <c r="L78" s="73">
        <v>150</v>
      </c>
      <c r="M78" s="35"/>
    </row>
    <row r="79" spans="1:26" ht="16" x14ac:dyDescent="0.2">
      <c r="A79" s="70" t="s">
        <v>2481</v>
      </c>
      <c r="B79" s="93" t="s">
        <v>2480</v>
      </c>
      <c r="C79" s="70" t="s">
        <v>3750</v>
      </c>
      <c r="D79" s="70" t="s">
        <v>6983</v>
      </c>
      <c r="E79" s="70" t="s">
        <v>3159</v>
      </c>
      <c r="F79" s="70" t="s">
        <v>1439</v>
      </c>
      <c r="G79" s="70" t="s">
        <v>7845</v>
      </c>
      <c r="H79" s="93"/>
      <c r="I79" s="85">
        <f t="shared" si="2"/>
        <v>4.720159303405957</v>
      </c>
      <c r="J79" s="98">
        <v>52500</v>
      </c>
      <c r="K79" s="131" t="s">
        <v>59</v>
      </c>
      <c r="L79" s="70">
        <v>150</v>
      </c>
      <c r="M79" s="35"/>
      <c r="N79" s="48"/>
    </row>
    <row r="80" spans="1:26" ht="28" x14ac:dyDescent="0.15">
      <c r="A80" s="73" t="s">
        <v>2481</v>
      </c>
      <c r="B80" s="93" t="s">
        <v>2480</v>
      </c>
      <c r="C80" s="70" t="s">
        <v>3750</v>
      </c>
      <c r="D80" s="70" t="s">
        <v>6983</v>
      </c>
      <c r="E80" s="70" t="s">
        <v>3159</v>
      </c>
      <c r="F80" s="70" t="s">
        <v>1439</v>
      </c>
      <c r="G80" s="70" t="s">
        <v>3879</v>
      </c>
      <c r="H80" s="93"/>
      <c r="I80" s="85">
        <f t="shared" si="2"/>
        <v>4.8750612633917001</v>
      </c>
      <c r="J80" s="98">
        <v>75000</v>
      </c>
      <c r="K80" s="131" t="s">
        <v>60</v>
      </c>
      <c r="L80" s="70">
        <v>150</v>
      </c>
      <c r="M80" s="35"/>
    </row>
    <row r="81" spans="1:18" ht="28" x14ac:dyDescent="0.15">
      <c r="A81" s="70" t="s">
        <v>2481</v>
      </c>
      <c r="B81" s="93" t="s">
        <v>2277</v>
      </c>
      <c r="C81" s="70" t="s">
        <v>3750</v>
      </c>
      <c r="D81" s="70" t="s">
        <v>3437</v>
      </c>
      <c r="E81" s="70" t="s">
        <v>3598</v>
      </c>
      <c r="F81" s="70" t="s">
        <v>5803</v>
      </c>
      <c r="G81" s="70" t="s">
        <v>6402</v>
      </c>
      <c r="H81" s="93"/>
      <c r="I81" s="85">
        <f t="shared" si="2"/>
        <v>3.1760912590556813</v>
      </c>
      <c r="J81" s="85">
        <v>1500</v>
      </c>
      <c r="K81" s="131" t="s">
        <v>61</v>
      </c>
      <c r="L81" s="60">
        <v>3</v>
      </c>
      <c r="M81" s="49" t="s">
        <v>6653</v>
      </c>
    </row>
    <row r="82" spans="1:18" ht="14" x14ac:dyDescent="0.15">
      <c r="A82" s="70" t="s">
        <v>2481</v>
      </c>
      <c r="B82" s="82" t="s">
        <v>2019</v>
      </c>
      <c r="C82" s="70" t="s">
        <v>3750</v>
      </c>
      <c r="D82" s="70" t="s">
        <v>3437</v>
      </c>
      <c r="E82" s="70" t="s">
        <v>3598</v>
      </c>
      <c r="F82" s="70" t="s">
        <v>5645</v>
      </c>
      <c r="G82" s="70" t="s">
        <v>5011</v>
      </c>
      <c r="H82" s="93"/>
      <c r="I82" s="98">
        <v>-999</v>
      </c>
      <c r="J82" s="98">
        <v>-999</v>
      </c>
      <c r="K82" s="131" t="s">
        <v>3177</v>
      </c>
      <c r="L82" s="62">
        <v>-999</v>
      </c>
      <c r="M82" s="33"/>
    </row>
    <row r="83" spans="1:18" ht="14" x14ac:dyDescent="0.15">
      <c r="A83" s="70" t="s">
        <v>2481</v>
      </c>
      <c r="B83" s="82" t="s">
        <v>2019</v>
      </c>
      <c r="C83" s="70" t="s">
        <v>3750</v>
      </c>
      <c r="D83" s="70" t="s">
        <v>3437</v>
      </c>
      <c r="E83" s="70" t="s">
        <v>3598</v>
      </c>
      <c r="F83" s="70" t="s">
        <v>5645</v>
      </c>
      <c r="G83" s="70" t="s">
        <v>7394</v>
      </c>
      <c r="H83" s="93"/>
      <c r="I83" s="98">
        <v>-999</v>
      </c>
      <c r="J83" s="98">
        <v>-999</v>
      </c>
      <c r="K83" s="131" t="s">
        <v>3177</v>
      </c>
      <c r="L83" s="62">
        <v>-999</v>
      </c>
      <c r="M83" s="33"/>
    </row>
    <row r="84" spans="1:18" ht="14" x14ac:dyDescent="0.15">
      <c r="A84" s="73" t="s">
        <v>2481</v>
      </c>
      <c r="B84" s="93" t="s">
        <v>7357</v>
      </c>
      <c r="C84" s="70" t="s">
        <v>3750</v>
      </c>
      <c r="D84" s="70" t="s">
        <v>3437</v>
      </c>
      <c r="E84" s="70" t="s">
        <v>3598</v>
      </c>
      <c r="F84" s="70" t="s">
        <v>6214</v>
      </c>
      <c r="G84" s="70" t="s">
        <v>6047</v>
      </c>
      <c r="H84" s="93"/>
      <c r="I84" s="85">
        <v>-999</v>
      </c>
      <c r="J84" s="85">
        <v>-999</v>
      </c>
      <c r="K84" s="131" t="s">
        <v>3177</v>
      </c>
      <c r="L84" s="60">
        <v>-999</v>
      </c>
      <c r="M84" s="33"/>
    </row>
    <row r="85" spans="1:18" ht="14" x14ac:dyDescent="0.15">
      <c r="A85" s="70" t="s">
        <v>2481</v>
      </c>
      <c r="B85" s="93" t="s">
        <v>2147</v>
      </c>
      <c r="C85" s="70" t="s">
        <v>3750</v>
      </c>
      <c r="D85" s="70" t="s">
        <v>3437</v>
      </c>
      <c r="E85" s="70" t="s">
        <v>5178</v>
      </c>
      <c r="F85" s="70" t="s">
        <v>5672</v>
      </c>
      <c r="G85" s="70" t="s">
        <v>5189</v>
      </c>
      <c r="H85" s="93"/>
      <c r="I85" s="85">
        <v>-999</v>
      </c>
      <c r="J85" s="85">
        <v>-999</v>
      </c>
      <c r="K85" s="131" t="s">
        <v>3177</v>
      </c>
      <c r="L85" s="60">
        <v>-999</v>
      </c>
      <c r="M85" s="33"/>
    </row>
    <row r="86" spans="1:18" ht="14" x14ac:dyDescent="0.15">
      <c r="A86" s="70" t="s">
        <v>2481</v>
      </c>
      <c r="B86" s="93" t="s">
        <v>2281</v>
      </c>
      <c r="C86" s="70" t="s">
        <v>3750</v>
      </c>
      <c r="D86" s="70" t="s">
        <v>3437</v>
      </c>
      <c r="E86" s="70" t="s">
        <v>5865</v>
      </c>
      <c r="F86" s="70" t="s">
        <v>2974</v>
      </c>
      <c r="G86" s="70" t="s">
        <v>3195</v>
      </c>
      <c r="H86" s="93"/>
      <c r="I86" s="85">
        <f>LOG(J86)</f>
        <v>4.1367205671564067</v>
      </c>
      <c r="J86" s="85">
        <v>13700</v>
      </c>
      <c r="K86" s="131" t="s">
        <v>3177</v>
      </c>
      <c r="L86" s="60">
        <v>145</v>
      </c>
      <c r="M86" s="33"/>
    </row>
    <row r="87" spans="1:18" ht="14" x14ac:dyDescent="0.15">
      <c r="A87" s="70" t="s">
        <v>2481</v>
      </c>
      <c r="B87" s="93" t="s">
        <v>2019</v>
      </c>
      <c r="C87" s="70" t="s">
        <v>3750</v>
      </c>
      <c r="D87" s="70" t="s">
        <v>3437</v>
      </c>
      <c r="E87" s="70" t="s">
        <v>5865</v>
      </c>
      <c r="F87" s="70" t="s">
        <v>3196</v>
      </c>
      <c r="G87" s="70" t="s">
        <v>5951</v>
      </c>
      <c r="H87" s="93"/>
      <c r="I87" s="85">
        <v>-999</v>
      </c>
      <c r="J87" s="85">
        <v>-999</v>
      </c>
      <c r="K87" s="131" t="s">
        <v>3177</v>
      </c>
      <c r="L87" s="60">
        <v>-999</v>
      </c>
      <c r="M87" s="33"/>
    </row>
    <row r="88" spans="1:18" ht="14" x14ac:dyDescent="0.15">
      <c r="A88" s="73" t="s">
        <v>2481</v>
      </c>
      <c r="B88" s="93" t="s">
        <v>5852</v>
      </c>
      <c r="C88" s="70" t="s">
        <v>3750</v>
      </c>
      <c r="D88" s="70" t="s">
        <v>3437</v>
      </c>
      <c r="E88" s="70" t="s">
        <v>3457</v>
      </c>
      <c r="F88" s="70" t="s">
        <v>6360</v>
      </c>
      <c r="G88" s="70" t="s">
        <v>6361</v>
      </c>
      <c r="H88" s="93"/>
      <c r="I88" s="85">
        <f>LOG(J88)</f>
        <v>2.6031443726201822</v>
      </c>
      <c r="J88" s="85">
        <v>401</v>
      </c>
      <c r="K88" s="131" t="s">
        <v>6776</v>
      </c>
      <c r="L88" s="60">
        <v>60</v>
      </c>
      <c r="M88" s="33"/>
    </row>
    <row r="89" spans="1:18" ht="14" x14ac:dyDescent="0.15">
      <c r="A89" s="70" t="s">
        <v>2481</v>
      </c>
      <c r="B89" s="93" t="s">
        <v>2106</v>
      </c>
      <c r="C89" s="70" t="s">
        <v>3750</v>
      </c>
      <c r="D89" s="70" t="s">
        <v>3437</v>
      </c>
      <c r="E89" s="70" t="s">
        <v>3457</v>
      </c>
      <c r="F89" s="70" t="s">
        <v>3028</v>
      </c>
      <c r="G89" s="70" t="s">
        <v>7995</v>
      </c>
      <c r="H89" s="93"/>
      <c r="I89" s="85">
        <v>-999</v>
      </c>
      <c r="J89" s="85">
        <v>-999</v>
      </c>
      <c r="K89" s="131" t="s">
        <v>3177</v>
      </c>
      <c r="L89" s="60">
        <v>-999</v>
      </c>
      <c r="M89" s="53" t="s">
        <v>6653</v>
      </c>
    </row>
    <row r="90" spans="1:18" ht="28" x14ac:dyDescent="0.15">
      <c r="A90" s="73" t="s">
        <v>2481</v>
      </c>
      <c r="B90" s="93" t="s">
        <v>6121</v>
      </c>
      <c r="C90" s="70" t="s">
        <v>3750</v>
      </c>
      <c r="D90" s="70" t="s">
        <v>3437</v>
      </c>
      <c r="E90" s="70" t="s">
        <v>3457</v>
      </c>
      <c r="F90" s="70" t="s">
        <v>5819</v>
      </c>
      <c r="G90" s="70" t="s">
        <v>5820</v>
      </c>
      <c r="H90" s="93"/>
      <c r="I90" s="85">
        <v>-999</v>
      </c>
      <c r="J90" s="85">
        <v>-999</v>
      </c>
      <c r="K90" s="131" t="s">
        <v>6684</v>
      </c>
      <c r="L90" s="60">
        <v>-999</v>
      </c>
      <c r="M90" s="33"/>
      <c r="Q90" s="6"/>
      <c r="R90" s="6"/>
    </row>
    <row r="91" spans="1:18" ht="14" x14ac:dyDescent="0.15">
      <c r="A91" s="70" t="s">
        <v>2481</v>
      </c>
      <c r="B91" s="93" t="s">
        <v>6122</v>
      </c>
      <c r="C91" s="70" t="s">
        <v>3750</v>
      </c>
      <c r="D91" s="70" t="s">
        <v>3437</v>
      </c>
      <c r="E91" s="70" t="s">
        <v>3457</v>
      </c>
      <c r="F91" s="70" t="s">
        <v>5819</v>
      </c>
      <c r="G91" s="70" t="s">
        <v>5472</v>
      </c>
      <c r="H91" s="93"/>
      <c r="I91" s="85">
        <v>-999</v>
      </c>
      <c r="J91" s="85">
        <v>-999</v>
      </c>
      <c r="K91" s="131" t="s">
        <v>6701</v>
      </c>
      <c r="L91" s="60">
        <v>-999</v>
      </c>
      <c r="M91" s="33"/>
      <c r="Q91" s="6"/>
      <c r="R91" s="6"/>
    </row>
    <row r="92" spans="1:18" ht="42" x14ac:dyDescent="0.15">
      <c r="A92" s="70" t="s">
        <v>2481</v>
      </c>
      <c r="B92" s="93" t="s">
        <v>4968</v>
      </c>
      <c r="C92" s="70" t="s">
        <v>3750</v>
      </c>
      <c r="D92" s="70" t="s">
        <v>3437</v>
      </c>
      <c r="E92" s="70" t="s">
        <v>3457</v>
      </c>
      <c r="F92" s="70" t="s">
        <v>5133</v>
      </c>
      <c r="G92" s="70" t="s">
        <v>3572</v>
      </c>
      <c r="H92" s="93"/>
      <c r="I92" s="85">
        <v>-999</v>
      </c>
      <c r="J92" s="85">
        <v>-999</v>
      </c>
      <c r="K92" s="131" t="s">
        <v>6780</v>
      </c>
      <c r="L92" s="60">
        <v>-999</v>
      </c>
      <c r="M92" s="33" t="s">
        <v>6653</v>
      </c>
    </row>
    <row r="93" spans="1:18" ht="56" x14ac:dyDescent="0.2">
      <c r="A93" s="70" t="s">
        <v>2481</v>
      </c>
      <c r="B93" s="93" t="s">
        <v>4701</v>
      </c>
      <c r="C93" s="70" t="s">
        <v>3750</v>
      </c>
      <c r="D93" s="70" t="s">
        <v>3437</v>
      </c>
      <c r="E93" s="70" t="s">
        <v>3457</v>
      </c>
      <c r="F93" s="70" t="s">
        <v>5133</v>
      </c>
      <c r="G93" s="70" t="s">
        <v>4847</v>
      </c>
      <c r="H93" s="93"/>
      <c r="I93" s="85">
        <v>-999</v>
      </c>
      <c r="J93" s="85">
        <v>-999</v>
      </c>
      <c r="K93" s="131" t="s">
        <v>6589</v>
      </c>
      <c r="L93" s="60">
        <v>-999</v>
      </c>
      <c r="M93" s="47" t="s">
        <v>6653</v>
      </c>
    </row>
    <row r="94" spans="1:18" ht="28" x14ac:dyDescent="0.15">
      <c r="A94" s="70" t="s">
        <v>2481</v>
      </c>
      <c r="B94" s="93" t="s">
        <v>4552</v>
      </c>
      <c r="C94" s="70" t="s">
        <v>3750</v>
      </c>
      <c r="D94" s="70" t="s">
        <v>3437</v>
      </c>
      <c r="E94" s="70" t="s">
        <v>3457</v>
      </c>
      <c r="F94" s="70" t="s">
        <v>5133</v>
      </c>
      <c r="G94" s="70" t="s">
        <v>5304</v>
      </c>
      <c r="H94" s="93"/>
      <c r="I94" s="85">
        <v>-999</v>
      </c>
      <c r="J94" s="85">
        <v>-999</v>
      </c>
      <c r="K94" s="131" t="s">
        <v>6723</v>
      </c>
      <c r="L94" s="60">
        <v>-999</v>
      </c>
      <c r="M94" s="33" t="s">
        <v>6728</v>
      </c>
    </row>
    <row r="95" spans="1:18" ht="14" x14ac:dyDescent="0.15">
      <c r="A95" s="70" t="s">
        <v>2481</v>
      </c>
      <c r="B95" s="93" t="s">
        <v>5844</v>
      </c>
      <c r="C95" s="70" t="s">
        <v>3750</v>
      </c>
      <c r="D95" s="70" t="s">
        <v>3437</v>
      </c>
      <c r="E95" s="70" t="s">
        <v>3457</v>
      </c>
      <c r="F95" s="70" t="s">
        <v>3218</v>
      </c>
      <c r="G95" s="70" t="s">
        <v>2981</v>
      </c>
      <c r="H95" s="93"/>
      <c r="I95" s="85">
        <v>-999</v>
      </c>
      <c r="J95" s="85">
        <v>-999</v>
      </c>
      <c r="K95" s="131" t="s">
        <v>6631</v>
      </c>
      <c r="L95" s="60">
        <v>-999</v>
      </c>
      <c r="M95" s="33" t="s">
        <v>6653</v>
      </c>
    </row>
    <row r="96" spans="1:18" ht="14" x14ac:dyDescent="0.15">
      <c r="A96" s="70" t="s">
        <v>2481</v>
      </c>
      <c r="B96" s="93" t="s">
        <v>6785</v>
      </c>
      <c r="C96" s="70" t="s">
        <v>3750</v>
      </c>
      <c r="D96" s="70" t="s">
        <v>3437</v>
      </c>
      <c r="E96" s="70" t="s">
        <v>3457</v>
      </c>
      <c r="F96" s="70" t="s">
        <v>4898</v>
      </c>
      <c r="G96" s="70" t="s">
        <v>6823</v>
      </c>
      <c r="H96" s="93"/>
      <c r="I96" s="85">
        <v>-999</v>
      </c>
      <c r="J96" s="85">
        <v>-999</v>
      </c>
      <c r="K96" s="131" t="s">
        <v>3177</v>
      </c>
      <c r="L96" s="60">
        <v>-999</v>
      </c>
      <c r="M96" s="33" t="s">
        <v>6653</v>
      </c>
    </row>
    <row r="97" spans="1:13" ht="28" x14ac:dyDescent="0.15">
      <c r="A97" s="70" t="s">
        <v>2481</v>
      </c>
      <c r="B97" s="93" t="s">
        <v>7908</v>
      </c>
      <c r="C97" s="70" t="s">
        <v>3750</v>
      </c>
      <c r="D97" s="70" t="s">
        <v>3437</v>
      </c>
      <c r="E97" s="70" t="s">
        <v>3457</v>
      </c>
      <c r="F97" s="70" t="s">
        <v>2993</v>
      </c>
      <c r="G97" s="70" t="s">
        <v>6739</v>
      </c>
      <c r="H97" s="93"/>
      <c r="I97" s="85">
        <v>-999</v>
      </c>
      <c r="J97" s="85">
        <v>-999</v>
      </c>
      <c r="K97" s="131" t="s">
        <v>6596</v>
      </c>
      <c r="L97" s="60">
        <v>3</v>
      </c>
      <c r="M97" s="33"/>
    </row>
    <row r="98" spans="1:13" ht="14" x14ac:dyDescent="0.15">
      <c r="A98" s="70" t="s">
        <v>2481</v>
      </c>
      <c r="B98" s="93" t="s">
        <v>5109</v>
      </c>
      <c r="C98" s="70" t="s">
        <v>3750</v>
      </c>
      <c r="D98" s="70" t="s">
        <v>3437</v>
      </c>
      <c r="E98" s="70" t="s">
        <v>3457</v>
      </c>
      <c r="F98" s="70" t="s">
        <v>2993</v>
      </c>
      <c r="G98" s="70" t="s">
        <v>5555</v>
      </c>
      <c r="H98" s="93"/>
      <c r="I98" s="85">
        <v>-999</v>
      </c>
      <c r="J98" s="85">
        <v>-999</v>
      </c>
      <c r="K98" s="131" t="s">
        <v>6781</v>
      </c>
      <c r="L98" s="63">
        <v>-999</v>
      </c>
      <c r="M98" s="33" t="s">
        <v>6653</v>
      </c>
    </row>
    <row r="99" spans="1:13" ht="28" x14ac:dyDescent="0.15">
      <c r="A99" s="73" t="s">
        <v>2481</v>
      </c>
      <c r="B99" s="93" t="s">
        <v>4764</v>
      </c>
      <c r="C99" s="70" t="s">
        <v>3750</v>
      </c>
      <c r="D99" s="70" t="s">
        <v>3437</v>
      </c>
      <c r="E99" s="70" t="s">
        <v>3457</v>
      </c>
      <c r="F99" s="70" t="s">
        <v>7374</v>
      </c>
      <c r="G99" s="70" t="s">
        <v>5053</v>
      </c>
      <c r="H99" s="93"/>
      <c r="I99" s="85">
        <v>-999</v>
      </c>
      <c r="J99" s="85">
        <v>-999</v>
      </c>
      <c r="K99" s="131" t="s">
        <v>7974</v>
      </c>
      <c r="L99" s="63">
        <v>-999</v>
      </c>
      <c r="M99" s="33"/>
    </row>
    <row r="100" spans="1:13" ht="28" x14ac:dyDescent="0.15">
      <c r="A100" s="70" t="s">
        <v>2481</v>
      </c>
      <c r="B100" s="93" t="s">
        <v>4764</v>
      </c>
      <c r="C100" s="70" t="s">
        <v>3750</v>
      </c>
      <c r="D100" s="70" t="s">
        <v>3437</v>
      </c>
      <c r="E100" s="70" t="s">
        <v>3457</v>
      </c>
      <c r="F100" s="70" t="s">
        <v>7374</v>
      </c>
      <c r="G100" s="70" t="s">
        <v>7245</v>
      </c>
      <c r="H100" s="93"/>
      <c r="I100" s="85">
        <v>-999</v>
      </c>
      <c r="J100" s="85">
        <v>-999</v>
      </c>
      <c r="K100" s="131" t="s">
        <v>7974</v>
      </c>
      <c r="L100" s="60">
        <v>-999</v>
      </c>
      <c r="M100" s="33"/>
    </row>
    <row r="101" spans="1:13" ht="28" x14ac:dyDescent="0.15">
      <c r="A101" s="70" t="s">
        <v>2481</v>
      </c>
      <c r="B101" s="93" t="s">
        <v>2556</v>
      </c>
      <c r="C101" s="70" t="s">
        <v>3750</v>
      </c>
      <c r="D101" s="70" t="s">
        <v>7093</v>
      </c>
      <c r="E101" s="70" t="s">
        <v>7720</v>
      </c>
      <c r="F101" s="70" t="s">
        <v>5278</v>
      </c>
      <c r="G101" s="70" t="s">
        <v>7138</v>
      </c>
      <c r="H101" s="93"/>
      <c r="I101" s="85">
        <f t="shared" ref="I101:I132" si="3">LOG(J101)</f>
        <v>6.6020599913279625</v>
      </c>
      <c r="J101" s="85">
        <v>4000000</v>
      </c>
      <c r="K101" s="131" t="s">
        <v>3177</v>
      </c>
      <c r="L101" s="60">
        <v>137</v>
      </c>
      <c r="M101" s="33"/>
    </row>
    <row r="102" spans="1:13" ht="42" x14ac:dyDescent="0.15">
      <c r="A102" s="73" t="s">
        <v>3635</v>
      </c>
      <c r="B102" s="93" t="s">
        <v>2180</v>
      </c>
      <c r="C102" s="70" t="s">
        <v>3750</v>
      </c>
      <c r="D102" s="70" t="s">
        <v>3773</v>
      </c>
      <c r="E102" s="70" t="s">
        <v>4431</v>
      </c>
      <c r="F102" s="70" t="s">
        <v>7645</v>
      </c>
      <c r="G102" s="70" t="s">
        <v>3899</v>
      </c>
      <c r="H102" s="93" t="s">
        <v>94</v>
      </c>
      <c r="I102" s="85">
        <f t="shared" si="3"/>
        <v>5.3010299956639813</v>
      </c>
      <c r="J102" s="85">
        <v>200000</v>
      </c>
      <c r="K102" s="131" t="s">
        <v>6522</v>
      </c>
      <c r="L102" s="60">
        <v>141</v>
      </c>
      <c r="M102" s="33" t="s">
        <v>6653</v>
      </c>
    </row>
    <row r="103" spans="1:13" x14ac:dyDescent="0.15">
      <c r="A103" s="86" t="s">
        <v>2633</v>
      </c>
      <c r="B103" s="87"/>
      <c r="C103" s="88" t="s">
        <v>4905</v>
      </c>
      <c r="D103" s="86" t="s">
        <v>2837</v>
      </c>
      <c r="E103" s="86" t="s">
        <v>3178</v>
      </c>
      <c r="F103" s="86" t="s">
        <v>3192</v>
      </c>
      <c r="G103" s="86" t="s">
        <v>6911</v>
      </c>
      <c r="H103" s="87"/>
      <c r="I103" s="85">
        <f t="shared" si="3"/>
        <v>4.5314789170422554</v>
      </c>
      <c r="J103" s="89">
        <v>34000</v>
      </c>
      <c r="K103" s="132"/>
      <c r="L103" s="61">
        <v>1</v>
      </c>
    </row>
    <row r="104" spans="1:13" x14ac:dyDescent="0.15">
      <c r="A104" s="86" t="s">
        <v>2633</v>
      </c>
      <c r="B104" s="87"/>
      <c r="C104" s="88" t="s">
        <v>4905</v>
      </c>
      <c r="D104" s="86" t="s">
        <v>2837</v>
      </c>
      <c r="E104" s="86" t="s">
        <v>3178</v>
      </c>
      <c r="F104" s="86" t="s">
        <v>3192</v>
      </c>
      <c r="G104" s="86" t="s">
        <v>3608</v>
      </c>
      <c r="H104" s="87"/>
      <c r="I104" s="85">
        <f t="shared" si="3"/>
        <v>4.6020599913279625</v>
      </c>
      <c r="J104" s="89">
        <v>40000</v>
      </c>
      <c r="K104" s="132"/>
      <c r="L104" s="61">
        <v>2</v>
      </c>
    </row>
    <row r="105" spans="1:13" x14ac:dyDescent="0.15">
      <c r="A105" s="86" t="s">
        <v>2633</v>
      </c>
      <c r="B105" s="87"/>
      <c r="C105" s="88" t="s">
        <v>4905</v>
      </c>
      <c r="D105" s="86" t="s">
        <v>2837</v>
      </c>
      <c r="E105" s="86" t="s">
        <v>3178</v>
      </c>
      <c r="F105" s="86" t="s">
        <v>1914</v>
      </c>
      <c r="G105" s="86" t="s">
        <v>6913</v>
      </c>
      <c r="H105" s="87"/>
      <c r="I105" s="85">
        <f t="shared" si="3"/>
        <v>4.648360010980932</v>
      </c>
      <c r="J105" s="89">
        <v>44500</v>
      </c>
      <c r="K105" s="132"/>
      <c r="L105" s="61" t="s">
        <v>3749</v>
      </c>
    </row>
    <row r="106" spans="1:13" x14ac:dyDescent="0.15">
      <c r="A106" s="86" t="s">
        <v>2633</v>
      </c>
      <c r="B106" s="87"/>
      <c r="C106" s="88" t="s">
        <v>4905</v>
      </c>
      <c r="D106" s="86" t="s">
        <v>2837</v>
      </c>
      <c r="E106" s="86" t="s">
        <v>3178</v>
      </c>
      <c r="F106" s="86" t="s">
        <v>6929</v>
      </c>
      <c r="G106" s="86" t="s">
        <v>2127</v>
      </c>
      <c r="H106" s="87"/>
      <c r="I106" s="85">
        <f t="shared" si="3"/>
        <v>5.3010299956639813</v>
      </c>
      <c r="J106" s="89">
        <v>200000</v>
      </c>
      <c r="K106" s="132"/>
      <c r="L106" s="62">
        <v>2</v>
      </c>
    </row>
    <row r="107" spans="1:13" x14ac:dyDescent="0.15">
      <c r="A107" s="86" t="s">
        <v>2633</v>
      </c>
      <c r="B107" s="87"/>
      <c r="C107" s="88" t="s">
        <v>4905</v>
      </c>
      <c r="D107" s="86" t="s">
        <v>2837</v>
      </c>
      <c r="E107" s="86" t="s">
        <v>3178</v>
      </c>
      <c r="F107" s="86" t="s">
        <v>7083</v>
      </c>
      <c r="G107" s="86" t="s">
        <v>2128</v>
      </c>
      <c r="H107" s="87"/>
      <c r="I107" s="85">
        <f t="shared" si="3"/>
        <v>6</v>
      </c>
      <c r="J107" s="89">
        <v>1000000</v>
      </c>
      <c r="K107" s="132"/>
      <c r="L107" s="61" t="s">
        <v>1984</v>
      </c>
    </row>
    <row r="108" spans="1:13" x14ac:dyDescent="0.15">
      <c r="A108" s="86" t="s">
        <v>2633</v>
      </c>
      <c r="B108" s="87"/>
      <c r="C108" s="88" t="s">
        <v>4905</v>
      </c>
      <c r="D108" s="86" t="s">
        <v>2837</v>
      </c>
      <c r="E108" s="86" t="s">
        <v>7198</v>
      </c>
      <c r="F108" s="86" t="s">
        <v>7199</v>
      </c>
      <c r="G108" s="86" t="s">
        <v>4669</v>
      </c>
      <c r="H108" s="87"/>
      <c r="I108" s="85">
        <f t="shared" si="3"/>
        <v>5.6989700043360187</v>
      </c>
      <c r="J108" s="89">
        <v>500000</v>
      </c>
      <c r="K108" s="132"/>
      <c r="L108" s="62">
        <v>1</v>
      </c>
    </row>
    <row r="109" spans="1:13" x14ac:dyDescent="0.15">
      <c r="A109" s="86" t="s">
        <v>2633</v>
      </c>
      <c r="B109" s="87"/>
      <c r="C109" s="88" t="s">
        <v>4905</v>
      </c>
      <c r="D109" s="86" t="s">
        <v>2837</v>
      </c>
      <c r="E109" s="86" t="s">
        <v>3724</v>
      </c>
      <c r="F109" s="86" t="s">
        <v>2370</v>
      </c>
      <c r="G109" s="86" t="s">
        <v>2371</v>
      </c>
      <c r="H109" s="87"/>
      <c r="I109" s="85">
        <f t="shared" si="3"/>
        <v>5.9030899869919438</v>
      </c>
      <c r="J109" s="89">
        <v>800000</v>
      </c>
      <c r="K109" s="132"/>
      <c r="L109" s="62">
        <v>1</v>
      </c>
    </row>
    <row r="110" spans="1:13" x14ac:dyDescent="0.15">
      <c r="A110" s="86" t="s">
        <v>2633</v>
      </c>
      <c r="B110" s="87"/>
      <c r="C110" s="88" t="s">
        <v>4905</v>
      </c>
      <c r="D110" s="86" t="s">
        <v>2837</v>
      </c>
      <c r="E110" s="86" t="s">
        <v>3543</v>
      </c>
      <c r="F110" s="86" t="s">
        <v>3544</v>
      </c>
      <c r="G110" s="86" t="s">
        <v>3605</v>
      </c>
      <c r="H110" s="87"/>
      <c r="I110" s="85">
        <f t="shared" si="3"/>
        <v>5.9294189257142929</v>
      </c>
      <c r="J110" s="89">
        <v>850000</v>
      </c>
      <c r="K110" s="132"/>
      <c r="L110" s="62">
        <v>6</v>
      </c>
    </row>
    <row r="111" spans="1:13" x14ac:dyDescent="0.15">
      <c r="A111" s="86" t="s">
        <v>2633</v>
      </c>
      <c r="B111" s="87"/>
      <c r="C111" s="88" t="s">
        <v>4905</v>
      </c>
      <c r="D111" s="86" t="s">
        <v>2837</v>
      </c>
      <c r="E111" s="86" t="s">
        <v>3088</v>
      </c>
      <c r="F111" s="86" t="s">
        <v>2372</v>
      </c>
      <c r="G111" s="86" t="s">
        <v>2953</v>
      </c>
      <c r="H111" s="87"/>
      <c r="I111" s="85">
        <f t="shared" si="3"/>
        <v>5.1522883443830567</v>
      </c>
      <c r="J111" s="89">
        <v>142000</v>
      </c>
      <c r="K111" s="132"/>
      <c r="L111" s="62">
        <v>2</v>
      </c>
    </row>
    <row r="112" spans="1:13" x14ac:dyDescent="0.15">
      <c r="A112" s="86" t="s">
        <v>2633</v>
      </c>
      <c r="B112" s="87"/>
      <c r="C112" s="88" t="s">
        <v>4905</v>
      </c>
      <c r="D112" s="86" t="s">
        <v>7007</v>
      </c>
      <c r="E112" s="86" t="s">
        <v>2446</v>
      </c>
      <c r="F112" s="86" t="s">
        <v>2447</v>
      </c>
      <c r="G112" s="86" t="s">
        <v>4078</v>
      </c>
      <c r="H112" s="87"/>
      <c r="I112" s="85">
        <f t="shared" si="3"/>
        <v>5.5440680443502757</v>
      </c>
      <c r="J112" s="89">
        <v>350000</v>
      </c>
      <c r="K112" s="132"/>
      <c r="L112" s="61" t="s">
        <v>2364</v>
      </c>
    </row>
    <row r="113" spans="1:12" x14ac:dyDescent="0.15">
      <c r="A113" s="86" t="s">
        <v>2633</v>
      </c>
      <c r="B113" s="87"/>
      <c r="C113" s="88" t="s">
        <v>4905</v>
      </c>
      <c r="D113" s="86" t="s">
        <v>7007</v>
      </c>
      <c r="E113" s="86" t="s">
        <v>2446</v>
      </c>
      <c r="F113" s="86" t="s">
        <v>2365</v>
      </c>
      <c r="G113" s="86" t="s">
        <v>2366</v>
      </c>
      <c r="H113" s="87"/>
      <c r="I113" s="85">
        <f t="shared" si="3"/>
        <v>5.1760912590556813</v>
      </c>
      <c r="J113" s="89">
        <v>150000</v>
      </c>
      <c r="K113" s="132"/>
      <c r="L113" s="61" t="s">
        <v>2360</v>
      </c>
    </row>
    <row r="114" spans="1:12" x14ac:dyDescent="0.15">
      <c r="A114" s="86" t="s">
        <v>2633</v>
      </c>
      <c r="B114" s="87"/>
      <c r="C114" s="88" t="s">
        <v>4905</v>
      </c>
      <c r="D114" s="86" t="s">
        <v>7007</v>
      </c>
      <c r="E114" s="86" t="s">
        <v>2406</v>
      </c>
      <c r="F114" s="86" t="s">
        <v>2318</v>
      </c>
      <c r="G114" s="86" t="s">
        <v>7878</v>
      </c>
      <c r="H114" s="87"/>
      <c r="I114" s="85">
        <f t="shared" si="3"/>
        <v>6.3010299956639813</v>
      </c>
      <c r="J114" s="89">
        <v>2000000</v>
      </c>
      <c r="K114" s="132"/>
      <c r="L114" s="61" t="s">
        <v>2653</v>
      </c>
    </row>
    <row r="115" spans="1:12" x14ac:dyDescent="0.15">
      <c r="A115" s="86" t="s">
        <v>2633</v>
      </c>
      <c r="B115" s="87"/>
      <c r="C115" s="88" t="s">
        <v>4905</v>
      </c>
      <c r="D115" s="86" t="s">
        <v>3902</v>
      </c>
      <c r="E115" s="86" t="s">
        <v>3432</v>
      </c>
      <c r="F115" s="86" t="s">
        <v>5262</v>
      </c>
      <c r="G115" s="86" t="s">
        <v>2289</v>
      </c>
      <c r="H115" s="87"/>
      <c r="I115" s="85">
        <f t="shared" si="3"/>
        <v>6.8129133566428557</v>
      </c>
      <c r="J115" s="89">
        <v>6500000</v>
      </c>
      <c r="K115" s="132"/>
      <c r="L115" s="62" t="s">
        <v>2290</v>
      </c>
    </row>
    <row r="116" spans="1:12" x14ac:dyDescent="0.15">
      <c r="A116" s="86" t="s">
        <v>2538</v>
      </c>
      <c r="B116" s="87"/>
      <c r="C116" s="88" t="s">
        <v>4905</v>
      </c>
      <c r="D116" s="86" t="s">
        <v>3243</v>
      </c>
      <c r="E116" s="86" t="s">
        <v>3244</v>
      </c>
      <c r="F116" s="86" t="s">
        <v>3753</v>
      </c>
      <c r="G116" s="86" t="s">
        <v>3958</v>
      </c>
      <c r="H116" s="87"/>
      <c r="I116" s="85">
        <f t="shared" si="3"/>
        <v>4.0791812460476251</v>
      </c>
      <c r="J116" s="89">
        <v>12000</v>
      </c>
      <c r="K116" s="135"/>
      <c r="L116" s="61" t="s">
        <v>2475</v>
      </c>
    </row>
    <row r="117" spans="1:12" x14ac:dyDescent="0.15">
      <c r="A117" s="86" t="s">
        <v>2538</v>
      </c>
      <c r="B117" s="87"/>
      <c r="C117" s="88" t="s">
        <v>4905</v>
      </c>
      <c r="D117" s="86" t="s">
        <v>3243</v>
      </c>
      <c r="E117" s="86" t="s">
        <v>6940</v>
      </c>
      <c r="F117" s="86" t="s">
        <v>4302</v>
      </c>
      <c r="G117" s="86" t="s">
        <v>4769</v>
      </c>
      <c r="H117" s="87"/>
      <c r="I117" s="85">
        <f t="shared" si="3"/>
        <v>4.1461280356782382</v>
      </c>
      <c r="J117" s="89">
        <v>14000</v>
      </c>
      <c r="K117" s="132"/>
      <c r="L117" s="61">
        <v>13</v>
      </c>
    </row>
    <row r="118" spans="1:12" x14ac:dyDescent="0.15">
      <c r="A118" s="86" t="s">
        <v>2538</v>
      </c>
      <c r="B118" s="87"/>
      <c r="C118" s="88" t="s">
        <v>4905</v>
      </c>
      <c r="D118" s="86" t="s">
        <v>1992</v>
      </c>
      <c r="E118" s="86" t="s">
        <v>1852</v>
      </c>
      <c r="F118" s="86" t="s">
        <v>2476</v>
      </c>
      <c r="G118" s="86" t="s">
        <v>2913</v>
      </c>
      <c r="H118" s="87"/>
      <c r="I118" s="85">
        <f t="shared" si="3"/>
        <v>5.9542425094393252</v>
      </c>
      <c r="J118" s="89">
        <v>900000</v>
      </c>
      <c r="K118" s="132"/>
      <c r="L118" s="62" t="s">
        <v>2374</v>
      </c>
    </row>
    <row r="119" spans="1:12" x14ac:dyDescent="0.15">
      <c r="A119" s="86" t="s">
        <v>2538</v>
      </c>
      <c r="B119" s="87"/>
      <c r="C119" s="88" t="s">
        <v>4905</v>
      </c>
      <c r="D119" s="86" t="s">
        <v>1992</v>
      </c>
      <c r="E119" s="86" t="s">
        <v>1852</v>
      </c>
      <c r="F119" s="86" t="s">
        <v>2476</v>
      </c>
      <c r="G119" s="86" t="s">
        <v>4472</v>
      </c>
      <c r="H119" s="87"/>
      <c r="I119" s="85">
        <f t="shared" si="3"/>
        <v>6.1760912590556813</v>
      </c>
      <c r="J119" s="89">
        <v>1500000</v>
      </c>
      <c r="K119" s="132"/>
      <c r="L119" s="62" t="s">
        <v>2373</v>
      </c>
    </row>
    <row r="120" spans="1:12" x14ac:dyDescent="0.15">
      <c r="A120" s="86" t="s">
        <v>2538</v>
      </c>
      <c r="B120" s="87"/>
      <c r="C120" s="88" t="s">
        <v>4905</v>
      </c>
      <c r="D120" s="86" t="s">
        <v>1992</v>
      </c>
      <c r="E120" s="86" t="s">
        <v>1852</v>
      </c>
      <c r="F120" s="86" t="s">
        <v>2375</v>
      </c>
      <c r="G120" s="86" t="s">
        <v>2376</v>
      </c>
      <c r="H120" s="87"/>
      <c r="I120" s="85">
        <f t="shared" si="3"/>
        <v>5.8750612633917001</v>
      </c>
      <c r="J120" s="89">
        <v>750000</v>
      </c>
      <c r="K120" s="132"/>
      <c r="L120" s="61" t="s">
        <v>2355</v>
      </c>
    </row>
    <row r="121" spans="1:12" x14ac:dyDescent="0.15">
      <c r="A121" s="86" t="s">
        <v>2538</v>
      </c>
      <c r="B121" s="87"/>
      <c r="C121" s="88" t="s">
        <v>4905</v>
      </c>
      <c r="D121" s="86" t="s">
        <v>1992</v>
      </c>
      <c r="E121" s="86" t="s">
        <v>1852</v>
      </c>
      <c r="F121" s="86" t="s">
        <v>2490</v>
      </c>
      <c r="G121" s="86" t="s">
        <v>7280</v>
      </c>
      <c r="H121" s="87"/>
      <c r="I121" s="85">
        <f t="shared" si="3"/>
        <v>5.6989700043360187</v>
      </c>
      <c r="J121" s="89">
        <v>500000</v>
      </c>
      <c r="K121" s="132"/>
      <c r="L121" s="61">
        <v>16</v>
      </c>
    </row>
    <row r="122" spans="1:12" x14ac:dyDescent="0.15">
      <c r="A122" s="86" t="s">
        <v>2538</v>
      </c>
      <c r="B122" s="87"/>
      <c r="C122" s="88" t="s">
        <v>4905</v>
      </c>
      <c r="D122" s="86" t="s">
        <v>1992</v>
      </c>
      <c r="E122" s="86" t="s">
        <v>1852</v>
      </c>
      <c r="F122" s="86" t="s">
        <v>2356</v>
      </c>
      <c r="G122" s="86" t="s">
        <v>2319</v>
      </c>
      <c r="H122" s="87"/>
      <c r="I122" s="85">
        <f t="shared" si="3"/>
        <v>5.6989700043360187</v>
      </c>
      <c r="J122" s="89">
        <v>500000</v>
      </c>
      <c r="K122" s="132"/>
      <c r="L122" s="61" t="s">
        <v>2489</v>
      </c>
    </row>
    <row r="123" spans="1:12" x14ac:dyDescent="0.15">
      <c r="A123" s="86" t="s">
        <v>2538</v>
      </c>
      <c r="B123" s="87"/>
      <c r="C123" s="88" t="s">
        <v>4905</v>
      </c>
      <c r="D123" s="86" t="s">
        <v>1992</v>
      </c>
      <c r="E123" s="86" t="s">
        <v>1852</v>
      </c>
      <c r="F123" s="86" t="s">
        <v>2125</v>
      </c>
      <c r="G123" s="86" t="s">
        <v>7064</v>
      </c>
      <c r="H123" s="87"/>
      <c r="I123" s="85">
        <f t="shared" si="3"/>
        <v>5</v>
      </c>
      <c r="J123" s="89">
        <v>100000</v>
      </c>
      <c r="K123" s="132"/>
      <c r="L123" s="61" t="s">
        <v>2374</v>
      </c>
    </row>
    <row r="124" spans="1:12" x14ac:dyDescent="0.15">
      <c r="A124" s="86" t="s">
        <v>2538</v>
      </c>
      <c r="B124" s="87"/>
      <c r="C124" s="88" t="s">
        <v>4905</v>
      </c>
      <c r="D124" s="86" t="s">
        <v>1992</v>
      </c>
      <c r="E124" s="86" t="s">
        <v>1852</v>
      </c>
      <c r="F124" s="86" t="s">
        <v>2125</v>
      </c>
      <c r="G124" s="86" t="s">
        <v>2126</v>
      </c>
      <c r="H124" s="87"/>
      <c r="I124" s="85">
        <f t="shared" si="3"/>
        <v>5.6989700043360187</v>
      </c>
      <c r="J124" s="89">
        <v>500000</v>
      </c>
      <c r="K124" s="132"/>
      <c r="L124" s="61" t="s">
        <v>2011</v>
      </c>
    </row>
    <row r="125" spans="1:12" x14ac:dyDescent="0.15">
      <c r="A125" s="86" t="s">
        <v>2538</v>
      </c>
      <c r="B125" s="87"/>
      <c r="C125" s="88" t="s">
        <v>4905</v>
      </c>
      <c r="D125" s="86" t="s">
        <v>1992</v>
      </c>
      <c r="E125" s="86" t="s">
        <v>1852</v>
      </c>
      <c r="F125" s="86" t="s">
        <v>6938</v>
      </c>
      <c r="G125" s="86" t="s">
        <v>6939</v>
      </c>
      <c r="H125" s="87"/>
      <c r="I125" s="85">
        <f t="shared" si="3"/>
        <v>5.8750612633917001</v>
      </c>
      <c r="J125" s="89">
        <v>750000</v>
      </c>
      <c r="K125" s="132"/>
      <c r="L125" s="62" t="s">
        <v>2374</v>
      </c>
    </row>
    <row r="126" spans="1:12" x14ac:dyDescent="0.15">
      <c r="A126" s="86" t="s">
        <v>2538</v>
      </c>
      <c r="B126" s="87"/>
      <c r="C126" s="88" t="s">
        <v>4905</v>
      </c>
      <c r="D126" s="86" t="s">
        <v>1992</v>
      </c>
      <c r="E126" s="86" t="s">
        <v>7065</v>
      </c>
      <c r="F126" s="86" t="s">
        <v>1972</v>
      </c>
      <c r="G126" s="86" t="s">
        <v>2121</v>
      </c>
      <c r="H126" s="87"/>
      <c r="I126" s="85">
        <f t="shared" si="3"/>
        <v>4.6020599913279625</v>
      </c>
      <c r="J126" s="89">
        <v>40000</v>
      </c>
      <c r="K126" s="132"/>
      <c r="L126" s="61">
        <v>16</v>
      </c>
    </row>
    <row r="127" spans="1:12" x14ac:dyDescent="0.15">
      <c r="A127" s="86" t="s">
        <v>2538</v>
      </c>
      <c r="B127" s="87"/>
      <c r="C127" s="88" t="s">
        <v>4905</v>
      </c>
      <c r="D127" s="86" t="s">
        <v>1992</v>
      </c>
      <c r="E127" s="86" t="s">
        <v>7065</v>
      </c>
      <c r="F127" s="86" t="s">
        <v>3574</v>
      </c>
      <c r="G127" s="86" t="s">
        <v>4823</v>
      </c>
      <c r="H127" s="87"/>
      <c r="I127" s="85">
        <f t="shared" si="3"/>
        <v>4.4771212547196626</v>
      </c>
      <c r="J127" s="89">
        <v>30000</v>
      </c>
      <c r="K127" s="132"/>
      <c r="L127" s="61" t="s">
        <v>2489</v>
      </c>
    </row>
    <row r="128" spans="1:12" x14ac:dyDescent="0.15">
      <c r="A128" s="86" t="s">
        <v>2538</v>
      </c>
      <c r="B128" s="87"/>
      <c r="C128" s="88" t="s">
        <v>4905</v>
      </c>
      <c r="D128" s="86" t="s">
        <v>1992</v>
      </c>
      <c r="E128" s="86" t="s">
        <v>7065</v>
      </c>
      <c r="F128" s="86" t="s">
        <v>3574</v>
      </c>
      <c r="G128" s="86" t="s">
        <v>4822</v>
      </c>
      <c r="H128" s="87"/>
      <c r="I128" s="85">
        <f t="shared" si="3"/>
        <v>4.4771212547196626</v>
      </c>
      <c r="J128" s="89">
        <v>30000</v>
      </c>
      <c r="K128" s="132"/>
      <c r="L128" s="61" t="s">
        <v>2374</v>
      </c>
    </row>
    <row r="129" spans="1:16" x14ac:dyDescent="0.15">
      <c r="A129" s="86" t="s">
        <v>2538</v>
      </c>
      <c r="B129" s="87"/>
      <c r="C129" s="88" t="s">
        <v>4905</v>
      </c>
      <c r="D129" s="86" t="s">
        <v>1992</v>
      </c>
      <c r="E129" s="86" t="s">
        <v>7065</v>
      </c>
      <c r="F129" s="86" t="s">
        <v>3574</v>
      </c>
      <c r="G129" s="86" t="s">
        <v>4067</v>
      </c>
      <c r="H129" s="87"/>
      <c r="I129" s="85">
        <f t="shared" si="3"/>
        <v>5.1760912590556813</v>
      </c>
      <c r="J129" s="89">
        <v>150000</v>
      </c>
      <c r="K129" s="132"/>
      <c r="L129" s="61" t="s">
        <v>4068</v>
      </c>
    </row>
    <row r="130" spans="1:16" x14ac:dyDescent="0.15">
      <c r="A130" s="86" t="s">
        <v>2538</v>
      </c>
      <c r="B130" s="87"/>
      <c r="C130" s="88" t="s">
        <v>4905</v>
      </c>
      <c r="D130" s="86" t="s">
        <v>1992</v>
      </c>
      <c r="E130" s="86" t="s">
        <v>7065</v>
      </c>
      <c r="F130" s="86" t="s">
        <v>3574</v>
      </c>
      <c r="G130" s="86" t="s">
        <v>3489</v>
      </c>
      <c r="H130" s="87"/>
      <c r="I130" s="85">
        <f t="shared" si="3"/>
        <v>5.1760912590556813</v>
      </c>
      <c r="J130" s="89">
        <v>150000</v>
      </c>
      <c r="K130" s="132"/>
      <c r="L130" s="61" t="s">
        <v>2489</v>
      </c>
    </row>
    <row r="131" spans="1:16" x14ac:dyDescent="0.15">
      <c r="A131" s="86" t="s">
        <v>2538</v>
      </c>
      <c r="B131" s="87"/>
      <c r="C131" s="88" t="s">
        <v>4905</v>
      </c>
      <c r="D131" s="86" t="s">
        <v>1992</v>
      </c>
      <c r="E131" s="86" t="s">
        <v>7065</v>
      </c>
      <c r="F131" s="86" t="s">
        <v>4824</v>
      </c>
      <c r="G131" s="86" t="s">
        <v>7071</v>
      </c>
      <c r="H131" s="87"/>
      <c r="I131" s="85">
        <f t="shared" si="3"/>
        <v>4.8750612633917001</v>
      </c>
      <c r="J131" s="89">
        <v>75000</v>
      </c>
      <c r="K131" s="132"/>
      <c r="L131" s="61" t="s">
        <v>2374</v>
      </c>
      <c r="P131" s="33"/>
    </row>
    <row r="132" spans="1:16" x14ac:dyDescent="0.15">
      <c r="A132" s="86" t="s">
        <v>2538</v>
      </c>
      <c r="B132" s="87"/>
      <c r="C132" s="88" t="s">
        <v>4905</v>
      </c>
      <c r="D132" s="86" t="s">
        <v>1992</v>
      </c>
      <c r="E132" s="86" t="s">
        <v>7065</v>
      </c>
      <c r="F132" s="86" t="s">
        <v>4824</v>
      </c>
      <c r="G132" s="86" t="s">
        <v>4809</v>
      </c>
      <c r="H132" s="87"/>
      <c r="I132" s="85">
        <f t="shared" si="3"/>
        <v>5.1760912590556813</v>
      </c>
      <c r="J132" s="89">
        <v>150000</v>
      </c>
      <c r="K132" s="132"/>
      <c r="L132" s="61" t="s">
        <v>2374</v>
      </c>
    </row>
    <row r="133" spans="1:16" x14ac:dyDescent="0.15">
      <c r="A133" s="86" t="s">
        <v>2538</v>
      </c>
      <c r="B133" s="87"/>
      <c r="C133" s="88" t="s">
        <v>4905</v>
      </c>
      <c r="D133" s="86" t="s">
        <v>1992</v>
      </c>
      <c r="E133" s="86" t="s">
        <v>7065</v>
      </c>
      <c r="F133" s="86" t="s">
        <v>4824</v>
      </c>
      <c r="G133" s="86" t="s">
        <v>2332</v>
      </c>
      <c r="H133" s="87"/>
      <c r="I133" s="85">
        <f t="shared" ref="I133:I160" si="4">LOG(J133)</f>
        <v>5.1760912590556813</v>
      </c>
      <c r="J133" s="89">
        <v>150000</v>
      </c>
      <c r="K133" s="132"/>
      <c r="L133" s="61" t="s">
        <v>2374</v>
      </c>
    </row>
    <row r="134" spans="1:16" x14ac:dyDescent="0.15">
      <c r="A134" s="86" t="s">
        <v>2538</v>
      </c>
      <c r="B134" s="87"/>
      <c r="C134" s="88" t="s">
        <v>4905</v>
      </c>
      <c r="D134" s="86" t="s">
        <v>1992</v>
      </c>
      <c r="E134" s="86" t="s">
        <v>7065</v>
      </c>
      <c r="F134" s="86" t="s">
        <v>4824</v>
      </c>
      <c r="G134" s="86" t="s">
        <v>4808</v>
      </c>
      <c r="H134" s="87"/>
      <c r="I134" s="85">
        <f t="shared" si="4"/>
        <v>5.3979400086720375</v>
      </c>
      <c r="J134" s="89">
        <v>250000</v>
      </c>
      <c r="K134" s="132"/>
      <c r="L134" s="61" t="s">
        <v>2374</v>
      </c>
    </row>
    <row r="135" spans="1:16" x14ac:dyDescent="0.15">
      <c r="A135" s="86" t="s">
        <v>2538</v>
      </c>
      <c r="B135" s="87"/>
      <c r="C135" s="88" t="s">
        <v>4905</v>
      </c>
      <c r="D135" s="86" t="s">
        <v>1992</v>
      </c>
      <c r="E135" s="86" t="s">
        <v>7065</v>
      </c>
      <c r="F135" s="86" t="s">
        <v>2003</v>
      </c>
      <c r="G135" s="86" t="s">
        <v>2005</v>
      </c>
      <c r="H135" s="87"/>
      <c r="I135" s="85">
        <f t="shared" si="4"/>
        <v>4.9542425094393252</v>
      </c>
      <c r="J135" s="89">
        <v>90000</v>
      </c>
      <c r="K135" s="132"/>
      <c r="L135" s="61" t="s">
        <v>2489</v>
      </c>
    </row>
    <row r="136" spans="1:16" x14ac:dyDescent="0.15">
      <c r="A136" s="86" t="s">
        <v>2538</v>
      </c>
      <c r="B136" s="87"/>
      <c r="C136" s="88" t="s">
        <v>4905</v>
      </c>
      <c r="D136" s="86" t="s">
        <v>1992</v>
      </c>
      <c r="E136" s="86" t="s">
        <v>7065</v>
      </c>
      <c r="F136" s="86" t="s">
        <v>2003</v>
      </c>
      <c r="G136" s="86" t="s">
        <v>6328</v>
      </c>
      <c r="H136" s="87"/>
      <c r="I136" s="85">
        <f t="shared" si="4"/>
        <v>5</v>
      </c>
      <c r="J136" s="89">
        <v>100000</v>
      </c>
      <c r="K136" s="132"/>
      <c r="L136" s="61" t="s">
        <v>2374</v>
      </c>
    </row>
    <row r="137" spans="1:16" x14ac:dyDescent="0.15">
      <c r="A137" s="86" t="s">
        <v>2538</v>
      </c>
      <c r="B137" s="87"/>
      <c r="C137" s="88" t="s">
        <v>4905</v>
      </c>
      <c r="D137" s="86" t="s">
        <v>1992</v>
      </c>
      <c r="E137" s="86" t="s">
        <v>7065</v>
      </c>
      <c r="F137" s="86" t="s">
        <v>2003</v>
      </c>
      <c r="G137" s="86" t="s">
        <v>2004</v>
      </c>
      <c r="H137" s="87"/>
      <c r="I137" s="85">
        <f t="shared" si="4"/>
        <v>5</v>
      </c>
      <c r="J137" s="89">
        <v>100000</v>
      </c>
      <c r="K137" s="132"/>
      <c r="L137" s="61" t="s">
        <v>2489</v>
      </c>
    </row>
    <row r="138" spans="1:16" x14ac:dyDescent="0.15">
      <c r="A138" s="86" t="s">
        <v>2538</v>
      </c>
      <c r="B138" s="87"/>
      <c r="C138" s="88" t="s">
        <v>4905</v>
      </c>
      <c r="D138" s="86" t="s">
        <v>1992</v>
      </c>
      <c r="E138" s="86" t="s">
        <v>7065</v>
      </c>
      <c r="F138" s="86" t="s">
        <v>2006</v>
      </c>
      <c r="G138" s="86" t="s">
        <v>2009</v>
      </c>
      <c r="H138" s="87"/>
      <c r="I138" s="85">
        <f t="shared" si="4"/>
        <v>4.4771212547196626</v>
      </c>
      <c r="J138" s="89">
        <v>30000</v>
      </c>
      <c r="K138" s="132"/>
      <c r="L138" s="61" t="s">
        <v>2374</v>
      </c>
    </row>
    <row r="139" spans="1:16" x14ac:dyDescent="0.15">
      <c r="A139" s="86" t="s">
        <v>2538</v>
      </c>
      <c r="B139" s="87"/>
      <c r="C139" s="88" t="s">
        <v>4905</v>
      </c>
      <c r="D139" s="86" t="s">
        <v>1992</v>
      </c>
      <c r="E139" s="86" t="s">
        <v>7065</v>
      </c>
      <c r="F139" s="86" t="s">
        <v>2006</v>
      </c>
      <c r="G139" s="86" t="s">
        <v>2007</v>
      </c>
      <c r="H139" s="87"/>
      <c r="I139" s="85">
        <f t="shared" si="4"/>
        <v>4.6989700043360187</v>
      </c>
      <c r="J139" s="89">
        <v>50000</v>
      </c>
      <c r="K139" s="132"/>
      <c r="L139" s="61" t="s">
        <v>2489</v>
      </c>
    </row>
    <row r="140" spans="1:16" x14ac:dyDescent="0.15">
      <c r="A140" s="86" t="s">
        <v>2538</v>
      </c>
      <c r="B140" s="87"/>
      <c r="C140" s="88" t="s">
        <v>4905</v>
      </c>
      <c r="D140" s="86" t="s">
        <v>1992</v>
      </c>
      <c r="E140" s="86" t="s">
        <v>7065</v>
      </c>
      <c r="F140" s="86" t="s">
        <v>2006</v>
      </c>
      <c r="G140" s="86" t="s">
        <v>2008</v>
      </c>
      <c r="H140" s="87"/>
      <c r="I140" s="85">
        <f t="shared" si="4"/>
        <v>4.6989700043360187</v>
      </c>
      <c r="J140" s="89">
        <v>50000</v>
      </c>
      <c r="K140" s="132"/>
      <c r="L140" s="61" t="s">
        <v>2489</v>
      </c>
    </row>
    <row r="141" spans="1:16" x14ac:dyDescent="0.15">
      <c r="A141" s="86" t="s">
        <v>2538</v>
      </c>
      <c r="B141" s="87"/>
      <c r="C141" s="88" t="s">
        <v>4905</v>
      </c>
      <c r="D141" s="86" t="s">
        <v>1992</v>
      </c>
      <c r="E141" s="86" t="s">
        <v>7065</v>
      </c>
      <c r="F141" s="86" t="s">
        <v>2006</v>
      </c>
      <c r="G141" s="86" t="s">
        <v>4660</v>
      </c>
      <c r="H141" s="87"/>
      <c r="I141" s="85">
        <f t="shared" si="4"/>
        <v>4.6989700043360187</v>
      </c>
      <c r="J141" s="89">
        <v>50000</v>
      </c>
      <c r="K141" s="132"/>
      <c r="L141" s="61" t="s">
        <v>2374</v>
      </c>
    </row>
    <row r="142" spans="1:16" x14ac:dyDescent="0.15">
      <c r="A142" s="86" t="s">
        <v>2538</v>
      </c>
      <c r="B142" s="87"/>
      <c r="C142" s="88" t="s">
        <v>4905</v>
      </c>
      <c r="D142" s="86" t="s">
        <v>1992</v>
      </c>
      <c r="E142" s="86" t="s">
        <v>7065</v>
      </c>
      <c r="F142" s="86" t="s">
        <v>2006</v>
      </c>
      <c r="G142" s="86" t="s">
        <v>3624</v>
      </c>
      <c r="H142" s="87"/>
      <c r="I142" s="85">
        <f t="shared" si="4"/>
        <v>4.8750612633917001</v>
      </c>
      <c r="J142" s="89">
        <v>75000</v>
      </c>
      <c r="K142" s="132"/>
      <c r="L142" s="61" t="s">
        <v>2489</v>
      </c>
    </row>
    <row r="143" spans="1:16" x14ac:dyDescent="0.15">
      <c r="A143" s="86" t="s">
        <v>2538</v>
      </c>
      <c r="B143" s="87"/>
      <c r="C143" s="88" t="s">
        <v>4905</v>
      </c>
      <c r="D143" s="86" t="s">
        <v>1992</v>
      </c>
      <c r="E143" s="86" t="s">
        <v>7065</v>
      </c>
      <c r="F143" s="86" t="s">
        <v>2006</v>
      </c>
      <c r="G143" s="86" t="s">
        <v>1970</v>
      </c>
      <c r="H143" s="87"/>
      <c r="I143" s="85">
        <f t="shared" si="4"/>
        <v>5.1760912590556813</v>
      </c>
      <c r="J143" s="89">
        <v>150000</v>
      </c>
      <c r="K143" s="132"/>
      <c r="L143" s="61" t="s">
        <v>2489</v>
      </c>
    </row>
    <row r="144" spans="1:16" x14ac:dyDescent="0.15">
      <c r="A144" s="86" t="s">
        <v>2538</v>
      </c>
      <c r="B144" s="87"/>
      <c r="C144" s="88" t="s">
        <v>4905</v>
      </c>
      <c r="D144" s="86" t="s">
        <v>1992</v>
      </c>
      <c r="E144" s="86" t="s">
        <v>7065</v>
      </c>
      <c r="F144" s="86" t="s">
        <v>2010</v>
      </c>
      <c r="G144" s="86" t="s">
        <v>4221</v>
      </c>
      <c r="H144" s="87"/>
      <c r="I144" s="85">
        <f t="shared" si="4"/>
        <v>4.6989700043360187</v>
      </c>
      <c r="J144" s="89">
        <v>50000</v>
      </c>
      <c r="K144" s="132"/>
      <c r="L144" s="61" t="s">
        <v>2489</v>
      </c>
    </row>
    <row r="145" spans="1:26" x14ac:dyDescent="0.15">
      <c r="A145" s="86" t="s">
        <v>2538</v>
      </c>
      <c r="B145" s="87"/>
      <c r="C145" s="88" t="s">
        <v>4905</v>
      </c>
      <c r="D145" s="86" t="s">
        <v>1992</v>
      </c>
      <c r="E145" s="86" t="s">
        <v>7065</v>
      </c>
      <c r="F145" s="86" t="s">
        <v>2010</v>
      </c>
      <c r="G145" s="86" t="s">
        <v>7762</v>
      </c>
      <c r="H145" s="87"/>
      <c r="I145" s="85">
        <f t="shared" si="4"/>
        <v>5</v>
      </c>
      <c r="J145" s="89">
        <v>100000</v>
      </c>
      <c r="K145" s="132"/>
      <c r="L145" s="61" t="s">
        <v>2489</v>
      </c>
    </row>
    <row r="146" spans="1:26" x14ac:dyDescent="0.15">
      <c r="A146" s="86" t="s">
        <v>2538</v>
      </c>
      <c r="B146" s="87"/>
      <c r="C146" s="88" t="s">
        <v>4905</v>
      </c>
      <c r="D146" s="86" t="s">
        <v>1992</v>
      </c>
      <c r="E146" s="86" t="s">
        <v>7065</v>
      </c>
      <c r="F146" s="86" t="s">
        <v>2010</v>
      </c>
      <c r="G146" s="86" t="s">
        <v>2129</v>
      </c>
      <c r="H146" s="87"/>
      <c r="I146" s="85">
        <f t="shared" si="4"/>
        <v>5</v>
      </c>
      <c r="J146" s="89">
        <v>100000</v>
      </c>
      <c r="K146" s="132"/>
      <c r="L146" s="61" t="s">
        <v>2489</v>
      </c>
    </row>
    <row r="147" spans="1:26" x14ac:dyDescent="0.15">
      <c r="A147" s="86" t="s">
        <v>2538</v>
      </c>
      <c r="B147" s="87"/>
      <c r="C147" s="88" t="s">
        <v>4905</v>
      </c>
      <c r="D147" s="86" t="s">
        <v>1992</v>
      </c>
      <c r="E147" s="86" t="s">
        <v>7065</v>
      </c>
      <c r="F147" s="86" t="s">
        <v>2010</v>
      </c>
      <c r="G147" s="86" t="s">
        <v>1971</v>
      </c>
      <c r="H147" s="87"/>
      <c r="I147" s="85">
        <f t="shared" si="4"/>
        <v>5.1760912590556813</v>
      </c>
      <c r="J147" s="89">
        <v>150000</v>
      </c>
      <c r="K147" s="132"/>
      <c r="L147" s="61" t="s">
        <v>2489</v>
      </c>
    </row>
    <row r="148" spans="1:26" x14ac:dyDescent="0.15">
      <c r="A148" s="86" t="s">
        <v>2538</v>
      </c>
      <c r="B148" s="87"/>
      <c r="C148" s="88" t="s">
        <v>4905</v>
      </c>
      <c r="D148" s="86" t="s">
        <v>1992</v>
      </c>
      <c r="E148" s="86" t="s">
        <v>7065</v>
      </c>
      <c r="F148" s="86" t="s">
        <v>2010</v>
      </c>
      <c r="G148" s="86" t="s">
        <v>6803</v>
      </c>
      <c r="H148" s="87"/>
      <c r="I148" s="85">
        <f t="shared" si="4"/>
        <v>5.1760912590556813</v>
      </c>
      <c r="J148" s="89">
        <v>150000</v>
      </c>
      <c r="K148" s="132"/>
      <c r="L148" s="61">
        <v>16</v>
      </c>
    </row>
    <row r="149" spans="1:26" x14ac:dyDescent="0.15">
      <c r="A149" s="86" t="s">
        <v>2538</v>
      </c>
      <c r="B149" s="87"/>
      <c r="C149" s="88" t="s">
        <v>4905</v>
      </c>
      <c r="D149" s="86" t="s">
        <v>1992</v>
      </c>
      <c r="E149" s="86" t="s">
        <v>7065</v>
      </c>
      <c r="F149" s="86" t="s">
        <v>2322</v>
      </c>
      <c r="G149" s="86" t="s">
        <v>2913</v>
      </c>
      <c r="H149" s="87"/>
      <c r="I149" s="85">
        <f t="shared" si="4"/>
        <v>4.6020599913279625</v>
      </c>
      <c r="J149" s="89">
        <v>40000</v>
      </c>
      <c r="K149" s="132"/>
      <c r="L149" s="61" t="s">
        <v>2489</v>
      </c>
    </row>
    <row r="150" spans="1:26" x14ac:dyDescent="0.15">
      <c r="A150" s="86" t="s">
        <v>2538</v>
      </c>
      <c r="B150" s="87"/>
      <c r="C150" s="88" t="s">
        <v>4905</v>
      </c>
      <c r="D150" s="86" t="s">
        <v>1992</v>
      </c>
      <c r="E150" s="86" t="s">
        <v>4304</v>
      </c>
      <c r="F150" s="86" t="s">
        <v>4826</v>
      </c>
      <c r="G150" s="86" t="s">
        <v>1853</v>
      </c>
      <c r="H150" s="87"/>
      <c r="I150" s="85">
        <f t="shared" si="4"/>
        <v>3.6989700043360187</v>
      </c>
      <c r="J150" s="89">
        <v>5000</v>
      </c>
      <c r="K150" s="132"/>
      <c r="L150" s="61">
        <v>16</v>
      </c>
    </row>
    <row r="151" spans="1:26" x14ac:dyDescent="0.15">
      <c r="A151" s="86" t="s">
        <v>2538</v>
      </c>
      <c r="B151" s="87"/>
      <c r="C151" s="88" t="s">
        <v>4905</v>
      </c>
      <c r="D151" s="86" t="s">
        <v>1992</v>
      </c>
      <c r="E151" s="86" t="s">
        <v>4304</v>
      </c>
      <c r="F151" s="86" t="s">
        <v>4827</v>
      </c>
      <c r="G151" s="86" t="s">
        <v>4828</v>
      </c>
      <c r="H151" s="87"/>
      <c r="I151" s="85">
        <f t="shared" si="4"/>
        <v>4.6020599913279625</v>
      </c>
      <c r="J151" s="89">
        <v>40000</v>
      </c>
      <c r="K151" s="132"/>
      <c r="L151" s="61">
        <v>16</v>
      </c>
    </row>
    <row r="152" spans="1:26" x14ac:dyDescent="0.15">
      <c r="A152" s="86" t="s">
        <v>2538</v>
      </c>
      <c r="B152" s="87"/>
      <c r="C152" s="88" t="s">
        <v>4905</v>
      </c>
      <c r="D152" s="86" t="s">
        <v>1992</v>
      </c>
      <c r="E152" s="86" t="s">
        <v>4280</v>
      </c>
      <c r="F152" s="86" t="s">
        <v>4281</v>
      </c>
      <c r="G152" s="86" t="s">
        <v>2363</v>
      </c>
      <c r="H152" s="87"/>
      <c r="I152" s="85">
        <f t="shared" si="4"/>
        <v>4.6989700043360187</v>
      </c>
      <c r="J152" s="89">
        <v>50000</v>
      </c>
      <c r="K152" s="132"/>
      <c r="L152" s="61">
        <v>16</v>
      </c>
    </row>
    <row r="153" spans="1:26" x14ac:dyDescent="0.15">
      <c r="A153" s="86" t="s">
        <v>2538</v>
      </c>
      <c r="B153" s="87"/>
      <c r="C153" s="88" t="s">
        <v>4905</v>
      </c>
      <c r="D153" s="86" t="s">
        <v>1992</v>
      </c>
      <c r="E153" s="86" t="s">
        <v>4280</v>
      </c>
      <c r="F153" s="86" t="s">
        <v>2362</v>
      </c>
      <c r="G153" s="86" t="s">
        <v>4923</v>
      </c>
      <c r="H153" s="87"/>
      <c r="I153" s="85">
        <f t="shared" si="4"/>
        <v>4.6989700043360187</v>
      </c>
      <c r="J153" s="89">
        <v>50000</v>
      </c>
      <c r="K153" s="132"/>
      <c r="L153" s="62" t="s">
        <v>2374</v>
      </c>
      <c r="S153"/>
      <c r="T153"/>
      <c r="U153"/>
      <c r="V153"/>
      <c r="W153"/>
      <c r="X153"/>
      <c r="Y153"/>
      <c r="Z153"/>
    </row>
    <row r="154" spans="1:26" x14ac:dyDescent="0.15">
      <c r="A154" s="86" t="s">
        <v>2538</v>
      </c>
      <c r="B154" s="87"/>
      <c r="C154" s="88" t="s">
        <v>4905</v>
      </c>
      <c r="D154" s="86" t="s">
        <v>1992</v>
      </c>
      <c r="E154" s="86" t="s">
        <v>4280</v>
      </c>
      <c r="F154" s="86" t="s">
        <v>7154</v>
      </c>
      <c r="G154" s="86" t="s">
        <v>7138</v>
      </c>
      <c r="H154" s="87"/>
      <c r="I154" s="85">
        <f t="shared" si="4"/>
        <v>5.3010299956639813</v>
      </c>
      <c r="J154" s="89">
        <v>200000</v>
      </c>
      <c r="K154" s="132"/>
      <c r="L154" s="62" t="s">
        <v>2374</v>
      </c>
      <c r="S154"/>
      <c r="T154"/>
      <c r="U154"/>
      <c r="V154"/>
      <c r="W154"/>
      <c r="X154"/>
      <c r="Y154"/>
      <c r="Z154"/>
    </row>
    <row r="155" spans="1:26" x14ac:dyDescent="0.15">
      <c r="A155" s="86" t="s">
        <v>2538</v>
      </c>
      <c r="B155" s="87"/>
      <c r="C155" s="88" t="s">
        <v>4905</v>
      </c>
      <c r="D155" s="86" t="s">
        <v>1992</v>
      </c>
      <c r="E155" s="86" t="s">
        <v>4280</v>
      </c>
      <c r="F155" s="86" t="s">
        <v>2361</v>
      </c>
      <c r="G155" s="86" t="s">
        <v>7089</v>
      </c>
      <c r="H155" s="87"/>
      <c r="I155" s="85">
        <f t="shared" si="4"/>
        <v>5</v>
      </c>
      <c r="J155" s="89">
        <v>100000</v>
      </c>
      <c r="K155" s="132"/>
      <c r="L155" s="61">
        <v>16</v>
      </c>
    </row>
    <row r="156" spans="1:26" x14ac:dyDescent="0.15">
      <c r="A156" s="86" t="s">
        <v>2538</v>
      </c>
      <c r="B156" s="87"/>
      <c r="C156" s="88" t="s">
        <v>4905</v>
      </c>
      <c r="D156" s="86" t="s">
        <v>1992</v>
      </c>
      <c r="E156" s="86" t="s">
        <v>4280</v>
      </c>
      <c r="F156" s="86" t="s">
        <v>4287</v>
      </c>
      <c r="G156" s="86" t="s">
        <v>4525</v>
      </c>
      <c r="H156" s="87"/>
      <c r="I156" s="85">
        <f t="shared" si="4"/>
        <v>4.4771212547196626</v>
      </c>
      <c r="J156" s="89">
        <v>30000</v>
      </c>
      <c r="K156" s="132"/>
      <c r="L156" s="62" t="s">
        <v>2374</v>
      </c>
    </row>
    <row r="157" spans="1:26" x14ac:dyDescent="0.15">
      <c r="A157" s="86" t="s">
        <v>2538</v>
      </c>
      <c r="B157" s="87"/>
      <c r="C157" s="88" t="s">
        <v>4905</v>
      </c>
      <c r="D157" s="86" t="s">
        <v>1992</v>
      </c>
      <c r="E157" s="86" t="s">
        <v>4280</v>
      </c>
      <c r="F157" s="86" t="s">
        <v>2238</v>
      </c>
      <c r="G157" s="86" t="s">
        <v>2081</v>
      </c>
      <c r="H157" s="87"/>
      <c r="I157" s="85">
        <f t="shared" si="4"/>
        <v>4</v>
      </c>
      <c r="J157" s="89">
        <v>10000</v>
      </c>
      <c r="K157" s="132"/>
      <c r="L157" s="62">
        <v>16</v>
      </c>
    </row>
    <row r="158" spans="1:26" x14ac:dyDescent="0.15">
      <c r="A158" s="86" t="s">
        <v>2538</v>
      </c>
      <c r="B158" s="87"/>
      <c r="C158" s="88" t="s">
        <v>4905</v>
      </c>
      <c r="D158" s="86" t="s">
        <v>6849</v>
      </c>
      <c r="E158" s="86" t="s">
        <v>4293</v>
      </c>
      <c r="F158" s="86" t="s">
        <v>4526</v>
      </c>
      <c r="G158" s="86" t="s">
        <v>4527</v>
      </c>
      <c r="H158" s="87"/>
      <c r="I158" s="85">
        <f t="shared" si="4"/>
        <v>4</v>
      </c>
      <c r="J158" s="89">
        <v>10000</v>
      </c>
      <c r="K158" s="132"/>
      <c r="L158" s="61" t="s">
        <v>2374</v>
      </c>
    </row>
    <row r="159" spans="1:26" x14ac:dyDescent="0.15">
      <c r="A159" s="86" t="s">
        <v>2538</v>
      </c>
      <c r="B159" s="87"/>
      <c r="C159" s="88" t="s">
        <v>4905</v>
      </c>
      <c r="D159" s="86" t="s">
        <v>6849</v>
      </c>
      <c r="E159" s="86" t="s">
        <v>4293</v>
      </c>
      <c r="F159" s="86" t="s">
        <v>5624</v>
      </c>
      <c r="G159" s="86" t="s">
        <v>4525</v>
      </c>
      <c r="H159" s="87"/>
      <c r="I159" s="85">
        <f t="shared" si="4"/>
        <v>4.4771212547196626</v>
      </c>
      <c r="J159" s="89">
        <v>30000</v>
      </c>
      <c r="K159" s="132"/>
      <c r="L159" s="62" t="s">
        <v>2374</v>
      </c>
    </row>
    <row r="160" spans="1:26" x14ac:dyDescent="0.15">
      <c r="A160" s="86" t="s">
        <v>2538</v>
      </c>
      <c r="B160" s="87"/>
      <c r="C160" s="88" t="s">
        <v>4905</v>
      </c>
      <c r="D160" s="86" t="s">
        <v>2439</v>
      </c>
      <c r="E160" s="86" t="s">
        <v>4958</v>
      </c>
      <c r="F160" s="86" t="s">
        <v>2291</v>
      </c>
      <c r="G160" s="86" t="s">
        <v>2438</v>
      </c>
      <c r="H160" s="87"/>
      <c r="I160" s="85">
        <f t="shared" si="4"/>
        <v>5.0606978403536118</v>
      </c>
      <c r="J160" s="89">
        <v>115000</v>
      </c>
      <c r="K160" s="132"/>
      <c r="L160" s="61" t="s">
        <v>4961</v>
      </c>
    </row>
    <row r="161" spans="1:13" ht="14" x14ac:dyDescent="0.15">
      <c r="A161" s="86" t="s">
        <v>2479</v>
      </c>
      <c r="B161" s="87" t="s">
        <v>7680</v>
      </c>
      <c r="C161" s="88" t="s">
        <v>4905</v>
      </c>
      <c r="D161" s="86" t="s">
        <v>2837</v>
      </c>
      <c r="E161" s="86" t="s">
        <v>3178</v>
      </c>
      <c r="F161" s="86" t="s">
        <v>7191</v>
      </c>
      <c r="G161" s="86" t="s">
        <v>2127</v>
      </c>
      <c r="H161" s="87"/>
      <c r="I161" s="85">
        <v>5.7190000000000003</v>
      </c>
      <c r="J161" s="89">
        <v>523600.43658575101</v>
      </c>
      <c r="K161" s="132"/>
      <c r="L161" s="62">
        <v>165</v>
      </c>
    </row>
    <row r="162" spans="1:13" ht="14" x14ac:dyDescent="0.15">
      <c r="A162" s="70" t="s">
        <v>2479</v>
      </c>
      <c r="B162" s="82" t="s">
        <v>7693</v>
      </c>
      <c r="C162" s="70" t="s">
        <v>4905</v>
      </c>
      <c r="D162" s="70" t="s">
        <v>2837</v>
      </c>
      <c r="E162" s="70" t="s">
        <v>3178</v>
      </c>
      <c r="F162" s="70" t="s">
        <v>7694</v>
      </c>
      <c r="G162" s="70" t="s">
        <v>7695</v>
      </c>
      <c r="H162" s="93"/>
      <c r="I162" s="85">
        <v>5.8979999999999997</v>
      </c>
      <c r="J162" s="85">
        <v>790678.62799982505</v>
      </c>
      <c r="K162" s="131"/>
      <c r="L162" s="69">
        <v>165</v>
      </c>
      <c r="M162" s="50"/>
    </row>
    <row r="163" spans="1:13" ht="14" x14ac:dyDescent="0.15">
      <c r="A163" s="91" t="s">
        <v>2479</v>
      </c>
      <c r="B163" s="90" t="s">
        <v>7682</v>
      </c>
      <c r="C163" s="91" t="s">
        <v>4905</v>
      </c>
      <c r="D163" s="91" t="s">
        <v>2837</v>
      </c>
      <c r="E163" s="91" t="s">
        <v>7198</v>
      </c>
      <c r="F163" s="91" t="s">
        <v>7199</v>
      </c>
      <c r="G163" s="91" t="s">
        <v>7681</v>
      </c>
      <c r="H163" s="176"/>
      <c r="I163" s="85">
        <v>5.74</v>
      </c>
      <c r="J163" s="92">
        <v>549540.87385762495</v>
      </c>
      <c r="K163" s="133"/>
      <c r="L163" s="65">
        <v>165</v>
      </c>
    </row>
    <row r="164" spans="1:13" ht="14" x14ac:dyDescent="0.15">
      <c r="A164" s="86" t="s">
        <v>2479</v>
      </c>
      <c r="B164" s="87" t="s">
        <v>7680</v>
      </c>
      <c r="C164" s="88" t="s">
        <v>4905</v>
      </c>
      <c r="D164" s="86" t="s">
        <v>2837</v>
      </c>
      <c r="E164" s="86" t="s">
        <v>3724</v>
      </c>
      <c r="F164" s="86" t="s">
        <v>2370</v>
      </c>
      <c r="G164" s="86" t="s">
        <v>4074</v>
      </c>
      <c r="H164" s="87"/>
      <c r="I164" s="85">
        <v>5.8449999999999998</v>
      </c>
      <c r="J164" s="89">
        <v>699841.99600227305</v>
      </c>
      <c r="K164" s="132"/>
      <c r="L164" s="62" t="s">
        <v>7745</v>
      </c>
    </row>
    <row r="165" spans="1:13" ht="14" x14ac:dyDescent="0.15">
      <c r="A165" s="70" t="s">
        <v>2479</v>
      </c>
      <c r="B165" s="82" t="s">
        <v>5853</v>
      </c>
      <c r="C165" s="70" t="s">
        <v>4905</v>
      </c>
      <c r="D165" s="70" t="s">
        <v>3773</v>
      </c>
      <c r="E165" s="70" t="s">
        <v>7053</v>
      </c>
      <c r="F165" s="70" t="s">
        <v>4677</v>
      </c>
      <c r="G165" s="70" t="s">
        <v>4687</v>
      </c>
      <c r="H165" s="93"/>
      <c r="I165" s="85">
        <f>LOG(J165)</f>
        <v>5.58</v>
      </c>
      <c r="J165" s="85">
        <v>380189.39632056101</v>
      </c>
      <c r="K165" s="131"/>
      <c r="L165" s="60">
        <v>165</v>
      </c>
      <c r="M165" s="33"/>
    </row>
    <row r="166" spans="1:13" ht="14" x14ac:dyDescent="0.15">
      <c r="A166" s="70" t="s">
        <v>2479</v>
      </c>
      <c r="B166" s="82" t="s">
        <v>7746</v>
      </c>
      <c r="C166" s="70" t="s">
        <v>4905</v>
      </c>
      <c r="D166" s="70" t="s">
        <v>3773</v>
      </c>
      <c r="E166" s="70" t="s">
        <v>6832</v>
      </c>
      <c r="F166" s="70" t="s">
        <v>4008</v>
      </c>
      <c r="G166" s="70" t="s">
        <v>3830</v>
      </c>
      <c r="H166" s="93"/>
      <c r="I166" s="85">
        <f>LOG(J166)</f>
        <v>4.8449999999999998</v>
      </c>
      <c r="J166" s="85">
        <v>69984.199600227294</v>
      </c>
      <c r="K166" s="131"/>
      <c r="L166" s="60" t="s">
        <v>7745</v>
      </c>
      <c r="M166" s="49" t="s">
        <v>6392</v>
      </c>
    </row>
    <row r="167" spans="1:13" ht="14" x14ac:dyDescent="0.15">
      <c r="A167" s="70" t="s">
        <v>2479</v>
      </c>
      <c r="B167" s="82" t="s">
        <v>7680</v>
      </c>
      <c r="C167" s="70" t="s">
        <v>4905</v>
      </c>
      <c r="D167" s="70" t="s">
        <v>7007</v>
      </c>
      <c r="E167" s="70" t="s">
        <v>2406</v>
      </c>
      <c r="F167" s="70" t="s">
        <v>7683</v>
      </c>
      <c r="G167" s="70" t="s">
        <v>8040</v>
      </c>
      <c r="H167" s="93"/>
      <c r="I167" s="85">
        <f>LOG(J167)</f>
        <v>6.4619999999999997</v>
      </c>
      <c r="J167" s="85">
        <v>2897343.5877013202</v>
      </c>
      <c r="K167" s="131" t="s">
        <v>8041</v>
      </c>
      <c r="L167" s="60" t="s">
        <v>7745</v>
      </c>
    </row>
    <row r="168" spans="1:13" x14ac:dyDescent="0.15">
      <c r="A168" s="62" t="s">
        <v>2479</v>
      </c>
      <c r="B168" s="93"/>
      <c r="C168" s="102" t="s">
        <v>4905</v>
      </c>
      <c r="D168" s="70" t="s">
        <v>7007</v>
      </c>
      <c r="E168" s="70" t="s">
        <v>2406</v>
      </c>
      <c r="F168" s="102" t="s">
        <v>2318</v>
      </c>
      <c r="G168" s="102" t="s">
        <v>7742</v>
      </c>
      <c r="H168" s="175"/>
      <c r="I168" s="85">
        <v>6.2039999999999997</v>
      </c>
      <c r="J168" s="104">
        <v>1599558.02861467</v>
      </c>
      <c r="K168" s="144"/>
      <c r="L168" s="62" t="s">
        <v>7745</v>
      </c>
    </row>
    <row r="169" spans="1:13" x14ac:dyDescent="0.15">
      <c r="A169" s="62" t="s">
        <v>2479</v>
      </c>
      <c r="B169" s="93"/>
      <c r="C169" s="102" t="s">
        <v>4905</v>
      </c>
      <c r="D169" s="70" t="s">
        <v>7007</v>
      </c>
      <c r="E169" s="70" t="s">
        <v>2406</v>
      </c>
      <c r="F169" s="102" t="s">
        <v>2318</v>
      </c>
      <c r="G169" s="102" t="s">
        <v>7878</v>
      </c>
      <c r="H169" s="175"/>
      <c r="I169" s="85">
        <v>6.2039999999999997</v>
      </c>
      <c r="J169" s="104">
        <v>1599558.02861467</v>
      </c>
      <c r="K169" s="144"/>
      <c r="L169" s="62" t="s">
        <v>7745</v>
      </c>
    </row>
    <row r="170" spans="1:13" ht="14" x14ac:dyDescent="0.15">
      <c r="A170" s="86" t="s">
        <v>2479</v>
      </c>
      <c r="B170" s="87" t="s">
        <v>5853</v>
      </c>
      <c r="C170" s="88" t="s">
        <v>4905</v>
      </c>
      <c r="D170" s="86" t="s">
        <v>3902</v>
      </c>
      <c r="E170" s="86" t="s">
        <v>3432</v>
      </c>
      <c r="F170" s="86" t="s">
        <v>6865</v>
      </c>
      <c r="G170" s="86" t="s">
        <v>3730</v>
      </c>
      <c r="H170" s="87"/>
      <c r="I170" s="85">
        <f>LOG(J170)</f>
        <v>6.7403626894942441</v>
      </c>
      <c r="J170" s="89">
        <v>5500000</v>
      </c>
      <c r="K170" s="132"/>
      <c r="L170" s="62" t="s">
        <v>7692</v>
      </c>
    </row>
    <row r="171" spans="1:13" ht="14" x14ac:dyDescent="0.15">
      <c r="A171" s="70" t="s">
        <v>2479</v>
      </c>
      <c r="B171" s="93" t="s">
        <v>5853</v>
      </c>
      <c r="C171" s="70" t="s">
        <v>4905</v>
      </c>
      <c r="D171" s="70" t="s">
        <v>3437</v>
      </c>
      <c r="E171" s="70" t="s">
        <v>6262</v>
      </c>
      <c r="F171" s="70" t="s">
        <v>7696</v>
      </c>
      <c r="G171" s="70" t="s">
        <v>4561</v>
      </c>
      <c r="H171" s="93"/>
      <c r="I171" s="85">
        <v>4.6020000000000003</v>
      </c>
      <c r="J171" s="85">
        <v>39994.474976109799</v>
      </c>
      <c r="K171" s="131"/>
      <c r="L171" s="60">
        <v>165</v>
      </c>
      <c r="M171" s="33"/>
    </row>
    <row r="172" spans="1:13" ht="28" x14ac:dyDescent="0.15">
      <c r="A172" s="73" t="s">
        <v>2481</v>
      </c>
      <c r="B172" s="93" t="s">
        <v>2480</v>
      </c>
      <c r="C172" s="88" t="s">
        <v>4905</v>
      </c>
      <c r="D172" s="70" t="s">
        <v>2837</v>
      </c>
      <c r="E172" s="70" t="s">
        <v>3538</v>
      </c>
      <c r="F172" s="70" t="s">
        <v>3541</v>
      </c>
      <c r="G172" s="70" t="s">
        <v>7896</v>
      </c>
      <c r="H172" s="93"/>
      <c r="I172" s="85">
        <f t="shared" ref="I172:I195" si="5">LOG(J172)</f>
        <v>5.6989999999999998</v>
      </c>
      <c r="J172" s="85">
        <v>500034.53497697797</v>
      </c>
      <c r="K172" s="131" t="s">
        <v>1398</v>
      </c>
      <c r="L172" s="62" t="s">
        <v>7879</v>
      </c>
      <c r="M172" s="37" t="s">
        <v>6653</v>
      </c>
    </row>
    <row r="173" spans="1:13" ht="56" x14ac:dyDescent="0.15">
      <c r="A173" s="70" t="s">
        <v>2481</v>
      </c>
      <c r="B173" s="93" t="s">
        <v>2480</v>
      </c>
      <c r="C173" s="88" t="s">
        <v>4905</v>
      </c>
      <c r="D173" s="70" t="s">
        <v>2837</v>
      </c>
      <c r="E173" s="70" t="s">
        <v>3538</v>
      </c>
      <c r="F173" s="70" t="s">
        <v>3541</v>
      </c>
      <c r="G173" s="70" t="s">
        <v>5962</v>
      </c>
      <c r="H173" s="93"/>
      <c r="I173" s="85">
        <f t="shared" si="5"/>
        <v>5.9754287416287593</v>
      </c>
      <c r="J173" s="98">
        <f>(2/3)*(1417489.99)</f>
        <v>944993.32666666666</v>
      </c>
      <c r="K173" s="131" t="s">
        <v>1414</v>
      </c>
      <c r="L173" s="62">
        <v>150</v>
      </c>
      <c r="M173" s="35"/>
    </row>
    <row r="174" spans="1:13" ht="140" x14ac:dyDescent="0.15">
      <c r="A174" s="70" t="s">
        <v>2481</v>
      </c>
      <c r="B174" s="93" t="s">
        <v>2480</v>
      </c>
      <c r="C174" s="88" t="s">
        <v>4905</v>
      </c>
      <c r="D174" s="70" t="s">
        <v>3061</v>
      </c>
      <c r="E174" s="70"/>
      <c r="F174" s="70" t="s">
        <v>5874</v>
      </c>
      <c r="G174" s="70" t="s">
        <v>5875</v>
      </c>
      <c r="H174" s="93"/>
      <c r="I174" s="85">
        <f t="shared" si="5"/>
        <v>3.8926510338773004</v>
      </c>
      <c r="J174" s="98">
        <v>7810</v>
      </c>
      <c r="K174" s="131" t="s">
        <v>7279</v>
      </c>
      <c r="L174" s="62" t="s">
        <v>250</v>
      </c>
      <c r="M174" s="35"/>
    </row>
    <row r="175" spans="1:13" ht="140" x14ac:dyDescent="0.15">
      <c r="A175" s="70" t="s">
        <v>2481</v>
      </c>
      <c r="B175" s="93" t="s">
        <v>2480</v>
      </c>
      <c r="C175" s="88" t="s">
        <v>4905</v>
      </c>
      <c r="D175" s="70" t="s">
        <v>3061</v>
      </c>
      <c r="E175" s="62"/>
      <c r="F175" s="70" t="s">
        <v>5874</v>
      </c>
      <c r="G175" s="70" t="s">
        <v>7845</v>
      </c>
      <c r="H175" s="93"/>
      <c r="I175" s="85">
        <f t="shared" si="5"/>
        <v>4.1212314551496219</v>
      </c>
      <c r="J175" s="98">
        <v>13220</v>
      </c>
      <c r="K175" s="131" t="s">
        <v>6523</v>
      </c>
      <c r="L175" s="62" t="s">
        <v>250</v>
      </c>
      <c r="M175" s="35"/>
    </row>
    <row r="176" spans="1:13" ht="56" x14ac:dyDescent="0.15">
      <c r="A176" s="86" t="s">
        <v>2481</v>
      </c>
      <c r="B176" s="93" t="s">
        <v>2078</v>
      </c>
      <c r="C176" s="70" t="s">
        <v>4905</v>
      </c>
      <c r="D176" s="86" t="s">
        <v>3243</v>
      </c>
      <c r="E176" s="70" t="s">
        <v>3295</v>
      </c>
      <c r="F176" s="70" t="s">
        <v>4925</v>
      </c>
      <c r="G176" s="70" t="s">
        <v>6117</v>
      </c>
      <c r="H176" s="93"/>
      <c r="I176" s="85">
        <f t="shared" si="5"/>
        <v>4.4771212547196626</v>
      </c>
      <c r="J176" s="85">
        <v>30000</v>
      </c>
      <c r="K176" s="131" t="s">
        <v>2458</v>
      </c>
      <c r="L176" s="61">
        <v>151</v>
      </c>
      <c r="M176" s="35"/>
    </row>
    <row r="177" spans="1:14" ht="28" x14ac:dyDescent="0.2">
      <c r="A177" s="172" t="s">
        <v>2481</v>
      </c>
      <c r="B177" s="93" t="s">
        <v>2078</v>
      </c>
      <c r="C177" s="62" t="s">
        <v>4905</v>
      </c>
      <c r="D177" s="62" t="s">
        <v>1992</v>
      </c>
      <c r="E177" s="62" t="s">
        <v>1705</v>
      </c>
      <c r="F177" s="70" t="s">
        <v>1706</v>
      </c>
      <c r="G177" s="70" t="s">
        <v>1615</v>
      </c>
      <c r="H177" s="93"/>
      <c r="I177" s="85">
        <f t="shared" si="5"/>
        <v>5.1383026981662816</v>
      </c>
      <c r="J177" s="85">
        <v>137500</v>
      </c>
      <c r="K177" s="131" t="s">
        <v>2459</v>
      </c>
      <c r="L177" s="61">
        <v>151</v>
      </c>
      <c r="M177" s="35"/>
      <c r="N177" s="48"/>
    </row>
    <row r="178" spans="1:14" ht="56" x14ac:dyDescent="0.15">
      <c r="A178" s="172" t="s">
        <v>2481</v>
      </c>
      <c r="B178" s="93" t="s">
        <v>2078</v>
      </c>
      <c r="C178" s="62" t="s">
        <v>4905</v>
      </c>
      <c r="D178" s="62" t="s">
        <v>1992</v>
      </c>
      <c r="E178" s="62" t="s">
        <v>1705</v>
      </c>
      <c r="F178" s="70" t="s">
        <v>1616</v>
      </c>
      <c r="G178" s="70" t="s">
        <v>1617</v>
      </c>
      <c r="H178" s="93"/>
      <c r="I178" s="85">
        <f t="shared" si="5"/>
        <v>5.4771212547196626</v>
      </c>
      <c r="J178" s="85">
        <v>300000</v>
      </c>
      <c r="K178" s="131" t="s">
        <v>1345</v>
      </c>
      <c r="L178" s="61">
        <v>151</v>
      </c>
      <c r="M178" s="35"/>
    </row>
    <row r="179" spans="1:14" ht="42" x14ac:dyDescent="0.15">
      <c r="A179" s="173" t="s">
        <v>2481</v>
      </c>
      <c r="B179" s="93" t="s">
        <v>2078</v>
      </c>
      <c r="C179" s="62" t="s">
        <v>4905</v>
      </c>
      <c r="D179" s="62" t="s">
        <v>1992</v>
      </c>
      <c r="E179" s="62" t="s">
        <v>1705</v>
      </c>
      <c r="F179" s="70" t="s">
        <v>1510</v>
      </c>
      <c r="G179" s="70" t="s">
        <v>1328</v>
      </c>
      <c r="H179" s="93"/>
      <c r="I179" s="85">
        <f t="shared" si="5"/>
        <v>5</v>
      </c>
      <c r="J179" s="85">
        <v>100000</v>
      </c>
      <c r="K179" s="131" t="s">
        <v>1431</v>
      </c>
      <c r="L179" s="61">
        <v>151</v>
      </c>
      <c r="M179" s="35"/>
    </row>
    <row r="180" spans="1:14" ht="28" x14ac:dyDescent="0.15">
      <c r="A180" s="172" t="s">
        <v>2481</v>
      </c>
      <c r="B180" s="93" t="s">
        <v>2078</v>
      </c>
      <c r="C180" s="62" t="s">
        <v>4905</v>
      </c>
      <c r="D180" s="62" t="s">
        <v>1992</v>
      </c>
      <c r="E180" s="62" t="s">
        <v>7065</v>
      </c>
      <c r="F180" s="70" t="s">
        <v>4803</v>
      </c>
      <c r="G180" s="70" t="s">
        <v>5940</v>
      </c>
      <c r="H180" s="93"/>
      <c r="I180" s="85">
        <f t="shared" si="5"/>
        <v>4.3010299956639813</v>
      </c>
      <c r="J180" s="85">
        <v>20000</v>
      </c>
      <c r="K180" s="131" t="s">
        <v>1618</v>
      </c>
      <c r="L180" s="61">
        <v>151</v>
      </c>
      <c r="M180" s="35"/>
    </row>
    <row r="181" spans="1:14" ht="28" x14ac:dyDescent="0.15">
      <c r="A181" s="86" t="s">
        <v>2481</v>
      </c>
      <c r="B181" s="93" t="s">
        <v>2078</v>
      </c>
      <c r="C181" s="70" t="s">
        <v>4905</v>
      </c>
      <c r="D181" s="70" t="s">
        <v>1992</v>
      </c>
      <c r="E181" s="70" t="s">
        <v>7065</v>
      </c>
      <c r="F181" s="70" t="s">
        <v>2003</v>
      </c>
      <c r="G181" s="70" t="s">
        <v>5939</v>
      </c>
      <c r="H181" s="93"/>
      <c r="I181" s="85">
        <f t="shared" si="5"/>
        <v>4.4771212547196626</v>
      </c>
      <c r="J181" s="85">
        <v>30000</v>
      </c>
      <c r="K181" s="131" t="s">
        <v>1219</v>
      </c>
      <c r="L181" s="61">
        <v>151</v>
      </c>
      <c r="M181" s="35"/>
    </row>
    <row r="182" spans="1:14" ht="42" x14ac:dyDescent="0.15">
      <c r="A182" s="86" t="s">
        <v>2481</v>
      </c>
      <c r="B182" s="93" t="s">
        <v>2078</v>
      </c>
      <c r="C182" s="70" t="s">
        <v>4905</v>
      </c>
      <c r="D182" s="70" t="s">
        <v>1992</v>
      </c>
      <c r="E182" s="70" t="s">
        <v>7065</v>
      </c>
      <c r="F182" s="70" t="s">
        <v>2003</v>
      </c>
      <c r="G182" s="70" t="s">
        <v>6118</v>
      </c>
      <c r="H182" s="93"/>
      <c r="I182" s="85">
        <f t="shared" si="5"/>
        <v>4.6989700043360187</v>
      </c>
      <c r="J182" s="85">
        <v>50000</v>
      </c>
      <c r="K182" s="131" t="s">
        <v>1508</v>
      </c>
      <c r="L182" s="61">
        <v>151</v>
      </c>
      <c r="M182" s="35"/>
    </row>
    <row r="183" spans="1:14" ht="56" x14ac:dyDescent="0.15">
      <c r="A183" s="172" t="s">
        <v>2481</v>
      </c>
      <c r="B183" s="93" t="s">
        <v>2078</v>
      </c>
      <c r="C183" s="62" t="s">
        <v>4905</v>
      </c>
      <c r="D183" s="62" t="s">
        <v>1992</v>
      </c>
      <c r="E183" s="62" t="s">
        <v>7065</v>
      </c>
      <c r="F183" s="70" t="s">
        <v>2003</v>
      </c>
      <c r="G183" s="70" t="s">
        <v>1220</v>
      </c>
      <c r="H183" s="93"/>
      <c r="I183" s="85">
        <f t="shared" si="5"/>
        <v>4.8692317197309762</v>
      </c>
      <c r="J183" s="85">
        <v>74000</v>
      </c>
      <c r="K183" s="131" t="s">
        <v>6129</v>
      </c>
      <c r="L183" s="61">
        <v>151</v>
      </c>
      <c r="M183" s="35"/>
    </row>
    <row r="184" spans="1:14" ht="28" x14ac:dyDescent="0.15">
      <c r="A184" s="172" t="s">
        <v>2481</v>
      </c>
      <c r="B184" s="93" t="s">
        <v>2078</v>
      </c>
      <c r="C184" s="62" t="s">
        <v>4905</v>
      </c>
      <c r="D184" s="62" t="s">
        <v>1992</v>
      </c>
      <c r="E184" s="62" t="s">
        <v>7065</v>
      </c>
      <c r="F184" s="70" t="s">
        <v>7272</v>
      </c>
      <c r="G184" s="70" t="s">
        <v>1619</v>
      </c>
      <c r="H184" s="93"/>
      <c r="I184" s="85">
        <f t="shared" si="5"/>
        <v>3.2604291755779347</v>
      </c>
      <c r="J184" s="98">
        <f>AVERAGE(1750, 1893)</f>
        <v>1821.5</v>
      </c>
      <c r="K184" s="131" t="s">
        <v>1707</v>
      </c>
      <c r="L184" s="61">
        <v>151</v>
      </c>
      <c r="M184" s="35"/>
    </row>
    <row r="185" spans="1:14" ht="28" x14ac:dyDescent="0.15">
      <c r="A185" s="172" t="s">
        <v>2481</v>
      </c>
      <c r="B185" s="93" t="s">
        <v>2078</v>
      </c>
      <c r="C185" s="62" t="s">
        <v>4905</v>
      </c>
      <c r="D185" s="62" t="s">
        <v>1992</v>
      </c>
      <c r="E185" s="62" t="s">
        <v>7065</v>
      </c>
      <c r="F185" s="70" t="s">
        <v>7272</v>
      </c>
      <c r="G185" s="70" t="s">
        <v>6117</v>
      </c>
      <c r="H185" s="93"/>
      <c r="I185" s="85">
        <f t="shared" si="5"/>
        <v>3.7386220279179425</v>
      </c>
      <c r="J185" s="85">
        <f>AVERAGE(6618, 4338)</f>
        <v>5478</v>
      </c>
      <c r="K185" s="131" t="s">
        <v>1139</v>
      </c>
      <c r="L185" s="61">
        <v>151</v>
      </c>
      <c r="M185" s="35"/>
    </row>
    <row r="186" spans="1:14" ht="14" x14ac:dyDescent="0.15">
      <c r="A186" s="70" t="s">
        <v>2481</v>
      </c>
      <c r="B186" s="82" t="s">
        <v>2018</v>
      </c>
      <c r="C186" s="70" t="s">
        <v>4905</v>
      </c>
      <c r="D186" s="70" t="s">
        <v>7007</v>
      </c>
      <c r="E186" s="70" t="s">
        <v>6890</v>
      </c>
      <c r="F186" s="70" t="s">
        <v>6891</v>
      </c>
      <c r="G186" s="70" t="s">
        <v>5041</v>
      </c>
      <c r="H186" s="93"/>
      <c r="I186" s="85">
        <f t="shared" si="5"/>
        <v>5.4716583590181607</v>
      </c>
      <c r="J186" s="85">
        <v>296250</v>
      </c>
      <c r="K186" s="131" t="s">
        <v>1096</v>
      </c>
      <c r="L186" s="61" t="s">
        <v>5705</v>
      </c>
      <c r="M186" s="33"/>
    </row>
    <row r="187" spans="1:14" ht="14" x14ac:dyDescent="0.15">
      <c r="A187" s="70" t="s">
        <v>2481</v>
      </c>
      <c r="B187" s="93" t="s">
        <v>2480</v>
      </c>
      <c r="C187" s="88" t="s">
        <v>4905</v>
      </c>
      <c r="D187" s="70" t="s">
        <v>6983</v>
      </c>
      <c r="E187" s="70" t="s">
        <v>6034</v>
      </c>
      <c r="F187" s="70" t="s">
        <v>1389</v>
      </c>
      <c r="G187" s="70" t="s">
        <v>1390</v>
      </c>
      <c r="H187" s="93"/>
      <c r="I187" s="85">
        <f t="shared" si="5"/>
        <v>4.2304489213782741</v>
      </c>
      <c r="J187" s="98">
        <v>17000</v>
      </c>
      <c r="K187" s="131" t="s">
        <v>1466</v>
      </c>
      <c r="L187" s="61">
        <v>150</v>
      </c>
      <c r="M187" s="35"/>
    </row>
    <row r="188" spans="1:14" ht="42" x14ac:dyDescent="0.15">
      <c r="A188" s="70" t="s">
        <v>2481</v>
      </c>
      <c r="B188" s="93" t="s">
        <v>2480</v>
      </c>
      <c r="C188" s="70" t="s">
        <v>4905</v>
      </c>
      <c r="D188" s="70" t="s">
        <v>6983</v>
      </c>
      <c r="E188" s="70" t="s">
        <v>3384</v>
      </c>
      <c r="F188" s="70" t="s">
        <v>7844</v>
      </c>
      <c r="G188" s="70" t="s">
        <v>4519</v>
      </c>
      <c r="H188" s="93"/>
      <c r="I188" s="85">
        <f t="shared" si="5"/>
        <v>4</v>
      </c>
      <c r="J188" s="85">
        <v>10000</v>
      </c>
      <c r="K188" s="131" t="s">
        <v>1274</v>
      </c>
      <c r="L188" s="61">
        <v>150</v>
      </c>
      <c r="M188" s="37"/>
    </row>
    <row r="189" spans="1:14" ht="14" x14ac:dyDescent="0.15">
      <c r="A189" s="70" t="s">
        <v>2481</v>
      </c>
      <c r="B189" s="93" t="s">
        <v>2480</v>
      </c>
      <c r="C189" s="88" t="s">
        <v>4905</v>
      </c>
      <c r="D189" s="70" t="s">
        <v>6983</v>
      </c>
      <c r="E189" s="70" t="s">
        <v>1639</v>
      </c>
      <c r="F189" s="70" t="s">
        <v>2940</v>
      </c>
      <c r="G189" s="70" t="s">
        <v>1645</v>
      </c>
      <c r="H189" s="93"/>
      <c r="I189" s="85">
        <f t="shared" si="5"/>
        <v>5.3010299956639813</v>
      </c>
      <c r="J189" s="98">
        <v>200000</v>
      </c>
      <c r="K189" s="131" t="s">
        <v>1275</v>
      </c>
      <c r="L189" s="61">
        <v>150</v>
      </c>
      <c r="M189" s="35"/>
    </row>
    <row r="190" spans="1:14" ht="16" x14ac:dyDescent="0.2">
      <c r="A190" s="70" t="s">
        <v>2481</v>
      </c>
      <c r="B190" s="93" t="s">
        <v>2480</v>
      </c>
      <c r="C190" s="88" t="s">
        <v>4905</v>
      </c>
      <c r="D190" s="70" t="s">
        <v>6983</v>
      </c>
      <c r="E190" s="70" t="s">
        <v>1639</v>
      </c>
      <c r="F190" s="70" t="s">
        <v>1276</v>
      </c>
      <c r="G190" s="70" t="s">
        <v>2886</v>
      </c>
      <c r="H190" s="93"/>
      <c r="I190" s="85">
        <f t="shared" si="5"/>
        <v>4.1760912590556813</v>
      </c>
      <c r="J190" s="98">
        <v>15000</v>
      </c>
      <c r="K190" s="131"/>
      <c r="L190" s="61">
        <v>150</v>
      </c>
      <c r="M190" s="35"/>
      <c r="N190" s="48"/>
    </row>
    <row r="191" spans="1:14" ht="14" x14ac:dyDescent="0.15">
      <c r="A191" s="73" t="s">
        <v>2481</v>
      </c>
      <c r="B191" s="93" t="s">
        <v>2480</v>
      </c>
      <c r="C191" s="88" t="s">
        <v>4905</v>
      </c>
      <c r="D191" s="70" t="s">
        <v>6983</v>
      </c>
      <c r="E191" s="70" t="s">
        <v>1639</v>
      </c>
      <c r="F191" s="70" t="s">
        <v>2887</v>
      </c>
      <c r="G191" s="70" t="s">
        <v>1192</v>
      </c>
      <c r="H191" s="93"/>
      <c r="I191" s="85">
        <f t="shared" si="5"/>
        <v>4</v>
      </c>
      <c r="J191" s="98">
        <v>10000</v>
      </c>
      <c r="K191" s="131"/>
      <c r="L191" s="61">
        <v>150</v>
      </c>
      <c r="M191" s="35"/>
    </row>
    <row r="192" spans="1:14" ht="14" x14ac:dyDescent="0.15">
      <c r="A192" s="73" t="s">
        <v>2481</v>
      </c>
      <c r="B192" s="93" t="s">
        <v>2480</v>
      </c>
      <c r="C192" s="88" t="s">
        <v>4905</v>
      </c>
      <c r="D192" s="70" t="s">
        <v>6983</v>
      </c>
      <c r="E192" s="70" t="s">
        <v>1639</v>
      </c>
      <c r="F192" s="70" t="s">
        <v>2887</v>
      </c>
      <c r="G192" s="70" t="s">
        <v>2805</v>
      </c>
      <c r="H192" s="93"/>
      <c r="I192" s="85">
        <f t="shared" si="5"/>
        <v>4</v>
      </c>
      <c r="J192" s="98">
        <v>10000</v>
      </c>
      <c r="K192" s="131"/>
      <c r="L192" s="61">
        <v>150</v>
      </c>
      <c r="M192" s="35"/>
    </row>
    <row r="193" spans="1:26" ht="14" x14ac:dyDescent="0.15">
      <c r="A193" s="70" t="s">
        <v>2481</v>
      </c>
      <c r="B193" s="93" t="s">
        <v>2480</v>
      </c>
      <c r="C193" s="88" t="s">
        <v>4905</v>
      </c>
      <c r="D193" s="70" t="s">
        <v>6983</v>
      </c>
      <c r="E193" s="70" t="s">
        <v>1639</v>
      </c>
      <c r="F193" s="70" t="s">
        <v>2887</v>
      </c>
      <c r="G193" s="70" t="s">
        <v>2806</v>
      </c>
      <c r="H193" s="93"/>
      <c r="I193" s="85">
        <f t="shared" si="5"/>
        <v>4</v>
      </c>
      <c r="J193" s="98">
        <v>10000</v>
      </c>
      <c r="K193" s="131"/>
      <c r="L193" s="61">
        <v>150</v>
      </c>
      <c r="M193" s="35"/>
    </row>
    <row r="194" spans="1:26" ht="14" x14ac:dyDescent="0.15">
      <c r="A194" s="70" t="s">
        <v>2481</v>
      </c>
      <c r="B194" s="93" t="s">
        <v>2480</v>
      </c>
      <c r="C194" s="88" t="s">
        <v>4905</v>
      </c>
      <c r="D194" s="70" t="s">
        <v>6983</v>
      </c>
      <c r="E194" s="70" t="s">
        <v>1639</v>
      </c>
      <c r="F194" s="70" t="s">
        <v>2938</v>
      </c>
      <c r="G194" s="70" t="s">
        <v>2985</v>
      </c>
      <c r="H194" s="93"/>
      <c r="I194" s="85">
        <f t="shared" si="5"/>
        <v>4.6766936096248664</v>
      </c>
      <c r="J194" s="98">
        <v>47500</v>
      </c>
      <c r="K194" s="135"/>
      <c r="L194" s="61">
        <v>150</v>
      </c>
      <c r="M194" s="35"/>
    </row>
    <row r="195" spans="1:26" ht="14" x14ac:dyDescent="0.15">
      <c r="A195" s="166" t="s">
        <v>2481</v>
      </c>
      <c r="B195" s="93" t="s">
        <v>2480</v>
      </c>
      <c r="C195" s="88" t="s">
        <v>4905</v>
      </c>
      <c r="D195" s="70" t="s">
        <v>6983</v>
      </c>
      <c r="E195" s="70" t="s">
        <v>1639</v>
      </c>
      <c r="F195" s="70" t="s">
        <v>2938</v>
      </c>
      <c r="G195" s="70" t="s">
        <v>3249</v>
      </c>
      <c r="H195" s="93"/>
      <c r="I195" s="85">
        <f t="shared" si="5"/>
        <v>4.6766936096248664</v>
      </c>
      <c r="J195" s="98">
        <v>47500</v>
      </c>
      <c r="K195" s="131" t="s">
        <v>2939</v>
      </c>
      <c r="L195" s="61">
        <v>150</v>
      </c>
      <c r="M195" s="35"/>
    </row>
    <row r="196" spans="1:26" ht="14" x14ac:dyDescent="0.15">
      <c r="A196" s="70" t="s">
        <v>2481</v>
      </c>
      <c r="B196" s="93" t="s">
        <v>2281</v>
      </c>
      <c r="C196" s="70" t="s">
        <v>4905</v>
      </c>
      <c r="D196" s="70" t="s">
        <v>3437</v>
      </c>
      <c r="E196" s="70" t="s">
        <v>6221</v>
      </c>
      <c r="F196" s="70" t="s">
        <v>3371</v>
      </c>
      <c r="G196" s="70" t="s">
        <v>2969</v>
      </c>
      <c r="H196" s="93"/>
      <c r="I196" s="85">
        <v>-999</v>
      </c>
      <c r="J196" s="85">
        <v>-999</v>
      </c>
      <c r="K196" s="131" t="s">
        <v>3177</v>
      </c>
      <c r="L196" s="61">
        <v>-999</v>
      </c>
      <c r="M196" s="33"/>
    </row>
    <row r="197" spans="1:26" ht="28" x14ac:dyDescent="0.15">
      <c r="A197" s="70" t="s">
        <v>2481</v>
      </c>
      <c r="B197" s="93" t="s">
        <v>2480</v>
      </c>
      <c r="C197" s="88" t="s">
        <v>4905</v>
      </c>
      <c r="D197" s="70" t="s">
        <v>3437</v>
      </c>
      <c r="E197" s="70" t="s">
        <v>3457</v>
      </c>
      <c r="F197" s="70" t="s">
        <v>7927</v>
      </c>
      <c r="G197" s="70" t="s">
        <v>3608</v>
      </c>
      <c r="H197" s="93"/>
      <c r="I197" s="98">
        <v>-999</v>
      </c>
      <c r="J197" s="98">
        <v>-999</v>
      </c>
      <c r="K197" s="131" t="s">
        <v>1218</v>
      </c>
      <c r="L197" s="61">
        <v>150</v>
      </c>
      <c r="M197" s="35"/>
    </row>
    <row r="198" spans="1:26" ht="14" x14ac:dyDescent="0.15">
      <c r="A198" s="70" t="s">
        <v>2481</v>
      </c>
      <c r="B198" s="82" t="s">
        <v>4238</v>
      </c>
      <c r="C198" s="180" t="s">
        <v>8017</v>
      </c>
      <c r="D198" s="70" t="s">
        <v>3437</v>
      </c>
      <c r="E198" s="70" t="s">
        <v>3457</v>
      </c>
      <c r="F198" s="70" t="s">
        <v>2980</v>
      </c>
      <c r="G198" s="70" t="s">
        <v>5805</v>
      </c>
      <c r="H198" s="93"/>
      <c r="I198" s="85">
        <f>LOG(J198)</f>
        <v>2.5740312677277188</v>
      </c>
      <c r="J198" s="85">
        <v>375</v>
      </c>
      <c r="K198" s="131" t="s">
        <v>3177</v>
      </c>
      <c r="L198" s="61" t="s">
        <v>252</v>
      </c>
      <c r="M198" s="33" t="s">
        <v>6390</v>
      </c>
      <c r="N198" s="35"/>
    </row>
    <row r="199" spans="1:26" ht="28" x14ac:dyDescent="0.15">
      <c r="A199" s="70" t="s">
        <v>2481</v>
      </c>
      <c r="B199" s="93" t="s">
        <v>4619</v>
      </c>
      <c r="C199" s="70" t="s">
        <v>4905</v>
      </c>
      <c r="D199" s="70" t="s">
        <v>3437</v>
      </c>
      <c r="E199" s="70" t="s">
        <v>3457</v>
      </c>
      <c r="F199" s="70" t="s">
        <v>7374</v>
      </c>
      <c r="G199" s="70" t="s">
        <v>4998</v>
      </c>
      <c r="H199" s="93"/>
      <c r="I199" s="85">
        <v>-999</v>
      </c>
      <c r="J199" s="85">
        <v>-999</v>
      </c>
      <c r="K199" s="131" t="s">
        <v>3177</v>
      </c>
      <c r="L199" s="61">
        <v>-999</v>
      </c>
      <c r="M199" s="33"/>
    </row>
    <row r="200" spans="1:26" ht="14" x14ac:dyDescent="0.15">
      <c r="A200" s="73" t="s">
        <v>2481</v>
      </c>
      <c r="B200" s="93" t="s">
        <v>2933</v>
      </c>
      <c r="C200" s="70" t="s">
        <v>4905</v>
      </c>
      <c r="D200" s="70" t="s">
        <v>3437</v>
      </c>
      <c r="E200" s="70" t="s">
        <v>3457</v>
      </c>
      <c r="F200" s="70" t="s">
        <v>3557</v>
      </c>
      <c r="G200" s="70" t="s">
        <v>4466</v>
      </c>
      <c r="H200" s="93"/>
      <c r="I200" s="85">
        <f t="shared" ref="I200:I231" si="6">LOG(J200)</f>
        <v>3</v>
      </c>
      <c r="J200" s="85">
        <v>1000</v>
      </c>
      <c r="K200" s="131" t="s">
        <v>3177</v>
      </c>
      <c r="L200" s="61">
        <v>110</v>
      </c>
      <c r="M200" s="33" t="s">
        <v>4905</v>
      </c>
    </row>
    <row r="201" spans="1:26" x14ac:dyDescent="0.15">
      <c r="A201" s="86" t="s">
        <v>3635</v>
      </c>
      <c r="B201" s="87"/>
      <c r="C201" s="88" t="s">
        <v>4905</v>
      </c>
      <c r="D201" s="86" t="s">
        <v>3437</v>
      </c>
      <c r="E201" s="86" t="s">
        <v>3457</v>
      </c>
      <c r="F201" s="86" t="s">
        <v>7414</v>
      </c>
      <c r="G201" s="86" t="s">
        <v>5805</v>
      </c>
      <c r="H201" s="87"/>
      <c r="I201" s="85">
        <f t="shared" si="6"/>
        <v>1.3010299956639813</v>
      </c>
      <c r="J201" s="89">
        <v>20</v>
      </c>
      <c r="K201" s="132"/>
      <c r="L201" s="61">
        <v>25</v>
      </c>
      <c r="P201" s="51"/>
    </row>
    <row r="202" spans="1:26" s="222" customFormat="1" ht="14" x14ac:dyDescent="0.15">
      <c r="A202" s="211" t="s">
        <v>3635</v>
      </c>
      <c r="B202" s="212"/>
      <c r="C202" s="213" t="s">
        <v>4905</v>
      </c>
      <c r="D202" s="211" t="s">
        <v>3437</v>
      </c>
      <c r="E202" s="211" t="s">
        <v>3457</v>
      </c>
      <c r="F202" s="211" t="s">
        <v>2993</v>
      </c>
      <c r="G202" s="211" t="s">
        <v>2224</v>
      </c>
      <c r="H202" s="212"/>
      <c r="I202" s="214">
        <f t="shared" si="6"/>
        <v>1.3222192947339193</v>
      </c>
      <c r="J202" s="215">
        <v>21</v>
      </c>
      <c r="K202" s="216" t="s">
        <v>8016</v>
      </c>
      <c r="L202" s="217">
        <v>24</v>
      </c>
      <c r="M202" s="218"/>
      <c r="N202" s="218"/>
      <c r="O202" s="218"/>
      <c r="P202" s="219"/>
      <c r="Q202" s="220"/>
      <c r="R202" s="220"/>
      <c r="S202" s="220"/>
      <c r="T202" s="220"/>
      <c r="U202" s="220"/>
      <c r="V202" s="220"/>
      <c r="W202" s="220"/>
      <c r="X202" s="220"/>
      <c r="Y202" s="220"/>
      <c r="Z202" s="221"/>
    </row>
    <row r="203" spans="1:26" ht="16" x14ac:dyDescent="0.2">
      <c r="A203" s="86" t="s">
        <v>3635</v>
      </c>
      <c r="B203" s="87"/>
      <c r="C203" s="88" t="s">
        <v>4905</v>
      </c>
      <c r="D203" s="86" t="s">
        <v>3437</v>
      </c>
      <c r="E203" s="86" t="s">
        <v>3457</v>
      </c>
      <c r="F203" s="86" t="s">
        <v>2993</v>
      </c>
      <c r="G203" s="86" t="s">
        <v>5918</v>
      </c>
      <c r="H203" s="87"/>
      <c r="I203" s="85">
        <f t="shared" si="6"/>
        <v>1.5440680443502757</v>
      </c>
      <c r="J203" s="89">
        <v>35</v>
      </c>
      <c r="K203" s="132"/>
      <c r="L203" s="61">
        <v>25</v>
      </c>
      <c r="N203" s="48"/>
    </row>
    <row r="204" spans="1:26" x14ac:dyDescent="0.15">
      <c r="A204" s="86" t="s">
        <v>3635</v>
      </c>
      <c r="B204" s="87"/>
      <c r="C204" s="88" t="s">
        <v>4905</v>
      </c>
      <c r="D204" s="86" t="s">
        <v>3437</v>
      </c>
      <c r="E204" s="86" t="s">
        <v>3457</v>
      </c>
      <c r="F204" s="86" t="s">
        <v>7414</v>
      </c>
      <c r="G204" s="86" t="s">
        <v>3608</v>
      </c>
      <c r="H204" s="87"/>
      <c r="I204" s="85">
        <f t="shared" si="6"/>
        <v>1.7242758696007889</v>
      </c>
      <c r="J204" s="89">
        <v>53</v>
      </c>
      <c r="K204" s="132"/>
      <c r="L204" s="61">
        <v>28</v>
      </c>
    </row>
    <row r="205" spans="1:26" x14ac:dyDescent="0.15">
      <c r="A205" s="86" t="s">
        <v>3635</v>
      </c>
      <c r="B205" s="87"/>
      <c r="C205" s="88" t="s">
        <v>4905</v>
      </c>
      <c r="D205" s="86" t="s">
        <v>3437</v>
      </c>
      <c r="E205" s="86" t="s">
        <v>5334</v>
      </c>
      <c r="F205" s="86" t="s">
        <v>3357</v>
      </c>
      <c r="G205" s="86" t="s">
        <v>1908</v>
      </c>
      <c r="H205" s="87"/>
      <c r="I205" s="85">
        <f t="shared" si="6"/>
        <v>1.8750612633917001</v>
      </c>
      <c r="J205" s="89">
        <v>75</v>
      </c>
      <c r="K205" s="132"/>
      <c r="L205" s="61">
        <v>24</v>
      </c>
    </row>
    <row r="206" spans="1:26" x14ac:dyDescent="0.15">
      <c r="A206" s="86" t="s">
        <v>3635</v>
      </c>
      <c r="B206" s="87"/>
      <c r="C206" s="88" t="s">
        <v>4905</v>
      </c>
      <c r="D206" s="86" t="s">
        <v>3437</v>
      </c>
      <c r="E206" s="86" t="s">
        <v>5334</v>
      </c>
      <c r="F206" s="86" t="s">
        <v>3357</v>
      </c>
      <c r="G206" s="86" t="s">
        <v>3624</v>
      </c>
      <c r="H206" s="87"/>
      <c r="I206" s="85">
        <f t="shared" si="6"/>
        <v>1.9777236052888478</v>
      </c>
      <c r="J206" s="89">
        <v>95</v>
      </c>
      <c r="K206" s="132"/>
      <c r="L206" s="61">
        <v>25</v>
      </c>
    </row>
    <row r="207" spans="1:26" x14ac:dyDescent="0.15">
      <c r="A207" s="86" t="s">
        <v>3635</v>
      </c>
      <c r="B207" s="87"/>
      <c r="C207" s="88" t="s">
        <v>4905</v>
      </c>
      <c r="D207" s="86" t="s">
        <v>3437</v>
      </c>
      <c r="E207" s="86" t="s">
        <v>3258</v>
      </c>
      <c r="F207" s="86" t="s">
        <v>2926</v>
      </c>
      <c r="G207" s="86" t="s">
        <v>2226</v>
      </c>
      <c r="H207" s="87"/>
      <c r="I207" s="85">
        <f t="shared" si="6"/>
        <v>2.1553360374650619</v>
      </c>
      <c r="J207" s="89">
        <v>143</v>
      </c>
      <c r="K207" s="132"/>
      <c r="L207" s="61">
        <v>28</v>
      </c>
    </row>
    <row r="208" spans="1:26" x14ac:dyDescent="0.15">
      <c r="A208" s="86" t="s">
        <v>3635</v>
      </c>
      <c r="B208" s="87"/>
      <c r="C208" s="88" t="s">
        <v>4905</v>
      </c>
      <c r="D208" s="86" t="s">
        <v>3437</v>
      </c>
      <c r="E208" s="86" t="s">
        <v>3457</v>
      </c>
      <c r="F208" s="86" t="s">
        <v>4046</v>
      </c>
      <c r="G208" s="86" t="s">
        <v>2225</v>
      </c>
      <c r="H208" s="87"/>
      <c r="I208" s="85">
        <f t="shared" si="6"/>
        <v>2.3010299956639813</v>
      </c>
      <c r="J208" s="89">
        <v>200</v>
      </c>
      <c r="K208" s="132"/>
      <c r="L208" s="61">
        <v>25</v>
      </c>
    </row>
    <row r="209" spans="1:26" x14ac:dyDescent="0.15">
      <c r="A209" s="86" t="s">
        <v>3635</v>
      </c>
      <c r="B209" s="87"/>
      <c r="C209" s="88" t="s">
        <v>4905</v>
      </c>
      <c r="D209" s="86" t="s">
        <v>7077</v>
      </c>
      <c r="E209" s="70" t="s">
        <v>7078</v>
      </c>
      <c r="F209" s="86" t="s">
        <v>2002</v>
      </c>
      <c r="G209" s="86" t="s">
        <v>4027</v>
      </c>
      <c r="H209" s="87"/>
      <c r="I209" s="85">
        <f t="shared" si="6"/>
        <v>2.5440680443502757</v>
      </c>
      <c r="J209" s="89">
        <v>350</v>
      </c>
      <c r="K209" s="132"/>
      <c r="L209" s="61">
        <v>28</v>
      </c>
    </row>
    <row r="210" spans="1:26" x14ac:dyDescent="0.15">
      <c r="A210" s="86" t="s">
        <v>3635</v>
      </c>
      <c r="B210" s="87"/>
      <c r="C210" s="88" t="s">
        <v>4905</v>
      </c>
      <c r="D210" s="86" t="s">
        <v>3437</v>
      </c>
      <c r="E210" s="86" t="s">
        <v>3258</v>
      </c>
      <c r="F210" s="86" t="s">
        <v>2778</v>
      </c>
      <c r="G210" s="86" t="s">
        <v>4428</v>
      </c>
      <c r="H210" s="87"/>
      <c r="I210" s="85">
        <f t="shared" si="6"/>
        <v>2.6937269489236471</v>
      </c>
      <c r="J210" s="89">
        <v>494</v>
      </c>
      <c r="K210" s="132"/>
      <c r="L210" s="61">
        <v>28</v>
      </c>
    </row>
    <row r="211" spans="1:26" x14ac:dyDescent="0.15">
      <c r="A211" s="86" t="s">
        <v>3635</v>
      </c>
      <c r="B211" s="87"/>
      <c r="C211" s="88" t="s">
        <v>4905</v>
      </c>
      <c r="D211" s="86" t="s">
        <v>3773</v>
      </c>
      <c r="E211" s="86" t="s">
        <v>2036</v>
      </c>
      <c r="F211" s="86" t="s">
        <v>2037</v>
      </c>
      <c r="G211" s="86" t="s">
        <v>6993</v>
      </c>
      <c r="H211" s="87"/>
      <c r="I211" s="85">
        <f t="shared" si="6"/>
        <v>3</v>
      </c>
      <c r="J211" s="89">
        <v>1000</v>
      </c>
      <c r="K211" s="132"/>
      <c r="L211" s="61">
        <v>24</v>
      </c>
    </row>
    <row r="212" spans="1:26" x14ac:dyDescent="0.15">
      <c r="A212" s="86" t="s">
        <v>3635</v>
      </c>
      <c r="B212" s="87"/>
      <c r="C212" s="88" t="s">
        <v>4905</v>
      </c>
      <c r="D212" s="86" t="s">
        <v>7077</v>
      </c>
      <c r="E212" s="70" t="s">
        <v>7078</v>
      </c>
      <c r="F212" s="86" t="s">
        <v>2002</v>
      </c>
      <c r="G212" s="86" t="s">
        <v>4271</v>
      </c>
      <c r="H212" s="87"/>
      <c r="I212" s="85">
        <f t="shared" si="6"/>
        <v>3.1760912590556813</v>
      </c>
      <c r="J212" s="89">
        <v>1500</v>
      </c>
      <c r="K212" s="132"/>
      <c r="L212" s="61" t="s">
        <v>4813</v>
      </c>
    </row>
    <row r="213" spans="1:26" s="222" customFormat="1" x14ac:dyDescent="0.15">
      <c r="A213" s="211" t="s">
        <v>3635</v>
      </c>
      <c r="B213" s="212"/>
      <c r="C213" s="213" t="s">
        <v>4905</v>
      </c>
      <c r="D213" s="211" t="s">
        <v>3773</v>
      </c>
      <c r="E213" s="211" t="s">
        <v>4076</v>
      </c>
      <c r="F213" s="211" t="s">
        <v>3647</v>
      </c>
      <c r="G213" s="211" t="s">
        <v>6359</v>
      </c>
      <c r="H213" s="212"/>
      <c r="I213" s="214">
        <f t="shared" si="6"/>
        <v>3.2900346113625178</v>
      </c>
      <c r="J213" s="215">
        <v>1950</v>
      </c>
      <c r="K213" s="216" t="e">
        <f xml:space="preserve"> Martest americana</f>
        <v>#NAME?</v>
      </c>
      <c r="L213" s="217">
        <v>28</v>
      </c>
      <c r="M213" s="218"/>
      <c r="N213" s="218"/>
      <c r="O213" s="218"/>
      <c r="P213" s="218"/>
      <c r="Q213" s="220"/>
      <c r="R213" s="220"/>
      <c r="S213" s="220"/>
      <c r="T213" s="220"/>
      <c r="U213" s="220"/>
      <c r="V213" s="220"/>
      <c r="W213" s="220"/>
      <c r="X213" s="220"/>
      <c r="Y213" s="220"/>
      <c r="Z213" s="221"/>
    </row>
    <row r="214" spans="1:26" x14ac:dyDescent="0.15">
      <c r="A214" s="86" t="s">
        <v>3635</v>
      </c>
      <c r="B214" s="87"/>
      <c r="C214" s="88" t="s">
        <v>4905</v>
      </c>
      <c r="D214" s="86" t="s">
        <v>7077</v>
      </c>
      <c r="E214" s="70" t="s">
        <v>7078</v>
      </c>
      <c r="F214" s="86" t="s">
        <v>4270</v>
      </c>
      <c r="G214" s="86" t="s">
        <v>4218</v>
      </c>
      <c r="H214" s="87"/>
      <c r="I214" s="85">
        <f t="shared" si="6"/>
        <v>3.3010299956639813</v>
      </c>
      <c r="J214" s="89">
        <v>2000</v>
      </c>
      <c r="K214" s="132"/>
      <c r="L214" s="61">
        <v>23</v>
      </c>
    </row>
    <row r="215" spans="1:26" x14ac:dyDescent="0.15">
      <c r="A215" s="86" t="s">
        <v>3635</v>
      </c>
      <c r="B215" s="87"/>
      <c r="C215" s="88" t="s">
        <v>4905</v>
      </c>
      <c r="D215" s="86" t="s">
        <v>3773</v>
      </c>
      <c r="E215" s="86" t="s">
        <v>4076</v>
      </c>
      <c r="F215" s="86" t="s">
        <v>6991</v>
      </c>
      <c r="G215" s="86" t="s">
        <v>6992</v>
      </c>
      <c r="H215" s="87"/>
      <c r="I215" s="85">
        <f t="shared" si="6"/>
        <v>3.6532125137753435</v>
      </c>
      <c r="J215" s="89">
        <v>4500</v>
      </c>
      <c r="K215" s="132"/>
      <c r="L215" s="61" t="s">
        <v>1041</v>
      </c>
    </row>
    <row r="216" spans="1:26" x14ac:dyDescent="0.15">
      <c r="A216" s="86" t="s">
        <v>3635</v>
      </c>
      <c r="B216" s="87"/>
      <c r="C216" s="88" t="s">
        <v>4905</v>
      </c>
      <c r="D216" s="86" t="s">
        <v>3773</v>
      </c>
      <c r="E216" s="86" t="s">
        <v>7053</v>
      </c>
      <c r="F216" s="86" t="s">
        <v>4656</v>
      </c>
      <c r="G216" s="86" t="s">
        <v>6808</v>
      </c>
      <c r="H216" s="87"/>
      <c r="I216" s="85">
        <f t="shared" si="6"/>
        <v>3.6989700043360187</v>
      </c>
      <c r="J216" s="89">
        <v>5000</v>
      </c>
      <c r="K216" s="132"/>
      <c r="L216" s="61">
        <v>31</v>
      </c>
    </row>
    <row r="217" spans="1:26" x14ac:dyDescent="0.15">
      <c r="A217" s="86" t="s">
        <v>3635</v>
      </c>
      <c r="B217" s="87"/>
      <c r="C217" s="88" t="s">
        <v>4905</v>
      </c>
      <c r="D217" s="86" t="s">
        <v>2837</v>
      </c>
      <c r="E217" s="86" t="s">
        <v>3022</v>
      </c>
      <c r="F217" s="86" t="s">
        <v>2237</v>
      </c>
      <c r="G217" s="86" t="s">
        <v>2913</v>
      </c>
      <c r="H217" s="87"/>
      <c r="I217" s="85">
        <f t="shared" si="6"/>
        <v>4</v>
      </c>
      <c r="J217" s="89">
        <v>10000</v>
      </c>
      <c r="K217" s="132"/>
      <c r="L217" s="61" t="s">
        <v>7069</v>
      </c>
    </row>
    <row r="218" spans="1:26" x14ac:dyDescent="0.15">
      <c r="A218" s="86" t="s">
        <v>3635</v>
      </c>
      <c r="B218" s="87"/>
      <c r="C218" s="88" t="s">
        <v>4905</v>
      </c>
      <c r="D218" s="86" t="s">
        <v>2837</v>
      </c>
      <c r="E218" s="86" t="s">
        <v>3022</v>
      </c>
      <c r="F218" s="86" t="s">
        <v>2237</v>
      </c>
      <c r="G218" s="86" t="s">
        <v>4194</v>
      </c>
      <c r="H218" s="87"/>
      <c r="I218" s="85">
        <f t="shared" si="6"/>
        <v>4.1760912590556813</v>
      </c>
      <c r="J218" s="89">
        <v>15000</v>
      </c>
      <c r="K218" s="132"/>
      <c r="L218" s="61" t="s">
        <v>4813</v>
      </c>
    </row>
    <row r="219" spans="1:26" x14ac:dyDescent="0.15">
      <c r="A219" s="86" t="s">
        <v>3635</v>
      </c>
      <c r="B219" s="87"/>
      <c r="C219" s="88" t="s">
        <v>4905</v>
      </c>
      <c r="D219" s="86" t="s">
        <v>3773</v>
      </c>
      <c r="E219" s="86" t="s">
        <v>3774</v>
      </c>
      <c r="F219" s="86" t="s">
        <v>5769</v>
      </c>
      <c r="G219" s="86" t="s">
        <v>2927</v>
      </c>
      <c r="H219" s="87"/>
      <c r="I219" s="85">
        <f t="shared" si="6"/>
        <v>4.2304489213782741</v>
      </c>
      <c r="J219" s="89">
        <v>17000</v>
      </c>
      <c r="K219" s="132"/>
      <c r="L219" s="61" t="s">
        <v>1041</v>
      </c>
    </row>
    <row r="220" spans="1:26" x14ac:dyDescent="0.15">
      <c r="A220" s="86" t="s">
        <v>3635</v>
      </c>
      <c r="B220" s="87"/>
      <c r="C220" s="88" t="s">
        <v>4905</v>
      </c>
      <c r="D220" s="86" t="s">
        <v>6172</v>
      </c>
      <c r="E220" s="86" t="s">
        <v>6346</v>
      </c>
      <c r="F220" s="86" t="s">
        <v>3320</v>
      </c>
      <c r="G220" s="86" t="s">
        <v>3940</v>
      </c>
      <c r="H220" s="87"/>
      <c r="I220" s="85">
        <f t="shared" si="6"/>
        <v>4.653212513775344</v>
      </c>
      <c r="J220" s="89">
        <v>45000</v>
      </c>
      <c r="K220" s="132"/>
      <c r="L220" s="62" t="s">
        <v>1041</v>
      </c>
    </row>
    <row r="221" spans="1:26" x14ac:dyDescent="0.15">
      <c r="A221" s="86" t="s">
        <v>3635</v>
      </c>
      <c r="B221" s="87"/>
      <c r="C221" s="88" t="s">
        <v>4905</v>
      </c>
      <c r="D221" s="86" t="s">
        <v>2837</v>
      </c>
      <c r="E221" s="86" t="s">
        <v>3178</v>
      </c>
      <c r="F221" s="86" t="s">
        <v>5897</v>
      </c>
      <c r="G221" s="86" t="s">
        <v>7120</v>
      </c>
      <c r="H221" s="87"/>
      <c r="I221" s="85">
        <f t="shared" si="6"/>
        <v>4.6989700043360187</v>
      </c>
      <c r="J221" s="89">
        <v>50000</v>
      </c>
      <c r="K221" s="132"/>
      <c r="L221" s="62" t="s">
        <v>1041</v>
      </c>
    </row>
    <row r="222" spans="1:26" x14ac:dyDescent="0.15">
      <c r="A222" s="86" t="s">
        <v>3635</v>
      </c>
      <c r="B222" s="87"/>
      <c r="C222" s="88" t="s">
        <v>4905</v>
      </c>
      <c r="D222" s="86" t="s">
        <v>2837</v>
      </c>
      <c r="E222" s="86" t="s">
        <v>3022</v>
      </c>
      <c r="F222" s="86" t="s">
        <v>7114</v>
      </c>
      <c r="G222" s="86" t="s">
        <v>7067</v>
      </c>
      <c r="H222" s="87"/>
      <c r="I222" s="85">
        <f t="shared" si="6"/>
        <v>4.7075701760979367</v>
      </c>
      <c r="J222" s="89">
        <v>51000</v>
      </c>
      <c r="K222" s="132"/>
      <c r="L222" s="61">
        <v>27</v>
      </c>
    </row>
    <row r="223" spans="1:26" x14ac:dyDescent="0.15">
      <c r="A223" s="86" t="s">
        <v>3635</v>
      </c>
      <c r="B223" s="87"/>
      <c r="C223" s="88" t="s">
        <v>4905</v>
      </c>
      <c r="D223" s="86" t="s">
        <v>2837</v>
      </c>
      <c r="E223" s="86" t="s">
        <v>3022</v>
      </c>
      <c r="F223" s="86" t="s">
        <v>7114</v>
      </c>
      <c r="G223" s="86" t="s">
        <v>7115</v>
      </c>
      <c r="H223" s="87"/>
      <c r="I223" s="85">
        <f t="shared" si="6"/>
        <v>4.7403626894942441</v>
      </c>
      <c r="J223" s="89">
        <v>55000</v>
      </c>
      <c r="K223" s="132"/>
      <c r="L223" s="62">
        <v>27</v>
      </c>
    </row>
    <row r="224" spans="1:26" x14ac:dyDescent="0.15">
      <c r="A224" s="86" t="s">
        <v>3635</v>
      </c>
      <c r="B224" s="87"/>
      <c r="C224" s="88" t="s">
        <v>4905</v>
      </c>
      <c r="D224" s="86" t="s">
        <v>2837</v>
      </c>
      <c r="E224" s="86" t="s">
        <v>3022</v>
      </c>
      <c r="F224" s="86" t="s">
        <v>4814</v>
      </c>
      <c r="G224" s="86" t="s">
        <v>4815</v>
      </c>
      <c r="H224" s="87"/>
      <c r="I224" s="85">
        <f t="shared" si="6"/>
        <v>4.7781512503836439</v>
      </c>
      <c r="J224" s="89">
        <v>60000</v>
      </c>
      <c r="K224" s="132"/>
      <c r="L224" s="62" t="s">
        <v>2095</v>
      </c>
    </row>
    <row r="225" spans="1:12" x14ac:dyDescent="0.15">
      <c r="A225" s="86" t="s">
        <v>3635</v>
      </c>
      <c r="B225" s="87"/>
      <c r="C225" s="88" t="s">
        <v>4905</v>
      </c>
      <c r="D225" s="86" t="s">
        <v>3437</v>
      </c>
      <c r="E225" s="86" t="s">
        <v>4870</v>
      </c>
      <c r="F225" s="86" t="s">
        <v>4875</v>
      </c>
      <c r="G225" s="86" t="s">
        <v>4876</v>
      </c>
      <c r="H225" s="87"/>
      <c r="I225" s="85">
        <f t="shared" si="6"/>
        <v>4.7781512503836439</v>
      </c>
      <c r="J225" s="89">
        <v>60000</v>
      </c>
      <c r="K225" s="132"/>
      <c r="L225" s="61" t="s">
        <v>7121</v>
      </c>
    </row>
    <row r="226" spans="1:12" x14ac:dyDescent="0.15">
      <c r="A226" s="167" t="s">
        <v>3635</v>
      </c>
      <c r="B226" s="87"/>
      <c r="C226" s="88" t="s">
        <v>4905</v>
      </c>
      <c r="D226" s="86" t="s">
        <v>3773</v>
      </c>
      <c r="E226" s="86" t="s">
        <v>3774</v>
      </c>
      <c r="F226" s="86" t="s">
        <v>3775</v>
      </c>
      <c r="G226" s="86" t="s">
        <v>7005</v>
      </c>
      <c r="H226" s="87"/>
      <c r="I226" s="85">
        <f t="shared" si="6"/>
        <v>4.8129133566428557</v>
      </c>
      <c r="J226" s="89">
        <v>65000</v>
      </c>
      <c r="K226" s="132"/>
      <c r="L226" s="61" t="s">
        <v>975</v>
      </c>
    </row>
    <row r="227" spans="1:12" x14ac:dyDescent="0.15">
      <c r="A227" s="86" t="s">
        <v>3635</v>
      </c>
      <c r="B227" s="87"/>
      <c r="C227" s="88" t="s">
        <v>4905</v>
      </c>
      <c r="D227" s="86" t="s">
        <v>3437</v>
      </c>
      <c r="E227" s="86" t="s">
        <v>4870</v>
      </c>
      <c r="F227" s="86" t="s">
        <v>4877</v>
      </c>
      <c r="G227" s="86" t="s">
        <v>4878</v>
      </c>
      <c r="H227" s="87"/>
      <c r="I227" s="85">
        <f t="shared" si="6"/>
        <v>4.8450980400142569</v>
      </c>
      <c r="J227" s="89">
        <v>70000</v>
      </c>
      <c r="K227" s="132"/>
      <c r="L227" s="61" t="s">
        <v>1775</v>
      </c>
    </row>
    <row r="228" spans="1:12" x14ac:dyDescent="0.15">
      <c r="A228" s="86" t="s">
        <v>3635</v>
      </c>
      <c r="B228" s="87"/>
      <c r="C228" s="88" t="s">
        <v>4905</v>
      </c>
      <c r="D228" s="86" t="s">
        <v>2837</v>
      </c>
      <c r="E228" s="86" t="s">
        <v>3178</v>
      </c>
      <c r="F228" s="86" t="s">
        <v>7193</v>
      </c>
      <c r="G228" s="86" t="s">
        <v>6149</v>
      </c>
      <c r="H228" s="87"/>
      <c r="I228" s="85">
        <f t="shared" si="6"/>
        <v>4.8750612633917001</v>
      </c>
      <c r="J228" s="89">
        <v>75000</v>
      </c>
      <c r="K228" s="132"/>
      <c r="L228" s="62" t="s">
        <v>1076</v>
      </c>
    </row>
    <row r="229" spans="1:12" x14ac:dyDescent="0.15">
      <c r="A229" s="86" t="s">
        <v>3635</v>
      </c>
      <c r="B229" s="87"/>
      <c r="C229" s="88" t="s">
        <v>4905</v>
      </c>
      <c r="D229" s="86" t="s">
        <v>2837</v>
      </c>
      <c r="E229" s="86" t="s">
        <v>4379</v>
      </c>
      <c r="F229" s="86" t="s">
        <v>7002</v>
      </c>
      <c r="G229" s="86" t="s">
        <v>4523</v>
      </c>
      <c r="H229" s="87"/>
      <c r="I229" s="85">
        <f t="shared" si="6"/>
        <v>4.8750612633917001</v>
      </c>
      <c r="J229" s="89">
        <v>75000</v>
      </c>
      <c r="K229" s="132"/>
      <c r="L229" s="61">
        <v>30</v>
      </c>
    </row>
    <row r="230" spans="1:12" x14ac:dyDescent="0.15">
      <c r="A230" s="86" t="s">
        <v>3635</v>
      </c>
      <c r="B230" s="87"/>
      <c r="C230" s="88" t="s">
        <v>4905</v>
      </c>
      <c r="D230" s="86" t="s">
        <v>2837</v>
      </c>
      <c r="E230" s="86" t="s">
        <v>7198</v>
      </c>
      <c r="F230" s="86" t="s">
        <v>4090</v>
      </c>
      <c r="G230" s="86" t="s">
        <v>2566</v>
      </c>
      <c r="H230" s="87"/>
      <c r="I230" s="85">
        <f t="shared" si="6"/>
        <v>4.9030899869919438</v>
      </c>
      <c r="J230" s="89">
        <v>80000</v>
      </c>
      <c r="K230" s="132"/>
      <c r="L230" s="61" t="s">
        <v>1785</v>
      </c>
    </row>
    <row r="231" spans="1:12" x14ac:dyDescent="0.15">
      <c r="A231" s="86" t="s">
        <v>3635</v>
      </c>
      <c r="B231" s="87"/>
      <c r="C231" s="88" t="s">
        <v>4905</v>
      </c>
      <c r="D231" s="86" t="s">
        <v>3773</v>
      </c>
      <c r="E231" s="86" t="s">
        <v>7053</v>
      </c>
      <c r="F231" s="86" t="s">
        <v>6806</v>
      </c>
      <c r="G231" s="86" t="s">
        <v>6807</v>
      </c>
      <c r="H231" s="87"/>
      <c r="I231" s="85">
        <f t="shared" si="6"/>
        <v>4.9444826721501682</v>
      </c>
      <c r="J231" s="89">
        <v>88000</v>
      </c>
      <c r="K231" s="132"/>
      <c r="L231" s="61">
        <v>31</v>
      </c>
    </row>
    <row r="232" spans="1:12" x14ac:dyDescent="0.15">
      <c r="A232" s="86" t="s">
        <v>3635</v>
      </c>
      <c r="B232" s="87"/>
      <c r="C232" s="88" t="s">
        <v>4905</v>
      </c>
      <c r="D232" s="86" t="s">
        <v>2837</v>
      </c>
      <c r="E232" s="86" t="s">
        <v>7198</v>
      </c>
      <c r="F232" s="86" t="s">
        <v>4064</v>
      </c>
      <c r="G232" s="86" t="s">
        <v>3412</v>
      </c>
      <c r="H232" s="87"/>
      <c r="I232" s="85">
        <f t="shared" ref="I232:I263" si="7">LOG(J232)</f>
        <v>5.0413926851582254</v>
      </c>
      <c r="J232" s="89">
        <v>110000</v>
      </c>
      <c r="K232" s="132"/>
      <c r="L232" s="62" t="s">
        <v>1777</v>
      </c>
    </row>
    <row r="233" spans="1:12" x14ac:dyDescent="0.15">
      <c r="A233" s="86" t="s">
        <v>3635</v>
      </c>
      <c r="B233" s="87"/>
      <c r="C233" s="88" t="s">
        <v>4905</v>
      </c>
      <c r="D233" s="86" t="s">
        <v>2837</v>
      </c>
      <c r="E233" s="86" t="s">
        <v>4379</v>
      </c>
      <c r="F233" s="86" t="s">
        <v>7003</v>
      </c>
      <c r="G233" s="86" t="s">
        <v>7004</v>
      </c>
      <c r="H233" s="87"/>
      <c r="I233" s="85">
        <f t="shared" si="7"/>
        <v>5.0413926851582254</v>
      </c>
      <c r="J233" s="89">
        <v>110000</v>
      </c>
      <c r="K233" s="132"/>
      <c r="L233" s="62" t="s">
        <v>1077</v>
      </c>
    </row>
    <row r="234" spans="1:12" x14ac:dyDescent="0.15">
      <c r="A234" s="86" t="s">
        <v>3635</v>
      </c>
      <c r="B234" s="87"/>
      <c r="C234" s="88" t="s">
        <v>4905</v>
      </c>
      <c r="D234" s="86" t="s">
        <v>3773</v>
      </c>
      <c r="E234" s="86" t="s">
        <v>7167</v>
      </c>
      <c r="F234" s="86" t="s">
        <v>4723</v>
      </c>
      <c r="G234" s="86" t="s">
        <v>2098</v>
      </c>
      <c r="H234" s="87"/>
      <c r="I234" s="85">
        <f t="shared" si="7"/>
        <v>5.1760912590556813</v>
      </c>
      <c r="J234" s="89">
        <v>150000</v>
      </c>
      <c r="K234" s="132"/>
      <c r="L234" s="61" t="s">
        <v>246</v>
      </c>
    </row>
    <row r="235" spans="1:12" x14ac:dyDescent="0.15">
      <c r="A235" s="86" t="s">
        <v>3635</v>
      </c>
      <c r="B235" s="87"/>
      <c r="C235" s="88" t="s">
        <v>4905</v>
      </c>
      <c r="D235" s="86" t="s">
        <v>3437</v>
      </c>
      <c r="E235" s="86" t="s">
        <v>6262</v>
      </c>
      <c r="F235" s="86" t="s">
        <v>2222</v>
      </c>
      <c r="G235" s="86" t="s">
        <v>5917</v>
      </c>
      <c r="H235" s="87"/>
      <c r="I235" s="85">
        <f t="shared" si="7"/>
        <v>5.1760912590556813</v>
      </c>
      <c r="J235" s="89">
        <v>150000</v>
      </c>
      <c r="K235" s="132"/>
      <c r="L235" s="61" t="s">
        <v>976</v>
      </c>
    </row>
    <row r="236" spans="1:12" x14ac:dyDescent="0.15">
      <c r="A236" s="86" t="s">
        <v>3635</v>
      </c>
      <c r="B236" s="87"/>
      <c r="C236" s="88" t="s">
        <v>4905</v>
      </c>
      <c r="D236" s="86" t="s">
        <v>2837</v>
      </c>
      <c r="E236" s="86" t="s">
        <v>3724</v>
      </c>
      <c r="F236" s="86" t="s">
        <v>7000</v>
      </c>
      <c r="G236" s="86" t="s">
        <v>7001</v>
      </c>
      <c r="H236" s="87"/>
      <c r="I236" s="85">
        <f t="shared" si="7"/>
        <v>5.1972805581256196</v>
      </c>
      <c r="J236" s="89">
        <v>157500</v>
      </c>
      <c r="K236" s="132"/>
      <c r="L236" s="62">
        <v>1</v>
      </c>
    </row>
    <row r="237" spans="1:12" x14ac:dyDescent="0.15">
      <c r="A237" s="86" t="s">
        <v>3635</v>
      </c>
      <c r="B237" s="87"/>
      <c r="C237" s="88" t="s">
        <v>4905</v>
      </c>
      <c r="D237" s="86" t="s">
        <v>3773</v>
      </c>
      <c r="E237" s="86" t="s">
        <v>7053</v>
      </c>
      <c r="F237" s="86" t="s">
        <v>6850</v>
      </c>
      <c r="G237" s="86" t="s">
        <v>6797</v>
      </c>
      <c r="H237" s="87"/>
      <c r="I237" s="85">
        <f t="shared" si="7"/>
        <v>5.2764618041732438</v>
      </c>
      <c r="J237" s="89">
        <v>189000</v>
      </c>
      <c r="K237" s="132"/>
      <c r="L237" s="61">
        <v>35</v>
      </c>
    </row>
    <row r="238" spans="1:12" x14ac:dyDescent="0.15">
      <c r="A238" s="86" t="s">
        <v>3635</v>
      </c>
      <c r="B238" s="87"/>
      <c r="C238" s="88" t="s">
        <v>4905</v>
      </c>
      <c r="D238" s="86" t="s">
        <v>2837</v>
      </c>
      <c r="E238" s="86" t="s">
        <v>3724</v>
      </c>
      <c r="F238" s="86" t="s">
        <v>2245</v>
      </c>
      <c r="G238" s="86" t="s">
        <v>2246</v>
      </c>
      <c r="H238" s="87"/>
      <c r="I238" s="85">
        <f t="shared" si="7"/>
        <v>5.3979400086720375</v>
      </c>
      <c r="J238" s="89">
        <v>250000</v>
      </c>
      <c r="K238" s="132"/>
      <c r="L238" s="62" t="s">
        <v>1774</v>
      </c>
    </row>
    <row r="239" spans="1:12" x14ac:dyDescent="0.15">
      <c r="A239" s="86" t="s">
        <v>3635</v>
      </c>
      <c r="B239" s="87"/>
      <c r="C239" s="88" t="s">
        <v>4905</v>
      </c>
      <c r="D239" s="86" t="s">
        <v>7007</v>
      </c>
      <c r="E239" s="86" t="s">
        <v>2446</v>
      </c>
      <c r="F239" s="86" t="s">
        <v>2447</v>
      </c>
      <c r="G239" s="86" t="s">
        <v>2449</v>
      </c>
      <c r="H239" s="87"/>
      <c r="I239" s="85">
        <f t="shared" si="7"/>
        <v>5.3979400086720375</v>
      </c>
      <c r="J239" s="89">
        <v>250000</v>
      </c>
      <c r="K239" s="132"/>
      <c r="L239" s="61">
        <v>28</v>
      </c>
    </row>
    <row r="240" spans="1:12" x14ac:dyDescent="0.15">
      <c r="A240" s="86" t="s">
        <v>3635</v>
      </c>
      <c r="B240" s="87"/>
      <c r="C240" s="88" t="s">
        <v>4905</v>
      </c>
      <c r="D240" s="86" t="s">
        <v>7007</v>
      </c>
      <c r="E240" s="86" t="s">
        <v>2446</v>
      </c>
      <c r="F240" s="86" t="s">
        <v>2447</v>
      </c>
      <c r="G240" s="86" t="s">
        <v>4154</v>
      </c>
      <c r="H240" s="87"/>
      <c r="I240" s="85">
        <f t="shared" si="7"/>
        <v>5.3979400086720375</v>
      </c>
      <c r="J240" s="89">
        <v>250000</v>
      </c>
      <c r="K240" s="132"/>
      <c r="L240" s="61" t="s">
        <v>1251</v>
      </c>
    </row>
    <row r="241" spans="1:12" x14ac:dyDescent="0.15">
      <c r="A241" s="86" t="s">
        <v>3635</v>
      </c>
      <c r="B241" s="87"/>
      <c r="C241" s="88" t="s">
        <v>4905</v>
      </c>
      <c r="D241" s="86" t="s">
        <v>6172</v>
      </c>
      <c r="E241" s="86" t="s">
        <v>6346</v>
      </c>
      <c r="F241" s="86" t="s">
        <v>2227</v>
      </c>
      <c r="G241" s="86" t="s">
        <v>5737</v>
      </c>
      <c r="H241" s="87"/>
      <c r="I241" s="85">
        <f t="shared" si="7"/>
        <v>5.3979400086720375</v>
      </c>
      <c r="J241" s="89">
        <v>250000</v>
      </c>
      <c r="K241" s="132"/>
      <c r="L241" s="62" t="s">
        <v>1044</v>
      </c>
    </row>
    <row r="242" spans="1:12" x14ac:dyDescent="0.15">
      <c r="A242" s="86" t="s">
        <v>3635</v>
      </c>
      <c r="B242" s="87"/>
      <c r="C242" s="88" t="s">
        <v>4905</v>
      </c>
      <c r="D242" s="86" t="s">
        <v>7007</v>
      </c>
      <c r="E242" s="86" t="s">
        <v>2446</v>
      </c>
      <c r="F242" s="86" t="s">
        <v>2447</v>
      </c>
      <c r="G242" s="86" t="s">
        <v>6867</v>
      </c>
      <c r="H242" s="87"/>
      <c r="I242" s="85">
        <f t="shared" si="7"/>
        <v>5.4132997640812519</v>
      </c>
      <c r="J242" s="89">
        <v>259000</v>
      </c>
      <c r="K242" s="132"/>
      <c r="L242" s="61">
        <v>28</v>
      </c>
    </row>
    <row r="243" spans="1:12" x14ac:dyDescent="0.15">
      <c r="A243" s="86" t="s">
        <v>3635</v>
      </c>
      <c r="B243" s="87"/>
      <c r="C243" s="88" t="s">
        <v>4905</v>
      </c>
      <c r="D243" s="86" t="s">
        <v>7007</v>
      </c>
      <c r="E243" s="86" t="s">
        <v>6890</v>
      </c>
      <c r="F243" s="86" t="s">
        <v>6891</v>
      </c>
      <c r="G243" s="86" t="s">
        <v>6864</v>
      </c>
      <c r="H243" s="87"/>
      <c r="I243" s="85">
        <f t="shared" si="7"/>
        <v>5.4393326938302629</v>
      </c>
      <c r="J243" s="89">
        <v>275000</v>
      </c>
      <c r="K243" s="132"/>
      <c r="L243" s="61" t="s">
        <v>4812</v>
      </c>
    </row>
    <row r="244" spans="1:12" x14ac:dyDescent="0.15">
      <c r="A244" s="86" t="s">
        <v>3635</v>
      </c>
      <c r="B244" s="87"/>
      <c r="C244" s="88" t="s">
        <v>4905</v>
      </c>
      <c r="D244" s="86" t="s">
        <v>2837</v>
      </c>
      <c r="E244" s="86" t="s">
        <v>3178</v>
      </c>
      <c r="F244" s="86" t="s">
        <v>7153</v>
      </c>
      <c r="G244" s="86" t="s">
        <v>4383</v>
      </c>
      <c r="H244" s="87"/>
      <c r="I244" s="85">
        <f t="shared" si="7"/>
        <v>5.4771212547196626</v>
      </c>
      <c r="J244" s="89">
        <v>300000</v>
      </c>
      <c r="K244" s="132"/>
      <c r="L244" s="62" t="s">
        <v>4812</v>
      </c>
    </row>
    <row r="245" spans="1:12" x14ac:dyDescent="0.15">
      <c r="A245" s="86" t="s">
        <v>3635</v>
      </c>
      <c r="B245" s="87"/>
      <c r="C245" s="88" t="s">
        <v>4905</v>
      </c>
      <c r="D245" s="86" t="s">
        <v>3773</v>
      </c>
      <c r="E245" s="86" t="s">
        <v>7167</v>
      </c>
      <c r="F245" s="86" t="s">
        <v>6994</v>
      </c>
      <c r="G245" s="86" t="s">
        <v>6995</v>
      </c>
      <c r="H245" s="87"/>
      <c r="I245" s="85">
        <f t="shared" si="7"/>
        <v>5.4771212547196626</v>
      </c>
      <c r="J245" s="89">
        <v>300000</v>
      </c>
      <c r="K245" s="132"/>
      <c r="L245" s="61" t="s">
        <v>1043</v>
      </c>
    </row>
    <row r="246" spans="1:12" x14ac:dyDescent="0.15">
      <c r="A246" s="86" t="s">
        <v>3635</v>
      </c>
      <c r="B246" s="87"/>
      <c r="C246" s="88" t="s">
        <v>4905</v>
      </c>
      <c r="D246" s="86" t="s">
        <v>6172</v>
      </c>
      <c r="E246" s="86" t="s">
        <v>2259</v>
      </c>
      <c r="F246" s="86" t="s">
        <v>2304</v>
      </c>
      <c r="G246" s="86" t="s">
        <v>7021</v>
      </c>
      <c r="H246" s="87"/>
      <c r="I246" s="85">
        <f t="shared" si="7"/>
        <v>5.4771212547196626</v>
      </c>
      <c r="J246" s="89">
        <v>300000</v>
      </c>
      <c r="K246" s="132"/>
      <c r="L246" s="62" t="s">
        <v>1776</v>
      </c>
    </row>
    <row r="247" spans="1:12" x14ac:dyDescent="0.15">
      <c r="A247" s="86" t="s">
        <v>3635</v>
      </c>
      <c r="B247" s="87"/>
      <c r="C247" s="88" t="s">
        <v>4905</v>
      </c>
      <c r="D247" s="86" t="s">
        <v>7007</v>
      </c>
      <c r="E247" s="86" t="s">
        <v>2446</v>
      </c>
      <c r="F247" s="86" t="s">
        <v>2447</v>
      </c>
      <c r="G247" s="86" t="s">
        <v>5763</v>
      </c>
      <c r="H247" s="87"/>
      <c r="I247" s="85">
        <f t="shared" si="7"/>
        <v>5.4857214264815797</v>
      </c>
      <c r="J247" s="89">
        <v>306000</v>
      </c>
      <c r="K247" s="132"/>
      <c r="L247" s="61" t="s">
        <v>1249</v>
      </c>
    </row>
    <row r="248" spans="1:12" x14ac:dyDescent="0.15">
      <c r="A248" s="86" t="s">
        <v>3635</v>
      </c>
      <c r="B248" s="87"/>
      <c r="C248" s="88" t="s">
        <v>4905</v>
      </c>
      <c r="D248" s="86" t="s">
        <v>7007</v>
      </c>
      <c r="E248" s="86" t="s">
        <v>6890</v>
      </c>
      <c r="F248" s="86" t="s">
        <v>6891</v>
      </c>
      <c r="G248" s="86" t="s">
        <v>2611</v>
      </c>
      <c r="H248" s="87"/>
      <c r="I248" s="85">
        <f t="shared" si="7"/>
        <v>5.5010592622177512</v>
      </c>
      <c r="J248" s="89">
        <v>317000</v>
      </c>
      <c r="K248" s="132"/>
      <c r="L248" s="61" t="s">
        <v>1785</v>
      </c>
    </row>
    <row r="249" spans="1:12" x14ac:dyDescent="0.15">
      <c r="A249" s="86" t="s">
        <v>3635</v>
      </c>
      <c r="B249" s="87"/>
      <c r="C249" s="88" t="s">
        <v>4905</v>
      </c>
      <c r="D249" s="86" t="s">
        <v>7007</v>
      </c>
      <c r="E249" s="86" t="s">
        <v>2446</v>
      </c>
      <c r="F249" s="86" t="s">
        <v>2447</v>
      </c>
      <c r="G249" s="86" t="s">
        <v>2610</v>
      </c>
      <c r="H249" s="87"/>
      <c r="I249" s="85">
        <f t="shared" si="7"/>
        <v>5.5237464668115646</v>
      </c>
      <c r="J249" s="89">
        <v>334000</v>
      </c>
      <c r="K249" s="132"/>
      <c r="L249" s="61">
        <v>28</v>
      </c>
    </row>
    <row r="250" spans="1:12" x14ac:dyDescent="0.15">
      <c r="A250" s="86" t="s">
        <v>3635</v>
      </c>
      <c r="B250" s="87"/>
      <c r="C250" s="88" t="s">
        <v>4905</v>
      </c>
      <c r="D250" s="86" t="s">
        <v>7007</v>
      </c>
      <c r="E250" s="86" t="s">
        <v>2446</v>
      </c>
      <c r="F250" s="86" t="s">
        <v>2447</v>
      </c>
      <c r="G250" s="86" t="s">
        <v>2609</v>
      </c>
      <c r="H250" s="87"/>
      <c r="I250" s="85">
        <f t="shared" si="7"/>
        <v>5.5705429398818973</v>
      </c>
      <c r="J250" s="89">
        <v>372000</v>
      </c>
      <c r="K250" s="132"/>
      <c r="L250" s="61">
        <v>8</v>
      </c>
    </row>
    <row r="251" spans="1:12" x14ac:dyDescent="0.15">
      <c r="A251" s="86" t="s">
        <v>3635</v>
      </c>
      <c r="B251" s="87"/>
      <c r="C251" s="88" t="s">
        <v>4905</v>
      </c>
      <c r="D251" s="86" t="s">
        <v>2837</v>
      </c>
      <c r="E251" s="86" t="s">
        <v>3178</v>
      </c>
      <c r="F251" s="86" t="s">
        <v>7122</v>
      </c>
      <c r="G251" s="86" t="s">
        <v>7079</v>
      </c>
      <c r="H251" s="87"/>
      <c r="I251" s="85">
        <f t="shared" si="7"/>
        <v>5.6020599913279625</v>
      </c>
      <c r="J251" s="89">
        <v>400000</v>
      </c>
      <c r="K251" s="132"/>
      <c r="L251" s="62" t="s">
        <v>922</v>
      </c>
    </row>
    <row r="252" spans="1:12" x14ac:dyDescent="0.15">
      <c r="A252" s="86" t="s">
        <v>3635</v>
      </c>
      <c r="B252" s="87"/>
      <c r="C252" s="88" t="s">
        <v>4905</v>
      </c>
      <c r="D252" s="86" t="s">
        <v>3773</v>
      </c>
      <c r="E252" s="86" t="s">
        <v>7053</v>
      </c>
      <c r="F252" s="86" t="s">
        <v>6999</v>
      </c>
      <c r="G252" s="86" t="s">
        <v>6990</v>
      </c>
      <c r="H252" s="87"/>
      <c r="I252" s="85">
        <f t="shared" si="7"/>
        <v>5.6020599913279625</v>
      </c>
      <c r="J252" s="89">
        <v>400000</v>
      </c>
      <c r="K252" s="132"/>
      <c r="L252" s="61">
        <v>31</v>
      </c>
    </row>
    <row r="253" spans="1:12" x14ac:dyDescent="0.15">
      <c r="A253" s="86" t="s">
        <v>3635</v>
      </c>
      <c r="B253" s="87"/>
      <c r="C253" s="88" t="s">
        <v>4905</v>
      </c>
      <c r="D253" s="86" t="s">
        <v>7007</v>
      </c>
      <c r="E253" s="86" t="s">
        <v>2446</v>
      </c>
      <c r="F253" s="86" t="s">
        <v>2447</v>
      </c>
      <c r="G253" s="86" t="s">
        <v>5762</v>
      </c>
      <c r="H253" s="87"/>
      <c r="I253" s="85">
        <f t="shared" si="7"/>
        <v>5.6020599913279625</v>
      </c>
      <c r="J253" s="89">
        <v>400000</v>
      </c>
      <c r="K253" s="132"/>
      <c r="L253" s="61">
        <v>35</v>
      </c>
    </row>
    <row r="254" spans="1:12" x14ac:dyDescent="0.15">
      <c r="A254" s="86" t="s">
        <v>3635</v>
      </c>
      <c r="B254" s="87"/>
      <c r="C254" s="88" t="s">
        <v>4905</v>
      </c>
      <c r="D254" s="86" t="s">
        <v>7007</v>
      </c>
      <c r="E254" s="86" t="s">
        <v>2446</v>
      </c>
      <c r="F254" s="86" t="s">
        <v>2447</v>
      </c>
      <c r="G254" s="86" t="s">
        <v>4074</v>
      </c>
      <c r="H254" s="87"/>
      <c r="I254" s="85">
        <f t="shared" si="7"/>
        <v>5.6020599913279625</v>
      </c>
      <c r="J254" s="89">
        <v>400000</v>
      </c>
      <c r="K254" s="132"/>
      <c r="L254" s="61" t="s">
        <v>1250</v>
      </c>
    </row>
    <row r="255" spans="1:12" x14ac:dyDescent="0.15">
      <c r="A255" s="86" t="s">
        <v>3635</v>
      </c>
      <c r="B255" s="87"/>
      <c r="C255" s="88" t="s">
        <v>4905</v>
      </c>
      <c r="D255" s="86" t="s">
        <v>7007</v>
      </c>
      <c r="E255" s="86" t="s">
        <v>6890</v>
      </c>
      <c r="F255" s="86" t="s">
        <v>6891</v>
      </c>
      <c r="G255" s="86" t="s">
        <v>4223</v>
      </c>
      <c r="H255" s="87"/>
      <c r="I255" s="85">
        <f t="shared" si="7"/>
        <v>5.6020599913279625</v>
      </c>
      <c r="J255" s="89">
        <v>400000</v>
      </c>
      <c r="K255" s="132"/>
      <c r="L255" s="61" t="s">
        <v>291</v>
      </c>
    </row>
    <row r="256" spans="1:12" x14ac:dyDescent="0.15">
      <c r="A256" s="86" t="s">
        <v>3635</v>
      </c>
      <c r="B256" s="87"/>
      <c r="C256" s="88" t="s">
        <v>4905</v>
      </c>
      <c r="D256" s="86" t="s">
        <v>3773</v>
      </c>
      <c r="E256" s="86" t="s">
        <v>7053</v>
      </c>
      <c r="F256" s="86" t="s">
        <v>4677</v>
      </c>
      <c r="G256" s="86" t="s">
        <v>6798</v>
      </c>
      <c r="H256" s="87"/>
      <c r="I256" s="85">
        <f t="shared" si="7"/>
        <v>5.6366884479532828</v>
      </c>
      <c r="J256" s="89">
        <v>433200</v>
      </c>
      <c r="K256" s="132"/>
      <c r="L256" s="61">
        <v>31</v>
      </c>
    </row>
    <row r="257" spans="1:15" x14ac:dyDescent="0.15">
      <c r="A257" s="86" t="s">
        <v>3635</v>
      </c>
      <c r="B257" s="87"/>
      <c r="C257" s="88" t="s">
        <v>4905</v>
      </c>
      <c r="D257" s="86" t="s">
        <v>2837</v>
      </c>
      <c r="E257" s="86" t="s">
        <v>3178</v>
      </c>
      <c r="F257" s="86" t="s">
        <v>4063</v>
      </c>
      <c r="G257" s="86" t="s">
        <v>4811</v>
      </c>
      <c r="H257" s="87"/>
      <c r="I257" s="85">
        <f t="shared" si="7"/>
        <v>5.653212513775344</v>
      </c>
      <c r="J257" s="89">
        <v>450000</v>
      </c>
      <c r="K257" s="132"/>
      <c r="L257" s="62" t="s">
        <v>1772</v>
      </c>
    </row>
    <row r="258" spans="1:15" x14ac:dyDescent="0.15">
      <c r="A258" s="86" t="s">
        <v>3635</v>
      </c>
      <c r="B258" s="87"/>
      <c r="C258" s="88" t="s">
        <v>4905</v>
      </c>
      <c r="D258" s="86" t="s">
        <v>2837</v>
      </c>
      <c r="E258" s="86" t="s">
        <v>3178</v>
      </c>
      <c r="F258" s="86" t="s">
        <v>3885</v>
      </c>
      <c r="G258" s="86" t="s">
        <v>7809</v>
      </c>
      <c r="H258" s="87"/>
      <c r="I258" s="85">
        <f t="shared" si="7"/>
        <v>5.6989700043360187</v>
      </c>
      <c r="J258" s="89">
        <v>500000</v>
      </c>
      <c r="K258" s="132"/>
      <c r="L258" s="62" t="s">
        <v>4062</v>
      </c>
    </row>
    <row r="259" spans="1:15" x14ac:dyDescent="0.15">
      <c r="A259" s="86" t="s">
        <v>3635</v>
      </c>
      <c r="B259" s="87"/>
      <c r="C259" s="88" t="s">
        <v>4905</v>
      </c>
      <c r="D259" s="86" t="s">
        <v>7007</v>
      </c>
      <c r="E259" s="86" t="s">
        <v>2446</v>
      </c>
      <c r="F259" s="86" t="s">
        <v>2447</v>
      </c>
      <c r="G259" s="86" t="s">
        <v>5423</v>
      </c>
      <c r="H259" s="87"/>
      <c r="I259" s="85">
        <f t="shared" si="7"/>
        <v>5.7442929831226763</v>
      </c>
      <c r="J259" s="89">
        <v>555000</v>
      </c>
      <c r="K259" s="132"/>
      <c r="L259" s="61" t="s">
        <v>241</v>
      </c>
    </row>
    <row r="260" spans="1:15" x14ac:dyDescent="0.15">
      <c r="A260" s="86" t="s">
        <v>3635</v>
      </c>
      <c r="B260" s="87"/>
      <c r="C260" s="88" t="s">
        <v>4905</v>
      </c>
      <c r="D260" s="86" t="s">
        <v>7007</v>
      </c>
      <c r="E260" s="86" t="s">
        <v>2446</v>
      </c>
      <c r="F260" s="86" t="s">
        <v>2447</v>
      </c>
      <c r="G260" s="86" t="s">
        <v>4660</v>
      </c>
      <c r="H260" s="87"/>
      <c r="I260" s="85">
        <f t="shared" si="7"/>
        <v>5.7589118923979736</v>
      </c>
      <c r="J260" s="89">
        <v>574000</v>
      </c>
      <c r="K260" s="132"/>
      <c r="L260" s="61" t="s">
        <v>1249</v>
      </c>
    </row>
    <row r="261" spans="1:15" x14ac:dyDescent="0.15">
      <c r="A261" s="86" t="s">
        <v>3635</v>
      </c>
      <c r="B261" s="87"/>
      <c r="C261" s="88" t="s">
        <v>4905</v>
      </c>
      <c r="D261" s="86" t="s">
        <v>6172</v>
      </c>
      <c r="E261" s="86" t="s">
        <v>3151</v>
      </c>
      <c r="F261" s="86" t="s">
        <v>2642</v>
      </c>
      <c r="G261" s="86" t="s">
        <v>2173</v>
      </c>
      <c r="H261" s="87"/>
      <c r="I261" s="85">
        <f t="shared" si="7"/>
        <v>5.7781512503836439</v>
      </c>
      <c r="J261" s="89">
        <v>600000</v>
      </c>
      <c r="K261" s="132"/>
      <c r="L261" s="61" t="s">
        <v>1785</v>
      </c>
    </row>
    <row r="262" spans="1:15" x14ac:dyDescent="0.15">
      <c r="A262" s="86" t="s">
        <v>3635</v>
      </c>
      <c r="B262" s="87"/>
      <c r="C262" s="88" t="s">
        <v>4905</v>
      </c>
      <c r="D262" s="86" t="s">
        <v>2837</v>
      </c>
      <c r="E262" s="86" t="s">
        <v>3724</v>
      </c>
      <c r="F262" s="86" t="s">
        <v>2415</v>
      </c>
      <c r="G262" s="86" t="s">
        <v>5423</v>
      </c>
      <c r="H262" s="87"/>
      <c r="I262" s="85">
        <f t="shared" si="7"/>
        <v>5.8007170782823847</v>
      </c>
      <c r="J262" s="89">
        <v>632000</v>
      </c>
      <c r="K262" s="132"/>
      <c r="L262" s="62" t="s">
        <v>4812</v>
      </c>
    </row>
    <row r="263" spans="1:15" x14ac:dyDescent="0.15">
      <c r="A263" s="86" t="s">
        <v>3635</v>
      </c>
      <c r="B263" s="87"/>
      <c r="C263" s="88" t="s">
        <v>4905</v>
      </c>
      <c r="D263" s="86" t="s">
        <v>7007</v>
      </c>
      <c r="E263" s="86" t="s">
        <v>2446</v>
      </c>
      <c r="F263" s="86" t="s">
        <v>2447</v>
      </c>
      <c r="G263" s="86" t="s">
        <v>2608</v>
      </c>
      <c r="H263" s="87"/>
      <c r="I263" s="85">
        <f t="shared" si="7"/>
        <v>5.8115750058705933</v>
      </c>
      <c r="J263" s="89">
        <v>648000</v>
      </c>
      <c r="K263" s="132"/>
      <c r="L263" s="61">
        <v>8</v>
      </c>
    </row>
    <row r="264" spans="1:15" x14ac:dyDescent="0.15">
      <c r="A264" s="86" t="s">
        <v>3635</v>
      </c>
      <c r="B264" s="87"/>
      <c r="C264" s="88" t="s">
        <v>4905</v>
      </c>
      <c r="D264" s="86" t="s">
        <v>2837</v>
      </c>
      <c r="E264" s="86" t="s">
        <v>7198</v>
      </c>
      <c r="F264" s="86" t="s">
        <v>7080</v>
      </c>
      <c r="G264" s="86" t="s">
        <v>4055</v>
      </c>
      <c r="H264" s="87"/>
      <c r="I264" s="85">
        <f t="shared" ref="I264:I295" si="8">LOG(J264)</f>
        <v>5.8450980400142569</v>
      </c>
      <c r="J264" s="89">
        <v>700000</v>
      </c>
      <c r="K264" s="132"/>
      <c r="L264" s="61">
        <v>25</v>
      </c>
    </row>
    <row r="265" spans="1:15" x14ac:dyDescent="0.15">
      <c r="A265" s="86" t="s">
        <v>3635</v>
      </c>
      <c r="B265" s="87"/>
      <c r="C265" s="88" t="s">
        <v>4905</v>
      </c>
      <c r="D265" s="86" t="s">
        <v>3773</v>
      </c>
      <c r="E265" s="86" t="s">
        <v>7167</v>
      </c>
      <c r="F265" s="86" t="s">
        <v>6994</v>
      </c>
      <c r="G265" s="86" t="s">
        <v>7937</v>
      </c>
      <c r="H265" s="87"/>
      <c r="I265" s="85">
        <f t="shared" si="8"/>
        <v>5.8573324964312681</v>
      </c>
      <c r="J265" s="89">
        <v>720000</v>
      </c>
      <c r="K265" s="132"/>
      <c r="L265" s="61" t="s">
        <v>1044</v>
      </c>
      <c r="O265" s="36"/>
    </row>
    <row r="266" spans="1:15" x14ac:dyDescent="0.15">
      <c r="A266" s="86" t="s">
        <v>3635</v>
      </c>
      <c r="B266" s="87"/>
      <c r="C266" s="88" t="s">
        <v>4905</v>
      </c>
      <c r="D266" s="86" t="s">
        <v>2837</v>
      </c>
      <c r="E266" s="86" t="s">
        <v>3724</v>
      </c>
      <c r="F266" s="86" t="s">
        <v>4136</v>
      </c>
      <c r="G266" s="86" t="s">
        <v>4283</v>
      </c>
      <c r="H266" s="87"/>
      <c r="I266" s="85">
        <f t="shared" si="8"/>
        <v>5.9294189257142929</v>
      </c>
      <c r="J266" s="89">
        <v>850000</v>
      </c>
      <c r="K266" s="132"/>
      <c r="L266" s="62" t="s">
        <v>1041</v>
      </c>
    </row>
    <row r="267" spans="1:15" x14ac:dyDescent="0.15">
      <c r="A267" s="86" t="s">
        <v>3635</v>
      </c>
      <c r="B267" s="87"/>
      <c r="C267" s="88" t="s">
        <v>4905</v>
      </c>
      <c r="D267" s="86" t="s">
        <v>2837</v>
      </c>
      <c r="E267" s="86" t="s">
        <v>3178</v>
      </c>
      <c r="F267" s="86" t="s">
        <v>7191</v>
      </c>
      <c r="G267" s="86" t="s">
        <v>4283</v>
      </c>
      <c r="H267" s="87"/>
      <c r="I267" s="85">
        <f t="shared" si="8"/>
        <v>5.9542425094393252</v>
      </c>
      <c r="J267" s="89">
        <v>900000</v>
      </c>
      <c r="K267" s="132"/>
      <c r="L267" s="62">
        <v>58</v>
      </c>
    </row>
    <row r="268" spans="1:15" x14ac:dyDescent="0.15">
      <c r="A268" s="86" t="s">
        <v>3635</v>
      </c>
      <c r="B268" s="87"/>
      <c r="C268" s="88" t="s">
        <v>4905</v>
      </c>
      <c r="D268" s="86" t="s">
        <v>2837</v>
      </c>
      <c r="E268" s="86" t="s">
        <v>3178</v>
      </c>
      <c r="F268" s="86" t="s">
        <v>7191</v>
      </c>
      <c r="G268" s="86" t="s">
        <v>2127</v>
      </c>
      <c r="H268" s="87"/>
      <c r="I268" s="85">
        <f t="shared" si="8"/>
        <v>5.9542425094393252</v>
      </c>
      <c r="J268" s="89">
        <v>900000</v>
      </c>
      <c r="K268" s="132"/>
      <c r="L268" s="62" t="s">
        <v>1140</v>
      </c>
    </row>
    <row r="269" spans="1:15" x14ac:dyDescent="0.15">
      <c r="A269" s="86" t="s">
        <v>3635</v>
      </c>
      <c r="B269" s="87"/>
      <c r="C269" s="88" t="s">
        <v>4905</v>
      </c>
      <c r="D269" s="86" t="s">
        <v>2837</v>
      </c>
      <c r="E269" s="86" t="s">
        <v>7198</v>
      </c>
      <c r="F269" s="86" t="s">
        <v>7080</v>
      </c>
      <c r="G269" s="86" t="s">
        <v>4056</v>
      </c>
      <c r="H269" s="87"/>
      <c r="I269" s="85">
        <f t="shared" si="8"/>
        <v>6.0413926851582254</v>
      </c>
      <c r="J269" s="89">
        <v>1100000</v>
      </c>
      <c r="K269" s="132"/>
      <c r="L269" s="62" t="s">
        <v>974</v>
      </c>
    </row>
    <row r="270" spans="1:15" x14ac:dyDescent="0.15">
      <c r="A270" s="86" t="s">
        <v>3635</v>
      </c>
      <c r="B270" s="87"/>
      <c r="C270" s="88" t="s">
        <v>4905</v>
      </c>
      <c r="D270" s="86" t="s">
        <v>6172</v>
      </c>
      <c r="E270" s="86" t="s">
        <v>2353</v>
      </c>
      <c r="F270" s="86" t="s">
        <v>2474</v>
      </c>
      <c r="G270" s="86" t="s">
        <v>2153</v>
      </c>
      <c r="H270" s="87"/>
      <c r="I270" s="85">
        <f t="shared" si="8"/>
        <v>6.0413926851582254</v>
      </c>
      <c r="J270" s="89">
        <v>1100000</v>
      </c>
      <c r="K270" s="132"/>
      <c r="L270" s="61" t="s">
        <v>949</v>
      </c>
    </row>
    <row r="271" spans="1:15" x14ac:dyDescent="0.15">
      <c r="A271" s="86" t="s">
        <v>3635</v>
      </c>
      <c r="B271" s="87"/>
      <c r="C271" s="88" t="s">
        <v>4905</v>
      </c>
      <c r="D271" s="86" t="s">
        <v>6172</v>
      </c>
      <c r="E271" s="86" t="s">
        <v>2353</v>
      </c>
      <c r="F271" s="86" t="s">
        <v>2474</v>
      </c>
      <c r="G271" s="86" t="s">
        <v>2154</v>
      </c>
      <c r="H271" s="87"/>
      <c r="I271" s="85">
        <f t="shared" si="8"/>
        <v>6.0413926851582254</v>
      </c>
      <c r="J271" s="89">
        <v>1100000</v>
      </c>
      <c r="K271" s="132"/>
      <c r="L271" s="61">
        <v>32</v>
      </c>
    </row>
    <row r="272" spans="1:15" x14ac:dyDescent="0.15">
      <c r="A272" s="86" t="s">
        <v>3635</v>
      </c>
      <c r="B272" s="87"/>
      <c r="C272" s="88" t="s">
        <v>4905</v>
      </c>
      <c r="D272" s="86" t="s">
        <v>6172</v>
      </c>
      <c r="E272" s="86" t="s">
        <v>7022</v>
      </c>
      <c r="F272" s="86" t="s">
        <v>4863</v>
      </c>
      <c r="G272" s="86" t="s">
        <v>4864</v>
      </c>
      <c r="H272" s="87"/>
      <c r="I272" s="85">
        <f t="shared" si="8"/>
        <v>6.2005769267548478</v>
      </c>
      <c r="J272" s="89">
        <v>1587000</v>
      </c>
      <c r="K272" s="132"/>
      <c r="L272" s="61" t="s">
        <v>1123</v>
      </c>
    </row>
    <row r="273" spans="1:15" x14ac:dyDescent="0.15">
      <c r="A273" s="86" t="s">
        <v>3635</v>
      </c>
      <c r="B273" s="87"/>
      <c r="C273" s="88" t="s">
        <v>4905</v>
      </c>
      <c r="D273" s="86" t="s">
        <v>6172</v>
      </c>
      <c r="E273" s="86" t="s">
        <v>2259</v>
      </c>
      <c r="F273" s="86" t="s">
        <v>2243</v>
      </c>
      <c r="G273" s="86" t="s">
        <v>2244</v>
      </c>
      <c r="H273" s="87"/>
      <c r="I273" s="85">
        <f t="shared" si="8"/>
        <v>6.5440680443502757</v>
      </c>
      <c r="J273" s="89">
        <v>3500000</v>
      </c>
      <c r="K273" s="132"/>
      <c r="L273" s="61" t="s">
        <v>242</v>
      </c>
    </row>
    <row r="274" spans="1:15" x14ac:dyDescent="0.15">
      <c r="A274" s="86" t="s">
        <v>3635</v>
      </c>
      <c r="B274" s="87"/>
      <c r="C274" s="88" t="s">
        <v>4905</v>
      </c>
      <c r="D274" s="86" t="s">
        <v>3902</v>
      </c>
      <c r="E274" s="86" t="s">
        <v>2247</v>
      </c>
      <c r="F274" s="86" t="s">
        <v>2412</v>
      </c>
      <c r="G274" s="86" t="s">
        <v>2174</v>
      </c>
      <c r="H274" s="87"/>
      <c r="I274" s="85">
        <f t="shared" si="8"/>
        <v>6.6555033962497934</v>
      </c>
      <c r="J274" s="89">
        <v>4523800</v>
      </c>
      <c r="K274" s="132"/>
      <c r="L274" s="62" t="s">
        <v>5764</v>
      </c>
    </row>
    <row r="275" spans="1:15" x14ac:dyDescent="0.15">
      <c r="A275" s="86" t="s">
        <v>3635</v>
      </c>
      <c r="B275" s="87"/>
      <c r="C275" s="88" t="s">
        <v>4905</v>
      </c>
      <c r="D275" s="86" t="s">
        <v>3902</v>
      </c>
      <c r="E275" s="86" t="s">
        <v>2587</v>
      </c>
      <c r="F275" s="86" t="s">
        <v>2492</v>
      </c>
      <c r="G275" s="86" t="s">
        <v>7120</v>
      </c>
      <c r="H275" s="87"/>
      <c r="I275" s="85">
        <f t="shared" si="8"/>
        <v>6.6989700043360187</v>
      </c>
      <c r="J275" s="89">
        <v>5000000</v>
      </c>
      <c r="K275" s="132"/>
      <c r="L275" s="62">
        <v>11</v>
      </c>
    </row>
    <row r="276" spans="1:15" x14ac:dyDescent="0.15">
      <c r="A276" s="86" t="s">
        <v>3635</v>
      </c>
      <c r="B276" s="87"/>
      <c r="C276" s="88" t="s">
        <v>4905</v>
      </c>
      <c r="D276" s="86" t="s">
        <v>3902</v>
      </c>
      <c r="E276" s="86" t="s">
        <v>3432</v>
      </c>
      <c r="F276" s="86" t="s">
        <v>6865</v>
      </c>
      <c r="G276" s="86" t="s">
        <v>3730</v>
      </c>
      <c r="H276" s="87"/>
      <c r="I276" s="85">
        <f t="shared" si="8"/>
        <v>6.7403626894942441</v>
      </c>
      <c r="J276" s="89">
        <v>5500000</v>
      </c>
      <c r="K276" s="132"/>
      <c r="L276" s="62" t="s">
        <v>1784</v>
      </c>
    </row>
    <row r="277" spans="1:15" x14ac:dyDescent="0.15">
      <c r="A277" s="86" t="s">
        <v>3635</v>
      </c>
      <c r="B277" s="87"/>
      <c r="C277" s="88" t="s">
        <v>4905</v>
      </c>
      <c r="D277" s="86" t="s">
        <v>3902</v>
      </c>
      <c r="E277" s="86" t="s">
        <v>3432</v>
      </c>
      <c r="F277" s="86" t="s">
        <v>6865</v>
      </c>
      <c r="G277" s="86" t="s">
        <v>6866</v>
      </c>
      <c r="H277" s="87"/>
      <c r="I277" s="85">
        <f t="shared" si="8"/>
        <v>6.9030899869919438</v>
      </c>
      <c r="J277" s="89">
        <v>8000000</v>
      </c>
      <c r="K277" s="132"/>
      <c r="L277" s="62" t="s">
        <v>1781</v>
      </c>
    </row>
    <row r="278" spans="1:15" x14ac:dyDescent="0.15">
      <c r="A278" s="86" t="s">
        <v>3635</v>
      </c>
      <c r="B278" s="87"/>
      <c r="C278" s="88" t="s">
        <v>4905</v>
      </c>
      <c r="D278" s="86" t="s">
        <v>3902</v>
      </c>
      <c r="E278" s="86" t="s">
        <v>3432</v>
      </c>
      <c r="F278" s="86" t="s">
        <v>6865</v>
      </c>
      <c r="G278" s="86" t="s">
        <v>4466</v>
      </c>
      <c r="H278" s="87"/>
      <c r="I278" s="85">
        <f t="shared" si="8"/>
        <v>7</v>
      </c>
      <c r="J278" s="89">
        <v>10000000</v>
      </c>
      <c r="K278" s="132"/>
      <c r="L278" s="62">
        <v>36</v>
      </c>
    </row>
    <row r="279" spans="1:15" x14ac:dyDescent="0.15">
      <c r="A279" s="86" t="s">
        <v>7029</v>
      </c>
      <c r="B279" s="87"/>
      <c r="C279" s="88" t="s">
        <v>4905</v>
      </c>
      <c r="D279" s="86" t="s">
        <v>2837</v>
      </c>
      <c r="E279" s="86" t="s">
        <v>7198</v>
      </c>
      <c r="F279" s="86" t="s">
        <v>2313</v>
      </c>
      <c r="G279" s="86" t="s">
        <v>2314</v>
      </c>
      <c r="H279" s="87"/>
      <c r="I279" s="85">
        <f t="shared" si="8"/>
        <v>5.1760912590556813</v>
      </c>
      <c r="J279" s="89">
        <v>150000</v>
      </c>
      <c r="K279" s="132"/>
      <c r="L279" s="62" t="s">
        <v>1783</v>
      </c>
      <c r="M279" s="50"/>
    </row>
    <row r="280" spans="1:15" x14ac:dyDescent="0.15">
      <c r="A280" s="86" t="s">
        <v>7029</v>
      </c>
      <c r="B280" s="87"/>
      <c r="C280" s="88" t="s">
        <v>4905</v>
      </c>
      <c r="D280" s="86" t="s">
        <v>2837</v>
      </c>
      <c r="E280" s="86" t="s">
        <v>7198</v>
      </c>
      <c r="F280" s="86" t="s">
        <v>4064</v>
      </c>
      <c r="G280" s="86" t="s">
        <v>2315</v>
      </c>
      <c r="H280" s="87"/>
      <c r="I280" s="85">
        <f t="shared" si="8"/>
        <v>6</v>
      </c>
      <c r="J280" s="89">
        <v>1000000</v>
      </c>
      <c r="K280" s="132"/>
      <c r="L280" s="62" t="s">
        <v>1125</v>
      </c>
      <c r="M280" s="50"/>
    </row>
    <row r="281" spans="1:15" x14ac:dyDescent="0.15">
      <c r="A281" s="86" t="s">
        <v>7029</v>
      </c>
      <c r="B281" s="87"/>
      <c r="C281" s="88" t="s">
        <v>4905</v>
      </c>
      <c r="D281" s="86" t="s">
        <v>2837</v>
      </c>
      <c r="E281" s="86" t="s">
        <v>7198</v>
      </c>
      <c r="F281" s="86" t="s">
        <v>4090</v>
      </c>
      <c r="G281" s="86" t="s">
        <v>7120</v>
      </c>
      <c r="H281" s="87"/>
      <c r="I281" s="85">
        <f t="shared" si="8"/>
        <v>6</v>
      </c>
      <c r="J281" s="89">
        <v>1000000</v>
      </c>
      <c r="K281" s="132"/>
      <c r="L281" s="62">
        <v>40</v>
      </c>
      <c r="M281" s="50"/>
    </row>
    <row r="282" spans="1:15" x14ac:dyDescent="0.15">
      <c r="A282" s="86" t="s">
        <v>7029</v>
      </c>
      <c r="B282" s="87"/>
      <c r="C282" s="88" t="s">
        <v>4905</v>
      </c>
      <c r="D282" s="86" t="s">
        <v>2837</v>
      </c>
      <c r="E282" s="86" t="s">
        <v>3724</v>
      </c>
      <c r="F282" s="86" t="s">
        <v>2316</v>
      </c>
      <c r="G282" s="86" t="s">
        <v>7120</v>
      </c>
      <c r="H282" s="87"/>
      <c r="I282" s="85">
        <f t="shared" si="8"/>
        <v>4.7781512503836439</v>
      </c>
      <c r="J282" s="89">
        <v>60000</v>
      </c>
      <c r="K282" s="132"/>
      <c r="L282" s="61" t="s">
        <v>1040</v>
      </c>
      <c r="M282" s="50"/>
    </row>
    <row r="283" spans="1:15" x14ac:dyDescent="0.15">
      <c r="A283" s="86" t="s">
        <v>7029</v>
      </c>
      <c r="B283" s="87"/>
      <c r="C283" s="88" t="s">
        <v>4905</v>
      </c>
      <c r="D283" s="86" t="s">
        <v>2837</v>
      </c>
      <c r="E283" s="86" t="s">
        <v>3724</v>
      </c>
      <c r="F283" s="86" t="s">
        <v>2317</v>
      </c>
      <c r="G283" s="86" t="s">
        <v>7120</v>
      </c>
      <c r="H283" s="87"/>
      <c r="I283" s="85">
        <f t="shared" si="8"/>
        <v>4.7781512503836439</v>
      </c>
      <c r="J283" s="89">
        <v>60000</v>
      </c>
      <c r="K283" s="132"/>
      <c r="L283" s="62" t="s">
        <v>1040</v>
      </c>
      <c r="M283" s="50"/>
    </row>
    <row r="284" spans="1:15" x14ac:dyDescent="0.15">
      <c r="A284" s="86" t="s">
        <v>7029</v>
      </c>
      <c r="B284" s="87"/>
      <c r="C284" s="88" t="s">
        <v>4905</v>
      </c>
      <c r="D284" s="86" t="s">
        <v>2837</v>
      </c>
      <c r="E284" s="86" t="s">
        <v>3724</v>
      </c>
      <c r="F284" s="86" t="s">
        <v>2346</v>
      </c>
      <c r="G284" s="86" t="s">
        <v>5761</v>
      </c>
      <c r="H284" s="87"/>
      <c r="I284" s="85">
        <f t="shared" si="8"/>
        <v>4.6989700043360187</v>
      </c>
      <c r="J284" s="89">
        <v>50000</v>
      </c>
      <c r="K284" s="132"/>
      <c r="L284" s="61" t="s">
        <v>1783</v>
      </c>
      <c r="M284" s="50"/>
    </row>
    <row r="285" spans="1:15" x14ac:dyDescent="0.15">
      <c r="A285" s="86" t="s">
        <v>7029</v>
      </c>
      <c r="B285" s="87"/>
      <c r="C285" s="88" t="s">
        <v>4905</v>
      </c>
      <c r="D285" s="86" t="s">
        <v>2837</v>
      </c>
      <c r="E285" s="86" t="s">
        <v>3724</v>
      </c>
      <c r="F285" s="86" t="s">
        <v>2346</v>
      </c>
      <c r="G285" s="86" t="s">
        <v>2411</v>
      </c>
      <c r="H285" s="87"/>
      <c r="I285" s="85">
        <f t="shared" si="8"/>
        <v>4.6989700043360187</v>
      </c>
      <c r="J285" s="89">
        <v>50000</v>
      </c>
      <c r="K285" s="132"/>
      <c r="L285" s="62">
        <v>39</v>
      </c>
      <c r="M285" s="50"/>
    </row>
    <row r="286" spans="1:15" x14ac:dyDescent="0.15">
      <c r="A286" s="86" t="s">
        <v>7029</v>
      </c>
      <c r="B286" s="87"/>
      <c r="C286" s="88" t="s">
        <v>4905</v>
      </c>
      <c r="D286" s="86" t="s">
        <v>2837</v>
      </c>
      <c r="E286" s="86" t="s">
        <v>3724</v>
      </c>
      <c r="F286" s="86" t="s">
        <v>2172</v>
      </c>
      <c r="G286" s="86" t="s">
        <v>7120</v>
      </c>
      <c r="H286" s="87"/>
      <c r="I286" s="85">
        <f t="shared" si="8"/>
        <v>5.4771212547196626</v>
      </c>
      <c r="J286" s="89">
        <v>300000</v>
      </c>
      <c r="K286" s="132"/>
      <c r="L286" s="62" t="s">
        <v>1040</v>
      </c>
      <c r="M286" s="50"/>
    </row>
    <row r="287" spans="1:15" x14ac:dyDescent="0.15">
      <c r="A287" s="86" t="s">
        <v>7029</v>
      </c>
      <c r="B287" s="87"/>
      <c r="C287" s="88" t="s">
        <v>4905</v>
      </c>
      <c r="D287" s="86" t="s">
        <v>2837</v>
      </c>
      <c r="E287" s="86" t="s">
        <v>4379</v>
      </c>
      <c r="F287" s="86" t="s">
        <v>7003</v>
      </c>
      <c r="G287" s="86" t="s">
        <v>7120</v>
      </c>
      <c r="H287" s="87"/>
      <c r="I287" s="85">
        <f t="shared" si="8"/>
        <v>4.6989700043360187</v>
      </c>
      <c r="J287" s="89">
        <v>50000</v>
      </c>
      <c r="K287" s="132"/>
      <c r="L287" s="61">
        <v>11</v>
      </c>
      <c r="M287" s="50"/>
      <c r="O287" s="51"/>
    </row>
    <row r="288" spans="1:15" x14ac:dyDescent="0.15">
      <c r="A288" s="86" t="s">
        <v>7029</v>
      </c>
      <c r="B288" s="87"/>
      <c r="C288" s="88" t="s">
        <v>4905</v>
      </c>
      <c r="D288" s="86" t="s">
        <v>3773</v>
      </c>
      <c r="E288" s="86" t="s">
        <v>3774</v>
      </c>
      <c r="F288" s="86" t="s">
        <v>3775</v>
      </c>
      <c r="G288" s="86" t="s">
        <v>4761</v>
      </c>
      <c r="H288" s="87"/>
      <c r="I288" s="85">
        <f t="shared" si="8"/>
        <v>4.4771212547196626</v>
      </c>
      <c r="J288" s="89">
        <v>30000</v>
      </c>
      <c r="K288" s="132"/>
      <c r="L288" s="61" t="s">
        <v>977</v>
      </c>
      <c r="M288" s="50"/>
    </row>
    <row r="289" spans="1:15" x14ac:dyDescent="0.15">
      <c r="A289" s="86" t="s">
        <v>7029</v>
      </c>
      <c r="B289" s="87"/>
      <c r="C289" s="88" t="s">
        <v>4905</v>
      </c>
      <c r="D289" s="86" t="s">
        <v>3773</v>
      </c>
      <c r="E289" s="86" t="s">
        <v>3774</v>
      </c>
      <c r="F289" s="86" t="s">
        <v>3775</v>
      </c>
      <c r="G289" s="86" t="s">
        <v>7005</v>
      </c>
      <c r="H289" s="87"/>
      <c r="I289" s="85">
        <f t="shared" si="8"/>
        <v>4.6989700043360187</v>
      </c>
      <c r="J289" s="89">
        <v>50000</v>
      </c>
      <c r="K289" s="132"/>
      <c r="L289" s="62" t="s">
        <v>976</v>
      </c>
      <c r="M289" s="50"/>
    </row>
    <row r="290" spans="1:15" x14ac:dyDescent="0.15">
      <c r="A290" s="86" t="s">
        <v>7029</v>
      </c>
      <c r="B290" s="87"/>
      <c r="C290" s="88" t="s">
        <v>4905</v>
      </c>
      <c r="D290" s="86" t="s">
        <v>3773</v>
      </c>
      <c r="E290" s="86" t="s">
        <v>3774</v>
      </c>
      <c r="F290" s="86" t="s">
        <v>3169</v>
      </c>
      <c r="G290" s="86" t="s">
        <v>4871</v>
      </c>
      <c r="H290" s="87"/>
      <c r="I290" s="85">
        <f t="shared" si="8"/>
        <v>4.1139433523068369</v>
      </c>
      <c r="J290" s="89">
        <v>13000</v>
      </c>
      <c r="K290" s="132"/>
      <c r="L290" s="61" t="s">
        <v>977</v>
      </c>
      <c r="M290" s="50"/>
    </row>
    <row r="291" spans="1:15" x14ac:dyDescent="0.15">
      <c r="A291" s="86" t="s">
        <v>7029</v>
      </c>
      <c r="B291" s="87"/>
      <c r="C291" s="88" t="s">
        <v>4905</v>
      </c>
      <c r="D291" s="86" t="s">
        <v>3773</v>
      </c>
      <c r="E291" s="86" t="s">
        <v>3774</v>
      </c>
      <c r="F291" s="86" t="s">
        <v>3661</v>
      </c>
      <c r="G291" s="86" t="s">
        <v>6083</v>
      </c>
      <c r="H291" s="87"/>
      <c r="I291" s="85">
        <f t="shared" si="8"/>
        <v>4.204119982655925</v>
      </c>
      <c r="J291" s="89">
        <v>16000</v>
      </c>
      <c r="K291" s="132"/>
      <c r="L291" s="61" t="s">
        <v>977</v>
      </c>
    </row>
    <row r="292" spans="1:15" x14ac:dyDescent="0.15">
      <c r="A292" s="86" t="s">
        <v>7029</v>
      </c>
      <c r="B292" s="87"/>
      <c r="C292" s="88" t="s">
        <v>4905</v>
      </c>
      <c r="D292" s="86" t="s">
        <v>3773</v>
      </c>
      <c r="E292" s="86" t="s">
        <v>3774</v>
      </c>
      <c r="F292" s="86" t="s">
        <v>3661</v>
      </c>
      <c r="G292" s="86" t="s">
        <v>7208</v>
      </c>
      <c r="H292" s="87"/>
      <c r="I292" s="85">
        <f t="shared" si="8"/>
        <v>4.3979400086720375</v>
      </c>
      <c r="J292" s="89">
        <v>25000</v>
      </c>
      <c r="K292" s="132"/>
      <c r="L292" s="62" t="s">
        <v>977</v>
      </c>
      <c r="M292" s="50"/>
    </row>
    <row r="293" spans="1:15" x14ac:dyDescent="0.15">
      <c r="A293" s="86" t="s">
        <v>7029</v>
      </c>
      <c r="B293" s="87"/>
      <c r="C293" s="88" t="s">
        <v>4905</v>
      </c>
      <c r="D293" s="86" t="s">
        <v>3773</v>
      </c>
      <c r="E293" s="86" t="s">
        <v>3774</v>
      </c>
      <c r="F293" s="86" t="s">
        <v>2116</v>
      </c>
      <c r="G293" s="86" t="s">
        <v>4201</v>
      </c>
      <c r="H293" s="87"/>
      <c r="I293" s="85">
        <f t="shared" si="8"/>
        <v>3.8082109729242219</v>
      </c>
      <c r="J293" s="89">
        <v>6430</v>
      </c>
      <c r="K293" s="132"/>
      <c r="L293" s="61" t="s">
        <v>977</v>
      </c>
    </row>
    <row r="294" spans="1:15" x14ac:dyDescent="0.15">
      <c r="A294" s="86" t="s">
        <v>7029</v>
      </c>
      <c r="B294" s="87"/>
      <c r="C294" s="88" t="s">
        <v>4905</v>
      </c>
      <c r="D294" s="86" t="s">
        <v>3773</v>
      </c>
      <c r="E294" s="86" t="s">
        <v>3774</v>
      </c>
      <c r="F294" s="86" t="s">
        <v>7051</v>
      </c>
      <c r="G294" s="86" t="s">
        <v>7209</v>
      </c>
      <c r="H294" s="87"/>
      <c r="I294" s="85">
        <f t="shared" si="8"/>
        <v>3.9542425094393248</v>
      </c>
      <c r="J294" s="89">
        <v>9000</v>
      </c>
      <c r="K294" s="132"/>
      <c r="L294" s="62" t="s">
        <v>977</v>
      </c>
    </row>
    <row r="295" spans="1:15" x14ac:dyDescent="0.15">
      <c r="A295" s="86" t="s">
        <v>7029</v>
      </c>
      <c r="B295" s="87"/>
      <c r="C295" s="88" t="s">
        <v>4905</v>
      </c>
      <c r="D295" s="86" t="s">
        <v>3773</v>
      </c>
      <c r="E295" s="86" t="s">
        <v>3774</v>
      </c>
      <c r="F295" s="86" t="s">
        <v>3913</v>
      </c>
      <c r="G295" s="86" t="s">
        <v>3659</v>
      </c>
      <c r="H295" s="87"/>
      <c r="I295" s="85">
        <f t="shared" si="8"/>
        <v>4.4313637641589869</v>
      </c>
      <c r="J295" s="89">
        <v>27000</v>
      </c>
      <c r="K295" s="132"/>
      <c r="L295" s="62" t="s">
        <v>977</v>
      </c>
    </row>
    <row r="296" spans="1:15" x14ac:dyDescent="0.15">
      <c r="A296" s="86" t="s">
        <v>7029</v>
      </c>
      <c r="B296" s="87"/>
      <c r="C296" s="88" t="s">
        <v>4905</v>
      </c>
      <c r="D296" s="86" t="s">
        <v>3773</v>
      </c>
      <c r="E296" s="86" t="s">
        <v>3774</v>
      </c>
      <c r="F296" s="86" t="s">
        <v>3913</v>
      </c>
      <c r="G296" s="86" t="s">
        <v>3660</v>
      </c>
      <c r="H296" s="87"/>
      <c r="I296" s="85">
        <f t="shared" ref="I296:I321" si="9">LOG(J296)</f>
        <v>4.4313637641589869</v>
      </c>
      <c r="J296" s="89">
        <v>27000</v>
      </c>
      <c r="K296" s="132"/>
      <c r="L296" s="62" t="s">
        <v>977</v>
      </c>
    </row>
    <row r="297" spans="1:15" x14ac:dyDescent="0.15">
      <c r="A297" s="86" t="s">
        <v>7029</v>
      </c>
      <c r="B297" s="87"/>
      <c r="C297" s="88" t="s">
        <v>4905</v>
      </c>
      <c r="D297" s="86" t="s">
        <v>3773</v>
      </c>
      <c r="E297" s="86" t="s">
        <v>7053</v>
      </c>
      <c r="F297" s="86" t="s">
        <v>4677</v>
      </c>
      <c r="G297" s="86" t="s">
        <v>6798</v>
      </c>
      <c r="H297" s="87"/>
      <c r="I297" s="85">
        <f t="shared" si="9"/>
        <v>5.6366884479532828</v>
      </c>
      <c r="J297" s="89">
        <v>433200</v>
      </c>
      <c r="K297" s="132"/>
      <c r="L297" s="61">
        <v>31</v>
      </c>
      <c r="M297" s="50"/>
    </row>
    <row r="298" spans="1:15" x14ac:dyDescent="0.15">
      <c r="A298" s="86" t="s">
        <v>7029</v>
      </c>
      <c r="B298" s="87"/>
      <c r="C298" s="88" t="s">
        <v>4905</v>
      </c>
      <c r="D298" s="86" t="s">
        <v>3773</v>
      </c>
      <c r="E298" s="86" t="s">
        <v>7053</v>
      </c>
      <c r="F298" s="86" t="s">
        <v>6999</v>
      </c>
      <c r="G298" s="86" t="s">
        <v>6990</v>
      </c>
      <c r="H298" s="87"/>
      <c r="I298" s="85">
        <f t="shared" si="9"/>
        <v>5.6366884479532828</v>
      </c>
      <c r="J298" s="89">
        <v>433200</v>
      </c>
      <c r="K298" s="132"/>
      <c r="L298" s="62" t="s">
        <v>921</v>
      </c>
    </row>
    <row r="299" spans="1:15" x14ac:dyDescent="0.15">
      <c r="A299" s="86" t="s">
        <v>7029</v>
      </c>
      <c r="B299" s="87"/>
      <c r="C299" s="88" t="s">
        <v>4905</v>
      </c>
      <c r="D299" s="86" t="s">
        <v>3773</v>
      </c>
      <c r="E299" s="86" t="s">
        <v>7053</v>
      </c>
      <c r="F299" s="86" t="s">
        <v>6999</v>
      </c>
      <c r="G299" s="86" t="s">
        <v>7031</v>
      </c>
      <c r="H299" s="87"/>
      <c r="I299" s="85">
        <f t="shared" si="9"/>
        <v>5.6454222693490923</v>
      </c>
      <c r="J299" s="89">
        <v>442000</v>
      </c>
      <c r="K299" s="132"/>
      <c r="L299" s="62">
        <v>32</v>
      </c>
    </row>
    <row r="300" spans="1:15" x14ac:dyDescent="0.15">
      <c r="A300" s="86" t="s">
        <v>7029</v>
      </c>
      <c r="B300" s="87"/>
      <c r="C300" s="88" t="s">
        <v>4905</v>
      </c>
      <c r="D300" s="86" t="s">
        <v>3773</v>
      </c>
      <c r="E300" s="86" t="s">
        <v>7167</v>
      </c>
      <c r="F300" s="86" t="s">
        <v>6994</v>
      </c>
      <c r="G300" s="86" t="s">
        <v>5065</v>
      </c>
      <c r="H300" s="87"/>
      <c r="I300" s="85">
        <f t="shared" si="9"/>
        <v>5.7781512503836439</v>
      </c>
      <c r="J300" s="89">
        <v>600000</v>
      </c>
      <c r="K300" s="132"/>
      <c r="L300" s="62" t="s">
        <v>1042</v>
      </c>
      <c r="M300" s="50"/>
      <c r="O300" s="51"/>
    </row>
    <row r="301" spans="1:15" x14ac:dyDescent="0.15">
      <c r="A301" s="86" t="s">
        <v>7029</v>
      </c>
      <c r="B301" s="87"/>
      <c r="C301" s="88" t="s">
        <v>4905</v>
      </c>
      <c r="D301" s="86" t="s">
        <v>4316</v>
      </c>
      <c r="E301" s="86" t="s">
        <v>4317</v>
      </c>
      <c r="F301" s="86" t="s">
        <v>4318</v>
      </c>
      <c r="G301" s="86" t="s">
        <v>4319</v>
      </c>
      <c r="H301" s="87"/>
      <c r="I301" s="85">
        <f t="shared" si="9"/>
        <v>5.9947569445876283</v>
      </c>
      <c r="J301" s="89">
        <v>988000</v>
      </c>
      <c r="K301" s="132"/>
      <c r="L301" s="62" t="s">
        <v>1780</v>
      </c>
    </row>
    <row r="302" spans="1:15" x14ac:dyDescent="0.15">
      <c r="A302" s="86" t="s">
        <v>7029</v>
      </c>
      <c r="B302" s="87"/>
      <c r="C302" s="88" t="s">
        <v>4905</v>
      </c>
      <c r="D302" s="86" t="s">
        <v>4316</v>
      </c>
      <c r="E302" s="86" t="s">
        <v>4317</v>
      </c>
      <c r="F302" s="86" t="s">
        <v>6910</v>
      </c>
      <c r="G302" s="86" t="s">
        <v>7120</v>
      </c>
      <c r="H302" s="87"/>
      <c r="I302" s="85">
        <f t="shared" si="9"/>
        <v>5.8450980400142569</v>
      </c>
      <c r="J302" s="89">
        <v>700000</v>
      </c>
      <c r="K302" s="132"/>
      <c r="L302" s="61">
        <v>11</v>
      </c>
    </row>
    <row r="303" spans="1:15" x14ac:dyDescent="0.15">
      <c r="A303" s="86" t="s">
        <v>7029</v>
      </c>
      <c r="B303" s="87"/>
      <c r="C303" s="88" t="s">
        <v>4905</v>
      </c>
      <c r="D303" s="86" t="s">
        <v>6914</v>
      </c>
      <c r="E303" s="86" t="s">
        <v>6922</v>
      </c>
      <c r="F303" s="86" t="s">
        <v>2377</v>
      </c>
      <c r="G303" s="86" t="s">
        <v>7120</v>
      </c>
      <c r="H303" s="87"/>
      <c r="I303" s="85">
        <f t="shared" si="9"/>
        <v>6</v>
      </c>
      <c r="J303" s="89">
        <v>1000000</v>
      </c>
      <c r="K303" s="132"/>
      <c r="L303" s="62" t="s">
        <v>2516</v>
      </c>
      <c r="O303" s="51"/>
    </row>
    <row r="304" spans="1:15" x14ac:dyDescent="0.15">
      <c r="A304" s="86" t="s">
        <v>7029</v>
      </c>
      <c r="B304" s="87"/>
      <c r="C304" s="88" t="s">
        <v>4905</v>
      </c>
      <c r="D304" s="86" t="s">
        <v>6914</v>
      </c>
      <c r="E304" s="86" t="s">
        <v>6922</v>
      </c>
      <c r="F304" s="86" t="s">
        <v>3988</v>
      </c>
      <c r="G304" s="86" t="s">
        <v>5294</v>
      </c>
      <c r="H304" s="87"/>
      <c r="I304" s="85">
        <f t="shared" si="9"/>
        <v>6</v>
      </c>
      <c r="J304" s="89">
        <v>1000000</v>
      </c>
      <c r="K304" s="132"/>
      <c r="L304" s="62">
        <v>39</v>
      </c>
      <c r="O304" s="51"/>
    </row>
    <row r="305" spans="1:15" x14ac:dyDescent="0.15">
      <c r="A305" s="86" t="s">
        <v>7029</v>
      </c>
      <c r="B305" s="87"/>
      <c r="C305" s="88" t="s">
        <v>4905</v>
      </c>
      <c r="D305" s="86" t="s">
        <v>6914</v>
      </c>
      <c r="E305" s="86" t="s">
        <v>6922</v>
      </c>
      <c r="F305" s="86" t="s">
        <v>3988</v>
      </c>
      <c r="G305" s="86" t="s">
        <v>3527</v>
      </c>
      <c r="H305" s="87"/>
      <c r="I305" s="85">
        <f t="shared" si="9"/>
        <v>6.0413926851582254</v>
      </c>
      <c r="J305" s="89">
        <v>1100000</v>
      </c>
      <c r="K305" s="132"/>
      <c r="L305" s="62">
        <v>40</v>
      </c>
      <c r="O305" s="51"/>
    </row>
    <row r="306" spans="1:15" x14ac:dyDescent="0.15">
      <c r="A306" s="86" t="s">
        <v>7029</v>
      </c>
      <c r="B306" s="87"/>
      <c r="C306" s="88" t="s">
        <v>4905</v>
      </c>
      <c r="D306" s="86" t="s">
        <v>6914</v>
      </c>
      <c r="E306" s="86" t="s">
        <v>6922</v>
      </c>
      <c r="F306" s="86" t="s">
        <v>3988</v>
      </c>
      <c r="G306" s="86" t="s">
        <v>3528</v>
      </c>
      <c r="H306" s="87"/>
      <c r="I306" s="85">
        <f t="shared" si="9"/>
        <v>6.0413926851582254</v>
      </c>
      <c r="J306" s="89">
        <v>1100000</v>
      </c>
      <c r="K306" s="132"/>
      <c r="L306" s="62">
        <v>39</v>
      </c>
      <c r="O306" s="51"/>
    </row>
    <row r="307" spans="1:15" x14ac:dyDescent="0.15">
      <c r="A307" s="86" t="s">
        <v>7029</v>
      </c>
      <c r="B307" s="87"/>
      <c r="C307" s="88" t="s">
        <v>4905</v>
      </c>
      <c r="D307" s="86" t="s">
        <v>6914</v>
      </c>
      <c r="E307" s="86" t="s">
        <v>6922</v>
      </c>
      <c r="F307" s="86" t="s">
        <v>3988</v>
      </c>
      <c r="G307" s="86" t="s">
        <v>3659</v>
      </c>
      <c r="H307" s="87"/>
      <c r="I307" s="85">
        <f t="shared" si="9"/>
        <v>6.215373152783422</v>
      </c>
      <c r="J307" s="89">
        <v>1642000</v>
      </c>
      <c r="K307" s="132"/>
      <c r="L307" s="61" t="s">
        <v>1247</v>
      </c>
    </row>
    <row r="308" spans="1:15" x14ac:dyDescent="0.15">
      <c r="A308" s="86" t="s">
        <v>7029</v>
      </c>
      <c r="B308" s="87"/>
      <c r="C308" s="88" t="s">
        <v>4905</v>
      </c>
      <c r="D308" s="86" t="s">
        <v>7007</v>
      </c>
      <c r="E308" s="86" t="s">
        <v>2446</v>
      </c>
      <c r="F308" s="86" t="s">
        <v>2447</v>
      </c>
      <c r="G308" s="86" t="s">
        <v>3391</v>
      </c>
      <c r="H308" s="87"/>
      <c r="I308" s="85">
        <f t="shared" si="9"/>
        <v>5.3424226808222066</v>
      </c>
      <c r="J308" s="89">
        <v>220000</v>
      </c>
      <c r="K308" s="132"/>
      <c r="L308" s="62" t="s">
        <v>1248</v>
      </c>
    </row>
    <row r="309" spans="1:15" x14ac:dyDescent="0.15">
      <c r="A309" s="86" t="s">
        <v>7029</v>
      </c>
      <c r="B309" s="87"/>
      <c r="C309" s="88" t="s">
        <v>4905</v>
      </c>
      <c r="D309" s="86" t="s">
        <v>7007</v>
      </c>
      <c r="E309" s="86" t="s">
        <v>2446</v>
      </c>
      <c r="F309" s="86" t="s">
        <v>2447</v>
      </c>
      <c r="G309" s="86" t="s">
        <v>2612</v>
      </c>
      <c r="H309" s="87"/>
      <c r="I309" s="85">
        <f t="shared" si="9"/>
        <v>5.5440680443502757</v>
      </c>
      <c r="J309" s="89">
        <v>350000</v>
      </c>
      <c r="K309" s="132"/>
      <c r="L309" s="62">
        <v>44</v>
      </c>
    </row>
    <row r="310" spans="1:15" x14ac:dyDescent="0.15">
      <c r="A310" s="86" t="s">
        <v>7029</v>
      </c>
      <c r="B310" s="87"/>
      <c r="C310" s="88" t="s">
        <v>4905</v>
      </c>
      <c r="D310" s="86" t="s">
        <v>7007</v>
      </c>
      <c r="E310" s="86" t="s">
        <v>2446</v>
      </c>
      <c r="F310" s="86" t="s">
        <v>2447</v>
      </c>
      <c r="G310" s="86" t="s">
        <v>2526</v>
      </c>
      <c r="H310" s="87"/>
      <c r="I310" s="85">
        <f t="shared" si="9"/>
        <v>5.5440680443502757</v>
      </c>
      <c r="J310" s="89">
        <v>350000</v>
      </c>
      <c r="K310" s="132"/>
      <c r="L310" s="62">
        <v>8</v>
      </c>
    </row>
    <row r="311" spans="1:15" x14ac:dyDescent="0.15">
      <c r="A311" s="86" t="s">
        <v>7029</v>
      </c>
      <c r="B311" s="87"/>
      <c r="C311" s="88" t="s">
        <v>4905</v>
      </c>
      <c r="D311" s="86" t="s">
        <v>7007</v>
      </c>
      <c r="E311" s="86" t="s">
        <v>2446</v>
      </c>
      <c r="F311" s="86" t="s">
        <v>2447</v>
      </c>
      <c r="G311" s="86" t="s">
        <v>2436</v>
      </c>
      <c r="H311" s="87"/>
      <c r="I311" s="85">
        <f t="shared" si="9"/>
        <v>5.5453071164658239</v>
      </c>
      <c r="J311" s="89">
        <v>351000</v>
      </c>
      <c r="K311" s="132"/>
      <c r="L311" s="62" t="s">
        <v>1159</v>
      </c>
    </row>
    <row r="312" spans="1:15" x14ac:dyDescent="0.15">
      <c r="A312" s="86" t="s">
        <v>7029</v>
      </c>
      <c r="B312" s="87"/>
      <c r="C312" s="88" t="s">
        <v>4905</v>
      </c>
      <c r="D312" s="86" t="s">
        <v>7007</v>
      </c>
      <c r="E312" s="86" t="s">
        <v>2446</v>
      </c>
      <c r="F312" s="86" t="s">
        <v>2447</v>
      </c>
      <c r="G312" s="86" t="s">
        <v>2437</v>
      </c>
      <c r="H312" s="87"/>
      <c r="I312" s="85">
        <f t="shared" si="9"/>
        <v>5.5774917998372251</v>
      </c>
      <c r="J312" s="89">
        <v>378000</v>
      </c>
      <c r="K312" s="132"/>
      <c r="L312" s="62" t="s">
        <v>240</v>
      </c>
    </row>
    <row r="313" spans="1:15" x14ac:dyDescent="0.15">
      <c r="A313" s="86" t="s">
        <v>7029</v>
      </c>
      <c r="B313" s="87"/>
      <c r="C313" s="88" t="s">
        <v>4905</v>
      </c>
      <c r="D313" s="86" t="s">
        <v>7007</v>
      </c>
      <c r="E313" s="86" t="s">
        <v>2446</v>
      </c>
      <c r="F313" s="86" t="s">
        <v>2535</v>
      </c>
      <c r="G313" s="86" t="s">
        <v>2536</v>
      </c>
      <c r="H313" s="87"/>
      <c r="I313" s="85">
        <f t="shared" si="9"/>
        <v>5.4232458739368079</v>
      </c>
      <c r="J313" s="89">
        <v>265000</v>
      </c>
      <c r="K313" s="132"/>
      <c r="L313" s="61">
        <v>8</v>
      </c>
    </row>
    <row r="314" spans="1:15" x14ac:dyDescent="0.15">
      <c r="A314" s="86" t="s">
        <v>7029</v>
      </c>
      <c r="B314" s="87"/>
      <c r="C314" s="88" t="s">
        <v>4905</v>
      </c>
      <c r="D314" s="86" t="s">
        <v>7007</v>
      </c>
      <c r="E314" s="86" t="s">
        <v>2446</v>
      </c>
      <c r="F314" s="86" t="s">
        <v>2535</v>
      </c>
      <c r="G314" s="86" t="s">
        <v>2537</v>
      </c>
      <c r="H314" s="87"/>
      <c r="I314" s="85">
        <f t="shared" si="9"/>
        <v>5.7084209001347128</v>
      </c>
      <c r="J314" s="89">
        <v>511000</v>
      </c>
      <c r="K314" s="132"/>
      <c r="L314" s="61" t="s">
        <v>1778</v>
      </c>
    </row>
    <row r="315" spans="1:15" x14ac:dyDescent="0.15">
      <c r="A315" s="86" t="s">
        <v>7029</v>
      </c>
      <c r="B315" s="87"/>
      <c r="C315" s="88" t="s">
        <v>4905</v>
      </c>
      <c r="D315" s="86" t="s">
        <v>7007</v>
      </c>
      <c r="E315" s="86" t="s">
        <v>2446</v>
      </c>
      <c r="F315" s="86" t="s">
        <v>2527</v>
      </c>
      <c r="G315" s="86" t="s">
        <v>7120</v>
      </c>
      <c r="H315" s="87"/>
      <c r="I315" s="85">
        <f t="shared" si="9"/>
        <v>5.492341253254974</v>
      </c>
      <c r="J315" s="89">
        <v>310700</v>
      </c>
      <c r="K315" s="132"/>
      <c r="L315" s="62">
        <v>35</v>
      </c>
    </row>
    <row r="316" spans="1:15" x14ac:dyDescent="0.15">
      <c r="A316" s="86" t="s">
        <v>7029</v>
      </c>
      <c r="B316" s="87"/>
      <c r="C316" s="88" t="s">
        <v>4905</v>
      </c>
      <c r="D316" s="86" t="s">
        <v>6983</v>
      </c>
      <c r="E316" s="86" t="s">
        <v>4872</v>
      </c>
      <c r="F316" s="86" t="s">
        <v>2528</v>
      </c>
      <c r="G316" s="86" t="s">
        <v>2529</v>
      </c>
      <c r="H316" s="87"/>
      <c r="I316" s="85">
        <f t="shared" si="9"/>
        <v>4.3117538610557542</v>
      </c>
      <c r="J316" s="89">
        <v>20500</v>
      </c>
      <c r="K316" s="132"/>
      <c r="L316" s="61">
        <v>46</v>
      </c>
    </row>
    <row r="317" spans="1:15" x14ac:dyDescent="0.15">
      <c r="A317" s="86" t="s">
        <v>7029</v>
      </c>
      <c r="B317" s="87"/>
      <c r="C317" s="88" t="s">
        <v>4905</v>
      </c>
      <c r="D317" s="86" t="s">
        <v>3902</v>
      </c>
      <c r="E317" s="86" t="s">
        <v>2587</v>
      </c>
      <c r="F317" s="86" t="s">
        <v>2492</v>
      </c>
      <c r="G317" s="86" t="s">
        <v>7120</v>
      </c>
      <c r="H317" s="87"/>
      <c r="I317" s="85">
        <f t="shared" si="9"/>
        <v>6.6989700043360187</v>
      </c>
      <c r="J317" s="89">
        <v>5000000</v>
      </c>
      <c r="K317" s="132"/>
      <c r="L317" s="62" t="s">
        <v>978</v>
      </c>
    </row>
    <row r="318" spans="1:15" x14ac:dyDescent="0.15">
      <c r="A318" s="167" t="s">
        <v>7029</v>
      </c>
      <c r="B318" s="87"/>
      <c r="C318" s="88" t="s">
        <v>4905</v>
      </c>
      <c r="D318" s="86" t="s">
        <v>3902</v>
      </c>
      <c r="E318" s="86" t="s">
        <v>2587</v>
      </c>
      <c r="F318" s="86" t="s">
        <v>5773</v>
      </c>
      <c r="G318" s="86" t="s">
        <v>5604</v>
      </c>
      <c r="H318" s="87"/>
      <c r="I318" s="85">
        <f t="shared" si="9"/>
        <v>6.7781512503836439</v>
      </c>
      <c r="J318" s="89">
        <v>6000000</v>
      </c>
      <c r="K318" s="132"/>
      <c r="L318" s="62" t="s">
        <v>167</v>
      </c>
    </row>
    <row r="319" spans="1:15" x14ac:dyDescent="0.15">
      <c r="A319" s="167" t="s">
        <v>7029</v>
      </c>
      <c r="B319" s="87"/>
      <c r="C319" s="88" t="s">
        <v>4905</v>
      </c>
      <c r="D319" s="86" t="s">
        <v>3902</v>
      </c>
      <c r="E319" s="86" t="s">
        <v>2587</v>
      </c>
      <c r="F319" s="86" t="s">
        <v>6799</v>
      </c>
      <c r="G319" s="86" t="s">
        <v>7120</v>
      </c>
      <c r="H319" s="87"/>
      <c r="I319" s="85">
        <f t="shared" si="9"/>
        <v>6.7919010800095716</v>
      </c>
      <c r="J319" s="89">
        <v>6193000</v>
      </c>
      <c r="K319" s="132"/>
      <c r="L319" s="62" t="s">
        <v>1075</v>
      </c>
    </row>
    <row r="320" spans="1:15" x14ac:dyDescent="0.15">
      <c r="A320" s="167" t="s">
        <v>7029</v>
      </c>
      <c r="B320" s="87"/>
      <c r="C320" s="88" t="s">
        <v>4905</v>
      </c>
      <c r="D320" s="86" t="s">
        <v>3902</v>
      </c>
      <c r="E320" s="86" t="s">
        <v>2587</v>
      </c>
      <c r="F320" s="86" t="s">
        <v>5605</v>
      </c>
      <c r="G320" s="86" t="s">
        <v>5311</v>
      </c>
      <c r="H320" s="87"/>
      <c r="I320" s="85">
        <f t="shared" si="9"/>
        <v>6.8796692056320534</v>
      </c>
      <c r="J320" s="89">
        <v>7580000</v>
      </c>
      <c r="K320" s="132"/>
      <c r="L320" s="62" t="s">
        <v>1247</v>
      </c>
    </row>
    <row r="321" spans="1:18" x14ac:dyDescent="0.15">
      <c r="A321" s="167" t="s">
        <v>7029</v>
      </c>
      <c r="B321" s="87"/>
      <c r="C321" s="88" t="s">
        <v>4905</v>
      </c>
      <c r="D321" s="86" t="s">
        <v>3437</v>
      </c>
      <c r="E321" s="86" t="s">
        <v>4870</v>
      </c>
      <c r="F321" s="86" t="s">
        <v>4877</v>
      </c>
      <c r="G321" s="86" t="s">
        <v>5996</v>
      </c>
      <c r="H321" s="87"/>
      <c r="I321" s="85">
        <f t="shared" si="9"/>
        <v>5.1760912590556813</v>
      </c>
      <c r="J321" s="89">
        <v>150000</v>
      </c>
      <c r="K321" s="132"/>
      <c r="L321" s="62">
        <v>39</v>
      </c>
    </row>
    <row r="322" spans="1:18" ht="42" x14ac:dyDescent="0.2">
      <c r="A322" s="166" t="s">
        <v>7029</v>
      </c>
      <c r="B322" s="82" t="s">
        <v>2946</v>
      </c>
      <c r="C322" s="70" t="s">
        <v>4905</v>
      </c>
      <c r="D322" s="70" t="s">
        <v>3437</v>
      </c>
      <c r="E322" s="70" t="s">
        <v>3457</v>
      </c>
      <c r="F322" s="70" t="s">
        <v>3341</v>
      </c>
      <c r="G322" s="70" t="s">
        <v>3172</v>
      </c>
      <c r="H322" s="93"/>
      <c r="I322" s="85">
        <v>-999</v>
      </c>
      <c r="J322" s="85">
        <v>-999</v>
      </c>
      <c r="K322" s="131" t="s">
        <v>6628</v>
      </c>
      <c r="L322" s="61">
        <v>-999</v>
      </c>
      <c r="M322" s="33" t="s">
        <v>6728</v>
      </c>
      <c r="N322" s="48"/>
      <c r="Q322" s="6"/>
      <c r="R322" s="6"/>
    </row>
    <row r="323" spans="1:18" x14ac:dyDescent="0.15">
      <c r="A323" s="167" t="s">
        <v>7029</v>
      </c>
      <c r="B323" s="87"/>
      <c r="C323" s="88" t="s">
        <v>4905</v>
      </c>
      <c r="D323" s="86" t="s">
        <v>3437</v>
      </c>
      <c r="E323" s="86" t="s">
        <v>7773</v>
      </c>
      <c r="F323" s="86" t="s">
        <v>6909</v>
      </c>
      <c r="G323" s="86" t="s">
        <v>7120</v>
      </c>
      <c r="H323" s="87"/>
      <c r="I323" s="85">
        <f t="shared" ref="I323:I386" si="10">LOG(J323)</f>
        <v>2.1583624920952498</v>
      </c>
      <c r="J323" s="89">
        <v>144</v>
      </c>
      <c r="K323" s="132"/>
      <c r="L323" s="62" t="s">
        <v>1246</v>
      </c>
    </row>
    <row r="324" spans="1:18" x14ac:dyDescent="0.15">
      <c r="A324" s="167" t="s">
        <v>7029</v>
      </c>
      <c r="B324" s="87"/>
      <c r="C324" s="88" t="s">
        <v>4905</v>
      </c>
      <c r="D324" s="86" t="s">
        <v>6172</v>
      </c>
      <c r="E324" s="86" t="s">
        <v>6346</v>
      </c>
      <c r="F324" s="86" t="s">
        <v>4186</v>
      </c>
      <c r="G324" s="86" t="s">
        <v>7120</v>
      </c>
      <c r="H324" s="87"/>
      <c r="I324" s="85">
        <f t="shared" si="10"/>
        <v>5.1595671932336202</v>
      </c>
      <c r="J324" s="89">
        <v>144400</v>
      </c>
      <c r="K324" s="132"/>
      <c r="L324" s="61" t="s">
        <v>1122</v>
      </c>
    </row>
    <row r="325" spans="1:18" x14ac:dyDescent="0.15">
      <c r="A325" s="167" t="s">
        <v>7029</v>
      </c>
      <c r="B325" s="87"/>
      <c r="C325" s="88" t="s">
        <v>4905</v>
      </c>
      <c r="D325" s="86" t="s">
        <v>6172</v>
      </c>
      <c r="E325" s="86" t="s">
        <v>6346</v>
      </c>
      <c r="F325" s="86" t="s">
        <v>2227</v>
      </c>
      <c r="G325" s="86" t="s">
        <v>6921</v>
      </c>
      <c r="H325" s="87"/>
      <c r="I325" s="85">
        <f t="shared" si="10"/>
        <v>5.0969100130080562</v>
      </c>
      <c r="J325" s="89">
        <v>125000</v>
      </c>
      <c r="K325" s="132"/>
      <c r="L325" s="62">
        <v>51</v>
      </c>
    </row>
    <row r="326" spans="1:18" x14ac:dyDescent="0.15">
      <c r="A326" s="167" t="s">
        <v>7029</v>
      </c>
      <c r="B326" s="87"/>
      <c r="C326" s="88" t="s">
        <v>4905</v>
      </c>
      <c r="D326" s="86" t="s">
        <v>6172</v>
      </c>
      <c r="E326" s="86" t="s">
        <v>6346</v>
      </c>
      <c r="F326" s="86" t="s">
        <v>2227</v>
      </c>
      <c r="G326" s="86" t="s">
        <v>4660</v>
      </c>
      <c r="H326" s="87"/>
      <c r="I326" s="85">
        <f t="shared" si="10"/>
        <v>5.3010299956639813</v>
      </c>
      <c r="J326" s="89">
        <v>200000</v>
      </c>
      <c r="K326" s="132"/>
      <c r="L326" s="61">
        <v>51</v>
      </c>
    </row>
    <row r="327" spans="1:18" x14ac:dyDescent="0.15">
      <c r="A327" s="167" t="s">
        <v>7029</v>
      </c>
      <c r="B327" s="87"/>
      <c r="C327" s="88" t="s">
        <v>4905</v>
      </c>
      <c r="D327" s="86" t="s">
        <v>6172</v>
      </c>
      <c r="E327" s="86" t="s">
        <v>6346</v>
      </c>
      <c r="F327" s="86" t="s">
        <v>6919</v>
      </c>
      <c r="G327" s="86" t="s">
        <v>4116</v>
      </c>
      <c r="H327" s="87"/>
      <c r="I327" s="85">
        <f t="shared" si="10"/>
        <v>5.1760912590556813</v>
      </c>
      <c r="J327" s="89">
        <v>150000</v>
      </c>
      <c r="K327" s="132"/>
      <c r="L327" s="62">
        <v>51</v>
      </c>
      <c r="M327" s="50"/>
    </row>
    <row r="328" spans="1:18" x14ac:dyDescent="0.15">
      <c r="A328" s="167" t="s">
        <v>7029</v>
      </c>
      <c r="B328" s="87"/>
      <c r="C328" s="88" t="s">
        <v>4905</v>
      </c>
      <c r="D328" s="86" t="s">
        <v>6172</v>
      </c>
      <c r="E328" s="86" t="s">
        <v>6346</v>
      </c>
      <c r="F328" s="86" t="s">
        <v>6919</v>
      </c>
      <c r="G328" s="86" t="s">
        <v>6920</v>
      </c>
      <c r="H328" s="87"/>
      <c r="I328" s="85">
        <f t="shared" si="10"/>
        <v>5.3010299956639813</v>
      </c>
      <c r="J328" s="89">
        <v>200000</v>
      </c>
      <c r="K328" s="132"/>
      <c r="L328" s="61" t="s">
        <v>1783</v>
      </c>
      <c r="M328" s="50"/>
    </row>
    <row r="329" spans="1:18" x14ac:dyDescent="0.15">
      <c r="A329" s="167" t="s">
        <v>7029</v>
      </c>
      <c r="B329" s="87"/>
      <c r="C329" s="88" t="s">
        <v>4905</v>
      </c>
      <c r="D329" s="86" t="s">
        <v>6172</v>
      </c>
      <c r="E329" s="86" t="s">
        <v>6346</v>
      </c>
      <c r="F329" s="86" t="s">
        <v>6924</v>
      </c>
      <c r="G329" s="86" t="s">
        <v>6343</v>
      </c>
      <c r="H329" s="87"/>
      <c r="I329" s="85">
        <f t="shared" si="10"/>
        <v>4.6720978579357171</v>
      </c>
      <c r="J329" s="89">
        <v>47000</v>
      </c>
      <c r="K329" s="132"/>
      <c r="L329" s="62" t="s">
        <v>4377</v>
      </c>
      <c r="M329" s="50"/>
    </row>
    <row r="330" spans="1:18" x14ac:dyDescent="0.15">
      <c r="A330" s="86" t="s">
        <v>7029</v>
      </c>
      <c r="B330" s="87"/>
      <c r="C330" s="88" t="s">
        <v>4905</v>
      </c>
      <c r="D330" s="86" t="s">
        <v>6172</v>
      </c>
      <c r="E330" s="86" t="s">
        <v>2353</v>
      </c>
      <c r="F330" s="86" t="s">
        <v>6927</v>
      </c>
      <c r="G330" s="86" t="s">
        <v>7120</v>
      </c>
      <c r="H330" s="87"/>
      <c r="I330" s="85">
        <f t="shared" si="10"/>
        <v>5.2430380486862944</v>
      </c>
      <c r="J330" s="89">
        <v>175000</v>
      </c>
      <c r="K330" s="132"/>
      <c r="L330" s="61">
        <v>41</v>
      </c>
    </row>
    <row r="331" spans="1:18" x14ac:dyDescent="0.15">
      <c r="A331" s="167" t="s">
        <v>7029</v>
      </c>
      <c r="B331" s="87"/>
      <c r="C331" s="88" t="s">
        <v>4905</v>
      </c>
      <c r="D331" s="86" t="s">
        <v>6172</v>
      </c>
      <c r="E331" s="86" t="s">
        <v>2353</v>
      </c>
      <c r="F331" s="86" t="s">
        <v>6925</v>
      </c>
      <c r="G331" s="86" t="s">
        <v>6926</v>
      </c>
      <c r="H331" s="87"/>
      <c r="I331" s="85">
        <f t="shared" si="10"/>
        <v>6.1667260555800514</v>
      </c>
      <c r="J331" s="89">
        <v>1468000</v>
      </c>
      <c r="K331" s="132"/>
      <c r="L331" s="62" t="s">
        <v>1247</v>
      </c>
    </row>
    <row r="332" spans="1:18" x14ac:dyDescent="0.15">
      <c r="A332" s="167" t="s">
        <v>7029</v>
      </c>
      <c r="B332" s="87"/>
      <c r="C332" s="88" t="s">
        <v>4905</v>
      </c>
      <c r="D332" s="86" t="s">
        <v>6172</v>
      </c>
      <c r="E332" s="86" t="s">
        <v>2353</v>
      </c>
      <c r="F332" s="86" t="s">
        <v>2378</v>
      </c>
      <c r="G332" s="86" t="s">
        <v>2380</v>
      </c>
      <c r="H332" s="87"/>
      <c r="I332" s="85">
        <f t="shared" si="10"/>
        <v>5.9355072658247128</v>
      </c>
      <c r="J332" s="89">
        <v>862000</v>
      </c>
      <c r="K332" s="132"/>
      <c r="L332" s="61" t="s">
        <v>1247</v>
      </c>
    </row>
    <row r="333" spans="1:18" x14ac:dyDescent="0.15">
      <c r="A333" s="167" t="s">
        <v>7029</v>
      </c>
      <c r="B333" s="87"/>
      <c r="C333" s="88" t="s">
        <v>4905</v>
      </c>
      <c r="D333" s="86" t="s">
        <v>6172</v>
      </c>
      <c r="E333" s="86" t="s">
        <v>2353</v>
      </c>
      <c r="F333" s="86" t="s">
        <v>2378</v>
      </c>
      <c r="G333" s="86" t="s">
        <v>2379</v>
      </c>
      <c r="H333" s="87"/>
      <c r="I333" s="85">
        <f t="shared" si="10"/>
        <v>6.3010299956639813</v>
      </c>
      <c r="J333" s="89">
        <v>2000000</v>
      </c>
      <c r="K333" s="132"/>
      <c r="L333" s="61" t="s">
        <v>1125</v>
      </c>
    </row>
    <row r="334" spans="1:18" x14ac:dyDescent="0.15">
      <c r="A334" s="167" t="s">
        <v>7029</v>
      </c>
      <c r="B334" s="87"/>
      <c r="C334" s="88" t="s">
        <v>4905</v>
      </c>
      <c r="D334" s="86" t="s">
        <v>6172</v>
      </c>
      <c r="E334" s="86" t="s">
        <v>2353</v>
      </c>
      <c r="F334" s="86" t="s">
        <v>2381</v>
      </c>
      <c r="G334" s="86" t="s">
        <v>7120</v>
      </c>
      <c r="H334" s="87"/>
      <c r="I334" s="85">
        <f t="shared" si="10"/>
        <v>5.4471580313422194</v>
      </c>
      <c r="J334" s="89">
        <v>280000</v>
      </c>
      <c r="K334" s="132"/>
      <c r="L334" s="62" t="s">
        <v>1040</v>
      </c>
    </row>
    <row r="335" spans="1:18" x14ac:dyDescent="0.15">
      <c r="A335" s="167" t="s">
        <v>7029</v>
      </c>
      <c r="B335" s="87"/>
      <c r="C335" s="88" t="s">
        <v>4905</v>
      </c>
      <c r="D335" s="86" t="s">
        <v>6172</v>
      </c>
      <c r="E335" s="86" t="s">
        <v>2353</v>
      </c>
      <c r="F335" s="86" t="s">
        <v>2530</v>
      </c>
      <c r="G335" s="86" t="s">
        <v>7120</v>
      </c>
      <c r="H335" s="87"/>
      <c r="I335" s="85">
        <f t="shared" si="10"/>
        <v>5.3979400086720375</v>
      </c>
      <c r="J335" s="89">
        <v>250000</v>
      </c>
      <c r="K335" s="132"/>
      <c r="L335" s="62" t="s">
        <v>1040</v>
      </c>
    </row>
    <row r="336" spans="1:18" x14ac:dyDescent="0.15">
      <c r="A336" s="167" t="s">
        <v>7029</v>
      </c>
      <c r="B336" s="87"/>
      <c r="C336" s="88" t="s">
        <v>4905</v>
      </c>
      <c r="D336" s="86" t="s">
        <v>6172</v>
      </c>
      <c r="E336" s="86" t="s">
        <v>2353</v>
      </c>
      <c r="F336" s="86" t="s">
        <v>2326</v>
      </c>
      <c r="G336" s="86" t="s">
        <v>7120</v>
      </c>
      <c r="H336" s="87"/>
      <c r="I336" s="85">
        <f t="shared" si="10"/>
        <v>5.3010299956639813</v>
      </c>
      <c r="J336" s="89">
        <v>200000</v>
      </c>
      <c r="K336" s="132"/>
      <c r="L336" s="62" t="s">
        <v>1246</v>
      </c>
      <c r="M336" s="50"/>
    </row>
    <row r="337" spans="1:15" x14ac:dyDescent="0.15">
      <c r="A337" s="167" t="s">
        <v>7029</v>
      </c>
      <c r="B337" s="87"/>
      <c r="C337" s="88" t="s">
        <v>4905</v>
      </c>
      <c r="D337" s="86" t="s">
        <v>6172</v>
      </c>
      <c r="E337" s="86" t="s">
        <v>2353</v>
      </c>
      <c r="F337" s="86" t="s">
        <v>2531</v>
      </c>
      <c r="G337" s="86" t="s">
        <v>2325</v>
      </c>
      <c r="H337" s="87"/>
      <c r="I337" s="85">
        <f t="shared" si="10"/>
        <v>5.9030899869919438</v>
      </c>
      <c r="J337" s="89">
        <v>800000</v>
      </c>
      <c r="K337" s="132"/>
      <c r="L337" s="61">
        <v>39</v>
      </c>
      <c r="M337" s="50"/>
    </row>
    <row r="338" spans="1:15" x14ac:dyDescent="0.15">
      <c r="A338" s="167" t="s">
        <v>7029</v>
      </c>
      <c r="B338" s="87"/>
      <c r="C338" s="88" t="s">
        <v>4905</v>
      </c>
      <c r="D338" s="86" t="s">
        <v>6172</v>
      </c>
      <c r="E338" s="86" t="s">
        <v>2353</v>
      </c>
      <c r="F338" s="86" t="s">
        <v>2531</v>
      </c>
      <c r="G338" s="86" t="s">
        <v>2324</v>
      </c>
      <c r="H338" s="87"/>
      <c r="I338" s="85">
        <f t="shared" si="10"/>
        <v>6.0413926851582254</v>
      </c>
      <c r="J338" s="89">
        <v>1100000</v>
      </c>
      <c r="K338" s="132"/>
      <c r="L338" s="62" t="s">
        <v>1783</v>
      </c>
      <c r="M338" s="50"/>
    </row>
    <row r="339" spans="1:15" x14ac:dyDescent="0.15">
      <c r="A339" s="167" t="s">
        <v>7029</v>
      </c>
      <c r="B339" s="87"/>
      <c r="C339" s="88" t="s">
        <v>4905</v>
      </c>
      <c r="D339" s="86" t="s">
        <v>6172</v>
      </c>
      <c r="E339" s="86" t="s">
        <v>2353</v>
      </c>
      <c r="F339" s="86" t="s">
        <v>5606</v>
      </c>
      <c r="G339" s="86" t="s">
        <v>5559</v>
      </c>
      <c r="H339" s="87"/>
      <c r="I339" s="85">
        <f t="shared" si="10"/>
        <v>6.0257153839013409</v>
      </c>
      <c r="J339" s="89">
        <v>1061000</v>
      </c>
      <c r="K339" s="132"/>
      <c r="L339" s="62" t="s">
        <v>1247</v>
      </c>
      <c r="M339" s="50"/>
    </row>
    <row r="340" spans="1:15" x14ac:dyDescent="0.15">
      <c r="A340" s="167" t="s">
        <v>7029</v>
      </c>
      <c r="B340" s="87"/>
      <c r="C340" s="88" t="s">
        <v>4905</v>
      </c>
      <c r="D340" s="86" t="s">
        <v>6172</v>
      </c>
      <c r="E340" s="86" t="s">
        <v>2353</v>
      </c>
      <c r="F340" s="86" t="s">
        <v>5607</v>
      </c>
      <c r="G340" s="86" t="s">
        <v>4376</v>
      </c>
      <c r="H340" s="87"/>
      <c r="I340" s="85">
        <f t="shared" si="10"/>
        <v>6.1139433523068369</v>
      </c>
      <c r="J340" s="89">
        <v>1300000</v>
      </c>
      <c r="K340" s="132"/>
      <c r="L340" s="61" t="s">
        <v>1078</v>
      </c>
      <c r="M340" s="50"/>
    </row>
    <row r="341" spans="1:15" x14ac:dyDescent="0.15">
      <c r="A341" s="167" t="s">
        <v>7029</v>
      </c>
      <c r="B341" s="87"/>
      <c r="C341" s="88" t="s">
        <v>4905</v>
      </c>
      <c r="D341" s="86" t="s">
        <v>6172</v>
      </c>
      <c r="E341" s="86" t="s">
        <v>2353</v>
      </c>
      <c r="F341" s="86" t="s">
        <v>2654</v>
      </c>
      <c r="G341" s="86" t="s">
        <v>4724</v>
      </c>
      <c r="H341" s="87"/>
      <c r="I341" s="85">
        <f t="shared" si="10"/>
        <v>5.4471580313422194</v>
      </c>
      <c r="J341" s="89">
        <v>280000</v>
      </c>
      <c r="K341" s="132"/>
      <c r="L341" s="62" t="s">
        <v>920</v>
      </c>
    </row>
    <row r="342" spans="1:15" x14ac:dyDescent="0.15">
      <c r="A342" s="167" t="s">
        <v>7029</v>
      </c>
      <c r="B342" s="87"/>
      <c r="C342" s="88" t="s">
        <v>4905</v>
      </c>
      <c r="D342" s="86" t="s">
        <v>6172</v>
      </c>
      <c r="E342" s="86" t="s">
        <v>3151</v>
      </c>
      <c r="F342" s="86" t="s">
        <v>2567</v>
      </c>
      <c r="G342" s="86" t="s">
        <v>7120</v>
      </c>
      <c r="H342" s="87"/>
      <c r="I342" s="85">
        <f t="shared" si="10"/>
        <v>5</v>
      </c>
      <c r="J342" s="89">
        <v>100000</v>
      </c>
      <c r="K342" s="132"/>
      <c r="L342" s="61" t="s">
        <v>1040</v>
      </c>
      <c r="M342" s="50"/>
    </row>
    <row r="343" spans="1:15" x14ac:dyDescent="0.15">
      <c r="A343" s="167" t="s">
        <v>7029</v>
      </c>
      <c r="B343" s="87"/>
      <c r="C343" s="88" t="s">
        <v>4905</v>
      </c>
      <c r="D343" s="86" t="s">
        <v>6172</v>
      </c>
      <c r="E343" s="86" t="s">
        <v>3151</v>
      </c>
      <c r="F343" s="86" t="s">
        <v>2477</v>
      </c>
      <c r="G343" s="86" t="s">
        <v>7120</v>
      </c>
      <c r="H343" s="87"/>
      <c r="I343" s="85">
        <f t="shared" si="10"/>
        <v>5.1760912590556813</v>
      </c>
      <c r="J343" s="89">
        <v>150000</v>
      </c>
      <c r="K343" s="132"/>
      <c r="L343" s="61">
        <v>1</v>
      </c>
      <c r="M343" s="50"/>
      <c r="O343" s="51"/>
    </row>
    <row r="344" spans="1:15" x14ac:dyDescent="0.15">
      <c r="A344" s="167" t="s">
        <v>7029</v>
      </c>
      <c r="B344" s="87"/>
      <c r="C344" s="88" t="s">
        <v>4905</v>
      </c>
      <c r="D344" s="86" t="s">
        <v>6172</v>
      </c>
      <c r="E344" s="86" t="s">
        <v>3151</v>
      </c>
      <c r="F344" s="86" t="s">
        <v>2478</v>
      </c>
      <c r="G344" s="86" t="s">
        <v>7120</v>
      </c>
      <c r="H344" s="87"/>
      <c r="I344" s="85">
        <f t="shared" si="10"/>
        <v>5.4771212547196626</v>
      </c>
      <c r="J344" s="89">
        <v>300000</v>
      </c>
      <c r="K344" s="132"/>
      <c r="L344" s="61" t="s">
        <v>1040</v>
      </c>
      <c r="M344" s="50"/>
    </row>
    <row r="345" spans="1:15" x14ac:dyDescent="0.15">
      <c r="A345" s="167" t="s">
        <v>7029</v>
      </c>
      <c r="B345" s="87"/>
      <c r="C345" s="88" t="s">
        <v>4905</v>
      </c>
      <c r="D345" s="86" t="s">
        <v>6172</v>
      </c>
      <c r="E345" s="86" t="s">
        <v>3151</v>
      </c>
      <c r="F345" s="86" t="s">
        <v>2565</v>
      </c>
      <c r="G345" s="86" t="s">
        <v>7120</v>
      </c>
      <c r="H345" s="87"/>
      <c r="I345" s="85">
        <f t="shared" si="10"/>
        <v>5.3010299956639813</v>
      </c>
      <c r="J345" s="89">
        <v>200000</v>
      </c>
      <c r="K345" s="132"/>
      <c r="L345" s="61" t="s">
        <v>1122</v>
      </c>
      <c r="M345" s="50"/>
    </row>
    <row r="346" spans="1:15" x14ac:dyDescent="0.15">
      <c r="A346" s="167" t="s">
        <v>7029</v>
      </c>
      <c r="B346" s="87"/>
      <c r="C346" s="88" t="s">
        <v>4905</v>
      </c>
      <c r="D346" s="86" t="s">
        <v>6172</v>
      </c>
      <c r="E346" s="86" t="s">
        <v>2259</v>
      </c>
      <c r="F346" s="86" t="s">
        <v>2243</v>
      </c>
      <c r="G346" s="86" t="s">
        <v>6804</v>
      </c>
      <c r="H346" s="87"/>
      <c r="I346" s="85">
        <f t="shared" si="10"/>
        <v>5.9030899869919438</v>
      </c>
      <c r="J346" s="89">
        <v>800000</v>
      </c>
      <c r="K346" s="132"/>
      <c r="L346" s="62">
        <v>54</v>
      </c>
    </row>
    <row r="347" spans="1:15" x14ac:dyDescent="0.15">
      <c r="A347" s="167" t="s">
        <v>7029</v>
      </c>
      <c r="B347" s="87"/>
      <c r="C347" s="88" t="s">
        <v>4905</v>
      </c>
      <c r="D347" s="86" t="s">
        <v>6172</v>
      </c>
      <c r="E347" s="86" t="s">
        <v>2259</v>
      </c>
      <c r="F347" s="86" t="s">
        <v>2243</v>
      </c>
      <c r="G347" s="86" t="s">
        <v>2244</v>
      </c>
      <c r="H347" s="87"/>
      <c r="I347" s="85">
        <f t="shared" si="10"/>
        <v>6.5440680443502757</v>
      </c>
      <c r="J347" s="89">
        <v>3500000</v>
      </c>
      <c r="K347" s="132"/>
      <c r="L347" s="62" t="s">
        <v>243</v>
      </c>
    </row>
    <row r="348" spans="1:15" x14ac:dyDescent="0.15">
      <c r="A348" s="167" t="s">
        <v>7029</v>
      </c>
      <c r="B348" s="87"/>
      <c r="C348" s="88" t="s">
        <v>4905</v>
      </c>
      <c r="D348" s="86" t="s">
        <v>6172</v>
      </c>
      <c r="E348" s="86" t="s">
        <v>2259</v>
      </c>
      <c r="F348" s="86" t="s">
        <v>6805</v>
      </c>
      <c r="G348" s="86" t="s">
        <v>2174</v>
      </c>
      <c r="H348" s="87"/>
      <c r="I348" s="85">
        <f t="shared" si="10"/>
        <v>6.796921075330169</v>
      </c>
      <c r="J348" s="89">
        <v>6265000</v>
      </c>
      <c r="K348" s="132"/>
      <c r="L348" s="61" t="s">
        <v>1773</v>
      </c>
    </row>
    <row r="349" spans="1:15" x14ac:dyDescent="0.15">
      <c r="A349" s="167" t="s">
        <v>7029</v>
      </c>
      <c r="B349" s="87"/>
      <c r="C349" s="88" t="s">
        <v>4905</v>
      </c>
      <c r="D349" s="86" t="s">
        <v>6172</v>
      </c>
      <c r="E349" s="86" t="s">
        <v>2259</v>
      </c>
      <c r="F349" s="86" t="s">
        <v>6996</v>
      </c>
      <c r="G349" s="86" t="s">
        <v>7120</v>
      </c>
      <c r="H349" s="87"/>
      <c r="I349" s="85">
        <f t="shared" si="10"/>
        <v>6.5440680443502757</v>
      </c>
      <c r="J349" s="89">
        <v>3500000</v>
      </c>
      <c r="K349" s="132"/>
      <c r="L349" s="61">
        <v>40</v>
      </c>
      <c r="M349" s="50"/>
    </row>
    <row r="350" spans="1:15" x14ac:dyDescent="0.15">
      <c r="A350" s="167" t="s">
        <v>7029</v>
      </c>
      <c r="B350" s="87"/>
      <c r="C350" s="88" t="s">
        <v>4905</v>
      </c>
      <c r="D350" s="86" t="s">
        <v>6172</v>
      </c>
      <c r="E350" s="86" t="s">
        <v>7022</v>
      </c>
      <c r="F350" s="86" t="s">
        <v>4863</v>
      </c>
      <c r="G350" s="86" t="s">
        <v>2656</v>
      </c>
      <c r="H350" s="87"/>
      <c r="I350" s="85">
        <f t="shared" si="10"/>
        <v>6.0791812460476251</v>
      </c>
      <c r="J350" s="89">
        <v>1200000</v>
      </c>
      <c r="K350" s="132"/>
      <c r="L350" s="62">
        <v>39</v>
      </c>
    </row>
    <row r="351" spans="1:15" x14ac:dyDescent="0.15">
      <c r="A351" s="167" t="s">
        <v>7029</v>
      </c>
      <c r="B351" s="87"/>
      <c r="C351" s="88" t="s">
        <v>4905</v>
      </c>
      <c r="D351" s="86" t="s">
        <v>6172</v>
      </c>
      <c r="E351" s="86" t="s">
        <v>7022</v>
      </c>
      <c r="F351" s="86" t="s">
        <v>4863</v>
      </c>
      <c r="G351" s="86" t="s">
        <v>6997</v>
      </c>
      <c r="H351" s="87"/>
      <c r="I351" s="85">
        <f t="shared" si="10"/>
        <v>6.2337573629655108</v>
      </c>
      <c r="J351" s="89">
        <v>1713000</v>
      </c>
      <c r="K351" s="132"/>
      <c r="L351" s="61" t="s">
        <v>1124</v>
      </c>
    </row>
    <row r="352" spans="1:15" x14ac:dyDescent="0.15">
      <c r="A352" s="167" t="s">
        <v>7029</v>
      </c>
      <c r="B352" s="87"/>
      <c r="C352" s="88" t="s">
        <v>4905</v>
      </c>
      <c r="D352" s="86" t="s">
        <v>6172</v>
      </c>
      <c r="E352" s="86" t="s">
        <v>7022</v>
      </c>
      <c r="F352" s="86" t="s">
        <v>2564</v>
      </c>
      <c r="G352" s="86" t="s">
        <v>6143</v>
      </c>
      <c r="H352" s="87"/>
      <c r="I352" s="85">
        <f t="shared" si="10"/>
        <v>6.531095546870028</v>
      </c>
      <c r="J352" s="89">
        <v>3397000</v>
      </c>
      <c r="K352" s="132"/>
      <c r="L352" s="61" t="s">
        <v>1779</v>
      </c>
    </row>
    <row r="353" spans="1:16" x14ac:dyDescent="0.15">
      <c r="A353" s="167" t="s">
        <v>7029</v>
      </c>
      <c r="B353" s="87"/>
      <c r="C353" s="88" t="s">
        <v>4905</v>
      </c>
      <c r="D353" s="86" t="s">
        <v>6172</v>
      </c>
      <c r="E353" s="86" t="s">
        <v>7022</v>
      </c>
      <c r="F353" s="86" t="s">
        <v>6801</v>
      </c>
      <c r="G353" s="86" t="s">
        <v>6802</v>
      </c>
      <c r="H353" s="87"/>
      <c r="I353" s="85">
        <f t="shared" si="10"/>
        <v>6</v>
      </c>
      <c r="J353" s="89">
        <v>1000000</v>
      </c>
      <c r="K353" s="132"/>
      <c r="L353" s="62">
        <v>40</v>
      </c>
    </row>
    <row r="354" spans="1:16" x14ac:dyDescent="0.15">
      <c r="A354" s="167" t="s">
        <v>7029</v>
      </c>
      <c r="B354" s="87"/>
      <c r="C354" s="88" t="s">
        <v>4905</v>
      </c>
      <c r="D354" s="86" t="s">
        <v>6172</v>
      </c>
      <c r="E354" s="86" t="s">
        <v>7022</v>
      </c>
      <c r="F354" s="86" t="s">
        <v>2288</v>
      </c>
      <c r="G354" s="86" t="s">
        <v>7120</v>
      </c>
      <c r="H354" s="87"/>
      <c r="I354" s="85">
        <f t="shared" si="10"/>
        <v>6</v>
      </c>
      <c r="J354" s="89">
        <v>1000000</v>
      </c>
      <c r="K354" s="132"/>
      <c r="L354" s="61">
        <v>11</v>
      </c>
      <c r="M354" s="50"/>
    </row>
    <row r="355" spans="1:16" x14ac:dyDescent="0.15">
      <c r="A355" s="167" t="s">
        <v>7029</v>
      </c>
      <c r="B355" s="87"/>
      <c r="C355" s="88" t="s">
        <v>4905</v>
      </c>
      <c r="D355" s="86" t="s">
        <v>6172</v>
      </c>
      <c r="E355" s="86" t="s">
        <v>7022</v>
      </c>
      <c r="F355" s="86" t="s">
        <v>6842</v>
      </c>
      <c r="G355" s="86" t="s">
        <v>6843</v>
      </c>
      <c r="H355" s="87"/>
      <c r="I355" s="85">
        <f t="shared" si="10"/>
        <v>6.0488300865283504</v>
      </c>
      <c r="J355" s="89">
        <v>1119000</v>
      </c>
      <c r="K355" s="132"/>
      <c r="L355" s="61" t="s">
        <v>1124</v>
      </c>
      <c r="M355" s="50"/>
    </row>
    <row r="356" spans="1:16" ht="14" x14ac:dyDescent="0.15">
      <c r="A356" s="166" t="s">
        <v>2633</v>
      </c>
      <c r="B356" s="82"/>
      <c r="C356" s="70" t="s">
        <v>3636</v>
      </c>
      <c r="D356" s="70" t="s">
        <v>2837</v>
      </c>
      <c r="E356" s="70" t="s">
        <v>3178</v>
      </c>
      <c r="F356" s="70" t="s">
        <v>3179</v>
      </c>
      <c r="G356" s="70" t="s">
        <v>3180</v>
      </c>
      <c r="H356" s="93"/>
      <c r="I356" s="85">
        <f t="shared" si="10"/>
        <v>4.8451000000000004</v>
      </c>
      <c r="J356" s="85">
        <v>70000.315913089813</v>
      </c>
      <c r="K356" s="131" t="s">
        <v>6522</v>
      </c>
      <c r="L356" s="60">
        <v>60</v>
      </c>
      <c r="M356" s="49" t="s">
        <v>6809</v>
      </c>
    </row>
    <row r="357" spans="1:16" ht="28" x14ac:dyDescent="0.15">
      <c r="A357" s="166" t="s">
        <v>2633</v>
      </c>
      <c r="B357" s="82"/>
      <c r="C357" s="70" t="s">
        <v>3636</v>
      </c>
      <c r="D357" s="70" t="s">
        <v>2837</v>
      </c>
      <c r="E357" s="70" t="s">
        <v>3178</v>
      </c>
      <c r="F357" s="70" t="s">
        <v>3181</v>
      </c>
      <c r="G357" s="70" t="s">
        <v>3182</v>
      </c>
      <c r="H357" s="93"/>
      <c r="I357" s="85">
        <f t="shared" si="10"/>
        <v>4.7201600000000008</v>
      </c>
      <c r="J357" s="85">
        <v>52500.084208338223</v>
      </c>
      <c r="K357" s="131" t="s">
        <v>7885</v>
      </c>
      <c r="L357" s="60" t="s">
        <v>2686</v>
      </c>
      <c r="M357" s="49" t="s">
        <v>6392</v>
      </c>
    </row>
    <row r="358" spans="1:16" ht="42" x14ac:dyDescent="0.15">
      <c r="A358" s="166" t="s">
        <v>2633</v>
      </c>
      <c r="B358" s="82"/>
      <c r="C358" s="70" t="s">
        <v>3636</v>
      </c>
      <c r="D358" s="70" t="s">
        <v>2837</v>
      </c>
      <c r="E358" s="70" t="s">
        <v>3178</v>
      </c>
      <c r="F358" s="70" t="s">
        <v>3450</v>
      </c>
      <c r="G358" s="70" t="s">
        <v>3860</v>
      </c>
      <c r="H358" s="93"/>
      <c r="I358" s="85">
        <f t="shared" si="10"/>
        <v>5.2329999999999997</v>
      </c>
      <c r="J358" s="85">
        <v>171001.53150902878</v>
      </c>
      <c r="K358" s="131" t="s">
        <v>6726</v>
      </c>
      <c r="L358" s="60" t="s">
        <v>2686</v>
      </c>
      <c r="M358" s="49" t="s">
        <v>6392</v>
      </c>
    </row>
    <row r="359" spans="1:16" ht="14" x14ac:dyDescent="0.15">
      <c r="A359" s="166" t="s">
        <v>2633</v>
      </c>
      <c r="B359" s="82"/>
      <c r="C359" s="70" t="s">
        <v>3636</v>
      </c>
      <c r="D359" s="70" t="s">
        <v>2837</v>
      </c>
      <c r="E359" s="70" t="s">
        <v>3178</v>
      </c>
      <c r="F359" s="70" t="s">
        <v>3861</v>
      </c>
      <c r="G359" s="70" t="s">
        <v>3862</v>
      </c>
      <c r="H359" s="93"/>
      <c r="I359" s="85">
        <f t="shared" si="10"/>
        <v>4.4479300000000004</v>
      </c>
      <c r="J359" s="85">
        <v>28049.814919141725</v>
      </c>
      <c r="K359" s="131" t="s">
        <v>6818</v>
      </c>
      <c r="L359" s="60">
        <v>60</v>
      </c>
      <c r="M359" s="49" t="s">
        <v>6728</v>
      </c>
    </row>
    <row r="360" spans="1:16" ht="14" x14ac:dyDescent="0.15">
      <c r="A360" s="166" t="s">
        <v>2633</v>
      </c>
      <c r="B360" s="82"/>
      <c r="C360" s="70" t="s">
        <v>3636</v>
      </c>
      <c r="D360" s="70" t="s">
        <v>2837</v>
      </c>
      <c r="E360" s="70" t="s">
        <v>3178</v>
      </c>
      <c r="F360" s="70" t="s">
        <v>3454</v>
      </c>
      <c r="G360" s="70" t="s">
        <v>3191</v>
      </c>
      <c r="H360" s="93"/>
      <c r="I360" s="85">
        <f t="shared" si="10"/>
        <v>4.6812412373755876</v>
      </c>
      <c r="J360" s="85">
        <v>48000</v>
      </c>
      <c r="K360" s="131" t="s">
        <v>6817</v>
      </c>
      <c r="L360" s="60">
        <v>75</v>
      </c>
      <c r="M360" s="49" t="s">
        <v>6728</v>
      </c>
    </row>
    <row r="361" spans="1:16" ht="28" x14ac:dyDescent="0.15">
      <c r="A361" s="166" t="s">
        <v>2633</v>
      </c>
      <c r="B361" s="82"/>
      <c r="C361" s="70" t="s">
        <v>3636</v>
      </c>
      <c r="D361" s="70" t="s">
        <v>2837</v>
      </c>
      <c r="E361" s="70" t="s">
        <v>3178</v>
      </c>
      <c r="F361" s="70" t="s">
        <v>3192</v>
      </c>
      <c r="G361" s="70" t="s">
        <v>2996</v>
      </c>
      <c r="H361" s="93"/>
      <c r="I361" s="85">
        <f t="shared" si="10"/>
        <v>4.4983105537896009</v>
      </c>
      <c r="J361" s="85">
        <f>AVERAGE(32000, 31000)</f>
        <v>31500</v>
      </c>
      <c r="K361" s="131" t="s">
        <v>6819</v>
      </c>
      <c r="L361" s="60">
        <v>236</v>
      </c>
      <c r="M361" s="49" t="s">
        <v>6392</v>
      </c>
      <c r="P361" s="49"/>
    </row>
    <row r="362" spans="1:16" ht="14" x14ac:dyDescent="0.15">
      <c r="A362" s="166" t="s">
        <v>2633</v>
      </c>
      <c r="B362" s="82"/>
      <c r="C362" s="70" t="s">
        <v>3636</v>
      </c>
      <c r="D362" s="70" t="s">
        <v>2837</v>
      </c>
      <c r="E362" s="70" t="s">
        <v>3178</v>
      </c>
      <c r="F362" s="70" t="s">
        <v>3885</v>
      </c>
      <c r="G362" s="70" t="s">
        <v>7810</v>
      </c>
      <c r="H362" s="93"/>
      <c r="I362" s="85">
        <f t="shared" si="10"/>
        <v>5.9542425094393252</v>
      </c>
      <c r="J362" s="85">
        <v>900000</v>
      </c>
      <c r="K362" s="131" t="s">
        <v>6485</v>
      </c>
      <c r="L362" s="60">
        <v>-999</v>
      </c>
      <c r="M362" s="33"/>
    </row>
    <row r="363" spans="1:16" ht="42" x14ac:dyDescent="0.15">
      <c r="A363" s="166" t="s">
        <v>2633</v>
      </c>
      <c r="B363" s="82"/>
      <c r="C363" s="70" t="s">
        <v>3636</v>
      </c>
      <c r="D363" s="70" t="s">
        <v>2837</v>
      </c>
      <c r="E363" s="70" t="s">
        <v>3178</v>
      </c>
      <c r="F363" s="70" t="s">
        <v>2997</v>
      </c>
      <c r="G363" s="70" t="s">
        <v>7976</v>
      </c>
      <c r="H363" s="93"/>
      <c r="I363" s="85">
        <f t="shared" si="10"/>
        <v>4.897625334934645</v>
      </c>
      <c r="J363" s="85">
        <v>78999.680512110644</v>
      </c>
      <c r="K363" s="131" t="s">
        <v>6741</v>
      </c>
      <c r="L363" s="60">
        <v>70</v>
      </c>
      <c r="M363" s="49" t="s">
        <v>6390</v>
      </c>
    </row>
    <row r="364" spans="1:16" ht="28" x14ac:dyDescent="0.15">
      <c r="A364" s="166" t="s">
        <v>2633</v>
      </c>
      <c r="B364" s="82"/>
      <c r="C364" s="70" t="s">
        <v>3636</v>
      </c>
      <c r="D364" s="70" t="s">
        <v>2837</v>
      </c>
      <c r="E364" s="70" t="s">
        <v>3178</v>
      </c>
      <c r="F364" s="70" t="s">
        <v>2997</v>
      </c>
      <c r="G364" s="70" t="s">
        <v>4973</v>
      </c>
      <c r="H364" s="93"/>
      <c r="I364" s="85">
        <f t="shared" si="10"/>
        <v>5</v>
      </c>
      <c r="J364" s="85">
        <v>100000</v>
      </c>
      <c r="K364" s="131" t="s">
        <v>6853</v>
      </c>
      <c r="L364" s="60">
        <v>-999</v>
      </c>
      <c r="M364" s="49" t="s">
        <v>6809</v>
      </c>
    </row>
    <row r="365" spans="1:16" ht="14" x14ac:dyDescent="0.15">
      <c r="A365" s="166" t="s">
        <v>2633</v>
      </c>
      <c r="B365" s="82"/>
      <c r="C365" s="70" t="s">
        <v>3636</v>
      </c>
      <c r="D365" s="70" t="s">
        <v>2837</v>
      </c>
      <c r="E365" s="70" t="s">
        <v>3178</v>
      </c>
      <c r="F365" s="70" t="s">
        <v>2997</v>
      </c>
      <c r="G365" s="70" t="s">
        <v>2998</v>
      </c>
      <c r="H365" s="93"/>
      <c r="I365" s="85">
        <f t="shared" si="10"/>
        <v>5.0043200000000008</v>
      </c>
      <c r="J365" s="85">
        <v>100999.68051211064</v>
      </c>
      <c r="K365" s="131" t="s">
        <v>3177</v>
      </c>
      <c r="L365" s="60">
        <v>65</v>
      </c>
    </row>
    <row r="366" spans="1:16" ht="14" x14ac:dyDescent="0.15">
      <c r="A366" s="166" t="s">
        <v>2633</v>
      </c>
      <c r="B366" s="82"/>
      <c r="C366" s="70" t="s">
        <v>3636</v>
      </c>
      <c r="D366" s="70" t="s">
        <v>2837</v>
      </c>
      <c r="E366" s="70" t="s">
        <v>3178</v>
      </c>
      <c r="F366" s="70" t="s">
        <v>2999</v>
      </c>
      <c r="G366" s="70" t="s">
        <v>3866</v>
      </c>
      <c r="H366" s="93"/>
      <c r="I366" s="85">
        <f t="shared" si="10"/>
        <v>3.7958799999999999</v>
      </c>
      <c r="J366" s="85">
        <v>6249.9997503986979</v>
      </c>
      <c r="K366" s="131" t="s">
        <v>3177</v>
      </c>
      <c r="L366" s="60">
        <v>60</v>
      </c>
    </row>
    <row r="367" spans="1:16" ht="14" x14ac:dyDescent="0.15">
      <c r="A367" s="166" t="s">
        <v>2633</v>
      </c>
      <c r="B367" s="82"/>
      <c r="C367" s="70" t="s">
        <v>3636</v>
      </c>
      <c r="D367" s="70" t="s">
        <v>2837</v>
      </c>
      <c r="E367" s="70" t="s">
        <v>3178</v>
      </c>
      <c r="F367" s="70" t="s">
        <v>2999</v>
      </c>
      <c r="G367" s="70" t="s">
        <v>3000</v>
      </c>
      <c r="H367" s="93"/>
      <c r="I367" s="85">
        <f t="shared" si="10"/>
        <v>3.9661400000000011</v>
      </c>
      <c r="J367" s="85">
        <v>9249.9630946172765</v>
      </c>
      <c r="K367" s="131" t="s">
        <v>6817</v>
      </c>
      <c r="L367" s="60" t="s">
        <v>2686</v>
      </c>
      <c r="M367" s="49" t="s">
        <v>6390</v>
      </c>
    </row>
    <row r="368" spans="1:16" ht="14" x14ac:dyDescent="0.15">
      <c r="A368" s="166" t="s">
        <v>2633</v>
      </c>
      <c r="B368" s="82"/>
      <c r="C368" s="70" t="s">
        <v>3636</v>
      </c>
      <c r="D368" s="70" t="s">
        <v>2837</v>
      </c>
      <c r="E368" s="70" t="s">
        <v>3178</v>
      </c>
      <c r="F368" s="70" t="s">
        <v>2999</v>
      </c>
      <c r="G368" s="70" t="s">
        <v>3865</v>
      </c>
      <c r="H368" s="93"/>
      <c r="I368" s="85">
        <f t="shared" si="10"/>
        <v>4.0791800000000009</v>
      </c>
      <c r="J368" s="85">
        <v>11999.965570481174</v>
      </c>
      <c r="K368" s="131" t="s">
        <v>6522</v>
      </c>
      <c r="L368" s="60" t="s">
        <v>2686</v>
      </c>
      <c r="M368" s="49" t="s">
        <v>6392</v>
      </c>
    </row>
    <row r="369" spans="1:13" ht="14" x14ac:dyDescent="0.15">
      <c r="A369" s="166" t="s">
        <v>2633</v>
      </c>
      <c r="B369" s="82"/>
      <c r="C369" s="70" t="s">
        <v>3636</v>
      </c>
      <c r="D369" s="70" t="s">
        <v>2837</v>
      </c>
      <c r="E369" s="70" t="s">
        <v>3178</v>
      </c>
      <c r="F369" s="70" t="s">
        <v>2999</v>
      </c>
      <c r="G369" s="70" t="s">
        <v>3455</v>
      </c>
      <c r="H369" s="93"/>
      <c r="I369" s="85">
        <f t="shared" si="10"/>
        <v>4.0791800000000009</v>
      </c>
      <c r="J369" s="85">
        <v>11999.965570481174</v>
      </c>
      <c r="K369" s="131" t="s">
        <v>6817</v>
      </c>
      <c r="L369" s="60">
        <v>60</v>
      </c>
      <c r="M369" s="49" t="s">
        <v>6392</v>
      </c>
    </row>
    <row r="370" spans="1:13" ht="14" x14ac:dyDescent="0.15">
      <c r="A370" s="166" t="s">
        <v>2633</v>
      </c>
      <c r="B370" s="82"/>
      <c r="C370" s="70" t="s">
        <v>3636</v>
      </c>
      <c r="D370" s="70" t="s">
        <v>2837</v>
      </c>
      <c r="E370" s="70" t="s">
        <v>3178</v>
      </c>
      <c r="F370" s="70" t="s">
        <v>2999</v>
      </c>
      <c r="G370" s="70" t="s">
        <v>3894</v>
      </c>
      <c r="H370" s="93"/>
      <c r="I370" s="85">
        <f t="shared" si="10"/>
        <v>4.0791800000000009</v>
      </c>
      <c r="J370" s="85">
        <v>11999.965570481174</v>
      </c>
      <c r="K370" s="131" t="s">
        <v>6522</v>
      </c>
      <c r="L370" s="60" t="s">
        <v>2686</v>
      </c>
      <c r="M370" s="49" t="s">
        <v>6392</v>
      </c>
    </row>
    <row r="371" spans="1:13" ht="14" x14ac:dyDescent="0.15">
      <c r="A371" s="166" t="s">
        <v>2633</v>
      </c>
      <c r="B371" s="82"/>
      <c r="C371" s="70" t="s">
        <v>3636</v>
      </c>
      <c r="D371" s="70" t="s">
        <v>2837</v>
      </c>
      <c r="E371" s="70" t="s">
        <v>3178</v>
      </c>
      <c r="F371" s="70" t="s">
        <v>2999</v>
      </c>
      <c r="G371" s="70" t="s">
        <v>3864</v>
      </c>
      <c r="H371" s="93"/>
      <c r="I371" s="85">
        <f t="shared" si="10"/>
        <v>4.1038000000000006</v>
      </c>
      <c r="J371" s="85">
        <v>12699.891189181128</v>
      </c>
      <c r="K371" s="131" t="s">
        <v>6817</v>
      </c>
      <c r="L371" s="60">
        <v>60</v>
      </c>
      <c r="M371" s="49" t="s">
        <v>6392</v>
      </c>
    </row>
    <row r="372" spans="1:13" ht="14" x14ac:dyDescent="0.15">
      <c r="A372" s="166" t="s">
        <v>2633</v>
      </c>
      <c r="B372" s="82"/>
      <c r="C372" s="70" t="s">
        <v>3636</v>
      </c>
      <c r="D372" s="70" t="s">
        <v>2837</v>
      </c>
      <c r="E372" s="70" t="s">
        <v>3178</v>
      </c>
      <c r="F372" s="70" t="s">
        <v>2999</v>
      </c>
      <c r="G372" s="70" t="s">
        <v>3657</v>
      </c>
      <c r="H372" s="93"/>
      <c r="I372" s="85">
        <f t="shared" si="10"/>
        <v>4.1430100000000003</v>
      </c>
      <c r="J372" s="85">
        <v>13899.846364239125</v>
      </c>
      <c r="K372" s="131" t="s">
        <v>6817</v>
      </c>
      <c r="L372" s="60">
        <v>60</v>
      </c>
      <c r="M372" s="49" t="s">
        <v>6392</v>
      </c>
    </row>
    <row r="373" spans="1:13" ht="14" x14ac:dyDescent="0.15">
      <c r="A373" s="166" t="s">
        <v>2633</v>
      </c>
      <c r="B373" s="82"/>
      <c r="C373" s="70" t="s">
        <v>3636</v>
      </c>
      <c r="D373" s="70" t="s">
        <v>2837</v>
      </c>
      <c r="E373" s="70" t="s">
        <v>3178</v>
      </c>
      <c r="F373" s="70" t="s">
        <v>2999</v>
      </c>
      <c r="G373" s="70" t="s">
        <v>4118</v>
      </c>
      <c r="H373" s="93"/>
      <c r="I373" s="85">
        <f t="shared" si="10"/>
        <v>4.1613700000000007</v>
      </c>
      <c r="J373" s="85">
        <v>14500.066700500938</v>
      </c>
      <c r="K373" s="131" t="s">
        <v>6817</v>
      </c>
      <c r="L373" s="60" t="s">
        <v>2686</v>
      </c>
      <c r="M373" s="49" t="s">
        <v>6392</v>
      </c>
    </row>
    <row r="374" spans="1:13" ht="14" x14ac:dyDescent="0.15">
      <c r="A374" s="166" t="s">
        <v>2633</v>
      </c>
      <c r="B374" s="82"/>
      <c r="C374" s="70" t="s">
        <v>3636</v>
      </c>
      <c r="D374" s="70" t="s">
        <v>2837</v>
      </c>
      <c r="E374" s="70" t="s">
        <v>3178</v>
      </c>
      <c r="F374" s="70" t="s">
        <v>2999</v>
      </c>
      <c r="G374" s="70" t="s">
        <v>3420</v>
      </c>
      <c r="H374" s="93"/>
      <c r="I374" s="85">
        <f t="shared" si="10"/>
        <v>4.1760900000000003</v>
      </c>
      <c r="J374" s="85">
        <v>14999.956513820405</v>
      </c>
      <c r="K374" s="131" t="s">
        <v>3177</v>
      </c>
      <c r="L374" s="60">
        <v>60</v>
      </c>
    </row>
    <row r="375" spans="1:13" ht="14" x14ac:dyDescent="0.15">
      <c r="A375" s="166" t="s">
        <v>2633</v>
      </c>
      <c r="B375" s="93" t="s">
        <v>5854</v>
      </c>
      <c r="C375" s="70" t="s">
        <v>3636</v>
      </c>
      <c r="D375" s="70" t="s">
        <v>2837</v>
      </c>
      <c r="E375" s="70" t="s">
        <v>3178</v>
      </c>
      <c r="F375" s="70" t="s">
        <v>2999</v>
      </c>
      <c r="G375" s="70" t="s">
        <v>5948</v>
      </c>
      <c r="H375" s="93"/>
      <c r="I375" s="94">
        <f t="shared" si="10"/>
        <v>4.2304489213782741</v>
      </c>
      <c r="J375" s="85">
        <f>AVERAGE(15000,19000)</f>
        <v>17000</v>
      </c>
      <c r="K375" s="131" t="s">
        <v>6817</v>
      </c>
      <c r="L375" s="60">
        <v>164</v>
      </c>
      <c r="M375" s="33" t="s">
        <v>6392</v>
      </c>
    </row>
    <row r="376" spans="1:13" ht="14" x14ac:dyDescent="0.15">
      <c r="A376" s="166" t="s">
        <v>2633</v>
      </c>
      <c r="B376" s="82"/>
      <c r="C376" s="70" t="s">
        <v>3636</v>
      </c>
      <c r="D376" s="70" t="s">
        <v>2837</v>
      </c>
      <c r="E376" s="70" t="s">
        <v>3178</v>
      </c>
      <c r="F376" s="70" t="s">
        <v>2999</v>
      </c>
      <c r="G376" s="70" t="s">
        <v>3897</v>
      </c>
      <c r="H376" s="93"/>
      <c r="I376" s="85">
        <f t="shared" si="10"/>
        <v>4.2430400000000006</v>
      </c>
      <c r="J376" s="85">
        <v>17500.078628829033</v>
      </c>
      <c r="K376" s="131" t="s">
        <v>6817</v>
      </c>
      <c r="L376" s="60">
        <v>65</v>
      </c>
      <c r="M376" s="49" t="s">
        <v>6728</v>
      </c>
    </row>
    <row r="377" spans="1:13" ht="14" x14ac:dyDescent="0.15">
      <c r="A377" s="166" t="s">
        <v>2633</v>
      </c>
      <c r="B377" s="82"/>
      <c r="C377" s="70" t="s">
        <v>3636</v>
      </c>
      <c r="D377" s="70" t="s">
        <v>2837</v>
      </c>
      <c r="E377" s="70" t="s">
        <v>3178</v>
      </c>
      <c r="F377" s="70" t="s">
        <v>2999</v>
      </c>
      <c r="G377" s="70" t="s">
        <v>3448</v>
      </c>
      <c r="H377" s="93"/>
      <c r="I377" s="85">
        <f t="shared" si="10"/>
        <v>4.26126</v>
      </c>
      <c r="J377" s="85">
        <v>18249.879447489526</v>
      </c>
      <c r="K377" s="131" t="s">
        <v>6817</v>
      </c>
      <c r="L377" s="60" t="s">
        <v>2686</v>
      </c>
      <c r="M377" s="49" t="s">
        <v>6392</v>
      </c>
    </row>
    <row r="378" spans="1:13" ht="14" x14ac:dyDescent="0.15">
      <c r="A378" s="166" t="s">
        <v>2633</v>
      </c>
      <c r="B378" s="82"/>
      <c r="C378" s="70" t="s">
        <v>3636</v>
      </c>
      <c r="D378" s="70" t="s">
        <v>2837</v>
      </c>
      <c r="E378" s="70" t="s">
        <v>3178</v>
      </c>
      <c r="F378" s="70" t="s">
        <v>2999</v>
      </c>
      <c r="G378" s="70" t="s">
        <v>3449</v>
      </c>
      <c r="H378" s="93"/>
      <c r="I378" s="85">
        <f t="shared" si="10"/>
        <v>4.3010300000000008</v>
      </c>
      <c r="J378" s="85">
        <v>20000.000199681075</v>
      </c>
      <c r="K378" s="131" t="s">
        <v>6817</v>
      </c>
      <c r="L378" s="60">
        <v>60</v>
      </c>
      <c r="M378" s="49" t="s">
        <v>6392</v>
      </c>
    </row>
    <row r="379" spans="1:13" ht="14" x14ac:dyDescent="0.15">
      <c r="A379" s="166" t="s">
        <v>2633</v>
      </c>
      <c r="B379" s="82"/>
      <c r="C379" s="70" t="s">
        <v>3636</v>
      </c>
      <c r="D379" s="70" t="s">
        <v>2837</v>
      </c>
      <c r="E379" s="70" t="s">
        <v>3178</v>
      </c>
      <c r="F379" s="70" t="s">
        <v>2999</v>
      </c>
      <c r="G379" s="70" t="s">
        <v>3658</v>
      </c>
      <c r="H379" s="93"/>
      <c r="I379" s="85">
        <f t="shared" si="10"/>
        <v>4.3010300000000008</v>
      </c>
      <c r="J379" s="85">
        <v>20000.000199681075</v>
      </c>
      <c r="K379" s="131" t="s">
        <v>6817</v>
      </c>
      <c r="L379" s="60" t="s">
        <v>2686</v>
      </c>
      <c r="M379" s="49" t="s">
        <v>6392</v>
      </c>
    </row>
    <row r="380" spans="1:13" ht="14" x14ac:dyDescent="0.15">
      <c r="A380" s="166" t="s">
        <v>2633</v>
      </c>
      <c r="B380" s="82"/>
      <c r="C380" s="70" t="s">
        <v>3636</v>
      </c>
      <c r="D380" s="70" t="s">
        <v>2837</v>
      </c>
      <c r="E380" s="70" t="s">
        <v>3178</v>
      </c>
      <c r="F380" s="70" t="s">
        <v>2999</v>
      </c>
      <c r="G380" s="70" t="s">
        <v>3656</v>
      </c>
      <c r="H380" s="93"/>
      <c r="I380" s="85">
        <f t="shared" si="10"/>
        <v>4.3096300000000012</v>
      </c>
      <c r="J380" s="85">
        <v>20399.992135549033</v>
      </c>
      <c r="K380" s="131" t="s">
        <v>6522</v>
      </c>
      <c r="L380" s="60">
        <v>60</v>
      </c>
      <c r="M380" s="49" t="s">
        <v>6392</v>
      </c>
    </row>
    <row r="381" spans="1:13" ht="28" x14ac:dyDescent="0.15">
      <c r="A381" s="166" t="s">
        <v>2633</v>
      </c>
      <c r="B381" s="82"/>
      <c r="C381" s="70" t="s">
        <v>3636</v>
      </c>
      <c r="D381" s="70" t="s">
        <v>2837</v>
      </c>
      <c r="E381" s="70" t="s">
        <v>3178</v>
      </c>
      <c r="F381" s="70" t="s">
        <v>2999</v>
      </c>
      <c r="G381" s="70" t="s">
        <v>3896</v>
      </c>
      <c r="H381" s="93"/>
      <c r="I381" s="85">
        <f t="shared" si="10"/>
        <v>4.748190000000001</v>
      </c>
      <c r="J381" s="85">
        <v>56000.254407800254</v>
      </c>
      <c r="K381" s="131" t="s">
        <v>6853</v>
      </c>
      <c r="L381" s="60" t="s">
        <v>2686</v>
      </c>
      <c r="M381" s="49" t="s">
        <v>6392</v>
      </c>
    </row>
    <row r="382" spans="1:13" ht="14" x14ac:dyDescent="0.15">
      <c r="A382" s="166" t="s">
        <v>2633</v>
      </c>
      <c r="B382" s="82"/>
      <c r="C382" s="70" t="s">
        <v>3636</v>
      </c>
      <c r="D382" s="70" t="s">
        <v>2837</v>
      </c>
      <c r="E382" s="70" t="s">
        <v>3178</v>
      </c>
      <c r="F382" s="70" t="s">
        <v>2999</v>
      </c>
      <c r="G382" s="70" t="s">
        <v>3863</v>
      </c>
      <c r="H382" s="93"/>
      <c r="I382" s="85">
        <f t="shared" si="10"/>
        <v>4.8451000000000004</v>
      </c>
      <c r="J382" s="85">
        <v>70000.315913089813</v>
      </c>
      <c r="K382" s="131" t="s">
        <v>6817</v>
      </c>
      <c r="L382" s="60">
        <v>65</v>
      </c>
      <c r="M382" s="49" t="s">
        <v>6728</v>
      </c>
    </row>
    <row r="383" spans="1:13" ht="14" x14ac:dyDescent="0.15">
      <c r="A383" s="166" t="s">
        <v>2633</v>
      </c>
      <c r="B383" s="82"/>
      <c r="C383" s="70" t="s">
        <v>3636</v>
      </c>
      <c r="D383" s="70" t="s">
        <v>2837</v>
      </c>
      <c r="E383" s="70" t="s">
        <v>3178</v>
      </c>
      <c r="F383" s="70" t="s">
        <v>2999</v>
      </c>
      <c r="G383" s="70" t="s">
        <v>3895</v>
      </c>
      <c r="H383" s="93"/>
      <c r="I383" s="85">
        <f t="shared" si="10"/>
        <v>4.8603399999999999</v>
      </c>
      <c r="J383" s="85">
        <v>72500.332778657481</v>
      </c>
      <c r="K383" s="131" t="s">
        <v>6817</v>
      </c>
      <c r="L383" s="60">
        <v>60</v>
      </c>
      <c r="M383" s="49" t="s">
        <v>6392</v>
      </c>
    </row>
    <row r="384" spans="1:13" ht="14" x14ac:dyDescent="0.15">
      <c r="A384" s="166" t="s">
        <v>2633</v>
      </c>
      <c r="B384" s="82"/>
      <c r="C384" s="70" t="s">
        <v>3636</v>
      </c>
      <c r="D384" s="70" t="s">
        <v>2837</v>
      </c>
      <c r="E384" s="70" t="s">
        <v>3178</v>
      </c>
      <c r="F384" s="70" t="s">
        <v>4434</v>
      </c>
      <c r="G384" s="70" t="s">
        <v>6952</v>
      </c>
      <c r="H384" s="93"/>
      <c r="I384" s="85">
        <f t="shared" si="10"/>
        <v>5.2552700000000012</v>
      </c>
      <c r="J384" s="85">
        <v>179998.96172455972</v>
      </c>
      <c r="K384" s="131" t="s">
        <v>6709</v>
      </c>
      <c r="L384" s="60">
        <v>60</v>
      </c>
      <c r="M384" s="49" t="s">
        <v>6392</v>
      </c>
    </row>
    <row r="385" spans="1:18" ht="28" x14ac:dyDescent="0.15">
      <c r="A385" s="166" t="s">
        <v>2633</v>
      </c>
      <c r="B385" s="82"/>
      <c r="C385" s="70" t="s">
        <v>3636</v>
      </c>
      <c r="D385" s="70" t="s">
        <v>2837</v>
      </c>
      <c r="E385" s="70" t="s">
        <v>3178</v>
      </c>
      <c r="F385" s="70" t="s">
        <v>4434</v>
      </c>
      <c r="G385" s="70" t="s">
        <v>6953</v>
      </c>
      <c r="H385" s="93"/>
      <c r="I385" s="85">
        <f t="shared" si="10"/>
        <v>5.2552700000000012</v>
      </c>
      <c r="J385" s="85">
        <v>179998.96172455972</v>
      </c>
      <c r="K385" s="131" t="s">
        <v>6710</v>
      </c>
      <c r="L385" s="60" t="s">
        <v>2686</v>
      </c>
      <c r="M385" s="49" t="s">
        <v>6392</v>
      </c>
      <c r="Q385" s="12"/>
      <c r="R385" s="12"/>
    </row>
    <row r="386" spans="1:18" ht="42" x14ac:dyDescent="0.15">
      <c r="A386" s="166" t="s">
        <v>2633</v>
      </c>
      <c r="B386" s="82"/>
      <c r="C386" s="70" t="s">
        <v>3636</v>
      </c>
      <c r="D386" s="70" t="s">
        <v>2837</v>
      </c>
      <c r="E386" s="70" t="s">
        <v>3178</v>
      </c>
      <c r="F386" s="70" t="s">
        <v>6964</v>
      </c>
      <c r="G386" s="70" t="s">
        <v>6965</v>
      </c>
      <c r="H386" s="93"/>
      <c r="I386" s="85">
        <f t="shared" si="10"/>
        <v>4.9030900000000006</v>
      </c>
      <c r="J386" s="85">
        <v>80000.00239617264</v>
      </c>
      <c r="K386" s="131" t="s">
        <v>6726</v>
      </c>
      <c r="L386" s="60" t="s">
        <v>2686</v>
      </c>
      <c r="M386" s="49" t="s">
        <v>6809</v>
      </c>
    </row>
    <row r="387" spans="1:18" ht="28" x14ac:dyDescent="0.15">
      <c r="A387" s="166" t="s">
        <v>2633</v>
      </c>
      <c r="B387" s="82"/>
      <c r="C387" s="70" t="s">
        <v>3636</v>
      </c>
      <c r="D387" s="70" t="s">
        <v>2837</v>
      </c>
      <c r="E387" s="70" t="s">
        <v>3178</v>
      </c>
      <c r="F387" s="70" t="s">
        <v>6964</v>
      </c>
      <c r="G387" s="70" t="s">
        <v>1911</v>
      </c>
      <c r="H387" s="93"/>
      <c r="I387" s="85">
        <f t="shared" ref="I387:I450" si="11">LOG(J387)</f>
        <v>5.008600171761918</v>
      </c>
      <c r="J387" s="85">
        <v>102000</v>
      </c>
      <c r="K387" s="131" t="s">
        <v>7292</v>
      </c>
      <c r="L387" s="66">
        <v>75</v>
      </c>
      <c r="M387" s="49" t="s">
        <v>6392</v>
      </c>
      <c r="Q387" s="12"/>
      <c r="R387" s="12"/>
    </row>
    <row r="388" spans="1:18" ht="56" x14ac:dyDescent="0.15">
      <c r="A388" s="166" t="s">
        <v>2633</v>
      </c>
      <c r="B388" s="82"/>
      <c r="C388" s="70" t="s">
        <v>3636</v>
      </c>
      <c r="D388" s="70" t="s">
        <v>2837</v>
      </c>
      <c r="E388" s="70" t="s">
        <v>3178</v>
      </c>
      <c r="F388" s="70" t="s">
        <v>6964</v>
      </c>
      <c r="G388" s="70" t="s">
        <v>4438</v>
      </c>
      <c r="H388" s="93"/>
      <c r="I388" s="85">
        <f t="shared" si="11"/>
        <v>5.1335400000000009</v>
      </c>
      <c r="J388" s="85">
        <v>136000.34184601295</v>
      </c>
      <c r="K388" s="131" t="s">
        <v>7291</v>
      </c>
      <c r="L388" s="60" t="s">
        <v>2686</v>
      </c>
      <c r="M388" s="49" t="s">
        <v>6392</v>
      </c>
    </row>
    <row r="389" spans="1:18" ht="14" x14ac:dyDescent="0.15">
      <c r="A389" s="166" t="s">
        <v>2633</v>
      </c>
      <c r="B389" s="82"/>
      <c r="C389" s="70" t="s">
        <v>3636</v>
      </c>
      <c r="D389" s="70" t="s">
        <v>2837</v>
      </c>
      <c r="E389" s="70" t="s">
        <v>3178</v>
      </c>
      <c r="F389" s="70" t="s">
        <v>1912</v>
      </c>
      <c r="G389" s="70" t="s">
        <v>1913</v>
      </c>
      <c r="H389" s="93"/>
      <c r="I389" s="85">
        <f t="shared" si="11"/>
        <v>4.010720000000001</v>
      </c>
      <c r="J389" s="85">
        <v>10249.908771372877</v>
      </c>
      <c r="K389" s="131" t="s">
        <v>6391</v>
      </c>
      <c r="L389" s="60">
        <v>65</v>
      </c>
      <c r="M389" s="49" t="s">
        <v>6728</v>
      </c>
    </row>
    <row r="390" spans="1:18" ht="14" x14ac:dyDescent="0.15">
      <c r="A390" s="166" t="s">
        <v>2633</v>
      </c>
      <c r="B390" s="82"/>
      <c r="C390" s="70" t="s">
        <v>3636</v>
      </c>
      <c r="D390" s="70" t="s">
        <v>2837</v>
      </c>
      <c r="E390" s="70" t="s">
        <v>3178</v>
      </c>
      <c r="F390" s="70" t="s">
        <v>1914</v>
      </c>
      <c r="G390" s="70" t="s">
        <v>4559</v>
      </c>
      <c r="H390" s="93"/>
      <c r="I390" s="85">
        <f t="shared" si="11"/>
        <v>4.3010300000000008</v>
      </c>
      <c r="J390" s="85">
        <v>20000.000199681075</v>
      </c>
      <c r="K390" s="131" t="s">
        <v>6391</v>
      </c>
      <c r="L390" s="60">
        <v>65</v>
      </c>
      <c r="M390" s="49" t="s">
        <v>6728</v>
      </c>
    </row>
    <row r="391" spans="1:18" ht="14" x14ac:dyDescent="0.15">
      <c r="A391" s="166" t="s">
        <v>2633</v>
      </c>
      <c r="B391" s="82"/>
      <c r="C391" s="70" t="s">
        <v>3636</v>
      </c>
      <c r="D391" s="70" t="s">
        <v>2837</v>
      </c>
      <c r="E391" s="70" t="s">
        <v>3178</v>
      </c>
      <c r="F391" s="70" t="s">
        <v>1914</v>
      </c>
      <c r="G391" s="70" t="s">
        <v>4560</v>
      </c>
      <c r="H391" s="93"/>
      <c r="I391" s="85">
        <f t="shared" si="11"/>
        <v>4.31175</v>
      </c>
      <c r="J391" s="85">
        <v>20499.817747416979</v>
      </c>
      <c r="K391" s="131" t="s">
        <v>6522</v>
      </c>
      <c r="L391" s="60" t="s">
        <v>2686</v>
      </c>
      <c r="M391" s="49" t="s">
        <v>6392</v>
      </c>
    </row>
    <row r="392" spans="1:18" ht="14" x14ac:dyDescent="0.15">
      <c r="A392" s="166" t="s">
        <v>2633</v>
      </c>
      <c r="B392" s="82"/>
      <c r="C392" s="70" t="s">
        <v>3636</v>
      </c>
      <c r="D392" s="70" t="s">
        <v>2837</v>
      </c>
      <c r="E392" s="70" t="s">
        <v>3178</v>
      </c>
      <c r="F392" s="70" t="s">
        <v>1914</v>
      </c>
      <c r="G392" s="70" t="s">
        <v>5533</v>
      </c>
      <c r="H392" s="93"/>
      <c r="I392" s="85">
        <f t="shared" si="11"/>
        <v>4.3463529744506388</v>
      </c>
      <c r="J392" s="85">
        <v>22200</v>
      </c>
      <c r="K392" s="131" t="s">
        <v>6080</v>
      </c>
      <c r="L392" s="60">
        <v>75</v>
      </c>
      <c r="M392" s="49" t="s">
        <v>6390</v>
      </c>
    </row>
    <row r="393" spans="1:18" ht="28" x14ac:dyDescent="0.15">
      <c r="A393" s="166" t="s">
        <v>2633</v>
      </c>
      <c r="B393" s="82"/>
      <c r="C393" s="70" t="s">
        <v>3636</v>
      </c>
      <c r="D393" s="70" t="s">
        <v>2837</v>
      </c>
      <c r="E393" s="70" t="s">
        <v>3178</v>
      </c>
      <c r="F393" s="70" t="s">
        <v>1914</v>
      </c>
      <c r="G393" s="70" t="s">
        <v>7014</v>
      </c>
      <c r="H393" s="93"/>
      <c r="I393" s="85">
        <f t="shared" si="11"/>
        <v>4.3521800000000006</v>
      </c>
      <c r="J393" s="85">
        <v>22499.869541650296</v>
      </c>
      <c r="K393" s="131" t="s">
        <v>6835</v>
      </c>
      <c r="L393" s="60">
        <v>65</v>
      </c>
      <c r="M393" s="49" t="s">
        <v>6392</v>
      </c>
    </row>
    <row r="394" spans="1:18" ht="14" x14ac:dyDescent="0.15">
      <c r="A394" s="166" t="s">
        <v>2633</v>
      </c>
      <c r="B394" s="82"/>
      <c r="C394" s="70" t="s">
        <v>3636</v>
      </c>
      <c r="D394" s="70" t="s">
        <v>2837</v>
      </c>
      <c r="E394" s="70" t="s">
        <v>3178</v>
      </c>
      <c r="F394" s="70" t="s">
        <v>1914</v>
      </c>
      <c r="G394" s="70" t="s">
        <v>1907</v>
      </c>
      <c r="H394" s="93"/>
      <c r="I394" s="85">
        <f t="shared" si="11"/>
        <v>4.3617299999999997</v>
      </c>
      <c r="J394" s="85">
        <v>23000.114603619051</v>
      </c>
      <c r="K394" s="131" t="s">
        <v>6817</v>
      </c>
      <c r="L394" s="60">
        <v>65</v>
      </c>
      <c r="M394" s="49" t="s">
        <v>6728</v>
      </c>
      <c r="P394" s="49"/>
    </row>
    <row r="395" spans="1:18" ht="14" x14ac:dyDescent="0.15">
      <c r="A395" s="166" t="s">
        <v>2633</v>
      </c>
      <c r="B395" s="82"/>
      <c r="C395" s="70" t="s">
        <v>3636</v>
      </c>
      <c r="D395" s="70" t="s">
        <v>2837</v>
      </c>
      <c r="E395" s="70" t="s">
        <v>3178</v>
      </c>
      <c r="F395" s="70" t="s">
        <v>1914</v>
      </c>
      <c r="G395" s="70" t="s">
        <v>4561</v>
      </c>
      <c r="H395" s="93"/>
      <c r="I395" s="85">
        <f t="shared" si="11"/>
        <v>4.3979400086720375</v>
      </c>
      <c r="J395" s="85">
        <v>25000</v>
      </c>
      <c r="K395" s="131" t="s">
        <v>6817</v>
      </c>
      <c r="L395" s="67">
        <v>-999</v>
      </c>
      <c r="M395" s="49" t="s">
        <v>6390</v>
      </c>
    </row>
    <row r="396" spans="1:18" ht="14" x14ac:dyDescent="0.15">
      <c r="A396" s="166" t="s">
        <v>2633</v>
      </c>
      <c r="B396" s="82"/>
      <c r="C396" s="73" t="s">
        <v>3636</v>
      </c>
      <c r="D396" s="73" t="s">
        <v>2837</v>
      </c>
      <c r="E396" s="70" t="s">
        <v>3178</v>
      </c>
      <c r="F396" s="73" t="s">
        <v>1914</v>
      </c>
      <c r="G396" s="73" t="s">
        <v>1918</v>
      </c>
      <c r="H396" s="108"/>
      <c r="I396" s="85">
        <f t="shared" si="11"/>
        <v>4.4313599999999997</v>
      </c>
      <c r="J396" s="95">
        <v>26999.76598401209</v>
      </c>
      <c r="K396" s="131" t="s">
        <v>6817</v>
      </c>
      <c r="L396" s="60">
        <v>60</v>
      </c>
      <c r="M396" s="49" t="s">
        <v>6728</v>
      </c>
    </row>
    <row r="397" spans="1:18" ht="14" x14ac:dyDescent="0.15">
      <c r="A397" s="166" t="s">
        <v>2633</v>
      </c>
      <c r="B397" s="82"/>
      <c r="C397" s="70" t="s">
        <v>3636</v>
      </c>
      <c r="D397" s="70" t="s">
        <v>2837</v>
      </c>
      <c r="E397" s="70" t="s">
        <v>3178</v>
      </c>
      <c r="F397" s="70" t="s">
        <v>1914</v>
      </c>
      <c r="G397" s="70" t="s">
        <v>4558</v>
      </c>
      <c r="H397" s="93"/>
      <c r="I397" s="85">
        <f t="shared" si="11"/>
        <v>4.6020599999999998</v>
      </c>
      <c r="J397" s="85">
        <v>40000.000798724192</v>
      </c>
      <c r="K397" s="131" t="s">
        <v>6817</v>
      </c>
      <c r="L397" s="60" t="s">
        <v>2686</v>
      </c>
      <c r="M397" s="49" t="s">
        <v>6728</v>
      </c>
    </row>
    <row r="398" spans="1:18" ht="17" x14ac:dyDescent="0.2">
      <c r="A398" s="166" t="s">
        <v>2633</v>
      </c>
      <c r="B398" s="82"/>
      <c r="C398" s="70" t="s">
        <v>3636</v>
      </c>
      <c r="D398" s="70" t="s">
        <v>2837</v>
      </c>
      <c r="E398" s="70" t="s">
        <v>3178</v>
      </c>
      <c r="F398" s="70" t="s">
        <v>1914</v>
      </c>
      <c r="G398" s="70" t="s">
        <v>7015</v>
      </c>
      <c r="H398" s="93"/>
      <c r="I398" s="85">
        <f t="shared" si="11"/>
        <v>4.7403600000000008</v>
      </c>
      <c r="J398" s="85">
        <v>54999.659397640258</v>
      </c>
      <c r="K398" s="131" t="s">
        <v>6817</v>
      </c>
      <c r="L398" s="60" t="s">
        <v>2686</v>
      </c>
      <c r="M398" s="47" t="s">
        <v>6392</v>
      </c>
    </row>
    <row r="399" spans="1:18" ht="14" x14ac:dyDescent="0.15">
      <c r="A399" s="166" t="s">
        <v>2633</v>
      </c>
      <c r="B399" s="82"/>
      <c r="C399" s="70" t="s">
        <v>3636</v>
      </c>
      <c r="D399" s="70" t="s">
        <v>2837</v>
      </c>
      <c r="E399" s="70" t="s">
        <v>3178</v>
      </c>
      <c r="F399" s="70" t="s">
        <v>1914</v>
      </c>
      <c r="G399" s="70" t="s">
        <v>4708</v>
      </c>
      <c r="H399" s="93"/>
      <c r="I399" s="85">
        <f t="shared" si="11"/>
        <v>4.8633199999999999</v>
      </c>
      <c r="J399" s="85">
        <v>72999.519247620075</v>
      </c>
      <c r="K399" s="131" t="s">
        <v>6817</v>
      </c>
      <c r="L399" s="60">
        <v>60</v>
      </c>
      <c r="M399" s="49" t="s">
        <v>6390</v>
      </c>
    </row>
    <row r="400" spans="1:18" ht="14" x14ac:dyDescent="0.15">
      <c r="A400" s="166" t="s">
        <v>2633</v>
      </c>
      <c r="B400" s="82"/>
      <c r="C400" s="70" t="s">
        <v>3636</v>
      </c>
      <c r="D400" s="70" t="s">
        <v>2837</v>
      </c>
      <c r="E400" s="70" t="s">
        <v>3178</v>
      </c>
      <c r="F400" s="70" t="s">
        <v>4562</v>
      </c>
      <c r="G400" s="70" t="s">
        <v>3656</v>
      </c>
      <c r="H400" s="93"/>
      <c r="I400" s="85">
        <f t="shared" si="11"/>
        <v>5.356980000000001</v>
      </c>
      <c r="J400" s="85">
        <v>227499.26610759203</v>
      </c>
      <c r="K400" s="131" t="s">
        <v>6817</v>
      </c>
      <c r="L400" s="60" t="s">
        <v>2686</v>
      </c>
      <c r="M400" s="49" t="s">
        <v>6392</v>
      </c>
    </row>
    <row r="401" spans="1:16" ht="14" x14ac:dyDescent="0.15">
      <c r="A401" s="166" t="s">
        <v>2633</v>
      </c>
      <c r="B401" s="82"/>
      <c r="C401" s="70" t="s">
        <v>3636</v>
      </c>
      <c r="D401" s="70" t="s">
        <v>2837</v>
      </c>
      <c r="E401" s="70" t="s">
        <v>3178</v>
      </c>
      <c r="F401" s="70" t="s">
        <v>4562</v>
      </c>
      <c r="G401" s="70" t="s">
        <v>2143</v>
      </c>
      <c r="H401" s="93"/>
      <c r="I401" s="85">
        <f t="shared" si="11"/>
        <v>5.4313600000000006</v>
      </c>
      <c r="J401" s="85">
        <v>269997.65984012122</v>
      </c>
      <c r="K401" s="131" t="s">
        <v>6817</v>
      </c>
      <c r="L401" s="60" t="s">
        <v>2686</v>
      </c>
      <c r="M401" s="49" t="s">
        <v>6392</v>
      </c>
    </row>
    <row r="402" spans="1:16" ht="14" x14ac:dyDescent="0.15">
      <c r="A402" s="166" t="s">
        <v>2633</v>
      </c>
      <c r="B402" s="82"/>
      <c r="C402" s="70" t="s">
        <v>3636</v>
      </c>
      <c r="D402" s="70" t="s">
        <v>2837</v>
      </c>
      <c r="E402" s="70" t="s">
        <v>3178</v>
      </c>
      <c r="F402" s="70" t="s">
        <v>2144</v>
      </c>
      <c r="G402" s="70" t="s">
        <v>4720</v>
      </c>
      <c r="H402" s="93"/>
      <c r="I402" s="85">
        <f t="shared" si="11"/>
        <v>4.8543099999999999</v>
      </c>
      <c r="J402" s="85">
        <v>71500.651660392279</v>
      </c>
      <c r="K402" s="131" t="s">
        <v>6080</v>
      </c>
      <c r="L402" s="60" t="s">
        <v>2686</v>
      </c>
      <c r="M402" s="49" t="s">
        <v>6392</v>
      </c>
    </row>
    <row r="403" spans="1:16" ht="14" x14ac:dyDescent="0.15">
      <c r="A403" s="70" t="s">
        <v>2633</v>
      </c>
      <c r="B403" s="82"/>
      <c r="C403" s="70" t="s">
        <v>3636</v>
      </c>
      <c r="D403" s="70" t="s">
        <v>2837</v>
      </c>
      <c r="E403" s="70" t="s">
        <v>3178</v>
      </c>
      <c r="F403" s="70" t="s">
        <v>2144</v>
      </c>
      <c r="G403" s="70" t="s">
        <v>6982</v>
      </c>
      <c r="H403" s="93"/>
      <c r="I403" s="85">
        <f t="shared" si="11"/>
        <v>4.8948700000000009</v>
      </c>
      <c r="J403" s="85">
        <v>78500.062044325954</v>
      </c>
      <c r="K403" s="131" t="s">
        <v>6818</v>
      </c>
      <c r="L403" s="60" t="s">
        <v>2686</v>
      </c>
      <c r="M403" s="49" t="s">
        <v>6392</v>
      </c>
      <c r="O403" s="49"/>
    </row>
    <row r="404" spans="1:16" ht="28" x14ac:dyDescent="0.15">
      <c r="A404" s="70" t="s">
        <v>2633</v>
      </c>
      <c r="B404" s="82"/>
      <c r="C404" s="70" t="s">
        <v>3636</v>
      </c>
      <c r="D404" s="70" t="s">
        <v>2837</v>
      </c>
      <c r="E404" s="70" t="s">
        <v>3178</v>
      </c>
      <c r="F404" s="70" t="s">
        <v>2144</v>
      </c>
      <c r="G404" s="70" t="s">
        <v>4719</v>
      </c>
      <c r="H404" s="93"/>
      <c r="I404" s="85">
        <f t="shared" si="11"/>
        <v>4.9420100000000007</v>
      </c>
      <c r="J404" s="85">
        <v>87500.392270536715</v>
      </c>
      <c r="K404" s="131" t="s">
        <v>6460</v>
      </c>
      <c r="L404" s="60">
        <v>65</v>
      </c>
      <c r="M404" s="49" t="s">
        <v>6392</v>
      </c>
    </row>
    <row r="405" spans="1:16" ht="14" x14ac:dyDescent="0.15">
      <c r="A405" s="70" t="s">
        <v>2633</v>
      </c>
      <c r="B405" s="82"/>
      <c r="C405" s="70" t="s">
        <v>3636</v>
      </c>
      <c r="D405" s="70" t="s">
        <v>2837</v>
      </c>
      <c r="E405" s="70" t="s">
        <v>3178</v>
      </c>
      <c r="F405" s="70" t="s">
        <v>2144</v>
      </c>
      <c r="G405" s="70" t="s">
        <v>4718</v>
      </c>
      <c r="H405" s="93"/>
      <c r="I405" s="85">
        <f t="shared" si="11"/>
        <v>5.04434</v>
      </c>
      <c r="J405" s="85">
        <v>110749.04756364247</v>
      </c>
      <c r="K405" s="131" t="s">
        <v>6817</v>
      </c>
      <c r="L405" s="63">
        <v>60</v>
      </c>
      <c r="M405" s="49" t="s">
        <v>6392</v>
      </c>
      <c r="P405" s="49"/>
    </row>
    <row r="406" spans="1:16" ht="14" x14ac:dyDescent="0.15">
      <c r="A406" s="73" t="s">
        <v>2633</v>
      </c>
      <c r="B406" s="82"/>
      <c r="C406" s="70" t="s">
        <v>3636</v>
      </c>
      <c r="D406" s="70" t="s">
        <v>2837</v>
      </c>
      <c r="E406" s="70" t="s">
        <v>3178</v>
      </c>
      <c r="F406" s="70" t="s">
        <v>2144</v>
      </c>
      <c r="G406" s="70" t="s">
        <v>6981</v>
      </c>
      <c r="H406" s="93"/>
      <c r="I406" s="85">
        <f t="shared" si="11"/>
        <v>5.3222200000000006</v>
      </c>
      <c r="J406" s="85">
        <v>210000.34102666145</v>
      </c>
      <c r="K406" s="131" t="s">
        <v>6817</v>
      </c>
      <c r="L406" s="60" t="s">
        <v>2686</v>
      </c>
      <c r="M406" s="49" t="s">
        <v>6392</v>
      </c>
    </row>
    <row r="407" spans="1:16" ht="14" x14ac:dyDescent="0.15">
      <c r="A407" s="73" t="s">
        <v>2633</v>
      </c>
      <c r="B407" s="82"/>
      <c r="C407" s="70" t="s">
        <v>3636</v>
      </c>
      <c r="D407" s="70" t="s">
        <v>2837</v>
      </c>
      <c r="E407" s="70" t="s">
        <v>3178</v>
      </c>
      <c r="F407" s="70" t="s">
        <v>4721</v>
      </c>
      <c r="G407" s="70" t="s">
        <v>3710</v>
      </c>
      <c r="H407" s="93"/>
      <c r="I407" s="85">
        <f t="shared" si="11"/>
        <v>4.5797800000000013</v>
      </c>
      <c r="J407" s="85">
        <v>37999.685303685583</v>
      </c>
      <c r="K407" s="131" t="s">
        <v>6817</v>
      </c>
      <c r="L407" s="60" t="s">
        <v>2686</v>
      </c>
      <c r="M407" s="49" t="s">
        <v>6392</v>
      </c>
      <c r="O407" s="49"/>
    </row>
    <row r="408" spans="1:16" ht="14" x14ac:dyDescent="0.15">
      <c r="A408" s="70" t="s">
        <v>2633</v>
      </c>
      <c r="B408" s="93" t="s">
        <v>2497</v>
      </c>
      <c r="C408" s="70" t="s">
        <v>3636</v>
      </c>
      <c r="D408" s="70" t="s">
        <v>2837</v>
      </c>
      <c r="E408" s="70" t="s">
        <v>3178</v>
      </c>
      <c r="F408" s="70" t="s">
        <v>3711</v>
      </c>
      <c r="G408" s="70" t="s">
        <v>5536</v>
      </c>
      <c r="H408" s="93"/>
      <c r="I408" s="85">
        <f t="shared" si="11"/>
        <v>3.3979400086720375</v>
      </c>
      <c r="J408" s="85">
        <v>2500</v>
      </c>
      <c r="K408" s="131" t="s">
        <v>6817</v>
      </c>
      <c r="L408" s="60">
        <v>70</v>
      </c>
      <c r="M408" s="49" t="s">
        <v>6728</v>
      </c>
    </row>
    <row r="409" spans="1:16" ht="14" x14ac:dyDescent="0.15">
      <c r="A409" s="70" t="s">
        <v>2633</v>
      </c>
      <c r="B409" s="82"/>
      <c r="C409" s="70" t="s">
        <v>3636</v>
      </c>
      <c r="D409" s="70" t="s">
        <v>2837</v>
      </c>
      <c r="E409" s="70" t="s">
        <v>3178</v>
      </c>
      <c r="F409" s="70" t="s">
        <v>3711</v>
      </c>
      <c r="G409" s="70" t="s">
        <v>3662</v>
      </c>
      <c r="H409" s="93"/>
      <c r="I409" s="85">
        <f t="shared" si="11"/>
        <v>3.5118800000000006</v>
      </c>
      <c r="J409" s="85">
        <v>3249.9748485428022</v>
      </c>
      <c r="K409" s="131" t="s">
        <v>3177</v>
      </c>
      <c r="L409" s="60">
        <v>65</v>
      </c>
    </row>
    <row r="410" spans="1:16" ht="14" x14ac:dyDescent="0.15">
      <c r="A410" s="70" t="s">
        <v>2633</v>
      </c>
      <c r="B410" s="82"/>
      <c r="C410" s="70" t="s">
        <v>3636</v>
      </c>
      <c r="D410" s="70" t="s">
        <v>2837</v>
      </c>
      <c r="E410" s="70" t="s">
        <v>3178</v>
      </c>
      <c r="F410" s="70" t="s">
        <v>3711</v>
      </c>
      <c r="G410" s="70" t="s">
        <v>3715</v>
      </c>
      <c r="H410" s="93"/>
      <c r="I410" s="85">
        <f t="shared" si="11"/>
        <v>3.7242800000000007</v>
      </c>
      <c r="J410" s="85">
        <v>5300.0504063966555</v>
      </c>
      <c r="K410" s="131" t="s">
        <v>3177</v>
      </c>
      <c r="L410" s="60" t="s">
        <v>2686</v>
      </c>
    </row>
    <row r="411" spans="1:16" ht="14" x14ac:dyDescent="0.15">
      <c r="A411" s="70" t="s">
        <v>2633</v>
      </c>
      <c r="B411" s="82"/>
      <c r="C411" s="70" t="s">
        <v>3636</v>
      </c>
      <c r="D411" s="70" t="s">
        <v>2837</v>
      </c>
      <c r="E411" s="70" t="s">
        <v>3178</v>
      </c>
      <c r="F411" s="70" t="s">
        <v>3711</v>
      </c>
      <c r="G411" s="70" t="s">
        <v>3714</v>
      </c>
      <c r="H411" s="93"/>
      <c r="I411" s="85">
        <f t="shared" si="11"/>
        <v>3.8750599999999999</v>
      </c>
      <c r="J411" s="85">
        <v>7499.9781820300241</v>
      </c>
      <c r="K411" s="131" t="s">
        <v>3177</v>
      </c>
      <c r="L411" s="60" t="s">
        <v>2686</v>
      </c>
    </row>
    <row r="412" spans="1:16" ht="14" x14ac:dyDescent="0.15">
      <c r="A412" s="70" t="s">
        <v>2633</v>
      </c>
      <c r="B412" s="82"/>
      <c r="C412" s="70" t="s">
        <v>3636</v>
      </c>
      <c r="D412" s="70" t="s">
        <v>2837</v>
      </c>
      <c r="E412" s="70" t="s">
        <v>3178</v>
      </c>
      <c r="F412" s="70" t="s">
        <v>4592</v>
      </c>
      <c r="G412" s="70" t="s">
        <v>6955</v>
      </c>
      <c r="H412" s="93"/>
      <c r="I412" s="85">
        <f t="shared" si="11"/>
        <v>3.4771200000000007</v>
      </c>
      <c r="J412" s="85">
        <v>2999.9913327161544</v>
      </c>
      <c r="K412" s="131" t="s">
        <v>6817</v>
      </c>
      <c r="L412" s="60">
        <v>60</v>
      </c>
      <c r="M412" s="49" t="s">
        <v>6392</v>
      </c>
    </row>
    <row r="413" spans="1:16" ht="14" x14ac:dyDescent="0.15">
      <c r="A413" s="70" t="s">
        <v>2633</v>
      </c>
      <c r="B413" s="82"/>
      <c r="C413" s="70" t="s">
        <v>3636</v>
      </c>
      <c r="D413" s="70" t="s">
        <v>2837</v>
      </c>
      <c r="E413" s="70" t="s">
        <v>3178</v>
      </c>
      <c r="F413" s="70" t="s">
        <v>4592</v>
      </c>
      <c r="G413" s="70" t="s">
        <v>6967</v>
      </c>
      <c r="H413" s="93"/>
      <c r="I413" s="85">
        <f t="shared" si="11"/>
        <v>3.6020600000000003</v>
      </c>
      <c r="J413" s="85">
        <v>4000.0000798724222</v>
      </c>
      <c r="K413" s="131" t="s">
        <v>6817</v>
      </c>
      <c r="L413" s="63">
        <v>60</v>
      </c>
      <c r="M413" s="49" t="s">
        <v>6392</v>
      </c>
    </row>
    <row r="414" spans="1:16" ht="14" x14ac:dyDescent="0.15">
      <c r="A414" s="70" t="s">
        <v>2633</v>
      </c>
      <c r="B414" s="82"/>
      <c r="C414" s="70" t="s">
        <v>3636</v>
      </c>
      <c r="D414" s="70" t="s">
        <v>2837</v>
      </c>
      <c r="E414" s="70" t="s">
        <v>3178</v>
      </c>
      <c r="F414" s="70" t="s">
        <v>4592</v>
      </c>
      <c r="G414" s="70" t="s">
        <v>6966</v>
      </c>
      <c r="H414" s="93"/>
      <c r="I414" s="85">
        <f t="shared" si="11"/>
        <v>3.81291</v>
      </c>
      <c r="J414" s="85">
        <v>6499.9497619814347</v>
      </c>
      <c r="K414" s="131" t="s">
        <v>6391</v>
      </c>
      <c r="L414" s="60" t="s">
        <v>2686</v>
      </c>
      <c r="M414" s="49" t="s">
        <v>6392</v>
      </c>
    </row>
    <row r="415" spans="1:16" ht="28" x14ac:dyDescent="0.15">
      <c r="A415" s="166" t="s">
        <v>2633</v>
      </c>
      <c r="B415" s="82"/>
      <c r="C415" s="70" t="s">
        <v>3636</v>
      </c>
      <c r="D415" s="70" t="s">
        <v>2837</v>
      </c>
      <c r="E415" s="70" t="s">
        <v>3178</v>
      </c>
      <c r="F415" s="70" t="s">
        <v>6956</v>
      </c>
      <c r="G415" s="70" t="s">
        <v>7171</v>
      </c>
      <c r="H415" s="93"/>
      <c r="I415" s="85">
        <f t="shared" si="11"/>
        <v>4.1139400000000013</v>
      </c>
      <c r="J415" s="85">
        <v>12999.899653754575</v>
      </c>
      <c r="K415" s="131" t="s">
        <v>6758</v>
      </c>
      <c r="L415" s="60" t="s">
        <v>2686</v>
      </c>
      <c r="M415" s="49" t="s">
        <v>6392</v>
      </c>
    </row>
    <row r="416" spans="1:16" ht="28" x14ac:dyDescent="0.15">
      <c r="A416" s="73" t="s">
        <v>2633</v>
      </c>
      <c r="B416" s="82"/>
      <c r="C416" s="70" t="s">
        <v>3636</v>
      </c>
      <c r="D416" s="70" t="s">
        <v>2837</v>
      </c>
      <c r="E416" s="70" t="s">
        <v>3178</v>
      </c>
      <c r="F416" s="70" t="s">
        <v>7172</v>
      </c>
      <c r="G416" s="70" t="s">
        <v>7014</v>
      </c>
      <c r="H416" s="93"/>
      <c r="I416" s="85">
        <f t="shared" si="11"/>
        <v>5.2278900000000013</v>
      </c>
      <c r="J416" s="85">
        <v>169001.2823612215</v>
      </c>
      <c r="K416" s="131" t="s">
        <v>6759</v>
      </c>
      <c r="L416" s="60" t="s">
        <v>2686</v>
      </c>
      <c r="M416" s="49" t="s">
        <v>6392</v>
      </c>
    </row>
    <row r="417" spans="1:16" ht="14" x14ac:dyDescent="0.15">
      <c r="A417" s="70" t="s">
        <v>2633</v>
      </c>
      <c r="B417" s="82"/>
      <c r="C417" s="70" t="s">
        <v>3636</v>
      </c>
      <c r="D417" s="70" t="s">
        <v>2837</v>
      </c>
      <c r="E417" s="70" t="s">
        <v>3178</v>
      </c>
      <c r="F417" s="70" t="s">
        <v>7172</v>
      </c>
      <c r="G417" s="70" t="s">
        <v>7173</v>
      </c>
      <c r="H417" s="93"/>
      <c r="I417" s="85">
        <f t="shared" si="11"/>
        <v>5.3010299999999999</v>
      </c>
      <c r="J417" s="85">
        <v>200000.00199681061</v>
      </c>
      <c r="K417" s="131" t="s">
        <v>6817</v>
      </c>
      <c r="L417" s="60">
        <v>60</v>
      </c>
      <c r="M417" s="49" t="s">
        <v>6748</v>
      </c>
    </row>
    <row r="418" spans="1:16" ht="14" x14ac:dyDescent="0.15">
      <c r="A418" s="73" t="s">
        <v>2633</v>
      </c>
      <c r="B418" s="82"/>
      <c r="C418" s="70" t="s">
        <v>3636</v>
      </c>
      <c r="D418" s="70" t="s">
        <v>2837</v>
      </c>
      <c r="E418" s="70" t="s">
        <v>3178</v>
      </c>
      <c r="F418" s="70" t="s">
        <v>7174</v>
      </c>
      <c r="G418" s="70" t="s">
        <v>7175</v>
      </c>
      <c r="H418" s="93"/>
      <c r="I418" s="85">
        <f t="shared" si="11"/>
        <v>4.2367900000000001</v>
      </c>
      <c r="J418" s="85">
        <v>17250.035771133316</v>
      </c>
      <c r="K418" s="131" t="s">
        <v>6817</v>
      </c>
      <c r="L418" s="63" t="s">
        <v>2686</v>
      </c>
      <c r="M418" s="49" t="s">
        <v>6392</v>
      </c>
    </row>
    <row r="419" spans="1:16" ht="14" x14ac:dyDescent="0.15">
      <c r="A419" s="70" t="s">
        <v>2633</v>
      </c>
      <c r="B419" s="82"/>
      <c r="C419" s="70" t="s">
        <v>3636</v>
      </c>
      <c r="D419" s="70" t="s">
        <v>2837</v>
      </c>
      <c r="E419" s="70" t="s">
        <v>3178</v>
      </c>
      <c r="F419" s="70" t="s">
        <v>7176</v>
      </c>
      <c r="G419" s="70" t="s">
        <v>6957</v>
      </c>
      <c r="H419" s="93"/>
      <c r="I419" s="85">
        <f t="shared" si="11"/>
        <v>4.3010300000000008</v>
      </c>
      <c r="J419" s="85">
        <v>20000.000199681075</v>
      </c>
      <c r="K419" s="131" t="s">
        <v>6522</v>
      </c>
      <c r="L419" s="60">
        <v>60</v>
      </c>
      <c r="M419" s="49" t="s">
        <v>6392</v>
      </c>
    </row>
    <row r="420" spans="1:16" ht="14" x14ac:dyDescent="0.15">
      <c r="A420" s="73" t="s">
        <v>2633</v>
      </c>
      <c r="B420" s="82"/>
      <c r="C420" s="70" t="s">
        <v>3636</v>
      </c>
      <c r="D420" s="70" t="s">
        <v>2837</v>
      </c>
      <c r="E420" s="70" t="s">
        <v>3178</v>
      </c>
      <c r="F420" s="70" t="s">
        <v>6968</v>
      </c>
      <c r="G420" s="70" t="s">
        <v>6958</v>
      </c>
      <c r="H420" s="93"/>
      <c r="I420" s="85">
        <f t="shared" si="11"/>
        <v>3.9777200000000006</v>
      </c>
      <c r="J420" s="85">
        <v>9499.9211362259666</v>
      </c>
      <c r="K420" s="131" t="s">
        <v>6817</v>
      </c>
      <c r="L420" s="63" t="s">
        <v>2686</v>
      </c>
      <c r="M420" s="49" t="s">
        <v>6392</v>
      </c>
    </row>
    <row r="421" spans="1:16" ht="14" x14ac:dyDescent="0.15">
      <c r="A421" s="166" t="s">
        <v>2633</v>
      </c>
      <c r="B421" s="82"/>
      <c r="C421" s="70" t="s">
        <v>3636</v>
      </c>
      <c r="D421" s="70" t="s">
        <v>2837</v>
      </c>
      <c r="E421" s="70" t="s">
        <v>3178</v>
      </c>
      <c r="F421" s="70" t="s">
        <v>6968</v>
      </c>
      <c r="G421" s="70" t="s">
        <v>4451</v>
      </c>
      <c r="H421" s="93"/>
      <c r="I421" s="85">
        <f t="shared" si="11"/>
        <v>4.010720000000001</v>
      </c>
      <c r="J421" s="85">
        <v>10249.908771372877</v>
      </c>
      <c r="K421" s="131" t="s">
        <v>6816</v>
      </c>
      <c r="L421" s="60">
        <v>60</v>
      </c>
      <c r="M421" s="49" t="s">
        <v>6392</v>
      </c>
    </row>
    <row r="422" spans="1:16" ht="14" x14ac:dyDescent="0.15">
      <c r="A422" s="70" t="s">
        <v>2633</v>
      </c>
      <c r="B422" s="82"/>
      <c r="C422" s="70" t="s">
        <v>3636</v>
      </c>
      <c r="D422" s="70" t="s">
        <v>2837</v>
      </c>
      <c r="E422" s="70" t="s">
        <v>3178</v>
      </c>
      <c r="F422" s="70" t="s">
        <v>6968</v>
      </c>
      <c r="G422" s="70" t="s">
        <v>3447</v>
      </c>
      <c r="H422" s="93"/>
      <c r="I422" s="85">
        <f t="shared" si="11"/>
        <v>4.0211900000000007</v>
      </c>
      <c r="J422" s="85">
        <v>10500.016946500356</v>
      </c>
      <c r="K422" s="131" t="s">
        <v>3177</v>
      </c>
      <c r="L422" s="60" t="s">
        <v>2686</v>
      </c>
    </row>
    <row r="423" spans="1:16" ht="14" x14ac:dyDescent="0.15">
      <c r="A423" s="70" t="s">
        <v>2633</v>
      </c>
      <c r="B423" s="82"/>
      <c r="C423" s="70" t="s">
        <v>3636</v>
      </c>
      <c r="D423" s="70" t="s">
        <v>2837</v>
      </c>
      <c r="E423" s="70" t="s">
        <v>3178</v>
      </c>
      <c r="F423" s="70" t="s">
        <v>6960</v>
      </c>
      <c r="G423" s="70" t="s">
        <v>2183</v>
      </c>
      <c r="H423" s="93"/>
      <c r="I423" s="85">
        <f t="shared" si="11"/>
        <v>4.4698200000000003</v>
      </c>
      <c r="J423" s="85">
        <v>29499.863062460532</v>
      </c>
      <c r="K423" s="131" t="s">
        <v>7661</v>
      </c>
      <c r="L423" s="63" t="s">
        <v>2686</v>
      </c>
      <c r="M423" s="49" t="s">
        <v>6392</v>
      </c>
      <c r="P423" s="49"/>
    </row>
    <row r="424" spans="1:16" ht="14" x14ac:dyDescent="0.15">
      <c r="A424" s="70" t="s">
        <v>2633</v>
      </c>
      <c r="B424" s="82"/>
      <c r="C424" s="73" t="s">
        <v>3636</v>
      </c>
      <c r="D424" s="73" t="s">
        <v>2837</v>
      </c>
      <c r="E424" s="73" t="s">
        <v>3178</v>
      </c>
      <c r="F424" s="73" t="s">
        <v>6960</v>
      </c>
      <c r="G424" s="73" t="s">
        <v>7187</v>
      </c>
      <c r="H424" s="108"/>
      <c r="I424" s="85">
        <f t="shared" si="11"/>
        <v>4.6439500000000011</v>
      </c>
      <c r="J424" s="95">
        <v>44050.414567309555</v>
      </c>
      <c r="K424" s="131" t="s">
        <v>6817</v>
      </c>
      <c r="L424" s="60" t="s">
        <v>2686</v>
      </c>
      <c r="M424" s="49" t="s">
        <v>6392</v>
      </c>
    </row>
    <row r="425" spans="1:16" ht="14" x14ac:dyDescent="0.15">
      <c r="A425" s="70" t="s">
        <v>2633</v>
      </c>
      <c r="B425" s="82"/>
      <c r="C425" s="70" t="s">
        <v>3636</v>
      </c>
      <c r="D425" s="70" t="s">
        <v>2837</v>
      </c>
      <c r="E425" s="70" t="s">
        <v>3178</v>
      </c>
      <c r="F425" s="70" t="s">
        <v>6960</v>
      </c>
      <c r="G425" s="70" t="s">
        <v>7184</v>
      </c>
      <c r="H425" s="93"/>
      <c r="I425" s="85">
        <f t="shared" si="11"/>
        <v>4.7634300000000005</v>
      </c>
      <c r="J425" s="85">
        <v>58000.267960159108</v>
      </c>
      <c r="K425" s="131" t="s">
        <v>6391</v>
      </c>
      <c r="L425" s="60" t="s">
        <v>2686</v>
      </c>
      <c r="M425" s="49" t="s">
        <v>6392</v>
      </c>
    </row>
    <row r="426" spans="1:16" ht="14" x14ac:dyDescent="0.15">
      <c r="A426" s="73" t="s">
        <v>2633</v>
      </c>
      <c r="B426" s="82"/>
      <c r="C426" s="70" t="s">
        <v>3636</v>
      </c>
      <c r="D426" s="70" t="s">
        <v>2837</v>
      </c>
      <c r="E426" s="70" t="s">
        <v>3178</v>
      </c>
      <c r="F426" s="70" t="s">
        <v>7412</v>
      </c>
      <c r="G426" s="70" t="s">
        <v>4603</v>
      </c>
      <c r="H426" s="93"/>
      <c r="I426" s="85">
        <f t="shared" si="11"/>
        <v>5.2342600000000008</v>
      </c>
      <c r="J426" s="85">
        <v>171498.37131800401</v>
      </c>
      <c r="K426" s="131" t="s">
        <v>6817</v>
      </c>
      <c r="L426" s="60">
        <v>60</v>
      </c>
      <c r="M426" s="49" t="s">
        <v>6392</v>
      </c>
    </row>
    <row r="427" spans="1:16" ht="14" x14ac:dyDescent="0.15">
      <c r="A427" s="70" t="s">
        <v>2633</v>
      </c>
      <c r="B427" s="82"/>
      <c r="C427" s="70" t="s">
        <v>3636</v>
      </c>
      <c r="D427" s="70" t="s">
        <v>2837</v>
      </c>
      <c r="E427" s="70" t="s">
        <v>3178</v>
      </c>
      <c r="F427" s="70" t="s">
        <v>3707</v>
      </c>
      <c r="G427" s="70" t="s">
        <v>3708</v>
      </c>
      <c r="H427" s="93"/>
      <c r="I427" s="85">
        <f t="shared" si="11"/>
        <v>4.2900300000000007</v>
      </c>
      <c r="J427" s="85">
        <v>19499.792949034705</v>
      </c>
      <c r="K427" s="131" t="s">
        <v>3177</v>
      </c>
      <c r="L427" s="60" t="s">
        <v>2686</v>
      </c>
    </row>
    <row r="428" spans="1:16" ht="42" x14ac:dyDescent="0.15">
      <c r="A428" s="166" t="s">
        <v>2633</v>
      </c>
      <c r="B428" s="82"/>
      <c r="C428" s="70" t="s">
        <v>3636</v>
      </c>
      <c r="D428" s="70" t="s">
        <v>2837</v>
      </c>
      <c r="E428" s="70" t="s">
        <v>3178</v>
      </c>
      <c r="F428" s="70" t="s">
        <v>4120</v>
      </c>
      <c r="G428" s="70" t="s">
        <v>6270</v>
      </c>
      <c r="H428" s="93"/>
      <c r="I428" s="85">
        <f t="shared" si="11"/>
        <v>5.7634299999999996</v>
      </c>
      <c r="J428" s="85">
        <v>580002.67960159073</v>
      </c>
      <c r="K428" s="131" t="s">
        <v>6478</v>
      </c>
      <c r="L428" s="60" t="s">
        <v>2686</v>
      </c>
      <c r="M428" s="49" t="s">
        <v>6392</v>
      </c>
    </row>
    <row r="429" spans="1:16" ht="14" x14ac:dyDescent="0.15">
      <c r="A429" s="70" t="s">
        <v>2633</v>
      </c>
      <c r="B429" s="82"/>
      <c r="C429" s="70" t="s">
        <v>3636</v>
      </c>
      <c r="D429" s="70" t="s">
        <v>2837</v>
      </c>
      <c r="E429" s="70" t="s">
        <v>3178</v>
      </c>
      <c r="F429" s="70" t="s">
        <v>3235</v>
      </c>
      <c r="G429" s="70" t="s">
        <v>3718</v>
      </c>
      <c r="H429" s="93"/>
      <c r="I429" s="85">
        <f t="shared" si="11"/>
        <v>5.7558700000000007</v>
      </c>
      <c r="J429" s="85">
        <v>569993.62709414295</v>
      </c>
      <c r="K429" s="131" t="s">
        <v>3177</v>
      </c>
      <c r="L429" s="60" t="s">
        <v>2686</v>
      </c>
    </row>
    <row r="430" spans="1:16" ht="14" x14ac:dyDescent="0.15">
      <c r="A430" s="70" t="s">
        <v>2633</v>
      </c>
      <c r="B430" s="82"/>
      <c r="C430" s="70" t="s">
        <v>3636</v>
      </c>
      <c r="D430" s="70" t="s">
        <v>2837</v>
      </c>
      <c r="E430" s="70" t="s">
        <v>3178</v>
      </c>
      <c r="F430" s="70" t="s">
        <v>3235</v>
      </c>
      <c r="G430" s="70" t="s">
        <v>2897</v>
      </c>
      <c r="H430" s="93"/>
      <c r="I430" s="85">
        <f t="shared" si="11"/>
        <v>5.8325089127062366</v>
      </c>
      <c r="J430" s="85">
        <v>680000</v>
      </c>
      <c r="K430" s="131" t="s">
        <v>6485</v>
      </c>
      <c r="L430" s="63">
        <v>68</v>
      </c>
      <c r="M430" s="49" t="s">
        <v>6392</v>
      </c>
    </row>
    <row r="431" spans="1:16" ht="14" x14ac:dyDescent="0.15">
      <c r="A431" s="70" t="s">
        <v>2633</v>
      </c>
      <c r="B431" s="82"/>
      <c r="C431" s="70" t="s">
        <v>3636</v>
      </c>
      <c r="D431" s="70" t="s">
        <v>2837</v>
      </c>
      <c r="E431" s="70" t="s">
        <v>3178</v>
      </c>
      <c r="F431" s="70" t="s">
        <v>3719</v>
      </c>
      <c r="G431" s="70" t="s">
        <v>4315</v>
      </c>
      <c r="H431" s="93"/>
      <c r="I431" s="85">
        <f t="shared" si="11"/>
        <v>4.6359899999999996</v>
      </c>
      <c r="J431" s="85">
        <v>43250.387215066643</v>
      </c>
      <c r="K431" s="131" t="s">
        <v>3177</v>
      </c>
      <c r="L431" s="60" t="s">
        <v>2686</v>
      </c>
    </row>
    <row r="432" spans="1:16" ht="14" x14ac:dyDescent="0.15">
      <c r="A432" s="70" t="s">
        <v>2633</v>
      </c>
      <c r="B432" s="82"/>
      <c r="C432" s="70" t="s">
        <v>3636</v>
      </c>
      <c r="D432" s="70" t="s">
        <v>2837</v>
      </c>
      <c r="E432" s="70" t="s">
        <v>3178</v>
      </c>
      <c r="F432" s="70" t="s">
        <v>3719</v>
      </c>
      <c r="G432" s="70" t="s">
        <v>3882</v>
      </c>
      <c r="H432" s="93"/>
      <c r="I432" s="85">
        <f t="shared" si="11"/>
        <v>4.8920899999999996</v>
      </c>
      <c r="J432" s="85">
        <v>77999.173353634396</v>
      </c>
      <c r="K432" s="131" t="s">
        <v>6817</v>
      </c>
      <c r="L432" s="60" t="s">
        <v>2686</v>
      </c>
      <c r="M432" s="49" t="s">
        <v>6392</v>
      </c>
    </row>
    <row r="433" spans="1:13" ht="28" x14ac:dyDescent="0.15">
      <c r="A433" s="70" t="s">
        <v>2633</v>
      </c>
      <c r="B433" s="82"/>
      <c r="C433" s="70" t="s">
        <v>3636</v>
      </c>
      <c r="D433" s="70" t="s">
        <v>2837</v>
      </c>
      <c r="E433" s="70" t="s">
        <v>3178</v>
      </c>
      <c r="F433" s="70" t="s">
        <v>3719</v>
      </c>
      <c r="G433" s="70" t="s">
        <v>3237</v>
      </c>
      <c r="H433" s="93"/>
      <c r="I433" s="85">
        <f t="shared" si="11"/>
        <v>4.9115600000000006</v>
      </c>
      <c r="J433" s="85">
        <v>81575.548013253661</v>
      </c>
      <c r="K433" s="131" t="s">
        <v>6412</v>
      </c>
      <c r="L433" s="60" t="s">
        <v>2686</v>
      </c>
      <c r="M433" s="49" t="s">
        <v>6392</v>
      </c>
    </row>
    <row r="434" spans="1:13" ht="14" x14ac:dyDescent="0.15">
      <c r="A434" s="70" t="s">
        <v>2633</v>
      </c>
      <c r="B434" s="82"/>
      <c r="C434" s="73" t="s">
        <v>3636</v>
      </c>
      <c r="D434" s="73" t="s">
        <v>2837</v>
      </c>
      <c r="E434" s="70" t="s">
        <v>3178</v>
      </c>
      <c r="F434" s="73" t="s">
        <v>3719</v>
      </c>
      <c r="G434" s="73" t="s">
        <v>3720</v>
      </c>
      <c r="H434" s="108"/>
      <c r="I434" s="85">
        <f t="shared" si="11"/>
        <v>4.9375200000000001</v>
      </c>
      <c r="J434" s="85">
        <v>86600.420340917175</v>
      </c>
      <c r="K434" s="131" t="s">
        <v>3177</v>
      </c>
      <c r="L434" s="60">
        <v>60</v>
      </c>
      <c r="M434" s="49" t="s">
        <v>6392</v>
      </c>
    </row>
    <row r="435" spans="1:13" ht="14" x14ac:dyDescent="0.15">
      <c r="A435" s="73" t="s">
        <v>2633</v>
      </c>
      <c r="B435" s="82"/>
      <c r="C435" s="70" t="s">
        <v>3636</v>
      </c>
      <c r="D435" s="70" t="s">
        <v>2837</v>
      </c>
      <c r="E435" s="70" t="s">
        <v>3178</v>
      </c>
      <c r="F435" s="70" t="s">
        <v>3719</v>
      </c>
      <c r="G435" s="70" t="s">
        <v>3883</v>
      </c>
      <c r="H435" s="93"/>
      <c r="I435" s="85">
        <f t="shared" si="11"/>
        <v>5.3293999999999997</v>
      </c>
      <c r="J435" s="85">
        <v>213501.04251272275</v>
      </c>
      <c r="K435" s="131" t="s">
        <v>3177</v>
      </c>
      <c r="L435" s="60" t="s">
        <v>2686</v>
      </c>
      <c r="M435" s="49" t="s">
        <v>6392</v>
      </c>
    </row>
    <row r="436" spans="1:13" ht="14" x14ac:dyDescent="0.15">
      <c r="A436" s="70" t="s">
        <v>2633</v>
      </c>
      <c r="B436" s="82"/>
      <c r="C436" s="70" t="s">
        <v>3636</v>
      </c>
      <c r="D436" s="70" t="s">
        <v>2837</v>
      </c>
      <c r="E436" s="70" t="s">
        <v>3178</v>
      </c>
      <c r="F436" s="70" t="s">
        <v>3719</v>
      </c>
      <c r="G436" s="70" t="s">
        <v>3702</v>
      </c>
      <c r="H436" s="93"/>
      <c r="I436" s="85">
        <f t="shared" si="11"/>
        <v>5.3324400000000001</v>
      </c>
      <c r="J436" s="85">
        <v>215000.76242905634</v>
      </c>
      <c r="K436" s="131" t="s">
        <v>6816</v>
      </c>
      <c r="L436" s="60">
        <v>65</v>
      </c>
      <c r="M436" s="49" t="s">
        <v>6390</v>
      </c>
    </row>
    <row r="437" spans="1:13" ht="14" x14ac:dyDescent="0.15">
      <c r="A437" s="70" t="s">
        <v>2633</v>
      </c>
      <c r="B437" s="82"/>
      <c r="C437" s="70" t="s">
        <v>3636</v>
      </c>
      <c r="D437" s="70" t="s">
        <v>2837</v>
      </c>
      <c r="E437" s="70" t="s">
        <v>3178</v>
      </c>
      <c r="F437" s="70" t="s">
        <v>3719</v>
      </c>
      <c r="G437" s="70" t="s">
        <v>3236</v>
      </c>
      <c r="H437" s="93"/>
      <c r="I437" s="85">
        <f t="shared" si="11"/>
        <v>5.5171999999999999</v>
      </c>
      <c r="J437" s="85">
        <v>329003.10752470582</v>
      </c>
      <c r="K437" s="131" t="s">
        <v>6817</v>
      </c>
      <c r="L437" s="60">
        <v>60</v>
      </c>
      <c r="M437" s="49" t="s">
        <v>6392</v>
      </c>
    </row>
    <row r="438" spans="1:13" ht="14" x14ac:dyDescent="0.15">
      <c r="A438" s="70" t="s">
        <v>2633</v>
      </c>
      <c r="B438" s="82"/>
      <c r="C438" s="70" t="s">
        <v>3636</v>
      </c>
      <c r="D438" s="70" t="s">
        <v>2837</v>
      </c>
      <c r="E438" s="70" t="s">
        <v>3724</v>
      </c>
      <c r="F438" s="70" t="s">
        <v>3725</v>
      </c>
      <c r="G438" s="70" t="s">
        <v>3682</v>
      </c>
      <c r="H438" s="93"/>
      <c r="I438" s="85">
        <f t="shared" si="11"/>
        <v>5.1938200000000005</v>
      </c>
      <c r="J438" s="85">
        <v>156249.99063995146</v>
      </c>
      <c r="K438" s="131" t="s">
        <v>3177</v>
      </c>
      <c r="L438" s="60">
        <v>65</v>
      </c>
    </row>
    <row r="439" spans="1:13" ht="14" x14ac:dyDescent="0.15">
      <c r="A439" s="70" t="s">
        <v>2633</v>
      </c>
      <c r="B439" s="82"/>
      <c r="C439" s="70" t="s">
        <v>3636</v>
      </c>
      <c r="D439" s="70" t="s">
        <v>2837</v>
      </c>
      <c r="E439" s="70" t="s">
        <v>3543</v>
      </c>
      <c r="F439" s="70" t="s">
        <v>3544</v>
      </c>
      <c r="G439" s="70" t="s">
        <v>3545</v>
      </c>
      <c r="H439" s="93"/>
      <c r="I439" s="85">
        <f t="shared" si="11"/>
        <v>5.9542400000000013</v>
      </c>
      <c r="J439" s="85">
        <v>899994.79963720404</v>
      </c>
      <c r="K439" s="131" t="s">
        <v>6391</v>
      </c>
      <c r="L439" s="63" t="s">
        <v>2686</v>
      </c>
      <c r="M439" s="49" t="s">
        <v>6392</v>
      </c>
    </row>
    <row r="440" spans="1:13" ht="14" x14ac:dyDescent="0.15">
      <c r="A440" s="70" t="s">
        <v>2633</v>
      </c>
      <c r="B440" s="82"/>
      <c r="C440" s="70" t="s">
        <v>3636</v>
      </c>
      <c r="D440" s="70" t="s">
        <v>2837</v>
      </c>
      <c r="E440" s="70" t="s">
        <v>3543</v>
      </c>
      <c r="F440" s="70" t="s">
        <v>3296</v>
      </c>
      <c r="G440" s="70" t="s">
        <v>3537</v>
      </c>
      <c r="H440" s="93"/>
      <c r="I440" s="85">
        <f t="shared" si="11"/>
        <v>5.3617300000000006</v>
      </c>
      <c r="J440" s="85">
        <v>230001.14603619074</v>
      </c>
      <c r="K440" s="131" t="s">
        <v>6817</v>
      </c>
      <c r="L440" s="60" t="s">
        <v>2686</v>
      </c>
      <c r="M440" s="49" t="s">
        <v>6392</v>
      </c>
    </row>
    <row r="441" spans="1:13" ht="14" x14ac:dyDescent="0.15">
      <c r="A441" s="70" t="s">
        <v>2633</v>
      </c>
      <c r="B441" s="82"/>
      <c r="C441" s="70" t="s">
        <v>3636</v>
      </c>
      <c r="D441" s="70" t="s">
        <v>2837</v>
      </c>
      <c r="E441" s="70" t="s">
        <v>3538</v>
      </c>
      <c r="F441" s="70" t="s">
        <v>3539</v>
      </c>
      <c r="G441" s="70" t="s">
        <v>3540</v>
      </c>
      <c r="H441" s="93"/>
      <c r="I441" s="85">
        <f t="shared" si="11"/>
        <v>5.3710700000000005</v>
      </c>
      <c r="J441" s="85">
        <v>235001.15674363667</v>
      </c>
      <c r="K441" s="131" t="s">
        <v>6817</v>
      </c>
      <c r="L441" s="60">
        <v>60</v>
      </c>
      <c r="M441" s="49" t="s">
        <v>6728</v>
      </c>
    </row>
    <row r="442" spans="1:13" ht="14" x14ac:dyDescent="0.15">
      <c r="A442" s="70" t="s">
        <v>2633</v>
      </c>
      <c r="B442" s="82"/>
      <c r="C442" s="70" t="s">
        <v>3636</v>
      </c>
      <c r="D442" s="70" t="s">
        <v>2837</v>
      </c>
      <c r="E442" s="70" t="s">
        <v>3538</v>
      </c>
      <c r="F442" s="70" t="s">
        <v>3541</v>
      </c>
      <c r="G442" s="70" t="s">
        <v>3542</v>
      </c>
      <c r="H442" s="93"/>
      <c r="I442" s="85">
        <f t="shared" si="11"/>
        <v>6.1515199999999997</v>
      </c>
      <c r="J442" s="85">
        <v>1417489.98776606</v>
      </c>
      <c r="K442" s="131" t="s">
        <v>3177</v>
      </c>
      <c r="L442" s="60" t="s">
        <v>2686</v>
      </c>
    </row>
    <row r="443" spans="1:13" ht="14" x14ac:dyDescent="0.15">
      <c r="A443" s="70" t="s">
        <v>2633</v>
      </c>
      <c r="B443" s="82"/>
      <c r="C443" s="70" t="s">
        <v>3636</v>
      </c>
      <c r="D443" s="70" t="s">
        <v>2837</v>
      </c>
      <c r="E443" s="70" t="s">
        <v>3088</v>
      </c>
      <c r="F443" s="70" t="s">
        <v>2899</v>
      </c>
      <c r="G443" s="70" t="s">
        <v>3299</v>
      </c>
      <c r="H443" s="93"/>
      <c r="I443" s="85">
        <f t="shared" si="11"/>
        <v>5.2753113545418113</v>
      </c>
      <c r="J443" s="85">
        <f>AVERAGE(145000, 275000, 130000, 204000)</f>
        <v>188500</v>
      </c>
      <c r="K443" s="131" t="s">
        <v>3177</v>
      </c>
      <c r="L443" s="60">
        <v>116</v>
      </c>
    </row>
    <row r="444" spans="1:13" ht="14" x14ac:dyDescent="0.15">
      <c r="A444" s="70" t="s">
        <v>2633</v>
      </c>
      <c r="B444" s="82"/>
      <c r="C444" s="70" t="s">
        <v>3636</v>
      </c>
      <c r="D444" s="70" t="s">
        <v>2837</v>
      </c>
      <c r="E444" s="70" t="s">
        <v>3088</v>
      </c>
      <c r="F444" s="70" t="s">
        <v>3300</v>
      </c>
      <c r="G444" s="70" t="s">
        <v>3301</v>
      </c>
      <c r="H444" s="93"/>
      <c r="I444" s="85">
        <f t="shared" si="11"/>
        <v>4.8512599999999999</v>
      </c>
      <c r="J444" s="85">
        <v>71000.269957767028</v>
      </c>
      <c r="K444" s="131" t="s">
        <v>3177</v>
      </c>
      <c r="L444" s="60" t="s">
        <v>2686</v>
      </c>
    </row>
    <row r="445" spans="1:13" ht="42" x14ac:dyDescent="0.15">
      <c r="A445" s="73" t="s">
        <v>2633</v>
      </c>
      <c r="B445" s="93" t="s">
        <v>4551</v>
      </c>
      <c r="C445" s="70" t="s">
        <v>3636</v>
      </c>
      <c r="D445" s="70" t="s">
        <v>2837</v>
      </c>
      <c r="E445" s="70" t="s">
        <v>3088</v>
      </c>
      <c r="F445" s="70" t="s">
        <v>3300</v>
      </c>
      <c r="G445" s="70" t="s">
        <v>6975</v>
      </c>
      <c r="H445" s="93"/>
      <c r="I445" s="85">
        <f t="shared" si="11"/>
        <v>4.9164539485499255</v>
      </c>
      <c r="J445" s="85">
        <f>AVERAGE(60000, 105000)</f>
        <v>82500</v>
      </c>
      <c r="K445" s="131" t="s">
        <v>6690</v>
      </c>
      <c r="L445" s="63">
        <v>70</v>
      </c>
      <c r="M445" s="35"/>
    </row>
    <row r="446" spans="1:13" ht="14" x14ac:dyDescent="0.15">
      <c r="A446" s="70" t="s">
        <v>2633</v>
      </c>
      <c r="B446" s="82"/>
      <c r="C446" s="70" t="s">
        <v>3636</v>
      </c>
      <c r="D446" s="70" t="s">
        <v>2837</v>
      </c>
      <c r="E446" s="70" t="s">
        <v>3088</v>
      </c>
      <c r="F446" s="70" t="s">
        <v>3302</v>
      </c>
      <c r="G446" s="70" t="s">
        <v>3303</v>
      </c>
      <c r="H446" s="93"/>
      <c r="I446" s="85">
        <f t="shared" si="11"/>
        <v>4.8451000000000004</v>
      </c>
      <c r="J446" s="85">
        <v>70000.315913089813</v>
      </c>
      <c r="K446" s="131" t="s">
        <v>3177</v>
      </c>
      <c r="L446" s="60" t="s">
        <v>2686</v>
      </c>
    </row>
    <row r="447" spans="1:13" ht="42" x14ac:dyDescent="0.15">
      <c r="A447" s="70" t="s">
        <v>2633</v>
      </c>
      <c r="B447" s="93" t="s">
        <v>7233</v>
      </c>
      <c r="C447" s="70" t="s">
        <v>3636</v>
      </c>
      <c r="D447" s="70" t="s">
        <v>2837</v>
      </c>
      <c r="E447" s="70" t="s">
        <v>3088</v>
      </c>
      <c r="F447" s="70" t="s">
        <v>3302</v>
      </c>
      <c r="G447" s="70" t="s">
        <v>5630</v>
      </c>
      <c r="H447" s="93"/>
      <c r="I447" s="85">
        <f t="shared" si="11"/>
        <v>4.989004615698537</v>
      </c>
      <c r="J447" s="85">
        <f>AVERAGE(45000, 150000)</f>
        <v>97500</v>
      </c>
      <c r="K447" s="131" t="s">
        <v>3177</v>
      </c>
      <c r="L447" s="60">
        <v>70</v>
      </c>
    </row>
    <row r="448" spans="1:13" ht="14" x14ac:dyDescent="0.15">
      <c r="A448" s="70" t="s">
        <v>2633</v>
      </c>
      <c r="B448" s="82"/>
      <c r="C448" s="70" t="s">
        <v>3636</v>
      </c>
      <c r="D448" s="70" t="s">
        <v>2837</v>
      </c>
      <c r="E448" s="70" t="s">
        <v>3770</v>
      </c>
      <c r="F448" s="70" t="s">
        <v>3771</v>
      </c>
      <c r="G448" s="70" t="s">
        <v>3772</v>
      </c>
      <c r="H448" s="93"/>
      <c r="I448" s="85">
        <f t="shared" si="11"/>
        <v>4.0354299999999999</v>
      </c>
      <c r="J448" s="85">
        <v>10850.006540950035</v>
      </c>
      <c r="K448" s="131" t="s">
        <v>6817</v>
      </c>
      <c r="L448" s="60">
        <v>60</v>
      </c>
      <c r="M448" s="49" t="s">
        <v>6727</v>
      </c>
    </row>
    <row r="449" spans="1:15" ht="14" x14ac:dyDescent="0.15">
      <c r="A449" s="70" t="s">
        <v>2633</v>
      </c>
      <c r="B449" s="82"/>
      <c r="C449" s="70" t="s">
        <v>3636</v>
      </c>
      <c r="D449" s="70" t="s">
        <v>3773</v>
      </c>
      <c r="E449" s="70" t="s">
        <v>3774</v>
      </c>
      <c r="F449" s="70" t="s">
        <v>3775</v>
      </c>
      <c r="G449" s="70" t="s">
        <v>7097</v>
      </c>
      <c r="H449" s="93"/>
      <c r="I449" s="85">
        <f t="shared" si="11"/>
        <v>3.9294200000000004</v>
      </c>
      <c r="J449" s="85">
        <v>8500.0210259171836</v>
      </c>
      <c r="K449" s="131" t="s">
        <v>3177</v>
      </c>
      <c r="L449" s="60" t="s">
        <v>2686</v>
      </c>
      <c r="O449" s="49"/>
    </row>
    <row r="450" spans="1:15" ht="42" x14ac:dyDescent="0.15">
      <c r="A450" s="70" t="s">
        <v>2633</v>
      </c>
      <c r="B450" s="82"/>
      <c r="C450" s="70" t="s">
        <v>3636</v>
      </c>
      <c r="D450" s="70" t="s">
        <v>3773</v>
      </c>
      <c r="E450" s="70" t="s">
        <v>3774</v>
      </c>
      <c r="F450" s="70" t="s">
        <v>3775</v>
      </c>
      <c r="G450" s="70" t="s">
        <v>6861</v>
      </c>
      <c r="H450" s="93"/>
      <c r="I450" s="85">
        <f t="shared" si="11"/>
        <v>4</v>
      </c>
      <c r="J450" s="85">
        <v>10000</v>
      </c>
      <c r="K450" s="131" t="s">
        <v>7701</v>
      </c>
      <c r="L450" s="60">
        <v>65</v>
      </c>
      <c r="M450" s="49" t="s">
        <v>6809</v>
      </c>
    </row>
    <row r="451" spans="1:15" ht="14" x14ac:dyDescent="0.15">
      <c r="A451" s="166" t="s">
        <v>2633</v>
      </c>
      <c r="B451" s="82"/>
      <c r="C451" s="70" t="s">
        <v>3636</v>
      </c>
      <c r="D451" s="70" t="s">
        <v>3773</v>
      </c>
      <c r="E451" s="70" t="s">
        <v>3774</v>
      </c>
      <c r="F451" s="70" t="s">
        <v>3775</v>
      </c>
      <c r="G451" s="70" t="s">
        <v>3776</v>
      </c>
      <c r="H451" s="93"/>
      <c r="I451" s="85">
        <f t="shared" ref="I451:I514" si="12">LOG(J451)</f>
        <v>4.010720000000001</v>
      </c>
      <c r="J451" s="85">
        <v>10249.908771372877</v>
      </c>
      <c r="K451" s="131" t="s">
        <v>3177</v>
      </c>
      <c r="L451" s="60" t="s">
        <v>2686</v>
      </c>
    </row>
    <row r="452" spans="1:15" ht="14" x14ac:dyDescent="0.15">
      <c r="A452" s="70" t="s">
        <v>2633</v>
      </c>
      <c r="B452" s="82"/>
      <c r="C452" s="70" t="s">
        <v>3636</v>
      </c>
      <c r="D452" s="70" t="s">
        <v>3773</v>
      </c>
      <c r="E452" s="70" t="s">
        <v>3774</v>
      </c>
      <c r="F452" s="70" t="s">
        <v>3775</v>
      </c>
      <c r="G452" s="70" t="s">
        <v>7096</v>
      </c>
      <c r="H452" s="93"/>
      <c r="I452" s="85">
        <f t="shared" si="12"/>
        <v>4.0413899999999998</v>
      </c>
      <c r="J452" s="85">
        <v>10999.931989351941</v>
      </c>
      <c r="K452" s="131" t="s">
        <v>3177</v>
      </c>
      <c r="L452" s="60" t="s">
        <v>2686</v>
      </c>
    </row>
    <row r="453" spans="1:15" ht="70" x14ac:dyDescent="0.15">
      <c r="A453" s="70" t="s">
        <v>2633</v>
      </c>
      <c r="B453" s="82"/>
      <c r="C453" s="70" t="s">
        <v>3636</v>
      </c>
      <c r="D453" s="70" t="s">
        <v>3773</v>
      </c>
      <c r="E453" s="70" t="s">
        <v>3774</v>
      </c>
      <c r="F453" s="70" t="s">
        <v>6862</v>
      </c>
      <c r="G453" s="70" t="s">
        <v>7369</v>
      </c>
      <c r="H453" s="93"/>
      <c r="I453" s="85">
        <f t="shared" si="12"/>
        <v>4.3434100000000013</v>
      </c>
      <c r="J453" s="85">
        <v>22050.071395508028</v>
      </c>
      <c r="K453" s="131" t="s">
        <v>6458</v>
      </c>
      <c r="L453" s="60">
        <v>60</v>
      </c>
      <c r="M453" s="49" t="s">
        <v>6390</v>
      </c>
    </row>
    <row r="454" spans="1:15" ht="14" x14ac:dyDescent="0.15">
      <c r="A454" s="70" t="s">
        <v>2633</v>
      </c>
      <c r="B454" s="82"/>
      <c r="C454" s="70" t="s">
        <v>3636</v>
      </c>
      <c r="D454" s="70" t="s">
        <v>3773</v>
      </c>
      <c r="E454" s="70" t="s">
        <v>3774</v>
      </c>
      <c r="F454" s="70" t="s">
        <v>7370</v>
      </c>
      <c r="G454" s="70" t="s">
        <v>1913</v>
      </c>
      <c r="H454" s="93"/>
      <c r="I454" s="85">
        <f t="shared" si="12"/>
        <v>3.6180500000000002</v>
      </c>
      <c r="J454" s="85">
        <v>4150.0181873416614</v>
      </c>
      <c r="K454" s="131" t="s">
        <v>3177</v>
      </c>
      <c r="L454" s="60" t="s">
        <v>2686</v>
      </c>
    </row>
    <row r="455" spans="1:15" ht="14" x14ac:dyDescent="0.15">
      <c r="A455" s="70" t="s">
        <v>2633</v>
      </c>
      <c r="B455" s="82"/>
      <c r="C455" s="73" t="s">
        <v>3636</v>
      </c>
      <c r="D455" s="73" t="s">
        <v>3773</v>
      </c>
      <c r="E455" s="73" t="s">
        <v>3774</v>
      </c>
      <c r="F455" s="73" t="s">
        <v>4362</v>
      </c>
      <c r="G455" s="73" t="s">
        <v>4495</v>
      </c>
      <c r="H455" s="108"/>
      <c r="I455" s="85">
        <f t="shared" si="12"/>
        <v>3.0413926851582249</v>
      </c>
      <c r="J455" s="85">
        <v>1100</v>
      </c>
      <c r="K455" s="131" t="s">
        <v>6522</v>
      </c>
      <c r="L455" s="66">
        <v>75</v>
      </c>
      <c r="M455" s="49" t="s">
        <v>6727</v>
      </c>
    </row>
    <row r="456" spans="1:15" ht="14" x14ac:dyDescent="0.15">
      <c r="A456" s="70" t="s">
        <v>2633</v>
      </c>
      <c r="B456" s="82"/>
      <c r="C456" s="70" t="s">
        <v>3636</v>
      </c>
      <c r="D456" s="70" t="s">
        <v>3773</v>
      </c>
      <c r="E456" s="70" t="s">
        <v>3774</v>
      </c>
      <c r="F456" s="70" t="s">
        <v>4362</v>
      </c>
      <c r="G456" s="70" t="s">
        <v>4364</v>
      </c>
      <c r="H456" s="93"/>
      <c r="I456" s="85">
        <f t="shared" si="12"/>
        <v>3.4471600000000002</v>
      </c>
      <c r="J456" s="85">
        <v>2800.012692434535</v>
      </c>
      <c r="K456" s="131" t="s">
        <v>3177</v>
      </c>
      <c r="L456" s="60">
        <v>65</v>
      </c>
      <c r="M456" s="49" t="s">
        <v>6727</v>
      </c>
    </row>
    <row r="457" spans="1:15" ht="14" x14ac:dyDescent="0.15">
      <c r="A457" s="70" t="s">
        <v>2633</v>
      </c>
      <c r="B457" s="82"/>
      <c r="C457" s="70" t="s">
        <v>3636</v>
      </c>
      <c r="D457" s="70" t="s">
        <v>3773</v>
      </c>
      <c r="E457" s="70" t="s">
        <v>3774</v>
      </c>
      <c r="F457" s="70" t="s">
        <v>4362</v>
      </c>
      <c r="G457" s="70" t="s">
        <v>4363</v>
      </c>
      <c r="H457" s="93"/>
      <c r="I457" s="85">
        <f t="shared" si="12"/>
        <v>3.4705599999999999</v>
      </c>
      <c r="J457" s="85">
        <v>2955.0171109806356</v>
      </c>
      <c r="K457" s="131" t="s">
        <v>3177</v>
      </c>
      <c r="L457" s="60">
        <v>60</v>
      </c>
    </row>
    <row r="458" spans="1:15" ht="28" x14ac:dyDescent="0.15">
      <c r="A458" s="70" t="s">
        <v>2633</v>
      </c>
      <c r="B458" s="82"/>
      <c r="C458" s="70" t="s">
        <v>3636</v>
      </c>
      <c r="D458" s="70" t="s">
        <v>3773</v>
      </c>
      <c r="E458" s="70" t="s">
        <v>3774</v>
      </c>
      <c r="F458" s="70" t="s">
        <v>4362</v>
      </c>
      <c r="G458" s="70" t="s">
        <v>4493</v>
      </c>
      <c r="H458" s="93"/>
      <c r="I458" s="85">
        <f t="shared" si="12"/>
        <v>3.5118800000000006</v>
      </c>
      <c r="J458" s="85">
        <v>3249.9748485428022</v>
      </c>
      <c r="K458" s="131" t="s">
        <v>7884</v>
      </c>
      <c r="L458" s="60">
        <v>65</v>
      </c>
      <c r="M458" s="49" t="s">
        <v>6727</v>
      </c>
    </row>
    <row r="459" spans="1:15" ht="14" x14ac:dyDescent="0.15">
      <c r="A459" s="70" t="s">
        <v>2633</v>
      </c>
      <c r="B459" s="82"/>
      <c r="C459" s="70" t="s">
        <v>3636</v>
      </c>
      <c r="D459" s="70" t="s">
        <v>3773</v>
      </c>
      <c r="E459" s="70" t="s">
        <v>3774</v>
      </c>
      <c r="F459" s="70" t="s">
        <v>4362</v>
      </c>
      <c r="G459" s="70" t="s">
        <v>4494</v>
      </c>
      <c r="H459" s="93"/>
      <c r="I459" s="85">
        <f t="shared" si="12"/>
        <v>3.7781500000000001</v>
      </c>
      <c r="J459" s="85">
        <v>5999.9827253364419</v>
      </c>
      <c r="K459" s="131" t="s">
        <v>3177</v>
      </c>
      <c r="L459" s="63">
        <v>65</v>
      </c>
    </row>
    <row r="460" spans="1:15" ht="28" x14ac:dyDescent="0.15">
      <c r="A460" s="70" t="s">
        <v>2633</v>
      </c>
      <c r="B460" s="82"/>
      <c r="C460" s="70" t="s">
        <v>3636</v>
      </c>
      <c r="D460" s="70" t="s">
        <v>3773</v>
      </c>
      <c r="E460" s="70" t="s">
        <v>7053</v>
      </c>
      <c r="F460" s="70" t="s">
        <v>4502</v>
      </c>
      <c r="G460" s="70" t="s">
        <v>4653</v>
      </c>
      <c r="H460" s="93"/>
      <c r="I460" s="85">
        <f t="shared" si="12"/>
        <v>4.6374897295125104</v>
      </c>
      <c r="J460" s="85">
        <f>AVERAGE(50000, 42300, 37900)</f>
        <v>43400</v>
      </c>
      <c r="K460" s="131" t="s">
        <v>7881</v>
      </c>
      <c r="L460" s="60" t="s">
        <v>1714</v>
      </c>
      <c r="M460" s="49" t="s">
        <v>6728</v>
      </c>
    </row>
    <row r="461" spans="1:15" ht="14" x14ac:dyDescent="0.15">
      <c r="A461" s="70" t="s">
        <v>2633</v>
      </c>
      <c r="B461" s="82"/>
      <c r="C461" s="70" t="s">
        <v>3636</v>
      </c>
      <c r="D461" s="70" t="s">
        <v>3773</v>
      </c>
      <c r="E461" s="70" t="s">
        <v>7053</v>
      </c>
      <c r="F461" s="70" t="s">
        <v>4654</v>
      </c>
      <c r="G461" s="70" t="s">
        <v>4655</v>
      </c>
      <c r="H461" s="93"/>
      <c r="I461" s="85">
        <f t="shared" si="12"/>
        <v>4.138300000000001</v>
      </c>
      <c r="J461" s="85">
        <v>13749.91457485034</v>
      </c>
      <c r="K461" s="131" t="s">
        <v>3177</v>
      </c>
      <c r="L461" s="60" t="s">
        <v>2686</v>
      </c>
    </row>
    <row r="462" spans="1:15" ht="42" x14ac:dyDescent="0.15">
      <c r="A462" s="70" t="s">
        <v>2633</v>
      </c>
      <c r="B462" s="82"/>
      <c r="C462" s="70" t="s">
        <v>3636</v>
      </c>
      <c r="D462" s="70" t="s">
        <v>3773</v>
      </c>
      <c r="E462" s="70" t="s">
        <v>7053</v>
      </c>
      <c r="F462" s="70" t="s">
        <v>4656</v>
      </c>
      <c r="G462" s="70" t="s">
        <v>4673</v>
      </c>
      <c r="H462" s="93"/>
      <c r="I462" s="85">
        <f t="shared" si="12"/>
        <v>3.1139400000000004</v>
      </c>
      <c r="J462" s="85">
        <v>1299.9899653754551</v>
      </c>
      <c r="K462" s="131" t="s">
        <v>7744</v>
      </c>
      <c r="L462" s="60">
        <v>60</v>
      </c>
      <c r="M462" s="49" t="s">
        <v>6728</v>
      </c>
    </row>
    <row r="463" spans="1:15" ht="28" x14ac:dyDescent="0.15">
      <c r="A463" s="73" t="s">
        <v>2633</v>
      </c>
      <c r="B463" s="82"/>
      <c r="C463" s="70" t="s">
        <v>3636</v>
      </c>
      <c r="D463" s="70" t="s">
        <v>3773</v>
      </c>
      <c r="E463" s="70" t="s">
        <v>7053</v>
      </c>
      <c r="F463" s="70" t="s">
        <v>4656</v>
      </c>
      <c r="G463" s="70" t="s">
        <v>4672</v>
      </c>
      <c r="H463" s="93"/>
      <c r="I463" s="85">
        <f t="shared" si="12"/>
        <v>3.4022600000000005</v>
      </c>
      <c r="J463" s="85">
        <v>2524.9919623834612</v>
      </c>
      <c r="K463" s="131" t="s">
        <v>7617</v>
      </c>
      <c r="L463" s="60">
        <v>65</v>
      </c>
      <c r="M463" s="49" t="s">
        <v>6725</v>
      </c>
    </row>
    <row r="464" spans="1:15" ht="14" x14ac:dyDescent="0.15">
      <c r="A464" s="70" t="s">
        <v>2633</v>
      </c>
      <c r="B464" s="82"/>
      <c r="C464" s="70" t="s">
        <v>3636</v>
      </c>
      <c r="D464" s="70" t="s">
        <v>3773</v>
      </c>
      <c r="E464" s="70" t="s">
        <v>7053</v>
      </c>
      <c r="F464" s="70" t="s">
        <v>4656</v>
      </c>
      <c r="G464" s="70" t="s">
        <v>4674</v>
      </c>
      <c r="H464" s="93"/>
      <c r="I464" s="85">
        <f t="shared" si="12"/>
        <v>3.6674500000000005</v>
      </c>
      <c r="J464" s="85">
        <v>4649.9683834536818</v>
      </c>
      <c r="K464" s="131" t="s">
        <v>3177</v>
      </c>
      <c r="L464" s="60" t="s">
        <v>2686</v>
      </c>
    </row>
    <row r="465" spans="1:13" ht="14" x14ac:dyDescent="0.15">
      <c r="A465" s="73" t="s">
        <v>2633</v>
      </c>
      <c r="B465" s="82"/>
      <c r="C465" s="70" t="s">
        <v>3636</v>
      </c>
      <c r="D465" s="70" t="s">
        <v>3773</v>
      </c>
      <c r="E465" s="70" t="s">
        <v>7053</v>
      </c>
      <c r="F465" s="70" t="s">
        <v>4656</v>
      </c>
      <c r="G465" s="70" t="s">
        <v>4657</v>
      </c>
      <c r="H465" s="93"/>
      <c r="I465" s="85">
        <f t="shared" si="12"/>
        <v>3.8292999999999999</v>
      </c>
      <c r="J465" s="85">
        <v>6749.9413612194912</v>
      </c>
      <c r="K465" s="131" t="s">
        <v>3177</v>
      </c>
      <c r="L465" s="60">
        <v>65</v>
      </c>
    </row>
    <row r="466" spans="1:13" ht="14" x14ac:dyDescent="0.15">
      <c r="A466" s="70" t="s">
        <v>2633</v>
      </c>
      <c r="B466" s="82"/>
      <c r="C466" s="70" t="s">
        <v>3636</v>
      </c>
      <c r="D466" s="70" t="s">
        <v>3773</v>
      </c>
      <c r="E466" s="70" t="s">
        <v>7053</v>
      </c>
      <c r="F466" s="70" t="s">
        <v>4675</v>
      </c>
      <c r="G466" s="70" t="s">
        <v>4676</v>
      </c>
      <c r="H466" s="93"/>
      <c r="I466" s="85">
        <f t="shared" si="12"/>
        <v>4.0791800000000009</v>
      </c>
      <c r="J466" s="85">
        <v>11999.965570481174</v>
      </c>
      <c r="K466" s="131" t="s">
        <v>3177</v>
      </c>
      <c r="L466" s="60" t="s">
        <v>2686</v>
      </c>
    </row>
    <row r="467" spans="1:13" ht="14" x14ac:dyDescent="0.15">
      <c r="A467" s="70" t="s">
        <v>2633</v>
      </c>
      <c r="B467" s="82"/>
      <c r="C467" s="70" t="s">
        <v>3636</v>
      </c>
      <c r="D467" s="70" t="s">
        <v>3773</v>
      </c>
      <c r="E467" s="70" t="s">
        <v>7053</v>
      </c>
      <c r="F467" s="70" t="s">
        <v>4677</v>
      </c>
      <c r="G467" s="70" t="s">
        <v>2092</v>
      </c>
      <c r="H467" s="93"/>
      <c r="I467" s="85">
        <f t="shared" si="12"/>
        <v>4.7403600000000008</v>
      </c>
      <c r="J467" s="85">
        <v>54999.659397640258</v>
      </c>
      <c r="K467" s="131" t="s">
        <v>3177</v>
      </c>
      <c r="L467" s="60" t="s">
        <v>2686</v>
      </c>
    </row>
    <row r="468" spans="1:13" ht="14" x14ac:dyDescent="0.15">
      <c r="A468" s="70" t="s">
        <v>2633</v>
      </c>
      <c r="B468" s="82"/>
      <c r="C468" s="70" t="s">
        <v>3636</v>
      </c>
      <c r="D468" s="70" t="s">
        <v>3773</v>
      </c>
      <c r="E468" s="70" t="s">
        <v>7053</v>
      </c>
      <c r="F468" s="70" t="s">
        <v>4677</v>
      </c>
      <c r="G468" s="70" t="s">
        <v>4678</v>
      </c>
      <c r="H468" s="93"/>
      <c r="I468" s="85">
        <f t="shared" si="12"/>
        <v>5.2081700000000009</v>
      </c>
      <c r="J468" s="85">
        <v>161499.06041736645</v>
      </c>
      <c r="K468" s="131" t="s">
        <v>6662</v>
      </c>
      <c r="L468" s="60" t="s">
        <v>2686</v>
      </c>
      <c r="M468" s="49" t="s">
        <v>6728</v>
      </c>
    </row>
    <row r="469" spans="1:13" ht="28" x14ac:dyDescent="0.15">
      <c r="A469" s="70" t="s">
        <v>2633</v>
      </c>
      <c r="B469" s="82"/>
      <c r="C469" s="70" t="s">
        <v>3636</v>
      </c>
      <c r="D469" s="70" t="s">
        <v>3773</v>
      </c>
      <c r="E469" s="70" t="s">
        <v>7053</v>
      </c>
      <c r="F469" s="70" t="s">
        <v>3568</v>
      </c>
      <c r="G469" s="70" t="s">
        <v>4679</v>
      </c>
      <c r="H469" s="93"/>
      <c r="I469" s="85">
        <f t="shared" si="12"/>
        <v>4.0273500000000002</v>
      </c>
      <c r="J469" s="85">
        <v>10650.009618360145</v>
      </c>
      <c r="K469" s="131" t="s">
        <v>6473</v>
      </c>
      <c r="L469" s="60" t="s">
        <v>2686</v>
      </c>
      <c r="M469" s="49" t="s">
        <v>6728</v>
      </c>
    </row>
    <row r="470" spans="1:13" ht="14" x14ac:dyDescent="0.15">
      <c r="A470" s="73" t="s">
        <v>2633</v>
      </c>
      <c r="B470" s="82"/>
      <c r="C470" s="70" t="s">
        <v>3636</v>
      </c>
      <c r="D470" s="70" t="s">
        <v>3773</v>
      </c>
      <c r="E470" s="70" t="s">
        <v>3998</v>
      </c>
      <c r="F470" s="70" t="s">
        <v>3999</v>
      </c>
      <c r="G470" s="70" t="s">
        <v>4000</v>
      </c>
      <c r="H470" s="93"/>
      <c r="I470" s="85">
        <f t="shared" si="12"/>
        <v>3.51851</v>
      </c>
      <c r="J470" s="85">
        <v>3299.9700628522901</v>
      </c>
      <c r="K470" s="131" t="s">
        <v>3177</v>
      </c>
      <c r="L470" s="60" t="s">
        <v>2686</v>
      </c>
    </row>
    <row r="471" spans="1:13" ht="14" x14ac:dyDescent="0.15">
      <c r="A471" s="70" t="s">
        <v>2633</v>
      </c>
      <c r="B471" s="82"/>
      <c r="C471" s="70" t="s">
        <v>3636</v>
      </c>
      <c r="D471" s="70" t="s">
        <v>3773</v>
      </c>
      <c r="E471" s="70" t="s">
        <v>3998</v>
      </c>
      <c r="F471" s="70" t="s">
        <v>4001</v>
      </c>
      <c r="G471" s="70" t="s">
        <v>4002</v>
      </c>
      <c r="H471" s="93"/>
      <c r="I471" s="85">
        <f t="shared" si="12"/>
        <v>3.1903300000000003</v>
      </c>
      <c r="J471" s="85">
        <v>1549.9939392303729</v>
      </c>
      <c r="K471" s="131" t="s">
        <v>3177</v>
      </c>
      <c r="L471" s="60" t="s">
        <v>2686</v>
      </c>
    </row>
    <row r="472" spans="1:13" ht="14" x14ac:dyDescent="0.15">
      <c r="A472" s="70" t="s">
        <v>2633</v>
      </c>
      <c r="B472" s="82"/>
      <c r="C472" s="70" t="s">
        <v>3636</v>
      </c>
      <c r="D472" s="70" t="s">
        <v>3773</v>
      </c>
      <c r="E472" s="70" t="s">
        <v>3998</v>
      </c>
      <c r="F472" s="70" t="s">
        <v>4001</v>
      </c>
      <c r="G472" s="70" t="s">
        <v>4673</v>
      </c>
      <c r="H472" s="93"/>
      <c r="I472" s="85">
        <f t="shared" si="12"/>
        <v>3.3979400000000002</v>
      </c>
      <c r="J472" s="85">
        <v>2499.9999500797412</v>
      </c>
      <c r="K472" s="131" t="s">
        <v>3177</v>
      </c>
      <c r="L472" s="60" t="s">
        <v>2686</v>
      </c>
    </row>
    <row r="473" spans="1:13" ht="14" x14ac:dyDescent="0.15">
      <c r="A473" s="70" t="s">
        <v>2633</v>
      </c>
      <c r="B473" s="82"/>
      <c r="C473" s="70" t="s">
        <v>3636</v>
      </c>
      <c r="D473" s="70" t="s">
        <v>3773</v>
      </c>
      <c r="E473" s="70" t="s">
        <v>3998</v>
      </c>
      <c r="F473" s="70" t="s">
        <v>4001</v>
      </c>
      <c r="G473" s="70" t="s">
        <v>3875</v>
      </c>
      <c r="H473" s="93"/>
      <c r="I473" s="85">
        <f t="shared" si="12"/>
        <v>3.3979400086720375</v>
      </c>
      <c r="J473" s="85">
        <v>2500</v>
      </c>
      <c r="K473" s="131" t="s">
        <v>6391</v>
      </c>
      <c r="L473" s="60">
        <v>70</v>
      </c>
      <c r="M473" s="49" t="s">
        <v>6728</v>
      </c>
    </row>
    <row r="474" spans="1:13" ht="28" x14ac:dyDescent="0.15">
      <c r="A474" s="70" t="s">
        <v>2633</v>
      </c>
      <c r="B474" s="82"/>
      <c r="C474" s="70" t="s">
        <v>3636</v>
      </c>
      <c r="D474" s="70" t="s">
        <v>3773</v>
      </c>
      <c r="E474" s="70" t="s">
        <v>3998</v>
      </c>
      <c r="F474" s="70" t="s">
        <v>6827</v>
      </c>
      <c r="G474" s="70" t="s">
        <v>3814</v>
      </c>
      <c r="H474" s="93"/>
      <c r="I474" s="85">
        <f t="shared" si="12"/>
        <v>2.8450980400142569</v>
      </c>
      <c r="J474" s="85">
        <v>700</v>
      </c>
      <c r="K474" s="131" t="s">
        <v>6413</v>
      </c>
      <c r="L474" s="60">
        <v>85</v>
      </c>
    </row>
    <row r="475" spans="1:13" ht="14" x14ac:dyDescent="0.15">
      <c r="A475" s="70" t="s">
        <v>2633</v>
      </c>
      <c r="B475" s="82"/>
      <c r="C475" s="70" t="s">
        <v>3636</v>
      </c>
      <c r="D475" s="70" t="s">
        <v>3773</v>
      </c>
      <c r="E475" s="70" t="s">
        <v>3998</v>
      </c>
      <c r="F475" s="70" t="s">
        <v>6827</v>
      </c>
      <c r="G475" s="70" t="s">
        <v>7275</v>
      </c>
      <c r="H475" s="93"/>
      <c r="I475" s="85">
        <f t="shared" si="12"/>
        <v>3.0969100000000003</v>
      </c>
      <c r="J475" s="85">
        <v>1249.9999625598048</v>
      </c>
      <c r="K475" s="131" t="s">
        <v>3177</v>
      </c>
      <c r="L475" s="60">
        <v>60</v>
      </c>
    </row>
    <row r="476" spans="1:13" ht="14" x14ac:dyDescent="0.15">
      <c r="A476" s="70" t="s">
        <v>2633</v>
      </c>
      <c r="B476" s="82"/>
      <c r="C476" s="70" t="s">
        <v>3636</v>
      </c>
      <c r="D476" s="70" t="s">
        <v>3773</v>
      </c>
      <c r="E476" s="70" t="s">
        <v>3998</v>
      </c>
      <c r="F476" s="70" t="s">
        <v>6827</v>
      </c>
      <c r="G476" s="70" t="s">
        <v>3367</v>
      </c>
      <c r="H476" s="93"/>
      <c r="I476" s="85">
        <f t="shared" si="12"/>
        <v>3.1760912590556813</v>
      </c>
      <c r="J476" s="85">
        <v>1500</v>
      </c>
      <c r="K476" s="131" t="s">
        <v>3177</v>
      </c>
      <c r="L476" s="60">
        <v>70</v>
      </c>
    </row>
    <row r="477" spans="1:13" ht="14" x14ac:dyDescent="0.15">
      <c r="A477" s="70" t="s">
        <v>2633</v>
      </c>
      <c r="B477" s="82"/>
      <c r="C477" s="70" t="s">
        <v>3636</v>
      </c>
      <c r="D477" s="70" t="s">
        <v>3773</v>
      </c>
      <c r="E477" s="70" t="s">
        <v>3998</v>
      </c>
      <c r="F477" s="70" t="s">
        <v>4044</v>
      </c>
      <c r="G477" s="70" t="s">
        <v>6833</v>
      </c>
      <c r="H477" s="93"/>
      <c r="I477" s="85">
        <f t="shared" si="12"/>
        <v>2.9222100000000006</v>
      </c>
      <c r="J477" s="85">
        <v>836.00716581593815</v>
      </c>
      <c r="K477" s="131" t="s">
        <v>3177</v>
      </c>
      <c r="L477" s="60">
        <v>60</v>
      </c>
    </row>
    <row r="478" spans="1:13" ht="14" x14ac:dyDescent="0.15">
      <c r="A478" s="70" t="s">
        <v>2633</v>
      </c>
      <c r="B478" s="82"/>
      <c r="C478" s="70" t="s">
        <v>3636</v>
      </c>
      <c r="D478" s="70" t="s">
        <v>3773</v>
      </c>
      <c r="E478" s="70" t="s">
        <v>3998</v>
      </c>
      <c r="F478" s="70" t="s">
        <v>3575</v>
      </c>
      <c r="G478" s="70" t="s">
        <v>4231</v>
      </c>
      <c r="H478" s="93"/>
      <c r="I478" s="85">
        <f t="shared" si="12"/>
        <v>2.5440700000000005</v>
      </c>
      <c r="J478" s="85">
        <v>350.00157607101471</v>
      </c>
      <c r="K478" s="131" t="s">
        <v>3177</v>
      </c>
      <c r="L478" s="60" t="s">
        <v>2686</v>
      </c>
    </row>
    <row r="479" spans="1:13" ht="14" x14ac:dyDescent="0.15">
      <c r="A479" s="70" t="s">
        <v>2633</v>
      </c>
      <c r="B479" s="82"/>
      <c r="C479" s="70" t="s">
        <v>3636</v>
      </c>
      <c r="D479" s="70" t="s">
        <v>3773</v>
      </c>
      <c r="E479" s="70" t="s">
        <v>3998</v>
      </c>
      <c r="F479" s="70" t="s">
        <v>7269</v>
      </c>
      <c r="G479" s="70" t="s">
        <v>7161</v>
      </c>
      <c r="H479" s="93"/>
      <c r="I479" s="85">
        <f t="shared" si="12"/>
        <v>2.7403600000000004</v>
      </c>
      <c r="J479" s="85">
        <v>549.99659397640232</v>
      </c>
      <c r="K479" s="131" t="s">
        <v>3177</v>
      </c>
      <c r="L479" s="60" t="s">
        <v>2686</v>
      </c>
    </row>
    <row r="480" spans="1:13" ht="28" x14ac:dyDescent="0.15">
      <c r="A480" s="70" t="s">
        <v>2633</v>
      </c>
      <c r="B480" s="93" t="s">
        <v>2073</v>
      </c>
      <c r="C480" s="70" t="s">
        <v>3636</v>
      </c>
      <c r="D480" s="70" t="s">
        <v>3773</v>
      </c>
      <c r="E480" s="70" t="s">
        <v>3998</v>
      </c>
      <c r="F480" s="70" t="s">
        <v>7269</v>
      </c>
      <c r="G480" s="70" t="s">
        <v>7315</v>
      </c>
      <c r="H480" s="93"/>
      <c r="I480" s="85">
        <f t="shared" si="12"/>
        <v>2.8750612633917001</v>
      </c>
      <c r="J480" s="85">
        <f>AVERAGE(500, 1000)</f>
        <v>750</v>
      </c>
      <c r="K480" s="131" t="s">
        <v>2931</v>
      </c>
      <c r="L480" s="60">
        <v>130</v>
      </c>
      <c r="M480" s="33"/>
    </row>
    <row r="481" spans="1:16" ht="28" x14ac:dyDescent="0.15">
      <c r="A481" s="166" t="s">
        <v>2633</v>
      </c>
      <c r="B481" s="93" t="s">
        <v>2074</v>
      </c>
      <c r="C481" s="70" t="s">
        <v>3636</v>
      </c>
      <c r="D481" s="70" t="s">
        <v>3773</v>
      </c>
      <c r="E481" s="70" t="s">
        <v>3998</v>
      </c>
      <c r="F481" s="70" t="s">
        <v>7269</v>
      </c>
      <c r="G481" s="70" t="s">
        <v>2836</v>
      </c>
      <c r="H481" s="93"/>
      <c r="I481" s="85">
        <f t="shared" si="12"/>
        <v>2.8750612633917001</v>
      </c>
      <c r="J481" s="85">
        <f>AVERAGE(500, 1000)</f>
        <v>750</v>
      </c>
      <c r="K481" s="131" t="s">
        <v>2931</v>
      </c>
      <c r="L481" s="60">
        <v>130</v>
      </c>
      <c r="M481" s="33"/>
    </row>
    <row r="482" spans="1:16" ht="14" x14ac:dyDescent="0.15">
      <c r="A482" s="70" t="s">
        <v>2633</v>
      </c>
      <c r="B482" s="82"/>
      <c r="C482" s="70" t="s">
        <v>3636</v>
      </c>
      <c r="D482" s="70" t="s">
        <v>3773</v>
      </c>
      <c r="E482" s="70" t="s">
        <v>3998</v>
      </c>
      <c r="F482" s="70" t="s">
        <v>7269</v>
      </c>
      <c r="G482" s="70" t="s">
        <v>7270</v>
      </c>
      <c r="H482" s="93"/>
      <c r="I482" s="85">
        <f t="shared" si="12"/>
        <v>2.9014600000000002</v>
      </c>
      <c r="J482" s="85">
        <v>797.00308051320008</v>
      </c>
      <c r="K482" s="131" t="s">
        <v>3177</v>
      </c>
      <c r="L482" s="60">
        <v>60</v>
      </c>
    </row>
    <row r="483" spans="1:16" ht="14" x14ac:dyDescent="0.15">
      <c r="A483" s="70" t="s">
        <v>2633</v>
      </c>
      <c r="B483" s="82"/>
      <c r="C483" s="70" t="s">
        <v>3636</v>
      </c>
      <c r="D483" s="70" t="s">
        <v>3773</v>
      </c>
      <c r="E483" s="70" t="s">
        <v>3998</v>
      </c>
      <c r="F483" s="70" t="s">
        <v>7162</v>
      </c>
      <c r="G483" s="70" t="s">
        <v>7163</v>
      </c>
      <c r="H483" s="93"/>
      <c r="I483" s="85">
        <f t="shared" si="12"/>
        <v>2.4609000000000005</v>
      </c>
      <c r="J483" s="85">
        <v>289.00143553494735</v>
      </c>
      <c r="K483" s="131" t="s">
        <v>3177</v>
      </c>
      <c r="L483" s="60">
        <v>60</v>
      </c>
    </row>
    <row r="484" spans="1:16" ht="14" x14ac:dyDescent="0.15">
      <c r="A484" s="70" t="s">
        <v>2633</v>
      </c>
      <c r="B484" s="82"/>
      <c r="C484" s="70" t="s">
        <v>3636</v>
      </c>
      <c r="D484" s="70" t="s">
        <v>3773</v>
      </c>
      <c r="E484" s="70" t="s">
        <v>3998</v>
      </c>
      <c r="F484" s="70" t="s">
        <v>7162</v>
      </c>
      <c r="G484" s="70" t="s">
        <v>7164</v>
      </c>
      <c r="H484" s="93"/>
      <c r="I484" s="85">
        <f t="shared" si="12"/>
        <v>2.4771200000000007</v>
      </c>
      <c r="J484" s="85">
        <v>299.99913327161516</v>
      </c>
      <c r="K484" s="131" t="s">
        <v>3177</v>
      </c>
      <c r="L484" s="60">
        <v>60</v>
      </c>
    </row>
    <row r="485" spans="1:16" ht="16" x14ac:dyDescent="0.2">
      <c r="A485" s="70" t="s">
        <v>2633</v>
      </c>
      <c r="B485" s="82"/>
      <c r="C485" s="70" t="s">
        <v>3636</v>
      </c>
      <c r="D485" s="70" t="s">
        <v>3773</v>
      </c>
      <c r="E485" s="70" t="s">
        <v>3998</v>
      </c>
      <c r="F485" s="70" t="s">
        <v>6821</v>
      </c>
      <c r="G485" s="70" t="s">
        <v>6822</v>
      </c>
      <c r="H485" s="93"/>
      <c r="I485" s="85">
        <f t="shared" si="12"/>
        <v>3.4548400000000004</v>
      </c>
      <c r="J485" s="85">
        <v>2849.9681070164825</v>
      </c>
      <c r="K485" s="131" t="s">
        <v>3177</v>
      </c>
      <c r="L485" s="60" t="s">
        <v>2686</v>
      </c>
      <c r="M485" s="47"/>
    </row>
    <row r="486" spans="1:16" ht="14" x14ac:dyDescent="0.15">
      <c r="A486" s="70" t="s">
        <v>2633</v>
      </c>
      <c r="B486" s="82"/>
      <c r="C486" s="73" t="s">
        <v>3636</v>
      </c>
      <c r="D486" s="73" t="s">
        <v>3773</v>
      </c>
      <c r="E486" s="73" t="s">
        <v>3998</v>
      </c>
      <c r="F486" s="73" t="s">
        <v>6821</v>
      </c>
      <c r="G486" s="73" t="s">
        <v>6823</v>
      </c>
      <c r="H486" s="108"/>
      <c r="I486" s="85">
        <f t="shared" si="12"/>
        <v>3.4771200000000007</v>
      </c>
      <c r="J486" s="85">
        <v>2999.9913327161544</v>
      </c>
      <c r="K486" s="131" t="s">
        <v>3177</v>
      </c>
      <c r="L486" s="60">
        <v>60</v>
      </c>
    </row>
    <row r="487" spans="1:16" ht="14" x14ac:dyDescent="0.15">
      <c r="A487" s="70" t="s">
        <v>2633</v>
      </c>
      <c r="B487" s="82"/>
      <c r="C487" s="70" t="s">
        <v>3636</v>
      </c>
      <c r="D487" s="70" t="s">
        <v>3773</v>
      </c>
      <c r="E487" s="70" t="s">
        <v>3998</v>
      </c>
      <c r="F487" s="70" t="s">
        <v>4072</v>
      </c>
      <c r="G487" s="70" t="s">
        <v>6831</v>
      </c>
      <c r="H487" s="93"/>
      <c r="I487" s="85">
        <f t="shared" si="12"/>
        <v>3.5440700000000001</v>
      </c>
      <c r="J487" s="85">
        <v>3500.0157607101446</v>
      </c>
      <c r="K487" s="131" t="s">
        <v>3177</v>
      </c>
      <c r="L487" s="60" t="s">
        <v>2686</v>
      </c>
      <c r="P487" s="35"/>
    </row>
    <row r="488" spans="1:16" ht="14" x14ac:dyDescent="0.15">
      <c r="A488" s="73" t="s">
        <v>2633</v>
      </c>
      <c r="B488" s="82"/>
      <c r="C488" s="73" t="s">
        <v>3636</v>
      </c>
      <c r="D488" s="73" t="s">
        <v>3773</v>
      </c>
      <c r="E488" s="73" t="s">
        <v>3998</v>
      </c>
      <c r="F488" s="73" t="s">
        <v>3802</v>
      </c>
      <c r="G488" s="73" t="s">
        <v>3803</v>
      </c>
      <c r="H488" s="108"/>
      <c r="I488" s="85">
        <f t="shared" si="12"/>
        <v>3.3324400000000005</v>
      </c>
      <c r="J488" s="95">
        <v>2150.0076242905643</v>
      </c>
      <c r="K488" s="131" t="s">
        <v>6817</v>
      </c>
      <c r="L488" s="60" t="s">
        <v>2686</v>
      </c>
      <c r="M488" s="49" t="s">
        <v>6390</v>
      </c>
    </row>
    <row r="489" spans="1:16" ht="56" x14ac:dyDescent="0.15">
      <c r="A489" s="70" t="s">
        <v>2633</v>
      </c>
      <c r="B489" s="82" t="s">
        <v>2388</v>
      </c>
      <c r="C489" s="70" t="s">
        <v>3636</v>
      </c>
      <c r="D489" s="70" t="s">
        <v>3773</v>
      </c>
      <c r="E489" s="70" t="s">
        <v>3998</v>
      </c>
      <c r="F489" s="70" t="s">
        <v>3792</v>
      </c>
      <c r="G489" s="70" t="s">
        <v>4717</v>
      </c>
      <c r="H489" s="93"/>
      <c r="I489" s="85">
        <f t="shared" si="12"/>
        <v>3.1760912590556813</v>
      </c>
      <c r="J489" s="85">
        <v>1500</v>
      </c>
      <c r="K489" s="131" t="s">
        <v>6630</v>
      </c>
      <c r="L489" s="60">
        <v>-999</v>
      </c>
      <c r="M489" s="49" t="s">
        <v>6727</v>
      </c>
    </row>
    <row r="490" spans="1:16" ht="14" x14ac:dyDescent="0.15">
      <c r="A490" s="70" t="s">
        <v>2633</v>
      </c>
      <c r="B490" s="82"/>
      <c r="C490" s="70" t="s">
        <v>3636</v>
      </c>
      <c r="D490" s="70" t="s">
        <v>3773</v>
      </c>
      <c r="E490" s="70" t="s">
        <v>3998</v>
      </c>
      <c r="F490" s="70" t="s">
        <v>3792</v>
      </c>
      <c r="G490" s="70" t="s">
        <v>4098</v>
      </c>
      <c r="H490" s="93"/>
      <c r="I490" s="85">
        <f t="shared" si="12"/>
        <v>3.28443</v>
      </c>
      <c r="J490" s="85">
        <v>1924.9967472543051</v>
      </c>
      <c r="K490" s="131" t="s">
        <v>3177</v>
      </c>
      <c r="L490" s="60" t="s">
        <v>2686</v>
      </c>
    </row>
    <row r="491" spans="1:16" ht="14" x14ac:dyDescent="0.15">
      <c r="A491" s="70" t="s">
        <v>2633</v>
      </c>
      <c r="B491" s="82"/>
      <c r="C491" s="70" t="s">
        <v>3636</v>
      </c>
      <c r="D491" s="70" t="s">
        <v>3773</v>
      </c>
      <c r="E491" s="70" t="s">
        <v>3998</v>
      </c>
      <c r="F491" s="70" t="s">
        <v>4099</v>
      </c>
      <c r="G491" s="70" t="s">
        <v>4100</v>
      </c>
      <c r="H491" s="93"/>
      <c r="I491" s="85">
        <f t="shared" si="12"/>
        <v>3.2148400000000006</v>
      </c>
      <c r="J491" s="85">
        <v>1639.9854689144613</v>
      </c>
      <c r="K491" s="131" t="s">
        <v>3177</v>
      </c>
      <c r="L491" s="60">
        <v>60</v>
      </c>
    </row>
    <row r="492" spans="1:16" ht="14" x14ac:dyDescent="0.15">
      <c r="A492" s="70" t="s">
        <v>2633</v>
      </c>
      <c r="B492" s="82"/>
      <c r="C492" s="70" t="s">
        <v>3636</v>
      </c>
      <c r="D492" s="70" t="s">
        <v>3773</v>
      </c>
      <c r="E492" s="70" t="s">
        <v>3998</v>
      </c>
      <c r="F492" s="70" t="s">
        <v>3805</v>
      </c>
      <c r="G492" s="70" t="s">
        <v>3806</v>
      </c>
      <c r="H492" s="93"/>
      <c r="I492" s="85">
        <f t="shared" si="12"/>
        <v>3.3979400000000002</v>
      </c>
      <c r="J492" s="85">
        <v>2499.9999500797412</v>
      </c>
      <c r="K492" s="131" t="s">
        <v>3177</v>
      </c>
      <c r="L492" s="60" t="s">
        <v>2686</v>
      </c>
    </row>
    <row r="493" spans="1:16" ht="14" x14ac:dyDescent="0.15">
      <c r="A493" s="70" t="s">
        <v>2633</v>
      </c>
      <c r="B493" s="82"/>
      <c r="C493" s="70" t="s">
        <v>3636</v>
      </c>
      <c r="D493" s="70" t="s">
        <v>3773</v>
      </c>
      <c r="E493" s="70" t="s">
        <v>3998</v>
      </c>
      <c r="F493" s="70" t="s">
        <v>4006</v>
      </c>
      <c r="G493" s="70" t="s">
        <v>4007</v>
      </c>
      <c r="H493" s="93"/>
      <c r="I493" s="85">
        <f t="shared" si="12"/>
        <v>2.8606400000000005</v>
      </c>
      <c r="J493" s="85">
        <v>725.50431535811094</v>
      </c>
      <c r="K493" s="131" t="s">
        <v>3177</v>
      </c>
      <c r="L493" s="60">
        <v>60</v>
      </c>
    </row>
    <row r="494" spans="1:16" ht="28" x14ac:dyDescent="0.15">
      <c r="A494" s="70" t="s">
        <v>2633</v>
      </c>
      <c r="B494" s="82"/>
      <c r="C494" s="70" t="s">
        <v>3636</v>
      </c>
      <c r="D494" s="70" t="s">
        <v>3773</v>
      </c>
      <c r="E494" s="70" t="s">
        <v>6832</v>
      </c>
      <c r="F494" s="70" t="s">
        <v>4008</v>
      </c>
      <c r="G494" s="70" t="s">
        <v>3830</v>
      </c>
      <c r="H494" s="93"/>
      <c r="I494" s="85">
        <f t="shared" si="12"/>
        <v>4.7993400000000008</v>
      </c>
      <c r="J494" s="85">
        <v>62999.920294742056</v>
      </c>
      <c r="K494" s="131" t="s">
        <v>6654</v>
      </c>
      <c r="L494" s="60" t="s">
        <v>2686</v>
      </c>
      <c r="M494" s="49" t="s">
        <v>6392</v>
      </c>
    </row>
    <row r="495" spans="1:16" ht="28" x14ac:dyDescent="0.15">
      <c r="A495" s="70" t="s">
        <v>2633</v>
      </c>
      <c r="B495" s="82"/>
      <c r="C495" s="70" t="s">
        <v>3636</v>
      </c>
      <c r="D495" s="70" t="s">
        <v>3773</v>
      </c>
      <c r="E495" s="70" t="s">
        <v>6832</v>
      </c>
      <c r="F495" s="70" t="s">
        <v>3831</v>
      </c>
      <c r="G495" s="70" t="s">
        <v>3832</v>
      </c>
      <c r="H495" s="93"/>
      <c r="I495" s="85">
        <f t="shared" si="12"/>
        <v>4.6627599999999996</v>
      </c>
      <c r="J495" s="85">
        <v>46000.229666506813</v>
      </c>
      <c r="K495" s="131" t="s">
        <v>6688</v>
      </c>
      <c r="L495" s="60" t="s">
        <v>2686</v>
      </c>
      <c r="M495" s="49" t="s">
        <v>6392</v>
      </c>
    </row>
    <row r="496" spans="1:16" ht="14" x14ac:dyDescent="0.15">
      <c r="A496" s="70" t="s">
        <v>2633</v>
      </c>
      <c r="B496" s="82"/>
      <c r="C496" s="70" t="s">
        <v>3636</v>
      </c>
      <c r="D496" s="70" t="s">
        <v>3773</v>
      </c>
      <c r="E496" s="70" t="s">
        <v>6832</v>
      </c>
      <c r="F496" s="70" t="s">
        <v>4019</v>
      </c>
      <c r="G496" s="70" t="s">
        <v>4020</v>
      </c>
      <c r="H496" s="93"/>
      <c r="I496" s="85">
        <f t="shared" si="12"/>
        <v>4.5078600000000009</v>
      </c>
      <c r="J496" s="85">
        <v>32200.306087301626</v>
      </c>
      <c r="K496" s="131" t="s">
        <v>6662</v>
      </c>
      <c r="L496" s="60">
        <v>60</v>
      </c>
      <c r="M496" s="49" t="s">
        <v>6392</v>
      </c>
    </row>
    <row r="497" spans="1:16" ht="14" x14ac:dyDescent="0.15">
      <c r="A497" s="70" t="s">
        <v>2633</v>
      </c>
      <c r="B497" s="82"/>
      <c r="C497" s="70" t="s">
        <v>3636</v>
      </c>
      <c r="D497" s="70" t="s">
        <v>3773</v>
      </c>
      <c r="E497" s="70" t="s">
        <v>6832</v>
      </c>
      <c r="F497" s="70" t="s">
        <v>4021</v>
      </c>
      <c r="G497" s="70" t="s">
        <v>3611</v>
      </c>
      <c r="H497" s="93"/>
      <c r="I497" s="85">
        <f t="shared" si="12"/>
        <v>4</v>
      </c>
      <c r="J497" s="85">
        <v>10000</v>
      </c>
      <c r="K497" s="131" t="s">
        <v>3177</v>
      </c>
      <c r="L497" s="60" t="s">
        <v>2686</v>
      </c>
      <c r="P497" s="35"/>
    </row>
    <row r="498" spans="1:16" ht="14" x14ac:dyDescent="0.15">
      <c r="A498" s="70" t="s">
        <v>2633</v>
      </c>
      <c r="B498" s="82"/>
      <c r="C498" s="70" t="s">
        <v>3636</v>
      </c>
      <c r="D498" s="70" t="s">
        <v>3773</v>
      </c>
      <c r="E498" s="70" t="s">
        <v>4076</v>
      </c>
      <c r="F498" s="70" t="s">
        <v>4077</v>
      </c>
      <c r="G498" s="70" t="s">
        <v>4078</v>
      </c>
      <c r="H498" s="93"/>
      <c r="I498" s="85">
        <f t="shared" si="12"/>
        <v>4.2787499999999996</v>
      </c>
      <c r="J498" s="85">
        <v>18999.842462147328</v>
      </c>
      <c r="K498" s="131" t="s">
        <v>3177</v>
      </c>
      <c r="L498" s="60" t="s">
        <v>2686</v>
      </c>
    </row>
    <row r="499" spans="1:16" ht="28" x14ac:dyDescent="0.15">
      <c r="A499" s="70" t="s">
        <v>2633</v>
      </c>
      <c r="B499" s="82"/>
      <c r="C499" s="70" t="s">
        <v>3636</v>
      </c>
      <c r="D499" s="70" t="s">
        <v>3773</v>
      </c>
      <c r="E499" s="70" t="s">
        <v>4076</v>
      </c>
      <c r="F499" s="70" t="s">
        <v>4077</v>
      </c>
      <c r="G499" s="70" t="s">
        <v>4079</v>
      </c>
      <c r="H499" s="93"/>
      <c r="I499" s="85">
        <f t="shared" si="12"/>
        <v>4.3765799999999997</v>
      </c>
      <c r="J499" s="85">
        <v>23800.166758528496</v>
      </c>
      <c r="K499" s="131" t="s">
        <v>6654</v>
      </c>
      <c r="L499" s="60" t="s">
        <v>2686</v>
      </c>
      <c r="M499" s="49" t="s">
        <v>6727</v>
      </c>
    </row>
    <row r="500" spans="1:16" ht="14" x14ac:dyDescent="0.15">
      <c r="A500" s="70" t="s">
        <v>2633</v>
      </c>
      <c r="B500" s="82"/>
      <c r="C500" s="70" t="s">
        <v>3636</v>
      </c>
      <c r="D500" s="70" t="s">
        <v>3773</v>
      </c>
      <c r="E500" s="70" t="s">
        <v>4076</v>
      </c>
      <c r="F500" s="70" t="s">
        <v>3602</v>
      </c>
      <c r="G500" s="70" t="s">
        <v>3408</v>
      </c>
      <c r="H500" s="93"/>
      <c r="I500" s="85">
        <f t="shared" si="12"/>
        <v>2.7958800000000004</v>
      </c>
      <c r="J500" s="85">
        <v>624.99997503987015</v>
      </c>
      <c r="K500" s="131" t="s">
        <v>3177</v>
      </c>
      <c r="L500" s="60">
        <v>65</v>
      </c>
    </row>
    <row r="501" spans="1:16" ht="14" x14ac:dyDescent="0.15">
      <c r="A501" s="70" t="s">
        <v>2633</v>
      </c>
      <c r="B501" s="82"/>
      <c r="C501" s="70" t="s">
        <v>3636</v>
      </c>
      <c r="D501" s="70" t="s">
        <v>3773</v>
      </c>
      <c r="E501" s="70" t="s">
        <v>4076</v>
      </c>
      <c r="F501" s="70" t="s">
        <v>3602</v>
      </c>
      <c r="G501" s="70" t="s">
        <v>3626</v>
      </c>
      <c r="H501" s="93"/>
      <c r="I501" s="85">
        <f t="shared" si="12"/>
        <v>3.1139400000000004</v>
      </c>
      <c r="J501" s="85">
        <v>1299.9899653754551</v>
      </c>
      <c r="K501" s="131" t="s">
        <v>3177</v>
      </c>
      <c r="L501" s="60" t="s">
        <v>2686</v>
      </c>
    </row>
    <row r="502" spans="1:16" ht="28" x14ac:dyDescent="0.15">
      <c r="A502" s="70" t="s">
        <v>2633</v>
      </c>
      <c r="B502" s="82"/>
      <c r="C502" s="70" t="s">
        <v>3636</v>
      </c>
      <c r="D502" s="70" t="s">
        <v>3773</v>
      </c>
      <c r="E502" s="70" t="s">
        <v>4076</v>
      </c>
      <c r="F502" s="70" t="s">
        <v>4298</v>
      </c>
      <c r="G502" s="70" t="s">
        <v>3637</v>
      </c>
      <c r="H502" s="93"/>
      <c r="I502" s="85">
        <f t="shared" si="12"/>
        <v>3.6020600000000003</v>
      </c>
      <c r="J502" s="85">
        <v>4000.0000798724222</v>
      </c>
      <c r="K502" s="131" t="s">
        <v>6654</v>
      </c>
      <c r="L502" s="60">
        <v>60</v>
      </c>
      <c r="M502" s="49" t="s">
        <v>6728</v>
      </c>
    </row>
    <row r="503" spans="1:16" ht="42" x14ac:dyDescent="0.15">
      <c r="A503" s="70" t="s">
        <v>2633</v>
      </c>
      <c r="B503" s="82"/>
      <c r="C503" s="70" t="s">
        <v>3636</v>
      </c>
      <c r="D503" s="70" t="s">
        <v>3773</v>
      </c>
      <c r="E503" s="70" t="s">
        <v>4076</v>
      </c>
      <c r="F503" s="70" t="s">
        <v>4298</v>
      </c>
      <c r="G503" s="70" t="s">
        <v>3614</v>
      </c>
      <c r="H503" s="93"/>
      <c r="I503" s="85">
        <f t="shared" si="12"/>
        <v>4.0413899999999998</v>
      </c>
      <c r="J503" s="85">
        <v>10999.931989351941</v>
      </c>
      <c r="K503" s="131" t="s">
        <v>6730</v>
      </c>
      <c r="L503" s="60">
        <v>65</v>
      </c>
      <c r="M503" s="49" t="s">
        <v>6728</v>
      </c>
    </row>
    <row r="504" spans="1:16" ht="14" x14ac:dyDescent="0.15">
      <c r="A504" s="70" t="s">
        <v>2633</v>
      </c>
      <c r="B504" s="82"/>
      <c r="C504" s="70" t="s">
        <v>3636</v>
      </c>
      <c r="D504" s="70" t="s">
        <v>3773</v>
      </c>
      <c r="E504" s="70" t="s">
        <v>4076</v>
      </c>
      <c r="F504" s="70" t="s">
        <v>3175</v>
      </c>
      <c r="G504" s="70" t="s">
        <v>4078</v>
      </c>
      <c r="H504" s="93"/>
      <c r="I504" s="85">
        <f t="shared" si="12"/>
        <v>3.9030900000000006</v>
      </c>
      <c r="J504" s="85">
        <v>8000.0002396172686</v>
      </c>
      <c r="K504" s="131" t="s">
        <v>3177</v>
      </c>
      <c r="L504" s="60" t="s">
        <v>2686</v>
      </c>
    </row>
    <row r="505" spans="1:16" ht="14" x14ac:dyDescent="0.15">
      <c r="A505" s="73" t="s">
        <v>2633</v>
      </c>
      <c r="B505" s="82"/>
      <c r="C505" s="70" t="s">
        <v>3636</v>
      </c>
      <c r="D505" s="70" t="s">
        <v>3773</v>
      </c>
      <c r="E505" s="70" t="s">
        <v>4076</v>
      </c>
      <c r="F505" s="70" t="s">
        <v>4297</v>
      </c>
      <c r="G505" s="70" t="s">
        <v>3625</v>
      </c>
      <c r="H505" s="93"/>
      <c r="I505" s="85">
        <f t="shared" si="12"/>
        <v>2.2730000000000006</v>
      </c>
      <c r="J505" s="85">
        <v>187.49945080674203</v>
      </c>
      <c r="K505" s="131" t="s">
        <v>3177</v>
      </c>
      <c r="L505" s="60">
        <v>65</v>
      </c>
    </row>
    <row r="506" spans="1:16" ht="14" x14ac:dyDescent="0.15">
      <c r="A506" s="70" t="s">
        <v>2633</v>
      </c>
      <c r="B506" s="82"/>
      <c r="C506" s="70" t="s">
        <v>3636</v>
      </c>
      <c r="D506" s="70" t="s">
        <v>3773</v>
      </c>
      <c r="E506" s="70" t="s">
        <v>4076</v>
      </c>
      <c r="F506" s="70" t="s">
        <v>4297</v>
      </c>
      <c r="G506" s="70" t="s">
        <v>3416</v>
      </c>
      <c r="H506" s="93"/>
      <c r="I506" s="85">
        <f t="shared" si="12"/>
        <v>3.0413900000000003</v>
      </c>
      <c r="J506" s="85">
        <v>1099.9931989351937</v>
      </c>
      <c r="K506" s="131" t="s">
        <v>3177</v>
      </c>
      <c r="L506" s="60">
        <v>65</v>
      </c>
    </row>
    <row r="507" spans="1:16" ht="14" x14ac:dyDescent="0.15">
      <c r="A507" s="70" t="s">
        <v>2633</v>
      </c>
      <c r="B507" s="82"/>
      <c r="C507" s="70" t="s">
        <v>3636</v>
      </c>
      <c r="D507" s="70" t="s">
        <v>3773</v>
      </c>
      <c r="E507" s="70" t="s">
        <v>4076</v>
      </c>
      <c r="F507" s="70" t="s">
        <v>3417</v>
      </c>
      <c r="G507" s="70" t="s">
        <v>2825</v>
      </c>
      <c r="H507" s="93"/>
      <c r="I507" s="85">
        <f t="shared" si="12"/>
        <v>2.5314800000000006</v>
      </c>
      <c r="J507" s="85">
        <v>340.00084782585969</v>
      </c>
      <c r="K507" s="131" t="s">
        <v>3177</v>
      </c>
      <c r="L507" s="60" t="s">
        <v>2686</v>
      </c>
    </row>
    <row r="508" spans="1:16" ht="56" x14ac:dyDescent="0.15">
      <c r="A508" s="70" t="s">
        <v>2633</v>
      </c>
      <c r="B508" s="82" t="s">
        <v>2402</v>
      </c>
      <c r="C508" s="70" t="s">
        <v>3636</v>
      </c>
      <c r="D508" s="70" t="s">
        <v>3773</v>
      </c>
      <c r="E508" s="70" t="s">
        <v>4431</v>
      </c>
      <c r="F508" s="70" t="s">
        <v>7645</v>
      </c>
      <c r="G508" s="70" t="s">
        <v>6907</v>
      </c>
      <c r="H508" s="93"/>
      <c r="I508" s="85">
        <f t="shared" si="12"/>
        <v>5.4393326938302629</v>
      </c>
      <c r="J508" s="85">
        <v>275000</v>
      </c>
      <c r="K508" s="131" t="s">
        <v>6675</v>
      </c>
      <c r="L508" s="60">
        <v>68</v>
      </c>
      <c r="M508" s="49" t="s">
        <v>6809</v>
      </c>
    </row>
    <row r="509" spans="1:16" ht="14" x14ac:dyDescent="0.15">
      <c r="A509" s="70" t="s">
        <v>2633</v>
      </c>
      <c r="B509" s="82"/>
      <c r="C509" s="70" t="s">
        <v>3636</v>
      </c>
      <c r="D509" s="70" t="s">
        <v>3773</v>
      </c>
      <c r="E509" s="70" t="s">
        <v>4725</v>
      </c>
      <c r="F509" s="70" t="s">
        <v>4726</v>
      </c>
      <c r="G509" s="70" t="s">
        <v>4727</v>
      </c>
      <c r="H509" s="93"/>
      <c r="I509" s="85">
        <f t="shared" si="12"/>
        <v>4.0791800000000009</v>
      </c>
      <c r="J509" s="85">
        <v>11999.965570481174</v>
      </c>
      <c r="K509" s="131" t="s">
        <v>3177</v>
      </c>
      <c r="L509" s="60" t="s">
        <v>2686</v>
      </c>
      <c r="O509" s="51"/>
    </row>
    <row r="510" spans="1:16" ht="14" x14ac:dyDescent="0.15">
      <c r="A510" s="70" t="s">
        <v>2633</v>
      </c>
      <c r="B510" s="82"/>
      <c r="C510" s="70" t="s">
        <v>3636</v>
      </c>
      <c r="D510" s="70" t="s">
        <v>3773</v>
      </c>
      <c r="E510" s="70" t="s">
        <v>4725</v>
      </c>
      <c r="F510" s="70" t="s">
        <v>2029</v>
      </c>
      <c r="G510" s="70" t="s">
        <v>4732</v>
      </c>
      <c r="H510" s="93"/>
      <c r="I510" s="85">
        <f t="shared" si="12"/>
        <v>3.0232500000000004</v>
      </c>
      <c r="J510" s="85">
        <v>1054.994025007627</v>
      </c>
      <c r="K510" s="131" t="s">
        <v>6391</v>
      </c>
      <c r="L510" s="60" t="s">
        <v>2686</v>
      </c>
      <c r="M510" s="49" t="s">
        <v>6390</v>
      </c>
    </row>
    <row r="511" spans="1:16" ht="14" x14ac:dyDescent="0.15">
      <c r="A511" s="73" t="s">
        <v>2633</v>
      </c>
      <c r="B511" s="82"/>
      <c r="C511" s="70" t="s">
        <v>3636</v>
      </c>
      <c r="D511" s="70" t="s">
        <v>3773</v>
      </c>
      <c r="E511" s="70" t="s">
        <v>4725</v>
      </c>
      <c r="F511" s="70" t="s">
        <v>2029</v>
      </c>
      <c r="G511" s="70" t="s">
        <v>4733</v>
      </c>
      <c r="H511" s="93"/>
      <c r="I511" s="85">
        <f t="shared" si="12"/>
        <v>3.1461299999999999</v>
      </c>
      <c r="J511" s="85">
        <v>1400.0063322395304</v>
      </c>
      <c r="K511" s="131" t="s">
        <v>3177</v>
      </c>
      <c r="L511" s="60">
        <v>65</v>
      </c>
    </row>
    <row r="512" spans="1:16" ht="14" x14ac:dyDescent="0.15">
      <c r="A512" s="70" t="s">
        <v>2633</v>
      </c>
      <c r="B512" s="82"/>
      <c r="C512" s="70" t="s">
        <v>3636</v>
      </c>
      <c r="D512" s="70" t="s">
        <v>3773</v>
      </c>
      <c r="E512" s="70" t="s">
        <v>4725</v>
      </c>
      <c r="F512" s="70" t="s">
        <v>2029</v>
      </c>
      <c r="G512" s="70" t="s">
        <v>6969</v>
      </c>
      <c r="H512" s="93"/>
      <c r="I512" s="85">
        <f t="shared" si="12"/>
        <v>3.2174800000000006</v>
      </c>
      <c r="J512" s="85">
        <v>1649.9850149526105</v>
      </c>
      <c r="K512" s="131" t="s">
        <v>6391</v>
      </c>
      <c r="L512" s="60">
        <v>65</v>
      </c>
      <c r="M512" s="49" t="s">
        <v>6727</v>
      </c>
    </row>
    <row r="513" spans="1:15" ht="14" x14ac:dyDescent="0.15">
      <c r="A513" s="70" t="s">
        <v>2633</v>
      </c>
      <c r="B513" s="82"/>
      <c r="C513" s="70" t="s">
        <v>3636</v>
      </c>
      <c r="D513" s="70" t="s">
        <v>3773</v>
      </c>
      <c r="E513" s="70" t="s">
        <v>4725</v>
      </c>
      <c r="F513" s="70" t="s">
        <v>2029</v>
      </c>
      <c r="G513" s="70" t="s">
        <v>4728</v>
      </c>
      <c r="H513" s="93"/>
      <c r="I513" s="85">
        <f t="shared" si="12"/>
        <v>3.2174800000000006</v>
      </c>
      <c r="J513" s="85">
        <v>1649.9850149526105</v>
      </c>
      <c r="K513" s="131" t="s">
        <v>3177</v>
      </c>
      <c r="L513" s="60">
        <v>65</v>
      </c>
    </row>
    <row r="514" spans="1:15" ht="14" x14ac:dyDescent="0.15">
      <c r="A514" s="70" t="s">
        <v>2633</v>
      </c>
      <c r="B514" s="82"/>
      <c r="C514" s="70" t="s">
        <v>3636</v>
      </c>
      <c r="D514" s="70" t="s">
        <v>3773</v>
      </c>
      <c r="E514" s="70" t="s">
        <v>4725</v>
      </c>
      <c r="F514" s="70" t="s">
        <v>2029</v>
      </c>
      <c r="G514" s="70" t="s">
        <v>4729</v>
      </c>
      <c r="H514" s="93"/>
      <c r="I514" s="85">
        <f t="shared" si="12"/>
        <v>3.3010299999999999</v>
      </c>
      <c r="J514" s="85">
        <v>2000.0000199681051</v>
      </c>
      <c r="K514" s="131" t="s">
        <v>3177</v>
      </c>
      <c r="L514" s="60" t="s">
        <v>2686</v>
      </c>
    </row>
    <row r="515" spans="1:15" ht="14" x14ac:dyDescent="0.15">
      <c r="A515" s="70" t="s">
        <v>2633</v>
      </c>
      <c r="B515" s="82"/>
      <c r="C515" s="70" t="s">
        <v>3636</v>
      </c>
      <c r="D515" s="70" t="s">
        <v>3773</v>
      </c>
      <c r="E515" s="70" t="s">
        <v>4725</v>
      </c>
      <c r="F515" s="70" t="s">
        <v>2029</v>
      </c>
      <c r="G515" s="70" t="s">
        <v>3537</v>
      </c>
      <c r="H515" s="93"/>
      <c r="I515" s="85">
        <f t="shared" ref="I515:I530" si="13">LOG(J515)</f>
        <v>3.3473300000000004</v>
      </c>
      <c r="J515" s="85">
        <v>2224.9999215274088</v>
      </c>
      <c r="K515" s="131" t="s">
        <v>6391</v>
      </c>
      <c r="L515" s="60">
        <v>65</v>
      </c>
      <c r="M515" s="49" t="s">
        <v>6727</v>
      </c>
    </row>
    <row r="516" spans="1:15" ht="14" x14ac:dyDescent="0.15">
      <c r="A516" s="70" t="s">
        <v>2633</v>
      </c>
      <c r="B516" s="82"/>
      <c r="C516" s="70" t="s">
        <v>3636</v>
      </c>
      <c r="D516" s="70" t="s">
        <v>3773</v>
      </c>
      <c r="E516" s="70" t="s">
        <v>4725</v>
      </c>
      <c r="F516" s="70" t="s">
        <v>2029</v>
      </c>
      <c r="G516" s="70" t="s">
        <v>4730</v>
      </c>
      <c r="H516" s="93"/>
      <c r="I516" s="85">
        <f t="shared" si="13"/>
        <v>3.3473300000000004</v>
      </c>
      <c r="J516" s="85">
        <v>2224.9999215274088</v>
      </c>
      <c r="K516" s="131" t="s">
        <v>3177</v>
      </c>
      <c r="L516" s="66">
        <v>-999</v>
      </c>
    </row>
    <row r="517" spans="1:15" ht="14" x14ac:dyDescent="0.15">
      <c r="A517" s="73" t="s">
        <v>2633</v>
      </c>
      <c r="B517" s="82"/>
      <c r="C517" s="70" t="s">
        <v>3636</v>
      </c>
      <c r="D517" s="70" t="s">
        <v>3773</v>
      </c>
      <c r="E517" s="70" t="s">
        <v>4725</v>
      </c>
      <c r="F517" s="70" t="s">
        <v>2029</v>
      </c>
      <c r="G517" s="70" t="s">
        <v>4734</v>
      </c>
      <c r="H517" s="93"/>
      <c r="I517" s="85">
        <f t="shared" si="13"/>
        <v>3.3473300000000004</v>
      </c>
      <c r="J517" s="85">
        <v>2224.9999215274088</v>
      </c>
      <c r="K517" s="131" t="s">
        <v>3177</v>
      </c>
      <c r="L517" s="60" t="s">
        <v>2686</v>
      </c>
    </row>
    <row r="518" spans="1:15" ht="14" x14ac:dyDescent="0.15">
      <c r="A518" s="73" t="s">
        <v>2633</v>
      </c>
      <c r="B518" s="82"/>
      <c r="C518" s="70" t="s">
        <v>3636</v>
      </c>
      <c r="D518" s="70" t="s">
        <v>3773</v>
      </c>
      <c r="E518" s="70" t="s">
        <v>4725</v>
      </c>
      <c r="F518" s="70" t="s">
        <v>2029</v>
      </c>
      <c r="G518" s="70" t="s">
        <v>4735</v>
      </c>
      <c r="H518" s="93"/>
      <c r="I518" s="85">
        <f t="shared" si="13"/>
        <v>3.4771200000000007</v>
      </c>
      <c r="J518" s="85">
        <v>2999.9913327161544</v>
      </c>
      <c r="K518" s="131" t="s">
        <v>3177</v>
      </c>
      <c r="L518" s="63" t="s">
        <v>2686</v>
      </c>
    </row>
    <row r="519" spans="1:15" ht="14" x14ac:dyDescent="0.15">
      <c r="A519" s="70" t="s">
        <v>2633</v>
      </c>
      <c r="B519" s="82"/>
      <c r="C519" s="70" t="s">
        <v>3636</v>
      </c>
      <c r="D519" s="70" t="s">
        <v>3773</v>
      </c>
      <c r="E519" s="70" t="s">
        <v>4725</v>
      </c>
      <c r="F519" s="70" t="s">
        <v>7177</v>
      </c>
      <c r="G519" s="70" t="s">
        <v>7178</v>
      </c>
      <c r="H519" s="93"/>
      <c r="I519" s="85">
        <f t="shared" si="13"/>
        <v>3.3010299999999999</v>
      </c>
      <c r="J519" s="85">
        <v>2000.0000199681051</v>
      </c>
      <c r="K519" s="131" t="s">
        <v>3177</v>
      </c>
      <c r="L519" s="60" t="s">
        <v>2686</v>
      </c>
    </row>
    <row r="520" spans="1:15" ht="14" x14ac:dyDescent="0.15">
      <c r="A520" s="70" t="s">
        <v>2633</v>
      </c>
      <c r="B520" s="82"/>
      <c r="C520" s="70" t="s">
        <v>3636</v>
      </c>
      <c r="D520" s="70" t="s">
        <v>3773</v>
      </c>
      <c r="E520" s="70" t="s">
        <v>4725</v>
      </c>
      <c r="F520" s="70" t="s">
        <v>7179</v>
      </c>
      <c r="G520" s="70" t="s">
        <v>7180</v>
      </c>
      <c r="H520" s="93"/>
      <c r="I520" s="85">
        <f t="shared" si="13"/>
        <v>3.4771200000000007</v>
      </c>
      <c r="J520" s="85">
        <v>2999.9913327161544</v>
      </c>
      <c r="K520" s="131" t="s">
        <v>6391</v>
      </c>
      <c r="L520" s="60">
        <v>65</v>
      </c>
      <c r="M520" s="49" t="s">
        <v>6727</v>
      </c>
    </row>
    <row r="521" spans="1:15" ht="14" x14ac:dyDescent="0.15">
      <c r="A521" s="70" t="s">
        <v>2633</v>
      </c>
      <c r="B521" s="82"/>
      <c r="C521" s="70" t="s">
        <v>3636</v>
      </c>
      <c r="D521" s="70" t="s">
        <v>3773</v>
      </c>
      <c r="E521" s="70" t="s">
        <v>4725</v>
      </c>
      <c r="F521" s="70" t="s">
        <v>3709</v>
      </c>
      <c r="G521" s="70" t="s">
        <v>3242</v>
      </c>
      <c r="H521" s="93"/>
      <c r="I521" s="85">
        <f t="shared" si="13"/>
        <v>2.6989700000000005</v>
      </c>
      <c r="J521" s="85">
        <v>499.99999500797441</v>
      </c>
      <c r="K521" s="131" t="s">
        <v>3177</v>
      </c>
      <c r="L521" s="60">
        <v>60</v>
      </c>
    </row>
    <row r="522" spans="1:15" ht="42" x14ac:dyDescent="0.15">
      <c r="A522" s="61" t="s">
        <v>2633</v>
      </c>
      <c r="B522" s="93" t="s">
        <v>1559</v>
      </c>
      <c r="C522" s="100" t="s">
        <v>3636</v>
      </c>
      <c r="D522" s="61" t="s">
        <v>2548</v>
      </c>
      <c r="E522" s="100" t="s">
        <v>2687</v>
      </c>
      <c r="F522" s="100" t="s">
        <v>1650</v>
      </c>
      <c r="G522" s="100" t="s">
        <v>3310</v>
      </c>
      <c r="H522" s="177"/>
      <c r="I522" s="85">
        <f t="shared" si="13"/>
        <v>1.0280287236002572</v>
      </c>
      <c r="J522" s="101">
        <v>10.666666666667</v>
      </c>
      <c r="K522" s="143"/>
      <c r="L522" s="61">
        <v>153</v>
      </c>
      <c r="M522" s="50"/>
      <c r="N522" s="35"/>
    </row>
    <row r="523" spans="1:15" ht="28" x14ac:dyDescent="0.15">
      <c r="A523" s="62" t="s">
        <v>2633</v>
      </c>
      <c r="B523" s="93" t="s">
        <v>1378</v>
      </c>
      <c r="C523" s="102" t="s">
        <v>3636</v>
      </c>
      <c r="D523" s="62" t="s">
        <v>2548</v>
      </c>
      <c r="E523" s="102" t="s">
        <v>2687</v>
      </c>
      <c r="F523" s="102" t="s">
        <v>2961</v>
      </c>
      <c r="G523" s="102" t="s">
        <v>1379</v>
      </c>
      <c r="H523" s="175"/>
      <c r="I523" s="85">
        <f t="shared" si="13"/>
        <v>2</v>
      </c>
      <c r="J523" s="104">
        <v>100</v>
      </c>
      <c r="K523" s="143"/>
      <c r="L523" s="61">
        <v>153</v>
      </c>
      <c r="M523" s="36"/>
      <c r="O523" s="51"/>
    </row>
    <row r="524" spans="1:15" ht="14" x14ac:dyDescent="0.15">
      <c r="A524" s="62" t="s">
        <v>2633</v>
      </c>
      <c r="B524" s="93" t="s">
        <v>1526</v>
      </c>
      <c r="C524" s="102" t="s">
        <v>3636</v>
      </c>
      <c r="D524" s="62" t="s">
        <v>2548</v>
      </c>
      <c r="E524" s="102" t="s">
        <v>2687</v>
      </c>
      <c r="F524" s="102" t="s">
        <v>5971</v>
      </c>
      <c r="G524" s="102" t="s">
        <v>1527</v>
      </c>
      <c r="H524" s="175"/>
      <c r="I524" s="103">
        <f t="shared" si="13"/>
        <v>1.3424226808222062</v>
      </c>
      <c r="J524" s="98">
        <v>22</v>
      </c>
      <c r="K524" s="141"/>
      <c r="L524" s="61" t="s">
        <v>7554</v>
      </c>
      <c r="M524" s="50"/>
      <c r="N524" s="51"/>
      <c r="O524" s="35"/>
    </row>
    <row r="525" spans="1:15" ht="56" x14ac:dyDescent="0.15">
      <c r="A525" s="62" t="s">
        <v>2633</v>
      </c>
      <c r="B525" s="93" t="s">
        <v>4260</v>
      </c>
      <c r="C525" s="102" t="s">
        <v>3636</v>
      </c>
      <c r="D525" s="62" t="s">
        <v>2548</v>
      </c>
      <c r="E525" s="102" t="s">
        <v>2687</v>
      </c>
      <c r="F525" s="102" t="s">
        <v>5971</v>
      </c>
      <c r="G525" s="102" t="s">
        <v>3854</v>
      </c>
      <c r="H525" s="175"/>
      <c r="I525" s="85">
        <f t="shared" si="13"/>
        <v>1.414973347970818</v>
      </c>
      <c r="J525" s="104">
        <f>AVERAGE(19.5, 32.5)</f>
        <v>26</v>
      </c>
      <c r="K525" s="143"/>
      <c r="L525" s="61" t="s">
        <v>1841</v>
      </c>
      <c r="M525" s="50"/>
      <c r="N525" s="51" t="s">
        <v>1839</v>
      </c>
      <c r="O525" s="37" t="s">
        <v>1840</v>
      </c>
    </row>
    <row r="526" spans="1:15" ht="56" x14ac:dyDescent="0.15">
      <c r="A526" s="62" t="s">
        <v>2633</v>
      </c>
      <c r="B526" s="93" t="s">
        <v>1400</v>
      </c>
      <c r="C526" s="102" t="s">
        <v>3636</v>
      </c>
      <c r="D526" s="62" t="s">
        <v>2548</v>
      </c>
      <c r="E526" s="102" t="s">
        <v>2687</v>
      </c>
      <c r="F526" s="102" t="s">
        <v>5971</v>
      </c>
      <c r="G526" s="102" t="s">
        <v>1323</v>
      </c>
      <c r="H526" s="175"/>
      <c r="I526" s="85">
        <f t="shared" si="13"/>
        <v>1.436692597664049</v>
      </c>
      <c r="J526" s="104">
        <v>27.333333333333002</v>
      </c>
      <c r="K526" s="143"/>
      <c r="L526" s="61">
        <v>153</v>
      </c>
      <c r="M526" s="35"/>
      <c r="O526" s="37" t="s">
        <v>1842</v>
      </c>
    </row>
    <row r="527" spans="1:15" ht="84" x14ac:dyDescent="0.15">
      <c r="A527" s="62" t="s">
        <v>2633</v>
      </c>
      <c r="B527" s="93" t="s">
        <v>1224</v>
      </c>
      <c r="C527" s="102" t="s">
        <v>3636</v>
      </c>
      <c r="D527" s="62" t="s">
        <v>2548</v>
      </c>
      <c r="E527" s="100" t="s">
        <v>2687</v>
      </c>
      <c r="F527" s="102" t="s">
        <v>5971</v>
      </c>
      <c r="G527" s="102" t="s">
        <v>5972</v>
      </c>
      <c r="H527" s="175"/>
      <c r="I527" s="85">
        <f t="shared" si="13"/>
        <v>1.4368911625453118</v>
      </c>
      <c r="J527" s="104">
        <v>27.345833333333001</v>
      </c>
      <c r="K527" s="143"/>
      <c r="L527" s="61">
        <v>153</v>
      </c>
      <c r="M527" s="35"/>
      <c r="N527" s="37" t="s">
        <v>1837</v>
      </c>
      <c r="O527" s="51" t="s">
        <v>1838</v>
      </c>
    </row>
    <row r="528" spans="1:15" ht="28" x14ac:dyDescent="0.15">
      <c r="A528" s="61" t="s">
        <v>2633</v>
      </c>
      <c r="B528" s="93" t="s">
        <v>697</v>
      </c>
      <c r="C528" s="102" t="s">
        <v>3636</v>
      </c>
      <c r="D528" s="62" t="s">
        <v>2548</v>
      </c>
      <c r="E528" s="102" t="s">
        <v>2687</v>
      </c>
      <c r="F528" s="102" t="s">
        <v>5971</v>
      </c>
      <c r="G528" s="102" t="s">
        <v>6432</v>
      </c>
      <c r="H528" s="175"/>
      <c r="I528" s="85">
        <f t="shared" si="13"/>
        <v>1.4712917110589385</v>
      </c>
      <c r="J528" s="104">
        <v>29.6</v>
      </c>
      <c r="K528" s="143"/>
      <c r="L528" s="61">
        <v>153</v>
      </c>
      <c r="M528" s="50"/>
      <c r="N528" s="51"/>
      <c r="O528" s="51"/>
    </row>
    <row r="529" spans="1:15" ht="42" x14ac:dyDescent="0.15">
      <c r="A529" s="62" t="s">
        <v>2633</v>
      </c>
      <c r="B529" s="93" t="s">
        <v>1361</v>
      </c>
      <c r="C529" s="102" t="s">
        <v>3636</v>
      </c>
      <c r="D529" s="62" t="s">
        <v>2548</v>
      </c>
      <c r="E529" s="102" t="s">
        <v>1362</v>
      </c>
      <c r="F529" s="102" t="s">
        <v>1363</v>
      </c>
      <c r="G529" s="102" t="s">
        <v>1364</v>
      </c>
      <c r="H529" s="175"/>
      <c r="I529" s="85">
        <f t="shared" si="13"/>
        <v>1.4447137991033623</v>
      </c>
      <c r="J529" s="104">
        <v>27.842857142857</v>
      </c>
      <c r="K529" s="143"/>
      <c r="L529" s="61">
        <v>153</v>
      </c>
      <c r="M529" s="50"/>
      <c r="N529" s="51"/>
    </row>
    <row r="530" spans="1:15" ht="42" x14ac:dyDescent="0.15">
      <c r="A530" s="62" t="s">
        <v>2633</v>
      </c>
      <c r="B530" s="93" t="s">
        <v>4584</v>
      </c>
      <c r="C530" s="102" t="s">
        <v>3636</v>
      </c>
      <c r="D530" s="62" t="s">
        <v>2548</v>
      </c>
      <c r="E530" s="102" t="s">
        <v>1362</v>
      </c>
      <c r="F530" s="102" t="s">
        <v>4585</v>
      </c>
      <c r="G530" s="102" t="s">
        <v>4586</v>
      </c>
      <c r="H530" s="175"/>
      <c r="I530" s="85">
        <f t="shared" si="13"/>
        <v>1.3790031895226318</v>
      </c>
      <c r="J530" s="104">
        <v>23.933333333333</v>
      </c>
      <c r="K530" s="143"/>
      <c r="L530" s="61">
        <v>153</v>
      </c>
      <c r="M530" s="50"/>
      <c r="N530" s="51"/>
      <c r="O530" s="51" t="s">
        <v>1668</v>
      </c>
    </row>
    <row r="531" spans="1:15" ht="28" x14ac:dyDescent="0.15">
      <c r="A531" s="62" t="s">
        <v>2633</v>
      </c>
      <c r="B531" s="93" t="s">
        <v>1272</v>
      </c>
      <c r="C531" s="100" t="s">
        <v>3636</v>
      </c>
      <c r="D531" s="61" t="s">
        <v>2548</v>
      </c>
      <c r="E531" s="100" t="s">
        <v>2421</v>
      </c>
      <c r="F531" s="100" t="s">
        <v>5833</v>
      </c>
      <c r="G531" s="100" t="s">
        <v>1273</v>
      </c>
      <c r="H531" s="177"/>
      <c r="I531" s="103">
        <v>-999</v>
      </c>
      <c r="J531" s="103">
        <v>-999</v>
      </c>
      <c r="K531" s="141"/>
      <c r="L531" s="61">
        <v>-999</v>
      </c>
    </row>
    <row r="532" spans="1:15" ht="42" x14ac:dyDescent="0.15">
      <c r="A532" s="62" t="s">
        <v>2633</v>
      </c>
      <c r="B532" s="93" t="s">
        <v>1506</v>
      </c>
      <c r="C532" s="100" t="s">
        <v>3636</v>
      </c>
      <c r="D532" s="61" t="s">
        <v>2548</v>
      </c>
      <c r="E532" s="100" t="s">
        <v>2421</v>
      </c>
      <c r="F532" s="100" t="s">
        <v>5833</v>
      </c>
      <c r="G532" s="100" t="s">
        <v>4346</v>
      </c>
      <c r="H532" s="177"/>
      <c r="I532" s="103">
        <f>LOG(J532)</f>
        <v>1.2787536009528289</v>
      </c>
      <c r="J532" s="103">
        <v>19</v>
      </c>
      <c r="K532" s="141"/>
      <c r="L532" s="61">
        <v>282</v>
      </c>
    </row>
    <row r="533" spans="1:15" ht="14" x14ac:dyDescent="0.15">
      <c r="A533" s="62" t="s">
        <v>2633</v>
      </c>
      <c r="B533" s="93" t="s">
        <v>5854</v>
      </c>
      <c r="C533" s="100" t="s">
        <v>3636</v>
      </c>
      <c r="D533" s="61" t="s">
        <v>2548</v>
      </c>
      <c r="E533" s="100" t="s">
        <v>2421</v>
      </c>
      <c r="F533" s="100" t="s">
        <v>5833</v>
      </c>
      <c r="G533" s="100" t="s">
        <v>568</v>
      </c>
      <c r="H533" s="177"/>
      <c r="I533" s="103">
        <v>-999</v>
      </c>
      <c r="J533" s="103">
        <v>-999</v>
      </c>
      <c r="K533" s="141"/>
      <c r="L533" s="61">
        <v>-999</v>
      </c>
    </row>
    <row r="534" spans="1:15" ht="56" x14ac:dyDescent="0.15">
      <c r="A534" s="62" t="s">
        <v>2633</v>
      </c>
      <c r="B534" s="93" t="s">
        <v>2012</v>
      </c>
      <c r="C534" s="102" t="s">
        <v>3636</v>
      </c>
      <c r="D534" s="62" t="s">
        <v>2548</v>
      </c>
      <c r="E534" s="102" t="s">
        <v>2421</v>
      </c>
      <c r="F534" s="102" t="s">
        <v>5833</v>
      </c>
      <c r="G534" s="102" t="s">
        <v>2013</v>
      </c>
      <c r="H534" s="175"/>
      <c r="I534" s="98">
        <f t="shared" ref="I534:I541" si="14">LOG(J534)</f>
        <v>1</v>
      </c>
      <c r="J534" s="106">
        <v>10</v>
      </c>
      <c r="K534" s="135"/>
      <c r="L534" s="62">
        <v>232</v>
      </c>
      <c r="M534" s="33"/>
    </row>
    <row r="535" spans="1:15" ht="70" x14ac:dyDescent="0.15">
      <c r="A535" s="62" t="s">
        <v>2633</v>
      </c>
      <c r="B535" s="93" t="s">
        <v>1890</v>
      </c>
      <c r="C535" s="100" t="s">
        <v>3636</v>
      </c>
      <c r="D535" s="61" t="s">
        <v>2548</v>
      </c>
      <c r="E535" s="100" t="s">
        <v>2421</v>
      </c>
      <c r="F535" s="100" t="s">
        <v>5833</v>
      </c>
      <c r="G535" s="100" t="s">
        <v>5297</v>
      </c>
      <c r="H535" s="177"/>
      <c r="I535" s="85">
        <f t="shared" si="14"/>
        <v>1.0529716716372919</v>
      </c>
      <c r="J535" s="101">
        <v>11.297222222222</v>
      </c>
      <c r="K535" s="143"/>
      <c r="L535" s="61">
        <v>153</v>
      </c>
      <c r="M535" s="50"/>
      <c r="N535" s="51"/>
    </row>
    <row r="536" spans="1:15" ht="56" x14ac:dyDescent="0.15">
      <c r="A536" s="62" t="s">
        <v>2633</v>
      </c>
      <c r="B536" s="93" t="s">
        <v>1562</v>
      </c>
      <c r="C536" s="102" t="s">
        <v>3636</v>
      </c>
      <c r="D536" s="62" t="s">
        <v>2548</v>
      </c>
      <c r="E536" s="100" t="s">
        <v>2421</v>
      </c>
      <c r="F536" s="102" t="s">
        <v>5833</v>
      </c>
      <c r="G536" s="102" t="s">
        <v>5644</v>
      </c>
      <c r="H536" s="175"/>
      <c r="I536" s="85">
        <f t="shared" si="14"/>
        <v>1.1687920203141817</v>
      </c>
      <c r="J536" s="104">
        <v>14.75</v>
      </c>
      <c r="K536" s="143"/>
      <c r="L536" s="61">
        <v>153</v>
      </c>
    </row>
    <row r="537" spans="1:15" ht="42" x14ac:dyDescent="0.15">
      <c r="A537" s="62" t="s">
        <v>2633</v>
      </c>
      <c r="B537" s="93" t="s">
        <v>1652</v>
      </c>
      <c r="C537" s="102" t="s">
        <v>3636</v>
      </c>
      <c r="D537" s="62" t="s">
        <v>2548</v>
      </c>
      <c r="E537" s="100" t="s">
        <v>2421</v>
      </c>
      <c r="F537" s="102" t="s">
        <v>5833</v>
      </c>
      <c r="G537" s="102" t="s">
        <v>1653</v>
      </c>
      <c r="H537" s="175"/>
      <c r="I537" s="85">
        <f t="shared" si="14"/>
        <v>1.1760912590556813</v>
      </c>
      <c r="J537" s="104">
        <v>15</v>
      </c>
      <c r="K537" s="143"/>
      <c r="L537" s="61">
        <v>153</v>
      </c>
    </row>
    <row r="538" spans="1:15" ht="42" x14ac:dyDescent="0.15">
      <c r="A538" s="165" t="s">
        <v>2633</v>
      </c>
      <c r="B538" s="93" t="s">
        <v>4322</v>
      </c>
      <c r="C538" s="100" t="s">
        <v>3636</v>
      </c>
      <c r="D538" s="61" t="s">
        <v>2548</v>
      </c>
      <c r="E538" s="100" t="s">
        <v>2421</v>
      </c>
      <c r="F538" s="100" t="s">
        <v>5833</v>
      </c>
      <c r="G538" s="100" t="s">
        <v>3814</v>
      </c>
      <c r="H538" s="177"/>
      <c r="I538" s="103">
        <f t="shared" si="14"/>
        <v>1.2077689697399236</v>
      </c>
      <c r="J538" s="103">
        <f>AVERAGE(16.5, 15.77)</f>
        <v>16.134999999999998</v>
      </c>
      <c r="K538" s="141"/>
      <c r="L538" s="61">
        <v>255</v>
      </c>
    </row>
    <row r="539" spans="1:15" ht="28" x14ac:dyDescent="0.15">
      <c r="A539" s="165" t="s">
        <v>2633</v>
      </c>
      <c r="B539" s="93" t="s">
        <v>1654</v>
      </c>
      <c r="C539" s="102" t="s">
        <v>3636</v>
      </c>
      <c r="D539" s="62" t="s">
        <v>2548</v>
      </c>
      <c r="E539" s="100" t="s">
        <v>2421</v>
      </c>
      <c r="F539" s="102" t="s">
        <v>5833</v>
      </c>
      <c r="G539" s="102" t="s">
        <v>1655</v>
      </c>
      <c r="H539" s="175"/>
      <c r="I539" s="85">
        <f t="shared" si="14"/>
        <v>1.2181414681576779</v>
      </c>
      <c r="J539" s="104">
        <v>16.524999999999999</v>
      </c>
      <c r="K539" s="143"/>
      <c r="L539" s="61">
        <v>153</v>
      </c>
    </row>
    <row r="540" spans="1:15" ht="56" x14ac:dyDescent="0.15">
      <c r="A540" s="165" t="s">
        <v>2633</v>
      </c>
      <c r="B540" s="93" t="s">
        <v>1697</v>
      </c>
      <c r="C540" s="102" t="s">
        <v>3636</v>
      </c>
      <c r="D540" s="62" t="s">
        <v>2548</v>
      </c>
      <c r="E540" s="100" t="s">
        <v>2421</v>
      </c>
      <c r="F540" s="102" t="s">
        <v>5833</v>
      </c>
      <c r="G540" s="102" t="s">
        <v>3983</v>
      </c>
      <c r="H540" s="175"/>
      <c r="I540" s="85">
        <f t="shared" si="14"/>
        <v>1.2966651902615312</v>
      </c>
      <c r="J540" s="104">
        <v>19.8</v>
      </c>
      <c r="K540" s="143"/>
      <c r="L540" s="61">
        <v>153</v>
      </c>
    </row>
    <row r="541" spans="1:15" ht="84" x14ac:dyDescent="0.15">
      <c r="A541" s="165" t="s">
        <v>2633</v>
      </c>
      <c r="B541" s="93" t="s">
        <v>1479</v>
      </c>
      <c r="C541" s="102" t="s">
        <v>3636</v>
      </c>
      <c r="D541" s="62" t="s">
        <v>2548</v>
      </c>
      <c r="E541" s="100" t="s">
        <v>2421</v>
      </c>
      <c r="F541" s="102" t="s">
        <v>5833</v>
      </c>
      <c r="G541" s="102" t="s">
        <v>4752</v>
      </c>
      <c r="H541" s="175"/>
      <c r="I541" s="85">
        <f t="shared" si="14"/>
        <v>1.3017532172830699</v>
      </c>
      <c r="J541" s="104">
        <v>20.033333333333001</v>
      </c>
      <c r="K541" s="143"/>
      <c r="L541" s="61">
        <v>153</v>
      </c>
    </row>
    <row r="542" spans="1:15" ht="28" x14ac:dyDescent="0.15">
      <c r="A542" s="165" t="s">
        <v>2633</v>
      </c>
      <c r="B542" s="93" t="s">
        <v>4427</v>
      </c>
      <c r="C542" s="100" t="s">
        <v>3636</v>
      </c>
      <c r="D542" s="61" t="s">
        <v>2548</v>
      </c>
      <c r="E542" s="100" t="s">
        <v>2421</v>
      </c>
      <c r="F542" s="100" t="s">
        <v>4258</v>
      </c>
      <c r="G542" s="100" t="s">
        <v>1573</v>
      </c>
      <c r="H542" s="177"/>
      <c r="I542" s="103">
        <v>-999</v>
      </c>
      <c r="J542" s="103">
        <v>-999</v>
      </c>
      <c r="K542" s="141"/>
      <c r="L542" s="61">
        <v>-999</v>
      </c>
    </row>
    <row r="543" spans="1:15" ht="28" x14ac:dyDescent="0.15">
      <c r="A543" s="165" t="s">
        <v>2633</v>
      </c>
      <c r="B543" s="93" t="s">
        <v>4418</v>
      </c>
      <c r="C543" s="100" t="s">
        <v>3636</v>
      </c>
      <c r="D543" s="61" t="s">
        <v>2548</v>
      </c>
      <c r="E543" s="100" t="s">
        <v>2421</v>
      </c>
      <c r="F543" s="100" t="s">
        <v>4258</v>
      </c>
      <c r="G543" s="100" t="s">
        <v>4419</v>
      </c>
      <c r="H543" s="177"/>
      <c r="I543" s="103">
        <v>-999</v>
      </c>
      <c r="J543" s="103">
        <v>-999</v>
      </c>
      <c r="K543" s="141"/>
      <c r="L543" s="61">
        <v>-999</v>
      </c>
    </row>
    <row r="544" spans="1:15" ht="14" x14ac:dyDescent="0.15">
      <c r="A544" s="165" t="s">
        <v>2633</v>
      </c>
      <c r="B544" s="93" t="s">
        <v>5854</v>
      </c>
      <c r="C544" s="100" t="s">
        <v>3636</v>
      </c>
      <c r="D544" s="61" t="s">
        <v>2548</v>
      </c>
      <c r="E544" s="100" t="s">
        <v>2421</v>
      </c>
      <c r="F544" s="100" t="s">
        <v>4258</v>
      </c>
      <c r="G544" s="100" t="s">
        <v>4587</v>
      </c>
      <c r="H544" s="177"/>
      <c r="I544" s="103">
        <v>-999</v>
      </c>
      <c r="J544" s="103">
        <v>-999</v>
      </c>
      <c r="K544" s="141"/>
      <c r="L544" s="61">
        <v>-999</v>
      </c>
    </row>
    <row r="545" spans="1:15" ht="28" x14ac:dyDescent="0.15">
      <c r="A545" s="165" t="s">
        <v>2633</v>
      </c>
      <c r="B545" s="93" t="s">
        <v>1546</v>
      </c>
      <c r="C545" s="100" t="s">
        <v>3636</v>
      </c>
      <c r="D545" s="61" t="s">
        <v>2548</v>
      </c>
      <c r="E545" s="100" t="s">
        <v>2421</v>
      </c>
      <c r="F545" s="100" t="s">
        <v>4258</v>
      </c>
      <c r="G545" s="100" t="s">
        <v>3083</v>
      </c>
      <c r="H545" s="177"/>
      <c r="I545" s="103">
        <v>-999</v>
      </c>
      <c r="J545" s="103">
        <v>-999</v>
      </c>
      <c r="K545" s="141"/>
      <c r="L545" s="61">
        <v>-999</v>
      </c>
    </row>
    <row r="546" spans="1:15" ht="56" x14ac:dyDescent="0.15">
      <c r="A546" s="165" t="s">
        <v>2633</v>
      </c>
      <c r="B546" s="93" t="s">
        <v>4590</v>
      </c>
      <c r="C546" s="100" t="s">
        <v>3636</v>
      </c>
      <c r="D546" s="61" t="s">
        <v>2548</v>
      </c>
      <c r="E546" s="100" t="s">
        <v>2421</v>
      </c>
      <c r="F546" s="100" t="s">
        <v>4258</v>
      </c>
      <c r="G546" s="100" t="s">
        <v>4577</v>
      </c>
      <c r="H546" s="177"/>
      <c r="I546" s="103">
        <v>-999</v>
      </c>
      <c r="J546" s="103">
        <v>-999</v>
      </c>
      <c r="K546" s="141"/>
      <c r="L546" s="61">
        <v>-999</v>
      </c>
    </row>
    <row r="547" spans="1:15" ht="14" x14ac:dyDescent="0.15">
      <c r="A547" s="165" t="s">
        <v>2633</v>
      </c>
      <c r="B547" s="93" t="s">
        <v>4578</v>
      </c>
      <c r="C547" s="100" t="s">
        <v>3636</v>
      </c>
      <c r="D547" s="61" t="s">
        <v>2548</v>
      </c>
      <c r="E547" s="100" t="s">
        <v>2421</v>
      </c>
      <c r="F547" s="100" t="s">
        <v>4258</v>
      </c>
      <c r="G547" s="100" t="s">
        <v>4579</v>
      </c>
      <c r="H547" s="177"/>
      <c r="I547" s="103">
        <v>-999</v>
      </c>
      <c r="J547" s="103">
        <v>-999</v>
      </c>
      <c r="K547" s="141"/>
      <c r="L547" s="61">
        <v>-999</v>
      </c>
    </row>
    <row r="548" spans="1:15" ht="42" x14ac:dyDescent="0.15">
      <c r="A548" s="165" t="s">
        <v>2633</v>
      </c>
      <c r="B548" s="93" t="s">
        <v>4257</v>
      </c>
      <c r="C548" s="102" t="s">
        <v>3636</v>
      </c>
      <c r="D548" s="62" t="s">
        <v>2548</v>
      </c>
      <c r="E548" s="100" t="s">
        <v>2421</v>
      </c>
      <c r="F548" s="102" t="s">
        <v>4258</v>
      </c>
      <c r="G548" s="102" t="s">
        <v>2577</v>
      </c>
      <c r="H548" s="175"/>
      <c r="I548" s="85">
        <f t="shared" ref="I548:I553" si="15">LOG(J548)</f>
        <v>1.2041199826559248</v>
      </c>
      <c r="J548" s="104">
        <v>16</v>
      </c>
      <c r="K548" s="143"/>
      <c r="L548" s="61">
        <v>153</v>
      </c>
    </row>
    <row r="549" spans="1:15" ht="42" x14ac:dyDescent="0.15">
      <c r="A549" s="165" t="s">
        <v>2633</v>
      </c>
      <c r="B549" s="93" t="s">
        <v>1623</v>
      </c>
      <c r="C549" s="102" t="s">
        <v>3636</v>
      </c>
      <c r="D549" s="62" t="s">
        <v>2548</v>
      </c>
      <c r="E549" s="100" t="s">
        <v>2421</v>
      </c>
      <c r="F549" s="102" t="s">
        <v>4258</v>
      </c>
      <c r="G549" s="102" t="s">
        <v>1570</v>
      </c>
      <c r="H549" s="175"/>
      <c r="I549" s="85">
        <f t="shared" si="15"/>
        <v>1.3364597338485296</v>
      </c>
      <c r="J549" s="104">
        <v>21.7</v>
      </c>
      <c r="K549" s="143"/>
      <c r="L549" s="61">
        <v>153</v>
      </c>
    </row>
    <row r="550" spans="1:15" ht="42" x14ac:dyDescent="0.15">
      <c r="A550" s="165" t="s">
        <v>2633</v>
      </c>
      <c r="B550" s="93" t="s">
        <v>2048</v>
      </c>
      <c r="C550" s="102" t="s">
        <v>3636</v>
      </c>
      <c r="D550" s="62" t="s">
        <v>2548</v>
      </c>
      <c r="E550" s="100" t="s">
        <v>2421</v>
      </c>
      <c r="F550" s="102" t="s">
        <v>4258</v>
      </c>
      <c r="G550" s="102" t="s">
        <v>2049</v>
      </c>
      <c r="H550" s="175"/>
      <c r="I550" s="85">
        <f t="shared" si="15"/>
        <v>1.3424226808222062</v>
      </c>
      <c r="J550" s="104">
        <v>22</v>
      </c>
      <c r="K550" s="143"/>
      <c r="L550" s="61">
        <v>153</v>
      </c>
    </row>
    <row r="551" spans="1:15" ht="56" x14ac:dyDescent="0.15">
      <c r="A551" s="165" t="s">
        <v>2633</v>
      </c>
      <c r="B551" s="93" t="s">
        <v>1545</v>
      </c>
      <c r="C551" s="102" t="s">
        <v>3636</v>
      </c>
      <c r="D551" s="62" t="s">
        <v>2548</v>
      </c>
      <c r="E551" s="102" t="s">
        <v>2421</v>
      </c>
      <c r="F551" s="102" t="s">
        <v>4258</v>
      </c>
      <c r="G551" s="102" t="s">
        <v>1547</v>
      </c>
      <c r="H551" s="175"/>
      <c r="I551" s="85">
        <f t="shared" si="15"/>
        <v>1.4529103602313054</v>
      </c>
      <c r="J551" s="104">
        <v>28.373333333333001</v>
      </c>
      <c r="K551" s="143"/>
      <c r="L551" s="61">
        <v>153</v>
      </c>
    </row>
    <row r="552" spans="1:15" ht="42" x14ac:dyDescent="0.15">
      <c r="A552" s="165" t="s">
        <v>2633</v>
      </c>
      <c r="B552" s="93" t="s">
        <v>1407</v>
      </c>
      <c r="C552" s="102" t="s">
        <v>3636</v>
      </c>
      <c r="D552" s="62" t="s">
        <v>2548</v>
      </c>
      <c r="E552" s="102" t="s">
        <v>2421</v>
      </c>
      <c r="F552" s="102" t="s">
        <v>4258</v>
      </c>
      <c r="G552" s="102" t="s">
        <v>4079</v>
      </c>
      <c r="H552" s="175"/>
      <c r="I552" s="85">
        <f t="shared" si="15"/>
        <v>1.6329631681672612</v>
      </c>
      <c r="J552" s="104">
        <v>42.95</v>
      </c>
      <c r="K552" s="143"/>
      <c r="L552" s="61">
        <v>153</v>
      </c>
    </row>
    <row r="553" spans="1:15" ht="56" x14ac:dyDescent="0.15">
      <c r="A553" s="62" t="s">
        <v>2633</v>
      </c>
      <c r="B553" s="82" t="s">
        <v>4583</v>
      </c>
      <c r="C553" s="107" t="s">
        <v>3636</v>
      </c>
      <c r="D553" s="62" t="s">
        <v>2548</v>
      </c>
      <c r="E553" s="107" t="s">
        <v>2421</v>
      </c>
      <c r="F553" s="107" t="s">
        <v>4258</v>
      </c>
      <c r="G553" s="107" t="s">
        <v>7226</v>
      </c>
      <c r="H553" s="179"/>
      <c r="I553" s="85">
        <f t="shared" si="15"/>
        <v>1.6553305580093409</v>
      </c>
      <c r="J553" s="104">
        <v>45.22</v>
      </c>
      <c r="K553" s="143"/>
      <c r="L553" s="61">
        <v>153</v>
      </c>
    </row>
    <row r="554" spans="1:15" ht="56" x14ac:dyDescent="0.15">
      <c r="A554" s="62" t="s">
        <v>2633</v>
      </c>
      <c r="B554" s="93" t="s">
        <v>1893</v>
      </c>
      <c r="C554" s="100" t="s">
        <v>3636</v>
      </c>
      <c r="D554" s="61" t="s">
        <v>2548</v>
      </c>
      <c r="E554" s="100" t="s">
        <v>2421</v>
      </c>
      <c r="F554" s="100" t="s">
        <v>2389</v>
      </c>
      <c r="G554" s="100" t="s">
        <v>2391</v>
      </c>
      <c r="H554" s="177"/>
      <c r="I554" s="103">
        <v>-999</v>
      </c>
      <c r="J554" s="103">
        <v>-999</v>
      </c>
      <c r="K554" s="141"/>
      <c r="L554" s="61">
        <v>-999</v>
      </c>
    </row>
    <row r="555" spans="1:15" ht="14" x14ac:dyDescent="0.15">
      <c r="A555" s="62" t="s">
        <v>2633</v>
      </c>
      <c r="B555" s="93" t="s">
        <v>1892</v>
      </c>
      <c r="C555" s="100" t="s">
        <v>3636</v>
      </c>
      <c r="D555" s="61" t="s">
        <v>2548</v>
      </c>
      <c r="E555" s="100" t="s">
        <v>2421</v>
      </c>
      <c r="F555" s="100" t="s">
        <v>2389</v>
      </c>
      <c r="G555" s="100" t="s">
        <v>4347</v>
      </c>
      <c r="H555" s="177"/>
      <c r="I555" s="103">
        <v>-999</v>
      </c>
      <c r="J555" s="103">
        <v>-999</v>
      </c>
      <c r="K555" s="141"/>
      <c r="L555" s="61">
        <v>-999</v>
      </c>
    </row>
    <row r="556" spans="1:15" ht="56" x14ac:dyDescent="0.15">
      <c r="A556" s="62" t="s">
        <v>2633</v>
      </c>
      <c r="B556" s="93" t="s">
        <v>1843</v>
      </c>
      <c r="C556" s="100" t="s">
        <v>3636</v>
      </c>
      <c r="D556" s="61" t="s">
        <v>2548</v>
      </c>
      <c r="E556" s="100" t="s">
        <v>2421</v>
      </c>
      <c r="F556" s="100" t="s">
        <v>2389</v>
      </c>
      <c r="G556" s="100" t="s">
        <v>1844</v>
      </c>
      <c r="H556" s="177"/>
      <c r="I556" s="85">
        <f>LOG(J556)</f>
        <v>1.1430148002540952</v>
      </c>
      <c r="J556" s="101">
        <v>13.9</v>
      </c>
      <c r="K556" s="143"/>
      <c r="L556" s="61">
        <v>153</v>
      </c>
    </row>
    <row r="557" spans="1:15" ht="28" x14ac:dyDescent="0.15">
      <c r="A557" s="62" t="s">
        <v>2633</v>
      </c>
      <c r="B557" s="93" t="s">
        <v>1698</v>
      </c>
      <c r="C557" s="100" t="s">
        <v>3636</v>
      </c>
      <c r="D557" s="61" t="s">
        <v>2548</v>
      </c>
      <c r="E557" s="100" t="s">
        <v>2421</v>
      </c>
      <c r="F557" s="100" t="s">
        <v>1896</v>
      </c>
      <c r="G557" s="100" t="s">
        <v>1602</v>
      </c>
      <c r="H557" s="177"/>
      <c r="I557" s="103">
        <v>-999</v>
      </c>
      <c r="J557" s="103">
        <v>-999</v>
      </c>
      <c r="K557" s="141"/>
      <c r="L557" s="61">
        <v>-999</v>
      </c>
    </row>
    <row r="558" spans="1:15" ht="28" x14ac:dyDescent="0.15">
      <c r="A558" s="62" t="s">
        <v>2633</v>
      </c>
      <c r="B558" s="93" t="s">
        <v>4348</v>
      </c>
      <c r="C558" s="100" t="s">
        <v>3636</v>
      </c>
      <c r="D558" s="61" t="s">
        <v>2548</v>
      </c>
      <c r="E558" s="100" t="s">
        <v>2421</v>
      </c>
      <c r="F558" s="100" t="s">
        <v>1896</v>
      </c>
      <c r="G558" s="100" t="s">
        <v>579</v>
      </c>
      <c r="H558" s="177"/>
      <c r="I558" s="85">
        <f>LOG(J558)</f>
        <v>1.0606978403536116</v>
      </c>
      <c r="J558" s="101">
        <v>11.5</v>
      </c>
      <c r="K558" s="143"/>
      <c r="L558" s="61">
        <v>153</v>
      </c>
      <c r="N558" s="37" t="s">
        <v>1805</v>
      </c>
      <c r="O558" s="37" t="s">
        <v>1687</v>
      </c>
    </row>
    <row r="559" spans="1:15" ht="56" x14ac:dyDescent="0.15">
      <c r="A559" s="61" t="s">
        <v>2633</v>
      </c>
      <c r="B559" s="93" t="s">
        <v>571</v>
      </c>
      <c r="C559" s="102" t="s">
        <v>3636</v>
      </c>
      <c r="D559" s="62" t="s">
        <v>2548</v>
      </c>
      <c r="E559" s="102" t="s">
        <v>2421</v>
      </c>
      <c r="F559" s="102" t="s">
        <v>1184</v>
      </c>
      <c r="G559" s="102" t="s">
        <v>572</v>
      </c>
      <c r="H559" s="175"/>
      <c r="I559" s="85">
        <f>LOG(J559)</f>
        <v>1.5352941200427705</v>
      </c>
      <c r="J559" s="104">
        <v>34.299999999999997</v>
      </c>
      <c r="K559" s="143"/>
      <c r="L559" s="61">
        <v>153</v>
      </c>
    </row>
    <row r="560" spans="1:15" ht="14" x14ac:dyDescent="0.15">
      <c r="A560" s="61" t="s">
        <v>2633</v>
      </c>
      <c r="B560" s="93" t="s">
        <v>4511</v>
      </c>
      <c r="C560" s="102" t="s">
        <v>3636</v>
      </c>
      <c r="D560" s="62" t="s">
        <v>2548</v>
      </c>
      <c r="E560" s="102" t="s">
        <v>2421</v>
      </c>
      <c r="F560" s="102" t="s">
        <v>2393</v>
      </c>
      <c r="G560" s="102" t="s">
        <v>4512</v>
      </c>
      <c r="H560" s="175"/>
      <c r="I560" s="103">
        <v>-999</v>
      </c>
      <c r="J560" s="98">
        <v>-999</v>
      </c>
      <c r="K560" s="141"/>
      <c r="L560" s="61">
        <v>-999</v>
      </c>
    </row>
    <row r="561" spans="1:15" ht="14" x14ac:dyDescent="0.15">
      <c r="A561" s="61" t="s">
        <v>2633</v>
      </c>
      <c r="B561" s="93" t="s">
        <v>4513</v>
      </c>
      <c r="C561" s="102" t="s">
        <v>3636</v>
      </c>
      <c r="D561" s="62" t="s">
        <v>2548</v>
      </c>
      <c r="E561" s="102" t="s">
        <v>2421</v>
      </c>
      <c r="F561" s="102" t="s">
        <v>2393</v>
      </c>
      <c r="G561" s="102" t="s">
        <v>2122</v>
      </c>
      <c r="H561" s="175"/>
      <c r="I561" s="103">
        <v>-999</v>
      </c>
      <c r="J561" s="98">
        <v>-999</v>
      </c>
      <c r="K561" s="141"/>
      <c r="L561" s="61">
        <v>-999</v>
      </c>
      <c r="O561" s="51"/>
    </row>
    <row r="562" spans="1:15" ht="56" x14ac:dyDescent="0.15">
      <c r="A562" s="62" t="s">
        <v>2633</v>
      </c>
      <c r="B562" s="82" t="s">
        <v>4169</v>
      </c>
      <c r="C562" s="107" t="s">
        <v>3636</v>
      </c>
      <c r="D562" s="62" t="s">
        <v>2548</v>
      </c>
      <c r="E562" s="107" t="s">
        <v>2421</v>
      </c>
      <c r="F562" s="107" t="s">
        <v>2393</v>
      </c>
      <c r="G562" s="107" t="s">
        <v>4170</v>
      </c>
      <c r="H562" s="179"/>
      <c r="I562" s="85">
        <f>LOG(J562)</f>
        <v>1.2247919564926815</v>
      </c>
      <c r="J562" s="104">
        <v>16.78</v>
      </c>
      <c r="K562" s="143"/>
      <c r="L562" s="61">
        <v>153</v>
      </c>
      <c r="O562" s="37" t="s">
        <v>1851</v>
      </c>
    </row>
    <row r="563" spans="1:15" ht="56" x14ac:dyDescent="0.15">
      <c r="A563" s="62" t="s">
        <v>2633</v>
      </c>
      <c r="B563" s="93" t="s">
        <v>4508</v>
      </c>
      <c r="C563" s="102" t="s">
        <v>3636</v>
      </c>
      <c r="D563" s="62" t="s">
        <v>2548</v>
      </c>
      <c r="E563" s="102" t="s">
        <v>2421</v>
      </c>
      <c r="F563" s="102" t="s">
        <v>2393</v>
      </c>
      <c r="G563" s="102" t="s">
        <v>2394</v>
      </c>
      <c r="H563" s="175"/>
      <c r="I563" s="85">
        <f>LOG(J563)</f>
        <v>1.5475285764597821</v>
      </c>
      <c r="J563" s="104">
        <v>35.28</v>
      </c>
      <c r="K563" s="143"/>
      <c r="L563" s="61">
        <v>153</v>
      </c>
    </row>
    <row r="564" spans="1:15" ht="14" x14ac:dyDescent="0.15">
      <c r="A564" s="62" t="s">
        <v>2633</v>
      </c>
      <c r="B564" s="93" t="s">
        <v>445</v>
      </c>
      <c r="C564" s="100" t="s">
        <v>3636</v>
      </c>
      <c r="D564" s="61" t="s">
        <v>2548</v>
      </c>
      <c r="E564" s="100" t="s">
        <v>5973</v>
      </c>
      <c r="F564" s="100" t="s">
        <v>5974</v>
      </c>
      <c r="G564" s="100" t="s">
        <v>5644</v>
      </c>
      <c r="H564" s="177"/>
      <c r="I564" s="103">
        <v>-999</v>
      </c>
      <c r="J564" s="103">
        <v>-999</v>
      </c>
      <c r="K564" s="141"/>
      <c r="L564" s="61">
        <v>-999</v>
      </c>
    </row>
    <row r="565" spans="1:15" ht="14" x14ac:dyDescent="0.15">
      <c r="A565" s="62" t="s">
        <v>2633</v>
      </c>
      <c r="B565" s="93" t="s">
        <v>4416</v>
      </c>
      <c r="C565" s="100" t="s">
        <v>3636</v>
      </c>
      <c r="D565" s="61" t="s">
        <v>2548</v>
      </c>
      <c r="E565" s="100" t="s">
        <v>5973</v>
      </c>
      <c r="F565" s="100" t="s">
        <v>5974</v>
      </c>
      <c r="G565" s="100" t="s">
        <v>4417</v>
      </c>
      <c r="H565" s="177"/>
      <c r="I565" s="85">
        <f t="shared" ref="I565:I575" si="16">LOG(J565)</f>
        <v>0.84198480459011393</v>
      </c>
      <c r="J565" s="101">
        <v>6.95</v>
      </c>
      <c r="K565" s="143"/>
      <c r="L565" s="61">
        <v>153</v>
      </c>
    </row>
    <row r="566" spans="1:15" ht="42" x14ac:dyDescent="0.15">
      <c r="A566" s="62" t="s">
        <v>2633</v>
      </c>
      <c r="B566" s="93" t="s">
        <v>1411</v>
      </c>
      <c r="C566" s="100" t="s">
        <v>3636</v>
      </c>
      <c r="D566" s="61" t="s">
        <v>2548</v>
      </c>
      <c r="E566" s="100" t="s">
        <v>5973</v>
      </c>
      <c r="F566" s="100" t="s">
        <v>5974</v>
      </c>
      <c r="G566" s="100" t="s">
        <v>3324</v>
      </c>
      <c r="H566" s="177"/>
      <c r="I566" s="85">
        <f t="shared" si="16"/>
        <v>0.84198480459011393</v>
      </c>
      <c r="J566" s="101">
        <v>6.95</v>
      </c>
      <c r="K566" s="143"/>
      <c r="L566" s="61">
        <v>153</v>
      </c>
    </row>
    <row r="567" spans="1:15" ht="42" x14ac:dyDescent="0.15">
      <c r="A567" s="62" t="s">
        <v>2633</v>
      </c>
      <c r="B567" s="93" t="s">
        <v>4420</v>
      </c>
      <c r="C567" s="100" t="s">
        <v>3636</v>
      </c>
      <c r="D567" s="61" t="s">
        <v>2548</v>
      </c>
      <c r="E567" s="100" t="s">
        <v>5973</v>
      </c>
      <c r="F567" s="100" t="s">
        <v>5974</v>
      </c>
      <c r="G567" s="100" t="s">
        <v>4421</v>
      </c>
      <c r="H567" s="177"/>
      <c r="I567" s="85">
        <f t="shared" si="16"/>
        <v>0.87794695162918823</v>
      </c>
      <c r="J567" s="101">
        <v>7.55</v>
      </c>
      <c r="K567" s="143"/>
      <c r="L567" s="61">
        <v>153</v>
      </c>
    </row>
    <row r="568" spans="1:15" ht="42" x14ac:dyDescent="0.15">
      <c r="A568" s="62" t="s">
        <v>2633</v>
      </c>
      <c r="B568" s="93" t="s">
        <v>4573</v>
      </c>
      <c r="C568" s="100" t="s">
        <v>3636</v>
      </c>
      <c r="D568" s="61" t="s">
        <v>2548</v>
      </c>
      <c r="E568" s="100" t="s">
        <v>5973</v>
      </c>
      <c r="F568" s="100" t="s">
        <v>5974</v>
      </c>
      <c r="G568" s="100" t="s">
        <v>5147</v>
      </c>
      <c r="H568" s="177"/>
      <c r="I568" s="85">
        <f t="shared" si="16"/>
        <v>0.93613658702149183</v>
      </c>
      <c r="J568" s="101">
        <v>8.6325000000000003</v>
      </c>
      <c r="K568" s="143"/>
      <c r="L568" s="61">
        <v>153</v>
      </c>
      <c r="N568" s="37" t="s">
        <v>1664</v>
      </c>
      <c r="O568" s="37" t="s">
        <v>1665</v>
      </c>
    </row>
    <row r="569" spans="1:15" ht="84" x14ac:dyDescent="0.15">
      <c r="A569" s="62" t="s">
        <v>2633</v>
      </c>
      <c r="B569" s="82" t="s">
        <v>1478</v>
      </c>
      <c r="C569" s="105" t="s">
        <v>3636</v>
      </c>
      <c r="D569" s="61" t="s">
        <v>2548</v>
      </c>
      <c r="E569" s="105" t="s">
        <v>5973</v>
      </c>
      <c r="F569" s="105" t="s">
        <v>5974</v>
      </c>
      <c r="G569" s="105" t="s">
        <v>1401</v>
      </c>
      <c r="H569" s="178"/>
      <c r="I569" s="85">
        <f t="shared" si="16"/>
        <v>0.99166900737994856</v>
      </c>
      <c r="J569" s="101">
        <v>9.81</v>
      </c>
      <c r="K569" s="143"/>
      <c r="L569" s="61">
        <v>153</v>
      </c>
      <c r="N569" s="37" t="s">
        <v>1666</v>
      </c>
      <c r="O569" s="37" t="s">
        <v>1667</v>
      </c>
    </row>
    <row r="570" spans="1:15" ht="28" x14ac:dyDescent="0.15">
      <c r="A570" s="62" t="s">
        <v>2633</v>
      </c>
      <c r="B570" s="93" t="s">
        <v>1846</v>
      </c>
      <c r="C570" s="102" t="s">
        <v>3636</v>
      </c>
      <c r="D570" s="62" t="s">
        <v>2548</v>
      </c>
      <c r="E570" s="102" t="s">
        <v>5973</v>
      </c>
      <c r="F570" s="102" t="s">
        <v>5974</v>
      </c>
      <c r="G570" s="102" t="s">
        <v>512</v>
      </c>
      <c r="H570" s="175"/>
      <c r="I570" s="98">
        <f t="shared" si="16"/>
        <v>1.0273496077747566</v>
      </c>
      <c r="J570" s="106">
        <v>10.65</v>
      </c>
      <c r="K570" s="135"/>
      <c r="L570" s="61">
        <v>231</v>
      </c>
      <c r="M570" s="33"/>
    </row>
    <row r="571" spans="1:15" ht="42" x14ac:dyDescent="0.15">
      <c r="A571" s="62" t="s">
        <v>2633</v>
      </c>
      <c r="B571" s="93" t="s">
        <v>4456</v>
      </c>
      <c r="C571" s="100" t="s">
        <v>3636</v>
      </c>
      <c r="D571" s="61" t="s">
        <v>2548</v>
      </c>
      <c r="E571" s="100" t="s">
        <v>5973</v>
      </c>
      <c r="F571" s="100" t="s">
        <v>5974</v>
      </c>
      <c r="G571" s="100" t="s">
        <v>4457</v>
      </c>
      <c r="H571" s="177"/>
      <c r="I571" s="85">
        <f t="shared" si="16"/>
        <v>1.0773679052841565</v>
      </c>
      <c r="J571" s="101">
        <v>11.95</v>
      </c>
      <c r="K571" s="143"/>
      <c r="L571" s="61">
        <v>153</v>
      </c>
      <c r="O571" s="37" t="s">
        <v>1662</v>
      </c>
    </row>
    <row r="572" spans="1:15" ht="56" x14ac:dyDescent="0.15">
      <c r="A572" s="165" t="s">
        <v>2633</v>
      </c>
      <c r="B572" s="93" t="s">
        <v>611</v>
      </c>
      <c r="C572" s="100" t="s">
        <v>3636</v>
      </c>
      <c r="D572" s="61" t="s">
        <v>2548</v>
      </c>
      <c r="E572" s="100" t="s">
        <v>5973</v>
      </c>
      <c r="F572" s="100" t="s">
        <v>5974</v>
      </c>
      <c r="G572" s="100" t="s">
        <v>3959</v>
      </c>
      <c r="H572" s="177"/>
      <c r="I572" s="85">
        <f t="shared" si="16"/>
        <v>1.1601253848438662</v>
      </c>
      <c r="J572" s="101">
        <v>14.458571428571</v>
      </c>
      <c r="K572" s="143"/>
      <c r="L572" s="61">
        <v>153</v>
      </c>
    </row>
    <row r="573" spans="1:15" ht="56" x14ac:dyDescent="0.15">
      <c r="A573" s="165" t="s">
        <v>2633</v>
      </c>
      <c r="B573" s="93" t="s">
        <v>1845</v>
      </c>
      <c r="C573" s="102" t="s">
        <v>3636</v>
      </c>
      <c r="D573" s="62" t="s">
        <v>2548</v>
      </c>
      <c r="E573" s="102" t="s">
        <v>5973</v>
      </c>
      <c r="F573" s="102" t="s">
        <v>5974</v>
      </c>
      <c r="G573" s="102" t="s">
        <v>6343</v>
      </c>
      <c r="H573" s="175"/>
      <c r="I573" s="85">
        <f t="shared" si="16"/>
        <v>1.4793901932934017</v>
      </c>
      <c r="J573" s="104">
        <v>30.157142857143</v>
      </c>
      <c r="K573" s="143"/>
      <c r="L573" s="61">
        <v>153</v>
      </c>
      <c r="O573" s="37" t="s">
        <v>1663</v>
      </c>
    </row>
    <row r="574" spans="1:15" ht="14" x14ac:dyDescent="0.15">
      <c r="A574" s="165" t="s">
        <v>2633</v>
      </c>
      <c r="B574" s="93" t="s">
        <v>4741</v>
      </c>
      <c r="C574" s="102" t="s">
        <v>3636</v>
      </c>
      <c r="D574" s="62" t="s">
        <v>2548</v>
      </c>
      <c r="E574" s="102" t="s">
        <v>5975</v>
      </c>
      <c r="F574" s="102" t="s">
        <v>4742</v>
      </c>
      <c r="G574" s="102" t="s">
        <v>4743</v>
      </c>
      <c r="H574" s="175"/>
      <c r="I574" s="85">
        <f t="shared" si="16"/>
        <v>1.4749443354653879</v>
      </c>
      <c r="J574" s="104">
        <v>29.85</v>
      </c>
      <c r="K574" s="143"/>
      <c r="L574" s="61">
        <v>153</v>
      </c>
    </row>
    <row r="575" spans="1:15" ht="56" x14ac:dyDescent="0.15">
      <c r="A575" s="165" t="s">
        <v>2633</v>
      </c>
      <c r="B575" s="93" t="s">
        <v>4554</v>
      </c>
      <c r="C575" s="102" t="s">
        <v>3636</v>
      </c>
      <c r="D575" s="62" t="s">
        <v>2548</v>
      </c>
      <c r="E575" s="102" t="s">
        <v>5975</v>
      </c>
      <c r="F575" s="102" t="s">
        <v>4401</v>
      </c>
      <c r="G575" s="102" t="s">
        <v>4402</v>
      </c>
      <c r="H575" s="175"/>
      <c r="I575" s="85">
        <f t="shared" si="16"/>
        <v>2.4036603357360535</v>
      </c>
      <c r="J575" s="104">
        <v>253.31466666666</v>
      </c>
      <c r="K575" s="144"/>
      <c r="L575" s="61">
        <v>153</v>
      </c>
      <c r="N575" s="37" t="s">
        <v>1816</v>
      </c>
      <c r="O575" s="37" t="s">
        <v>1817</v>
      </c>
    </row>
    <row r="576" spans="1:15" ht="14" x14ac:dyDescent="0.15">
      <c r="A576" s="165" t="s">
        <v>2633</v>
      </c>
      <c r="B576" s="93" t="s">
        <v>4247</v>
      </c>
      <c r="C576" s="102" t="s">
        <v>3636</v>
      </c>
      <c r="D576" s="62" t="s">
        <v>2548</v>
      </c>
      <c r="E576" s="100" t="s">
        <v>5975</v>
      </c>
      <c r="F576" s="102" t="s">
        <v>4404</v>
      </c>
      <c r="G576" s="102" t="s">
        <v>4728</v>
      </c>
      <c r="H576" s="175"/>
      <c r="I576" s="98">
        <v>-999</v>
      </c>
      <c r="J576" s="98">
        <v>-999</v>
      </c>
      <c r="K576" s="135"/>
      <c r="L576" s="61">
        <v>-999</v>
      </c>
    </row>
    <row r="577" spans="1:16" ht="28" x14ac:dyDescent="0.15">
      <c r="A577" s="165" t="s">
        <v>2633</v>
      </c>
      <c r="B577" s="93" t="s">
        <v>4248</v>
      </c>
      <c r="C577" s="102" t="s">
        <v>3636</v>
      </c>
      <c r="D577" s="62" t="s">
        <v>2548</v>
      </c>
      <c r="E577" s="100" t="s">
        <v>5975</v>
      </c>
      <c r="F577" s="102" t="s">
        <v>4404</v>
      </c>
      <c r="G577" s="102" t="s">
        <v>3989</v>
      </c>
      <c r="H577" s="175"/>
      <c r="I577" s="98">
        <v>-999</v>
      </c>
      <c r="J577" s="98">
        <v>-999</v>
      </c>
      <c r="K577" s="135"/>
      <c r="L577" s="61">
        <v>-999</v>
      </c>
    </row>
    <row r="578" spans="1:16" ht="28" x14ac:dyDescent="0.15">
      <c r="A578" s="165" t="s">
        <v>2633</v>
      </c>
      <c r="B578" s="93" t="s">
        <v>4403</v>
      </c>
      <c r="C578" s="102" t="s">
        <v>3636</v>
      </c>
      <c r="D578" s="62" t="s">
        <v>2548</v>
      </c>
      <c r="E578" s="102" t="s">
        <v>5975</v>
      </c>
      <c r="F578" s="102" t="s">
        <v>4404</v>
      </c>
      <c r="G578" s="102" t="s">
        <v>6343</v>
      </c>
      <c r="H578" s="175"/>
      <c r="I578" s="85">
        <f t="shared" ref="I578:I586" si="17">LOG(J578)</f>
        <v>1.6864762836000371</v>
      </c>
      <c r="J578" s="104">
        <v>48.582099999999997</v>
      </c>
      <c r="K578" s="144"/>
      <c r="L578" s="61">
        <v>153</v>
      </c>
    </row>
    <row r="579" spans="1:16" ht="42" x14ac:dyDescent="0.15">
      <c r="A579" s="165" t="s">
        <v>2633</v>
      </c>
      <c r="B579" s="93" t="s">
        <v>4405</v>
      </c>
      <c r="C579" s="102" t="s">
        <v>3636</v>
      </c>
      <c r="D579" s="62" t="s">
        <v>2548</v>
      </c>
      <c r="E579" s="102" t="s">
        <v>5975</v>
      </c>
      <c r="F579" s="102" t="s">
        <v>4404</v>
      </c>
      <c r="G579" s="102" t="s">
        <v>2223</v>
      </c>
      <c r="H579" s="175"/>
      <c r="I579" s="85">
        <f t="shared" si="17"/>
        <v>1.7990275749934106</v>
      </c>
      <c r="J579" s="104">
        <v>62.954615384615003</v>
      </c>
      <c r="K579" s="144"/>
      <c r="L579" s="61">
        <v>153</v>
      </c>
      <c r="N579" s="37" t="s">
        <v>1821</v>
      </c>
      <c r="O579" s="37" t="s">
        <v>1822</v>
      </c>
      <c r="P579" s="37" t="s">
        <v>1823</v>
      </c>
    </row>
    <row r="580" spans="1:16" ht="56" x14ac:dyDescent="0.15">
      <c r="A580" s="165" t="s">
        <v>2633</v>
      </c>
      <c r="B580" s="93" t="s">
        <v>4532</v>
      </c>
      <c r="C580" s="102" t="s">
        <v>3636</v>
      </c>
      <c r="D580" s="62" t="s">
        <v>2548</v>
      </c>
      <c r="E580" s="102" t="s">
        <v>5975</v>
      </c>
      <c r="F580" s="102" t="s">
        <v>4404</v>
      </c>
      <c r="G580" s="102" t="s">
        <v>4389</v>
      </c>
      <c r="H580" s="175"/>
      <c r="I580" s="85">
        <f t="shared" si="17"/>
        <v>1.9618196077436636</v>
      </c>
      <c r="J580" s="104">
        <v>91.584000000000003</v>
      </c>
      <c r="K580" s="144"/>
      <c r="L580" s="61">
        <v>153</v>
      </c>
    </row>
    <row r="581" spans="1:16" ht="42" x14ac:dyDescent="0.15">
      <c r="A581" s="165" t="s">
        <v>2633</v>
      </c>
      <c r="B581" s="93" t="s">
        <v>4390</v>
      </c>
      <c r="C581" s="102" t="s">
        <v>3636</v>
      </c>
      <c r="D581" s="62" t="s">
        <v>2548</v>
      </c>
      <c r="E581" s="102" t="s">
        <v>5975</v>
      </c>
      <c r="F581" s="102" t="s">
        <v>4404</v>
      </c>
      <c r="G581" s="102" t="s">
        <v>4717</v>
      </c>
      <c r="H581" s="175"/>
      <c r="I581" s="85">
        <f t="shared" si="17"/>
        <v>2.1101405949728491</v>
      </c>
      <c r="J581" s="104">
        <v>128.86666666666</v>
      </c>
      <c r="K581" s="144"/>
      <c r="L581" s="61">
        <v>153</v>
      </c>
      <c r="N581" s="37" t="s">
        <v>1824</v>
      </c>
      <c r="O581" s="37" t="s">
        <v>1825</v>
      </c>
    </row>
    <row r="582" spans="1:16" ht="42" x14ac:dyDescent="0.15">
      <c r="A582" s="165" t="s">
        <v>2633</v>
      </c>
      <c r="B582" s="93" t="s">
        <v>4689</v>
      </c>
      <c r="C582" s="102" t="s">
        <v>3636</v>
      </c>
      <c r="D582" s="62" t="s">
        <v>2548</v>
      </c>
      <c r="E582" s="100" t="s">
        <v>5975</v>
      </c>
      <c r="F582" s="102" t="s">
        <v>4684</v>
      </c>
      <c r="G582" s="102" t="s">
        <v>4235</v>
      </c>
      <c r="H582" s="175"/>
      <c r="I582" s="85">
        <f t="shared" si="17"/>
        <v>2.0752801827948364</v>
      </c>
      <c r="J582" s="104">
        <v>118.92692307692</v>
      </c>
      <c r="K582" s="144"/>
      <c r="L582" s="61">
        <v>153</v>
      </c>
      <c r="N582" s="37" t="s">
        <v>1826</v>
      </c>
      <c r="O582" s="37" t="s">
        <v>1827</v>
      </c>
    </row>
    <row r="583" spans="1:16" ht="42" x14ac:dyDescent="0.15">
      <c r="A583" s="165" t="s">
        <v>2633</v>
      </c>
      <c r="B583" s="93" t="s">
        <v>528</v>
      </c>
      <c r="C583" s="102" t="s">
        <v>3636</v>
      </c>
      <c r="D583" s="62" t="s">
        <v>2548</v>
      </c>
      <c r="E583" s="102" t="s">
        <v>5975</v>
      </c>
      <c r="F583" s="102" t="s">
        <v>4684</v>
      </c>
      <c r="G583" s="102" t="s">
        <v>5059</v>
      </c>
      <c r="H583" s="175"/>
      <c r="I583" s="85">
        <f t="shared" si="17"/>
        <v>2.0791812460476247</v>
      </c>
      <c r="J583" s="104">
        <v>120</v>
      </c>
      <c r="K583" s="144"/>
      <c r="L583" s="61">
        <v>153</v>
      </c>
    </row>
    <row r="584" spans="1:16" ht="14" x14ac:dyDescent="0.15">
      <c r="A584" s="165" t="s">
        <v>2633</v>
      </c>
      <c r="B584" s="93" t="s">
        <v>529</v>
      </c>
      <c r="C584" s="102" t="s">
        <v>3636</v>
      </c>
      <c r="D584" s="62" t="s">
        <v>2548</v>
      </c>
      <c r="E584" s="102" t="s">
        <v>5975</v>
      </c>
      <c r="F584" s="102" t="s">
        <v>4684</v>
      </c>
      <c r="G584" s="102" t="s">
        <v>2030</v>
      </c>
      <c r="H584" s="175"/>
      <c r="I584" s="85">
        <f t="shared" si="17"/>
        <v>2.1265859279543382</v>
      </c>
      <c r="J584" s="104">
        <v>133.84</v>
      </c>
      <c r="K584" s="144"/>
      <c r="L584" s="61">
        <v>153</v>
      </c>
    </row>
    <row r="585" spans="1:16" ht="42" x14ac:dyDescent="0.15">
      <c r="A585" s="165" t="s">
        <v>2633</v>
      </c>
      <c r="B585" s="93" t="s">
        <v>721</v>
      </c>
      <c r="C585" s="102" t="s">
        <v>3636</v>
      </c>
      <c r="D585" s="62" t="s">
        <v>2548</v>
      </c>
      <c r="E585" s="102" t="s">
        <v>5975</v>
      </c>
      <c r="F585" s="102" t="s">
        <v>722</v>
      </c>
      <c r="G585" s="102" t="s">
        <v>723</v>
      </c>
      <c r="H585" s="175"/>
      <c r="I585" s="85">
        <f t="shared" si="17"/>
        <v>2.5251528270552819</v>
      </c>
      <c r="J585" s="104">
        <v>335.08333333333002</v>
      </c>
      <c r="K585" s="144"/>
      <c r="L585" s="61">
        <v>153</v>
      </c>
      <c r="N585" s="37" t="s">
        <v>1814</v>
      </c>
      <c r="O585" s="37" t="s">
        <v>1815</v>
      </c>
    </row>
    <row r="586" spans="1:16" ht="28" x14ac:dyDescent="0.15">
      <c r="A586" s="165" t="s">
        <v>2633</v>
      </c>
      <c r="B586" s="93" t="s">
        <v>2614</v>
      </c>
      <c r="C586" s="102" t="s">
        <v>3636</v>
      </c>
      <c r="D586" s="62" t="s">
        <v>2548</v>
      </c>
      <c r="E586" s="100" t="s">
        <v>5975</v>
      </c>
      <c r="F586" s="102" t="s">
        <v>2615</v>
      </c>
      <c r="G586" s="102" t="s">
        <v>2616</v>
      </c>
      <c r="H586" s="175"/>
      <c r="I586" s="85">
        <f t="shared" si="17"/>
        <v>1.1947125141340975</v>
      </c>
      <c r="J586" s="104">
        <v>15.657142857143</v>
      </c>
      <c r="K586" s="144"/>
      <c r="L586" s="61">
        <v>153</v>
      </c>
      <c r="N586" s="37" t="s">
        <v>1835</v>
      </c>
      <c r="O586" s="37" t="s">
        <v>1836</v>
      </c>
    </row>
    <row r="587" spans="1:16" ht="14" x14ac:dyDescent="0.15">
      <c r="A587" s="165" t="s">
        <v>2633</v>
      </c>
      <c r="B587" s="93" t="s">
        <v>2521</v>
      </c>
      <c r="C587" s="102" t="s">
        <v>3636</v>
      </c>
      <c r="D587" s="62" t="s">
        <v>2548</v>
      </c>
      <c r="E587" s="100" t="s">
        <v>5975</v>
      </c>
      <c r="F587" s="102" t="s">
        <v>475</v>
      </c>
      <c r="G587" s="102" t="s">
        <v>3406</v>
      </c>
      <c r="H587" s="175"/>
      <c r="I587" s="98">
        <v>-999</v>
      </c>
      <c r="J587" s="98">
        <v>-999</v>
      </c>
      <c r="K587" s="135"/>
      <c r="L587" s="61">
        <v>-999</v>
      </c>
    </row>
    <row r="588" spans="1:16" ht="42" x14ac:dyDescent="0.15">
      <c r="A588" s="165" t="s">
        <v>2633</v>
      </c>
      <c r="B588" s="93" t="s">
        <v>4341</v>
      </c>
      <c r="C588" s="102" t="s">
        <v>3636</v>
      </c>
      <c r="D588" s="62" t="s">
        <v>2548</v>
      </c>
      <c r="E588" s="102" t="s">
        <v>5975</v>
      </c>
      <c r="F588" s="102" t="s">
        <v>475</v>
      </c>
      <c r="G588" s="102" t="s">
        <v>4291</v>
      </c>
      <c r="H588" s="175"/>
      <c r="I588" s="85">
        <f t="shared" ref="I588:I597" si="18">LOG(J588)</f>
        <v>1.4243370666764554</v>
      </c>
      <c r="J588" s="104">
        <v>26.566666666667</v>
      </c>
      <c r="K588" s="144"/>
      <c r="L588" s="61">
        <v>153</v>
      </c>
      <c r="N588" s="37" t="s">
        <v>1828</v>
      </c>
      <c r="O588" s="37" t="s">
        <v>1829</v>
      </c>
    </row>
    <row r="589" spans="1:16" ht="42" x14ac:dyDescent="0.15">
      <c r="A589" s="165" t="s">
        <v>2633</v>
      </c>
      <c r="B589" s="93" t="s">
        <v>2522</v>
      </c>
      <c r="C589" s="102" t="s">
        <v>3636</v>
      </c>
      <c r="D589" s="62" t="s">
        <v>2548</v>
      </c>
      <c r="E589" s="102" t="s">
        <v>5975</v>
      </c>
      <c r="F589" s="102" t="s">
        <v>2523</v>
      </c>
      <c r="G589" s="102" t="s">
        <v>2524</v>
      </c>
      <c r="H589" s="175"/>
      <c r="I589" s="85">
        <f t="shared" si="18"/>
        <v>1.6255696582430463</v>
      </c>
      <c r="J589" s="104">
        <v>42.225000000000001</v>
      </c>
      <c r="K589" s="144"/>
      <c r="L589" s="61">
        <v>153</v>
      </c>
      <c r="N589" s="37" t="s">
        <v>1834</v>
      </c>
      <c r="O589" s="37" t="s">
        <v>7325</v>
      </c>
    </row>
    <row r="590" spans="1:16" ht="42" x14ac:dyDescent="0.15">
      <c r="A590" s="165" t="s">
        <v>2633</v>
      </c>
      <c r="B590" s="93" t="s">
        <v>718</v>
      </c>
      <c r="C590" s="102" t="s">
        <v>3636</v>
      </c>
      <c r="D590" s="62" t="s">
        <v>2548</v>
      </c>
      <c r="E590" s="102" t="s">
        <v>5975</v>
      </c>
      <c r="F590" s="102" t="s">
        <v>2523</v>
      </c>
      <c r="G590" s="102" t="s">
        <v>4758</v>
      </c>
      <c r="H590" s="175"/>
      <c r="I590" s="85">
        <f t="shared" si="18"/>
        <v>1.7160033436347992</v>
      </c>
      <c r="J590" s="104">
        <v>52</v>
      </c>
      <c r="K590" s="144"/>
      <c r="L590" s="61">
        <v>153</v>
      </c>
    </row>
    <row r="591" spans="1:16" ht="28" x14ac:dyDescent="0.15">
      <c r="A591" s="165" t="s">
        <v>2633</v>
      </c>
      <c r="B591" s="93" t="s">
        <v>4890</v>
      </c>
      <c r="C591" s="102" t="s">
        <v>3636</v>
      </c>
      <c r="D591" s="62" t="s">
        <v>2548</v>
      </c>
      <c r="E591" s="100" t="s">
        <v>5975</v>
      </c>
      <c r="F591" s="102" t="s">
        <v>4891</v>
      </c>
      <c r="G591" s="102" t="s">
        <v>4892</v>
      </c>
      <c r="H591" s="175"/>
      <c r="I591" s="85">
        <f t="shared" si="18"/>
        <v>1.3293978793610426</v>
      </c>
      <c r="J591" s="104">
        <v>21.35</v>
      </c>
      <c r="K591" s="144"/>
      <c r="L591" s="61">
        <v>153</v>
      </c>
      <c r="N591" s="37" t="s">
        <v>1830</v>
      </c>
      <c r="O591" s="37" t="s">
        <v>1831</v>
      </c>
    </row>
    <row r="592" spans="1:16" ht="14" x14ac:dyDescent="0.15">
      <c r="A592" s="165" t="s">
        <v>2633</v>
      </c>
      <c r="B592" s="93" t="s">
        <v>757</v>
      </c>
      <c r="C592" s="102" t="s">
        <v>3636</v>
      </c>
      <c r="D592" s="62" t="s">
        <v>2548</v>
      </c>
      <c r="E592" s="100" t="s">
        <v>5975</v>
      </c>
      <c r="F592" s="102" t="s">
        <v>758</v>
      </c>
      <c r="G592" s="102" t="s">
        <v>662</v>
      </c>
      <c r="H592" s="175"/>
      <c r="I592" s="98">
        <f t="shared" si="18"/>
        <v>1.5797835966168101</v>
      </c>
      <c r="J592" s="98">
        <v>38</v>
      </c>
      <c r="K592" s="135"/>
      <c r="L592" s="61">
        <v>70</v>
      </c>
    </row>
    <row r="593" spans="1:15" ht="42" x14ac:dyDescent="0.15">
      <c r="A593" s="165" t="s">
        <v>2633</v>
      </c>
      <c r="B593" s="93" t="s">
        <v>2730</v>
      </c>
      <c r="C593" s="102" t="s">
        <v>3636</v>
      </c>
      <c r="D593" s="62" t="s">
        <v>2548</v>
      </c>
      <c r="E593" s="102" t="s">
        <v>5975</v>
      </c>
      <c r="F593" s="102" t="s">
        <v>2582</v>
      </c>
      <c r="G593" s="102" t="s">
        <v>4728</v>
      </c>
      <c r="H593" s="175"/>
      <c r="I593" s="85">
        <f t="shared" si="18"/>
        <v>1.8727388274726688</v>
      </c>
      <c r="J593" s="104">
        <v>74.599999999999994</v>
      </c>
      <c r="K593" s="144"/>
      <c r="L593" s="61">
        <v>153</v>
      </c>
      <c r="N593" s="37" t="s">
        <v>1721</v>
      </c>
      <c r="O593" s="37" t="s">
        <v>1820</v>
      </c>
    </row>
    <row r="594" spans="1:15" ht="42" x14ac:dyDescent="0.15">
      <c r="A594" s="165" t="s">
        <v>2633</v>
      </c>
      <c r="B594" s="93" t="s">
        <v>679</v>
      </c>
      <c r="C594" s="102" t="s">
        <v>3636</v>
      </c>
      <c r="D594" s="62" t="s">
        <v>2548</v>
      </c>
      <c r="E594" s="102" t="s">
        <v>5975</v>
      </c>
      <c r="F594" s="102" t="s">
        <v>2582</v>
      </c>
      <c r="G594" s="102" t="s">
        <v>3246</v>
      </c>
      <c r="H594" s="175"/>
      <c r="I594" s="85">
        <f t="shared" si="18"/>
        <v>2.012837224705172</v>
      </c>
      <c r="J594" s="104">
        <v>103</v>
      </c>
      <c r="K594" s="144"/>
      <c r="L594" s="61">
        <v>153</v>
      </c>
    </row>
    <row r="595" spans="1:15" ht="56" x14ac:dyDescent="0.15">
      <c r="A595" s="165" t="s">
        <v>2633</v>
      </c>
      <c r="B595" s="93" t="s">
        <v>680</v>
      </c>
      <c r="C595" s="102" t="s">
        <v>3636</v>
      </c>
      <c r="D595" s="62" t="s">
        <v>2548</v>
      </c>
      <c r="E595" s="102" t="s">
        <v>5975</v>
      </c>
      <c r="F595" s="102" t="s">
        <v>2582</v>
      </c>
      <c r="G595" s="102" t="s">
        <v>1213</v>
      </c>
      <c r="H595" s="175"/>
      <c r="I595" s="85">
        <f t="shared" si="18"/>
        <v>2.1213570449860772</v>
      </c>
      <c r="J595" s="104">
        <v>132.23823529411001</v>
      </c>
      <c r="K595" s="144"/>
      <c r="L595" s="61">
        <v>153</v>
      </c>
      <c r="N595" s="37" t="s">
        <v>1818</v>
      </c>
      <c r="O595" s="37" t="s">
        <v>1819</v>
      </c>
    </row>
    <row r="596" spans="1:15" ht="28" x14ac:dyDescent="0.15">
      <c r="A596" s="165" t="s">
        <v>2633</v>
      </c>
      <c r="B596" s="93" t="s">
        <v>828</v>
      </c>
      <c r="C596" s="102" t="s">
        <v>3636</v>
      </c>
      <c r="D596" s="62" t="s">
        <v>2548</v>
      </c>
      <c r="E596" s="100" t="s">
        <v>5975</v>
      </c>
      <c r="F596" s="102" t="s">
        <v>829</v>
      </c>
      <c r="G596" s="102" t="s">
        <v>3217</v>
      </c>
      <c r="H596" s="175"/>
      <c r="I596" s="85">
        <f t="shared" si="18"/>
        <v>1.3185850100788252</v>
      </c>
      <c r="J596" s="104">
        <v>20.824999999999999</v>
      </c>
      <c r="K596" s="144"/>
      <c r="L596" s="61">
        <v>153</v>
      </c>
      <c r="N596" s="37" t="s">
        <v>1832</v>
      </c>
      <c r="O596" s="37" t="s">
        <v>1833</v>
      </c>
    </row>
    <row r="597" spans="1:15" ht="14" x14ac:dyDescent="0.15">
      <c r="A597" s="62" t="s">
        <v>2633</v>
      </c>
      <c r="B597" s="93" t="s">
        <v>743</v>
      </c>
      <c r="C597" s="102" t="s">
        <v>3636</v>
      </c>
      <c r="D597" s="62" t="s">
        <v>2548</v>
      </c>
      <c r="E597" s="102" t="s">
        <v>5975</v>
      </c>
      <c r="F597" s="102" t="s">
        <v>829</v>
      </c>
      <c r="G597" s="102" t="s">
        <v>744</v>
      </c>
      <c r="H597" s="175"/>
      <c r="I597" s="85">
        <f t="shared" si="18"/>
        <v>1.8293037728310249</v>
      </c>
      <c r="J597" s="104">
        <v>67.5</v>
      </c>
      <c r="K597" s="144"/>
      <c r="L597" s="61">
        <v>153</v>
      </c>
    </row>
    <row r="598" spans="1:15" ht="28" x14ac:dyDescent="0.15">
      <c r="A598" s="165" t="s">
        <v>2633</v>
      </c>
      <c r="B598" s="93" t="s">
        <v>856</v>
      </c>
      <c r="C598" s="102" t="s">
        <v>3636</v>
      </c>
      <c r="D598" s="62" t="s">
        <v>2548</v>
      </c>
      <c r="E598" s="102" t="s">
        <v>1605</v>
      </c>
      <c r="F598" s="102" t="s">
        <v>2603</v>
      </c>
      <c r="G598" s="102" t="s">
        <v>2569</v>
      </c>
      <c r="H598" s="175"/>
      <c r="I598" s="98">
        <v>-999</v>
      </c>
      <c r="J598" s="98">
        <v>-999</v>
      </c>
      <c r="K598" s="135"/>
      <c r="L598" s="61">
        <v>-999</v>
      </c>
    </row>
    <row r="599" spans="1:15" ht="84" x14ac:dyDescent="0.15">
      <c r="A599" s="165" t="s">
        <v>2633</v>
      </c>
      <c r="B599" s="93" t="s">
        <v>2698</v>
      </c>
      <c r="C599" s="102" t="s">
        <v>3636</v>
      </c>
      <c r="D599" s="62" t="s">
        <v>2548</v>
      </c>
      <c r="E599" s="102" t="s">
        <v>1605</v>
      </c>
      <c r="F599" s="102" t="s">
        <v>2603</v>
      </c>
      <c r="G599" s="102" t="s">
        <v>2681</v>
      </c>
      <c r="H599" s="175"/>
      <c r="I599" s="85">
        <f>LOG(J599)</f>
        <v>1.0765621689608755</v>
      </c>
      <c r="J599" s="104">
        <v>11.927849999999999</v>
      </c>
      <c r="K599" s="144"/>
      <c r="L599" s="61">
        <v>153</v>
      </c>
    </row>
    <row r="600" spans="1:15" ht="70" x14ac:dyDescent="0.15">
      <c r="A600" s="165" t="s">
        <v>2633</v>
      </c>
      <c r="B600" s="93" t="s">
        <v>1763</v>
      </c>
      <c r="C600" s="102" t="s">
        <v>3636</v>
      </c>
      <c r="D600" s="62" t="s">
        <v>2548</v>
      </c>
      <c r="E600" s="102" t="s">
        <v>1605</v>
      </c>
      <c r="F600" s="102" t="s">
        <v>4408</v>
      </c>
      <c r="G600" s="102" t="s">
        <v>6289</v>
      </c>
      <c r="H600" s="175"/>
      <c r="I600" s="85">
        <f>LOG(J600)</f>
        <v>0.60745502321466849</v>
      </c>
      <c r="J600" s="104">
        <v>4.05</v>
      </c>
      <c r="K600" s="144"/>
      <c r="L600" s="61">
        <v>153</v>
      </c>
    </row>
    <row r="601" spans="1:15" ht="28" x14ac:dyDescent="0.15">
      <c r="A601" s="165" t="s">
        <v>2633</v>
      </c>
      <c r="B601" s="93" t="s">
        <v>763</v>
      </c>
      <c r="C601" s="102" t="s">
        <v>3636</v>
      </c>
      <c r="D601" s="62" t="s">
        <v>2548</v>
      </c>
      <c r="E601" s="102" t="s">
        <v>1605</v>
      </c>
      <c r="F601" s="102" t="s">
        <v>1641</v>
      </c>
      <c r="G601" s="102" t="s">
        <v>764</v>
      </c>
      <c r="H601" s="175"/>
      <c r="I601" s="98">
        <v>-999</v>
      </c>
      <c r="J601" s="98">
        <v>-999</v>
      </c>
      <c r="K601" s="135"/>
      <c r="L601" s="61">
        <v>-999</v>
      </c>
      <c r="O601" s="37" t="s">
        <v>1674</v>
      </c>
    </row>
    <row r="602" spans="1:15" ht="28" x14ac:dyDescent="0.15">
      <c r="A602" s="165" t="s">
        <v>2633</v>
      </c>
      <c r="B602" s="93" t="s">
        <v>496</v>
      </c>
      <c r="C602" s="102" t="s">
        <v>3636</v>
      </c>
      <c r="D602" s="62" t="s">
        <v>2548</v>
      </c>
      <c r="E602" s="102" t="s">
        <v>1605</v>
      </c>
      <c r="F602" s="102" t="s">
        <v>1641</v>
      </c>
      <c r="G602" s="102" t="s">
        <v>583</v>
      </c>
      <c r="H602" s="175"/>
      <c r="I602" s="103">
        <v>-999</v>
      </c>
      <c r="J602" s="103">
        <v>-999</v>
      </c>
      <c r="K602" s="135"/>
      <c r="L602" s="61">
        <v>-999</v>
      </c>
    </row>
    <row r="603" spans="1:15" ht="28" x14ac:dyDescent="0.15">
      <c r="A603" s="165" t="s">
        <v>2633</v>
      </c>
      <c r="B603" s="93" t="s">
        <v>674</v>
      </c>
      <c r="C603" s="102" t="s">
        <v>3636</v>
      </c>
      <c r="D603" s="62" t="s">
        <v>2548</v>
      </c>
      <c r="E603" s="102" t="s">
        <v>1605</v>
      </c>
      <c r="F603" s="102" t="s">
        <v>1641</v>
      </c>
      <c r="G603" s="102" t="s">
        <v>675</v>
      </c>
      <c r="H603" s="175"/>
      <c r="I603" s="98">
        <v>-999</v>
      </c>
      <c r="J603" s="98">
        <v>-999</v>
      </c>
      <c r="K603" s="135"/>
      <c r="L603" s="61">
        <v>-999</v>
      </c>
    </row>
    <row r="604" spans="1:15" ht="14" x14ac:dyDescent="0.15">
      <c r="A604" s="165" t="s">
        <v>2633</v>
      </c>
      <c r="B604" s="93" t="s">
        <v>2266</v>
      </c>
      <c r="C604" s="102" t="s">
        <v>3636</v>
      </c>
      <c r="D604" s="62" t="s">
        <v>2548</v>
      </c>
      <c r="E604" s="102" t="s">
        <v>1605</v>
      </c>
      <c r="F604" s="102" t="s">
        <v>1641</v>
      </c>
      <c r="G604" s="102" t="s">
        <v>4243</v>
      </c>
      <c r="H604" s="175"/>
      <c r="I604" s="98">
        <v>-999</v>
      </c>
      <c r="J604" s="98">
        <v>-999</v>
      </c>
      <c r="K604" s="135"/>
      <c r="L604" s="61">
        <v>-999</v>
      </c>
    </row>
    <row r="605" spans="1:15" ht="42" x14ac:dyDescent="0.15">
      <c r="A605" s="62" t="s">
        <v>2633</v>
      </c>
      <c r="B605" s="93" t="s">
        <v>1866</v>
      </c>
      <c r="C605" s="102" t="s">
        <v>3636</v>
      </c>
      <c r="D605" s="62" t="s">
        <v>2548</v>
      </c>
      <c r="E605" s="102" t="s">
        <v>1605</v>
      </c>
      <c r="F605" s="102" t="s">
        <v>1641</v>
      </c>
      <c r="G605" s="102" t="s">
        <v>4124</v>
      </c>
      <c r="H605" s="175"/>
      <c r="I605" s="98">
        <v>-999</v>
      </c>
      <c r="J605" s="98">
        <v>-999</v>
      </c>
      <c r="K605" s="135"/>
      <c r="L605" s="61">
        <v>-999</v>
      </c>
    </row>
    <row r="606" spans="1:15" ht="14" x14ac:dyDescent="0.15">
      <c r="A606" s="165" t="s">
        <v>2633</v>
      </c>
      <c r="B606" s="93" t="s">
        <v>814</v>
      </c>
      <c r="C606" s="102" t="s">
        <v>3636</v>
      </c>
      <c r="D606" s="62" t="s">
        <v>2548</v>
      </c>
      <c r="E606" s="102" t="s">
        <v>1605</v>
      </c>
      <c r="F606" s="102" t="s">
        <v>1641</v>
      </c>
      <c r="G606" s="102" t="s">
        <v>665</v>
      </c>
      <c r="H606" s="175"/>
      <c r="I606" s="98">
        <v>-999</v>
      </c>
      <c r="J606" s="98">
        <v>-999</v>
      </c>
      <c r="K606" s="135"/>
      <c r="L606" s="61">
        <v>-999</v>
      </c>
    </row>
    <row r="607" spans="1:15" ht="28" x14ac:dyDescent="0.15">
      <c r="A607" s="165" t="s">
        <v>2633</v>
      </c>
      <c r="B607" s="93" t="s">
        <v>592</v>
      </c>
      <c r="C607" s="102" t="s">
        <v>3636</v>
      </c>
      <c r="D607" s="62" t="s">
        <v>2548</v>
      </c>
      <c r="E607" s="102" t="s">
        <v>1605</v>
      </c>
      <c r="F607" s="102" t="s">
        <v>1641</v>
      </c>
      <c r="G607" s="102" t="s">
        <v>1913</v>
      </c>
      <c r="H607" s="175"/>
      <c r="I607" s="98">
        <v>-999</v>
      </c>
      <c r="J607" s="98">
        <v>-999</v>
      </c>
      <c r="K607" s="135"/>
      <c r="L607" s="61">
        <v>-999</v>
      </c>
    </row>
    <row r="608" spans="1:15" ht="42" x14ac:dyDescent="0.15">
      <c r="A608" s="165" t="s">
        <v>2633</v>
      </c>
      <c r="B608" s="93" t="s">
        <v>639</v>
      </c>
      <c r="C608" s="102" t="s">
        <v>3636</v>
      </c>
      <c r="D608" s="62" t="s">
        <v>2548</v>
      </c>
      <c r="E608" s="102" t="s">
        <v>1605</v>
      </c>
      <c r="F608" s="102" t="s">
        <v>1641</v>
      </c>
      <c r="G608" s="102" t="s">
        <v>720</v>
      </c>
      <c r="H608" s="175"/>
      <c r="I608" s="85">
        <f t="shared" ref="I608:I613" si="19">LOG(J608)</f>
        <v>0.74036268949424389</v>
      </c>
      <c r="J608" s="104">
        <v>5.5</v>
      </c>
      <c r="K608" s="144"/>
      <c r="L608" s="61">
        <v>153</v>
      </c>
      <c r="N608" s="37" t="s">
        <v>1730</v>
      </c>
      <c r="O608" s="37" t="s">
        <v>1681</v>
      </c>
    </row>
    <row r="609" spans="1:18" ht="84" x14ac:dyDescent="0.15">
      <c r="A609" s="165" t="s">
        <v>2633</v>
      </c>
      <c r="B609" s="93" t="s">
        <v>634</v>
      </c>
      <c r="C609" s="102" t="s">
        <v>3636</v>
      </c>
      <c r="D609" s="62" t="s">
        <v>2548</v>
      </c>
      <c r="E609" s="102" t="s">
        <v>1605</v>
      </c>
      <c r="F609" s="102" t="s">
        <v>1641</v>
      </c>
      <c r="G609" s="102" t="s">
        <v>3201</v>
      </c>
      <c r="H609" s="175"/>
      <c r="I609" s="85">
        <f t="shared" si="19"/>
        <v>0.82282164530310464</v>
      </c>
      <c r="J609" s="104">
        <v>6.65</v>
      </c>
      <c r="K609" s="144"/>
      <c r="L609" s="61">
        <v>153</v>
      </c>
      <c r="N609" s="37" t="s">
        <v>1678</v>
      </c>
      <c r="O609" s="37" t="s">
        <v>1675</v>
      </c>
    </row>
    <row r="610" spans="1:18" ht="70" x14ac:dyDescent="0.15">
      <c r="A610" s="165" t="s">
        <v>2633</v>
      </c>
      <c r="B610" s="93" t="s">
        <v>547</v>
      </c>
      <c r="C610" s="102" t="s">
        <v>3636</v>
      </c>
      <c r="D610" s="62" t="s">
        <v>2548</v>
      </c>
      <c r="E610" s="102" t="s">
        <v>1605</v>
      </c>
      <c r="F610" s="102" t="s">
        <v>1641</v>
      </c>
      <c r="G610" s="102" t="s">
        <v>6270</v>
      </c>
      <c r="H610" s="175"/>
      <c r="I610" s="85">
        <f t="shared" si="19"/>
        <v>0.97530048268973135</v>
      </c>
      <c r="J610" s="104">
        <v>9.4471428571429996</v>
      </c>
      <c r="K610" s="144"/>
      <c r="L610" s="61">
        <v>153</v>
      </c>
      <c r="N610" s="37" t="s">
        <v>1676</v>
      </c>
      <c r="O610" s="37" t="s">
        <v>1677</v>
      </c>
    </row>
    <row r="611" spans="1:18" ht="56" x14ac:dyDescent="0.15">
      <c r="A611" s="165" t="s">
        <v>2633</v>
      </c>
      <c r="B611" s="93" t="s">
        <v>2800</v>
      </c>
      <c r="C611" s="102" t="s">
        <v>3636</v>
      </c>
      <c r="D611" s="62" t="s">
        <v>2548</v>
      </c>
      <c r="E611" s="102" t="s">
        <v>1605</v>
      </c>
      <c r="F611" s="102" t="s">
        <v>1641</v>
      </c>
      <c r="G611" s="102" t="s">
        <v>2801</v>
      </c>
      <c r="H611" s="175"/>
      <c r="I611" s="85">
        <f t="shared" si="19"/>
        <v>1.0045363178513229</v>
      </c>
      <c r="J611" s="104">
        <v>10.105</v>
      </c>
      <c r="K611" s="144"/>
      <c r="L611" s="61">
        <v>153</v>
      </c>
      <c r="N611" s="37" t="s">
        <v>1682</v>
      </c>
      <c r="O611" s="37" t="s">
        <v>1683</v>
      </c>
    </row>
    <row r="612" spans="1:18" ht="42" x14ac:dyDescent="0.15">
      <c r="A612" s="165" t="s">
        <v>2633</v>
      </c>
      <c r="B612" s="93" t="s">
        <v>484</v>
      </c>
      <c r="C612" s="102" t="s">
        <v>3636</v>
      </c>
      <c r="D612" s="62" t="s">
        <v>2548</v>
      </c>
      <c r="E612" s="102" t="s">
        <v>1605</v>
      </c>
      <c r="F612" s="102" t="s">
        <v>1641</v>
      </c>
      <c r="G612" s="102" t="s">
        <v>1864</v>
      </c>
      <c r="H612" s="175"/>
      <c r="I612" s="85">
        <f t="shared" si="19"/>
        <v>1.5250448070368452</v>
      </c>
      <c r="J612" s="104">
        <v>33.5</v>
      </c>
      <c r="K612" s="144"/>
      <c r="L612" s="61">
        <v>153</v>
      </c>
    </row>
    <row r="613" spans="1:18" ht="98" x14ac:dyDescent="0.15">
      <c r="A613" s="165" t="s">
        <v>2633</v>
      </c>
      <c r="B613" s="93" t="s">
        <v>681</v>
      </c>
      <c r="C613" s="102" t="s">
        <v>3636</v>
      </c>
      <c r="D613" s="62" t="s">
        <v>2548</v>
      </c>
      <c r="E613" s="102" t="s">
        <v>1605</v>
      </c>
      <c r="F613" s="102" t="s">
        <v>1641</v>
      </c>
      <c r="G613" s="102" t="s">
        <v>2276</v>
      </c>
      <c r="H613" s="175"/>
      <c r="I613" s="85">
        <f t="shared" si="19"/>
        <v>1.9960338127823982</v>
      </c>
      <c r="J613" s="104">
        <v>99.090909090908994</v>
      </c>
      <c r="K613" s="144"/>
      <c r="L613" s="61">
        <v>153</v>
      </c>
      <c r="N613" s="37" t="s">
        <v>1679</v>
      </c>
      <c r="O613" s="37" t="s">
        <v>1680</v>
      </c>
    </row>
    <row r="614" spans="1:18" ht="14" x14ac:dyDescent="0.15">
      <c r="A614" s="165" t="s">
        <v>2633</v>
      </c>
      <c r="B614" s="93" t="s">
        <v>2758</v>
      </c>
      <c r="C614" s="102" t="s">
        <v>3636</v>
      </c>
      <c r="D614" s="62" t="s">
        <v>2548</v>
      </c>
      <c r="E614" s="102" t="s">
        <v>1605</v>
      </c>
      <c r="F614" s="102" t="s">
        <v>1310</v>
      </c>
      <c r="G614" s="102" t="s">
        <v>2759</v>
      </c>
      <c r="H614" s="175"/>
      <c r="I614" s="98">
        <v>-999</v>
      </c>
      <c r="J614" s="98">
        <v>-999</v>
      </c>
      <c r="K614" s="135"/>
      <c r="L614" s="61">
        <v>-999</v>
      </c>
      <c r="Q614" s="14"/>
      <c r="R614" s="14"/>
    </row>
    <row r="615" spans="1:18" ht="28" x14ac:dyDescent="0.15">
      <c r="A615" s="165" t="s">
        <v>2633</v>
      </c>
      <c r="B615" s="93" t="s">
        <v>2671</v>
      </c>
      <c r="C615" s="102" t="s">
        <v>3636</v>
      </c>
      <c r="D615" s="62" t="s">
        <v>2548</v>
      </c>
      <c r="E615" s="102" t="s">
        <v>1605</v>
      </c>
      <c r="F615" s="102" t="s">
        <v>1310</v>
      </c>
      <c r="G615" s="102" t="s">
        <v>2672</v>
      </c>
      <c r="H615" s="175"/>
      <c r="I615" s="98">
        <v>-999</v>
      </c>
      <c r="J615" s="98">
        <v>-999</v>
      </c>
      <c r="K615" s="135"/>
      <c r="L615" s="61">
        <v>-999</v>
      </c>
    </row>
    <row r="616" spans="1:18" ht="28" x14ac:dyDescent="0.15">
      <c r="A616" s="165" t="s">
        <v>2633</v>
      </c>
      <c r="B616" s="93" t="s">
        <v>2572</v>
      </c>
      <c r="C616" s="102" t="s">
        <v>3636</v>
      </c>
      <c r="D616" s="62" t="s">
        <v>2548</v>
      </c>
      <c r="E616" s="102" t="s">
        <v>1605</v>
      </c>
      <c r="F616" s="102" t="s">
        <v>1310</v>
      </c>
      <c r="G616" s="102" t="s">
        <v>2673</v>
      </c>
      <c r="H616" s="175"/>
      <c r="I616" s="98">
        <v>-999</v>
      </c>
      <c r="J616" s="98">
        <v>-999</v>
      </c>
      <c r="K616" s="135"/>
      <c r="L616" s="61">
        <v>-999</v>
      </c>
    </row>
    <row r="617" spans="1:18" ht="14" x14ac:dyDescent="0.15">
      <c r="A617" s="165" t="s">
        <v>2633</v>
      </c>
      <c r="B617" s="93" t="s">
        <v>2682</v>
      </c>
      <c r="C617" s="102" t="s">
        <v>3636</v>
      </c>
      <c r="D617" s="62" t="s">
        <v>2548</v>
      </c>
      <c r="E617" s="102" t="s">
        <v>1605</v>
      </c>
      <c r="F617" s="102" t="s">
        <v>1310</v>
      </c>
      <c r="G617" s="102" t="s">
        <v>4674</v>
      </c>
      <c r="H617" s="175"/>
      <c r="I617" s="98">
        <v>-999</v>
      </c>
      <c r="J617" s="98">
        <v>-999</v>
      </c>
      <c r="K617" s="135"/>
      <c r="L617" s="61">
        <v>-999</v>
      </c>
    </row>
    <row r="618" spans="1:18" ht="70" x14ac:dyDescent="0.15">
      <c r="A618" s="165" t="s">
        <v>2633</v>
      </c>
      <c r="B618" s="93" t="s">
        <v>969</v>
      </c>
      <c r="C618" s="102" t="s">
        <v>3636</v>
      </c>
      <c r="D618" s="62" t="s">
        <v>2548</v>
      </c>
      <c r="E618" s="102" t="s">
        <v>1605</v>
      </c>
      <c r="F618" s="102" t="s">
        <v>1310</v>
      </c>
      <c r="G618" s="102" t="s">
        <v>970</v>
      </c>
      <c r="H618" s="175"/>
      <c r="I618" s="85">
        <f t="shared" ref="I618:I637" si="20">LOG(J618)</f>
        <v>0.67294997295450032</v>
      </c>
      <c r="J618" s="104">
        <v>4.7092307692309996</v>
      </c>
      <c r="K618" s="144"/>
      <c r="L618" s="61">
        <v>153</v>
      </c>
    </row>
    <row r="619" spans="1:18" ht="56" x14ac:dyDescent="0.15">
      <c r="A619" s="165" t="s">
        <v>2633</v>
      </c>
      <c r="B619" s="93" t="s">
        <v>2856</v>
      </c>
      <c r="C619" s="102" t="s">
        <v>3636</v>
      </c>
      <c r="D619" s="62" t="s">
        <v>2548</v>
      </c>
      <c r="E619" s="102" t="s">
        <v>1605</v>
      </c>
      <c r="F619" s="102" t="s">
        <v>1310</v>
      </c>
      <c r="G619" s="102" t="s">
        <v>2035</v>
      </c>
      <c r="H619" s="175"/>
      <c r="I619" s="85">
        <f t="shared" si="20"/>
        <v>0.7888751157754168</v>
      </c>
      <c r="J619" s="104">
        <v>6.15</v>
      </c>
      <c r="K619" s="144"/>
      <c r="L619" s="61">
        <v>153</v>
      </c>
    </row>
    <row r="620" spans="1:18" ht="28" x14ac:dyDescent="0.15">
      <c r="A620" s="165" t="s">
        <v>2633</v>
      </c>
      <c r="B620" s="93" t="s">
        <v>2676</v>
      </c>
      <c r="C620" s="102" t="s">
        <v>3636</v>
      </c>
      <c r="D620" s="62" t="s">
        <v>2548</v>
      </c>
      <c r="E620" s="102" t="s">
        <v>1605</v>
      </c>
      <c r="F620" s="102" t="s">
        <v>1310</v>
      </c>
      <c r="G620" s="102" t="s">
        <v>2677</v>
      </c>
      <c r="H620" s="175"/>
      <c r="I620" s="85">
        <f t="shared" si="20"/>
        <v>0.85278486868054781</v>
      </c>
      <c r="J620" s="104">
        <v>7.125</v>
      </c>
      <c r="K620" s="144"/>
      <c r="L620" s="61">
        <v>153</v>
      </c>
      <c r="Q620" s="14"/>
      <c r="R620" s="14"/>
    </row>
    <row r="621" spans="1:18" ht="42" x14ac:dyDescent="0.15">
      <c r="A621" s="165" t="s">
        <v>2633</v>
      </c>
      <c r="B621" s="93" t="s">
        <v>700</v>
      </c>
      <c r="C621" s="102" t="s">
        <v>3636</v>
      </c>
      <c r="D621" s="62" t="s">
        <v>2548</v>
      </c>
      <c r="E621" s="102" t="s">
        <v>1605</v>
      </c>
      <c r="F621" s="102" t="s">
        <v>1310</v>
      </c>
      <c r="G621" s="102" t="s">
        <v>3673</v>
      </c>
      <c r="H621" s="175"/>
      <c r="I621" s="85">
        <f t="shared" si="20"/>
        <v>0.90848501887864974</v>
      </c>
      <c r="J621" s="104">
        <v>8.1</v>
      </c>
      <c r="K621" s="144"/>
      <c r="L621" s="61">
        <v>153</v>
      </c>
      <c r="O621" s="37" t="s">
        <v>1671</v>
      </c>
    </row>
    <row r="622" spans="1:18" ht="84" x14ac:dyDescent="0.15">
      <c r="A622" s="165" t="s">
        <v>2633</v>
      </c>
      <c r="B622" s="93" t="s">
        <v>538</v>
      </c>
      <c r="C622" s="102" t="s">
        <v>3636</v>
      </c>
      <c r="D622" s="62" t="s">
        <v>2548</v>
      </c>
      <c r="E622" s="102" t="s">
        <v>1605</v>
      </c>
      <c r="F622" s="102" t="s">
        <v>1310</v>
      </c>
      <c r="G622" s="102" t="s">
        <v>539</v>
      </c>
      <c r="H622" s="175"/>
      <c r="I622" s="85">
        <f t="shared" si="20"/>
        <v>0.91115760873997664</v>
      </c>
      <c r="J622" s="104">
        <v>8.15</v>
      </c>
      <c r="K622" s="144"/>
      <c r="L622" s="61">
        <v>153</v>
      </c>
    </row>
    <row r="623" spans="1:18" ht="56" x14ac:dyDescent="0.15">
      <c r="A623" s="165" t="s">
        <v>2633</v>
      </c>
      <c r="B623" s="93" t="s">
        <v>465</v>
      </c>
      <c r="C623" s="102" t="s">
        <v>3636</v>
      </c>
      <c r="D623" s="62" t="s">
        <v>2548</v>
      </c>
      <c r="E623" s="102" t="s">
        <v>1605</v>
      </c>
      <c r="F623" s="102" t="s">
        <v>1310</v>
      </c>
      <c r="G623" s="102" t="s">
        <v>466</v>
      </c>
      <c r="H623" s="175"/>
      <c r="I623" s="85">
        <f t="shared" si="20"/>
        <v>0.94743372188705077</v>
      </c>
      <c r="J623" s="104">
        <v>8.86</v>
      </c>
      <c r="K623" s="144"/>
      <c r="L623" s="61">
        <v>153</v>
      </c>
      <c r="N623" s="37" t="s">
        <v>1672</v>
      </c>
      <c r="O623" s="37" t="s">
        <v>1673</v>
      </c>
    </row>
    <row r="624" spans="1:18" ht="70" x14ac:dyDescent="0.15">
      <c r="A624" s="165" t="s">
        <v>2633</v>
      </c>
      <c r="B624" s="93" t="s">
        <v>542</v>
      </c>
      <c r="C624" s="102" t="s">
        <v>3636</v>
      </c>
      <c r="D624" s="62" t="s">
        <v>2548</v>
      </c>
      <c r="E624" s="102" t="s">
        <v>1605</v>
      </c>
      <c r="F624" s="102" t="s">
        <v>1310</v>
      </c>
      <c r="G624" s="102" t="s">
        <v>543</v>
      </c>
      <c r="H624" s="175"/>
      <c r="I624" s="85">
        <f t="shared" si="20"/>
        <v>0.97543180850926292</v>
      </c>
      <c r="J624" s="104">
        <v>9.4499999999999993</v>
      </c>
      <c r="K624" s="144"/>
      <c r="L624" s="61">
        <v>153</v>
      </c>
    </row>
    <row r="625" spans="1:15" ht="154" x14ac:dyDescent="0.15">
      <c r="A625" s="165" t="s">
        <v>2633</v>
      </c>
      <c r="B625" s="93" t="s">
        <v>2704</v>
      </c>
      <c r="C625" s="102" t="s">
        <v>3636</v>
      </c>
      <c r="D625" s="62" t="s">
        <v>2548</v>
      </c>
      <c r="E625" s="102" t="s">
        <v>1605</v>
      </c>
      <c r="F625" s="102" t="s">
        <v>1310</v>
      </c>
      <c r="G625" s="102" t="s">
        <v>2705</v>
      </c>
      <c r="H625" s="175"/>
      <c r="I625" s="85">
        <f t="shared" si="20"/>
        <v>0.98677173426624487</v>
      </c>
      <c r="J625" s="104">
        <v>9.6999999999999993</v>
      </c>
      <c r="K625" s="144"/>
      <c r="L625" s="61">
        <v>153</v>
      </c>
    </row>
    <row r="626" spans="1:15" ht="42" x14ac:dyDescent="0.15">
      <c r="A626" s="165" t="s">
        <v>2633</v>
      </c>
      <c r="B626" s="93" t="s">
        <v>2711</v>
      </c>
      <c r="C626" s="102" t="s">
        <v>3636</v>
      </c>
      <c r="D626" s="62" t="s">
        <v>2548</v>
      </c>
      <c r="E626" s="102" t="s">
        <v>1605</v>
      </c>
      <c r="F626" s="102" t="s">
        <v>1310</v>
      </c>
      <c r="G626" s="102" t="s">
        <v>4078</v>
      </c>
      <c r="H626" s="175"/>
      <c r="I626" s="85">
        <f t="shared" si="20"/>
        <v>1.1072099696478683</v>
      </c>
      <c r="J626" s="104">
        <v>12.8</v>
      </c>
      <c r="K626" s="144"/>
      <c r="L626" s="61">
        <v>153</v>
      </c>
    </row>
    <row r="627" spans="1:15" ht="154" x14ac:dyDescent="0.15">
      <c r="A627" s="165" t="s">
        <v>2633</v>
      </c>
      <c r="B627" s="93" t="s">
        <v>825</v>
      </c>
      <c r="C627" s="102" t="s">
        <v>3636</v>
      </c>
      <c r="D627" s="62" t="s">
        <v>2548</v>
      </c>
      <c r="E627" s="102" t="s">
        <v>1605</v>
      </c>
      <c r="F627" s="102" t="s">
        <v>1310</v>
      </c>
      <c r="G627" s="102" t="s">
        <v>734</v>
      </c>
      <c r="H627" s="175"/>
      <c r="I627" s="85">
        <f t="shared" si="20"/>
        <v>1.1119342763326816</v>
      </c>
      <c r="J627" s="104">
        <v>12.94</v>
      </c>
      <c r="K627" s="144"/>
      <c r="L627" s="61">
        <v>153</v>
      </c>
      <c r="N627" s="37" t="s">
        <v>1670</v>
      </c>
      <c r="O627" s="37" t="s">
        <v>7592</v>
      </c>
    </row>
    <row r="628" spans="1:15" ht="28" x14ac:dyDescent="0.15">
      <c r="A628" s="62" t="s">
        <v>2633</v>
      </c>
      <c r="B628" s="93" t="s">
        <v>826</v>
      </c>
      <c r="C628" s="102" t="s">
        <v>3636</v>
      </c>
      <c r="D628" s="62" t="s">
        <v>2548</v>
      </c>
      <c r="E628" s="102" t="s">
        <v>1605</v>
      </c>
      <c r="F628" s="102" t="s">
        <v>1310</v>
      </c>
      <c r="G628" s="102" t="s">
        <v>633</v>
      </c>
      <c r="H628" s="175"/>
      <c r="I628" s="85">
        <f t="shared" si="20"/>
        <v>1.116640945661129</v>
      </c>
      <c r="J628" s="104">
        <v>13.081</v>
      </c>
      <c r="K628" s="144"/>
      <c r="L628" s="61">
        <v>153</v>
      </c>
    </row>
    <row r="629" spans="1:15" ht="70" x14ac:dyDescent="0.15">
      <c r="A629" s="62" t="s">
        <v>2633</v>
      </c>
      <c r="B629" s="93" t="s">
        <v>668</v>
      </c>
      <c r="C629" s="102" t="s">
        <v>3636</v>
      </c>
      <c r="D629" s="62" t="s">
        <v>2548</v>
      </c>
      <c r="E629" s="102" t="s">
        <v>1605</v>
      </c>
      <c r="F629" s="102" t="s">
        <v>1310</v>
      </c>
      <c r="G629" s="102" t="s">
        <v>581</v>
      </c>
      <c r="H629" s="175"/>
      <c r="I629" s="85">
        <f t="shared" si="20"/>
        <v>1.1946877475473396</v>
      </c>
      <c r="J629" s="104">
        <v>15.65625</v>
      </c>
      <c r="K629" s="144"/>
      <c r="L629" s="61">
        <v>153</v>
      </c>
    </row>
    <row r="630" spans="1:15" ht="42" x14ac:dyDescent="0.15">
      <c r="A630" s="62" t="s">
        <v>2633</v>
      </c>
      <c r="B630" s="93" t="s">
        <v>585</v>
      </c>
      <c r="C630" s="102" t="s">
        <v>3636</v>
      </c>
      <c r="D630" s="62" t="s">
        <v>2548</v>
      </c>
      <c r="E630" s="102" t="s">
        <v>1605</v>
      </c>
      <c r="F630" s="102" t="s">
        <v>1310</v>
      </c>
      <c r="G630" s="102" t="s">
        <v>492</v>
      </c>
      <c r="H630" s="175"/>
      <c r="I630" s="85">
        <f t="shared" si="20"/>
        <v>1.2730012720637376</v>
      </c>
      <c r="J630" s="104">
        <v>18.75</v>
      </c>
      <c r="K630" s="144"/>
      <c r="L630" s="61">
        <v>153</v>
      </c>
      <c r="N630" s="37" t="s">
        <v>1669</v>
      </c>
      <c r="O630" s="37" t="s">
        <v>7592</v>
      </c>
    </row>
    <row r="631" spans="1:15" ht="56" x14ac:dyDescent="0.15">
      <c r="A631" s="62" t="s">
        <v>2633</v>
      </c>
      <c r="B631" s="93" t="s">
        <v>2857</v>
      </c>
      <c r="C631" s="102" t="s">
        <v>3636</v>
      </c>
      <c r="D631" s="62" t="s">
        <v>2548</v>
      </c>
      <c r="E631" s="102" t="s">
        <v>1605</v>
      </c>
      <c r="F631" s="102" t="s">
        <v>1310</v>
      </c>
      <c r="G631" s="102" t="s">
        <v>2858</v>
      </c>
      <c r="H631" s="175"/>
      <c r="I631" s="85">
        <f t="shared" si="20"/>
        <v>1.2798949800116382</v>
      </c>
      <c r="J631" s="104">
        <v>19.05</v>
      </c>
      <c r="K631" s="144"/>
      <c r="L631" s="61">
        <v>153</v>
      </c>
    </row>
    <row r="632" spans="1:15" ht="84" x14ac:dyDescent="0.15">
      <c r="A632" s="62" t="s">
        <v>2633</v>
      </c>
      <c r="B632" s="93" t="s">
        <v>1301</v>
      </c>
      <c r="C632" s="102" t="s">
        <v>3636</v>
      </c>
      <c r="D632" s="62" t="s">
        <v>2548</v>
      </c>
      <c r="E632" s="102" t="s">
        <v>1605</v>
      </c>
      <c r="F632" s="102" t="s">
        <v>1310</v>
      </c>
      <c r="G632" s="102" t="s">
        <v>1019</v>
      </c>
      <c r="H632" s="175"/>
      <c r="I632" s="85">
        <f t="shared" si="20"/>
        <v>1.3234730964355814</v>
      </c>
      <c r="J632" s="104">
        <v>21.060714285713999</v>
      </c>
      <c r="K632" s="144"/>
      <c r="L632" s="61">
        <v>153</v>
      </c>
    </row>
    <row r="633" spans="1:15" ht="56" x14ac:dyDescent="0.15">
      <c r="A633" s="62" t="s">
        <v>2633</v>
      </c>
      <c r="B633" s="93" t="s">
        <v>1020</v>
      </c>
      <c r="C633" s="102" t="s">
        <v>3636</v>
      </c>
      <c r="D633" s="62" t="s">
        <v>2548</v>
      </c>
      <c r="E633" s="102" t="s">
        <v>1605</v>
      </c>
      <c r="F633" s="102" t="s">
        <v>1310</v>
      </c>
      <c r="G633" s="102" t="s">
        <v>1115</v>
      </c>
      <c r="H633" s="175"/>
      <c r="I633" s="85">
        <f t="shared" si="20"/>
        <v>1.4116197059632303</v>
      </c>
      <c r="J633" s="104">
        <v>25.8</v>
      </c>
      <c r="K633" s="144"/>
      <c r="L633" s="61">
        <v>153</v>
      </c>
    </row>
    <row r="634" spans="1:15" ht="84" x14ac:dyDescent="0.15">
      <c r="A634" s="62" t="s">
        <v>2633</v>
      </c>
      <c r="B634" s="93" t="s">
        <v>628</v>
      </c>
      <c r="C634" s="102" t="s">
        <v>3636</v>
      </c>
      <c r="D634" s="62" t="s">
        <v>2548</v>
      </c>
      <c r="E634" s="102" t="s">
        <v>1605</v>
      </c>
      <c r="F634" s="102" t="s">
        <v>5614</v>
      </c>
      <c r="G634" s="102" t="s">
        <v>5307</v>
      </c>
      <c r="H634" s="175"/>
      <c r="I634" s="85">
        <f t="shared" si="20"/>
        <v>1.099611590392529</v>
      </c>
      <c r="J634" s="104">
        <v>12.577999999999999</v>
      </c>
      <c r="K634" s="144"/>
      <c r="L634" s="61">
        <v>153</v>
      </c>
    </row>
    <row r="635" spans="1:15" ht="42" x14ac:dyDescent="0.15">
      <c r="A635" s="61" t="s">
        <v>2633</v>
      </c>
      <c r="B635" s="93" t="s">
        <v>928</v>
      </c>
      <c r="C635" s="102" t="s">
        <v>3636</v>
      </c>
      <c r="D635" s="62" t="s">
        <v>2548</v>
      </c>
      <c r="E635" s="102" t="s">
        <v>2772</v>
      </c>
      <c r="F635" s="102" t="s">
        <v>2570</v>
      </c>
      <c r="G635" s="102" t="s">
        <v>2571</v>
      </c>
      <c r="H635" s="175"/>
      <c r="I635" s="85">
        <f t="shared" si="20"/>
        <v>0.96094619573383144</v>
      </c>
      <c r="J635" s="101">
        <v>9.14</v>
      </c>
      <c r="K635" s="144"/>
      <c r="L635" s="61">
        <v>153</v>
      </c>
    </row>
    <row r="636" spans="1:15" ht="42" x14ac:dyDescent="0.15">
      <c r="A636" s="62" t="s">
        <v>2633</v>
      </c>
      <c r="B636" s="93" t="s">
        <v>2573</v>
      </c>
      <c r="C636" s="102" t="s">
        <v>3636</v>
      </c>
      <c r="D636" s="62" t="s">
        <v>2548</v>
      </c>
      <c r="E636" s="102" t="s">
        <v>2772</v>
      </c>
      <c r="F636" s="102" t="s">
        <v>2570</v>
      </c>
      <c r="G636" s="102" t="s">
        <v>2574</v>
      </c>
      <c r="H636" s="175"/>
      <c r="I636" s="85">
        <f t="shared" si="20"/>
        <v>1.1528995963937476</v>
      </c>
      <c r="J636" s="101">
        <v>14.22</v>
      </c>
      <c r="K636" s="144"/>
      <c r="L636" s="61">
        <v>153</v>
      </c>
    </row>
    <row r="637" spans="1:15" ht="28" x14ac:dyDescent="0.15">
      <c r="A637" s="62" t="s">
        <v>2633</v>
      </c>
      <c r="B637" s="93" t="s">
        <v>847</v>
      </c>
      <c r="C637" s="102" t="s">
        <v>3636</v>
      </c>
      <c r="D637" s="62" t="s">
        <v>2548</v>
      </c>
      <c r="E637" s="102" t="s">
        <v>2772</v>
      </c>
      <c r="F637" s="102" t="s">
        <v>2570</v>
      </c>
      <c r="G637" s="102" t="s">
        <v>872</v>
      </c>
      <c r="H637" s="175"/>
      <c r="I637" s="85">
        <f t="shared" si="20"/>
        <v>1.4451174896936825</v>
      </c>
      <c r="J637" s="104">
        <v>27.868749999999999</v>
      </c>
      <c r="K637" s="144"/>
      <c r="L637" s="61">
        <v>153</v>
      </c>
      <c r="N637" s="37" t="s">
        <v>1660</v>
      </c>
      <c r="O637" s="37" t="s">
        <v>1661</v>
      </c>
    </row>
    <row r="638" spans="1:15" ht="14" x14ac:dyDescent="0.15">
      <c r="A638" s="62" t="s">
        <v>2633</v>
      </c>
      <c r="B638" s="93" t="s">
        <v>587</v>
      </c>
      <c r="C638" s="102" t="s">
        <v>3636</v>
      </c>
      <c r="D638" s="62" t="s">
        <v>2548</v>
      </c>
      <c r="E638" s="102" t="s">
        <v>5977</v>
      </c>
      <c r="F638" s="102" t="s">
        <v>1320</v>
      </c>
      <c r="G638" s="102" t="s">
        <v>588</v>
      </c>
      <c r="H638" s="175"/>
      <c r="I638" s="98">
        <v>-999</v>
      </c>
      <c r="J638" s="98">
        <v>-999</v>
      </c>
      <c r="K638" s="135"/>
      <c r="L638" s="61">
        <v>-999</v>
      </c>
    </row>
    <row r="639" spans="1:15" ht="14" x14ac:dyDescent="0.15">
      <c r="A639" s="62" t="s">
        <v>2633</v>
      </c>
      <c r="B639" s="93" t="s">
        <v>959</v>
      </c>
      <c r="C639" s="102" t="s">
        <v>3636</v>
      </c>
      <c r="D639" s="62" t="s">
        <v>2548</v>
      </c>
      <c r="E639" s="102" t="s">
        <v>5977</v>
      </c>
      <c r="F639" s="102" t="s">
        <v>1320</v>
      </c>
      <c r="G639" s="102" t="s">
        <v>589</v>
      </c>
      <c r="H639" s="175"/>
      <c r="I639" s="98">
        <v>-999</v>
      </c>
      <c r="J639" s="103">
        <v>-999</v>
      </c>
      <c r="K639" s="135"/>
      <c r="L639" s="61">
        <v>-999</v>
      </c>
    </row>
    <row r="640" spans="1:15" ht="28" x14ac:dyDescent="0.15">
      <c r="A640" s="62" t="s">
        <v>2633</v>
      </c>
      <c r="B640" s="93" t="s">
        <v>810</v>
      </c>
      <c r="C640" s="102" t="s">
        <v>3636</v>
      </c>
      <c r="D640" s="62" t="s">
        <v>2548</v>
      </c>
      <c r="E640" s="102" t="s">
        <v>5977</v>
      </c>
      <c r="F640" s="102" t="s">
        <v>1320</v>
      </c>
      <c r="G640" s="102" t="s">
        <v>5311</v>
      </c>
      <c r="H640" s="175"/>
      <c r="I640" s="98">
        <v>-999</v>
      </c>
      <c r="J640" s="98">
        <v>-999</v>
      </c>
      <c r="K640" s="135"/>
      <c r="L640" s="61">
        <v>-999</v>
      </c>
    </row>
    <row r="641" spans="1:15" ht="42" x14ac:dyDescent="0.15">
      <c r="A641" s="62" t="s">
        <v>2633</v>
      </c>
      <c r="B641" s="93" t="s">
        <v>980</v>
      </c>
      <c r="C641" s="102" t="s">
        <v>3636</v>
      </c>
      <c r="D641" s="62" t="s">
        <v>2548</v>
      </c>
      <c r="E641" s="102" t="s">
        <v>5977</v>
      </c>
      <c r="F641" s="102" t="s">
        <v>1320</v>
      </c>
      <c r="G641" s="102" t="s">
        <v>902</v>
      </c>
      <c r="H641" s="175"/>
      <c r="I641" s="85">
        <f t="shared" ref="I641:I646" si="21">LOG(J641)</f>
        <v>0.81291335664285558</v>
      </c>
      <c r="J641" s="104">
        <v>6.5</v>
      </c>
      <c r="K641" s="144"/>
      <c r="L641" s="61">
        <v>153</v>
      </c>
      <c r="N641" s="37" t="s">
        <v>1684</v>
      </c>
      <c r="O641" s="37" t="s">
        <v>1685</v>
      </c>
    </row>
    <row r="642" spans="1:15" ht="14" x14ac:dyDescent="0.15">
      <c r="A642" s="62" t="s">
        <v>2633</v>
      </c>
      <c r="B642" s="93" t="s">
        <v>2275</v>
      </c>
      <c r="C642" s="102" t="s">
        <v>3636</v>
      </c>
      <c r="D642" s="62" t="s">
        <v>2548</v>
      </c>
      <c r="E642" s="102" t="s">
        <v>5977</v>
      </c>
      <c r="F642" s="102" t="s">
        <v>1320</v>
      </c>
      <c r="G642" s="102" t="s">
        <v>732</v>
      </c>
      <c r="H642" s="175"/>
      <c r="I642" s="85">
        <f t="shared" si="21"/>
        <v>0.84509804001425681</v>
      </c>
      <c r="J642" s="104">
        <v>7</v>
      </c>
      <c r="K642" s="144"/>
      <c r="L642" s="61">
        <v>153</v>
      </c>
    </row>
    <row r="643" spans="1:15" ht="14" x14ac:dyDescent="0.15">
      <c r="A643" s="62" t="s">
        <v>2633</v>
      </c>
      <c r="B643" s="93" t="s">
        <v>2735</v>
      </c>
      <c r="C643" s="102" t="s">
        <v>3636</v>
      </c>
      <c r="D643" s="62" t="s">
        <v>2548</v>
      </c>
      <c r="E643" s="102" t="s">
        <v>5977</v>
      </c>
      <c r="F643" s="102" t="s">
        <v>1320</v>
      </c>
      <c r="G643" s="102" t="s">
        <v>4211</v>
      </c>
      <c r="H643" s="175"/>
      <c r="I643" s="85">
        <f t="shared" si="21"/>
        <v>0.84818911699139865</v>
      </c>
      <c r="J643" s="104">
        <v>7.05</v>
      </c>
      <c r="K643" s="144"/>
      <c r="L643" s="61">
        <v>153</v>
      </c>
    </row>
    <row r="644" spans="1:15" ht="28" x14ac:dyDescent="0.15">
      <c r="A644" s="62" t="s">
        <v>2633</v>
      </c>
      <c r="B644" s="93" t="s">
        <v>958</v>
      </c>
      <c r="C644" s="102" t="s">
        <v>3636</v>
      </c>
      <c r="D644" s="62" t="s">
        <v>2548</v>
      </c>
      <c r="E644" s="102" t="s">
        <v>5977</v>
      </c>
      <c r="F644" s="102" t="s">
        <v>1320</v>
      </c>
      <c r="G644" s="102" t="s">
        <v>5651</v>
      </c>
      <c r="H644" s="175"/>
      <c r="I644" s="85">
        <f t="shared" si="21"/>
        <v>0.95728795286782176</v>
      </c>
      <c r="J644" s="104">
        <v>9.0633333333330004</v>
      </c>
      <c r="K644" s="144"/>
      <c r="L644" s="61">
        <v>153</v>
      </c>
    </row>
    <row r="645" spans="1:15" ht="14" x14ac:dyDescent="0.15">
      <c r="A645" s="165" t="s">
        <v>2633</v>
      </c>
      <c r="B645" s="93" t="s">
        <v>959</v>
      </c>
      <c r="C645" s="102" t="s">
        <v>3636</v>
      </c>
      <c r="D645" s="62" t="s">
        <v>2548</v>
      </c>
      <c r="E645" s="102" t="s">
        <v>5977</v>
      </c>
      <c r="F645" s="102" t="s">
        <v>1320</v>
      </c>
      <c r="G645" s="102" t="s">
        <v>2515</v>
      </c>
      <c r="H645" s="175"/>
      <c r="I645" s="85">
        <f t="shared" si="21"/>
        <v>1.0328872582205857</v>
      </c>
      <c r="J645" s="104">
        <v>10.786666666666999</v>
      </c>
      <c r="K645" s="144"/>
      <c r="L645" s="61">
        <v>153</v>
      </c>
    </row>
    <row r="646" spans="1:15" ht="28" x14ac:dyDescent="0.15">
      <c r="A646" s="165" t="s">
        <v>2633</v>
      </c>
      <c r="B646" s="93" t="s">
        <v>1045</v>
      </c>
      <c r="C646" s="100" t="s">
        <v>3636</v>
      </c>
      <c r="D646" s="61" t="s">
        <v>2548</v>
      </c>
      <c r="E646" s="102" t="s">
        <v>5977</v>
      </c>
      <c r="F646" s="100" t="s">
        <v>1320</v>
      </c>
      <c r="G646" s="100" t="s">
        <v>2924</v>
      </c>
      <c r="H646" s="177"/>
      <c r="I646" s="85">
        <f t="shared" si="21"/>
        <v>1.0446703949194478</v>
      </c>
      <c r="J646" s="104">
        <v>11.083333333333</v>
      </c>
      <c r="K646" s="144"/>
      <c r="L646" s="61">
        <v>153</v>
      </c>
      <c r="N646" s="37" t="s">
        <v>1690</v>
      </c>
      <c r="O646" s="37" t="s">
        <v>1691</v>
      </c>
    </row>
    <row r="647" spans="1:15" ht="14" x14ac:dyDescent="0.15">
      <c r="A647" s="165" t="s">
        <v>2633</v>
      </c>
      <c r="B647" s="93" t="s">
        <v>935</v>
      </c>
      <c r="C647" s="102" t="s">
        <v>3636</v>
      </c>
      <c r="D647" s="62" t="s">
        <v>2548</v>
      </c>
      <c r="E647" s="102" t="s">
        <v>5977</v>
      </c>
      <c r="F647" s="102" t="s">
        <v>6037</v>
      </c>
      <c r="G647" s="102" t="s">
        <v>4599</v>
      </c>
      <c r="H647" s="175"/>
      <c r="I647" s="98">
        <v>-999</v>
      </c>
      <c r="J647" s="98">
        <v>-999</v>
      </c>
      <c r="K647" s="135"/>
      <c r="L647" s="61">
        <v>-999</v>
      </c>
      <c r="O647" s="37" t="s">
        <v>1693</v>
      </c>
    </row>
    <row r="648" spans="1:15" ht="14" x14ac:dyDescent="0.15">
      <c r="A648" s="165" t="s">
        <v>2633</v>
      </c>
      <c r="B648" s="93" t="s">
        <v>1101</v>
      </c>
      <c r="C648" s="102" t="s">
        <v>3636</v>
      </c>
      <c r="D648" s="62" t="s">
        <v>2548</v>
      </c>
      <c r="E648" s="102" t="s">
        <v>5977</v>
      </c>
      <c r="F648" s="102" t="s">
        <v>6037</v>
      </c>
      <c r="G648" s="102" t="s">
        <v>7181</v>
      </c>
      <c r="H648" s="175"/>
      <c r="I648" s="98">
        <v>-999</v>
      </c>
      <c r="J648" s="98">
        <v>-999</v>
      </c>
      <c r="K648" s="135"/>
      <c r="L648" s="61">
        <v>-999</v>
      </c>
    </row>
    <row r="649" spans="1:15" ht="42" x14ac:dyDescent="0.15">
      <c r="A649" s="165" t="s">
        <v>2633</v>
      </c>
      <c r="B649" s="93" t="s">
        <v>707</v>
      </c>
      <c r="C649" s="102" t="s">
        <v>3636</v>
      </c>
      <c r="D649" s="62" t="s">
        <v>2548</v>
      </c>
      <c r="E649" s="102" t="s">
        <v>5977</v>
      </c>
      <c r="F649" s="102" t="s">
        <v>6037</v>
      </c>
      <c r="G649" s="102" t="s">
        <v>2673</v>
      </c>
      <c r="H649" s="175"/>
      <c r="I649" s="98">
        <v>-999</v>
      </c>
      <c r="J649" s="98">
        <v>-999</v>
      </c>
      <c r="K649" s="135"/>
      <c r="L649" s="61">
        <v>-999</v>
      </c>
    </row>
    <row r="650" spans="1:15" ht="42" x14ac:dyDescent="0.15">
      <c r="A650" s="165" t="s">
        <v>2633</v>
      </c>
      <c r="B650" s="93" t="s">
        <v>873</v>
      </c>
      <c r="C650" s="102" t="s">
        <v>3636</v>
      </c>
      <c r="D650" s="62" t="s">
        <v>2548</v>
      </c>
      <c r="E650" s="102" t="s">
        <v>5977</v>
      </c>
      <c r="F650" s="102" t="s">
        <v>6037</v>
      </c>
      <c r="G650" s="102" t="s">
        <v>874</v>
      </c>
      <c r="H650" s="175"/>
      <c r="I650" s="98">
        <v>-999</v>
      </c>
      <c r="J650" s="98">
        <v>-999</v>
      </c>
      <c r="K650" s="135"/>
      <c r="L650" s="61">
        <v>-999</v>
      </c>
    </row>
    <row r="651" spans="1:15" ht="28" x14ac:dyDescent="0.15">
      <c r="A651" s="165" t="s">
        <v>2633</v>
      </c>
      <c r="B651" s="93" t="s">
        <v>708</v>
      </c>
      <c r="C651" s="102" t="s">
        <v>3636</v>
      </c>
      <c r="D651" s="62" t="s">
        <v>2548</v>
      </c>
      <c r="E651" s="102" t="s">
        <v>5977</v>
      </c>
      <c r="F651" s="102" t="s">
        <v>6037</v>
      </c>
      <c r="G651" s="102" t="s">
        <v>7772</v>
      </c>
      <c r="H651" s="175"/>
      <c r="I651" s="98">
        <v>-999</v>
      </c>
      <c r="J651" s="98">
        <v>-999</v>
      </c>
      <c r="K651" s="135"/>
      <c r="L651" s="61">
        <v>-999</v>
      </c>
      <c r="O651" s="37" t="s">
        <v>1694</v>
      </c>
    </row>
    <row r="652" spans="1:15" ht="42" x14ac:dyDescent="0.15">
      <c r="A652" s="165" t="s">
        <v>2633</v>
      </c>
      <c r="B652" s="93" t="s">
        <v>2525</v>
      </c>
      <c r="C652" s="102" t="s">
        <v>3636</v>
      </c>
      <c r="D652" s="62" t="s">
        <v>2548</v>
      </c>
      <c r="E652" s="102" t="s">
        <v>5977</v>
      </c>
      <c r="F652" s="102" t="s">
        <v>6037</v>
      </c>
      <c r="G652" s="102" t="s">
        <v>3922</v>
      </c>
      <c r="H652" s="175"/>
      <c r="I652" s="85">
        <f t="shared" ref="I652:I658" si="22">LOG(J652)</f>
        <v>0.57978359661681012</v>
      </c>
      <c r="J652" s="104">
        <v>3.8</v>
      </c>
      <c r="K652" s="144"/>
      <c r="L652" s="61">
        <v>153</v>
      </c>
    </row>
    <row r="653" spans="1:15" ht="28" x14ac:dyDescent="0.15">
      <c r="A653" s="165" t="s">
        <v>2633</v>
      </c>
      <c r="B653" s="93" t="s">
        <v>2719</v>
      </c>
      <c r="C653" s="102" t="s">
        <v>3636</v>
      </c>
      <c r="D653" s="62" t="s">
        <v>2548</v>
      </c>
      <c r="E653" s="102" t="s">
        <v>5977</v>
      </c>
      <c r="F653" s="102" t="s">
        <v>6037</v>
      </c>
      <c r="G653" s="102" t="s">
        <v>2720</v>
      </c>
      <c r="H653" s="175"/>
      <c r="I653" s="85">
        <f t="shared" si="22"/>
        <v>0.72427586960078905</v>
      </c>
      <c r="J653" s="104">
        <v>5.3</v>
      </c>
      <c r="K653" s="144"/>
      <c r="L653" s="61">
        <v>153</v>
      </c>
      <c r="O653" s="37" t="s">
        <v>7590</v>
      </c>
    </row>
    <row r="654" spans="1:15" ht="28" x14ac:dyDescent="0.15">
      <c r="A654" s="165" t="s">
        <v>2633</v>
      </c>
      <c r="B654" s="93" t="s">
        <v>2721</v>
      </c>
      <c r="C654" s="102" t="s">
        <v>3636</v>
      </c>
      <c r="D654" s="62" t="s">
        <v>2548</v>
      </c>
      <c r="E654" s="102" t="s">
        <v>5977</v>
      </c>
      <c r="F654" s="102" t="s">
        <v>6037</v>
      </c>
      <c r="G654" s="102" t="s">
        <v>4078</v>
      </c>
      <c r="H654" s="175"/>
      <c r="I654" s="85">
        <f t="shared" si="22"/>
        <v>0.77573177626025502</v>
      </c>
      <c r="J654" s="104">
        <v>5.9666666666669999</v>
      </c>
      <c r="K654" s="144"/>
      <c r="L654" s="61">
        <v>153</v>
      </c>
      <c r="N654" s="37" t="s">
        <v>1688</v>
      </c>
      <c r="O654" s="37" t="s">
        <v>7585</v>
      </c>
    </row>
    <row r="655" spans="1:15" ht="42" x14ac:dyDescent="0.15">
      <c r="A655" s="165" t="s">
        <v>2633</v>
      </c>
      <c r="B655" s="93" t="s">
        <v>494</v>
      </c>
      <c r="C655" s="102" t="s">
        <v>3636</v>
      </c>
      <c r="D655" s="62" t="s">
        <v>2548</v>
      </c>
      <c r="E655" s="102" t="s">
        <v>5977</v>
      </c>
      <c r="F655" s="102" t="s">
        <v>6037</v>
      </c>
      <c r="G655" s="102" t="s">
        <v>495</v>
      </c>
      <c r="H655" s="175"/>
      <c r="I655" s="85">
        <f t="shared" si="22"/>
        <v>0.79588001734407521</v>
      </c>
      <c r="J655" s="104">
        <v>6.25</v>
      </c>
      <c r="K655" s="144"/>
      <c r="L655" s="61">
        <v>153</v>
      </c>
      <c r="O655" s="37" t="s">
        <v>7351</v>
      </c>
    </row>
    <row r="656" spans="1:15" ht="14" x14ac:dyDescent="0.15">
      <c r="A656" s="165" t="s">
        <v>2633</v>
      </c>
      <c r="B656" s="93" t="s">
        <v>2626</v>
      </c>
      <c r="C656" s="102" t="s">
        <v>3636</v>
      </c>
      <c r="D656" s="62" t="s">
        <v>2548</v>
      </c>
      <c r="E656" s="102" t="s">
        <v>5977</v>
      </c>
      <c r="F656" s="102" t="s">
        <v>6037</v>
      </c>
      <c r="G656" s="102" t="s">
        <v>7315</v>
      </c>
      <c r="H656" s="175"/>
      <c r="I656" s="85">
        <f t="shared" si="22"/>
        <v>1.0211892990699381</v>
      </c>
      <c r="J656" s="104">
        <v>10.5</v>
      </c>
      <c r="K656" s="144"/>
      <c r="L656" s="61">
        <v>153</v>
      </c>
    </row>
    <row r="657" spans="1:15" ht="98" x14ac:dyDescent="0.15">
      <c r="A657" s="165" t="s">
        <v>2633</v>
      </c>
      <c r="B657" s="93" t="s">
        <v>942</v>
      </c>
      <c r="C657" s="102" t="s">
        <v>3636</v>
      </c>
      <c r="D657" s="62" t="s">
        <v>2548</v>
      </c>
      <c r="E657" s="102" t="s">
        <v>5977</v>
      </c>
      <c r="F657" s="102" t="s">
        <v>6037</v>
      </c>
      <c r="G657" s="102" t="s">
        <v>943</v>
      </c>
      <c r="H657" s="175"/>
      <c r="I657" s="85">
        <f t="shared" si="22"/>
        <v>1.3590445615568982</v>
      </c>
      <c r="J657" s="104">
        <v>22.858333333333</v>
      </c>
      <c r="K657" s="144"/>
      <c r="L657" s="61">
        <v>153</v>
      </c>
    </row>
    <row r="658" spans="1:15" ht="28" x14ac:dyDescent="0.15">
      <c r="A658" s="165" t="s">
        <v>2633</v>
      </c>
      <c r="B658" s="93" t="s">
        <v>1013</v>
      </c>
      <c r="C658" s="102" t="s">
        <v>3636</v>
      </c>
      <c r="D658" s="62" t="s">
        <v>2548</v>
      </c>
      <c r="E658" s="102" t="s">
        <v>5977</v>
      </c>
      <c r="F658" s="102" t="s">
        <v>6037</v>
      </c>
      <c r="G658" s="102" t="s">
        <v>2484</v>
      </c>
      <c r="H658" s="175"/>
      <c r="I658" s="85">
        <f t="shared" si="22"/>
        <v>1.4771212547196624</v>
      </c>
      <c r="J658" s="104">
        <v>30</v>
      </c>
      <c r="K658" s="144"/>
      <c r="L658" s="61">
        <v>153</v>
      </c>
    </row>
    <row r="659" spans="1:15" ht="14" x14ac:dyDescent="0.15">
      <c r="A659" s="165" t="s">
        <v>2633</v>
      </c>
      <c r="B659" s="93" t="s">
        <v>905</v>
      </c>
      <c r="C659" s="102" t="s">
        <v>3636</v>
      </c>
      <c r="D659" s="62" t="s">
        <v>2548</v>
      </c>
      <c r="E659" s="102" t="s">
        <v>5977</v>
      </c>
      <c r="F659" s="102" t="s">
        <v>1136</v>
      </c>
      <c r="G659" s="102" t="s">
        <v>909</v>
      </c>
      <c r="H659" s="175"/>
      <c r="I659" s="98">
        <v>-999</v>
      </c>
      <c r="J659" s="98">
        <v>-999</v>
      </c>
      <c r="K659" s="135"/>
      <c r="L659" s="61">
        <v>-999</v>
      </c>
    </row>
    <row r="660" spans="1:15" ht="14" x14ac:dyDescent="0.15">
      <c r="A660" s="165" t="s">
        <v>2633</v>
      </c>
      <c r="B660" s="93" t="s">
        <v>2202</v>
      </c>
      <c r="C660" s="102" t="s">
        <v>3636</v>
      </c>
      <c r="D660" s="62" t="s">
        <v>2548</v>
      </c>
      <c r="E660" s="100" t="s">
        <v>5977</v>
      </c>
      <c r="F660" s="102" t="s">
        <v>1136</v>
      </c>
      <c r="G660" s="102" t="s">
        <v>3871</v>
      </c>
      <c r="H660" s="175"/>
      <c r="I660" s="98">
        <v>-999</v>
      </c>
      <c r="J660" s="98">
        <v>-999</v>
      </c>
      <c r="K660" s="135"/>
      <c r="L660" s="61">
        <v>-999</v>
      </c>
    </row>
    <row r="661" spans="1:15" ht="28" x14ac:dyDescent="0.15">
      <c r="A661" s="165" t="s">
        <v>1209</v>
      </c>
      <c r="B661" s="93" t="s">
        <v>1210</v>
      </c>
      <c r="C661" s="102" t="s">
        <v>3636</v>
      </c>
      <c r="D661" s="62" t="s">
        <v>2548</v>
      </c>
      <c r="E661" s="102" t="s">
        <v>5977</v>
      </c>
      <c r="F661" s="102" t="s">
        <v>1136</v>
      </c>
      <c r="G661" s="102" t="s">
        <v>1211</v>
      </c>
      <c r="H661" s="175"/>
      <c r="I661" s="98">
        <v>-999</v>
      </c>
      <c r="J661" s="98">
        <v>-999</v>
      </c>
      <c r="K661" s="135"/>
      <c r="L661" s="61">
        <v>-999</v>
      </c>
    </row>
    <row r="662" spans="1:15" ht="42" x14ac:dyDescent="0.15">
      <c r="A662" s="165" t="s">
        <v>2633</v>
      </c>
      <c r="B662" s="93" t="s">
        <v>2770</v>
      </c>
      <c r="C662" s="102" t="s">
        <v>3636</v>
      </c>
      <c r="D662" s="62" t="s">
        <v>2548</v>
      </c>
      <c r="E662" s="102" t="s">
        <v>5977</v>
      </c>
      <c r="F662" s="102" t="s">
        <v>1136</v>
      </c>
      <c r="G662" s="102" t="s">
        <v>2771</v>
      </c>
      <c r="H662" s="175"/>
      <c r="I662" s="98">
        <v>-999</v>
      </c>
      <c r="J662" s="98">
        <v>-999</v>
      </c>
      <c r="K662" s="135"/>
      <c r="L662" s="61">
        <v>-999</v>
      </c>
      <c r="O662" s="37" t="s">
        <v>1598</v>
      </c>
    </row>
    <row r="663" spans="1:15" ht="28" x14ac:dyDescent="0.15">
      <c r="A663" s="165" t="s">
        <v>2633</v>
      </c>
      <c r="B663" s="93" t="s">
        <v>1341</v>
      </c>
      <c r="C663" s="102" t="s">
        <v>3636</v>
      </c>
      <c r="D663" s="62" t="s">
        <v>2548</v>
      </c>
      <c r="E663" s="100" t="s">
        <v>5977</v>
      </c>
      <c r="F663" s="102" t="s">
        <v>1136</v>
      </c>
      <c r="G663" s="102" t="s">
        <v>1342</v>
      </c>
      <c r="H663" s="175"/>
      <c r="I663" s="85">
        <f>LOG(J663)</f>
        <v>0.47712125471966244</v>
      </c>
      <c r="J663" s="104">
        <v>3</v>
      </c>
      <c r="K663" s="144"/>
      <c r="L663" s="61">
        <v>153</v>
      </c>
    </row>
    <row r="664" spans="1:15" ht="28" x14ac:dyDescent="0.15">
      <c r="A664" s="165" t="s">
        <v>2633</v>
      </c>
      <c r="B664" s="93" t="s">
        <v>2773</v>
      </c>
      <c r="C664" s="102" t="s">
        <v>3636</v>
      </c>
      <c r="D664" s="62" t="s">
        <v>2548</v>
      </c>
      <c r="E664" s="102" t="s">
        <v>5977</v>
      </c>
      <c r="F664" s="102" t="s">
        <v>1136</v>
      </c>
      <c r="G664" s="102" t="s">
        <v>3872</v>
      </c>
      <c r="H664" s="175"/>
      <c r="I664" s="85">
        <f>LOG(J664)</f>
        <v>0.81291335664285558</v>
      </c>
      <c r="J664" s="104">
        <v>6.5</v>
      </c>
      <c r="K664" s="144"/>
      <c r="L664" s="61">
        <v>153</v>
      </c>
    </row>
    <row r="665" spans="1:15" ht="42" x14ac:dyDescent="0.15">
      <c r="A665" s="165" t="s">
        <v>2633</v>
      </c>
      <c r="B665" s="93" t="s">
        <v>1205</v>
      </c>
      <c r="C665" s="102" t="s">
        <v>3636</v>
      </c>
      <c r="D665" s="62" t="s">
        <v>2548</v>
      </c>
      <c r="E665" s="102" t="s">
        <v>5977</v>
      </c>
      <c r="F665" s="102" t="s">
        <v>1136</v>
      </c>
      <c r="G665" s="102" t="s">
        <v>2026</v>
      </c>
      <c r="H665" s="175"/>
      <c r="I665" s="85">
        <f>LOG(J665)</f>
        <v>1</v>
      </c>
      <c r="J665" s="104">
        <v>10</v>
      </c>
      <c r="K665" s="144"/>
      <c r="L665" s="61">
        <v>153</v>
      </c>
    </row>
    <row r="666" spans="1:15" ht="14" x14ac:dyDescent="0.15">
      <c r="A666" s="165" t="s">
        <v>2633</v>
      </c>
      <c r="B666" s="93" t="s">
        <v>666</v>
      </c>
      <c r="C666" s="102" t="s">
        <v>3636</v>
      </c>
      <c r="D666" s="62" t="s">
        <v>2548</v>
      </c>
      <c r="E666" s="102" t="s">
        <v>5977</v>
      </c>
      <c r="F666" s="102" t="s">
        <v>2854</v>
      </c>
      <c r="G666" s="102" t="s">
        <v>4728</v>
      </c>
      <c r="H666" s="175"/>
      <c r="I666" s="98">
        <v>-999</v>
      </c>
      <c r="J666" s="98">
        <v>-999</v>
      </c>
      <c r="K666" s="135"/>
      <c r="L666" s="61">
        <v>-999</v>
      </c>
    </row>
    <row r="667" spans="1:15" ht="14" x14ac:dyDescent="0.15">
      <c r="A667" s="165" t="s">
        <v>2633</v>
      </c>
      <c r="B667" s="93" t="s">
        <v>667</v>
      </c>
      <c r="C667" s="102" t="s">
        <v>3636</v>
      </c>
      <c r="D667" s="62" t="s">
        <v>2548</v>
      </c>
      <c r="E667" s="102" t="s">
        <v>5977</v>
      </c>
      <c r="F667" s="102" t="s">
        <v>2854</v>
      </c>
      <c r="G667" s="102" t="s">
        <v>957</v>
      </c>
      <c r="H667" s="175"/>
      <c r="I667" s="98">
        <v>-999</v>
      </c>
      <c r="J667" s="98">
        <v>-999</v>
      </c>
      <c r="K667" s="135"/>
      <c r="L667" s="61">
        <v>-999</v>
      </c>
    </row>
    <row r="668" spans="1:15" ht="28" x14ac:dyDescent="0.15">
      <c r="A668" s="165" t="s">
        <v>2633</v>
      </c>
      <c r="B668" s="93" t="s">
        <v>2853</v>
      </c>
      <c r="C668" s="102" t="s">
        <v>3636</v>
      </c>
      <c r="D668" s="62" t="s">
        <v>2548</v>
      </c>
      <c r="E668" s="100" t="s">
        <v>5977</v>
      </c>
      <c r="F668" s="102" t="s">
        <v>2854</v>
      </c>
      <c r="G668" s="102" t="s">
        <v>3852</v>
      </c>
      <c r="H668" s="175"/>
      <c r="I668" s="85">
        <f t="shared" ref="I668:I674" si="23">LOG(J668)</f>
        <v>0.77815125038364363</v>
      </c>
      <c r="J668" s="104">
        <v>6</v>
      </c>
      <c r="K668" s="144"/>
      <c r="L668" s="61">
        <v>153</v>
      </c>
    </row>
    <row r="669" spans="1:15" ht="42" x14ac:dyDescent="0.15">
      <c r="A669" s="165" t="s">
        <v>2633</v>
      </c>
      <c r="B669" s="93" t="s">
        <v>2620</v>
      </c>
      <c r="C669" s="102" t="s">
        <v>3636</v>
      </c>
      <c r="D669" s="62" t="s">
        <v>2548</v>
      </c>
      <c r="E669" s="102" t="s">
        <v>5977</v>
      </c>
      <c r="F669" s="102" t="s">
        <v>2854</v>
      </c>
      <c r="G669" s="102" t="s">
        <v>2722</v>
      </c>
      <c r="H669" s="175"/>
      <c r="I669" s="85">
        <f t="shared" si="23"/>
        <v>0.85733249643126852</v>
      </c>
      <c r="J669" s="104">
        <v>7.2</v>
      </c>
      <c r="K669" s="144"/>
      <c r="L669" s="61">
        <v>153</v>
      </c>
    </row>
    <row r="670" spans="1:15" ht="42" x14ac:dyDescent="0.15">
      <c r="A670" s="165" t="s">
        <v>2633</v>
      </c>
      <c r="B670" s="93" t="s">
        <v>1197</v>
      </c>
      <c r="C670" s="102" t="s">
        <v>3636</v>
      </c>
      <c r="D670" s="62" t="s">
        <v>2548</v>
      </c>
      <c r="E670" s="102" t="s">
        <v>5977</v>
      </c>
      <c r="F670" s="102" t="s">
        <v>1198</v>
      </c>
      <c r="G670" s="102" t="s">
        <v>2816</v>
      </c>
      <c r="H670" s="175"/>
      <c r="I670" s="85">
        <f t="shared" si="23"/>
        <v>0.94448267215016868</v>
      </c>
      <c r="J670" s="104">
        <v>8.8000000000000007</v>
      </c>
      <c r="K670" s="144"/>
      <c r="L670" s="61">
        <v>153</v>
      </c>
      <c r="O670" s="37" t="s">
        <v>1692</v>
      </c>
    </row>
    <row r="671" spans="1:15" ht="56" x14ac:dyDescent="0.15">
      <c r="A671" s="165" t="s">
        <v>2633</v>
      </c>
      <c r="B671" s="93" t="s">
        <v>2624</v>
      </c>
      <c r="C671" s="100" t="s">
        <v>3636</v>
      </c>
      <c r="D671" s="61" t="s">
        <v>2548</v>
      </c>
      <c r="E671" s="102" t="s">
        <v>5977</v>
      </c>
      <c r="F671" s="100" t="s">
        <v>2593</v>
      </c>
      <c r="G671" s="100" t="s">
        <v>2913</v>
      </c>
      <c r="H671" s="177"/>
      <c r="I671" s="85">
        <f t="shared" si="23"/>
        <v>0.84561474975026663</v>
      </c>
      <c r="J671" s="101">
        <v>7.0083333333329998</v>
      </c>
      <c r="K671" s="144"/>
      <c r="L671" s="61">
        <v>153</v>
      </c>
    </row>
    <row r="672" spans="1:15" ht="42" x14ac:dyDescent="0.15">
      <c r="A672" s="165" t="s">
        <v>2633</v>
      </c>
      <c r="B672" s="93" t="s">
        <v>1260</v>
      </c>
      <c r="C672" s="102" t="s">
        <v>3636</v>
      </c>
      <c r="D672" s="62" t="s">
        <v>2548</v>
      </c>
      <c r="E672" s="102" t="s">
        <v>5977</v>
      </c>
      <c r="F672" s="102" t="s">
        <v>2593</v>
      </c>
      <c r="G672" s="102" t="s">
        <v>5151</v>
      </c>
      <c r="H672" s="175"/>
      <c r="I672" s="85">
        <f t="shared" si="23"/>
        <v>0.86332286012045589</v>
      </c>
      <c r="J672" s="104">
        <v>7.3</v>
      </c>
      <c r="K672" s="144"/>
      <c r="L672" s="61">
        <v>153</v>
      </c>
    </row>
    <row r="673" spans="1:18" ht="126" x14ac:dyDescent="0.15">
      <c r="A673" s="165" t="s">
        <v>2633</v>
      </c>
      <c r="B673" s="93" t="s">
        <v>1003</v>
      </c>
      <c r="C673" s="102" t="s">
        <v>3636</v>
      </c>
      <c r="D673" s="62" t="s">
        <v>2548</v>
      </c>
      <c r="E673" s="102" t="s">
        <v>5977</v>
      </c>
      <c r="F673" s="102" t="s">
        <v>2593</v>
      </c>
      <c r="G673" s="102" t="s">
        <v>1004</v>
      </c>
      <c r="H673" s="175"/>
      <c r="I673" s="85">
        <f t="shared" si="23"/>
        <v>1.0594624367970615</v>
      </c>
      <c r="J673" s="104">
        <v>11.467333333333</v>
      </c>
      <c r="K673" s="144"/>
      <c r="L673" s="61">
        <v>153</v>
      </c>
    </row>
    <row r="674" spans="1:18" ht="70" x14ac:dyDescent="0.15">
      <c r="A674" s="165" t="s">
        <v>2633</v>
      </c>
      <c r="B674" s="93" t="s">
        <v>2703</v>
      </c>
      <c r="C674" s="102" t="s">
        <v>3636</v>
      </c>
      <c r="D674" s="62" t="s">
        <v>2548</v>
      </c>
      <c r="E674" s="102" t="s">
        <v>5977</v>
      </c>
      <c r="F674" s="102" t="s">
        <v>2593</v>
      </c>
      <c r="G674" s="102" t="s">
        <v>5842</v>
      </c>
      <c r="H674" s="175"/>
      <c r="I674" s="85">
        <f t="shared" si="23"/>
        <v>1.1522883443830565</v>
      </c>
      <c r="J674" s="104">
        <v>14.2</v>
      </c>
      <c r="K674" s="144"/>
      <c r="L674" s="62">
        <v>153</v>
      </c>
      <c r="N674" s="37" t="s">
        <v>1686</v>
      </c>
      <c r="O674" s="37" t="s">
        <v>1667</v>
      </c>
    </row>
    <row r="675" spans="1:18" ht="28" x14ac:dyDescent="0.15">
      <c r="A675" s="165" t="s">
        <v>2633</v>
      </c>
      <c r="B675" s="93" t="s">
        <v>1316</v>
      </c>
      <c r="C675" s="102" t="s">
        <v>3636</v>
      </c>
      <c r="D675" s="62" t="s">
        <v>2548</v>
      </c>
      <c r="E675" s="102" t="s">
        <v>5977</v>
      </c>
      <c r="F675" s="102" t="s">
        <v>5978</v>
      </c>
      <c r="G675" s="102" t="s">
        <v>1216</v>
      </c>
      <c r="H675" s="175"/>
      <c r="I675" s="98">
        <v>-999</v>
      </c>
      <c r="J675" s="98">
        <v>-999</v>
      </c>
      <c r="K675" s="135"/>
      <c r="L675" s="62">
        <v>-999</v>
      </c>
    </row>
    <row r="676" spans="1:18" ht="14" x14ac:dyDescent="0.15">
      <c r="A676" s="165" t="s">
        <v>2633</v>
      </c>
      <c r="B676" s="93" t="s">
        <v>1788</v>
      </c>
      <c r="C676" s="102" t="s">
        <v>3636</v>
      </c>
      <c r="D676" s="62" t="s">
        <v>2548</v>
      </c>
      <c r="E676" s="102" t="s">
        <v>5977</v>
      </c>
      <c r="F676" s="102" t="s">
        <v>5978</v>
      </c>
      <c r="G676" s="102" t="s">
        <v>1789</v>
      </c>
      <c r="H676" s="175"/>
      <c r="I676" s="98">
        <v>-999</v>
      </c>
      <c r="J676" s="98">
        <v>-999</v>
      </c>
      <c r="K676" s="135"/>
      <c r="L676" s="62">
        <v>-999</v>
      </c>
    </row>
    <row r="677" spans="1:18" ht="14" x14ac:dyDescent="0.15">
      <c r="A677" s="165" t="s">
        <v>2633</v>
      </c>
      <c r="B677" s="93" t="s">
        <v>5921</v>
      </c>
      <c r="C677" s="102" t="s">
        <v>3636</v>
      </c>
      <c r="D677" s="62" t="s">
        <v>2548</v>
      </c>
      <c r="E677" s="102" t="s">
        <v>5977</v>
      </c>
      <c r="F677" s="102" t="s">
        <v>5978</v>
      </c>
      <c r="G677" s="102" t="s">
        <v>5423</v>
      </c>
      <c r="H677" s="175"/>
      <c r="I677" s="98">
        <v>-999</v>
      </c>
      <c r="J677" s="98">
        <v>-999</v>
      </c>
      <c r="K677" s="135"/>
      <c r="L677" s="62">
        <v>-999</v>
      </c>
    </row>
    <row r="678" spans="1:18" ht="28" x14ac:dyDescent="0.15">
      <c r="A678" s="165" t="s">
        <v>2633</v>
      </c>
      <c r="B678" s="93" t="s">
        <v>2828</v>
      </c>
      <c r="C678" s="102" t="s">
        <v>3636</v>
      </c>
      <c r="D678" s="62" t="s">
        <v>2548</v>
      </c>
      <c r="E678" s="102" t="s">
        <v>5977</v>
      </c>
      <c r="F678" s="102" t="s">
        <v>5978</v>
      </c>
      <c r="G678" s="102" t="s">
        <v>798</v>
      </c>
      <c r="H678" s="175"/>
      <c r="I678" s="98">
        <v>-999</v>
      </c>
      <c r="J678" s="98">
        <v>-999</v>
      </c>
      <c r="K678" s="135"/>
      <c r="L678" s="62">
        <v>-999</v>
      </c>
    </row>
    <row r="679" spans="1:18" ht="70" x14ac:dyDescent="0.15">
      <c r="A679" s="165" t="s">
        <v>2633</v>
      </c>
      <c r="B679" s="93" t="s">
        <v>2749</v>
      </c>
      <c r="C679" s="102" t="s">
        <v>3636</v>
      </c>
      <c r="D679" s="62" t="s">
        <v>2548</v>
      </c>
      <c r="E679" s="102" t="s">
        <v>5977</v>
      </c>
      <c r="F679" s="102" t="s">
        <v>5978</v>
      </c>
      <c r="G679" s="102" t="s">
        <v>3696</v>
      </c>
      <c r="H679" s="175"/>
      <c r="I679" s="85">
        <f t="shared" ref="I679:I687" si="24">LOG(J679)</f>
        <v>0.85356302283131313</v>
      </c>
      <c r="J679" s="104">
        <v>7.137777777778</v>
      </c>
      <c r="K679" s="144"/>
      <c r="L679" s="62">
        <v>153</v>
      </c>
    </row>
    <row r="680" spans="1:18" ht="112" x14ac:dyDescent="0.15">
      <c r="A680" s="165" t="s">
        <v>2633</v>
      </c>
      <c r="B680" s="93" t="s">
        <v>984</v>
      </c>
      <c r="C680" s="102" t="s">
        <v>3636</v>
      </c>
      <c r="D680" s="62" t="s">
        <v>2548</v>
      </c>
      <c r="E680" s="102" t="s">
        <v>5977</v>
      </c>
      <c r="F680" s="102" t="s">
        <v>5978</v>
      </c>
      <c r="G680" s="102" t="s">
        <v>4642</v>
      </c>
      <c r="H680" s="175"/>
      <c r="I680" s="85">
        <f t="shared" si="24"/>
        <v>0.88394519503427982</v>
      </c>
      <c r="J680" s="104">
        <v>7.6550000000000002</v>
      </c>
      <c r="K680" s="144"/>
      <c r="L680" s="62">
        <v>153</v>
      </c>
    </row>
    <row r="681" spans="1:18" ht="42" x14ac:dyDescent="0.15">
      <c r="A681" s="165" t="s">
        <v>2633</v>
      </c>
      <c r="B681" s="93" t="s">
        <v>985</v>
      </c>
      <c r="C681" s="102" t="s">
        <v>3636</v>
      </c>
      <c r="D681" s="62" t="s">
        <v>2548</v>
      </c>
      <c r="E681" s="102" t="s">
        <v>5977</v>
      </c>
      <c r="F681" s="102" t="s">
        <v>5978</v>
      </c>
      <c r="G681" s="102" t="s">
        <v>5271</v>
      </c>
      <c r="H681" s="175"/>
      <c r="I681" s="85">
        <f t="shared" si="24"/>
        <v>0.89129846226236964</v>
      </c>
      <c r="J681" s="104">
        <v>7.7857142857139996</v>
      </c>
      <c r="K681" s="144"/>
      <c r="L681" s="62">
        <v>153</v>
      </c>
      <c r="N681" s="37" t="s">
        <v>1684</v>
      </c>
      <c r="O681" s="37" t="s">
        <v>1685</v>
      </c>
    </row>
    <row r="682" spans="1:18" ht="28" x14ac:dyDescent="0.15">
      <c r="A682" s="165" t="s">
        <v>2633</v>
      </c>
      <c r="B682" s="93" t="s">
        <v>1259</v>
      </c>
      <c r="C682" s="102" t="s">
        <v>3636</v>
      </c>
      <c r="D682" s="62" t="s">
        <v>2548</v>
      </c>
      <c r="E682" s="102" t="s">
        <v>5977</v>
      </c>
      <c r="F682" s="102" t="s">
        <v>5978</v>
      </c>
      <c r="G682" s="102" t="s">
        <v>837</v>
      </c>
      <c r="H682" s="175"/>
      <c r="I682" s="85">
        <f t="shared" si="24"/>
        <v>1.1443517776524306</v>
      </c>
      <c r="J682" s="104">
        <v>13.942857142856999</v>
      </c>
      <c r="K682" s="144"/>
      <c r="L682" s="62">
        <v>153</v>
      </c>
    </row>
    <row r="683" spans="1:18" ht="14" x14ac:dyDescent="0.15">
      <c r="A683" s="165" t="s">
        <v>2633</v>
      </c>
      <c r="B683" s="93" t="s">
        <v>2788</v>
      </c>
      <c r="C683" s="102" t="s">
        <v>3636</v>
      </c>
      <c r="D683" s="62" t="s">
        <v>2548</v>
      </c>
      <c r="E683" s="102" t="s">
        <v>5977</v>
      </c>
      <c r="F683" s="102" t="s">
        <v>5978</v>
      </c>
      <c r="G683" s="102" t="s">
        <v>1175</v>
      </c>
      <c r="H683" s="175"/>
      <c r="I683" s="85">
        <f t="shared" si="24"/>
        <v>1.1903316981702914</v>
      </c>
      <c r="J683" s="104">
        <v>15.5</v>
      </c>
      <c r="K683" s="144"/>
      <c r="L683" s="62">
        <v>153</v>
      </c>
      <c r="Q683" s="14"/>
      <c r="R683" s="14"/>
    </row>
    <row r="684" spans="1:18" ht="98" x14ac:dyDescent="0.15">
      <c r="A684" s="165" t="s">
        <v>2633</v>
      </c>
      <c r="B684" s="93" t="s">
        <v>1047</v>
      </c>
      <c r="C684" s="102" t="s">
        <v>3636</v>
      </c>
      <c r="D684" s="62" t="s">
        <v>2548</v>
      </c>
      <c r="E684" s="102" t="s">
        <v>5977</v>
      </c>
      <c r="F684" s="102" t="s">
        <v>982</v>
      </c>
      <c r="G684" s="102" t="s">
        <v>1048</v>
      </c>
      <c r="H684" s="175"/>
      <c r="I684" s="85">
        <f t="shared" si="24"/>
        <v>1.4471580313422192</v>
      </c>
      <c r="J684" s="104">
        <v>28</v>
      </c>
      <c r="K684" s="144"/>
      <c r="L684" s="62">
        <v>153</v>
      </c>
    </row>
    <row r="685" spans="1:18" ht="70" x14ac:dyDescent="0.15">
      <c r="A685" s="165" t="s">
        <v>2633</v>
      </c>
      <c r="B685" s="93" t="s">
        <v>1037</v>
      </c>
      <c r="C685" s="102" t="s">
        <v>3636</v>
      </c>
      <c r="D685" s="62" t="s">
        <v>2548</v>
      </c>
      <c r="E685" s="102" t="s">
        <v>5977</v>
      </c>
      <c r="F685" s="102" t="s">
        <v>982</v>
      </c>
      <c r="G685" s="102" t="s">
        <v>2851</v>
      </c>
      <c r="H685" s="175"/>
      <c r="I685" s="85">
        <f t="shared" si="24"/>
        <v>1.6966475684169846</v>
      </c>
      <c r="J685" s="104">
        <v>49.733333333333</v>
      </c>
      <c r="K685" s="144"/>
      <c r="L685" s="62">
        <v>153</v>
      </c>
    </row>
    <row r="686" spans="1:18" ht="84" x14ac:dyDescent="0.15">
      <c r="A686" s="165" t="s">
        <v>2633</v>
      </c>
      <c r="B686" s="93" t="s">
        <v>173</v>
      </c>
      <c r="C686" s="102" t="s">
        <v>3636</v>
      </c>
      <c r="D686" s="62" t="s">
        <v>2548</v>
      </c>
      <c r="E686" s="102" t="s">
        <v>5977</v>
      </c>
      <c r="F686" s="102" t="s">
        <v>2748</v>
      </c>
      <c r="G686" s="102" t="s">
        <v>1304</v>
      </c>
      <c r="H686" s="175"/>
      <c r="I686" s="85">
        <f t="shared" si="24"/>
        <v>0.70267666537355344</v>
      </c>
      <c r="J686" s="104">
        <v>5.0428571428569997</v>
      </c>
      <c r="K686" s="144"/>
      <c r="L686" s="62">
        <v>153</v>
      </c>
      <c r="N686" s="37" t="s">
        <v>1717</v>
      </c>
      <c r="O686" s="37" t="s">
        <v>7330</v>
      </c>
    </row>
    <row r="687" spans="1:18" ht="70" x14ac:dyDescent="0.15">
      <c r="A687" s="165" t="s">
        <v>2633</v>
      </c>
      <c r="B687" s="93" t="s">
        <v>293</v>
      </c>
      <c r="C687" s="100" t="s">
        <v>3636</v>
      </c>
      <c r="D687" s="61" t="s">
        <v>2548</v>
      </c>
      <c r="E687" s="100" t="s">
        <v>5977</v>
      </c>
      <c r="F687" s="100" t="s">
        <v>294</v>
      </c>
      <c r="G687" s="100" t="s">
        <v>295</v>
      </c>
      <c r="H687" s="177"/>
      <c r="I687" s="85">
        <f t="shared" si="24"/>
        <v>1.3762118502826728</v>
      </c>
      <c r="J687" s="101">
        <v>23.78</v>
      </c>
      <c r="K687" s="144"/>
      <c r="L687" s="62">
        <v>153</v>
      </c>
    </row>
    <row r="688" spans="1:18" ht="28" x14ac:dyDescent="0.15">
      <c r="A688" s="165" t="s">
        <v>2633</v>
      </c>
      <c r="B688" s="93" t="s">
        <v>1035</v>
      </c>
      <c r="C688" s="102" t="s">
        <v>3636</v>
      </c>
      <c r="D688" s="62" t="s">
        <v>2548</v>
      </c>
      <c r="E688" s="102" t="s">
        <v>5977</v>
      </c>
      <c r="F688" s="102" t="s">
        <v>2581</v>
      </c>
      <c r="G688" s="102" t="s">
        <v>1036</v>
      </c>
      <c r="H688" s="175"/>
      <c r="I688" s="98">
        <v>-999</v>
      </c>
      <c r="J688" s="98">
        <v>-999</v>
      </c>
      <c r="K688" s="135"/>
      <c r="L688" s="62">
        <v>-999</v>
      </c>
    </row>
    <row r="689" spans="1:15" ht="28" x14ac:dyDescent="0.15">
      <c r="A689" s="165" t="s">
        <v>2633</v>
      </c>
      <c r="B689" s="93" t="s">
        <v>1028</v>
      </c>
      <c r="C689" s="102" t="s">
        <v>3636</v>
      </c>
      <c r="D689" s="62" t="s">
        <v>2548</v>
      </c>
      <c r="E689" s="102" t="s">
        <v>5977</v>
      </c>
      <c r="F689" s="102" t="s">
        <v>2581</v>
      </c>
      <c r="G689" s="102" t="s">
        <v>1029</v>
      </c>
      <c r="H689" s="175"/>
      <c r="I689" s="98">
        <v>-999</v>
      </c>
      <c r="J689" s="98">
        <v>-999</v>
      </c>
      <c r="K689" s="135"/>
      <c r="L689" s="62">
        <v>-999</v>
      </c>
    </row>
    <row r="690" spans="1:15" ht="14" x14ac:dyDescent="0.15">
      <c r="A690" s="165" t="s">
        <v>2633</v>
      </c>
      <c r="B690" s="93" t="s">
        <v>185</v>
      </c>
      <c r="C690" s="102" t="s">
        <v>3636</v>
      </c>
      <c r="D690" s="62" t="s">
        <v>2548</v>
      </c>
      <c r="E690" s="102" t="s">
        <v>5977</v>
      </c>
      <c r="F690" s="102" t="s">
        <v>2581</v>
      </c>
      <c r="G690" s="102" t="s">
        <v>186</v>
      </c>
      <c r="H690" s="175"/>
      <c r="I690" s="98">
        <v>-999</v>
      </c>
      <c r="J690" s="98">
        <v>-999</v>
      </c>
      <c r="K690" s="135"/>
      <c r="L690" s="62">
        <v>-999</v>
      </c>
    </row>
    <row r="691" spans="1:15" ht="42" x14ac:dyDescent="0.15">
      <c r="A691" s="165" t="s">
        <v>2633</v>
      </c>
      <c r="B691" s="93" t="s">
        <v>1243</v>
      </c>
      <c r="C691" s="102" t="s">
        <v>3636</v>
      </c>
      <c r="D691" s="62" t="s">
        <v>2548</v>
      </c>
      <c r="E691" s="102" t="s">
        <v>5977</v>
      </c>
      <c r="F691" s="102" t="s">
        <v>2581</v>
      </c>
      <c r="G691" s="102" t="s">
        <v>1244</v>
      </c>
      <c r="H691" s="175"/>
      <c r="I691" s="98">
        <v>-999</v>
      </c>
      <c r="J691" s="98">
        <v>-999</v>
      </c>
      <c r="K691" s="135"/>
      <c r="L691" s="62">
        <v>-999</v>
      </c>
    </row>
    <row r="692" spans="1:15" ht="14" x14ac:dyDescent="0.15">
      <c r="A692" s="168" t="s">
        <v>2633</v>
      </c>
      <c r="B692" s="93" t="s">
        <v>177</v>
      </c>
      <c r="C692" s="102" t="s">
        <v>3636</v>
      </c>
      <c r="D692" s="62" t="s">
        <v>2548</v>
      </c>
      <c r="E692" s="102" t="s">
        <v>5977</v>
      </c>
      <c r="F692" s="102" t="s">
        <v>2581</v>
      </c>
      <c r="G692" s="102" t="s">
        <v>1150</v>
      </c>
      <c r="H692" s="175"/>
      <c r="I692" s="98">
        <v>-999</v>
      </c>
      <c r="J692" s="98">
        <v>-999</v>
      </c>
      <c r="K692" s="135"/>
      <c r="L692" s="62">
        <v>-999</v>
      </c>
    </row>
    <row r="693" spans="1:15" ht="14" x14ac:dyDescent="0.15">
      <c r="A693" s="165" t="s">
        <v>2633</v>
      </c>
      <c r="B693" s="93" t="s">
        <v>1239</v>
      </c>
      <c r="C693" s="102" t="s">
        <v>3636</v>
      </c>
      <c r="D693" s="62" t="s">
        <v>2548</v>
      </c>
      <c r="E693" s="102" t="s">
        <v>5977</v>
      </c>
      <c r="F693" s="102" t="s">
        <v>2581</v>
      </c>
      <c r="G693" s="102" t="s">
        <v>1240</v>
      </c>
      <c r="H693" s="175"/>
      <c r="I693" s="98">
        <v>-999</v>
      </c>
      <c r="J693" s="98">
        <v>-999</v>
      </c>
      <c r="K693" s="135"/>
      <c r="L693" s="62">
        <v>-999</v>
      </c>
    </row>
    <row r="694" spans="1:15" ht="14" x14ac:dyDescent="0.15">
      <c r="A694" s="168" t="s">
        <v>2633</v>
      </c>
      <c r="B694" s="93" t="s">
        <v>127</v>
      </c>
      <c r="C694" s="102" t="s">
        <v>3636</v>
      </c>
      <c r="D694" s="62" t="s">
        <v>2548</v>
      </c>
      <c r="E694" s="102" t="s">
        <v>5977</v>
      </c>
      <c r="F694" s="102" t="s">
        <v>2581</v>
      </c>
      <c r="G694" s="102" t="s">
        <v>4419</v>
      </c>
      <c r="H694" s="175"/>
      <c r="I694" s="85">
        <f t="shared" ref="I694:I712" si="25">LOG(J694)</f>
        <v>0.3979400086720376</v>
      </c>
      <c r="J694" s="104">
        <v>2.5</v>
      </c>
      <c r="K694" s="144"/>
      <c r="L694" s="62">
        <v>153</v>
      </c>
    </row>
    <row r="695" spans="1:15" ht="56" x14ac:dyDescent="0.15">
      <c r="A695" s="168" t="s">
        <v>2633</v>
      </c>
      <c r="B695" s="93" t="s">
        <v>2799</v>
      </c>
      <c r="C695" s="102" t="s">
        <v>3636</v>
      </c>
      <c r="D695" s="62" t="s">
        <v>2548</v>
      </c>
      <c r="E695" s="102" t="s">
        <v>5977</v>
      </c>
      <c r="F695" s="102" t="s">
        <v>2581</v>
      </c>
      <c r="G695" s="102" t="s">
        <v>2085</v>
      </c>
      <c r="H695" s="175"/>
      <c r="I695" s="85">
        <f t="shared" si="25"/>
        <v>0.58954343390600705</v>
      </c>
      <c r="J695" s="104">
        <v>3.886363636364</v>
      </c>
      <c r="K695" s="144"/>
      <c r="L695" s="62" t="s">
        <v>7422</v>
      </c>
      <c r="N695" s="37" t="s">
        <v>1688</v>
      </c>
      <c r="O695" s="37" t="s">
        <v>1689</v>
      </c>
    </row>
    <row r="696" spans="1:15" ht="28" x14ac:dyDescent="0.15">
      <c r="A696" s="165" t="s">
        <v>2633</v>
      </c>
      <c r="B696" s="93" t="s">
        <v>996</v>
      </c>
      <c r="C696" s="102" t="s">
        <v>3636</v>
      </c>
      <c r="D696" s="62" t="s">
        <v>2548</v>
      </c>
      <c r="E696" s="102" t="s">
        <v>5977</v>
      </c>
      <c r="F696" s="102" t="s">
        <v>2581</v>
      </c>
      <c r="G696" s="102" t="s">
        <v>1264</v>
      </c>
      <c r="H696" s="175"/>
      <c r="I696" s="85">
        <f t="shared" si="25"/>
        <v>0.65801139665711239</v>
      </c>
      <c r="J696" s="104">
        <v>4.55</v>
      </c>
      <c r="K696" s="144"/>
      <c r="L696" s="62">
        <v>153</v>
      </c>
    </row>
    <row r="697" spans="1:15" ht="14" x14ac:dyDescent="0.15">
      <c r="A697" s="165" t="s">
        <v>2633</v>
      </c>
      <c r="B697" s="93" t="s">
        <v>184</v>
      </c>
      <c r="C697" s="102" t="s">
        <v>3636</v>
      </c>
      <c r="D697" s="62" t="s">
        <v>2548</v>
      </c>
      <c r="E697" s="102" t="s">
        <v>5977</v>
      </c>
      <c r="F697" s="102" t="s">
        <v>2581</v>
      </c>
      <c r="G697" s="102" t="s">
        <v>662</v>
      </c>
      <c r="H697" s="175"/>
      <c r="I697" s="98">
        <f t="shared" si="25"/>
        <v>0.66275783168157409</v>
      </c>
      <c r="J697" s="98">
        <f>AVERAGE(4.3, 4.9)</f>
        <v>4.5999999999999996</v>
      </c>
      <c r="K697" s="135"/>
      <c r="L697" s="62">
        <v>260</v>
      </c>
    </row>
    <row r="698" spans="1:15" ht="70" x14ac:dyDescent="0.15">
      <c r="A698" s="168" t="s">
        <v>2633</v>
      </c>
      <c r="B698" s="93" t="s">
        <v>1158</v>
      </c>
      <c r="C698" s="102" t="s">
        <v>3636</v>
      </c>
      <c r="D698" s="62" t="s">
        <v>2548</v>
      </c>
      <c r="E698" s="102" t="s">
        <v>5977</v>
      </c>
      <c r="F698" s="102" t="s">
        <v>2581</v>
      </c>
      <c r="G698" s="102" t="s">
        <v>4464</v>
      </c>
      <c r="H698" s="175"/>
      <c r="I698" s="85">
        <f t="shared" si="25"/>
        <v>0.77341901586724249</v>
      </c>
      <c r="J698" s="104">
        <v>5.9349766666669996</v>
      </c>
      <c r="K698" s="144"/>
      <c r="L698" s="62">
        <v>153</v>
      </c>
    </row>
    <row r="699" spans="1:15" ht="28" x14ac:dyDescent="0.15">
      <c r="A699" s="165" t="s">
        <v>2633</v>
      </c>
      <c r="B699" s="93" t="s">
        <v>1059</v>
      </c>
      <c r="C699" s="102" t="s">
        <v>3636</v>
      </c>
      <c r="D699" s="62" t="s">
        <v>2548</v>
      </c>
      <c r="E699" s="102" t="s">
        <v>5977</v>
      </c>
      <c r="F699" s="102" t="s">
        <v>2581</v>
      </c>
      <c r="G699" s="102" t="s">
        <v>7183</v>
      </c>
      <c r="H699" s="175"/>
      <c r="I699" s="85">
        <f t="shared" si="25"/>
        <v>0.77451696572854956</v>
      </c>
      <c r="J699" s="104">
        <v>5.95</v>
      </c>
      <c r="K699" s="144"/>
      <c r="L699" s="62">
        <v>153</v>
      </c>
    </row>
    <row r="700" spans="1:15" ht="28" x14ac:dyDescent="0.15">
      <c r="A700" s="165" t="s">
        <v>2633</v>
      </c>
      <c r="B700" s="93" t="s">
        <v>1165</v>
      </c>
      <c r="C700" s="102" t="s">
        <v>3636</v>
      </c>
      <c r="D700" s="62" t="s">
        <v>2548</v>
      </c>
      <c r="E700" s="102" t="s">
        <v>5977</v>
      </c>
      <c r="F700" s="102" t="s">
        <v>2581</v>
      </c>
      <c r="G700" s="102" t="s">
        <v>1166</v>
      </c>
      <c r="H700" s="175"/>
      <c r="I700" s="85">
        <f t="shared" si="25"/>
        <v>0.78532983501076703</v>
      </c>
      <c r="J700" s="104">
        <v>6.1</v>
      </c>
      <c r="K700" s="144"/>
      <c r="L700" s="62">
        <v>153</v>
      </c>
    </row>
    <row r="701" spans="1:15" ht="126" x14ac:dyDescent="0.15">
      <c r="A701" s="165" t="s">
        <v>2633</v>
      </c>
      <c r="B701" s="82" t="s">
        <v>187</v>
      </c>
      <c r="C701" s="107" t="s">
        <v>3636</v>
      </c>
      <c r="D701" s="62" t="s">
        <v>2548</v>
      </c>
      <c r="E701" s="107" t="s">
        <v>5977</v>
      </c>
      <c r="F701" s="107" t="s">
        <v>2581</v>
      </c>
      <c r="G701" s="107" t="s">
        <v>5493</v>
      </c>
      <c r="H701" s="179"/>
      <c r="I701" s="85">
        <f t="shared" si="25"/>
        <v>0.80345711564841393</v>
      </c>
      <c r="J701" s="104">
        <v>6.36</v>
      </c>
      <c r="K701" s="144"/>
      <c r="L701" s="62">
        <v>153</v>
      </c>
    </row>
    <row r="702" spans="1:15" ht="56" x14ac:dyDescent="0.15">
      <c r="A702" s="165" t="s">
        <v>2633</v>
      </c>
      <c r="B702" s="82" t="s">
        <v>1215</v>
      </c>
      <c r="C702" s="107" t="s">
        <v>3636</v>
      </c>
      <c r="D702" s="62" t="s">
        <v>2548</v>
      </c>
      <c r="E702" s="107" t="s">
        <v>5977</v>
      </c>
      <c r="F702" s="107" t="s">
        <v>2581</v>
      </c>
      <c r="G702" s="107" t="s">
        <v>4493</v>
      </c>
      <c r="H702" s="179"/>
      <c r="I702" s="85">
        <f t="shared" si="25"/>
        <v>0.84010609445675777</v>
      </c>
      <c r="J702" s="104">
        <v>6.92</v>
      </c>
      <c r="K702" s="144"/>
      <c r="L702" s="62">
        <v>153</v>
      </c>
      <c r="O702" s="37" t="s">
        <v>7351</v>
      </c>
    </row>
    <row r="703" spans="1:15" ht="28" x14ac:dyDescent="0.15">
      <c r="A703" s="165" t="s">
        <v>2633</v>
      </c>
      <c r="B703" s="93" t="s">
        <v>1006</v>
      </c>
      <c r="C703" s="102" t="s">
        <v>3636</v>
      </c>
      <c r="D703" s="62" t="s">
        <v>2548</v>
      </c>
      <c r="E703" s="102" t="s">
        <v>5977</v>
      </c>
      <c r="F703" s="102" t="s">
        <v>1007</v>
      </c>
      <c r="G703" s="102" t="s">
        <v>1103</v>
      </c>
      <c r="H703" s="175"/>
      <c r="I703" s="85">
        <f t="shared" si="25"/>
        <v>0.65321251377534373</v>
      </c>
      <c r="J703" s="104">
        <v>4.5</v>
      </c>
      <c r="K703" s="144"/>
      <c r="L703" s="62">
        <v>153</v>
      </c>
      <c r="O703" s="37" t="s">
        <v>7585</v>
      </c>
    </row>
    <row r="704" spans="1:15" ht="42" x14ac:dyDescent="0.15">
      <c r="A704" s="165" t="s">
        <v>2633</v>
      </c>
      <c r="B704" s="93" t="s">
        <v>1010</v>
      </c>
      <c r="C704" s="102" t="s">
        <v>3636</v>
      </c>
      <c r="D704" s="62" t="s">
        <v>2548</v>
      </c>
      <c r="E704" s="102" t="s">
        <v>5977</v>
      </c>
      <c r="F704" s="102" t="s">
        <v>1007</v>
      </c>
      <c r="G704" s="102" t="s">
        <v>1111</v>
      </c>
      <c r="H704" s="175"/>
      <c r="I704" s="85">
        <f t="shared" si="25"/>
        <v>0.9703468762300933</v>
      </c>
      <c r="J704" s="104">
        <v>9.34</v>
      </c>
      <c r="K704" s="144"/>
      <c r="L704" s="62">
        <v>153</v>
      </c>
      <c r="N704" s="37" t="s">
        <v>1686</v>
      </c>
      <c r="O704" s="37" t="s">
        <v>1687</v>
      </c>
    </row>
    <row r="705" spans="1:18" ht="28" x14ac:dyDescent="0.15">
      <c r="A705" s="165" t="s">
        <v>2633</v>
      </c>
      <c r="B705" s="93" t="s">
        <v>1110</v>
      </c>
      <c r="C705" s="102" t="s">
        <v>3636</v>
      </c>
      <c r="D705" s="62" t="s">
        <v>2548</v>
      </c>
      <c r="E705" s="102" t="s">
        <v>5977</v>
      </c>
      <c r="F705" s="102" t="s">
        <v>6038</v>
      </c>
      <c r="G705" s="102" t="s">
        <v>2658</v>
      </c>
      <c r="H705" s="175"/>
      <c r="I705" s="85">
        <f t="shared" si="25"/>
        <v>1.2922560713564761</v>
      </c>
      <c r="J705" s="104">
        <v>19.600000000000001</v>
      </c>
      <c r="K705" s="144"/>
      <c r="L705" s="62">
        <v>153</v>
      </c>
      <c r="N705" s="37" t="s">
        <v>1597</v>
      </c>
    </row>
    <row r="706" spans="1:18" ht="28" x14ac:dyDescent="0.15">
      <c r="A706" s="165" t="s">
        <v>2633</v>
      </c>
      <c r="B706" s="93" t="s">
        <v>1113</v>
      </c>
      <c r="C706" s="102" t="s">
        <v>3636</v>
      </c>
      <c r="D706" s="62" t="s">
        <v>2548</v>
      </c>
      <c r="E706" s="102" t="s">
        <v>5977</v>
      </c>
      <c r="F706" s="102" t="s">
        <v>6038</v>
      </c>
      <c r="G706" s="102" t="s">
        <v>3864</v>
      </c>
      <c r="H706" s="175"/>
      <c r="I706" s="85">
        <f t="shared" si="25"/>
        <v>1.306067436355588</v>
      </c>
      <c r="J706" s="104">
        <v>20.233333333333</v>
      </c>
      <c r="K706" s="144"/>
      <c r="L706" s="62">
        <v>153</v>
      </c>
      <c r="N706" s="37" t="s">
        <v>1593</v>
      </c>
      <c r="O706" s="37" t="s">
        <v>7592</v>
      </c>
    </row>
    <row r="707" spans="1:18" ht="56" x14ac:dyDescent="0.15">
      <c r="A707" s="165" t="s">
        <v>2633</v>
      </c>
      <c r="B707" s="93" t="s">
        <v>882</v>
      </c>
      <c r="C707" s="102" t="s">
        <v>3636</v>
      </c>
      <c r="D707" s="62" t="s">
        <v>2548</v>
      </c>
      <c r="E707" s="102" t="s">
        <v>5977</v>
      </c>
      <c r="F707" s="102" t="s">
        <v>6038</v>
      </c>
      <c r="G707" s="102" t="s">
        <v>883</v>
      </c>
      <c r="H707" s="175"/>
      <c r="I707" s="85">
        <f t="shared" si="25"/>
        <v>1.4001677994431969</v>
      </c>
      <c r="J707" s="104">
        <v>25.128571428571</v>
      </c>
      <c r="K707" s="144"/>
      <c r="L707" s="62">
        <v>153</v>
      </c>
      <c r="N707" s="37" t="s">
        <v>1592</v>
      </c>
      <c r="O707" s="37" t="s">
        <v>1829</v>
      </c>
    </row>
    <row r="708" spans="1:18" ht="14" x14ac:dyDescent="0.15">
      <c r="A708" s="165" t="s">
        <v>2633</v>
      </c>
      <c r="B708" s="93" t="s">
        <v>884</v>
      </c>
      <c r="C708" s="102" t="s">
        <v>3636</v>
      </c>
      <c r="D708" s="62" t="s">
        <v>2548</v>
      </c>
      <c r="E708" s="102" t="s">
        <v>5977</v>
      </c>
      <c r="F708" s="102" t="s">
        <v>6038</v>
      </c>
      <c r="G708" s="102" t="s">
        <v>885</v>
      </c>
      <c r="H708" s="175"/>
      <c r="I708" s="85">
        <f t="shared" si="25"/>
        <v>1.4771212547196624</v>
      </c>
      <c r="J708" s="104">
        <v>30</v>
      </c>
      <c r="K708" s="144"/>
      <c r="L708" s="62">
        <v>153</v>
      </c>
      <c r="N708" s="37" t="s">
        <v>1837</v>
      </c>
      <c r="O708" s="37" t="s">
        <v>1596</v>
      </c>
    </row>
    <row r="709" spans="1:18" ht="28" x14ac:dyDescent="0.15">
      <c r="A709" s="165" t="s">
        <v>2633</v>
      </c>
      <c r="B709" s="93" t="s">
        <v>149</v>
      </c>
      <c r="C709" s="102" t="s">
        <v>3636</v>
      </c>
      <c r="D709" s="62" t="s">
        <v>2548</v>
      </c>
      <c r="E709" s="102" t="s">
        <v>5977</v>
      </c>
      <c r="F709" s="102" t="s">
        <v>6038</v>
      </c>
      <c r="G709" s="102" t="s">
        <v>6426</v>
      </c>
      <c r="H709" s="175"/>
      <c r="I709" s="85">
        <f t="shared" si="25"/>
        <v>2.0043213737826426</v>
      </c>
      <c r="J709" s="104">
        <v>101</v>
      </c>
      <c r="K709" s="144"/>
      <c r="L709" s="62">
        <v>153</v>
      </c>
      <c r="N709" s="37" t="s">
        <v>1594</v>
      </c>
      <c r="O709" s="37" t="s">
        <v>1595</v>
      </c>
    </row>
    <row r="710" spans="1:18" ht="14" x14ac:dyDescent="0.15">
      <c r="A710" s="166" t="s">
        <v>2633</v>
      </c>
      <c r="B710" s="82"/>
      <c r="C710" s="70" t="s">
        <v>3636</v>
      </c>
      <c r="D710" s="70" t="s">
        <v>4289</v>
      </c>
      <c r="E710" s="70" t="s">
        <v>4290</v>
      </c>
      <c r="F710" s="70" t="s">
        <v>6963</v>
      </c>
      <c r="G710" s="70" t="s">
        <v>3492</v>
      </c>
      <c r="H710" s="93"/>
      <c r="I710" s="85">
        <f t="shared" si="25"/>
        <v>3.3856062735983121</v>
      </c>
      <c r="J710" s="85">
        <v>2430</v>
      </c>
      <c r="K710" s="131" t="s">
        <v>6485</v>
      </c>
      <c r="L710" s="60">
        <v>-999</v>
      </c>
      <c r="M710" s="49" t="s">
        <v>6728</v>
      </c>
    </row>
    <row r="711" spans="1:18" ht="14" x14ac:dyDescent="0.15">
      <c r="A711" s="166" t="s">
        <v>2633</v>
      </c>
      <c r="B711" s="82"/>
      <c r="C711" s="70" t="s">
        <v>3636</v>
      </c>
      <c r="D711" s="70" t="s">
        <v>4289</v>
      </c>
      <c r="E711" s="70" t="s">
        <v>4290</v>
      </c>
      <c r="F711" s="70" t="s">
        <v>6963</v>
      </c>
      <c r="G711" s="70" t="s">
        <v>7008</v>
      </c>
      <c r="H711" s="93"/>
      <c r="I711" s="85">
        <f t="shared" si="25"/>
        <v>3.4698200000000003</v>
      </c>
      <c r="J711" s="85">
        <v>2949.9863062460499</v>
      </c>
      <c r="K711" s="131" t="s">
        <v>3177</v>
      </c>
      <c r="L711" s="60">
        <v>65</v>
      </c>
    </row>
    <row r="712" spans="1:18" ht="14" x14ac:dyDescent="0.15">
      <c r="A712" s="166" t="s">
        <v>2633</v>
      </c>
      <c r="B712" s="82"/>
      <c r="C712" s="70" t="s">
        <v>3636</v>
      </c>
      <c r="D712" s="70" t="s">
        <v>4289</v>
      </c>
      <c r="E712" s="70" t="s">
        <v>4290</v>
      </c>
      <c r="F712" s="70" t="s">
        <v>6963</v>
      </c>
      <c r="G712" s="70" t="s">
        <v>3449</v>
      </c>
      <c r="H712" s="93"/>
      <c r="I712" s="85">
        <f t="shared" si="25"/>
        <v>3.5017437296279943</v>
      </c>
      <c r="J712" s="85">
        <v>3175</v>
      </c>
      <c r="K712" s="131" t="s">
        <v>6485</v>
      </c>
      <c r="L712" s="60">
        <v>68</v>
      </c>
    </row>
    <row r="713" spans="1:18" ht="16" x14ac:dyDescent="0.2">
      <c r="A713" s="166" t="s">
        <v>2633</v>
      </c>
      <c r="B713" s="93" t="s">
        <v>5982</v>
      </c>
      <c r="C713" s="70" t="s">
        <v>3636</v>
      </c>
      <c r="D713" s="70" t="s">
        <v>4289</v>
      </c>
      <c r="E713" s="70" t="s">
        <v>4290</v>
      </c>
      <c r="F713" s="70" t="s">
        <v>7009</v>
      </c>
      <c r="G713" s="70" t="s">
        <v>5506</v>
      </c>
      <c r="H713" s="93"/>
      <c r="I713" s="85">
        <v>-999</v>
      </c>
      <c r="J713" s="85">
        <v>-999</v>
      </c>
      <c r="K713" s="131" t="s">
        <v>3177</v>
      </c>
      <c r="L713" s="60">
        <v>-999</v>
      </c>
      <c r="M713" s="33" t="s">
        <v>6728</v>
      </c>
      <c r="N713" s="48"/>
    </row>
    <row r="714" spans="1:18" ht="14" x14ac:dyDescent="0.15">
      <c r="A714" s="166" t="s">
        <v>2633</v>
      </c>
      <c r="B714" s="82"/>
      <c r="C714" s="70" t="s">
        <v>3636</v>
      </c>
      <c r="D714" s="70" t="s">
        <v>4289</v>
      </c>
      <c r="E714" s="70" t="s">
        <v>4290</v>
      </c>
      <c r="F714" s="70" t="s">
        <v>7009</v>
      </c>
      <c r="G714" s="70" t="s">
        <v>7010</v>
      </c>
      <c r="H714" s="93"/>
      <c r="I714" s="85">
        <f t="shared" ref="I714:I720" si="26">LOG(J714)</f>
        <v>3.41913</v>
      </c>
      <c r="J714" s="85">
        <v>2625.0041842087303</v>
      </c>
      <c r="K714" s="131" t="s">
        <v>3177</v>
      </c>
      <c r="L714" s="60">
        <v>65</v>
      </c>
      <c r="M714" s="49" t="s">
        <v>6728</v>
      </c>
    </row>
    <row r="715" spans="1:18" ht="14" x14ac:dyDescent="0.15">
      <c r="A715" s="166" t="s">
        <v>2633</v>
      </c>
      <c r="B715" s="82"/>
      <c r="C715" s="70" t="s">
        <v>3636</v>
      </c>
      <c r="D715" s="70" t="s">
        <v>4289</v>
      </c>
      <c r="E715" s="70" t="s">
        <v>4290</v>
      </c>
      <c r="F715" s="70" t="s">
        <v>7011</v>
      </c>
      <c r="G715" s="70" t="s">
        <v>4078</v>
      </c>
      <c r="H715" s="93"/>
      <c r="I715" s="85">
        <f t="shared" si="26"/>
        <v>3.4814400000000005</v>
      </c>
      <c r="J715" s="85">
        <v>3029.9816614343204</v>
      </c>
      <c r="K715" s="131" t="s">
        <v>3177</v>
      </c>
      <c r="L715" s="60">
        <v>60</v>
      </c>
    </row>
    <row r="716" spans="1:18" ht="28" x14ac:dyDescent="0.15">
      <c r="A716" s="70" t="s">
        <v>2633</v>
      </c>
      <c r="B716" s="82"/>
      <c r="C716" s="70" t="s">
        <v>3636</v>
      </c>
      <c r="D716" s="70" t="s">
        <v>7012</v>
      </c>
      <c r="E716" s="70" t="s">
        <v>2252</v>
      </c>
      <c r="F716" s="70" t="s">
        <v>2253</v>
      </c>
      <c r="G716" s="70" t="s">
        <v>2258</v>
      </c>
      <c r="H716" s="93"/>
      <c r="I716" s="85">
        <f t="shared" si="26"/>
        <v>1.3424199999999999</v>
      </c>
      <c r="J716" s="85">
        <v>21.999864198351659</v>
      </c>
      <c r="K716" s="131" t="s">
        <v>7875</v>
      </c>
      <c r="L716" s="60">
        <v>60</v>
      </c>
      <c r="M716" s="49" t="s">
        <v>6809</v>
      </c>
    </row>
    <row r="717" spans="1:18" ht="14" x14ac:dyDescent="0.15">
      <c r="A717" s="70" t="s">
        <v>2633</v>
      </c>
      <c r="B717" s="82" t="s">
        <v>5879</v>
      </c>
      <c r="C717" s="70" t="s">
        <v>3636</v>
      </c>
      <c r="D717" s="70" t="s">
        <v>7012</v>
      </c>
      <c r="E717" s="70" t="s">
        <v>2252</v>
      </c>
      <c r="F717" s="70" t="s">
        <v>2253</v>
      </c>
      <c r="G717" s="70" t="s">
        <v>5661</v>
      </c>
      <c r="H717" s="93"/>
      <c r="I717" s="85">
        <f t="shared" si="26"/>
        <v>1.4492406861111515</v>
      </c>
      <c r="J717" s="85">
        <v>28.134596184471679</v>
      </c>
      <c r="K717" s="131" t="s">
        <v>6630</v>
      </c>
      <c r="L717" s="60">
        <v>196</v>
      </c>
      <c r="M717" s="33" t="s">
        <v>6728</v>
      </c>
      <c r="Q717" s="14"/>
      <c r="R717" s="14"/>
    </row>
    <row r="718" spans="1:18" ht="14" x14ac:dyDescent="0.15">
      <c r="A718" s="70" t="s">
        <v>2633</v>
      </c>
      <c r="B718" s="82"/>
      <c r="C718" s="70" t="s">
        <v>3636</v>
      </c>
      <c r="D718" s="70" t="s">
        <v>7012</v>
      </c>
      <c r="E718" s="70" t="s">
        <v>2252</v>
      </c>
      <c r="F718" s="70" t="s">
        <v>2253</v>
      </c>
      <c r="G718" s="70" t="s">
        <v>2485</v>
      </c>
      <c r="H718" s="93"/>
      <c r="I718" s="85">
        <f t="shared" si="26"/>
        <v>1.6434500000000003</v>
      </c>
      <c r="J718" s="85">
        <v>43.999728835998937</v>
      </c>
      <c r="K718" s="131" t="s">
        <v>3177</v>
      </c>
      <c r="L718" s="60">
        <v>60</v>
      </c>
    </row>
    <row r="719" spans="1:18" ht="14" x14ac:dyDescent="0.15">
      <c r="A719" s="70" t="s">
        <v>2633</v>
      </c>
      <c r="B719" s="82"/>
      <c r="C719" s="70" t="s">
        <v>3636</v>
      </c>
      <c r="D719" s="70" t="s">
        <v>7012</v>
      </c>
      <c r="E719" s="70" t="s">
        <v>2252</v>
      </c>
      <c r="F719" s="70" t="s">
        <v>2253</v>
      </c>
      <c r="G719" s="70" t="s">
        <v>2484</v>
      </c>
      <c r="H719" s="93"/>
      <c r="I719" s="85">
        <f t="shared" si="26"/>
        <v>1.7209857441537391</v>
      </c>
      <c r="J719" s="85">
        <f>AVERAGE(55.5, 49.7)</f>
        <v>52.6</v>
      </c>
      <c r="K719" s="131" t="s">
        <v>3177</v>
      </c>
      <c r="L719" s="60">
        <v>260</v>
      </c>
    </row>
    <row r="720" spans="1:18" ht="14" x14ac:dyDescent="0.15">
      <c r="A720" s="70" t="s">
        <v>2633</v>
      </c>
      <c r="B720" s="82"/>
      <c r="C720" s="70" t="s">
        <v>3636</v>
      </c>
      <c r="D720" s="70" t="s">
        <v>7012</v>
      </c>
      <c r="E720" s="70" t="s">
        <v>2252</v>
      </c>
      <c r="F720" s="70" t="s">
        <v>2405</v>
      </c>
      <c r="G720" s="70" t="s">
        <v>2254</v>
      </c>
      <c r="H720" s="93"/>
      <c r="I720" s="85">
        <f t="shared" si="26"/>
        <v>1.3811167204794246</v>
      </c>
      <c r="J720" s="85">
        <f>AVERAGE(24.050272417917, 27.3, 20.8)</f>
        <v>24.050090805972332</v>
      </c>
      <c r="K720" s="131" t="s">
        <v>3177</v>
      </c>
      <c r="L720" s="60" t="s">
        <v>6839</v>
      </c>
    </row>
    <row r="721" spans="1:13" ht="14" x14ac:dyDescent="0.15">
      <c r="A721" s="70" t="s">
        <v>2633</v>
      </c>
      <c r="B721" s="93" t="s">
        <v>6128</v>
      </c>
      <c r="C721" s="70" t="s">
        <v>3636</v>
      </c>
      <c r="D721" s="70" t="s">
        <v>7012</v>
      </c>
      <c r="E721" s="70" t="s">
        <v>2252</v>
      </c>
      <c r="F721" s="70" t="s">
        <v>2255</v>
      </c>
      <c r="G721" s="70" t="s">
        <v>5662</v>
      </c>
      <c r="H721" s="93"/>
      <c r="I721" s="85">
        <v>-999</v>
      </c>
      <c r="J721" s="85">
        <v>-999</v>
      </c>
      <c r="K721" s="131" t="s">
        <v>6630</v>
      </c>
      <c r="L721" s="60">
        <v>-999</v>
      </c>
      <c r="M721" s="33" t="s">
        <v>6728</v>
      </c>
    </row>
    <row r="722" spans="1:13" ht="28" x14ac:dyDescent="0.15">
      <c r="A722" s="70" t="s">
        <v>2633</v>
      </c>
      <c r="B722" s="93" t="s">
        <v>2505</v>
      </c>
      <c r="C722" s="70" t="s">
        <v>3636</v>
      </c>
      <c r="D722" s="70" t="s">
        <v>7012</v>
      </c>
      <c r="E722" s="70" t="s">
        <v>2252</v>
      </c>
      <c r="F722" s="70" t="s">
        <v>2255</v>
      </c>
      <c r="G722" s="70" t="s">
        <v>4980</v>
      </c>
      <c r="H722" s="93"/>
      <c r="I722" s="85">
        <v>-999</v>
      </c>
      <c r="J722" s="85">
        <v>-999</v>
      </c>
      <c r="K722" s="131" t="s">
        <v>3177</v>
      </c>
      <c r="L722" s="60">
        <v>-999</v>
      </c>
      <c r="M722" s="33"/>
    </row>
    <row r="723" spans="1:13" ht="14" x14ac:dyDescent="0.15">
      <c r="A723" s="73" t="s">
        <v>2633</v>
      </c>
      <c r="B723" s="93" t="s">
        <v>2497</v>
      </c>
      <c r="C723" s="70" t="s">
        <v>3636</v>
      </c>
      <c r="D723" s="70" t="s">
        <v>7012</v>
      </c>
      <c r="E723" s="70" t="s">
        <v>2252</v>
      </c>
      <c r="F723" s="70" t="s">
        <v>2255</v>
      </c>
      <c r="G723" s="70" t="s">
        <v>3705</v>
      </c>
      <c r="H723" s="93"/>
      <c r="I723" s="85">
        <v>-999</v>
      </c>
      <c r="J723" s="85">
        <v>-999</v>
      </c>
      <c r="K723" s="131" t="s">
        <v>6816</v>
      </c>
      <c r="L723" s="60">
        <v>-999</v>
      </c>
      <c r="M723" s="33" t="s">
        <v>6809</v>
      </c>
    </row>
    <row r="724" spans="1:13" ht="42" x14ac:dyDescent="0.15">
      <c r="A724" s="70" t="s">
        <v>2633</v>
      </c>
      <c r="B724" s="93" t="s">
        <v>1432</v>
      </c>
      <c r="C724" s="70" t="s">
        <v>3636</v>
      </c>
      <c r="D724" s="70" t="s">
        <v>7012</v>
      </c>
      <c r="E724" s="70" t="s">
        <v>2252</v>
      </c>
      <c r="F724" s="70" t="s">
        <v>2255</v>
      </c>
      <c r="G724" s="70" t="s">
        <v>2320</v>
      </c>
      <c r="H724" s="93"/>
      <c r="I724" s="85">
        <f t="shared" ref="I724:I730" si="27">LOG(J724)</f>
        <v>1.6127838567197355</v>
      </c>
      <c r="J724" s="85">
        <f>AVERAGE(48, 36, 39)</f>
        <v>41</v>
      </c>
      <c r="K724" s="131" t="s">
        <v>6630</v>
      </c>
      <c r="L724" s="60" t="s">
        <v>1767</v>
      </c>
      <c r="M724" s="33" t="s">
        <v>6728</v>
      </c>
    </row>
    <row r="725" spans="1:13" ht="14" x14ac:dyDescent="0.15">
      <c r="A725" s="70" t="s">
        <v>2633</v>
      </c>
      <c r="B725" s="82"/>
      <c r="C725" s="70" t="s">
        <v>3636</v>
      </c>
      <c r="D725" s="70" t="s">
        <v>7012</v>
      </c>
      <c r="E725" s="70" t="s">
        <v>2252</v>
      </c>
      <c r="F725" s="70" t="s">
        <v>2255</v>
      </c>
      <c r="G725" s="70" t="s">
        <v>2256</v>
      </c>
      <c r="H725" s="93"/>
      <c r="I725" s="85">
        <f t="shared" si="27"/>
        <v>1.718917790679384</v>
      </c>
      <c r="J725" s="85">
        <f>AVERAGE(52.3503994703851, 58.2, 46.5)</f>
        <v>52.350133156795039</v>
      </c>
      <c r="K725" s="131" t="s">
        <v>3177</v>
      </c>
      <c r="L725" s="60" t="s">
        <v>6839</v>
      </c>
    </row>
    <row r="726" spans="1:13" ht="14" x14ac:dyDescent="0.15">
      <c r="A726" s="70" t="s">
        <v>2633</v>
      </c>
      <c r="B726" s="93" t="s">
        <v>1433</v>
      </c>
      <c r="C726" s="70" t="s">
        <v>3636</v>
      </c>
      <c r="D726" s="70" t="s">
        <v>7012</v>
      </c>
      <c r="E726" s="70" t="s">
        <v>2252</v>
      </c>
      <c r="F726" s="70" t="s">
        <v>2039</v>
      </c>
      <c r="G726" s="70" t="s">
        <v>3372</v>
      </c>
      <c r="H726" s="93"/>
      <c r="I726" s="85">
        <f t="shared" si="27"/>
        <v>1.4771212547196624</v>
      </c>
      <c r="J726" s="110">
        <v>30</v>
      </c>
      <c r="K726" s="131" t="s">
        <v>6630</v>
      </c>
      <c r="L726" s="60">
        <v>230</v>
      </c>
      <c r="M726" s="33" t="s">
        <v>6809</v>
      </c>
    </row>
    <row r="727" spans="1:13" ht="14" x14ac:dyDescent="0.15">
      <c r="A727" s="70" t="s">
        <v>2633</v>
      </c>
      <c r="B727" s="82"/>
      <c r="C727" s="70" t="s">
        <v>3636</v>
      </c>
      <c r="D727" s="70" t="s">
        <v>7012</v>
      </c>
      <c r="E727" s="70" t="s">
        <v>2252</v>
      </c>
      <c r="F727" s="70" t="s">
        <v>2039</v>
      </c>
      <c r="G727" s="70" t="s">
        <v>2410</v>
      </c>
      <c r="H727" s="93"/>
      <c r="I727" s="85">
        <f t="shared" si="27"/>
        <v>1.5998800000000002</v>
      </c>
      <c r="J727" s="85">
        <v>39.799718467294838</v>
      </c>
      <c r="K727" s="131" t="s">
        <v>3177</v>
      </c>
      <c r="L727" s="60">
        <v>60</v>
      </c>
    </row>
    <row r="728" spans="1:13" ht="14" x14ac:dyDescent="0.15">
      <c r="A728" s="70" t="s">
        <v>2633</v>
      </c>
      <c r="B728" s="82"/>
      <c r="C728" s="70" t="s">
        <v>3636</v>
      </c>
      <c r="D728" s="70" t="s">
        <v>7012</v>
      </c>
      <c r="E728" s="70" t="s">
        <v>2252</v>
      </c>
      <c r="F728" s="70" t="s">
        <v>2039</v>
      </c>
      <c r="G728" s="70" t="s">
        <v>2040</v>
      </c>
      <c r="H728" s="93"/>
      <c r="I728" s="85">
        <f t="shared" si="27"/>
        <v>1.6901999999999999</v>
      </c>
      <c r="J728" s="85">
        <v>49.000442279323579</v>
      </c>
      <c r="K728" s="131" t="s">
        <v>3177</v>
      </c>
      <c r="L728" s="60">
        <v>60</v>
      </c>
    </row>
    <row r="729" spans="1:13" ht="14" x14ac:dyDescent="0.15">
      <c r="A729" s="70" t="s">
        <v>2633</v>
      </c>
      <c r="B729" s="82"/>
      <c r="C729" s="70" t="s">
        <v>3636</v>
      </c>
      <c r="D729" s="70" t="s">
        <v>7012</v>
      </c>
      <c r="E729" s="70" t="s">
        <v>2252</v>
      </c>
      <c r="F729" s="70" t="s">
        <v>4736</v>
      </c>
      <c r="G729" s="70" t="s">
        <v>4566</v>
      </c>
      <c r="H729" s="93"/>
      <c r="I729" s="85">
        <f t="shared" si="27"/>
        <v>2.0787294286241331</v>
      </c>
      <c r="J729" s="85">
        <f>AVERAGE(104.500892596965, 125, 108, 142)</f>
        <v>119.87522314924125</v>
      </c>
      <c r="K729" s="131" t="s">
        <v>6391</v>
      </c>
      <c r="L729" s="60" t="s">
        <v>6839</v>
      </c>
      <c r="M729" s="49" t="s">
        <v>6728</v>
      </c>
    </row>
    <row r="730" spans="1:13" ht="28" x14ac:dyDescent="0.15">
      <c r="A730" s="73" t="s">
        <v>2633</v>
      </c>
      <c r="B730" s="82"/>
      <c r="C730" s="70" t="s">
        <v>3636</v>
      </c>
      <c r="D730" s="70" t="s">
        <v>7012</v>
      </c>
      <c r="E730" s="70" t="s">
        <v>2252</v>
      </c>
      <c r="F730" s="70" t="s">
        <v>4736</v>
      </c>
      <c r="G730" s="70" t="s">
        <v>4861</v>
      </c>
      <c r="H730" s="93"/>
      <c r="I730" s="85">
        <f t="shared" si="27"/>
        <v>2.6299200000000003</v>
      </c>
      <c r="J730" s="85">
        <v>426.50094718725063</v>
      </c>
      <c r="K730" s="131" t="s">
        <v>6644</v>
      </c>
      <c r="L730" s="60">
        <v>60</v>
      </c>
      <c r="M730" s="49" t="s">
        <v>6390</v>
      </c>
    </row>
    <row r="731" spans="1:13" ht="14" x14ac:dyDescent="0.15">
      <c r="A731" s="70" t="s">
        <v>2633</v>
      </c>
      <c r="B731" s="93" t="s">
        <v>1640</v>
      </c>
      <c r="C731" s="70" t="s">
        <v>3636</v>
      </c>
      <c r="D731" s="70" t="s">
        <v>7012</v>
      </c>
      <c r="E731" s="70" t="s">
        <v>2252</v>
      </c>
      <c r="F731" s="70" t="s">
        <v>3373</v>
      </c>
      <c r="G731" s="70" t="s">
        <v>3852</v>
      </c>
      <c r="H731" s="93"/>
      <c r="I731" s="85">
        <v>-999</v>
      </c>
      <c r="J731" s="85">
        <v>-999</v>
      </c>
      <c r="K731" s="131" t="s">
        <v>6391</v>
      </c>
      <c r="L731" s="60">
        <v>-999</v>
      </c>
      <c r="M731" s="33" t="s">
        <v>6728</v>
      </c>
    </row>
    <row r="732" spans="1:13" ht="14" x14ac:dyDescent="0.15">
      <c r="A732" s="70" t="s">
        <v>2633</v>
      </c>
      <c r="B732" s="93" t="s">
        <v>1640</v>
      </c>
      <c r="C732" s="70" t="s">
        <v>3636</v>
      </c>
      <c r="D732" s="70" t="s">
        <v>7012</v>
      </c>
      <c r="E732" s="70" t="s">
        <v>2252</v>
      </c>
      <c r="F732" s="70" t="s">
        <v>3373</v>
      </c>
      <c r="G732" s="70" t="s">
        <v>3853</v>
      </c>
      <c r="H732" s="93"/>
      <c r="I732" s="85">
        <f>LOG(J732)</f>
        <v>1.3979400086720377</v>
      </c>
      <c r="J732" s="110">
        <v>25</v>
      </c>
      <c r="K732" s="131" t="s">
        <v>6391</v>
      </c>
      <c r="L732" s="60">
        <v>229</v>
      </c>
      <c r="M732" s="33" t="s">
        <v>6809</v>
      </c>
    </row>
    <row r="733" spans="1:13" ht="28" x14ac:dyDescent="0.15">
      <c r="A733" s="70" t="s">
        <v>2633</v>
      </c>
      <c r="B733" s="82"/>
      <c r="C733" s="70" t="s">
        <v>3636</v>
      </c>
      <c r="D733" s="70" t="s">
        <v>7012</v>
      </c>
      <c r="E733" s="70" t="s">
        <v>2252</v>
      </c>
      <c r="F733" s="70" t="s">
        <v>4446</v>
      </c>
      <c r="G733" s="70" t="s">
        <v>7015</v>
      </c>
      <c r="H733" s="93"/>
      <c r="I733" s="85">
        <f>LOG(J733)</f>
        <v>1.4166400000000001</v>
      </c>
      <c r="J733" s="85">
        <v>26.09996951027022</v>
      </c>
      <c r="K733" s="131" t="s">
        <v>7875</v>
      </c>
      <c r="L733" s="60">
        <v>60</v>
      </c>
      <c r="M733" s="49" t="s">
        <v>6728</v>
      </c>
    </row>
    <row r="734" spans="1:13" ht="14" x14ac:dyDescent="0.15">
      <c r="A734" s="70" t="s">
        <v>2633</v>
      </c>
      <c r="B734" s="82"/>
      <c r="C734" s="70" t="s">
        <v>3636</v>
      </c>
      <c r="D734" s="70" t="s">
        <v>7012</v>
      </c>
      <c r="E734" s="70" t="s">
        <v>6985</v>
      </c>
      <c r="F734" s="70" t="s">
        <v>7415</v>
      </c>
      <c r="G734" s="70" t="s">
        <v>2320</v>
      </c>
      <c r="H734" s="93"/>
      <c r="I734" s="85">
        <v>-999</v>
      </c>
      <c r="J734" s="85">
        <v>-999</v>
      </c>
      <c r="K734" s="131" t="s">
        <v>3177</v>
      </c>
      <c r="L734" s="60">
        <v>-999</v>
      </c>
      <c r="M734" s="33"/>
    </row>
    <row r="735" spans="1:13" ht="14" x14ac:dyDescent="0.15">
      <c r="A735" s="70" t="s">
        <v>2633</v>
      </c>
      <c r="B735" s="82"/>
      <c r="C735" s="70" t="s">
        <v>3636</v>
      </c>
      <c r="D735" s="70" t="s">
        <v>7012</v>
      </c>
      <c r="E735" s="70" t="s">
        <v>6985</v>
      </c>
      <c r="F735" s="70" t="s">
        <v>7415</v>
      </c>
      <c r="G735" s="70" t="s">
        <v>7417</v>
      </c>
      <c r="H735" s="93"/>
      <c r="I735" s="85">
        <f>LOG(J735)</f>
        <v>2.4906600000000001</v>
      </c>
      <c r="J735" s="85">
        <v>309.49953438604319</v>
      </c>
      <c r="K735" s="131" t="s">
        <v>3177</v>
      </c>
      <c r="L735" s="60">
        <v>60</v>
      </c>
    </row>
    <row r="736" spans="1:13" ht="14" x14ac:dyDescent="0.15">
      <c r="A736" s="70" t="s">
        <v>2633</v>
      </c>
      <c r="B736" s="82"/>
      <c r="C736" s="70" t="s">
        <v>3636</v>
      </c>
      <c r="D736" s="70" t="s">
        <v>7012</v>
      </c>
      <c r="E736" s="70" t="s">
        <v>6985</v>
      </c>
      <c r="F736" s="70" t="s">
        <v>7415</v>
      </c>
      <c r="G736" s="70" t="s">
        <v>4198</v>
      </c>
      <c r="H736" s="93"/>
      <c r="I736" s="85">
        <f>LOG(J736)</f>
        <v>2.7781500000000001</v>
      </c>
      <c r="J736" s="85">
        <v>599.99827253364413</v>
      </c>
      <c r="K736" s="131" t="s">
        <v>3177</v>
      </c>
      <c r="L736" s="60">
        <v>65</v>
      </c>
    </row>
    <row r="737" spans="1:14" ht="14" x14ac:dyDescent="0.15">
      <c r="A737" s="70" t="s">
        <v>2633</v>
      </c>
      <c r="B737" s="82"/>
      <c r="C737" s="70" t="s">
        <v>3636</v>
      </c>
      <c r="D737" s="70" t="s">
        <v>7012</v>
      </c>
      <c r="E737" s="70" t="s">
        <v>6985</v>
      </c>
      <c r="F737" s="70" t="s">
        <v>7415</v>
      </c>
      <c r="G737" s="70" t="s">
        <v>7416</v>
      </c>
      <c r="H737" s="93"/>
      <c r="I737" s="85">
        <f>LOG(J737)</f>
        <v>3.0969100000000003</v>
      </c>
      <c r="J737" s="85">
        <v>1249.9999625598048</v>
      </c>
      <c r="K737" s="131" t="s">
        <v>3177</v>
      </c>
      <c r="L737" s="60">
        <v>65</v>
      </c>
    </row>
    <row r="738" spans="1:14" ht="14" x14ac:dyDescent="0.15">
      <c r="A738" s="70" t="s">
        <v>2633</v>
      </c>
      <c r="B738" s="82"/>
      <c r="C738" s="70" t="s">
        <v>3636</v>
      </c>
      <c r="D738" s="70" t="s">
        <v>7012</v>
      </c>
      <c r="E738" s="70" t="s">
        <v>6985</v>
      </c>
      <c r="F738" s="70" t="s">
        <v>2023</v>
      </c>
      <c r="G738" s="70" t="s">
        <v>3301</v>
      </c>
      <c r="H738" s="93"/>
      <c r="I738" s="85">
        <f>LOG(J738)</f>
        <v>2.2741600000000002</v>
      </c>
      <c r="J738" s="85">
        <v>188.00093102594275</v>
      </c>
      <c r="K738" s="131" t="s">
        <v>3177</v>
      </c>
      <c r="L738" s="60">
        <v>60</v>
      </c>
    </row>
    <row r="739" spans="1:14" ht="28" x14ac:dyDescent="0.15">
      <c r="A739" s="70" t="s">
        <v>2633</v>
      </c>
      <c r="B739" s="93" t="s">
        <v>2496</v>
      </c>
      <c r="C739" s="70" t="s">
        <v>3636</v>
      </c>
      <c r="D739" s="70" t="s">
        <v>7012</v>
      </c>
      <c r="E739" s="70" t="s">
        <v>4722</v>
      </c>
      <c r="F739" s="70" t="s">
        <v>6405</v>
      </c>
      <c r="G739" s="70" t="s">
        <v>6406</v>
      </c>
      <c r="H739" s="93"/>
      <c r="I739" s="85">
        <v>-999</v>
      </c>
      <c r="J739" s="85">
        <v>-999</v>
      </c>
      <c r="K739" s="131" t="s">
        <v>7875</v>
      </c>
      <c r="L739" s="60">
        <v>-999</v>
      </c>
      <c r="M739" s="33" t="s">
        <v>6809</v>
      </c>
    </row>
    <row r="740" spans="1:14" ht="16" x14ac:dyDescent="0.2">
      <c r="A740" s="166" t="s">
        <v>2633</v>
      </c>
      <c r="B740" s="82"/>
      <c r="C740" s="70" t="s">
        <v>3636</v>
      </c>
      <c r="D740" s="70" t="s">
        <v>7012</v>
      </c>
      <c r="E740" s="70" t="s">
        <v>4722</v>
      </c>
      <c r="F740" s="70" t="s">
        <v>4865</v>
      </c>
      <c r="G740" s="70" t="s">
        <v>7312</v>
      </c>
      <c r="H740" s="93"/>
      <c r="I740" s="85">
        <v>-999</v>
      </c>
      <c r="J740" s="85">
        <v>-999</v>
      </c>
      <c r="K740" s="131" t="s">
        <v>3177</v>
      </c>
      <c r="L740" s="60">
        <v>-999</v>
      </c>
      <c r="M740" s="33"/>
      <c r="N740" s="48"/>
    </row>
    <row r="741" spans="1:14" ht="28" x14ac:dyDescent="0.15">
      <c r="A741" s="166" t="s">
        <v>2633</v>
      </c>
      <c r="B741" s="82"/>
      <c r="C741" s="70" t="s">
        <v>3636</v>
      </c>
      <c r="D741" s="70" t="s">
        <v>7012</v>
      </c>
      <c r="E741" s="70" t="s">
        <v>4722</v>
      </c>
      <c r="F741" s="70" t="s">
        <v>4865</v>
      </c>
      <c r="G741" s="70" t="s">
        <v>2163</v>
      </c>
      <c r="H741" s="93"/>
      <c r="I741" s="85">
        <v>-999</v>
      </c>
      <c r="J741" s="85">
        <v>-999</v>
      </c>
      <c r="K741" s="131" t="s">
        <v>7875</v>
      </c>
      <c r="L741" s="60">
        <v>-999</v>
      </c>
      <c r="M741" s="33" t="s">
        <v>6728</v>
      </c>
    </row>
    <row r="742" spans="1:14" ht="28" x14ac:dyDescent="0.15">
      <c r="A742" s="166" t="s">
        <v>2633</v>
      </c>
      <c r="B742" s="82"/>
      <c r="C742" s="70" t="s">
        <v>3636</v>
      </c>
      <c r="D742" s="70" t="s">
        <v>7012</v>
      </c>
      <c r="E742" s="70" t="s">
        <v>4722</v>
      </c>
      <c r="F742" s="70" t="s">
        <v>4865</v>
      </c>
      <c r="G742" s="70" t="s">
        <v>2027</v>
      </c>
      <c r="H742" s="93"/>
      <c r="I742" s="85">
        <v>-999</v>
      </c>
      <c r="J742" s="85">
        <v>-999</v>
      </c>
      <c r="K742" s="131" t="s">
        <v>7875</v>
      </c>
      <c r="L742" s="60">
        <v>-999</v>
      </c>
      <c r="M742" s="33" t="s">
        <v>6809</v>
      </c>
    </row>
    <row r="743" spans="1:14" ht="28" x14ac:dyDescent="0.2">
      <c r="A743" s="166" t="s">
        <v>2633</v>
      </c>
      <c r="B743" s="82"/>
      <c r="C743" s="70" t="s">
        <v>3636</v>
      </c>
      <c r="D743" s="70" t="s">
        <v>7012</v>
      </c>
      <c r="E743" s="70" t="s">
        <v>4722</v>
      </c>
      <c r="F743" s="70" t="s">
        <v>4865</v>
      </c>
      <c r="G743" s="70" t="s">
        <v>2028</v>
      </c>
      <c r="H743" s="93"/>
      <c r="I743" s="85">
        <v>-999</v>
      </c>
      <c r="J743" s="85">
        <v>-999</v>
      </c>
      <c r="K743" s="131" t="s">
        <v>7875</v>
      </c>
      <c r="L743" s="60">
        <v>-999</v>
      </c>
      <c r="M743" s="33" t="s">
        <v>6728</v>
      </c>
      <c r="N743" s="48"/>
    </row>
    <row r="744" spans="1:14" ht="28" x14ac:dyDescent="0.15">
      <c r="A744" s="166" t="s">
        <v>2633</v>
      </c>
      <c r="B744" s="82"/>
      <c r="C744" s="70" t="s">
        <v>3636</v>
      </c>
      <c r="D744" s="70" t="s">
        <v>7012</v>
      </c>
      <c r="E744" s="70" t="s">
        <v>4722</v>
      </c>
      <c r="F744" s="70" t="s">
        <v>4865</v>
      </c>
      <c r="G744" s="70" t="s">
        <v>2164</v>
      </c>
      <c r="H744" s="93"/>
      <c r="I744" s="85">
        <v>-999</v>
      </c>
      <c r="J744" s="85">
        <v>-999</v>
      </c>
      <c r="K744" s="131" t="s">
        <v>7875</v>
      </c>
      <c r="L744" s="60">
        <v>-999</v>
      </c>
      <c r="M744" s="33" t="s">
        <v>6728</v>
      </c>
    </row>
    <row r="745" spans="1:14" ht="28" x14ac:dyDescent="0.15">
      <c r="A745" s="166" t="s">
        <v>2633</v>
      </c>
      <c r="B745" s="93" t="s">
        <v>2396</v>
      </c>
      <c r="C745" s="70" t="s">
        <v>3636</v>
      </c>
      <c r="D745" s="70" t="s">
        <v>7012</v>
      </c>
      <c r="E745" s="70" t="s">
        <v>4722</v>
      </c>
      <c r="F745" s="70" t="s">
        <v>4865</v>
      </c>
      <c r="G745" s="70" t="s">
        <v>3202</v>
      </c>
      <c r="H745" s="93"/>
      <c r="I745" s="85">
        <v>-999</v>
      </c>
      <c r="J745" s="85">
        <v>-999</v>
      </c>
      <c r="K745" s="141" t="s">
        <v>7875</v>
      </c>
      <c r="L745" s="60">
        <v>-999</v>
      </c>
      <c r="M745" s="33" t="s">
        <v>6728</v>
      </c>
    </row>
    <row r="746" spans="1:14" ht="14" x14ac:dyDescent="0.15">
      <c r="A746" s="70" t="s">
        <v>2633</v>
      </c>
      <c r="B746" s="82"/>
      <c r="C746" s="70" t="s">
        <v>3636</v>
      </c>
      <c r="D746" s="70" t="s">
        <v>7012</v>
      </c>
      <c r="E746" s="70" t="s">
        <v>4722</v>
      </c>
      <c r="F746" s="70" t="s">
        <v>4865</v>
      </c>
      <c r="G746" s="70" t="s">
        <v>2030</v>
      </c>
      <c r="H746" s="93"/>
      <c r="I746" s="85">
        <v>-999</v>
      </c>
      <c r="J746" s="85">
        <v>-999</v>
      </c>
      <c r="K746" s="131" t="s">
        <v>3177</v>
      </c>
      <c r="L746" s="60">
        <v>-999</v>
      </c>
      <c r="M746" s="33"/>
    </row>
    <row r="747" spans="1:14" ht="28" x14ac:dyDescent="0.15">
      <c r="A747" s="70" t="s">
        <v>2633</v>
      </c>
      <c r="B747" s="82"/>
      <c r="C747" s="70" t="s">
        <v>3636</v>
      </c>
      <c r="D747" s="70" t="s">
        <v>7012</v>
      </c>
      <c r="E747" s="70" t="s">
        <v>4722</v>
      </c>
      <c r="F747" s="70" t="s">
        <v>4865</v>
      </c>
      <c r="G747" s="70" t="s">
        <v>2031</v>
      </c>
      <c r="H747" s="93"/>
      <c r="I747" s="85">
        <v>-999</v>
      </c>
      <c r="J747" s="85">
        <v>-999</v>
      </c>
      <c r="K747" s="141" t="s">
        <v>7875</v>
      </c>
      <c r="L747" s="60">
        <v>-999</v>
      </c>
      <c r="M747" s="33" t="s">
        <v>6728</v>
      </c>
    </row>
    <row r="748" spans="1:14" ht="14" x14ac:dyDescent="0.15">
      <c r="A748" s="70" t="s">
        <v>2633</v>
      </c>
      <c r="B748" s="82"/>
      <c r="C748" s="70" t="s">
        <v>3636</v>
      </c>
      <c r="D748" s="70" t="s">
        <v>7012</v>
      </c>
      <c r="E748" s="70" t="s">
        <v>4722</v>
      </c>
      <c r="F748" s="70" t="s">
        <v>4865</v>
      </c>
      <c r="G748" s="70" t="s">
        <v>2032</v>
      </c>
      <c r="H748" s="93"/>
      <c r="I748" s="85">
        <v>-999</v>
      </c>
      <c r="J748" s="85">
        <v>-999</v>
      </c>
      <c r="K748" s="131" t="s">
        <v>3177</v>
      </c>
      <c r="L748" s="60">
        <v>-999</v>
      </c>
      <c r="M748" s="33"/>
    </row>
    <row r="749" spans="1:14" ht="28" x14ac:dyDescent="0.15">
      <c r="A749" s="70" t="s">
        <v>2633</v>
      </c>
      <c r="B749" s="82"/>
      <c r="C749" s="70" t="s">
        <v>3636</v>
      </c>
      <c r="D749" s="70" t="s">
        <v>7012</v>
      </c>
      <c r="E749" s="70" t="s">
        <v>4722</v>
      </c>
      <c r="F749" s="70" t="s">
        <v>4865</v>
      </c>
      <c r="G749" s="70" t="s">
        <v>4731</v>
      </c>
      <c r="H749" s="93"/>
      <c r="I749" s="85">
        <v>-999</v>
      </c>
      <c r="J749" s="85">
        <v>-999</v>
      </c>
      <c r="K749" s="141" t="s">
        <v>7875</v>
      </c>
      <c r="L749" s="60">
        <v>-999</v>
      </c>
      <c r="M749" s="33" t="s">
        <v>6728</v>
      </c>
    </row>
    <row r="750" spans="1:14" ht="28" x14ac:dyDescent="0.2">
      <c r="A750" s="70" t="s">
        <v>2633</v>
      </c>
      <c r="B750" s="93" t="s">
        <v>2202</v>
      </c>
      <c r="C750" s="70" t="s">
        <v>3636</v>
      </c>
      <c r="D750" s="70" t="s">
        <v>7012</v>
      </c>
      <c r="E750" s="70" t="s">
        <v>4722</v>
      </c>
      <c r="F750" s="70" t="s">
        <v>4865</v>
      </c>
      <c r="G750" s="70" t="s">
        <v>5685</v>
      </c>
      <c r="H750" s="93"/>
      <c r="I750" s="85">
        <v>-999</v>
      </c>
      <c r="J750" s="85">
        <v>-999</v>
      </c>
      <c r="K750" s="141" t="s">
        <v>7875</v>
      </c>
      <c r="L750" s="60">
        <v>-999</v>
      </c>
      <c r="M750" s="33" t="s">
        <v>6809</v>
      </c>
      <c r="N750" s="48"/>
    </row>
    <row r="751" spans="1:14" ht="28" x14ac:dyDescent="0.2">
      <c r="A751" s="70" t="s">
        <v>2633</v>
      </c>
      <c r="B751" s="82"/>
      <c r="C751" s="70" t="s">
        <v>3636</v>
      </c>
      <c r="D751" s="70" t="s">
        <v>7012</v>
      </c>
      <c r="E751" s="70" t="s">
        <v>4722</v>
      </c>
      <c r="F751" s="70" t="s">
        <v>4865</v>
      </c>
      <c r="G751" s="70" t="s">
        <v>7183</v>
      </c>
      <c r="H751" s="93"/>
      <c r="I751" s="85">
        <v>-999</v>
      </c>
      <c r="J751" s="85">
        <v>-999</v>
      </c>
      <c r="K751" s="141" t="s">
        <v>7875</v>
      </c>
      <c r="L751" s="60">
        <v>-999</v>
      </c>
      <c r="M751" s="33" t="s">
        <v>6809</v>
      </c>
      <c r="N751" s="48"/>
    </row>
    <row r="752" spans="1:14" ht="28" x14ac:dyDescent="0.2">
      <c r="A752" s="70" t="s">
        <v>2633</v>
      </c>
      <c r="B752" s="82"/>
      <c r="C752" s="70" t="s">
        <v>3636</v>
      </c>
      <c r="D752" s="70" t="s">
        <v>7012</v>
      </c>
      <c r="E752" s="70" t="s">
        <v>4722</v>
      </c>
      <c r="F752" s="70" t="s">
        <v>4865</v>
      </c>
      <c r="G752" s="70" t="s">
        <v>2170</v>
      </c>
      <c r="H752" s="93"/>
      <c r="I752" s="85">
        <v>-999</v>
      </c>
      <c r="J752" s="85">
        <v>-999</v>
      </c>
      <c r="K752" s="141" t="s">
        <v>7875</v>
      </c>
      <c r="L752" s="60">
        <v>-999</v>
      </c>
      <c r="M752" s="33" t="s">
        <v>6728</v>
      </c>
      <c r="N752" s="48"/>
    </row>
    <row r="753" spans="1:26" ht="28" x14ac:dyDescent="0.2">
      <c r="A753" s="73" t="s">
        <v>2633</v>
      </c>
      <c r="B753" s="82"/>
      <c r="C753" s="70" t="s">
        <v>3636</v>
      </c>
      <c r="D753" s="70" t="s">
        <v>7012</v>
      </c>
      <c r="E753" s="70" t="s">
        <v>4722</v>
      </c>
      <c r="F753" s="70" t="s">
        <v>4865</v>
      </c>
      <c r="G753" s="70" t="s">
        <v>2171</v>
      </c>
      <c r="H753" s="93"/>
      <c r="I753" s="85">
        <v>-999</v>
      </c>
      <c r="J753" s="85">
        <v>-999</v>
      </c>
      <c r="K753" s="141" t="s">
        <v>7875</v>
      </c>
      <c r="L753" s="60">
        <v>-999</v>
      </c>
      <c r="M753" s="33" t="s">
        <v>6728</v>
      </c>
      <c r="N753" s="48"/>
    </row>
    <row r="754" spans="1:26" ht="28" x14ac:dyDescent="0.2">
      <c r="A754" s="70" t="s">
        <v>2633</v>
      </c>
      <c r="B754" s="82"/>
      <c r="C754" s="70" t="s">
        <v>3636</v>
      </c>
      <c r="D754" s="70" t="s">
        <v>7012</v>
      </c>
      <c r="E754" s="70" t="s">
        <v>4722</v>
      </c>
      <c r="F754" s="70" t="s">
        <v>4865</v>
      </c>
      <c r="G754" s="70" t="s">
        <v>7181</v>
      </c>
      <c r="H754" s="93"/>
      <c r="I754" s="85">
        <v>-999</v>
      </c>
      <c r="J754" s="85">
        <v>-999</v>
      </c>
      <c r="K754" s="141" t="s">
        <v>7875</v>
      </c>
      <c r="L754" s="60">
        <v>-999</v>
      </c>
      <c r="M754" s="33" t="s">
        <v>6390</v>
      </c>
      <c r="N754" s="48"/>
    </row>
    <row r="755" spans="1:26" ht="28" x14ac:dyDescent="0.15">
      <c r="A755" s="70" t="s">
        <v>2633</v>
      </c>
      <c r="B755" s="82"/>
      <c r="C755" s="70" t="s">
        <v>3636</v>
      </c>
      <c r="D755" s="70" t="s">
        <v>7012</v>
      </c>
      <c r="E755" s="70" t="s">
        <v>4722</v>
      </c>
      <c r="F755" s="70" t="s">
        <v>4865</v>
      </c>
      <c r="G755" s="70" t="s">
        <v>3666</v>
      </c>
      <c r="H755" s="93"/>
      <c r="I755" s="85">
        <v>-999</v>
      </c>
      <c r="J755" s="85">
        <v>-999</v>
      </c>
      <c r="K755" s="141" t="s">
        <v>7875</v>
      </c>
      <c r="L755" s="60">
        <v>-999</v>
      </c>
      <c r="M755" s="33" t="s">
        <v>6728</v>
      </c>
    </row>
    <row r="756" spans="1:26" ht="28" x14ac:dyDescent="0.15">
      <c r="A756" s="70" t="s">
        <v>2633</v>
      </c>
      <c r="B756" s="82"/>
      <c r="C756" s="70" t="s">
        <v>3636</v>
      </c>
      <c r="D756" s="70" t="s">
        <v>7012</v>
      </c>
      <c r="E756" s="70" t="s">
        <v>4722</v>
      </c>
      <c r="F756" s="70" t="s">
        <v>4865</v>
      </c>
      <c r="G756" s="70" t="s">
        <v>6431</v>
      </c>
      <c r="H756" s="93"/>
      <c r="I756" s="85">
        <v>-999</v>
      </c>
      <c r="J756" s="85">
        <v>-999</v>
      </c>
      <c r="K756" s="141" t="s">
        <v>7875</v>
      </c>
      <c r="L756" s="60">
        <v>-999</v>
      </c>
      <c r="M756" s="33" t="s">
        <v>6728</v>
      </c>
    </row>
    <row r="757" spans="1:26" ht="28" x14ac:dyDescent="0.2">
      <c r="A757" s="70" t="s">
        <v>2633</v>
      </c>
      <c r="B757" s="93" t="s">
        <v>2396</v>
      </c>
      <c r="C757" s="70" t="s">
        <v>3636</v>
      </c>
      <c r="D757" s="70" t="s">
        <v>7012</v>
      </c>
      <c r="E757" s="70" t="s">
        <v>4722</v>
      </c>
      <c r="F757" s="70" t="s">
        <v>4865</v>
      </c>
      <c r="G757" s="70" t="s">
        <v>5720</v>
      </c>
      <c r="H757" s="93"/>
      <c r="I757" s="85">
        <v>-999</v>
      </c>
      <c r="J757" s="85">
        <v>-999</v>
      </c>
      <c r="K757" s="141" t="s">
        <v>7875</v>
      </c>
      <c r="L757" s="60">
        <v>-999</v>
      </c>
      <c r="M757" s="33" t="s">
        <v>6809</v>
      </c>
      <c r="N757" s="48"/>
    </row>
    <row r="758" spans="1:26" ht="28" x14ac:dyDescent="0.2">
      <c r="A758" s="166" t="s">
        <v>2633</v>
      </c>
      <c r="B758" s="82"/>
      <c r="C758" s="70" t="s">
        <v>3636</v>
      </c>
      <c r="D758" s="70" t="s">
        <v>7012</v>
      </c>
      <c r="E758" s="70" t="s">
        <v>4722</v>
      </c>
      <c r="F758" s="70" t="s">
        <v>4865</v>
      </c>
      <c r="G758" s="70" t="s">
        <v>3669</v>
      </c>
      <c r="H758" s="93"/>
      <c r="I758" s="85">
        <v>-999</v>
      </c>
      <c r="J758" s="85">
        <v>-999</v>
      </c>
      <c r="K758" s="141" t="s">
        <v>7875</v>
      </c>
      <c r="L758" s="60">
        <v>-999</v>
      </c>
      <c r="M758" s="33" t="s">
        <v>6728</v>
      </c>
      <c r="N758" s="48"/>
    </row>
    <row r="759" spans="1:26" ht="14" x14ac:dyDescent="0.15">
      <c r="A759" s="166" t="s">
        <v>2633</v>
      </c>
      <c r="B759" s="82"/>
      <c r="C759" s="70" t="s">
        <v>3636</v>
      </c>
      <c r="D759" s="70" t="s">
        <v>7012</v>
      </c>
      <c r="E759" s="70" t="s">
        <v>4722</v>
      </c>
      <c r="F759" s="70" t="s">
        <v>4865</v>
      </c>
      <c r="G759" s="70" t="s">
        <v>3872</v>
      </c>
      <c r="H759" s="93"/>
      <c r="I759" s="85">
        <v>-999</v>
      </c>
      <c r="J759" s="85">
        <v>-999</v>
      </c>
      <c r="K759" s="131" t="s">
        <v>3177</v>
      </c>
      <c r="L759" s="60">
        <v>-999</v>
      </c>
      <c r="M759" s="33"/>
    </row>
    <row r="760" spans="1:26" ht="28" x14ac:dyDescent="0.15">
      <c r="A760" s="166" t="s">
        <v>2633</v>
      </c>
      <c r="B760" s="82"/>
      <c r="C760" s="70" t="s">
        <v>3636</v>
      </c>
      <c r="D760" s="70" t="s">
        <v>7012</v>
      </c>
      <c r="E760" s="70" t="s">
        <v>4722</v>
      </c>
      <c r="F760" s="70" t="s">
        <v>4865</v>
      </c>
      <c r="G760" s="70" t="s">
        <v>3873</v>
      </c>
      <c r="H760" s="93"/>
      <c r="I760" s="85">
        <v>-999</v>
      </c>
      <c r="J760" s="85">
        <v>-999</v>
      </c>
      <c r="K760" s="141" t="s">
        <v>7875</v>
      </c>
      <c r="L760" s="60">
        <v>-999</v>
      </c>
      <c r="M760" s="33" t="s">
        <v>6728</v>
      </c>
    </row>
    <row r="761" spans="1:26" ht="28" x14ac:dyDescent="0.15">
      <c r="A761" s="166" t="s">
        <v>2633</v>
      </c>
      <c r="B761" s="82"/>
      <c r="C761" s="70" t="s">
        <v>3636</v>
      </c>
      <c r="D761" s="70" t="s">
        <v>7012</v>
      </c>
      <c r="E761" s="70" t="s">
        <v>4722</v>
      </c>
      <c r="F761" s="70" t="s">
        <v>4865</v>
      </c>
      <c r="G761" s="70" t="s">
        <v>4320</v>
      </c>
      <c r="H761" s="93"/>
      <c r="I761" s="85">
        <v>-999</v>
      </c>
      <c r="J761" s="85">
        <v>-999</v>
      </c>
      <c r="K761" s="141" t="s">
        <v>7875</v>
      </c>
      <c r="L761" s="60">
        <v>-999</v>
      </c>
      <c r="M761" s="33" t="s">
        <v>6728</v>
      </c>
    </row>
    <row r="762" spans="1:26" ht="28" x14ac:dyDescent="0.2">
      <c r="A762" s="166" t="s">
        <v>2633</v>
      </c>
      <c r="B762" s="82"/>
      <c r="C762" s="70" t="s">
        <v>3636</v>
      </c>
      <c r="D762" s="70" t="s">
        <v>7012</v>
      </c>
      <c r="E762" s="70" t="s">
        <v>4722</v>
      </c>
      <c r="F762" s="70" t="s">
        <v>4865</v>
      </c>
      <c r="G762" s="70" t="s">
        <v>4935</v>
      </c>
      <c r="H762" s="93"/>
      <c r="I762" s="85">
        <v>-999</v>
      </c>
      <c r="J762" s="85">
        <v>-999</v>
      </c>
      <c r="K762" s="141" t="s">
        <v>7875</v>
      </c>
      <c r="L762" s="60">
        <v>-999</v>
      </c>
      <c r="M762" s="33" t="s">
        <v>6728</v>
      </c>
      <c r="N762" s="48"/>
    </row>
    <row r="763" spans="1:26" ht="14" x14ac:dyDescent="0.15">
      <c r="A763" s="166" t="s">
        <v>2633</v>
      </c>
      <c r="B763" s="82"/>
      <c r="C763" s="70" t="s">
        <v>3636</v>
      </c>
      <c r="D763" s="70" t="s">
        <v>7012</v>
      </c>
      <c r="E763" s="70" t="s">
        <v>4722</v>
      </c>
      <c r="F763" s="70" t="s">
        <v>4865</v>
      </c>
      <c r="G763" s="70" t="s">
        <v>6789</v>
      </c>
      <c r="H763" s="93"/>
      <c r="I763" s="85">
        <v>-999</v>
      </c>
      <c r="J763" s="85">
        <v>-999</v>
      </c>
      <c r="K763" s="131" t="s">
        <v>3177</v>
      </c>
      <c r="L763" s="60">
        <v>-999</v>
      </c>
      <c r="M763" s="33"/>
    </row>
    <row r="764" spans="1:26" ht="28" x14ac:dyDescent="0.15">
      <c r="A764" s="166" t="s">
        <v>2633</v>
      </c>
      <c r="B764" s="82"/>
      <c r="C764" s="70" t="s">
        <v>3636</v>
      </c>
      <c r="D764" s="70" t="s">
        <v>7012</v>
      </c>
      <c r="E764" s="70" t="s">
        <v>4722</v>
      </c>
      <c r="F764" s="70" t="s">
        <v>4865</v>
      </c>
      <c r="G764" s="70" t="s">
        <v>6790</v>
      </c>
      <c r="H764" s="93"/>
      <c r="I764" s="85">
        <v>-999</v>
      </c>
      <c r="J764" s="85">
        <v>-999</v>
      </c>
      <c r="K764" s="141" t="s">
        <v>7875</v>
      </c>
      <c r="L764" s="60">
        <v>-999</v>
      </c>
      <c r="M764" s="33" t="s">
        <v>6809</v>
      </c>
    </row>
    <row r="765" spans="1:26" ht="28" x14ac:dyDescent="0.15">
      <c r="A765" s="166" t="s">
        <v>2633</v>
      </c>
      <c r="B765" s="82"/>
      <c r="C765" s="70" t="s">
        <v>3636</v>
      </c>
      <c r="D765" s="70" t="s">
        <v>7012</v>
      </c>
      <c r="E765" s="70" t="s">
        <v>4722</v>
      </c>
      <c r="F765" s="70" t="s">
        <v>4865</v>
      </c>
      <c r="G765" s="70" t="s">
        <v>6791</v>
      </c>
      <c r="H765" s="93"/>
      <c r="I765" s="85">
        <v>-999</v>
      </c>
      <c r="J765" s="85">
        <v>-999</v>
      </c>
      <c r="K765" s="141" t="s">
        <v>7875</v>
      </c>
      <c r="L765" s="60">
        <v>-999</v>
      </c>
      <c r="M765" s="33" t="s">
        <v>6809</v>
      </c>
    </row>
    <row r="766" spans="1:26" ht="14" x14ac:dyDescent="0.15">
      <c r="A766" s="166" t="s">
        <v>2633</v>
      </c>
      <c r="B766" s="82"/>
      <c r="C766" s="70" t="s">
        <v>3636</v>
      </c>
      <c r="D766" s="70" t="s">
        <v>7012</v>
      </c>
      <c r="E766" s="70" t="s">
        <v>4722</v>
      </c>
      <c r="F766" s="70" t="s">
        <v>4865</v>
      </c>
      <c r="G766" s="70" t="s">
        <v>4868</v>
      </c>
      <c r="H766" s="93"/>
      <c r="I766" s="85">
        <v>-999</v>
      </c>
      <c r="J766" s="85">
        <v>-999</v>
      </c>
      <c r="K766" s="131" t="s">
        <v>3177</v>
      </c>
      <c r="L766" s="60">
        <v>-999</v>
      </c>
      <c r="M766" s="33"/>
    </row>
    <row r="767" spans="1:26" ht="14" x14ac:dyDescent="0.15">
      <c r="A767" s="166" t="s">
        <v>2633</v>
      </c>
      <c r="B767" s="82"/>
      <c r="C767" s="70" t="s">
        <v>3636</v>
      </c>
      <c r="D767" s="70" t="s">
        <v>7012</v>
      </c>
      <c r="E767" s="70" t="s">
        <v>4722</v>
      </c>
      <c r="F767" s="70" t="s">
        <v>4865</v>
      </c>
      <c r="G767" s="70" t="s">
        <v>4939</v>
      </c>
      <c r="H767" s="93"/>
      <c r="I767" s="85">
        <v>-999</v>
      </c>
      <c r="J767" s="85">
        <v>-999</v>
      </c>
      <c r="K767" s="131" t="s">
        <v>3177</v>
      </c>
      <c r="L767" s="60">
        <v>-999</v>
      </c>
      <c r="M767" s="33"/>
    </row>
    <row r="768" spans="1:26" ht="14" x14ac:dyDescent="0.15">
      <c r="A768" s="166" t="s">
        <v>2633</v>
      </c>
      <c r="B768" s="82"/>
      <c r="C768" s="70" t="s">
        <v>3636</v>
      </c>
      <c r="D768" s="70" t="s">
        <v>7012</v>
      </c>
      <c r="E768" s="70" t="s">
        <v>4722</v>
      </c>
      <c r="F768" s="70" t="s">
        <v>4865</v>
      </c>
      <c r="G768" s="70" t="s">
        <v>4132</v>
      </c>
      <c r="H768" s="93"/>
      <c r="I768" s="85">
        <v>-999</v>
      </c>
      <c r="J768" s="85">
        <v>-999</v>
      </c>
      <c r="K768" s="131" t="s">
        <v>3177</v>
      </c>
      <c r="L768" s="60">
        <v>-999</v>
      </c>
      <c r="M768" s="33"/>
      <c r="S768"/>
      <c r="T768"/>
      <c r="U768"/>
      <c r="V768"/>
      <c r="W768"/>
      <c r="X768"/>
      <c r="Y768"/>
      <c r="Z768"/>
    </row>
    <row r="769" spans="1:14" ht="14" x14ac:dyDescent="0.15">
      <c r="A769" s="166" t="s">
        <v>2633</v>
      </c>
      <c r="B769" s="82"/>
      <c r="C769" s="70" t="s">
        <v>3636</v>
      </c>
      <c r="D769" s="70" t="s">
        <v>7012</v>
      </c>
      <c r="E769" s="70" t="s">
        <v>4722</v>
      </c>
      <c r="F769" s="70" t="s">
        <v>4865</v>
      </c>
      <c r="G769" s="70" t="s">
        <v>3324</v>
      </c>
      <c r="H769" s="93"/>
      <c r="I769" s="85">
        <v>-999</v>
      </c>
      <c r="J769" s="85">
        <v>-999</v>
      </c>
      <c r="K769" s="131" t="s">
        <v>3177</v>
      </c>
      <c r="L769" s="60">
        <v>-999</v>
      </c>
      <c r="M769" s="33"/>
    </row>
    <row r="770" spans="1:14" ht="14" x14ac:dyDescent="0.15">
      <c r="A770" s="166" t="s">
        <v>2633</v>
      </c>
      <c r="B770" s="82"/>
      <c r="C770" s="70" t="s">
        <v>3636</v>
      </c>
      <c r="D770" s="70" t="s">
        <v>7012</v>
      </c>
      <c r="E770" s="70" t="s">
        <v>4722</v>
      </c>
      <c r="F770" s="70" t="s">
        <v>4865</v>
      </c>
      <c r="G770" s="70" t="s">
        <v>3947</v>
      </c>
      <c r="H770" s="93"/>
      <c r="I770" s="85">
        <v>-999</v>
      </c>
      <c r="J770" s="85">
        <v>-999</v>
      </c>
      <c r="K770" s="131" t="s">
        <v>3177</v>
      </c>
      <c r="L770" s="60">
        <v>-999</v>
      </c>
      <c r="M770" s="33"/>
    </row>
    <row r="771" spans="1:14" ht="14" x14ac:dyDescent="0.15">
      <c r="A771" s="166" t="s">
        <v>2633</v>
      </c>
      <c r="B771" s="82"/>
      <c r="C771" s="70" t="s">
        <v>3636</v>
      </c>
      <c r="D771" s="70" t="s">
        <v>7012</v>
      </c>
      <c r="E771" s="70" t="s">
        <v>4722</v>
      </c>
      <c r="F771" s="70" t="s">
        <v>4865</v>
      </c>
      <c r="G771" s="70" t="s">
        <v>5239</v>
      </c>
      <c r="H771" s="93"/>
      <c r="I771" s="85">
        <v>-999</v>
      </c>
      <c r="J771" s="85">
        <v>-999</v>
      </c>
      <c r="K771" s="131" t="s">
        <v>3177</v>
      </c>
      <c r="L771" s="60">
        <v>-999</v>
      </c>
      <c r="M771" s="33"/>
    </row>
    <row r="772" spans="1:14" ht="14" x14ac:dyDescent="0.15">
      <c r="A772" s="166" t="s">
        <v>2633</v>
      </c>
      <c r="B772" s="82"/>
      <c r="C772" s="70" t="s">
        <v>3636</v>
      </c>
      <c r="D772" s="70" t="s">
        <v>7012</v>
      </c>
      <c r="E772" s="70" t="s">
        <v>4722</v>
      </c>
      <c r="F772" s="70" t="s">
        <v>4865</v>
      </c>
      <c r="G772" s="70" t="s">
        <v>7023</v>
      </c>
      <c r="H772" s="93"/>
      <c r="I772" s="85">
        <v>-999</v>
      </c>
      <c r="J772" s="85">
        <v>-999</v>
      </c>
      <c r="K772" s="131" t="s">
        <v>3177</v>
      </c>
      <c r="L772" s="60">
        <v>-999</v>
      </c>
      <c r="M772" s="33"/>
    </row>
    <row r="773" spans="1:14" ht="28" x14ac:dyDescent="0.15">
      <c r="A773" s="166" t="s">
        <v>2633</v>
      </c>
      <c r="B773" s="82"/>
      <c r="C773" s="70" t="s">
        <v>3636</v>
      </c>
      <c r="D773" s="70" t="s">
        <v>7012</v>
      </c>
      <c r="E773" s="70" t="s">
        <v>4722</v>
      </c>
      <c r="F773" s="70" t="s">
        <v>4865</v>
      </c>
      <c r="G773" s="70" t="s">
        <v>7025</v>
      </c>
      <c r="H773" s="93"/>
      <c r="I773" s="85">
        <v>-999</v>
      </c>
      <c r="J773" s="85">
        <v>-999</v>
      </c>
      <c r="K773" s="141" t="s">
        <v>7875</v>
      </c>
      <c r="L773" s="60">
        <v>-999</v>
      </c>
      <c r="M773" s="33" t="s">
        <v>6809</v>
      </c>
    </row>
    <row r="774" spans="1:14" ht="28" x14ac:dyDescent="0.15">
      <c r="A774" s="70" t="s">
        <v>2633</v>
      </c>
      <c r="B774" s="82"/>
      <c r="C774" s="70" t="s">
        <v>3636</v>
      </c>
      <c r="D774" s="70" t="s">
        <v>7012</v>
      </c>
      <c r="E774" s="70" t="s">
        <v>4722</v>
      </c>
      <c r="F774" s="70" t="s">
        <v>4865</v>
      </c>
      <c r="G774" s="70" t="s">
        <v>7026</v>
      </c>
      <c r="H774" s="93"/>
      <c r="I774" s="85">
        <v>-999</v>
      </c>
      <c r="J774" s="85">
        <v>-999</v>
      </c>
      <c r="K774" s="141" t="s">
        <v>7875</v>
      </c>
      <c r="L774" s="60">
        <v>-999</v>
      </c>
      <c r="M774" s="33" t="s">
        <v>6809</v>
      </c>
    </row>
    <row r="775" spans="1:14" ht="28" x14ac:dyDescent="0.15">
      <c r="A775" s="166" t="s">
        <v>2633</v>
      </c>
      <c r="B775" s="82"/>
      <c r="C775" s="70" t="s">
        <v>3636</v>
      </c>
      <c r="D775" s="70" t="s">
        <v>7012</v>
      </c>
      <c r="E775" s="70" t="s">
        <v>4722</v>
      </c>
      <c r="F775" s="70" t="s">
        <v>4865</v>
      </c>
      <c r="G775" s="70" t="s">
        <v>7027</v>
      </c>
      <c r="H775" s="93"/>
      <c r="I775" s="85">
        <v>-999</v>
      </c>
      <c r="J775" s="85">
        <v>-999</v>
      </c>
      <c r="K775" s="141" t="s">
        <v>7875</v>
      </c>
      <c r="L775" s="60">
        <v>-999</v>
      </c>
      <c r="M775" s="33" t="s">
        <v>6728</v>
      </c>
    </row>
    <row r="776" spans="1:14" ht="28" x14ac:dyDescent="0.15">
      <c r="A776" s="166" t="s">
        <v>2633</v>
      </c>
      <c r="B776" s="93" t="s">
        <v>5854</v>
      </c>
      <c r="C776" s="70" t="s">
        <v>3636</v>
      </c>
      <c r="D776" s="70" t="s">
        <v>7012</v>
      </c>
      <c r="E776" s="70" t="s">
        <v>4722</v>
      </c>
      <c r="F776" s="70" t="s">
        <v>4865</v>
      </c>
      <c r="G776" s="70" t="s">
        <v>6337</v>
      </c>
      <c r="H776" s="93"/>
      <c r="I776" s="85">
        <v>-999</v>
      </c>
      <c r="J776" s="85">
        <v>-999</v>
      </c>
      <c r="K776" s="141" t="s">
        <v>7875</v>
      </c>
      <c r="L776" s="60">
        <v>-999</v>
      </c>
      <c r="M776" s="33" t="s">
        <v>6809</v>
      </c>
    </row>
    <row r="777" spans="1:14" ht="14" x14ac:dyDescent="0.15">
      <c r="A777" s="166" t="s">
        <v>2633</v>
      </c>
      <c r="B777" s="82"/>
      <c r="C777" s="70" t="s">
        <v>3636</v>
      </c>
      <c r="D777" s="70" t="s">
        <v>7012</v>
      </c>
      <c r="E777" s="70" t="s">
        <v>4722</v>
      </c>
      <c r="F777" s="70" t="s">
        <v>4865</v>
      </c>
      <c r="G777" s="70" t="s">
        <v>3503</v>
      </c>
      <c r="H777" s="93"/>
      <c r="I777" s="85">
        <v>-999</v>
      </c>
      <c r="J777" s="85">
        <v>-999</v>
      </c>
      <c r="K777" s="131" t="s">
        <v>3177</v>
      </c>
      <c r="L777" s="60">
        <v>-999</v>
      </c>
      <c r="M777" s="33"/>
    </row>
    <row r="778" spans="1:14" ht="28" x14ac:dyDescent="0.15">
      <c r="A778" s="166" t="s">
        <v>2633</v>
      </c>
      <c r="B778" s="82"/>
      <c r="C778" s="70" t="s">
        <v>3636</v>
      </c>
      <c r="D778" s="70" t="s">
        <v>7012</v>
      </c>
      <c r="E778" s="70" t="s">
        <v>4722</v>
      </c>
      <c r="F778" s="70" t="s">
        <v>4865</v>
      </c>
      <c r="G778" s="70" t="s">
        <v>3984</v>
      </c>
      <c r="H778" s="93"/>
      <c r="I778" s="85">
        <v>-999</v>
      </c>
      <c r="J778" s="85">
        <v>-999</v>
      </c>
      <c r="K778" s="141" t="s">
        <v>7875</v>
      </c>
      <c r="L778" s="60">
        <v>-999</v>
      </c>
      <c r="M778" s="33" t="s">
        <v>6390</v>
      </c>
    </row>
    <row r="779" spans="1:14" ht="14" x14ac:dyDescent="0.15">
      <c r="A779" s="166" t="s">
        <v>2633</v>
      </c>
      <c r="B779" s="82"/>
      <c r="C779" s="70" t="s">
        <v>3636</v>
      </c>
      <c r="D779" s="70" t="s">
        <v>7012</v>
      </c>
      <c r="E779" s="70" t="s">
        <v>4722</v>
      </c>
      <c r="F779" s="70" t="s">
        <v>4865</v>
      </c>
      <c r="G779" s="70" t="s">
        <v>3986</v>
      </c>
      <c r="H779" s="93"/>
      <c r="I779" s="85">
        <v>-999</v>
      </c>
      <c r="J779" s="85">
        <v>-999</v>
      </c>
      <c r="K779" s="131" t="s">
        <v>3177</v>
      </c>
      <c r="L779" s="60">
        <v>-999</v>
      </c>
      <c r="M779" s="33"/>
    </row>
    <row r="780" spans="1:14" ht="28" x14ac:dyDescent="0.2">
      <c r="A780" s="166" t="s">
        <v>2633</v>
      </c>
      <c r="B780" s="82"/>
      <c r="C780" s="70" t="s">
        <v>3636</v>
      </c>
      <c r="D780" s="70" t="s">
        <v>7012</v>
      </c>
      <c r="E780" s="70" t="s">
        <v>4722</v>
      </c>
      <c r="F780" s="70" t="s">
        <v>4865</v>
      </c>
      <c r="G780" s="70" t="s">
        <v>4206</v>
      </c>
      <c r="H780" s="93"/>
      <c r="I780" s="85">
        <v>-999</v>
      </c>
      <c r="J780" s="85">
        <v>-999</v>
      </c>
      <c r="K780" s="141" t="s">
        <v>7875</v>
      </c>
      <c r="L780" s="60">
        <v>-999</v>
      </c>
      <c r="M780" s="33" t="s">
        <v>6728</v>
      </c>
      <c r="N780" s="48"/>
    </row>
    <row r="781" spans="1:14" ht="28" x14ac:dyDescent="0.15">
      <c r="A781" s="166" t="s">
        <v>2633</v>
      </c>
      <c r="B781" s="82"/>
      <c r="C781" s="70" t="s">
        <v>3636</v>
      </c>
      <c r="D781" s="70" t="s">
        <v>7012</v>
      </c>
      <c r="E781" s="70" t="s">
        <v>4722</v>
      </c>
      <c r="F781" s="70" t="s">
        <v>4865</v>
      </c>
      <c r="G781" s="70" t="s">
        <v>4177</v>
      </c>
      <c r="H781" s="93"/>
      <c r="I781" s="85">
        <v>-999</v>
      </c>
      <c r="J781" s="85">
        <v>-999</v>
      </c>
      <c r="K781" s="141" t="s">
        <v>7875</v>
      </c>
      <c r="L781" s="60">
        <v>-999</v>
      </c>
      <c r="M781" s="33" t="s">
        <v>6728</v>
      </c>
    </row>
    <row r="782" spans="1:14" ht="14" x14ac:dyDescent="0.15">
      <c r="A782" s="166" t="s">
        <v>2633</v>
      </c>
      <c r="B782" s="82" t="s">
        <v>2468</v>
      </c>
      <c r="C782" s="70" t="s">
        <v>3636</v>
      </c>
      <c r="D782" s="70" t="s">
        <v>7012</v>
      </c>
      <c r="E782" s="70" t="s">
        <v>4722</v>
      </c>
      <c r="F782" s="70" t="s">
        <v>4865</v>
      </c>
      <c r="G782" s="70" t="s">
        <v>4547</v>
      </c>
      <c r="H782" s="93"/>
      <c r="I782" s="85">
        <v>-999</v>
      </c>
      <c r="J782" s="85">
        <v>-999</v>
      </c>
      <c r="K782" s="131" t="s">
        <v>3177</v>
      </c>
      <c r="L782" s="60">
        <v>-999</v>
      </c>
      <c r="M782" s="33"/>
    </row>
    <row r="783" spans="1:14" ht="28" x14ac:dyDescent="0.15">
      <c r="A783" s="166" t="s">
        <v>2633</v>
      </c>
      <c r="B783" s="82"/>
      <c r="C783" s="70" t="s">
        <v>3636</v>
      </c>
      <c r="D783" s="70" t="s">
        <v>7012</v>
      </c>
      <c r="E783" s="70" t="s">
        <v>4722</v>
      </c>
      <c r="F783" s="70" t="s">
        <v>4865</v>
      </c>
      <c r="G783" s="70" t="s">
        <v>4179</v>
      </c>
      <c r="H783" s="93"/>
      <c r="I783" s="85">
        <v>-999</v>
      </c>
      <c r="J783" s="85">
        <v>-999</v>
      </c>
      <c r="K783" s="141" t="s">
        <v>7875</v>
      </c>
      <c r="L783" s="60">
        <v>-999</v>
      </c>
      <c r="M783" s="33" t="s">
        <v>6809</v>
      </c>
    </row>
    <row r="784" spans="1:14" ht="14" x14ac:dyDescent="0.15">
      <c r="A784" s="166" t="s">
        <v>2633</v>
      </c>
      <c r="B784" s="82"/>
      <c r="C784" s="70" t="s">
        <v>3636</v>
      </c>
      <c r="D784" s="70" t="s">
        <v>7012</v>
      </c>
      <c r="E784" s="70" t="s">
        <v>4722</v>
      </c>
      <c r="F784" s="70" t="s">
        <v>4865</v>
      </c>
      <c r="G784" s="70" t="s">
        <v>3951</v>
      </c>
      <c r="H784" s="93"/>
      <c r="I784" s="85">
        <v>-999</v>
      </c>
      <c r="J784" s="85">
        <v>-999</v>
      </c>
      <c r="K784" s="131" t="s">
        <v>3177</v>
      </c>
      <c r="L784" s="60">
        <v>-999</v>
      </c>
      <c r="M784" s="33" t="s">
        <v>6392</v>
      </c>
    </row>
    <row r="785" spans="1:14" ht="28" x14ac:dyDescent="0.15">
      <c r="A785" s="166" t="s">
        <v>2633</v>
      </c>
      <c r="B785" s="82"/>
      <c r="C785" s="70" t="s">
        <v>3636</v>
      </c>
      <c r="D785" s="70" t="s">
        <v>7012</v>
      </c>
      <c r="E785" s="70" t="s">
        <v>4722</v>
      </c>
      <c r="F785" s="70" t="s">
        <v>4865</v>
      </c>
      <c r="G785" s="70" t="s">
        <v>3953</v>
      </c>
      <c r="H785" s="93"/>
      <c r="I785" s="85">
        <v>-999</v>
      </c>
      <c r="J785" s="85">
        <v>-999</v>
      </c>
      <c r="K785" s="141" t="s">
        <v>7875</v>
      </c>
      <c r="L785" s="60">
        <v>-999</v>
      </c>
      <c r="M785" s="33" t="s">
        <v>6728</v>
      </c>
    </row>
    <row r="786" spans="1:14" ht="28" x14ac:dyDescent="0.15">
      <c r="A786" s="166" t="s">
        <v>2633</v>
      </c>
      <c r="B786" s="82"/>
      <c r="C786" s="70" t="s">
        <v>3636</v>
      </c>
      <c r="D786" s="70" t="s">
        <v>7012</v>
      </c>
      <c r="E786" s="70" t="s">
        <v>4722</v>
      </c>
      <c r="F786" s="70" t="s">
        <v>4865</v>
      </c>
      <c r="G786" s="70" t="s">
        <v>7232</v>
      </c>
      <c r="H786" s="93"/>
      <c r="I786" s="85">
        <v>-999</v>
      </c>
      <c r="J786" s="85">
        <v>-999</v>
      </c>
      <c r="K786" s="131" t="s">
        <v>3177</v>
      </c>
      <c r="L786" s="60">
        <v>-999</v>
      </c>
      <c r="M786" s="33"/>
      <c r="N786" s="37" t="s">
        <v>1732</v>
      </c>
    </row>
    <row r="787" spans="1:14" ht="28" x14ac:dyDescent="0.15">
      <c r="A787" s="166" t="s">
        <v>2633</v>
      </c>
      <c r="B787" s="82"/>
      <c r="C787" s="70" t="s">
        <v>3636</v>
      </c>
      <c r="D787" s="70" t="s">
        <v>7012</v>
      </c>
      <c r="E787" s="70" t="s">
        <v>4722</v>
      </c>
      <c r="F787" s="70" t="s">
        <v>4865</v>
      </c>
      <c r="G787" s="70" t="s">
        <v>6895</v>
      </c>
      <c r="H787" s="93"/>
      <c r="I787" s="85">
        <v>-999</v>
      </c>
      <c r="J787" s="85">
        <v>-999</v>
      </c>
      <c r="K787" s="141" t="s">
        <v>7875</v>
      </c>
      <c r="L787" s="60">
        <v>-999</v>
      </c>
      <c r="M787" s="33" t="s">
        <v>6728</v>
      </c>
    </row>
    <row r="788" spans="1:14" ht="14" x14ac:dyDescent="0.15">
      <c r="A788" s="166" t="s">
        <v>2633</v>
      </c>
      <c r="B788" s="82"/>
      <c r="C788" s="70" t="s">
        <v>3636</v>
      </c>
      <c r="D788" s="70" t="s">
        <v>7012</v>
      </c>
      <c r="E788" s="70" t="s">
        <v>4722</v>
      </c>
      <c r="F788" s="70" t="s">
        <v>4865</v>
      </c>
      <c r="G788" s="70" t="s">
        <v>3745</v>
      </c>
      <c r="H788" s="93"/>
      <c r="I788" s="85">
        <v>-999</v>
      </c>
      <c r="J788" s="85">
        <v>-999</v>
      </c>
      <c r="K788" s="131" t="s">
        <v>3177</v>
      </c>
      <c r="L788" s="60">
        <v>-999</v>
      </c>
      <c r="M788" s="33"/>
    </row>
    <row r="789" spans="1:14" ht="14" x14ac:dyDescent="0.15">
      <c r="A789" s="166" t="s">
        <v>2633</v>
      </c>
      <c r="B789" s="82"/>
      <c r="C789" s="70" t="s">
        <v>3636</v>
      </c>
      <c r="D789" s="70" t="s">
        <v>7012</v>
      </c>
      <c r="E789" s="70" t="s">
        <v>4722</v>
      </c>
      <c r="F789" s="70" t="s">
        <v>4865</v>
      </c>
      <c r="G789" s="70" t="s">
        <v>6788</v>
      </c>
      <c r="H789" s="93"/>
      <c r="I789" s="85">
        <f t="shared" ref="I789:I820" si="28">LOG(J789)</f>
        <v>0.30103000000000008</v>
      </c>
      <c r="J789" s="85">
        <v>2.0000000199681049</v>
      </c>
      <c r="K789" s="131" t="s">
        <v>3177</v>
      </c>
      <c r="L789" s="60" t="s">
        <v>6641</v>
      </c>
    </row>
    <row r="790" spans="1:14" ht="14" x14ac:dyDescent="0.15">
      <c r="A790" s="166" t="s">
        <v>2633</v>
      </c>
      <c r="B790" s="82"/>
      <c r="C790" s="70" t="s">
        <v>3636</v>
      </c>
      <c r="D790" s="70" t="s">
        <v>7012</v>
      </c>
      <c r="E790" s="70" t="s">
        <v>4722</v>
      </c>
      <c r="F790" s="70" t="s">
        <v>4865</v>
      </c>
      <c r="G790" s="70" t="s">
        <v>7028</v>
      </c>
      <c r="H790" s="93"/>
      <c r="I790" s="85">
        <f t="shared" si="28"/>
        <v>0.39794000000000007</v>
      </c>
      <c r="J790" s="85">
        <v>2.4999999500797396</v>
      </c>
      <c r="K790" s="131" t="s">
        <v>3177</v>
      </c>
      <c r="L790" s="60" t="s">
        <v>1455</v>
      </c>
      <c r="N790" s="37" t="s">
        <v>1540</v>
      </c>
    </row>
    <row r="791" spans="1:14" ht="14" x14ac:dyDescent="0.15">
      <c r="A791" s="166" t="s">
        <v>2633</v>
      </c>
      <c r="B791" s="82"/>
      <c r="C791" s="70" t="s">
        <v>3636</v>
      </c>
      <c r="D791" s="70" t="s">
        <v>7012</v>
      </c>
      <c r="E791" s="70" t="s">
        <v>4722</v>
      </c>
      <c r="F791" s="70" t="s">
        <v>4865</v>
      </c>
      <c r="G791" s="70" t="s">
        <v>2165</v>
      </c>
      <c r="H791" s="93"/>
      <c r="I791" s="85">
        <f t="shared" si="28"/>
        <v>0.54407000000000005</v>
      </c>
      <c r="J791" s="85">
        <v>3.5000157607101445</v>
      </c>
      <c r="K791" s="131" t="s">
        <v>3177</v>
      </c>
      <c r="L791" s="60" t="s">
        <v>6641</v>
      </c>
    </row>
    <row r="792" spans="1:14" ht="14" x14ac:dyDescent="0.15">
      <c r="A792" s="166" t="s">
        <v>2633</v>
      </c>
      <c r="B792" s="82"/>
      <c r="C792" s="70" t="s">
        <v>3636</v>
      </c>
      <c r="D792" s="70" t="s">
        <v>7012</v>
      </c>
      <c r="E792" s="70" t="s">
        <v>4722</v>
      </c>
      <c r="F792" s="70" t="s">
        <v>4865</v>
      </c>
      <c r="G792" s="70" t="s">
        <v>3665</v>
      </c>
      <c r="H792" s="93"/>
      <c r="I792" s="85">
        <f t="shared" si="28"/>
        <v>0.59291766661578005</v>
      </c>
      <c r="J792" s="85">
        <f>AVERAGE(5.75002853608759, 3, 3)</f>
        <v>3.9166761786958637</v>
      </c>
      <c r="K792" s="131" t="s">
        <v>3177</v>
      </c>
      <c r="L792" s="60" t="s">
        <v>1455</v>
      </c>
      <c r="N792" s="37" t="s">
        <v>1736</v>
      </c>
    </row>
    <row r="793" spans="1:14" ht="17" x14ac:dyDescent="0.2">
      <c r="A793" s="166" t="s">
        <v>2633</v>
      </c>
      <c r="B793" s="82"/>
      <c r="C793" s="70" t="s">
        <v>3636</v>
      </c>
      <c r="D793" s="70" t="s">
        <v>7012</v>
      </c>
      <c r="E793" s="70" t="s">
        <v>4722</v>
      </c>
      <c r="F793" s="70" t="s">
        <v>4865</v>
      </c>
      <c r="G793" s="70" t="s">
        <v>7182</v>
      </c>
      <c r="H793" s="93"/>
      <c r="I793" s="85">
        <f t="shared" si="28"/>
        <v>0.63347000000000009</v>
      </c>
      <c r="J793" s="85">
        <v>4.3000152915127021</v>
      </c>
      <c r="K793" s="131" t="s">
        <v>3177</v>
      </c>
      <c r="L793" s="60" t="s">
        <v>1455</v>
      </c>
      <c r="N793" s="48" t="s">
        <v>1731</v>
      </c>
    </row>
    <row r="794" spans="1:14" x14ac:dyDescent="0.15">
      <c r="A794" s="166" t="s">
        <v>2633</v>
      </c>
      <c r="B794" s="82"/>
      <c r="C794" s="70" t="s">
        <v>3636</v>
      </c>
      <c r="D794" s="70" t="s">
        <v>7012</v>
      </c>
      <c r="E794" s="70" t="s">
        <v>4722</v>
      </c>
      <c r="F794" s="70" t="s">
        <v>4865</v>
      </c>
      <c r="G794" s="70" t="s">
        <v>3497</v>
      </c>
      <c r="H794" s="93"/>
      <c r="I794" s="85">
        <f t="shared" si="28"/>
        <v>0.69896999999999998</v>
      </c>
      <c r="J794" s="85">
        <v>4.9999999500797392</v>
      </c>
      <c r="K794" s="131"/>
      <c r="L794" s="67" t="s">
        <v>183</v>
      </c>
    </row>
    <row r="795" spans="1:14" ht="14" x14ac:dyDescent="0.15">
      <c r="A795" s="166" t="s">
        <v>2633</v>
      </c>
      <c r="B795" s="82"/>
      <c r="C795" s="70" t="s">
        <v>3636</v>
      </c>
      <c r="D795" s="70" t="s">
        <v>7012</v>
      </c>
      <c r="E795" s="70" t="s">
        <v>4722</v>
      </c>
      <c r="F795" s="70" t="s">
        <v>4865</v>
      </c>
      <c r="G795" s="70" t="s">
        <v>3748</v>
      </c>
      <c r="H795" s="93"/>
      <c r="I795" s="85">
        <f t="shared" si="28"/>
        <v>0.69896999999999998</v>
      </c>
      <c r="J795" s="85">
        <v>4.9999999500797392</v>
      </c>
      <c r="K795" s="131" t="s">
        <v>3177</v>
      </c>
      <c r="L795" s="60" t="s">
        <v>6641</v>
      </c>
      <c r="N795" s="37" t="s">
        <v>1717</v>
      </c>
    </row>
    <row r="796" spans="1:14" ht="14" x14ac:dyDescent="0.15">
      <c r="A796" s="166" t="s">
        <v>2633</v>
      </c>
      <c r="B796" s="82"/>
      <c r="C796" s="70" t="s">
        <v>3636</v>
      </c>
      <c r="D796" s="70" t="s">
        <v>7012</v>
      </c>
      <c r="E796" s="70" t="s">
        <v>4722</v>
      </c>
      <c r="F796" s="70" t="s">
        <v>4865</v>
      </c>
      <c r="G796" s="70" t="s">
        <v>6893</v>
      </c>
      <c r="H796" s="93"/>
      <c r="I796" s="85">
        <f t="shared" si="28"/>
        <v>0.74036000000000013</v>
      </c>
      <c r="J796" s="85">
        <v>5.4999659397640208</v>
      </c>
      <c r="K796" s="131" t="s">
        <v>3177</v>
      </c>
      <c r="L796" s="60">
        <v>60</v>
      </c>
    </row>
    <row r="797" spans="1:14" ht="14" x14ac:dyDescent="0.15">
      <c r="A797" s="166" t="s">
        <v>2633</v>
      </c>
      <c r="B797" s="82"/>
      <c r="C797" s="70" t="s">
        <v>3636</v>
      </c>
      <c r="D797" s="70" t="s">
        <v>7012</v>
      </c>
      <c r="E797" s="70" t="s">
        <v>4722</v>
      </c>
      <c r="F797" s="70" t="s">
        <v>4865</v>
      </c>
      <c r="G797" s="70" t="s">
        <v>3874</v>
      </c>
      <c r="H797" s="93"/>
      <c r="I797" s="85">
        <f t="shared" si="28"/>
        <v>0.75587485567249146</v>
      </c>
      <c r="J797" s="85">
        <f>AVERAGE(5.5, 6.1, 5.5)</f>
        <v>5.7</v>
      </c>
      <c r="K797" s="131" t="s">
        <v>3177</v>
      </c>
      <c r="L797" s="60" t="s">
        <v>1729</v>
      </c>
      <c r="N797" s="37" t="s">
        <v>1730</v>
      </c>
    </row>
    <row r="798" spans="1:14" ht="14" x14ac:dyDescent="0.15">
      <c r="A798" s="166" t="s">
        <v>2633</v>
      </c>
      <c r="B798" s="82"/>
      <c r="C798" s="70" t="s">
        <v>3636</v>
      </c>
      <c r="D798" s="70" t="s">
        <v>7012</v>
      </c>
      <c r="E798" s="70" t="s">
        <v>4722</v>
      </c>
      <c r="F798" s="70" t="s">
        <v>4865</v>
      </c>
      <c r="G798" s="70" t="s">
        <v>7196</v>
      </c>
      <c r="H798" s="93"/>
      <c r="I798" s="85">
        <f t="shared" si="28"/>
        <v>0.77815125038364363</v>
      </c>
      <c r="J798" s="85">
        <v>6</v>
      </c>
      <c r="K798" s="131" t="s">
        <v>3177</v>
      </c>
      <c r="L798" s="60" t="s">
        <v>1766</v>
      </c>
    </row>
    <row r="799" spans="1:14" ht="16" x14ac:dyDescent="0.2">
      <c r="A799" s="166" t="s">
        <v>2633</v>
      </c>
      <c r="B799" s="82"/>
      <c r="C799" s="70" t="s">
        <v>3636</v>
      </c>
      <c r="D799" s="70" t="s">
        <v>7012</v>
      </c>
      <c r="E799" s="70" t="s">
        <v>4722</v>
      </c>
      <c r="F799" s="70" t="s">
        <v>4865</v>
      </c>
      <c r="G799" s="70" t="s">
        <v>3764</v>
      </c>
      <c r="H799" s="93"/>
      <c r="I799" s="85">
        <f t="shared" si="28"/>
        <v>0.80618000000000012</v>
      </c>
      <c r="J799" s="85">
        <v>6.4000003833876198</v>
      </c>
      <c r="K799" s="131" t="s">
        <v>3177</v>
      </c>
      <c r="L799" s="60">
        <v>60</v>
      </c>
      <c r="N799" s="48"/>
    </row>
    <row r="800" spans="1:14" ht="14" x14ac:dyDescent="0.15">
      <c r="A800" s="166" t="s">
        <v>2633</v>
      </c>
      <c r="B800" s="82"/>
      <c r="C800" s="70" t="s">
        <v>3636</v>
      </c>
      <c r="D800" s="70" t="s">
        <v>7012</v>
      </c>
      <c r="E800" s="70" t="s">
        <v>4722</v>
      </c>
      <c r="F800" s="70" t="s">
        <v>4865</v>
      </c>
      <c r="G800" s="70" t="s">
        <v>4178</v>
      </c>
      <c r="H800" s="93"/>
      <c r="I800" s="85">
        <f t="shared" si="28"/>
        <v>0.81291000000000013</v>
      </c>
      <c r="J800" s="85">
        <v>6.4999497619814344</v>
      </c>
      <c r="K800" s="131" t="s">
        <v>3177</v>
      </c>
      <c r="L800" s="60">
        <v>60</v>
      </c>
    </row>
    <row r="801" spans="1:14" ht="28" x14ac:dyDescent="0.2">
      <c r="A801" s="166" t="s">
        <v>2633</v>
      </c>
      <c r="B801" s="82"/>
      <c r="C801" s="70" t="s">
        <v>3636</v>
      </c>
      <c r="D801" s="70" t="s">
        <v>7012</v>
      </c>
      <c r="E801" s="70" t="s">
        <v>4722</v>
      </c>
      <c r="F801" s="70" t="s">
        <v>4865</v>
      </c>
      <c r="G801" s="70" t="s">
        <v>2169</v>
      </c>
      <c r="H801" s="93"/>
      <c r="I801" s="85">
        <f t="shared" si="28"/>
        <v>0.81291335664285558</v>
      </c>
      <c r="J801" s="85">
        <f>AVERAGE(3, 10)</f>
        <v>6.5</v>
      </c>
      <c r="K801" s="141" t="s">
        <v>7875</v>
      </c>
      <c r="L801" s="60">
        <v>108</v>
      </c>
      <c r="M801" s="49" t="s">
        <v>6809</v>
      </c>
      <c r="N801" s="48"/>
    </row>
    <row r="802" spans="1:14" ht="14" x14ac:dyDescent="0.15">
      <c r="A802" s="166" t="s">
        <v>2633</v>
      </c>
      <c r="B802" s="82"/>
      <c r="C802" s="70" t="s">
        <v>3636</v>
      </c>
      <c r="D802" s="70" t="s">
        <v>7012</v>
      </c>
      <c r="E802" s="70" t="s">
        <v>4722</v>
      </c>
      <c r="F802" s="70" t="s">
        <v>4865</v>
      </c>
      <c r="G802" s="70" t="s">
        <v>4133</v>
      </c>
      <c r="H802" s="93"/>
      <c r="I802" s="85">
        <f t="shared" si="28"/>
        <v>0.81291335664285558</v>
      </c>
      <c r="J802" s="85">
        <v>6.5</v>
      </c>
      <c r="K802" s="131" t="s">
        <v>3177</v>
      </c>
      <c r="L802" s="60">
        <v>108</v>
      </c>
    </row>
    <row r="803" spans="1:14" ht="16" x14ac:dyDescent="0.2">
      <c r="A803" s="166" t="s">
        <v>2633</v>
      </c>
      <c r="B803" s="82"/>
      <c r="C803" s="70" t="s">
        <v>3636</v>
      </c>
      <c r="D803" s="70" t="s">
        <v>7012</v>
      </c>
      <c r="E803" s="70" t="s">
        <v>4722</v>
      </c>
      <c r="F803" s="70" t="s">
        <v>4865</v>
      </c>
      <c r="G803" s="70" t="s">
        <v>7024</v>
      </c>
      <c r="H803" s="93"/>
      <c r="I803" s="85">
        <f t="shared" si="28"/>
        <v>0.81291335664285558</v>
      </c>
      <c r="J803" s="85">
        <v>6.5</v>
      </c>
      <c r="K803" s="131" t="s">
        <v>3177</v>
      </c>
      <c r="L803" s="60">
        <v>108</v>
      </c>
      <c r="N803" s="48"/>
    </row>
    <row r="804" spans="1:14" ht="14" x14ac:dyDescent="0.15">
      <c r="A804" s="166" t="s">
        <v>2633</v>
      </c>
      <c r="B804" s="96"/>
      <c r="C804" s="70" t="s">
        <v>3636</v>
      </c>
      <c r="D804" s="70" t="s">
        <v>7012</v>
      </c>
      <c r="E804" s="70" t="s">
        <v>4722</v>
      </c>
      <c r="F804" s="70" t="s">
        <v>4865</v>
      </c>
      <c r="G804" s="70" t="s">
        <v>2494</v>
      </c>
      <c r="H804" s="93"/>
      <c r="I804" s="85">
        <f t="shared" si="28"/>
        <v>0.81424759573192018</v>
      </c>
      <c r="J804" s="110">
        <v>6.52</v>
      </c>
      <c r="K804" s="134" t="s">
        <v>3177</v>
      </c>
      <c r="L804" s="63">
        <v>226</v>
      </c>
      <c r="M804" s="33"/>
    </row>
    <row r="805" spans="1:14" ht="28" x14ac:dyDescent="0.15">
      <c r="A805" s="166" t="s">
        <v>2633</v>
      </c>
      <c r="B805" s="82"/>
      <c r="C805" s="70" t="s">
        <v>3636</v>
      </c>
      <c r="D805" s="70" t="s">
        <v>7012</v>
      </c>
      <c r="E805" s="70" t="s">
        <v>4722</v>
      </c>
      <c r="F805" s="70" t="s">
        <v>4865</v>
      </c>
      <c r="G805" s="70" t="s">
        <v>3667</v>
      </c>
      <c r="H805" s="93"/>
      <c r="I805" s="85">
        <f t="shared" si="28"/>
        <v>0.82607480270082645</v>
      </c>
      <c r="J805" s="85">
        <f>AVERAGE(6.7, 6.7)</f>
        <v>6.7</v>
      </c>
      <c r="K805" s="141" t="s">
        <v>7875</v>
      </c>
      <c r="L805" s="60" t="s">
        <v>6389</v>
      </c>
      <c r="M805" s="49" t="s">
        <v>6809</v>
      </c>
      <c r="N805" s="37" t="s">
        <v>1737</v>
      </c>
    </row>
    <row r="806" spans="1:14" ht="14" x14ac:dyDescent="0.15">
      <c r="A806" s="166" t="s">
        <v>2633</v>
      </c>
      <c r="B806" s="82"/>
      <c r="C806" s="70" t="s">
        <v>3636</v>
      </c>
      <c r="D806" s="70" t="s">
        <v>7012</v>
      </c>
      <c r="E806" s="70" t="s">
        <v>4722</v>
      </c>
      <c r="F806" s="70" t="s">
        <v>4865</v>
      </c>
      <c r="G806" s="70" t="s">
        <v>2033</v>
      </c>
      <c r="H806" s="93"/>
      <c r="I806" s="85">
        <f t="shared" si="28"/>
        <v>0.83884909073725544</v>
      </c>
      <c r="J806" s="85">
        <f>AVERAGE(6.3, 8, 6.4)</f>
        <v>6.9000000000000012</v>
      </c>
      <c r="K806" s="131" t="s">
        <v>3177</v>
      </c>
      <c r="L806" s="60" t="s">
        <v>1455</v>
      </c>
      <c r="N806" s="37" t="s">
        <v>1454</v>
      </c>
    </row>
    <row r="807" spans="1:14" ht="14" x14ac:dyDescent="0.15">
      <c r="A807" s="166" t="s">
        <v>2633</v>
      </c>
      <c r="B807" s="82"/>
      <c r="C807" s="70" t="s">
        <v>3636</v>
      </c>
      <c r="D807" s="70" t="s">
        <v>7012</v>
      </c>
      <c r="E807" s="70" t="s">
        <v>4722</v>
      </c>
      <c r="F807" s="70" t="s">
        <v>4865</v>
      </c>
      <c r="G807" s="70" t="s">
        <v>2035</v>
      </c>
      <c r="H807" s="93"/>
      <c r="I807" s="85">
        <f t="shared" si="28"/>
        <v>0.84509804001425681</v>
      </c>
      <c r="J807" s="85">
        <v>7</v>
      </c>
      <c r="K807" s="131" t="s">
        <v>3177</v>
      </c>
      <c r="L807" s="60">
        <v>108</v>
      </c>
    </row>
    <row r="808" spans="1:14" ht="14" x14ac:dyDescent="0.15">
      <c r="A808" s="166" t="s">
        <v>2633</v>
      </c>
      <c r="B808" s="82"/>
      <c r="C808" s="70" t="s">
        <v>3636</v>
      </c>
      <c r="D808" s="70" t="s">
        <v>7012</v>
      </c>
      <c r="E808" s="70" t="s">
        <v>4722</v>
      </c>
      <c r="F808" s="70" t="s">
        <v>4865</v>
      </c>
      <c r="G808" s="70" t="s">
        <v>3875</v>
      </c>
      <c r="H808" s="93"/>
      <c r="I808" s="85">
        <f t="shared" si="28"/>
        <v>0.84509804001425681</v>
      </c>
      <c r="J808" s="85">
        <v>7</v>
      </c>
      <c r="K808" s="131" t="s">
        <v>3177</v>
      </c>
      <c r="L808" s="60">
        <v>108</v>
      </c>
    </row>
    <row r="809" spans="1:14" ht="14" x14ac:dyDescent="0.15">
      <c r="A809" s="166" t="s">
        <v>2633</v>
      </c>
      <c r="B809" s="82"/>
      <c r="C809" s="70" t="s">
        <v>3636</v>
      </c>
      <c r="D809" s="70" t="s">
        <v>7012</v>
      </c>
      <c r="E809" s="70" t="s">
        <v>4722</v>
      </c>
      <c r="F809" s="70" t="s">
        <v>4865</v>
      </c>
      <c r="G809" s="70" t="s">
        <v>3502</v>
      </c>
      <c r="H809" s="93"/>
      <c r="I809" s="85">
        <f t="shared" si="28"/>
        <v>0.84509804001425681</v>
      </c>
      <c r="J809" s="85">
        <v>7</v>
      </c>
      <c r="K809" s="131" t="s">
        <v>3177</v>
      </c>
      <c r="L809" s="60" t="s">
        <v>2686</v>
      </c>
      <c r="M809" s="49" t="s">
        <v>6727</v>
      </c>
    </row>
    <row r="810" spans="1:14" ht="14" x14ac:dyDescent="0.15">
      <c r="A810" s="166" t="s">
        <v>2633</v>
      </c>
      <c r="B810" s="82"/>
      <c r="C810" s="70" t="s">
        <v>3636</v>
      </c>
      <c r="D810" s="70" t="s">
        <v>7012</v>
      </c>
      <c r="E810" s="70" t="s">
        <v>4722</v>
      </c>
      <c r="F810" s="70" t="s">
        <v>4865</v>
      </c>
      <c r="G810" s="70" t="s">
        <v>3985</v>
      </c>
      <c r="H810" s="93"/>
      <c r="I810" s="85">
        <f t="shared" si="28"/>
        <v>0.90308998699194354</v>
      </c>
      <c r="J810" s="85">
        <f>AVERAGE(7,9)</f>
        <v>8</v>
      </c>
      <c r="K810" s="131" t="s">
        <v>3177</v>
      </c>
      <c r="L810" s="60" t="s">
        <v>1765</v>
      </c>
    </row>
    <row r="811" spans="1:14" ht="16" x14ac:dyDescent="0.2">
      <c r="A811" s="166" t="s">
        <v>2633</v>
      </c>
      <c r="B811" s="82"/>
      <c r="C811" s="70" t="s">
        <v>3636</v>
      </c>
      <c r="D811" s="70" t="s">
        <v>7012</v>
      </c>
      <c r="E811" s="70" t="s">
        <v>4722</v>
      </c>
      <c r="F811" s="70" t="s">
        <v>4865</v>
      </c>
      <c r="G811" s="70" t="s">
        <v>2034</v>
      </c>
      <c r="H811" s="93"/>
      <c r="I811" s="85">
        <f t="shared" si="28"/>
        <v>0.97081161087251777</v>
      </c>
      <c r="J811" s="85">
        <f>AVERAGE(11, 7.7)</f>
        <v>9.35</v>
      </c>
      <c r="K811" s="131" t="s">
        <v>3177</v>
      </c>
      <c r="L811" s="60">
        <v>260</v>
      </c>
      <c r="N811" s="48"/>
    </row>
    <row r="812" spans="1:14" ht="14" x14ac:dyDescent="0.15">
      <c r="A812" s="166" t="s">
        <v>2633</v>
      </c>
      <c r="B812" s="82"/>
      <c r="C812" s="70" t="s">
        <v>3636</v>
      </c>
      <c r="D812" s="70" t="s">
        <v>7012</v>
      </c>
      <c r="E812" s="70" t="s">
        <v>4722</v>
      </c>
      <c r="F812" s="70" t="s">
        <v>4865</v>
      </c>
      <c r="G812" s="70" t="s">
        <v>6432</v>
      </c>
      <c r="H812" s="93"/>
      <c r="I812" s="85">
        <f t="shared" si="28"/>
        <v>0.97772000000000003</v>
      </c>
      <c r="J812" s="85">
        <v>9.4999211362259555</v>
      </c>
      <c r="K812" s="131" t="s">
        <v>3177</v>
      </c>
      <c r="L812" s="60" t="s">
        <v>2686</v>
      </c>
    </row>
    <row r="813" spans="1:14" ht="28" x14ac:dyDescent="0.15">
      <c r="A813" s="166" t="s">
        <v>2633</v>
      </c>
      <c r="B813" s="82"/>
      <c r="C813" s="70" t="s">
        <v>3636</v>
      </c>
      <c r="D813" s="70" t="s">
        <v>7012</v>
      </c>
      <c r="E813" s="70" t="s">
        <v>4722</v>
      </c>
      <c r="F813" s="70" t="s">
        <v>4865</v>
      </c>
      <c r="G813" s="70" t="s">
        <v>4759</v>
      </c>
      <c r="H813" s="93"/>
      <c r="I813" s="85">
        <f t="shared" si="28"/>
        <v>0.98677173426624487</v>
      </c>
      <c r="J813" s="85">
        <v>9.6999999999999993</v>
      </c>
      <c r="K813" s="141" t="s">
        <v>7875</v>
      </c>
      <c r="L813" s="60">
        <v>124</v>
      </c>
      <c r="M813" s="33" t="s">
        <v>6728</v>
      </c>
    </row>
    <row r="814" spans="1:14" ht="14" x14ac:dyDescent="0.15">
      <c r="A814" s="166" t="s">
        <v>2633</v>
      </c>
      <c r="B814" s="82"/>
      <c r="C814" s="70" t="s">
        <v>3636</v>
      </c>
      <c r="D814" s="70" t="s">
        <v>7012</v>
      </c>
      <c r="E814" s="70" t="s">
        <v>4722</v>
      </c>
      <c r="F814" s="70" t="s">
        <v>4865</v>
      </c>
      <c r="G814" s="70" t="s">
        <v>7218</v>
      </c>
      <c r="H814" s="93"/>
      <c r="I814" s="85">
        <f t="shared" si="28"/>
        <v>1.0511525224473812</v>
      </c>
      <c r="J814" s="85">
        <f>AVERAGE(13, 9.5)</f>
        <v>11.25</v>
      </c>
      <c r="K814" s="131" t="s">
        <v>3177</v>
      </c>
      <c r="L814" s="60">
        <v>260</v>
      </c>
    </row>
    <row r="815" spans="1:14" ht="28" x14ac:dyDescent="0.15">
      <c r="A815" s="166" t="s">
        <v>2633</v>
      </c>
      <c r="B815" s="82"/>
      <c r="C815" s="70" t="s">
        <v>3636</v>
      </c>
      <c r="D815" s="70" t="s">
        <v>7012</v>
      </c>
      <c r="E815" s="70" t="s">
        <v>4722</v>
      </c>
      <c r="F815" s="70" t="s">
        <v>4865</v>
      </c>
      <c r="G815" s="70" t="s">
        <v>3987</v>
      </c>
      <c r="H815" s="93"/>
      <c r="I815" s="85">
        <f t="shared" si="28"/>
        <v>1.0607</v>
      </c>
      <c r="J815" s="85">
        <v>11.500057186992358</v>
      </c>
      <c r="K815" s="131" t="s">
        <v>3177</v>
      </c>
      <c r="L815" s="60">
        <v>60</v>
      </c>
      <c r="N815" s="37" t="s">
        <v>7509</v>
      </c>
    </row>
    <row r="816" spans="1:14" ht="14" x14ac:dyDescent="0.15">
      <c r="A816" s="166" t="s">
        <v>2633</v>
      </c>
      <c r="B816" s="82"/>
      <c r="C816" s="70" t="s">
        <v>3636</v>
      </c>
      <c r="D816" s="70" t="s">
        <v>7012</v>
      </c>
      <c r="E816" s="70" t="s">
        <v>4722</v>
      </c>
      <c r="F816" s="70" t="s">
        <v>4865</v>
      </c>
      <c r="G816" s="70" t="s">
        <v>4310</v>
      </c>
      <c r="H816" s="93"/>
      <c r="I816" s="85">
        <f t="shared" si="28"/>
        <v>1.1026623418971477</v>
      </c>
      <c r="J816" s="85">
        <f>AVERAGE(10, 10, 18)</f>
        <v>12.666666666666666</v>
      </c>
      <c r="K816" s="131" t="s">
        <v>3177</v>
      </c>
      <c r="L816" s="60" t="s">
        <v>6389</v>
      </c>
      <c r="N816" s="37" t="s">
        <v>1735</v>
      </c>
    </row>
    <row r="817" spans="1:14" ht="14" x14ac:dyDescent="0.15">
      <c r="A817" s="166" t="s">
        <v>2633</v>
      </c>
      <c r="B817" s="82"/>
      <c r="C817" s="70" t="s">
        <v>3636</v>
      </c>
      <c r="D817" s="70" t="s">
        <v>7012</v>
      </c>
      <c r="E817" s="70" t="s">
        <v>4722</v>
      </c>
      <c r="F817" s="70" t="s">
        <v>4865</v>
      </c>
      <c r="G817" s="70" t="s">
        <v>4673</v>
      </c>
      <c r="H817" s="93"/>
      <c r="I817" s="85">
        <f t="shared" si="28"/>
        <v>1.1205739312058498</v>
      </c>
      <c r="J817" s="85">
        <f>1000*0.0132</f>
        <v>13.2</v>
      </c>
      <c r="K817" s="131" t="s">
        <v>3177</v>
      </c>
      <c r="L817" s="60">
        <v>60</v>
      </c>
      <c r="M817" s="33"/>
    </row>
    <row r="818" spans="1:14" ht="14" x14ac:dyDescent="0.15">
      <c r="A818" s="166" t="s">
        <v>2633</v>
      </c>
      <c r="B818" s="82"/>
      <c r="C818" s="70" t="s">
        <v>3636</v>
      </c>
      <c r="D818" s="70" t="s">
        <v>7012</v>
      </c>
      <c r="E818" s="70" t="s">
        <v>4722</v>
      </c>
      <c r="F818" s="70" t="s">
        <v>4865</v>
      </c>
      <c r="G818" s="70" t="s">
        <v>3706</v>
      </c>
      <c r="H818" s="93"/>
      <c r="I818" s="85">
        <f t="shared" si="28"/>
        <v>1.1303337684950061</v>
      </c>
      <c r="J818" s="85">
        <v>13.5</v>
      </c>
      <c r="K818" s="131" t="s">
        <v>3177</v>
      </c>
      <c r="L818" s="60">
        <v>174</v>
      </c>
      <c r="M818" s="33"/>
    </row>
    <row r="819" spans="1:14" ht="14" x14ac:dyDescent="0.15">
      <c r="A819" s="166" t="s">
        <v>2633</v>
      </c>
      <c r="B819" s="82"/>
      <c r="C819" s="70" t="s">
        <v>3636</v>
      </c>
      <c r="D819" s="70" t="s">
        <v>7012</v>
      </c>
      <c r="E819" s="70" t="s">
        <v>4722</v>
      </c>
      <c r="F819" s="70" t="s">
        <v>4865</v>
      </c>
      <c r="G819" s="70" t="s">
        <v>7211</v>
      </c>
      <c r="H819" s="93"/>
      <c r="I819" s="85">
        <f t="shared" si="28"/>
        <v>1.1461300000000003</v>
      </c>
      <c r="J819" s="85">
        <v>14.000063322395309</v>
      </c>
      <c r="K819" s="131" t="s">
        <v>3177</v>
      </c>
      <c r="L819" s="60" t="s">
        <v>2686</v>
      </c>
    </row>
    <row r="820" spans="1:14" ht="28" x14ac:dyDescent="0.2">
      <c r="A820" s="166" t="s">
        <v>2633</v>
      </c>
      <c r="B820" s="82"/>
      <c r="C820" s="70" t="s">
        <v>3636</v>
      </c>
      <c r="D820" s="70" t="s">
        <v>7012</v>
      </c>
      <c r="E820" s="70" t="s">
        <v>4722</v>
      </c>
      <c r="F820" s="70" t="s">
        <v>4865</v>
      </c>
      <c r="G820" s="70" t="s">
        <v>3664</v>
      </c>
      <c r="H820" s="93"/>
      <c r="I820" s="85">
        <f t="shared" si="28"/>
        <v>1.1613680022349748</v>
      </c>
      <c r="J820" s="85">
        <v>14.5</v>
      </c>
      <c r="K820" s="135" t="s">
        <v>7875</v>
      </c>
      <c r="L820" s="60" t="s">
        <v>2686</v>
      </c>
      <c r="M820" s="49" t="s">
        <v>6728</v>
      </c>
      <c r="N820" s="48"/>
    </row>
    <row r="821" spans="1:14" ht="14" x14ac:dyDescent="0.15">
      <c r="A821" s="166" t="s">
        <v>2633</v>
      </c>
      <c r="B821" s="82"/>
      <c r="C821" s="70" t="s">
        <v>3636</v>
      </c>
      <c r="D821" s="70" t="s">
        <v>7012</v>
      </c>
      <c r="E821" s="70" t="s">
        <v>4722</v>
      </c>
      <c r="F821" s="70" t="s">
        <v>4865</v>
      </c>
      <c r="G821" s="70" t="s">
        <v>6787</v>
      </c>
      <c r="H821" s="93"/>
      <c r="I821" s="85">
        <f t="shared" ref="I821:I845" si="29">LOG(J821)</f>
        <v>1.1613680022349748</v>
      </c>
      <c r="J821" s="85">
        <v>14.5</v>
      </c>
      <c r="K821" s="131" t="s">
        <v>3177</v>
      </c>
      <c r="L821" s="60">
        <v>108</v>
      </c>
    </row>
    <row r="822" spans="1:14" ht="14" x14ac:dyDescent="0.15">
      <c r="A822" s="166" t="s">
        <v>2633</v>
      </c>
      <c r="B822" s="82"/>
      <c r="C822" s="70" t="s">
        <v>3636</v>
      </c>
      <c r="D822" s="70" t="s">
        <v>7012</v>
      </c>
      <c r="E822" s="70" t="s">
        <v>4722</v>
      </c>
      <c r="F822" s="70" t="s">
        <v>4865</v>
      </c>
      <c r="G822" s="70" t="s">
        <v>7213</v>
      </c>
      <c r="H822" s="93"/>
      <c r="I822" s="85">
        <f t="shared" si="29"/>
        <v>1.1613680022349748</v>
      </c>
      <c r="J822" s="85">
        <v>14.5</v>
      </c>
      <c r="K822" s="131" t="s">
        <v>3177</v>
      </c>
      <c r="L822" s="60">
        <v>108</v>
      </c>
    </row>
    <row r="823" spans="1:14" ht="28" x14ac:dyDescent="0.15">
      <c r="A823" s="166" t="s">
        <v>2633</v>
      </c>
      <c r="B823" s="82"/>
      <c r="C823" s="70" t="s">
        <v>3636</v>
      </c>
      <c r="D823" s="70" t="s">
        <v>7012</v>
      </c>
      <c r="E823" s="70" t="s">
        <v>4722</v>
      </c>
      <c r="F823" s="70" t="s">
        <v>4865</v>
      </c>
      <c r="G823" s="70" t="s">
        <v>4212</v>
      </c>
      <c r="H823" s="93"/>
      <c r="I823" s="85">
        <f t="shared" si="29"/>
        <v>1.1613680022349748</v>
      </c>
      <c r="J823" s="85">
        <v>14.5</v>
      </c>
      <c r="K823" s="141" t="s">
        <v>7875</v>
      </c>
      <c r="L823" s="60">
        <v>108</v>
      </c>
      <c r="M823" s="49" t="s">
        <v>6809</v>
      </c>
    </row>
    <row r="824" spans="1:14" ht="14" x14ac:dyDescent="0.15">
      <c r="A824" s="166" t="s">
        <v>2633</v>
      </c>
      <c r="B824" s="82"/>
      <c r="C824" s="70" t="s">
        <v>3636</v>
      </c>
      <c r="D824" s="70" t="s">
        <v>7012</v>
      </c>
      <c r="E824" s="70" t="s">
        <v>4722</v>
      </c>
      <c r="F824" s="70" t="s">
        <v>4865</v>
      </c>
      <c r="G824" s="70" t="s">
        <v>4180</v>
      </c>
      <c r="H824" s="93"/>
      <c r="I824" s="85">
        <f t="shared" si="29"/>
        <v>1.1613680022349748</v>
      </c>
      <c r="J824" s="85">
        <v>14.5</v>
      </c>
      <c r="K824" s="131" t="s">
        <v>3177</v>
      </c>
      <c r="L824" s="60">
        <v>108</v>
      </c>
    </row>
    <row r="825" spans="1:14" ht="28" x14ac:dyDescent="0.15">
      <c r="A825" s="166" t="s">
        <v>2633</v>
      </c>
      <c r="B825" s="82"/>
      <c r="C825" s="70" t="s">
        <v>3636</v>
      </c>
      <c r="D825" s="70" t="s">
        <v>7012</v>
      </c>
      <c r="E825" s="70" t="s">
        <v>4722</v>
      </c>
      <c r="F825" s="70" t="s">
        <v>4865</v>
      </c>
      <c r="G825" s="70" t="s">
        <v>4182</v>
      </c>
      <c r="H825" s="93"/>
      <c r="I825" s="85">
        <f t="shared" si="29"/>
        <v>1.1613680022349748</v>
      </c>
      <c r="J825" s="85">
        <v>14.5</v>
      </c>
      <c r="K825" s="141" t="s">
        <v>7875</v>
      </c>
      <c r="L825" s="60">
        <v>108</v>
      </c>
      <c r="M825" s="49" t="s">
        <v>6728</v>
      </c>
    </row>
    <row r="826" spans="1:14" ht="16" x14ac:dyDescent="0.2">
      <c r="A826" s="166" t="s">
        <v>2633</v>
      </c>
      <c r="B826" s="96" t="s">
        <v>2502</v>
      </c>
      <c r="C826" s="70" t="s">
        <v>3636</v>
      </c>
      <c r="D826" s="70" t="s">
        <v>7012</v>
      </c>
      <c r="E826" s="70" t="s">
        <v>4722</v>
      </c>
      <c r="F826" s="70" t="s">
        <v>4865</v>
      </c>
      <c r="G826" s="70" t="s">
        <v>6955</v>
      </c>
      <c r="H826" s="93"/>
      <c r="I826" s="85">
        <f t="shared" si="29"/>
        <v>1.1903316981702914</v>
      </c>
      <c r="J826" s="110">
        <v>15.5</v>
      </c>
      <c r="K826" s="131" t="s">
        <v>3177</v>
      </c>
      <c r="L826" s="60">
        <v>226</v>
      </c>
      <c r="M826" s="33"/>
      <c r="N826" s="48"/>
    </row>
    <row r="827" spans="1:14" ht="14" x14ac:dyDescent="0.15">
      <c r="A827" s="166" t="s">
        <v>2633</v>
      </c>
      <c r="B827" s="82"/>
      <c r="C827" s="70" t="s">
        <v>3636</v>
      </c>
      <c r="D827" s="70" t="s">
        <v>7012</v>
      </c>
      <c r="E827" s="70" t="s">
        <v>4722</v>
      </c>
      <c r="F827" s="70" t="s">
        <v>4865</v>
      </c>
      <c r="G827" s="70" t="s">
        <v>4149</v>
      </c>
      <c r="H827" s="93"/>
      <c r="I827" s="85">
        <f t="shared" si="29"/>
        <v>1.1903877325529126</v>
      </c>
      <c r="J827" s="85">
        <v>15.502000000000001</v>
      </c>
      <c r="K827" s="131" t="s">
        <v>3177</v>
      </c>
      <c r="L827" s="60">
        <v>174</v>
      </c>
      <c r="M827" s="33"/>
    </row>
    <row r="828" spans="1:14" ht="14" x14ac:dyDescent="0.15">
      <c r="A828" s="166" t="s">
        <v>2633</v>
      </c>
      <c r="B828" s="82"/>
      <c r="C828" s="70" t="s">
        <v>3636</v>
      </c>
      <c r="D828" s="70" t="s">
        <v>7012</v>
      </c>
      <c r="E828" s="70" t="s">
        <v>4722</v>
      </c>
      <c r="F828" s="70" t="s">
        <v>4865</v>
      </c>
      <c r="G828" s="70" t="s">
        <v>6433</v>
      </c>
      <c r="H828" s="93"/>
      <c r="I828" s="85">
        <f t="shared" si="29"/>
        <v>1.198657090467147</v>
      </c>
      <c r="J828" s="85">
        <f>AVERAGE(16.0000006389794, 16.1, 14.9, 16.9, 15.1)</f>
        <v>15.800000127795879</v>
      </c>
      <c r="K828" s="134" t="s">
        <v>3177</v>
      </c>
      <c r="L828" s="60" t="s">
        <v>6839</v>
      </c>
    </row>
    <row r="829" spans="1:14" ht="14" x14ac:dyDescent="0.15">
      <c r="A829" s="166" t="s">
        <v>2633</v>
      </c>
      <c r="B829" s="82"/>
      <c r="C829" s="70" t="s">
        <v>3636</v>
      </c>
      <c r="D829" s="70" t="s">
        <v>7012</v>
      </c>
      <c r="E829" s="70" t="s">
        <v>4722</v>
      </c>
      <c r="F829" s="70" t="s">
        <v>4865</v>
      </c>
      <c r="G829" s="70" t="s">
        <v>5580</v>
      </c>
      <c r="H829" s="93"/>
      <c r="I829" s="85">
        <f t="shared" si="29"/>
        <v>1.2041199826559248</v>
      </c>
      <c r="J829" s="85">
        <f>AVERAGE(11, 21)</f>
        <v>16</v>
      </c>
      <c r="K829" s="131" t="s">
        <v>3177</v>
      </c>
      <c r="L829" s="60">
        <v>108</v>
      </c>
    </row>
    <row r="830" spans="1:14" ht="28" x14ac:dyDescent="0.15">
      <c r="A830" s="166" t="s">
        <v>2633</v>
      </c>
      <c r="B830" s="82"/>
      <c r="C830" s="70" t="s">
        <v>3636</v>
      </c>
      <c r="D830" s="70" t="s">
        <v>7012</v>
      </c>
      <c r="E830" s="70" t="s">
        <v>4722</v>
      </c>
      <c r="F830" s="70" t="s">
        <v>4865</v>
      </c>
      <c r="G830" s="70" t="s">
        <v>7212</v>
      </c>
      <c r="H830" s="93"/>
      <c r="I830" s="85">
        <f t="shared" si="29"/>
        <v>1.2041199826559248</v>
      </c>
      <c r="J830" s="85">
        <v>16</v>
      </c>
      <c r="K830" s="141" t="s">
        <v>7875</v>
      </c>
      <c r="L830" s="60">
        <v>108</v>
      </c>
      <c r="M830" s="49" t="s">
        <v>6728</v>
      </c>
    </row>
    <row r="831" spans="1:14" ht="16" x14ac:dyDescent="0.2">
      <c r="A831" s="166" t="s">
        <v>2633</v>
      </c>
      <c r="B831" s="82"/>
      <c r="C831" s="70" t="s">
        <v>3636</v>
      </c>
      <c r="D831" s="70" t="s">
        <v>7012</v>
      </c>
      <c r="E831" s="70" t="s">
        <v>4722</v>
      </c>
      <c r="F831" s="70" t="s">
        <v>4865</v>
      </c>
      <c r="G831" s="70" t="s">
        <v>4150</v>
      </c>
      <c r="H831" s="93"/>
      <c r="I831" s="85">
        <f t="shared" si="29"/>
        <v>1.2041199826559248</v>
      </c>
      <c r="J831" s="85">
        <v>16</v>
      </c>
      <c r="K831" s="131" t="s">
        <v>3177</v>
      </c>
      <c r="L831" s="60">
        <v>108</v>
      </c>
      <c r="N831" s="48"/>
    </row>
    <row r="832" spans="1:14" ht="28" x14ac:dyDescent="0.2">
      <c r="A832" s="166" t="s">
        <v>2633</v>
      </c>
      <c r="B832" s="82"/>
      <c r="C832" s="70" t="s">
        <v>3636</v>
      </c>
      <c r="D832" s="70" t="s">
        <v>7012</v>
      </c>
      <c r="E832" s="70" t="s">
        <v>4722</v>
      </c>
      <c r="F832" s="70" t="s">
        <v>4865</v>
      </c>
      <c r="G832" s="70" t="s">
        <v>4883</v>
      </c>
      <c r="H832" s="93"/>
      <c r="I832" s="85">
        <f t="shared" si="29"/>
        <v>1.2041199826559248</v>
      </c>
      <c r="J832" s="85">
        <v>16</v>
      </c>
      <c r="K832" s="141" t="s">
        <v>7875</v>
      </c>
      <c r="L832" s="60">
        <v>108</v>
      </c>
      <c r="M832" s="49" t="s">
        <v>6809</v>
      </c>
      <c r="N832" s="48"/>
    </row>
    <row r="833" spans="1:14" ht="14" x14ac:dyDescent="0.15">
      <c r="A833" s="166" t="s">
        <v>2633</v>
      </c>
      <c r="B833" s="82"/>
      <c r="C833" s="70" t="s">
        <v>3636</v>
      </c>
      <c r="D833" s="70" t="s">
        <v>7012</v>
      </c>
      <c r="E833" s="70" t="s">
        <v>4722</v>
      </c>
      <c r="F833" s="70" t="s">
        <v>4865</v>
      </c>
      <c r="G833" s="70" t="s">
        <v>4211</v>
      </c>
      <c r="H833" s="93"/>
      <c r="I833" s="85">
        <f t="shared" si="29"/>
        <v>1.2192363197680829</v>
      </c>
      <c r="J833" s="85">
        <f>AVERAGE(16.7001356961169, 16, 17)</f>
        <v>16.566711898705634</v>
      </c>
      <c r="K833" s="131" t="s">
        <v>3177</v>
      </c>
      <c r="L833" s="60" t="s">
        <v>6389</v>
      </c>
      <c r="N833" s="37" t="s">
        <v>1715</v>
      </c>
    </row>
    <row r="834" spans="1:14" ht="14" x14ac:dyDescent="0.15">
      <c r="A834" s="166" t="s">
        <v>2633</v>
      </c>
      <c r="B834" s="82"/>
      <c r="C834" s="70" t="s">
        <v>3636</v>
      </c>
      <c r="D834" s="70" t="s">
        <v>7012</v>
      </c>
      <c r="E834" s="70" t="s">
        <v>4722</v>
      </c>
      <c r="F834" s="70" t="s">
        <v>4865</v>
      </c>
      <c r="G834" s="70" t="s">
        <v>7231</v>
      </c>
      <c r="H834" s="93"/>
      <c r="I834" s="85">
        <f t="shared" si="29"/>
        <v>1.2304500000000003</v>
      </c>
      <c r="J834" s="85">
        <v>17.000042221563668</v>
      </c>
      <c r="K834" s="131" t="s">
        <v>3177</v>
      </c>
      <c r="L834" s="60" t="s">
        <v>6389</v>
      </c>
      <c r="N834" s="37" t="s">
        <v>1716</v>
      </c>
    </row>
    <row r="835" spans="1:14" ht="16" x14ac:dyDescent="0.2">
      <c r="A835" s="166" t="s">
        <v>2633</v>
      </c>
      <c r="B835" s="82"/>
      <c r="C835" s="70" t="s">
        <v>3636</v>
      </c>
      <c r="D835" s="70" t="s">
        <v>7012</v>
      </c>
      <c r="E835" s="70" t="s">
        <v>4722</v>
      </c>
      <c r="F835" s="70" t="s">
        <v>4865</v>
      </c>
      <c r="G835" s="70" t="s">
        <v>3952</v>
      </c>
      <c r="H835" s="93"/>
      <c r="I835" s="85">
        <f t="shared" si="29"/>
        <v>1.2455100000000001</v>
      </c>
      <c r="J835" s="85">
        <v>17.599891885836044</v>
      </c>
      <c r="K835" s="131" t="s">
        <v>3177</v>
      </c>
      <c r="L835" s="60">
        <v>60</v>
      </c>
      <c r="N835" s="48"/>
    </row>
    <row r="836" spans="1:14" ht="28" x14ac:dyDescent="0.2">
      <c r="A836" s="166" t="s">
        <v>2633</v>
      </c>
      <c r="B836" s="82"/>
      <c r="C836" s="70" t="s">
        <v>3636</v>
      </c>
      <c r="D836" s="70" t="s">
        <v>7012</v>
      </c>
      <c r="E836" s="70" t="s">
        <v>4722</v>
      </c>
      <c r="F836" s="70" t="s">
        <v>4865</v>
      </c>
      <c r="G836" s="70" t="s">
        <v>6977</v>
      </c>
      <c r="H836" s="93"/>
      <c r="I836" s="85">
        <f t="shared" si="29"/>
        <v>1.2787536009528289</v>
      </c>
      <c r="J836" s="85">
        <f>AVERAGE(14,20, 21, 21)</f>
        <v>19</v>
      </c>
      <c r="K836" s="141" t="s">
        <v>7875</v>
      </c>
      <c r="L836" s="60" t="s">
        <v>1455</v>
      </c>
      <c r="M836" s="49" t="s">
        <v>6728</v>
      </c>
      <c r="N836" s="48" t="s">
        <v>1734</v>
      </c>
    </row>
    <row r="837" spans="1:14" ht="28" x14ac:dyDescent="0.15">
      <c r="A837" s="166" t="s">
        <v>2633</v>
      </c>
      <c r="B837" s="82"/>
      <c r="C837" s="70" t="s">
        <v>3636</v>
      </c>
      <c r="D837" s="70" t="s">
        <v>7012</v>
      </c>
      <c r="E837" s="70" t="s">
        <v>4722</v>
      </c>
      <c r="F837" s="70" t="s">
        <v>4865</v>
      </c>
      <c r="G837" s="70" t="s">
        <v>3627</v>
      </c>
      <c r="H837" s="93"/>
      <c r="I837" s="85">
        <f t="shared" si="29"/>
        <v>1.2855600000000003</v>
      </c>
      <c r="J837" s="85">
        <v>19.300119587775207</v>
      </c>
      <c r="K837" s="141" t="s">
        <v>7875</v>
      </c>
      <c r="L837" s="60" t="s">
        <v>6389</v>
      </c>
      <c r="M837" s="49" t="s">
        <v>6390</v>
      </c>
      <c r="N837" s="37" t="s">
        <v>1537</v>
      </c>
    </row>
    <row r="838" spans="1:14" ht="14" x14ac:dyDescent="0.15">
      <c r="A838" s="166" t="s">
        <v>2633</v>
      </c>
      <c r="B838" s="82"/>
      <c r="C838" s="70" t="s">
        <v>3636</v>
      </c>
      <c r="D838" s="70" t="s">
        <v>7012</v>
      </c>
      <c r="E838" s="70" t="s">
        <v>4722</v>
      </c>
      <c r="F838" s="70" t="s">
        <v>4865</v>
      </c>
      <c r="G838" s="70" t="s">
        <v>3946</v>
      </c>
      <c r="H838" s="93"/>
      <c r="I838" s="85">
        <f t="shared" si="29"/>
        <v>1.3010300000000001</v>
      </c>
      <c r="J838" s="85">
        <v>20.000000199681054</v>
      </c>
      <c r="K838" s="131" t="s">
        <v>3177</v>
      </c>
      <c r="L838" s="60">
        <v>56</v>
      </c>
    </row>
    <row r="839" spans="1:14" ht="14" x14ac:dyDescent="0.15">
      <c r="A839" s="166" t="s">
        <v>2633</v>
      </c>
      <c r="B839" s="82"/>
      <c r="C839" s="70" t="s">
        <v>3636</v>
      </c>
      <c r="D839" s="70" t="s">
        <v>7012</v>
      </c>
      <c r="E839" s="70" t="s">
        <v>4722</v>
      </c>
      <c r="F839" s="70" t="s">
        <v>4865</v>
      </c>
      <c r="G839" s="70" t="s">
        <v>4124</v>
      </c>
      <c r="H839" s="93"/>
      <c r="I839" s="85">
        <f t="shared" si="29"/>
        <v>1.3117538610557542</v>
      </c>
      <c r="J839" s="85">
        <f>AVERAGE(18,23)</f>
        <v>20.5</v>
      </c>
      <c r="K839" s="131" t="s">
        <v>3177</v>
      </c>
      <c r="L839" s="60" t="s">
        <v>1535</v>
      </c>
      <c r="M839" s="33"/>
      <c r="N839" s="37" t="s">
        <v>1536</v>
      </c>
    </row>
    <row r="840" spans="1:14" ht="14" x14ac:dyDescent="0.15">
      <c r="A840" s="166" t="s">
        <v>2633</v>
      </c>
      <c r="B840" s="82"/>
      <c r="C840" s="70" t="s">
        <v>3636</v>
      </c>
      <c r="D840" s="70" t="s">
        <v>7012</v>
      </c>
      <c r="E840" s="70" t="s">
        <v>4722</v>
      </c>
      <c r="F840" s="70" t="s">
        <v>4865</v>
      </c>
      <c r="G840" s="70" t="s">
        <v>3983</v>
      </c>
      <c r="H840" s="93"/>
      <c r="I840" s="85">
        <f t="shared" si="29"/>
        <v>1.3617278360175928</v>
      </c>
      <c r="J840" s="85">
        <v>23</v>
      </c>
      <c r="K840" s="131" t="s">
        <v>3177</v>
      </c>
      <c r="L840" s="60">
        <v>130</v>
      </c>
      <c r="M840" s="33"/>
      <c r="N840" s="37" t="s">
        <v>1534</v>
      </c>
    </row>
    <row r="841" spans="1:14" ht="14" x14ac:dyDescent="0.15">
      <c r="A841" s="166" t="s">
        <v>2633</v>
      </c>
      <c r="B841" s="82"/>
      <c r="C841" s="70" t="s">
        <v>3636</v>
      </c>
      <c r="D841" s="70" t="s">
        <v>7012</v>
      </c>
      <c r="E841" s="70" t="s">
        <v>4722</v>
      </c>
      <c r="F841" s="70" t="s">
        <v>4865</v>
      </c>
      <c r="G841" s="70" t="s">
        <v>3668</v>
      </c>
      <c r="H841" s="93"/>
      <c r="I841" s="85">
        <f t="shared" si="29"/>
        <v>1.3617300000000003</v>
      </c>
      <c r="J841" s="85">
        <v>23.000114603619075</v>
      </c>
      <c r="K841" s="131" t="s">
        <v>3177</v>
      </c>
      <c r="L841" s="60" t="s">
        <v>6389</v>
      </c>
      <c r="N841" s="37" t="s">
        <v>1534</v>
      </c>
    </row>
    <row r="842" spans="1:14" ht="28" x14ac:dyDescent="0.15">
      <c r="A842" s="166" t="s">
        <v>2633</v>
      </c>
      <c r="B842" s="82"/>
      <c r="C842" s="70" t="s">
        <v>3636</v>
      </c>
      <c r="D842" s="70" t="s">
        <v>7012</v>
      </c>
      <c r="E842" s="70" t="s">
        <v>4722</v>
      </c>
      <c r="F842" s="70" t="s">
        <v>4865</v>
      </c>
      <c r="G842" s="70" t="s">
        <v>6894</v>
      </c>
      <c r="H842" s="93"/>
      <c r="I842" s="85">
        <f t="shared" si="29"/>
        <v>1.3710700000000002</v>
      </c>
      <c r="J842" s="85">
        <v>23.500115674363677</v>
      </c>
      <c r="K842" s="141" t="s">
        <v>7875</v>
      </c>
      <c r="L842" s="60">
        <v>60</v>
      </c>
      <c r="M842" s="49" t="s">
        <v>6390</v>
      </c>
    </row>
    <row r="843" spans="1:14" ht="28" x14ac:dyDescent="0.15">
      <c r="A843" s="166" t="s">
        <v>2633</v>
      </c>
      <c r="B843" s="82"/>
      <c r="C843" s="70" t="s">
        <v>3636</v>
      </c>
      <c r="D843" s="70" t="s">
        <v>7012</v>
      </c>
      <c r="E843" s="70" t="s">
        <v>4722</v>
      </c>
      <c r="F843" s="70" t="s">
        <v>4865</v>
      </c>
      <c r="G843" s="70" t="s">
        <v>7315</v>
      </c>
      <c r="H843" s="93"/>
      <c r="I843" s="85">
        <f t="shared" si="29"/>
        <v>1.4546926260654962</v>
      </c>
      <c r="J843" s="85">
        <f>AVERAGE(24.3500579995202, 35.4, 33.8, 26.7, 22.2)</f>
        <v>28.49001159990404</v>
      </c>
      <c r="K843" s="135" t="s">
        <v>7875</v>
      </c>
      <c r="L843" s="60" t="s">
        <v>6839</v>
      </c>
      <c r="M843" s="49" t="s">
        <v>6728</v>
      </c>
      <c r="N843" s="37" t="s">
        <v>1733</v>
      </c>
    </row>
    <row r="844" spans="1:14" ht="16" x14ac:dyDescent="0.2">
      <c r="A844" s="166" t="s">
        <v>2633</v>
      </c>
      <c r="B844" s="82"/>
      <c r="C844" s="70" t="s">
        <v>3636</v>
      </c>
      <c r="D844" s="70" t="s">
        <v>7012</v>
      </c>
      <c r="E844" s="70" t="s">
        <v>4722</v>
      </c>
      <c r="F844" s="70" t="s">
        <v>4865</v>
      </c>
      <c r="G844" s="70" t="s">
        <v>6373</v>
      </c>
      <c r="H844" s="93"/>
      <c r="I844" s="85">
        <f t="shared" si="29"/>
        <v>1.7390974461174751</v>
      </c>
      <c r="J844" s="110">
        <f>AVERAGE(61.58, 48.1)</f>
        <v>54.84</v>
      </c>
      <c r="K844" s="134" t="s">
        <v>3177</v>
      </c>
      <c r="L844" s="63" t="s">
        <v>7567</v>
      </c>
      <c r="M844" s="33"/>
      <c r="N844" s="55"/>
    </row>
    <row r="845" spans="1:14" ht="14" x14ac:dyDescent="0.15">
      <c r="A845" s="166" t="s">
        <v>2633</v>
      </c>
      <c r="B845" s="82"/>
      <c r="C845" s="70" t="s">
        <v>3636</v>
      </c>
      <c r="D845" s="70" t="s">
        <v>7012</v>
      </c>
      <c r="E845" s="70" t="s">
        <v>4722</v>
      </c>
      <c r="F845" s="70" t="s">
        <v>4865</v>
      </c>
      <c r="G845" s="70" t="s">
        <v>3957</v>
      </c>
      <c r="H845" s="93"/>
      <c r="I845" s="85">
        <f t="shared" si="29"/>
        <v>1.7630531603078394</v>
      </c>
      <c r="J845" s="85">
        <f>AVERAGE(50.8498879180913, 45, 78)</f>
        <v>57.949962639363768</v>
      </c>
      <c r="K845" s="131" t="s">
        <v>3177</v>
      </c>
      <c r="L845" s="60" t="s">
        <v>1538</v>
      </c>
      <c r="N845" s="37" t="s">
        <v>1539</v>
      </c>
    </row>
    <row r="846" spans="1:14" ht="14" x14ac:dyDescent="0.15">
      <c r="A846" s="166" t="s">
        <v>2633</v>
      </c>
      <c r="B846" s="93" t="s">
        <v>2103</v>
      </c>
      <c r="C846" s="70" t="s">
        <v>3636</v>
      </c>
      <c r="D846" s="70" t="s">
        <v>7012</v>
      </c>
      <c r="E846" s="70" t="s">
        <v>4722</v>
      </c>
      <c r="F846" s="70" t="s">
        <v>4183</v>
      </c>
      <c r="G846" s="70" t="s">
        <v>5741</v>
      </c>
      <c r="H846" s="93"/>
      <c r="I846" s="85">
        <v>-999</v>
      </c>
      <c r="J846" s="85">
        <v>-999</v>
      </c>
      <c r="K846" s="131" t="s">
        <v>3177</v>
      </c>
      <c r="L846" s="60">
        <v>-999</v>
      </c>
      <c r="M846" s="33"/>
    </row>
    <row r="847" spans="1:14" ht="28" x14ac:dyDescent="0.15">
      <c r="A847" s="166" t="s">
        <v>2633</v>
      </c>
      <c r="B847" s="93" t="s">
        <v>2104</v>
      </c>
      <c r="C847" s="70" t="s">
        <v>3636</v>
      </c>
      <c r="D847" s="70" t="s">
        <v>7012</v>
      </c>
      <c r="E847" s="70" t="s">
        <v>4722</v>
      </c>
      <c r="F847" s="70" t="s">
        <v>4183</v>
      </c>
      <c r="G847" s="70" t="s">
        <v>4977</v>
      </c>
      <c r="H847" s="93"/>
      <c r="I847" s="85">
        <v>-999</v>
      </c>
      <c r="J847" s="85">
        <v>-999</v>
      </c>
      <c r="K847" s="131" t="s">
        <v>7875</v>
      </c>
      <c r="L847" s="60">
        <v>-999</v>
      </c>
      <c r="M847" s="33" t="s">
        <v>6728</v>
      </c>
    </row>
    <row r="848" spans="1:14" ht="28" x14ac:dyDescent="0.2">
      <c r="A848" s="166" t="s">
        <v>2633</v>
      </c>
      <c r="B848" s="93" t="s">
        <v>2105</v>
      </c>
      <c r="C848" s="70" t="s">
        <v>3636</v>
      </c>
      <c r="D848" s="70" t="s">
        <v>7012</v>
      </c>
      <c r="E848" s="70" t="s">
        <v>4722</v>
      </c>
      <c r="F848" s="70" t="s">
        <v>4183</v>
      </c>
      <c r="G848" s="70" t="s">
        <v>7183</v>
      </c>
      <c r="H848" s="93"/>
      <c r="I848" s="85">
        <v>-999</v>
      </c>
      <c r="J848" s="85">
        <v>-999</v>
      </c>
      <c r="K848" s="131" t="s">
        <v>7875</v>
      </c>
      <c r="L848" s="60">
        <v>-999</v>
      </c>
      <c r="M848" s="47" t="s">
        <v>6390</v>
      </c>
    </row>
    <row r="849" spans="1:14" ht="28" x14ac:dyDescent="0.2">
      <c r="A849" s="166" t="s">
        <v>2633</v>
      </c>
      <c r="B849" s="93" t="s">
        <v>2502</v>
      </c>
      <c r="C849" s="70" t="s">
        <v>3636</v>
      </c>
      <c r="D849" s="70" t="s">
        <v>7012</v>
      </c>
      <c r="E849" s="70" t="s">
        <v>4722</v>
      </c>
      <c r="F849" s="70" t="s">
        <v>4183</v>
      </c>
      <c r="G849" s="70" t="s">
        <v>3808</v>
      </c>
      <c r="H849" s="93"/>
      <c r="I849" s="85">
        <v>-999</v>
      </c>
      <c r="J849" s="85">
        <v>-999</v>
      </c>
      <c r="K849" s="135" t="s">
        <v>7875</v>
      </c>
      <c r="L849" s="60">
        <v>-999</v>
      </c>
      <c r="M849" s="33" t="s">
        <v>6728</v>
      </c>
      <c r="N849" s="48"/>
    </row>
    <row r="850" spans="1:14" ht="28" x14ac:dyDescent="0.15">
      <c r="A850" s="166" t="s">
        <v>2633</v>
      </c>
      <c r="B850" s="93" t="s">
        <v>2502</v>
      </c>
      <c r="C850" s="70" t="s">
        <v>3636</v>
      </c>
      <c r="D850" s="70" t="s">
        <v>7012</v>
      </c>
      <c r="E850" s="70" t="s">
        <v>4722</v>
      </c>
      <c r="F850" s="70" t="s">
        <v>4183</v>
      </c>
      <c r="G850" s="70" t="s">
        <v>5744</v>
      </c>
      <c r="H850" s="93"/>
      <c r="I850" s="85">
        <v>-999</v>
      </c>
      <c r="J850" s="85">
        <v>-999</v>
      </c>
      <c r="K850" s="141" t="s">
        <v>7875</v>
      </c>
      <c r="L850" s="60">
        <v>-999</v>
      </c>
      <c r="M850" s="33" t="s">
        <v>6809</v>
      </c>
    </row>
    <row r="851" spans="1:14" ht="28" x14ac:dyDescent="0.15">
      <c r="A851" s="166" t="s">
        <v>2633</v>
      </c>
      <c r="B851" s="93" t="s">
        <v>5854</v>
      </c>
      <c r="C851" s="70" t="s">
        <v>3636</v>
      </c>
      <c r="D851" s="70" t="s">
        <v>7012</v>
      </c>
      <c r="E851" s="70" t="s">
        <v>4722</v>
      </c>
      <c r="F851" s="70" t="s">
        <v>4183</v>
      </c>
      <c r="G851" s="70" t="s">
        <v>5745</v>
      </c>
      <c r="H851" s="93"/>
      <c r="I851" s="85">
        <v>-999</v>
      </c>
      <c r="J851" s="85">
        <v>-999</v>
      </c>
      <c r="K851" s="141" t="s">
        <v>7875</v>
      </c>
      <c r="L851" s="60">
        <v>-999</v>
      </c>
      <c r="M851" s="33" t="s">
        <v>6809</v>
      </c>
    </row>
    <row r="852" spans="1:14" ht="28" x14ac:dyDescent="0.15">
      <c r="A852" s="166" t="s">
        <v>2633</v>
      </c>
      <c r="B852" s="93" t="s">
        <v>2464</v>
      </c>
      <c r="C852" s="70" t="s">
        <v>3636</v>
      </c>
      <c r="D852" s="70" t="s">
        <v>7012</v>
      </c>
      <c r="E852" s="70" t="s">
        <v>4722</v>
      </c>
      <c r="F852" s="70" t="s">
        <v>4183</v>
      </c>
      <c r="G852" s="70" t="s">
        <v>2320</v>
      </c>
      <c r="H852" s="93"/>
      <c r="I852" s="85">
        <v>-999</v>
      </c>
      <c r="J852" s="85">
        <v>-999</v>
      </c>
      <c r="K852" s="141" t="s">
        <v>7875</v>
      </c>
      <c r="L852" s="60">
        <v>-999</v>
      </c>
      <c r="M852" s="33" t="s">
        <v>6728</v>
      </c>
    </row>
    <row r="853" spans="1:14" ht="28" x14ac:dyDescent="0.15">
      <c r="A853" s="166" t="s">
        <v>2633</v>
      </c>
      <c r="B853" s="93" t="s">
        <v>2462</v>
      </c>
      <c r="C853" s="70" t="s">
        <v>3636</v>
      </c>
      <c r="D853" s="70" t="s">
        <v>7012</v>
      </c>
      <c r="E853" s="70" t="s">
        <v>4722</v>
      </c>
      <c r="F853" s="70" t="s">
        <v>4183</v>
      </c>
      <c r="G853" s="70" t="s">
        <v>5077</v>
      </c>
      <c r="H853" s="93"/>
      <c r="I853" s="85">
        <v>-999</v>
      </c>
      <c r="J853" s="85">
        <v>-999</v>
      </c>
      <c r="K853" s="135" t="s">
        <v>7875</v>
      </c>
      <c r="L853" s="60">
        <v>-999</v>
      </c>
      <c r="M853" s="33" t="s">
        <v>6728</v>
      </c>
    </row>
    <row r="854" spans="1:14" ht="28" x14ac:dyDescent="0.15">
      <c r="A854" s="166" t="s">
        <v>2633</v>
      </c>
      <c r="B854" s="93" t="s">
        <v>2202</v>
      </c>
      <c r="C854" s="70" t="s">
        <v>3636</v>
      </c>
      <c r="D854" s="70" t="s">
        <v>7012</v>
      </c>
      <c r="E854" s="70" t="s">
        <v>4722</v>
      </c>
      <c r="F854" s="70" t="s">
        <v>4183</v>
      </c>
      <c r="G854" s="70" t="s">
        <v>4978</v>
      </c>
      <c r="H854" s="93"/>
      <c r="I854" s="85">
        <f>LOG(J854)</f>
        <v>0.97081161087251777</v>
      </c>
      <c r="J854" s="85">
        <f>AVERAGE(10.1, 8.6)</f>
        <v>9.35</v>
      </c>
      <c r="K854" s="131" t="s">
        <v>7875</v>
      </c>
      <c r="L854" s="60">
        <v>126</v>
      </c>
      <c r="M854" s="33" t="s">
        <v>6390</v>
      </c>
    </row>
    <row r="855" spans="1:14" ht="28" x14ac:dyDescent="0.15">
      <c r="A855" s="166" t="s">
        <v>2633</v>
      </c>
      <c r="B855" s="93" t="s">
        <v>2464</v>
      </c>
      <c r="C855" s="70" t="s">
        <v>3636</v>
      </c>
      <c r="D855" s="70" t="s">
        <v>7012</v>
      </c>
      <c r="E855" s="70" t="s">
        <v>4722</v>
      </c>
      <c r="F855" s="70" t="s">
        <v>4183</v>
      </c>
      <c r="G855" s="70" t="s">
        <v>3116</v>
      </c>
      <c r="H855" s="93"/>
      <c r="I855" s="85">
        <f>LOG(J855)</f>
        <v>1.1132746924643504</v>
      </c>
      <c r="J855" s="85">
        <f>AVERAGE(11.5, 14.4, 12.5, 17, 9.5)</f>
        <v>12.98</v>
      </c>
      <c r="K855" s="141" t="s">
        <v>7875</v>
      </c>
      <c r="L855" s="60">
        <v>198</v>
      </c>
      <c r="M855" s="33" t="s">
        <v>6728</v>
      </c>
    </row>
    <row r="856" spans="1:14" ht="14" x14ac:dyDescent="0.15">
      <c r="A856" s="166" t="s">
        <v>2633</v>
      </c>
      <c r="B856" s="82"/>
      <c r="C856" s="70" t="s">
        <v>3636</v>
      </c>
      <c r="D856" s="70" t="s">
        <v>7012</v>
      </c>
      <c r="E856" s="70" t="s">
        <v>4722</v>
      </c>
      <c r="F856" s="70" t="s">
        <v>4183</v>
      </c>
      <c r="G856" s="70" t="s">
        <v>3530</v>
      </c>
      <c r="H856" s="93"/>
      <c r="I856" s="85">
        <f>LOG(J856)</f>
        <v>1.1205739312058498</v>
      </c>
      <c r="J856" s="85">
        <f>AVERAGE(13.7, 12.7)</f>
        <v>13.2</v>
      </c>
      <c r="K856" s="131" t="s">
        <v>3177</v>
      </c>
      <c r="L856" s="60">
        <v>260</v>
      </c>
    </row>
    <row r="857" spans="1:14" ht="14" x14ac:dyDescent="0.15">
      <c r="A857" s="166" t="s">
        <v>2633</v>
      </c>
      <c r="B857" s="82"/>
      <c r="C857" s="70" t="s">
        <v>3636</v>
      </c>
      <c r="D857" s="70" t="s">
        <v>7012</v>
      </c>
      <c r="E857" s="70" t="s">
        <v>4722</v>
      </c>
      <c r="F857" s="70" t="s">
        <v>4183</v>
      </c>
      <c r="G857" s="70" t="s">
        <v>3751</v>
      </c>
      <c r="H857" s="93"/>
      <c r="I857" s="85">
        <f>LOG(J857)</f>
        <v>1.1271047983648077</v>
      </c>
      <c r="J857" s="85">
        <v>13.4</v>
      </c>
      <c r="K857" s="131" t="s">
        <v>3177</v>
      </c>
      <c r="L857" s="60">
        <v>260</v>
      </c>
    </row>
    <row r="858" spans="1:14" ht="28" x14ac:dyDescent="0.2">
      <c r="A858" s="166" t="s">
        <v>2633</v>
      </c>
      <c r="B858" s="93" t="s">
        <v>5854</v>
      </c>
      <c r="C858" s="70" t="s">
        <v>3636</v>
      </c>
      <c r="D858" s="70" t="s">
        <v>7012</v>
      </c>
      <c r="E858" s="70" t="s">
        <v>4722</v>
      </c>
      <c r="F858" s="70" t="s">
        <v>5204</v>
      </c>
      <c r="G858" s="70" t="s">
        <v>5208</v>
      </c>
      <c r="H858" s="93"/>
      <c r="I858" s="85">
        <v>-999</v>
      </c>
      <c r="J858" s="85">
        <v>-999</v>
      </c>
      <c r="K858" s="131" t="s">
        <v>7875</v>
      </c>
      <c r="L858" s="60">
        <v>-999</v>
      </c>
      <c r="M858" s="33" t="s">
        <v>6809</v>
      </c>
      <c r="N858" s="48"/>
    </row>
    <row r="859" spans="1:14" ht="14" x14ac:dyDescent="0.15">
      <c r="A859" s="166" t="s">
        <v>2633</v>
      </c>
      <c r="B859" s="93" t="s">
        <v>5177</v>
      </c>
      <c r="C859" s="70" t="s">
        <v>3636</v>
      </c>
      <c r="D859" s="70" t="s">
        <v>7012</v>
      </c>
      <c r="E859" s="70" t="s">
        <v>4722</v>
      </c>
      <c r="F859" s="70" t="s">
        <v>5204</v>
      </c>
      <c r="G859" s="70" t="s">
        <v>5209</v>
      </c>
      <c r="H859" s="93"/>
      <c r="I859" s="85">
        <v>-999</v>
      </c>
      <c r="J859" s="85">
        <v>-999</v>
      </c>
      <c r="K859" s="131" t="s">
        <v>3177</v>
      </c>
      <c r="L859" s="60">
        <v>-999</v>
      </c>
      <c r="M859" s="33"/>
    </row>
    <row r="860" spans="1:14" ht="42" x14ac:dyDescent="0.15">
      <c r="A860" s="166" t="s">
        <v>2633</v>
      </c>
      <c r="B860" s="93" t="s">
        <v>7287</v>
      </c>
      <c r="C860" s="70" t="s">
        <v>3636</v>
      </c>
      <c r="D860" s="70" t="s">
        <v>7012</v>
      </c>
      <c r="E860" s="70" t="s">
        <v>4722</v>
      </c>
      <c r="F860" s="70" t="s">
        <v>5204</v>
      </c>
      <c r="G860" s="70" t="s">
        <v>5330</v>
      </c>
      <c r="H860" s="93"/>
      <c r="I860" s="85">
        <f t="shared" ref="I860:I870" si="30">LOG(J860)</f>
        <v>1.1139433523068367</v>
      </c>
      <c r="J860" s="85">
        <f>AVERAGE(15, 11)</f>
        <v>13</v>
      </c>
      <c r="K860" s="131" t="s">
        <v>3177</v>
      </c>
      <c r="L860" s="60" t="s">
        <v>7698</v>
      </c>
      <c r="M860" s="33"/>
    </row>
    <row r="861" spans="1:14" ht="16" x14ac:dyDescent="0.2">
      <c r="A861" s="166" t="s">
        <v>2633</v>
      </c>
      <c r="B861" s="82"/>
      <c r="C861" s="70" t="s">
        <v>3636</v>
      </c>
      <c r="D861" s="70" t="s">
        <v>7012</v>
      </c>
      <c r="E861" s="70" t="s">
        <v>4722</v>
      </c>
      <c r="F861" s="70" t="s">
        <v>4173</v>
      </c>
      <c r="G861" s="70" t="s">
        <v>4174</v>
      </c>
      <c r="H861" s="93"/>
      <c r="I861" s="85">
        <f t="shared" si="30"/>
        <v>1.2600700000000002</v>
      </c>
      <c r="J861" s="85">
        <v>18.199941833734844</v>
      </c>
      <c r="K861" s="131" t="s">
        <v>6816</v>
      </c>
      <c r="L861" s="60">
        <v>56</v>
      </c>
      <c r="M861" s="49" t="s">
        <v>6728</v>
      </c>
      <c r="N861" s="48"/>
    </row>
    <row r="862" spans="1:14" ht="14" x14ac:dyDescent="0.15">
      <c r="A862" s="166" t="s">
        <v>2633</v>
      </c>
      <c r="B862" s="82"/>
      <c r="C862" s="73" t="s">
        <v>3636</v>
      </c>
      <c r="D862" s="73" t="s">
        <v>7012</v>
      </c>
      <c r="E862" s="70" t="s">
        <v>4722</v>
      </c>
      <c r="F862" s="73" t="s">
        <v>4175</v>
      </c>
      <c r="G862" s="73" t="s">
        <v>6901</v>
      </c>
      <c r="H862" s="108"/>
      <c r="I862" s="85">
        <f t="shared" si="30"/>
        <v>1.9614199999999999</v>
      </c>
      <c r="J862" s="95">
        <v>91.499769495220193</v>
      </c>
      <c r="K862" s="131" t="s">
        <v>3177</v>
      </c>
      <c r="L862" s="60" t="s">
        <v>2686</v>
      </c>
    </row>
    <row r="863" spans="1:14" ht="28" x14ac:dyDescent="0.15">
      <c r="A863" s="166" t="s">
        <v>2633</v>
      </c>
      <c r="B863" s="82"/>
      <c r="C863" s="70" t="s">
        <v>3636</v>
      </c>
      <c r="D863" s="70" t="s">
        <v>7012</v>
      </c>
      <c r="E863" s="70" t="s">
        <v>4722</v>
      </c>
      <c r="F863" s="70" t="s">
        <v>6902</v>
      </c>
      <c r="G863" s="70" t="s">
        <v>4378</v>
      </c>
      <c r="H863" s="93"/>
      <c r="I863" s="85">
        <f t="shared" si="30"/>
        <v>0.24303804868629444</v>
      </c>
      <c r="J863" s="85">
        <f>AVERAGE(1.7, 1.8)</f>
        <v>1.75</v>
      </c>
      <c r="K863" s="131" t="s">
        <v>7875</v>
      </c>
      <c r="L863" s="60" t="s">
        <v>7567</v>
      </c>
      <c r="M863" s="49" t="s">
        <v>6809</v>
      </c>
    </row>
    <row r="864" spans="1:14" ht="14" x14ac:dyDescent="0.15">
      <c r="A864" s="166" t="s">
        <v>2633</v>
      </c>
      <c r="B864" s="82"/>
      <c r="C864" s="70" t="s">
        <v>3636</v>
      </c>
      <c r="D864" s="70" t="s">
        <v>7012</v>
      </c>
      <c r="E864" s="70" t="s">
        <v>4722</v>
      </c>
      <c r="F864" s="70" t="s">
        <v>6902</v>
      </c>
      <c r="G864" s="70" t="s">
        <v>6903</v>
      </c>
      <c r="H864" s="93"/>
      <c r="I864" s="85">
        <f t="shared" si="30"/>
        <v>0.27875360095282892</v>
      </c>
      <c r="J864" s="85">
        <f>AVERAGE(1.8, 2)</f>
        <v>1.9</v>
      </c>
      <c r="K864" s="131" t="s">
        <v>3177</v>
      </c>
      <c r="L864" s="60" t="s">
        <v>1718</v>
      </c>
      <c r="N864" s="37" t="s">
        <v>1719</v>
      </c>
    </row>
    <row r="865" spans="1:14" ht="14" x14ac:dyDescent="0.15">
      <c r="A865" s="166" t="s">
        <v>2633</v>
      </c>
      <c r="B865" s="82"/>
      <c r="C865" s="70" t="s">
        <v>3636</v>
      </c>
      <c r="D865" s="70" t="s">
        <v>7012</v>
      </c>
      <c r="E865" s="70" t="s">
        <v>4722</v>
      </c>
      <c r="F865" s="70" t="s">
        <v>6902</v>
      </c>
      <c r="G865" s="70" t="s">
        <v>6904</v>
      </c>
      <c r="H865" s="93"/>
      <c r="I865" s="85">
        <f t="shared" si="30"/>
        <v>0.47712125471966244</v>
      </c>
      <c r="J865" s="85">
        <v>3</v>
      </c>
      <c r="K865" s="131" t="s">
        <v>3177</v>
      </c>
      <c r="L865" s="60">
        <v>260</v>
      </c>
    </row>
    <row r="866" spans="1:14" ht="14" x14ac:dyDescent="0.15">
      <c r="A866" s="166" t="s">
        <v>2633</v>
      </c>
      <c r="B866" s="96"/>
      <c r="C866" s="70" t="s">
        <v>3636</v>
      </c>
      <c r="D866" s="70" t="s">
        <v>7012</v>
      </c>
      <c r="E866" s="70" t="s">
        <v>4722</v>
      </c>
      <c r="F866" s="70" t="s">
        <v>6902</v>
      </c>
      <c r="G866" s="70" t="s">
        <v>4374</v>
      </c>
      <c r="H866" s="93"/>
      <c r="I866" s="85">
        <f t="shared" si="30"/>
        <v>0.69019608002851374</v>
      </c>
      <c r="J866" s="85">
        <v>4.9000000000000004</v>
      </c>
      <c r="K866" s="131" t="s">
        <v>3177</v>
      </c>
      <c r="L866" s="60">
        <v>260</v>
      </c>
    </row>
    <row r="867" spans="1:14" ht="14" x14ac:dyDescent="0.15">
      <c r="A867" s="166" t="s">
        <v>2633</v>
      </c>
      <c r="B867" s="82"/>
      <c r="C867" s="70" t="s">
        <v>3636</v>
      </c>
      <c r="D867" s="70" t="s">
        <v>7012</v>
      </c>
      <c r="E867" s="70" t="s">
        <v>4722</v>
      </c>
      <c r="F867" s="70" t="s">
        <v>6902</v>
      </c>
      <c r="G867" s="70" t="s">
        <v>6930</v>
      </c>
      <c r="H867" s="93"/>
      <c r="I867" s="85">
        <f t="shared" si="30"/>
        <v>0.69896999999999998</v>
      </c>
      <c r="J867" s="85">
        <v>4.9999999500797392</v>
      </c>
      <c r="K867" s="131" t="s">
        <v>3177</v>
      </c>
      <c r="L867" s="60">
        <v>60</v>
      </c>
    </row>
    <row r="868" spans="1:14" ht="14" x14ac:dyDescent="0.15">
      <c r="A868" s="166" t="s">
        <v>2633</v>
      </c>
      <c r="B868" s="82"/>
      <c r="C868" s="70" t="s">
        <v>3636</v>
      </c>
      <c r="D868" s="70" t="s">
        <v>7012</v>
      </c>
      <c r="E868" s="70" t="s">
        <v>4722</v>
      </c>
      <c r="F868" s="70" t="s">
        <v>6902</v>
      </c>
      <c r="G868" s="70" t="s">
        <v>4375</v>
      </c>
      <c r="H868" s="93"/>
      <c r="I868" s="85">
        <f t="shared" si="30"/>
        <v>1.9377700000000002</v>
      </c>
      <c r="J868" s="85">
        <v>86.650285901233133</v>
      </c>
      <c r="K868" s="131" t="s">
        <v>3177</v>
      </c>
      <c r="L868" s="60">
        <v>56</v>
      </c>
    </row>
    <row r="869" spans="1:14" ht="28" x14ac:dyDescent="0.15">
      <c r="A869" s="166" t="s">
        <v>2633</v>
      </c>
      <c r="B869" s="93" t="s">
        <v>2275</v>
      </c>
      <c r="C869" s="70" t="s">
        <v>3636</v>
      </c>
      <c r="D869" s="70" t="s">
        <v>7012</v>
      </c>
      <c r="E869" s="73" t="s">
        <v>4722</v>
      </c>
      <c r="F869" s="70" t="s">
        <v>4964</v>
      </c>
      <c r="G869" s="70" t="s">
        <v>5734</v>
      </c>
      <c r="H869" s="93"/>
      <c r="I869" s="85">
        <f t="shared" si="30"/>
        <v>0.95424250943932487</v>
      </c>
      <c r="J869" s="85">
        <v>9</v>
      </c>
      <c r="K869" s="131" t="s">
        <v>7875</v>
      </c>
      <c r="L869" s="60">
        <v>70</v>
      </c>
      <c r="M869" s="49" t="s">
        <v>6728</v>
      </c>
    </row>
    <row r="870" spans="1:14" ht="28" x14ac:dyDescent="0.15">
      <c r="A870" s="166" t="s">
        <v>2633</v>
      </c>
      <c r="B870" s="93" t="s">
        <v>2275</v>
      </c>
      <c r="C870" s="70" t="s">
        <v>3636</v>
      </c>
      <c r="D870" s="70" t="s">
        <v>7012</v>
      </c>
      <c r="E870" s="70" t="s">
        <v>4722</v>
      </c>
      <c r="F870" s="70" t="s">
        <v>4964</v>
      </c>
      <c r="G870" s="70" t="s">
        <v>5735</v>
      </c>
      <c r="H870" s="93"/>
      <c r="I870" s="85">
        <f t="shared" si="30"/>
        <v>0.95424250943932487</v>
      </c>
      <c r="J870" s="85">
        <v>9</v>
      </c>
      <c r="K870" s="131" t="s">
        <v>7875</v>
      </c>
      <c r="L870" s="60">
        <v>70</v>
      </c>
      <c r="M870" s="49" t="s">
        <v>6728</v>
      </c>
    </row>
    <row r="871" spans="1:14" ht="42" x14ac:dyDescent="0.15">
      <c r="A871" s="166" t="s">
        <v>2633</v>
      </c>
      <c r="B871" s="93" t="s">
        <v>5136</v>
      </c>
      <c r="C871" s="70" t="s">
        <v>3636</v>
      </c>
      <c r="D871" s="70" t="s">
        <v>7012</v>
      </c>
      <c r="E871" s="70" t="s">
        <v>4722</v>
      </c>
      <c r="F871" s="70" t="s">
        <v>6870</v>
      </c>
      <c r="G871" s="70" t="s">
        <v>7015</v>
      </c>
      <c r="H871" s="93"/>
      <c r="I871" s="85">
        <v>-999</v>
      </c>
      <c r="J871" s="85">
        <v>-999</v>
      </c>
      <c r="K871" s="131" t="s">
        <v>3177</v>
      </c>
      <c r="L871" s="60">
        <v>-999</v>
      </c>
      <c r="M871" s="33"/>
    </row>
    <row r="872" spans="1:14" ht="14" x14ac:dyDescent="0.15">
      <c r="A872" s="166" t="s">
        <v>2633</v>
      </c>
      <c r="B872" s="93" t="s">
        <v>2502</v>
      </c>
      <c r="C872" s="70" t="s">
        <v>3636</v>
      </c>
      <c r="D872" s="70" t="s">
        <v>7012</v>
      </c>
      <c r="E872" s="70" t="s">
        <v>4722</v>
      </c>
      <c r="F872" s="70" t="s">
        <v>6870</v>
      </c>
      <c r="G872" s="70" t="s">
        <v>5504</v>
      </c>
      <c r="H872" s="93"/>
      <c r="I872" s="85">
        <v>-999</v>
      </c>
      <c r="J872" s="85">
        <v>-999</v>
      </c>
      <c r="K872" s="131" t="s">
        <v>6630</v>
      </c>
      <c r="L872" s="60">
        <v>-999</v>
      </c>
      <c r="M872" s="33" t="s">
        <v>6728</v>
      </c>
    </row>
    <row r="873" spans="1:14" ht="14" x14ac:dyDescent="0.15">
      <c r="A873" s="166" t="s">
        <v>2633</v>
      </c>
      <c r="B873" s="93" t="s">
        <v>2502</v>
      </c>
      <c r="C873" s="70" t="s">
        <v>3636</v>
      </c>
      <c r="D873" s="70" t="s">
        <v>7012</v>
      </c>
      <c r="E873" s="70" t="s">
        <v>4722</v>
      </c>
      <c r="F873" s="70" t="s">
        <v>6870</v>
      </c>
      <c r="G873" s="70" t="s">
        <v>3535</v>
      </c>
      <c r="H873" s="93"/>
      <c r="I873" s="85">
        <v>-999</v>
      </c>
      <c r="J873" s="85">
        <v>-999</v>
      </c>
      <c r="K873" s="131" t="s">
        <v>6630</v>
      </c>
      <c r="L873" s="60">
        <v>-999</v>
      </c>
      <c r="M873" s="33" t="s">
        <v>6390</v>
      </c>
    </row>
    <row r="874" spans="1:14" ht="14" x14ac:dyDescent="0.15">
      <c r="A874" s="166" t="s">
        <v>2633</v>
      </c>
      <c r="B874" s="93" t="s">
        <v>5854</v>
      </c>
      <c r="C874" s="70" t="s">
        <v>3636</v>
      </c>
      <c r="D874" s="70" t="s">
        <v>7012</v>
      </c>
      <c r="E874" s="70" t="s">
        <v>4722</v>
      </c>
      <c r="F874" s="70" t="s">
        <v>6870</v>
      </c>
      <c r="G874" s="70" t="s">
        <v>4790</v>
      </c>
      <c r="H874" s="93"/>
      <c r="I874" s="85">
        <v>-999</v>
      </c>
      <c r="J874" s="85">
        <v>-999</v>
      </c>
      <c r="K874" s="131" t="s">
        <v>6630</v>
      </c>
      <c r="L874" s="60">
        <v>-999</v>
      </c>
      <c r="M874" s="33" t="s">
        <v>6728</v>
      </c>
    </row>
    <row r="875" spans="1:14" ht="42" x14ac:dyDescent="0.15">
      <c r="A875" s="166" t="s">
        <v>2633</v>
      </c>
      <c r="B875" s="93" t="s">
        <v>4774</v>
      </c>
      <c r="C875" s="73" t="s">
        <v>3636</v>
      </c>
      <c r="D875" s="73" t="s">
        <v>7012</v>
      </c>
      <c r="E875" s="73" t="s">
        <v>4722</v>
      </c>
      <c r="F875" s="73" t="s">
        <v>6870</v>
      </c>
      <c r="G875" s="73" t="s">
        <v>3537</v>
      </c>
      <c r="H875" s="108"/>
      <c r="I875" s="95">
        <f t="shared" ref="I875:I884" si="31">LOG(J875)</f>
        <v>0.50060235056918534</v>
      </c>
      <c r="J875" s="112">
        <f>AVERAGE(2.9, 3, 3.6)</f>
        <v>3.1666666666666665</v>
      </c>
      <c r="K875" s="134" t="s">
        <v>3177</v>
      </c>
      <c r="L875" s="63" t="s">
        <v>7567</v>
      </c>
      <c r="M875" s="33"/>
    </row>
    <row r="876" spans="1:14" ht="14" x14ac:dyDescent="0.15">
      <c r="A876" s="166" t="s">
        <v>2633</v>
      </c>
      <c r="B876" s="82"/>
      <c r="C876" s="70" t="s">
        <v>3636</v>
      </c>
      <c r="D876" s="70" t="s">
        <v>7012</v>
      </c>
      <c r="E876" s="70" t="s">
        <v>4722</v>
      </c>
      <c r="F876" s="70" t="s">
        <v>6870</v>
      </c>
      <c r="G876" s="70" t="s">
        <v>7084</v>
      </c>
      <c r="H876" s="93"/>
      <c r="I876" s="85">
        <f t="shared" si="31"/>
        <v>0.54407000000000005</v>
      </c>
      <c r="J876" s="85">
        <v>3.5000157607101445</v>
      </c>
      <c r="K876" s="131" t="s">
        <v>3177</v>
      </c>
      <c r="L876" s="60">
        <v>60</v>
      </c>
    </row>
    <row r="877" spans="1:14" ht="28" x14ac:dyDescent="0.2">
      <c r="A877" s="166" t="s">
        <v>2633</v>
      </c>
      <c r="B877" s="93" t="s">
        <v>2202</v>
      </c>
      <c r="C877" s="70" t="s">
        <v>3636</v>
      </c>
      <c r="D877" s="70" t="s">
        <v>7012</v>
      </c>
      <c r="E877" s="70" t="s">
        <v>4722</v>
      </c>
      <c r="F877" s="70" t="s">
        <v>6870</v>
      </c>
      <c r="G877" s="70" t="s">
        <v>5503</v>
      </c>
      <c r="H877" s="93"/>
      <c r="I877" s="85">
        <f t="shared" si="31"/>
        <v>0.63514851369760816</v>
      </c>
      <c r="J877" s="85">
        <f>AVERAGE(3.8, 3.9, 4.2, 4.5, 4.4, 5.1)</f>
        <v>4.3166666666666664</v>
      </c>
      <c r="K877" s="131" t="s">
        <v>6691</v>
      </c>
      <c r="L877" s="60">
        <v>243</v>
      </c>
      <c r="M877" s="33" t="s">
        <v>6728</v>
      </c>
      <c r="N877" s="48"/>
    </row>
    <row r="878" spans="1:14" ht="14" x14ac:dyDescent="0.15">
      <c r="A878" s="166" t="s">
        <v>2633</v>
      </c>
      <c r="B878" s="82"/>
      <c r="C878" s="70" t="s">
        <v>3636</v>
      </c>
      <c r="D878" s="70" t="s">
        <v>7012</v>
      </c>
      <c r="E878" s="70" t="s">
        <v>4722</v>
      </c>
      <c r="F878" s="70" t="s">
        <v>6870</v>
      </c>
      <c r="G878" s="70" t="s">
        <v>4217</v>
      </c>
      <c r="H878" s="93"/>
      <c r="I878" s="85">
        <f t="shared" si="31"/>
        <v>0.66745530677818965</v>
      </c>
      <c r="J878" s="85">
        <f>AVERAGE(5.30005040639665, 4)</f>
        <v>4.6500252031983251</v>
      </c>
      <c r="K878" s="131" t="s">
        <v>3177</v>
      </c>
      <c r="L878" s="60" t="s">
        <v>1538</v>
      </c>
      <c r="N878" s="37" t="s">
        <v>1720</v>
      </c>
    </row>
    <row r="879" spans="1:14" ht="56" x14ac:dyDescent="0.15">
      <c r="A879" s="166" t="s">
        <v>2633</v>
      </c>
      <c r="B879" s="93" t="s">
        <v>7263</v>
      </c>
      <c r="C879" s="70" t="s">
        <v>3636</v>
      </c>
      <c r="D879" s="70" t="s">
        <v>7012</v>
      </c>
      <c r="E879" s="70" t="s">
        <v>4722</v>
      </c>
      <c r="F879" s="70" t="s">
        <v>6870</v>
      </c>
      <c r="G879" s="70" t="s">
        <v>7428</v>
      </c>
      <c r="H879" s="93"/>
      <c r="I879" s="85">
        <f t="shared" si="31"/>
        <v>1.12047976331039</v>
      </c>
      <c r="J879" s="113">
        <v>13.197138159658364</v>
      </c>
      <c r="K879" s="131" t="s">
        <v>7290</v>
      </c>
      <c r="L879" s="60" t="s">
        <v>1742</v>
      </c>
      <c r="M879" s="33"/>
    </row>
    <row r="880" spans="1:14" ht="14" x14ac:dyDescent="0.15">
      <c r="A880" s="166" t="s">
        <v>2633</v>
      </c>
      <c r="B880" s="82"/>
      <c r="C880" s="70" t="s">
        <v>3636</v>
      </c>
      <c r="D880" s="70" t="s">
        <v>7012</v>
      </c>
      <c r="E880" s="70" t="s">
        <v>4722</v>
      </c>
      <c r="F880" s="70" t="s">
        <v>6870</v>
      </c>
      <c r="G880" s="70" t="s">
        <v>6871</v>
      </c>
      <c r="H880" s="93"/>
      <c r="I880" s="85">
        <f t="shared" si="31"/>
        <v>1.2671699999999999</v>
      </c>
      <c r="J880" s="85">
        <v>18.499926373938745</v>
      </c>
      <c r="K880" s="131" t="s">
        <v>3177</v>
      </c>
      <c r="L880" s="60">
        <v>60</v>
      </c>
    </row>
    <row r="881" spans="1:14" ht="28" x14ac:dyDescent="0.15">
      <c r="A881" s="166" t="s">
        <v>2633</v>
      </c>
      <c r="B881" s="82"/>
      <c r="C881" s="70" t="s">
        <v>3636</v>
      </c>
      <c r="D881" s="70" t="s">
        <v>7012</v>
      </c>
      <c r="E881" s="70" t="s">
        <v>7157</v>
      </c>
      <c r="F881" s="70" t="s">
        <v>7158</v>
      </c>
      <c r="G881" s="70" t="s">
        <v>4124</v>
      </c>
      <c r="H881" s="93"/>
      <c r="I881" s="85">
        <f t="shared" si="31"/>
        <v>1.842609239610562</v>
      </c>
      <c r="J881" s="85">
        <v>69.599999999999994</v>
      </c>
      <c r="K881" s="141" t="s">
        <v>7875</v>
      </c>
      <c r="L881" s="60">
        <v>68</v>
      </c>
      <c r="M881" s="49" t="s">
        <v>6390</v>
      </c>
    </row>
    <row r="882" spans="1:14" ht="28" x14ac:dyDescent="0.15">
      <c r="A882" s="166" t="s">
        <v>2633</v>
      </c>
      <c r="B882" s="82"/>
      <c r="C882" s="70" t="s">
        <v>3636</v>
      </c>
      <c r="D882" s="70" t="s">
        <v>7012</v>
      </c>
      <c r="E882" s="70" t="s">
        <v>7157</v>
      </c>
      <c r="F882" s="70" t="s">
        <v>7158</v>
      </c>
      <c r="G882" s="70" t="s">
        <v>7159</v>
      </c>
      <c r="H882" s="93"/>
      <c r="I882" s="85">
        <f t="shared" si="31"/>
        <v>1.9934400000000001</v>
      </c>
      <c r="J882" s="85">
        <v>98.500854944311016</v>
      </c>
      <c r="K882" s="141" t="s">
        <v>7250</v>
      </c>
      <c r="L882" s="60">
        <v>60</v>
      </c>
      <c r="M882" s="49" t="s">
        <v>6390</v>
      </c>
    </row>
    <row r="883" spans="1:14" ht="28" x14ac:dyDescent="0.15">
      <c r="A883" s="166" t="s">
        <v>2633</v>
      </c>
      <c r="B883" s="82"/>
      <c r="C883" s="70" t="s">
        <v>3636</v>
      </c>
      <c r="D883" s="70" t="s">
        <v>7012</v>
      </c>
      <c r="E883" s="70" t="s">
        <v>7157</v>
      </c>
      <c r="F883" s="70" t="s">
        <v>7160</v>
      </c>
      <c r="G883" s="70" t="s">
        <v>2233</v>
      </c>
      <c r="H883" s="93"/>
      <c r="I883" s="85">
        <f t="shared" si="31"/>
        <v>2.8195399999999999</v>
      </c>
      <c r="J883" s="85">
        <v>659.99401915987301</v>
      </c>
      <c r="K883" s="131" t="s">
        <v>6637</v>
      </c>
      <c r="L883" s="60">
        <v>60</v>
      </c>
      <c r="M883" s="49" t="s">
        <v>6390</v>
      </c>
    </row>
    <row r="884" spans="1:14" ht="28" x14ac:dyDescent="0.15">
      <c r="A884" s="166" t="s">
        <v>2633</v>
      </c>
      <c r="B884" s="82"/>
      <c r="C884" s="70" t="s">
        <v>3636</v>
      </c>
      <c r="D884" s="70" t="s">
        <v>7077</v>
      </c>
      <c r="E884" s="70" t="s">
        <v>7078</v>
      </c>
      <c r="F884" s="70" t="s">
        <v>4529</v>
      </c>
      <c r="G884" s="70" t="s">
        <v>4530</v>
      </c>
      <c r="H884" s="93"/>
      <c r="I884" s="85">
        <f t="shared" si="31"/>
        <v>3.2430400000000006</v>
      </c>
      <c r="J884" s="85">
        <v>1750.0078628829044</v>
      </c>
      <c r="K884" s="131" t="s">
        <v>7875</v>
      </c>
      <c r="L884" s="60">
        <v>65</v>
      </c>
      <c r="M884" s="49" t="s">
        <v>6390</v>
      </c>
    </row>
    <row r="885" spans="1:14" ht="14" x14ac:dyDescent="0.15">
      <c r="A885" s="166" t="s">
        <v>2633</v>
      </c>
      <c r="B885" s="93" t="s">
        <v>2016</v>
      </c>
      <c r="C885" s="70" t="s">
        <v>3636</v>
      </c>
      <c r="D885" s="70" t="s">
        <v>7077</v>
      </c>
      <c r="E885" s="70" t="s">
        <v>7078</v>
      </c>
      <c r="F885" s="70" t="s">
        <v>7072</v>
      </c>
      <c r="G885" s="70" t="s">
        <v>5560</v>
      </c>
      <c r="H885" s="93"/>
      <c r="I885" s="85">
        <v>-999</v>
      </c>
      <c r="J885" s="85">
        <v>-999</v>
      </c>
      <c r="K885" s="131" t="s">
        <v>3177</v>
      </c>
      <c r="L885" s="60">
        <v>-999</v>
      </c>
      <c r="M885" s="33" t="s">
        <v>6727</v>
      </c>
    </row>
    <row r="886" spans="1:14" ht="14" x14ac:dyDescent="0.15">
      <c r="A886" s="166" t="s">
        <v>2633</v>
      </c>
      <c r="B886" s="82"/>
      <c r="C886" s="70" t="s">
        <v>3636</v>
      </c>
      <c r="D886" s="70" t="s">
        <v>7077</v>
      </c>
      <c r="E886" s="70" t="s">
        <v>7078</v>
      </c>
      <c r="F886" s="70" t="s">
        <v>7072</v>
      </c>
      <c r="G886" s="70" t="s">
        <v>4735</v>
      </c>
      <c r="H886" s="93"/>
      <c r="I886" s="85">
        <f t="shared" ref="I886:I894" si="32">LOG(J886)</f>
        <v>3.2430380486862944</v>
      </c>
      <c r="J886" s="85">
        <f>AVERAGE(1000, 2500)</f>
        <v>1750</v>
      </c>
      <c r="K886" s="131" t="s">
        <v>3177</v>
      </c>
      <c r="L886" s="60">
        <v>116</v>
      </c>
      <c r="M886" s="33"/>
      <c r="N886" s="37" t="s">
        <v>1585</v>
      </c>
    </row>
    <row r="887" spans="1:14" ht="14" x14ac:dyDescent="0.15">
      <c r="A887" s="166" t="s">
        <v>2633</v>
      </c>
      <c r="B887" s="82"/>
      <c r="C887" s="70" t="s">
        <v>3636</v>
      </c>
      <c r="D887" s="70" t="s">
        <v>7077</v>
      </c>
      <c r="E887" s="70" t="s">
        <v>7078</v>
      </c>
      <c r="F887" s="70" t="s">
        <v>7072</v>
      </c>
      <c r="G887" s="70" t="s">
        <v>4078</v>
      </c>
      <c r="H887" s="93"/>
      <c r="I887" s="85">
        <f t="shared" si="32"/>
        <v>3.2492000000000005</v>
      </c>
      <c r="J887" s="85">
        <v>1775.0067135006566</v>
      </c>
      <c r="K887" s="131" t="s">
        <v>3177</v>
      </c>
      <c r="L887" s="60">
        <v>60</v>
      </c>
    </row>
    <row r="888" spans="1:14" ht="14" x14ac:dyDescent="0.15">
      <c r="A888" s="166" t="s">
        <v>2633</v>
      </c>
      <c r="B888" s="82"/>
      <c r="C888" s="70" t="s">
        <v>3636</v>
      </c>
      <c r="D888" s="70" t="s">
        <v>7077</v>
      </c>
      <c r="E888" s="70" t="s">
        <v>7078</v>
      </c>
      <c r="F888" s="70" t="s">
        <v>7072</v>
      </c>
      <c r="G888" s="70" t="s">
        <v>7070</v>
      </c>
      <c r="H888" s="93"/>
      <c r="I888" s="85">
        <f t="shared" si="32"/>
        <v>3.3735249756566041</v>
      </c>
      <c r="J888" s="85">
        <f>AVERAGE(2224.99992152741, 2345, 2520)</f>
        <v>2363.3333071758034</v>
      </c>
      <c r="K888" s="131" t="s">
        <v>3177</v>
      </c>
      <c r="L888" s="60">
        <v>260</v>
      </c>
    </row>
    <row r="889" spans="1:14" ht="14" x14ac:dyDescent="0.15">
      <c r="A889" s="166" t="s">
        <v>2633</v>
      </c>
      <c r="B889" s="93" t="s">
        <v>5921</v>
      </c>
      <c r="C889" s="70" t="s">
        <v>3636</v>
      </c>
      <c r="D889" s="70" t="s">
        <v>7077</v>
      </c>
      <c r="E889" s="70" t="s">
        <v>7078</v>
      </c>
      <c r="F889" s="70" t="s">
        <v>7072</v>
      </c>
      <c r="G889" s="70" t="s">
        <v>5565</v>
      </c>
      <c r="H889" s="93"/>
      <c r="I889" s="85">
        <f t="shared" si="32"/>
        <v>3.4393326938302629</v>
      </c>
      <c r="J889" s="85">
        <f>AVERAGE(2000, 3500)</f>
        <v>2750</v>
      </c>
      <c r="K889" s="131" t="s">
        <v>3177</v>
      </c>
      <c r="L889" s="60">
        <v>70</v>
      </c>
    </row>
    <row r="890" spans="1:14" ht="14" x14ac:dyDescent="0.15">
      <c r="A890" s="166" t="s">
        <v>2633</v>
      </c>
      <c r="B890" s="82"/>
      <c r="C890" s="70" t="s">
        <v>3636</v>
      </c>
      <c r="D890" s="70" t="s">
        <v>7077</v>
      </c>
      <c r="E890" s="70" t="s">
        <v>7078</v>
      </c>
      <c r="F890" s="70" t="s">
        <v>7068</v>
      </c>
      <c r="G890" s="70" t="s">
        <v>4028</v>
      </c>
      <c r="H890" s="93"/>
      <c r="I890" s="85">
        <f t="shared" si="32"/>
        <v>3.3324400000000005</v>
      </c>
      <c r="J890" s="85">
        <v>2150.0076242905643</v>
      </c>
      <c r="K890" s="131" t="s">
        <v>3177</v>
      </c>
      <c r="L890" s="60">
        <v>65</v>
      </c>
    </row>
    <row r="891" spans="1:14" ht="14" x14ac:dyDescent="0.15">
      <c r="A891" s="166" t="s">
        <v>2633</v>
      </c>
      <c r="B891" s="82"/>
      <c r="C891" s="70" t="s">
        <v>3636</v>
      </c>
      <c r="D891" s="70" t="s">
        <v>7077</v>
      </c>
      <c r="E891" s="70" t="s">
        <v>7078</v>
      </c>
      <c r="F891" s="70" t="s">
        <v>4029</v>
      </c>
      <c r="G891" s="70" t="s">
        <v>4030</v>
      </c>
      <c r="H891" s="93"/>
      <c r="I891" s="85">
        <f t="shared" si="32"/>
        <v>3.3979400000000002</v>
      </c>
      <c r="J891" s="85">
        <v>2499.9999500797412</v>
      </c>
      <c r="K891" s="131" t="s">
        <v>3177</v>
      </c>
      <c r="L891" s="60" t="s">
        <v>2686</v>
      </c>
    </row>
    <row r="892" spans="1:14" ht="14" x14ac:dyDescent="0.15">
      <c r="A892" s="166" t="s">
        <v>2633</v>
      </c>
      <c r="B892" s="82"/>
      <c r="C892" s="70" t="s">
        <v>3636</v>
      </c>
      <c r="D892" s="70" t="s">
        <v>7077</v>
      </c>
      <c r="E892" s="70" t="s">
        <v>7078</v>
      </c>
      <c r="F892" s="70" t="s">
        <v>4031</v>
      </c>
      <c r="G892" s="70" t="s">
        <v>4531</v>
      </c>
      <c r="H892" s="93"/>
      <c r="I892" s="85">
        <f t="shared" si="32"/>
        <v>3.2440285123023207</v>
      </c>
      <c r="J892" s="85">
        <f>AVERAGE(2249.98695416503, 1512, 1500)</f>
        <v>1753.9956513883433</v>
      </c>
      <c r="K892" s="131" t="s">
        <v>3177</v>
      </c>
      <c r="L892" s="60" t="s">
        <v>2686</v>
      </c>
    </row>
    <row r="893" spans="1:14" ht="14" x14ac:dyDescent="0.15">
      <c r="A893" s="166" t="s">
        <v>2633</v>
      </c>
      <c r="B893" s="82"/>
      <c r="C893" s="70" t="s">
        <v>3636</v>
      </c>
      <c r="D893" s="70" t="s">
        <v>7077</v>
      </c>
      <c r="E893" s="70" t="s">
        <v>7078</v>
      </c>
      <c r="F893" s="70" t="s">
        <v>4031</v>
      </c>
      <c r="G893" s="70" t="s">
        <v>4032</v>
      </c>
      <c r="H893" s="93"/>
      <c r="I893" s="85">
        <f t="shared" si="32"/>
        <v>3.3199384399803087</v>
      </c>
      <c r="J893" s="85">
        <f>AVERAGE(1959, 2219)</f>
        <v>2089</v>
      </c>
      <c r="K893" s="131" t="s">
        <v>3177</v>
      </c>
      <c r="L893" s="60">
        <v>260</v>
      </c>
    </row>
    <row r="894" spans="1:14" ht="14" x14ac:dyDescent="0.15">
      <c r="A894" s="166" t="s">
        <v>2633</v>
      </c>
      <c r="B894" s="82"/>
      <c r="C894" s="70" t="s">
        <v>3636</v>
      </c>
      <c r="D894" s="70" t="s">
        <v>7077</v>
      </c>
      <c r="E894" s="70" t="s">
        <v>7078</v>
      </c>
      <c r="F894" s="70" t="s">
        <v>4031</v>
      </c>
      <c r="G894" s="70" t="s">
        <v>4033</v>
      </c>
      <c r="H894" s="93"/>
      <c r="I894" s="85">
        <f t="shared" si="32"/>
        <v>3.36829</v>
      </c>
      <c r="J894" s="85">
        <v>2335.0167484965023</v>
      </c>
      <c r="K894" s="131" t="s">
        <v>3177</v>
      </c>
      <c r="L894" s="60">
        <v>60</v>
      </c>
    </row>
    <row r="895" spans="1:14" ht="28" x14ac:dyDescent="0.15">
      <c r="A895" s="166" t="s">
        <v>2633</v>
      </c>
      <c r="B895" s="93" t="s">
        <v>2109</v>
      </c>
      <c r="C895" s="70" t="s">
        <v>3636</v>
      </c>
      <c r="D895" s="70" t="s">
        <v>3610</v>
      </c>
      <c r="E895" s="70" t="s">
        <v>4053</v>
      </c>
      <c r="F895" s="70" t="s">
        <v>4075</v>
      </c>
      <c r="G895" s="70" t="s">
        <v>4664</v>
      </c>
      <c r="H895" s="93"/>
      <c r="I895" s="85">
        <v>-999</v>
      </c>
      <c r="J895" s="85">
        <v>-999</v>
      </c>
      <c r="K895" s="131" t="s">
        <v>3177</v>
      </c>
      <c r="L895" s="60">
        <v>-999</v>
      </c>
      <c r="M895" s="33"/>
    </row>
    <row r="896" spans="1:14" ht="14" x14ac:dyDescent="0.15">
      <c r="A896" s="166" t="s">
        <v>2633</v>
      </c>
      <c r="B896" s="82"/>
      <c r="C896" s="70" t="s">
        <v>3636</v>
      </c>
      <c r="D896" s="70" t="s">
        <v>3610</v>
      </c>
      <c r="E896" s="70" t="s">
        <v>4053</v>
      </c>
      <c r="F896" s="70" t="s">
        <v>4075</v>
      </c>
      <c r="G896" s="70" t="s">
        <v>4085</v>
      </c>
      <c r="H896" s="93"/>
      <c r="I896" s="85">
        <f t="shared" ref="I896:I927" si="33">LOG(J896)</f>
        <v>1.5118800000000001</v>
      </c>
      <c r="J896" s="85">
        <v>32.499748485427979</v>
      </c>
      <c r="K896" s="131" t="s">
        <v>3177</v>
      </c>
      <c r="L896" s="60">
        <v>65</v>
      </c>
      <c r="M896" s="49" t="s">
        <v>6390</v>
      </c>
    </row>
    <row r="897" spans="1:14" ht="14" x14ac:dyDescent="0.15">
      <c r="A897" s="166" t="s">
        <v>2633</v>
      </c>
      <c r="B897" s="82"/>
      <c r="C897" s="70" t="s">
        <v>3636</v>
      </c>
      <c r="D897" s="70" t="s">
        <v>3610</v>
      </c>
      <c r="E897" s="70" t="s">
        <v>4053</v>
      </c>
      <c r="F897" s="70" t="s">
        <v>4075</v>
      </c>
      <c r="G897" s="70" t="s">
        <v>4265</v>
      </c>
      <c r="H897" s="93"/>
      <c r="I897" s="85">
        <f t="shared" si="33"/>
        <v>1.57403</v>
      </c>
      <c r="J897" s="85">
        <v>37.499890535749245</v>
      </c>
      <c r="K897" s="131" t="s">
        <v>3177</v>
      </c>
      <c r="L897" s="60" t="s">
        <v>2686</v>
      </c>
    </row>
    <row r="898" spans="1:14" ht="14" x14ac:dyDescent="0.15">
      <c r="A898" s="166" t="s">
        <v>2633</v>
      </c>
      <c r="B898" s="82"/>
      <c r="C898" s="70" t="s">
        <v>3636</v>
      </c>
      <c r="D898" s="70" t="s">
        <v>3610</v>
      </c>
      <c r="E898" s="70" t="s">
        <v>4053</v>
      </c>
      <c r="F898" s="70" t="s">
        <v>4075</v>
      </c>
      <c r="G898" s="70" t="s">
        <v>4052</v>
      </c>
      <c r="H898" s="93"/>
      <c r="I898" s="85">
        <f t="shared" si="33"/>
        <v>1.67669</v>
      </c>
      <c r="J898" s="85">
        <v>47.499605206891239</v>
      </c>
      <c r="K898" s="131" t="s">
        <v>3177</v>
      </c>
      <c r="L898" s="60">
        <v>60</v>
      </c>
    </row>
    <row r="899" spans="1:14" ht="14" x14ac:dyDescent="0.15">
      <c r="A899" s="166" t="s">
        <v>2633</v>
      </c>
      <c r="B899" s="82"/>
      <c r="C899" s="70" t="s">
        <v>3636</v>
      </c>
      <c r="D899" s="70" t="s">
        <v>3610</v>
      </c>
      <c r="E899" s="70" t="s">
        <v>4053</v>
      </c>
      <c r="F899" s="70" t="s">
        <v>4075</v>
      </c>
      <c r="G899" s="70" t="s">
        <v>4081</v>
      </c>
      <c r="H899" s="93"/>
      <c r="I899" s="85">
        <f t="shared" si="33"/>
        <v>1.6812400000000001</v>
      </c>
      <c r="J899" s="85">
        <v>47.999863240390923</v>
      </c>
      <c r="K899" s="131" t="s">
        <v>3177</v>
      </c>
      <c r="L899" s="60">
        <v>60</v>
      </c>
      <c r="M899" s="49" t="s">
        <v>6728</v>
      </c>
    </row>
    <row r="900" spans="1:14" ht="14" x14ac:dyDescent="0.15">
      <c r="A900" s="166" t="s">
        <v>2633</v>
      </c>
      <c r="B900" s="82"/>
      <c r="C900" s="70" t="s">
        <v>3636</v>
      </c>
      <c r="D900" s="70" t="s">
        <v>3610</v>
      </c>
      <c r="E900" s="70" t="s">
        <v>4053</v>
      </c>
      <c r="F900" s="70" t="s">
        <v>4075</v>
      </c>
      <c r="G900" s="70" t="s">
        <v>4061</v>
      </c>
      <c r="H900" s="93"/>
      <c r="I900" s="85">
        <f t="shared" si="33"/>
        <v>1.6812400000000001</v>
      </c>
      <c r="J900" s="85">
        <v>47.999863240390923</v>
      </c>
      <c r="K900" s="131" t="s">
        <v>3177</v>
      </c>
      <c r="L900" s="60">
        <v>60</v>
      </c>
    </row>
    <row r="901" spans="1:14" ht="14" x14ac:dyDescent="0.15">
      <c r="A901" s="166" t="s">
        <v>2633</v>
      </c>
      <c r="B901" s="82"/>
      <c r="C901" s="70" t="s">
        <v>3636</v>
      </c>
      <c r="D901" s="70" t="s">
        <v>3610</v>
      </c>
      <c r="E901" s="70" t="s">
        <v>4053</v>
      </c>
      <c r="F901" s="70" t="s">
        <v>4075</v>
      </c>
      <c r="G901" s="70" t="s">
        <v>4083</v>
      </c>
      <c r="H901" s="93"/>
      <c r="I901" s="85">
        <f t="shared" si="33"/>
        <v>1.6946100000000002</v>
      </c>
      <c r="J901" s="85">
        <v>49.500547218792484</v>
      </c>
      <c r="K901" s="131" t="s">
        <v>3177</v>
      </c>
      <c r="L901" s="60">
        <v>60</v>
      </c>
    </row>
    <row r="902" spans="1:14" ht="14" x14ac:dyDescent="0.15">
      <c r="A902" s="166" t="s">
        <v>2633</v>
      </c>
      <c r="B902" s="82"/>
      <c r="C902" s="70" t="s">
        <v>3636</v>
      </c>
      <c r="D902" s="70" t="s">
        <v>3610</v>
      </c>
      <c r="E902" s="70" t="s">
        <v>4053</v>
      </c>
      <c r="F902" s="70" t="s">
        <v>4075</v>
      </c>
      <c r="G902" s="70" t="s">
        <v>4084</v>
      </c>
      <c r="H902" s="93"/>
      <c r="I902" s="85">
        <f t="shared" si="33"/>
        <v>1.7193300000000002</v>
      </c>
      <c r="J902" s="85">
        <v>52.399844718617999</v>
      </c>
      <c r="K902" s="131" t="s">
        <v>3177</v>
      </c>
      <c r="L902" s="60">
        <v>60</v>
      </c>
    </row>
    <row r="903" spans="1:14" ht="16" x14ac:dyDescent="0.2">
      <c r="A903" s="166" t="s">
        <v>2633</v>
      </c>
      <c r="B903" s="82"/>
      <c r="C903" s="70" t="s">
        <v>3636</v>
      </c>
      <c r="D903" s="70" t="s">
        <v>3610</v>
      </c>
      <c r="E903" s="70" t="s">
        <v>4053</v>
      </c>
      <c r="F903" s="70" t="s">
        <v>4075</v>
      </c>
      <c r="G903" s="70" t="s">
        <v>4082</v>
      </c>
      <c r="H903" s="93"/>
      <c r="I903" s="85">
        <f t="shared" si="33"/>
        <v>1.7558700000000003</v>
      </c>
      <c r="J903" s="85">
        <v>56.999362709414271</v>
      </c>
      <c r="K903" s="131" t="s">
        <v>3177</v>
      </c>
      <c r="L903" s="60">
        <v>60</v>
      </c>
      <c r="N903" s="48"/>
    </row>
    <row r="904" spans="1:14" ht="14" x14ac:dyDescent="0.15">
      <c r="A904" s="166" t="s">
        <v>2633</v>
      </c>
      <c r="B904" s="82"/>
      <c r="C904" s="70" t="s">
        <v>3636</v>
      </c>
      <c r="D904" s="70" t="s">
        <v>3610</v>
      </c>
      <c r="E904" s="70" t="s">
        <v>4053</v>
      </c>
      <c r="F904" s="70" t="s">
        <v>4075</v>
      </c>
      <c r="G904" s="70" t="s">
        <v>4531</v>
      </c>
      <c r="H904" s="93"/>
      <c r="I904" s="85">
        <f t="shared" si="33"/>
        <v>1.8221700000000001</v>
      </c>
      <c r="J904" s="85">
        <v>66.400293649242514</v>
      </c>
      <c r="K904" s="131" t="s">
        <v>3177</v>
      </c>
      <c r="L904" s="60">
        <v>60</v>
      </c>
      <c r="M904" s="49" t="s">
        <v>6728</v>
      </c>
    </row>
    <row r="905" spans="1:14" ht="14" x14ac:dyDescent="0.15">
      <c r="A905" s="166" t="s">
        <v>2633</v>
      </c>
      <c r="B905" s="82"/>
      <c r="C905" s="70" t="s">
        <v>3636</v>
      </c>
      <c r="D905" s="70" t="s">
        <v>3610</v>
      </c>
      <c r="E905" s="70" t="s">
        <v>4053</v>
      </c>
      <c r="F905" s="70" t="s">
        <v>3411</v>
      </c>
      <c r="G905" s="70" t="s">
        <v>3619</v>
      </c>
      <c r="H905" s="93"/>
      <c r="I905" s="85">
        <f t="shared" si="33"/>
        <v>1.5820600000000002</v>
      </c>
      <c r="J905" s="85">
        <v>38.199704203633139</v>
      </c>
      <c r="K905" s="131" t="s">
        <v>3177</v>
      </c>
      <c r="L905" s="60">
        <v>60</v>
      </c>
      <c r="M905" s="49" t="s">
        <v>6728</v>
      </c>
    </row>
    <row r="906" spans="1:14" ht="14" x14ac:dyDescent="0.15">
      <c r="A906" s="166" t="s">
        <v>2633</v>
      </c>
      <c r="B906" s="82"/>
      <c r="C906" s="70" t="s">
        <v>3636</v>
      </c>
      <c r="D906" s="70" t="s">
        <v>3610</v>
      </c>
      <c r="E906" s="70" t="s">
        <v>4053</v>
      </c>
      <c r="F906" s="70" t="s">
        <v>3620</v>
      </c>
      <c r="G906" s="70" t="s">
        <v>3623</v>
      </c>
      <c r="H906" s="93"/>
      <c r="I906" s="85">
        <f t="shared" si="33"/>
        <v>2.2730000000000006</v>
      </c>
      <c r="J906" s="85">
        <v>187.49945080674203</v>
      </c>
      <c r="K906" s="131" t="s">
        <v>3177</v>
      </c>
      <c r="L906" s="60">
        <v>60</v>
      </c>
    </row>
    <row r="907" spans="1:14" ht="14" x14ac:dyDescent="0.15">
      <c r="A907" s="166" t="s">
        <v>2633</v>
      </c>
      <c r="B907" s="93" t="s">
        <v>6622</v>
      </c>
      <c r="C907" s="70" t="s">
        <v>3636</v>
      </c>
      <c r="D907" s="70" t="s">
        <v>3610</v>
      </c>
      <c r="E907" s="70" t="s">
        <v>4053</v>
      </c>
      <c r="F907" s="70" t="s">
        <v>4065</v>
      </c>
      <c r="G907" s="70" t="s">
        <v>5507</v>
      </c>
      <c r="H907" s="93"/>
      <c r="I907" s="85">
        <f t="shared" si="33"/>
        <v>2.6273658565927325</v>
      </c>
      <c r="J907" s="85">
        <f>AVERAGE(408, 440)</f>
        <v>424</v>
      </c>
      <c r="K907" s="131" t="s">
        <v>3177</v>
      </c>
      <c r="L907" s="60">
        <v>70</v>
      </c>
      <c r="M907" s="49" t="s">
        <v>6390</v>
      </c>
    </row>
    <row r="908" spans="1:14" ht="14" x14ac:dyDescent="0.15">
      <c r="A908" s="166" t="s">
        <v>2633</v>
      </c>
      <c r="B908" s="82"/>
      <c r="C908" s="70" t="s">
        <v>3636</v>
      </c>
      <c r="D908" s="70" t="s">
        <v>3610</v>
      </c>
      <c r="E908" s="70" t="s">
        <v>4053</v>
      </c>
      <c r="F908" s="70" t="s">
        <v>4065</v>
      </c>
      <c r="G908" s="70" t="s">
        <v>4092</v>
      </c>
      <c r="H908" s="93"/>
      <c r="I908" s="85">
        <f t="shared" si="33"/>
        <v>2.6901999999999999</v>
      </c>
      <c r="J908" s="85">
        <v>490.0044227932359</v>
      </c>
      <c r="K908" s="131" t="s">
        <v>3177</v>
      </c>
      <c r="L908" s="60">
        <v>60</v>
      </c>
      <c r="M908" s="49" t="s">
        <v>6728</v>
      </c>
    </row>
    <row r="909" spans="1:14" ht="14" x14ac:dyDescent="0.15">
      <c r="A909" s="166" t="s">
        <v>2633</v>
      </c>
      <c r="B909" s="82"/>
      <c r="C909" s="70" t="s">
        <v>3636</v>
      </c>
      <c r="D909" s="70" t="s">
        <v>3610</v>
      </c>
      <c r="E909" s="70" t="s">
        <v>4053</v>
      </c>
      <c r="F909" s="70" t="s">
        <v>4065</v>
      </c>
      <c r="G909" s="70" t="s">
        <v>4091</v>
      </c>
      <c r="H909" s="93"/>
      <c r="I909" s="85">
        <f t="shared" si="33"/>
        <v>2.7323900000000001</v>
      </c>
      <c r="J909" s="85">
        <v>539.99532507158392</v>
      </c>
      <c r="K909" s="131" t="s">
        <v>3177</v>
      </c>
      <c r="L909" s="60">
        <v>56</v>
      </c>
      <c r="M909" s="49" t="s">
        <v>6390</v>
      </c>
    </row>
    <row r="910" spans="1:14" ht="28" x14ac:dyDescent="0.15">
      <c r="A910" s="166" t="s">
        <v>2633</v>
      </c>
      <c r="B910" s="82"/>
      <c r="C910" s="70" t="s">
        <v>3636</v>
      </c>
      <c r="D910" s="70" t="s">
        <v>7007</v>
      </c>
      <c r="E910" s="70" t="s">
        <v>2446</v>
      </c>
      <c r="F910" s="70" t="s">
        <v>2447</v>
      </c>
      <c r="G910" s="70" t="s">
        <v>2448</v>
      </c>
      <c r="H910" s="93"/>
      <c r="I910" s="85">
        <f t="shared" si="33"/>
        <v>5.217480000000001</v>
      </c>
      <c r="J910" s="85">
        <v>164998.50149526112</v>
      </c>
      <c r="K910" s="131" t="s">
        <v>6835</v>
      </c>
      <c r="L910" s="60">
        <v>60</v>
      </c>
      <c r="M910" s="49" t="s">
        <v>6809</v>
      </c>
    </row>
    <row r="911" spans="1:14" ht="14" x14ac:dyDescent="0.15">
      <c r="A911" s="166" t="s">
        <v>2633</v>
      </c>
      <c r="B911" s="82"/>
      <c r="C911" s="70" t="s">
        <v>3636</v>
      </c>
      <c r="D911" s="70" t="s">
        <v>7007</v>
      </c>
      <c r="E911" s="70" t="s">
        <v>2446</v>
      </c>
      <c r="F911" s="70" t="s">
        <v>2447</v>
      </c>
      <c r="G911" s="70" t="s">
        <v>2449</v>
      </c>
      <c r="H911" s="93"/>
      <c r="I911" s="85">
        <f t="shared" si="33"/>
        <v>5.3979400000000011</v>
      </c>
      <c r="J911" s="85">
        <v>249999.99500797442</v>
      </c>
      <c r="K911" s="131" t="s">
        <v>3177</v>
      </c>
      <c r="L911" s="60">
        <v>148</v>
      </c>
    </row>
    <row r="912" spans="1:14" ht="14" x14ac:dyDescent="0.15">
      <c r="A912" s="166" t="s">
        <v>2633</v>
      </c>
      <c r="B912" s="82"/>
      <c r="C912" s="70" t="s">
        <v>3636</v>
      </c>
      <c r="D912" s="70" t="s">
        <v>7007</v>
      </c>
      <c r="E912" s="70" t="s">
        <v>2446</v>
      </c>
      <c r="F912" s="70" t="s">
        <v>2447</v>
      </c>
      <c r="G912" s="70" t="s">
        <v>5627</v>
      </c>
      <c r="H912" s="93"/>
      <c r="I912" s="85">
        <f t="shared" si="33"/>
        <v>5.4409090820652173</v>
      </c>
      <c r="J912" s="85">
        <v>276000</v>
      </c>
      <c r="K912" s="131" t="s">
        <v>6485</v>
      </c>
      <c r="L912" s="60">
        <v>68</v>
      </c>
    </row>
    <row r="913" spans="1:14" ht="56" x14ac:dyDescent="0.15">
      <c r="A913" s="166" t="s">
        <v>2633</v>
      </c>
      <c r="B913" s="82"/>
      <c r="C913" s="70" t="s">
        <v>3636</v>
      </c>
      <c r="D913" s="70" t="s">
        <v>7007</v>
      </c>
      <c r="E913" s="70" t="s">
        <v>2446</v>
      </c>
      <c r="F913" s="70" t="s">
        <v>2447</v>
      </c>
      <c r="G913" s="70" t="s">
        <v>3897</v>
      </c>
      <c r="H913" s="93"/>
      <c r="I913" s="85">
        <f t="shared" si="33"/>
        <v>5.4578800000000003</v>
      </c>
      <c r="J913" s="85">
        <v>286998.746561401</v>
      </c>
      <c r="K913" s="131" t="s">
        <v>6601</v>
      </c>
      <c r="L913" s="60">
        <v>60</v>
      </c>
      <c r="M913" s="49" t="s">
        <v>6390</v>
      </c>
    </row>
    <row r="914" spans="1:14" ht="42" x14ac:dyDescent="0.15">
      <c r="A914" s="166" t="s">
        <v>2633</v>
      </c>
      <c r="B914" s="82"/>
      <c r="C914" s="70" t="s">
        <v>3636</v>
      </c>
      <c r="D914" s="70" t="s">
        <v>7007</v>
      </c>
      <c r="E914" s="70" t="s">
        <v>2446</v>
      </c>
      <c r="F914" s="70" t="s">
        <v>2447</v>
      </c>
      <c r="G914" s="70" t="s">
        <v>2450</v>
      </c>
      <c r="H914" s="93"/>
      <c r="I914" s="85">
        <f t="shared" si="33"/>
        <v>5.6106600000000011</v>
      </c>
      <c r="J914" s="85">
        <v>407999.84678447241</v>
      </c>
      <c r="K914" s="131" t="s">
        <v>6260</v>
      </c>
      <c r="L914" s="60" t="s">
        <v>2686</v>
      </c>
      <c r="M914" s="49" t="s">
        <v>6390</v>
      </c>
    </row>
    <row r="915" spans="1:14" ht="14" x14ac:dyDescent="0.15">
      <c r="A915" s="166" t="s">
        <v>2633</v>
      </c>
      <c r="B915" s="82"/>
      <c r="C915" s="70" t="s">
        <v>3636</v>
      </c>
      <c r="D915" s="70" t="s">
        <v>7007</v>
      </c>
      <c r="E915" s="70" t="s">
        <v>2406</v>
      </c>
      <c r="F915" s="70" t="s">
        <v>2251</v>
      </c>
      <c r="G915" s="70" t="s">
        <v>7214</v>
      </c>
      <c r="H915" s="93"/>
      <c r="I915" s="85">
        <f t="shared" si="33"/>
        <v>6.4698200000000003</v>
      </c>
      <c r="J915" s="85">
        <v>2949986.3062460502</v>
      </c>
      <c r="K915" s="131" t="s">
        <v>6817</v>
      </c>
      <c r="L915" s="60" t="s">
        <v>2686</v>
      </c>
      <c r="M915" s="49" t="s">
        <v>6725</v>
      </c>
    </row>
    <row r="916" spans="1:14" ht="28" x14ac:dyDescent="0.15">
      <c r="A916" s="166" t="s">
        <v>2633</v>
      </c>
      <c r="B916" s="82"/>
      <c r="C916" s="70" t="s">
        <v>3636</v>
      </c>
      <c r="D916" s="70" t="s">
        <v>7007</v>
      </c>
      <c r="E916" s="70" t="s">
        <v>2406</v>
      </c>
      <c r="F916" s="70" t="s">
        <v>6888</v>
      </c>
      <c r="G916" s="70" t="s">
        <v>6889</v>
      </c>
      <c r="H916" s="93"/>
      <c r="I916" s="85">
        <f t="shared" si="33"/>
        <v>6.072070000000001</v>
      </c>
      <c r="J916" s="85">
        <v>1180510.89619355</v>
      </c>
      <c r="K916" s="131" t="s">
        <v>6460</v>
      </c>
      <c r="L916" s="63" t="s">
        <v>2686</v>
      </c>
      <c r="M916" s="49" t="s">
        <v>6809</v>
      </c>
    </row>
    <row r="917" spans="1:14" ht="14" x14ac:dyDescent="0.15">
      <c r="A917" s="166" t="s">
        <v>2633</v>
      </c>
      <c r="B917" s="82"/>
      <c r="C917" s="70" t="s">
        <v>3636</v>
      </c>
      <c r="D917" s="70" t="s">
        <v>4638</v>
      </c>
      <c r="E917" s="70" t="s">
        <v>4639</v>
      </c>
      <c r="F917" s="70" t="s">
        <v>4862</v>
      </c>
      <c r="G917" s="70" t="s">
        <v>7215</v>
      </c>
      <c r="H917" s="93"/>
      <c r="I917" s="85">
        <f t="shared" si="33"/>
        <v>3.3152704347785913</v>
      </c>
      <c r="J917" s="85">
        <f>AVERAGE(1800, 2400, 2000)</f>
        <v>2066.6666666666665</v>
      </c>
      <c r="K917" s="131" t="s">
        <v>3177</v>
      </c>
      <c r="L917" s="60" t="s">
        <v>1582</v>
      </c>
      <c r="N917" s="37" t="s">
        <v>1583</v>
      </c>
    </row>
    <row r="918" spans="1:14" ht="14" x14ac:dyDescent="0.15">
      <c r="A918" s="166" t="s">
        <v>2633</v>
      </c>
      <c r="B918" s="82"/>
      <c r="C918" s="70" t="s">
        <v>3636</v>
      </c>
      <c r="D918" s="70" t="s">
        <v>4638</v>
      </c>
      <c r="E918" s="70" t="s">
        <v>4639</v>
      </c>
      <c r="F918" s="70" t="s">
        <v>4862</v>
      </c>
      <c r="G918" s="70" t="s">
        <v>2043</v>
      </c>
      <c r="H918" s="93"/>
      <c r="I918" s="85">
        <f t="shared" si="33"/>
        <v>3.43933</v>
      </c>
      <c r="J918" s="85">
        <v>2749.9829424260374</v>
      </c>
      <c r="K918" s="131" t="s">
        <v>3177</v>
      </c>
      <c r="L918" s="60" t="s">
        <v>6389</v>
      </c>
      <c r="N918" s="37" t="s">
        <v>1584</v>
      </c>
    </row>
    <row r="919" spans="1:14" ht="14" x14ac:dyDescent="0.15">
      <c r="A919" s="166" t="s">
        <v>2633</v>
      </c>
      <c r="B919" s="82"/>
      <c r="C919" s="70" t="s">
        <v>3636</v>
      </c>
      <c r="D919" s="70" t="s">
        <v>4638</v>
      </c>
      <c r="E919" s="70" t="s">
        <v>4639</v>
      </c>
      <c r="F919" s="70" t="s">
        <v>4862</v>
      </c>
      <c r="G919" s="70" t="s">
        <v>2042</v>
      </c>
      <c r="H919" s="93"/>
      <c r="I919" s="85">
        <f t="shared" si="33"/>
        <v>3.8561200000000007</v>
      </c>
      <c r="J919" s="85">
        <v>7179.9265256691642</v>
      </c>
      <c r="K919" s="131" t="s">
        <v>3177</v>
      </c>
      <c r="L919" s="60">
        <v>60</v>
      </c>
      <c r="M919" s="49" t="s">
        <v>6392</v>
      </c>
    </row>
    <row r="920" spans="1:14" ht="14" x14ac:dyDescent="0.15">
      <c r="A920" s="166" t="s">
        <v>2633</v>
      </c>
      <c r="B920" s="82"/>
      <c r="C920" s="70" t="s">
        <v>3636</v>
      </c>
      <c r="D920" s="70" t="s">
        <v>4638</v>
      </c>
      <c r="E920" s="70" t="s">
        <v>4639</v>
      </c>
      <c r="F920" s="70" t="s">
        <v>4862</v>
      </c>
      <c r="G920" s="70" t="s">
        <v>2041</v>
      </c>
      <c r="H920" s="93"/>
      <c r="I920" s="85">
        <f t="shared" si="33"/>
        <v>4.51851</v>
      </c>
      <c r="J920" s="85">
        <v>32999.700628522936</v>
      </c>
      <c r="K920" s="131" t="s">
        <v>3177</v>
      </c>
      <c r="L920" s="60" t="s">
        <v>2686</v>
      </c>
    </row>
    <row r="921" spans="1:14" ht="14" x14ac:dyDescent="0.15">
      <c r="A921" s="166" t="s">
        <v>2633</v>
      </c>
      <c r="B921" s="82"/>
      <c r="C921" s="70" t="s">
        <v>3636</v>
      </c>
      <c r="D921" s="70" t="s">
        <v>6983</v>
      </c>
      <c r="E921" s="70" t="s">
        <v>6059</v>
      </c>
      <c r="F921" s="70" t="s">
        <v>6060</v>
      </c>
      <c r="G921" s="70" t="s">
        <v>2838</v>
      </c>
      <c r="H921" s="93"/>
      <c r="I921" s="85">
        <f t="shared" si="33"/>
        <v>3.6766900000000002</v>
      </c>
      <c r="J921" s="85">
        <v>4749.9605206891265</v>
      </c>
      <c r="K921" s="131" t="s">
        <v>6817</v>
      </c>
      <c r="L921" s="60">
        <v>56</v>
      </c>
      <c r="M921" s="49" t="s">
        <v>6392</v>
      </c>
    </row>
    <row r="922" spans="1:14" ht="14" x14ac:dyDescent="0.15">
      <c r="A922" s="166" t="s">
        <v>2633</v>
      </c>
      <c r="B922" s="82"/>
      <c r="C922" s="70" t="s">
        <v>3636</v>
      </c>
      <c r="D922" s="70" t="s">
        <v>6983</v>
      </c>
      <c r="E922" s="70" t="s">
        <v>6059</v>
      </c>
      <c r="F922" s="70" t="s">
        <v>3413</v>
      </c>
      <c r="G922" s="70" t="s">
        <v>3531</v>
      </c>
      <c r="H922" s="93"/>
      <c r="I922" s="85">
        <f t="shared" si="33"/>
        <v>3.8893000000000004</v>
      </c>
      <c r="J922" s="85">
        <v>7749.9696187757672</v>
      </c>
      <c r="K922" s="131" t="s">
        <v>6817</v>
      </c>
      <c r="L922" s="60">
        <v>65</v>
      </c>
      <c r="M922" s="49" t="s">
        <v>6392</v>
      </c>
      <c r="N922" s="37" t="s">
        <v>1579</v>
      </c>
    </row>
    <row r="923" spans="1:14" ht="14" x14ac:dyDescent="0.15">
      <c r="A923" s="166" t="s">
        <v>2633</v>
      </c>
      <c r="B923" s="82"/>
      <c r="C923" s="70" t="s">
        <v>3636</v>
      </c>
      <c r="D923" s="70" t="s">
        <v>6983</v>
      </c>
      <c r="E923" s="70" t="s">
        <v>6059</v>
      </c>
      <c r="F923" s="70" t="s">
        <v>3413</v>
      </c>
      <c r="G923" s="70" t="s">
        <v>2839</v>
      </c>
      <c r="H923" s="93"/>
      <c r="I923" s="85">
        <f t="shared" si="33"/>
        <v>3.8940400000000004</v>
      </c>
      <c r="J923" s="85">
        <v>7835.0180262591975</v>
      </c>
      <c r="K923" s="131" t="s">
        <v>6817</v>
      </c>
      <c r="L923" s="60">
        <v>60</v>
      </c>
      <c r="M923" s="49" t="s">
        <v>6392</v>
      </c>
    </row>
    <row r="924" spans="1:14" ht="28" x14ac:dyDescent="0.15">
      <c r="A924" s="166" t="s">
        <v>2633</v>
      </c>
      <c r="B924" s="82"/>
      <c r="C924" s="73" t="s">
        <v>3636</v>
      </c>
      <c r="D924" s="73" t="s">
        <v>6983</v>
      </c>
      <c r="E924" s="70" t="s">
        <v>6059</v>
      </c>
      <c r="F924" s="73" t="s">
        <v>3413</v>
      </c>
      <c r="G924" s="73" t="s">
        <v>4218</v>
      </c>
      <c r="H924" s="108"/>
      <c r="I924" s="85">
        <f t="shared" si="33"/>
        <v>3.9030899869919438</v>
      </c>
      <c r="J924" s="95">
        <f>AVERAGE(6000, 10000)</f>
        <v>8000</v>
      </c>
      <c r="K924" s="131" t="s">
        <v>6603</v>
      </c>
      <c r="L924" s="60">
        <v>70</v>
      </c>
    </row>
    <row r="925" spans="1:14" ht="14" x14ac:dyDescent="0.15">
      <c r="A925" s="166" t="s">
        <v>2633</v>
      </c>
      <c r="B925" s="82"/>
      <c r="C925" s="70" t="s">
        <v>3636</v>
      </c>
      <c r="D925" s="70" t="s">
        <v>6983</v>
      </c>
      <c r="E925" s="70" t="s">
        <v>6059</v>
      </c>
      <c r="F925" s="70" t="s">
        <v>2990</v>
      </c>
      <c r="G925" s="70" t="s">
        <v>3187</v>
      </c>
      <c r="H925" s="93"/>
      <c r="I925" s="85">
        <f t="shared" si="33"/>
        <v>3.3979400000000002</v>
      </c>
      <c r="J925" s="85">
        <v>2499.9999500797412</v>
      </c>
      <c r="K925" s="131" t="s">
        <v>6817</v>
      </c>
      <c r="L925" s="60">
        <v>65</v>
      </c>
      <c r="M925" s="49" t="s">
        <v>6390</v>
      </c>
    </row>
    <row r="926" spans="1:14" ht="14" x14ac:dyDescent="0.15">
      <c r="A926" s="166" t="s">
        <v>2633</v>
      </c>
      <c r="B926" s="82"/>
      <c r="C926" s="70" t="s">
        <v>3636</v>
      </c>
      <c r="D926" s="70" t="s">
        <v>6983</v>
      </c>
      <c r="E926" s="70" t="s">
        <v>6059</v>
      </c>
      <c r="F926" s="70" t="s">
        <v>2990</v>
      </c>
      <c r="G926" s="70" t="s">
        <v>6102</v>
      </c>
      <c r="H926" s="93"/>
      <c r="I926" s="85">
        <f t="shared" si="33"/>
        <v>3.4432600000000004</v>
      </c>
      <c r="J926" s="85">
        <v>2774.980911179603</v>
      </c>
      <c r="K926" s="131" t="s">
        <v>3177</v>
      </c>
      <c r="L926" s="60">
        <v>65</v>
      </c>
    </row>
    <row r="927" spans="1:14" ht="14" x14ac:dyDescent="0.15">
      <c r="A927" s="166" t="s">
        <v>2633</v>
      </c>
      <c r="B927" s="82"/>
      <c r="C927" s="70" t="s">
        <v>3636</v>
      </c>
      <c r="D927" s="70" t="s">
        <v>6983</v>
      </c>
      <c r="E927" s="70" t="s">
        <v>6059</v>
      </c>
      <c r="F927" s="70" t="s">
        <v>2990</v>
      </c>
      <c r="G927" s="70" t="s">
        <v>4219</v>
      </c>
      <c r="H927" s="93"/>
      <c r="I927" s="85">
        <f t="shared" si="33"/>
        <v>3.4878451201114355</v>
      </c>
      <c r="J927" s="85">
        <f>AVERAGE(2250, 3900)</f>
        <v>3075</v>
      </c>
      <c r="K927" s="131" t="s">
        <v>6817</v>
      </c>
      <c r="L927" s="60">
        <v>70</v>
      </c>
      <c r="M927" s="49" t="s">
        <v>6727</v>
      </c>
    </row>
    <row r="928" spans="1:14" ht="14" x14ac:dyDescent="0.15">
      <c r="A928" s="166" t="s">
        <v>2633</v>
      </c>
      <c r="B928" s="82"/>
      <c r="C928" s="70" t="s">
        <v>3636</v>
      </c>
      <c r="D928" s="70" t="s">
        <v>6983</v>
      </c>
      <c r="E928" s="70" t="s">
        <v>6059</v>
      </c>
      <c r="F928" s="70" t="s">
        <v>2990</v>
      </c>
      <c r="G928" s="70" t="s">
        <v>2320</v>
      </c>
      <c r="H928" s="93"/>
      <c r="I928" s="85">
        <f t="shared" ref="I928:I959" si="34">LOG(J928)</f>
        <v>3.5282737771670436</v>
      </c>
      <c r="J928" s="85">
        <f>AVERAGE(3000, 3750)</f>
        <v>3375</v>
      </c>
      <c r="K928" s="141" t="s">
        <v>6817</v>
      </c>
      <c r="L928" s="60">
        <v>70</v>
      </c>
      <c r="M928" s="49" t="s">
        <v>6390</v>
      </c>
    </row>
    <row r="929" spans="1:14" ht="14" x14ac:dyDescent="0.15">
      <c r="A929" s="166" t="s">
        <v>2633</v>
      </c>
      <c r="B929" s="82"/>
      <c r="C929" s="70" t="s">
        <v>3636</v>
      </c>
      <c r="D929" s="70" t="s">
        <v>6983</v>
      </c>
      <c r="E929" s="70" t="s">
        <v>6059</v>
      </c>
      <c r="F929" s="70" t="s">
        <v>2990</v>
      </c>
      <c r="G929" s="70" t="s">
        <v>3185</v>
      </c>
      <c r="H929" s="93"/>
      <c r="I929" s="85">
        <f t="shared" si="34"/>
        <v>3.5421999999999998</v>
      </c>
      <c r="J929" s="85">
        <v>3484.977672404485</v>
      </c>
      <c r="K929" s="131" t="s">
        <v>3177</v>
      </c>
      <c r="L929" s="60">
        <v>60</v>
      </c>
    </row>
    <row r="930" spans="1:14" ht="14" x14ac:dyDescent="0.15">
      <c r="A930" s="166" t="s">
        <v>2633</v>
      </c>
      <c r="B930" s="82"/>
      <c r="C930" s="70" t="s">
        <v>3636</v>
      </c>
      <c r="D930" s="70" t="s">
        <v>6983</v>
      </c>
      <c r="E930" s="70" t="s">
        <v>6059</v>
      </c>
      <c r="F930" s="70" t="s">
        <v>2990</v>
      </c>
      <c r="G930" s="70" t="s">
        <v>3183</v>
      </c>
      <c r="H930" s="93"/>
      <c r="I930" s="85">
        <f t="shared" si="34"/>
        <v>3.5502283530550942</v>
      </c>
      <c r="J930" s="85">
        <f>AVERAGE(2900, 4200)</f>
        <v>3550</v>
      </c>
      <c r="K930" s="131" t="s">
        <v>2207</v>
      </c>
      <c r="L930" s="60">
        <v>74</v>
      </c>
    </row>
    <row r="931" spans="1:14" ht="14" x14ac:dyDescent="0.15">
      <c r="A931" s="166" t="s">
        <v>2633</v>
      </c>
      <c r="B931" s="82"/>
      <c r="C931" s="70" t="s">
        <v>3636</v>
      </c>
      <c r="D931" s="70" t="s">
        <v>6983</v>
      </c>
      <c r="E931" s="70" t="s">
        <v>6059</v>
      </c>
      <c r="F931" s="70" t="s">
        <v>2990</v>
      </c>
      <c r="G931" s="70" t="s">
        <v>6103</v>
      </c>
      <c r="H931" s="93"/>
      <c r="I931" s="85">
        <f t="shared" si="34"/>
        <v>3.5757599999999998</v>
      </c>
      <c r="J931" s="85">
        <v>3764.9568228149178</v>
      </c>
      <c r="K931" s="131" t="s">
        <v>3177</v>
      </c>
      <c r="L931" s="60">
        <v>60</v>
      </c>
    </row>
    <row r="932" spans="1:14" ht="14" x14ac:dyDescent="0.15">
      <c r="A932" s="166" t="s">
        <v>2633</v>
      </c>
      <c r="B932" s="82"/>
      <c r="C932" s="70" t="s">
        <v>3636</v>
      </c>
      <c r="D932" s="70" t="s">
        <v>6983</v>
      </c>
      <c r="E932" s="70" t="s">
        <v>6059</v>
      </c>
      <c r="F932" s="70" t="s">
        <v>2990</v>
      </c>
      <c r="G932" s="70" t="s">
        <v>6069</v>
      </c>
      <c r="H932" s="93"/>
      <c r="I932" s="85">
        <f t="shared" si="34"/>
        <v>3.5931013787412955</v>
      </c>
      <c r="J932" s="85">
        <f>AVERAGE(3255, 4000, 4500)</f>
        <v>3918.3333333333335</v>
      </c>
      <c r="K932" s="131" t="s">
        <v>6817</v>
      </c>
      <c r="L932" s="60" t="s">
        <v>1813</v>
      </c>
      <c r="M932" s="49" t="s">
        <v>6728</v>
      </c>
      <c r="N932" s="37" t="s">
        <v>1812</v>
      </c>
    </row>
    <row r="933" spans="1:14" ht="14" x14ac:dyDescent="0.15">
      <c r="A933" s="166" t="s">
        <v>2633</v>
      </c>
      <c r="B933" s="82"/>
      <c r="C933" s="70" t="s">
        <v>3636</v>
      </c>
      <c r="D933" s="70" t="s">
        <v>6983</v>
      </c>
      <c r="E933" s="70" t="s">
        <v>6059</v>
      </c>
      <c r="F933" s="70" t="s">
        <v>2990</v>
      </c>
      <c r="G933" s="70" t="s">
        <v>5205</v>
      </c>
      <c r="H933" s="93"/>
      <c r="I933" s="85">
        <f t="shared" si="34"/>
        <v>3.6020599913279625</v>
      </c>
      <c r="J933" s="85">
        <f>AVERAGE(2000, 6000)</f>
        <v>4000</v>
      </c>
      <c r="K933" s="131" t="s">
        <v>3177</v>
      </c>
      <c r="L933" s="60">
        <v>70</v>
      </c>
    </row>
    <row r="934" spans="1:14" ht="14" x14ac:dyDescent="0.15">
      <c r="A934" s="166" t="s">
        <v>2633</v>
      </c>
      <c r="B934" s="82"/>
      <c r="C934" s="70" t="s">
        <v>3636</v>
      </c>
      <c r="D934" s="70" t="s">
        <v>6983</v>
      </c>
      <c r="E934" s="70" t="s">
        <v>6059</v>
      </c>
      <c r="F934" s="70" t="s">
        <v>2990</v>
      </c>
      <c r="G934" s="70" t="s">
        <v>3184</v>
      </c>
      <c r="H934" s="93"/>
      <c r="I934" s="85">
        <f t="shared" si="34"/>
        <v>3.6127800000000003</v>
      </c>
      <c r="J934" s="85">
        <v>4099.9635904176512</v>
      </c>
      <c r="K934" s="131" t="s">
        <v>3177</v>
      </c>
      <c r="L934" s="60">
        <v>60</v>
      </c>
    </row>
    <row r="935" spans="1:14" ht="14" x14ac:dyDescent="0.15">
      <c r="A935" s="166" t="s">
        <v>2633</v>
      </c>
      <c r="B935" s="82"/>
      <c r="C935" s="70" t="s">
        <v>3636</v>
      </c>
      <c r="D935" s="70" t="s">
        <v>6983</v>
      </c>
      <c r="E935" s="70" t="s">
        <v>6059</v>
      </c>
      <c r="F935" s="70" t="s">
        <v>2990</v>
      </c>
      <c r="G935" s="70" t="s">
        <v>3186</v>
      </c>
      <c r="H935" s="93"/>
      <c r="I935" s="85">
        <f t="shared" si="34"/>
        <v>3.6206600000000004</v>
      </c>
      <c r="J935" s="85">
        <v>4175.0338406617175</v>
      </c>
      <c r="K935" s="131" t="s">
        <v>6817</v>
      </c>
      <c r="L935" s="60">
        <v>65</v>
      </c>
      <c r="M935" s="49" t="s">
        <v>6390</v>
      </c>
    </row>
    <row r="936" spans="1:14" ht="14" x14ac:dyDescent="0.15">
      <c r="A936" s="166" t="s">
        <v>2633</v>
      </c>
      <c r="B936" s="82"/>
      <c r="C936" s="70" t="s">
        <v>3636</v>
      </c>
      <c r="D936" s="70" t="s">
        <v>6983</v>
      </c>
      <c r="E936" s="70" t="s">
        <v>6059</v>
      </c>
      <c r="F936" s="70" t="s">
        <v>2990</v>
      </c>
      <c r="G936" s="70" t="s">
        <v>5923</v>
      </c>
      <c r="H936" s="93"/>
      <c r="I936" s="85">
        <f t="shared" si="34"/>
        <v>3.6241101320710367</v>
      </c>
      <c r="J936" s="85">
        <f>AVERAGE(4625, 2500, 5500)</f>
        <v>4208.333333333333</v>
      </c>
      <c r="K936" s="131" t="s">
        <v>3177</v>
      </c>
      <c r="L936" s="60" t="s">
        <v>1813</v>
      </c>
      <c r="N936" s="37" t="s">
        <v>1576</v>
      </c>
    </row>
    <row r="937" spans="1:14" ht="14" x14ac:dyDescent="0.15">
      <c r="A937" s="166" t="s">
        <v>2633</v>
      </c>
      <c r="B937" s="82"/>
      <c r="C937" s="70" t="s">
        <v>3636</v>
      </c>
      <c r="D937" s="70" t="s">
        <v>6983</v>
      </c>
      <c r="E937" s="70" t="s">
        <v>6059</v>
      </c>
      <c r="F937" s="70" t="s">
        <v>2990</v>
      </c>
      <c r="G937" s="70" t="s">
        <v>6079</v>
      </c>
      <c r="H937" s="93"/>
      <c r="I937" s="85">
        <f t="shared" si="34"/>
        <v>3.6989700000000001</v>
      </c>
      <c r="J937" s="85">
        <v>4999.9999500797403</v>
      </c>
      <c r="K937" s="131" t="s">
        <v>3177</v>
      </c>
      <c r="L937" s="60">
        <v>65</v>
      </c>
    </row>
    <row r="938" spans="1:14" ht="14" x14ac:dyDescent="0.15">
      <c r="A938" s="166" t="s">
        <v>2633</v>
      </c>
      <c r="B938" s="82"/>
      <c r="C938" s="70" t="s">
        <v>3636</v>
      </c>
      <c r="D938" s="70" t="s">
        <v>6983</v>
      </c>
      <c r="E938" s="70" t="s">
        <v>6059</v>
      </c>
      <c r="F938" s="70" t="s">
        <v>2990</v>
      </c>
      <c r="G938" s="70" t="s">
        <v>5341</v>
      </c>
      <c r="H938" s="93"/>
      <c r="I938" s="85">
        <f t="shared" si="34"/>
        <v>3.720159303405957</v>
      </c>
      <c r="J938" s="85">
        <f>AVERAGE(3500, 7000)</f>
        <v>5250</v>
      </c>
      <c r="K938" s="131" t="s">
        <v>6817</v>
      </c>
      <c r="L938" s="60">
        <v>70</v>
      </c>
      <c r="M938" s="49" t="s">
        <v>6390</v>
      </c>
    </row>
    <row r="939" spans="1:14" ht="14" x14ac:dyDescent="0.15">
      <c r="A939" s="166" t="s">
        <v>2633</v>
      </c>
      <c r="B939" s="82"/>
      <c r="C939" s="70" t="s">
        <v>3636</v>
      </c>
      <c r="D939" s="70" t="s">
        <v>6983</v>
      </c>
      <c r="E939" s="70" t="s">
        <v>6059</v>
      </c>
      <c r="F939" s="70" t="s">
        <v>2990</v>
      </c>
      <c r="G939" s="70" t="s">
        <v>6078</v>
      </c>
      <c r="H939" s="93"/>
      <c r="I939" s="85">
        <f t="shared" si="34"/>
        <v>3.7303800000000003</v>
      </c>
      <c r="J939" s="85">
        <v>5375.0189533974644</v>
      </c>
      <c r="K939" s="131" t="s">
        <v>6391</v>
      </c>
      <c r="L939" s="60">
        <v>65</v>
      </c>
      <c r="M939" s="49" t="s">
        <v>6392</v>
      </c>
    </row>
    <row r="940" spans="1:14" ht="14" x14ac:dyDescent="0.15">
      <c r="A940" s="166" t="s">
        <v>2633</v>
      </c>
      <c r="B940" s="82"/>
      <c r="C940" s="70" t="s">
        <v>3636</v>
      </c>
      <c r="D940" s="70" t="s">
        <v>6983</v>
      </c>
      <c r="E940" s="70" t="s">
        <v>6059</v>
      </c>
      <c r="F940" s="70" t="s">
        <v>2990</v>
      </c>
      <c r="G940" s="70" t="s">
        <v>5924</v>
      </c>
      <c r="H940" s="93"/>
      <c r="I940" s="85">
        <f t="shared" si="34"/>
        <v>3.7387800000000002</v>
      </c>
      <c r="J940" s="85">
        <v>5479.992952955884</v>
      </c>
      <c r="K940" s="131" t="s">
        <v>3177</v>
      </c>
      <c r="L940" s="60">
        <v>60</v>
      </c>
    </row>
    <row r="941" spans="1:14" ht="14" x14ac:dyDescent="0.15">
      <c r="A941" s="166" t="s">
        <v>2633</v>
      </c>
      <c r="B941" s="82"/>
      <c r="C941" s="70" t="s">
        <v>3636</v>
      </c>
      <c r="D941" s="70" t="s">
        <v>6983</v>
      </c>
      <c r="E941" s="70" t="s">
        <v>6059</v>
      </c>
      <c r="F941" s="70" t="s">
        <v>2990</v>
      </c>
      <c r="G941" s="70" t="s">
        <v>5925</v>
      </c>
      <c r="H941" s="93"/>
      <c r="I941" s="85">
        <f t="shared" si="34"/>
        <v>3.7636783662429054</v>
      </c>
      <c r="J941" s="85">
        <f>AVERAGE(5410.03406863468, 5000, 7000)</f>
        <v>5803.3446895448933</v>
      </c>
      <c r="K941" s="131" t="s">
        <v>3177</v>
      </c>
      <c r="L941" s="60" t="s">
        <v>6389</v>
      </c>
      <c r="N941" s="37" t="s">
        <v>1577</v>
      </c>
    </row>
    <row r="942" spans="1:14" ht="14" x14ac:dyDescent="0.15">
      <c r="A942" s="166" t="s">
        <v>2633</v>
      </c>
      <c r="B942" s="82"/>
      <c r="C942" s="70" t="s">
        <v>3636</v>
      </c>
      <c r="D942" s="70" t="s">
        <v>6983</v>
      </c>
      <c r="E942" s="70" t="s">
        <v>6059</v>
      </c>
      <c r="F942" s="70" t="s">
        <v>2990</v>
      </c>
      <c r="G942" s="70" t="s">
        <v>5509</v>
      </c>
      <c r="H942" s="93"/>
      <c r="I942" s="85">
        <f t="shared" si="34"/>
        <v>3.8129133566428557</v>
      </c>
      <c r="J942" s="85">
        <f>AVERAGE(4000, 9000)</f>
        <v>6500</v>
      </c>
      <c r="K942" s="141" t="s">
        <v>6817</v>
      </c>
      <c r="L942" s="60">
        <v>70</v>
      </c>
      <c r="M942" s="49" t="s">
        <v>6728</v>
      </c>
    </row>
    <row r="943" spans="1:14" ht="14" x14ac:dyDescent="0.15">
      <c r="A943" s="166" t="s">
        <v>2633</v>
      </c>
      <c r="B943" s="82"/>
      <c r="C943" s="70" t="s">
        <v>3636</v>
      </c>
      <c r="D943" s="70" t="s">
        <v>6983</v>
      </c>
      <c r="E943" s="70" t="s">
        <v>6059</v>
      </c>
      <c r="F943" s="70" t="s">
        <v>2990</v>
      </c>
      <c r="G943" s="70" t="s">
        <v>5340</v>
      </c>
      <c r="H943" s="93"/>
      <c r="I943" s="85">
        <f t="shared" si="34"/>
        <v>3.8372727025023003</v>
      </c>
      <c r="J943" s="85">
        <f>AVERAGE(5250, 8500)</f>
        <v>6875</v>
      </c>
      <c r="K943" s="131" t="s">
        <v>6391</v>
      </c>
      <c r="L943" s="60">
        <v>70</v>
      </c>
      <c r="M943" s="49" t="s">
        <v>6392</v>
      </c>
    </row>
    <row r="944" spans="1:14" ht="14" x14ac:dyDescent="0.15">
      <c r="A944" s="166" t="s">
        <v>2633</v>
      </c>
      <c r="B944" s="82"/>
      <c r="C944" s="70" t="s">
        <v>3636</v>
      </c>
      <c r="D944" s="70" t="s">
        <v>6983</v>
      </c>
      <c r="E944" s="70" t="s">
        <v>6059</v>
      </c>
      <c r="F944" s="70" t="s">
        <v>6104</v>
      </c>
      <c r="G944" s="70" t="s">
        <v>6105</v>
      </c>
      <c r="H944" s="93"/>
      <c r="I944" s="85">
        <f t="shared" si="34"/>
        <v>3.61857102812013</v>
      </c>
      <c r="J944" s="85">
        <f>AVERAGE(3560, 4750)</f>
        <v>4155</v>
      </c>
      <c r="K944" s="131" t="s">
        <v>3057</v>
      </c>
      <c r="L944" s="67">
        <v>74</v>
      </c>
    </row>
    <row r="945" spans="1:14" ht="14" x14ac:dyDescent="0.15">
      <c r="A945" s="166" t="s">
        <v>2633</v>
      </c>
      <c r="B945" s="82"/>
      <c r="C945" s="70" t="s">
        <v>3636</v>
      </c>
      <c r="D945" s="70" t="s">
        <v>6983</v>
      </c>
      <c r="E945" s="70" t="s">
        <v>6059</v>
      </c>
      <c r="F945" s="70" t="s">
        <v>3041</v>
      </c>
      <c r="G945" s="70" t="s">
        <v>2434</v>
      </c>
      <c r="H945" s="93"/>
      <c r="I945" s="85">
        <f t="shared" si="34"/>
        <v>3.6354800000000003</v>
      </c>
      <c r="J945" s="85">
        <v>4319.9627299648728</v>
      </c>
      <c r="K945" s="131" t="s">
        <v>6817</v>
      </c>
      <c r="L945" s="60">
        <v>60</v>
      </c>
      <c r="M945" s="49" t="s">
        <v>6728</v>
      </c>
    </row>
    <row r="946" spans="1:14" ht="56" x14ac:dyDescent="0.15">
      <c r="A946" s="166" t="s">
        <v>2633</v>
      </c>
      <c r="B946" s="93" t="s">
        <v>2550</v>
      </c>
      <c r="C946" s="70" t="s">
        <v>3636</v>
      </c>
      <c r="D946" s="70" t="s">
        <v>6983</v>
      </c>
      <c r="E946" s="70" t="s">
        <v>6059</v>
      </c>
      <c r="F946" s="70" t="s">
        <v>3041</v>
      </c>
      <c r="G946" s="70" t="s">
        <v>4728</v>
      </c>
      <c r="H946" s="93"/>
      <c r="I946" s="85">
        <f t="shared" si="34"/>
        <v>3.9934362304976116</v>
      </c>
      <c r="J946" s="85">
        <f>AVERAGE(9000, 10700)</f>
        <v>9850</v>
      </c>
      <c r="K946" s="131" t="s">
        <v>2889</v>
      </c>
      <c r="L946" s="60">
        <v>74</v>
      </c>
    </row>
    <row r="947" spans="1:14" ht="14" x14ac:dyDescent="0.15">
      <c r="A947" s="166" t="s">
        <v>2633</v>
      </c>
      <c r="B947" s="82"/>
      <c r="C947" s="70" t="s">
        <v>3636</v>
      </c>
      <c r="D947" s="70" t="s">
        <v>6983</v>
      </c>
      <c r="E947" s="70" t="s">
        <v>6059</v>
      </c>
      <c r="F947" s="70" t="s">
        <v>3041</v>
      </c>
      <c r="G947" s="70" t="s">
        <v>3043</v>
      </c>
      <c r="H947" s="93"/>
      <c r="I947" s="85">
        <f t="shared" si="34"/>
        <v>3.9964000451763027</v>
      </c>
      <c r="J947" s="85">
        <f>AVERAGE(9834.90116789981, 10000)</f>
        <v>9917.4505839499052</v>
      </c>
      <c r="K947" s="131" t="s">
        <v>6817</v>
      </c>
      <c r="L947" s="60" t="s">
        <v>6389</v>
      </c>
      <c r="M947" s="49" t="s">
        <v>6728</v>
      </c>
      <c r="N947" s="37" t="s">
        <v>1579</v>
      </c>
    </row>
    <row r="948" spans="1:14" ht="14" x14ac:dyDescent="0.15">
      <c r="A948" s="166" t="s">
        <v>2633</v>
      </c>
      <c r="B948" s="82"/>
      <c r="C948" s="70" t="s">
        <v>3636</v>
      </c>
      <c r="D948" s="70" t="s">
        <v>6983</v>
      </c>
      <c r="E948" s="70" t="s">
        <v>6059</v>
      </c>
      <c r="F948" s="70" t="s">
        <v>3041</v>
      </c>
      <c r="G948" s="70" t="s">
        <v>3042</v>
      </c>
      <c r="H948" s="93"/>
      <c r="I948" s="85">
        <f t="shared" si="34"/>
        <v>4.0253058652647704</v>
      </c>
      <c r="J948" s="85">
        <f>AVERAGE(10200, 11000)</f>
        <v>10600</v>
      </c>
      <c r="K948" s="131" t="s">
        <v>3177</v>
      </c>
      <c r="L948" s="60" t="s">
        <v>6389</v>
      </c>
      <c r="N948" s="37" t="s">
        <v>1580</v>
      </c>
    </row>
    <row r="949" spans="1:14" ht="14" x14ac:dyDescent="0.15">
      <c r="A949" s="166" t="s">
        <v>2633</v>
      </c>
      <c r="B949" s="82"/>
      <c r="C949" s="70" t="s">
        <v>3636</v>
      </c>
      <c r="D949" s="70" t="s">
        <v>6983</v>
      </c>
      <c r="E949" s="70" t="s">
        <v>6059</v>
      </c>
      <c r="F949" s="70" t="s">
        <v>3044</v>
      </c>
      <c r="G949" s="70" t="s">
        <v>3045</v>
      </c>
      <c r="H949" s="93"/>
      <c r="I949" s="85">
        <f t="shared" si="34"/>
        <v>3.9079485216122722</v>
      </c>
      <c r="J949" s="85">
        <f>AVERAGE(7270, 7000, 10000)</f>
        <v>8090</v>
      </c>
      <c r="K949" s="131" t="s">
        <v>3177</v>
      </c>
      <c r="L949" s="60" t="s">
        <v>6389</v>
      </c>
      <c r="N949" s="37" t="s">
        <v>1578</v>
      </c>
    </row>
    <row r="950" spans="1:14" ht="14" x14ac:dyDescent="0.15">
      <c r="A950" s="166" t="s">
        <v>2633</v>
      </c>
      <c r="B950" s="82"/>
      <c r="C950" s="70" t="s">
        <v>3636</v>
      </c>
      <c r="D950" s="70" t="s">
        <v>6983</v>
      </c>
      <c r="E950" s="70" t="s">
        <v>6059</v>
      </c>
      <c r="F950" s="70" t="s">
        <v>3046</v>
      </c>
      <c r="G950" s="70" t="s">
        <v>7751</v>
      </c>
      <c r="H950" s="93"/>
      <c r="I950" s="85">
        <f t="shared" si="34"/>
        <v>3.8859300000000006</v>
      </c>
      <c r="J950" s="85">
        <v>7690.0648109676367</v>
      </c>
      <c r="K950" s="131" t="s">
        <v>6817</v>
      </c>
      <c r="L950" s="60">
        <v>60</v>
      </c>
      <c r="M950" s="49" t="s">
        <v>6392</v>
      </c>
    </row>
    <row r="951" spans="1:14" ht="14" x14ac:dyDescent="0.15">
      <c r="A951" s="166" t="s">
        <v>2633</v>
      </c>
      <c r="B951" s="82"/>
      <c r="C951" s="70" t="s">
        <v>3636</v>
      </c>
      <c r="D951" s="70" t="s">
        <v>6983</v>
      </c>
      <c r="E951" s="70" t="s">
        <v>6059</v>
      </c>
      <c r="F951" s="70" t="s">
        <v>7752</v>
      </c>
      <c r="G951" s="70" t="s">
        <v>7753</v>
      </c>
      <c r="H951" s="93"/>
      <c r="I951" s="85">
        <f t="shared" si="34"/>
        <v>3.8451000000000004</v>
      </c>
      <c r="J951" s="85">
        <v>7000.0315913089735</v>
      </c>
      <c r="K951" s="131" t="s">
        <v>6391</v>
      </c>
      <c r="L951" s="60">
        <v>65</v>
      </c>
      <c r="M951" s="49" t="s">
        <v>6728</v>
      </c>
    </row>
    <row r="952" spans="1:14" ht="14" x14ac:dyDescent="0.15">
      <c r="A952" s="166" t="s">
        <v>2633</v>
      </c>
      <c r="B952" s="82"/>
      <c r="C952" s="70" t="s">
        <v>3636</v>
      </c>
      <c r="D952" s="70" t="s">
        <v>6983</v>
      </c>
      <c r="E952" s="70" t="s">
        <v>6059</v>
      </c>
      <c r="F952" s="70" t="s">
        <v>6111</v>
      </c>
      <c r="G952" s="70" t="s">
        <v>6112</v>
      </c>
      <c r="H952" s="93"/>
      <c r="I952" s="85">
        <f t="shared" si="34"/>
        <v>4.1760900000000003</v>
      </c>
      <c r="J952" s="85">
        <v>14999.956513820405</v>
      </c>
      <c r="K952" s="131" t="s">
        <v>6817</v>
      </c>
      <c r="L952" s="60">
        <v>65</v>
      </c>
      <c r="M952" s="49" t="s">
        <v>6390</v>
      </c>
    </row>
    <row r="953" spans="1:14" ht="14" x14ac:dyDescent="0.15">
      <c r="A953" s="166" t="s">
        <v>2633</v>
      </c>
      <c r="B953" s="82"/>
      <c r="C953" s="70" t="s">
        <v>3636</v>
      </c>
      <c r="D953" s="70" t="s">
        <v>6983</v>
      </c>
      <c r="E953" s="70" t="s">
        <v>6059</v>
      </c>
      <c r="F953" s="70" t="s">
        <v>6111</v>
      </c>
      <c r="G953" s="70" t="s">
        <v>6106</v>
      </c>
      <c r="H953" s="93"/>
      <c r="I953" s="85">
        <f t="shared" si="34"/>
        <v>4.26126</v>
      </c>
      <c r="J953" s="85">
        <v>18249.879447489526</v>
      </c>
      <c r="K953" s="131" t="s">
        <v>6817</v>
      </c>
      <c r="L953" s="60">
        <v>60</v>
      </c>
      <c r="M953" s="49" t="s">
        <v>6728</v>
      </c>
    </row>
    <row r="954" spans="1:14" ht="14" x14ac:dyDescent="0.15">
      <c r="A954" s="166" t="s">
        <v>2633</v>
      </c>
      <c r="B954" s="82"/>
      <c r="C954" s="70" t="s">
        <v>3636</v>
      </c>
      <c r="D954" s="70" t="s">
        <v>6983</v>
      </c>
      <c r="E954" s="70" t="s">
        <v>6059</v>
      </c>
      <c r="F954" s="70" t="s">
        <v>6107</v>
      </c>
      <c r="G954" s="70" t="s">
        <v>6108</v>
      </c>
      <c r="H954" s="93"/>
      <c r="I954" s="85">
        <f t="shared" si="34"/>
        <v>3.0969100000000003</v>
      </c>
      <c r="J954" s="85">
        <v>1249.9999625598048</v>
      </c>
      <c r="K954" s="131" t="s">
        <v>3177</v>
      </c>
      <c r="L954" s="60">
        <v>60</v>
      </c>
    </row>
    <row r="955" spans="1:14" ht="28" x14ac:dyDescent="0.15">
      <c r="A955" s="166" t="s">
        <v>2633</v>
      </c>
      <c r="B955" s="82"/>
      <c r="C955" s="70" t="s">
        <v>3636</v>
      </c>
      <c r="D955" s="70" t="s">
        <v>6983</v>
      </c>
      <c r="E955" s="70" t="s">
        <v>6059</v>
      </c>
      <c r="F955" s="70" t="s">
        <v>6109</v>
      </c>
      <c r="G955" s="70" t="s">
        <v>6110</v>
      </c>
      <c r="H955" s="93"/>
      <c r="I955" s="85">
        <f t="shared" si="34"/>
        <v>4.3273599999999997</v>
      </c>
      <c r="J955" s="85">
        <v>21250.052140469656</v>
      </c>
      <c r="K955" s="131" t="s">
        <v>6654</v>
      </c>
      <c r="L955" s="60">
        <v>65</v>
      </c>
      <c r="M955" s="49" t="s">
        <v>6392</v>
      </c>
    </row>
    <row r="956" spans="1:14" ht="14" x14ac:dyDescent="0.15">
      <c r="A956" s="166" t="s">
        <v>2633</v>
      </c>
      <c r="B956" s="82"/>
      <c r="C956" s="70" t="s">
        <v>3636</v>
      </c>
      <c r="D956" s="70" t="s">
        <v>6983</v>
      </c>
      <c r="E956" s="70" t="s">
        <v>6059</v>
      </c>
      <c r="F956" s="70" t="s">
        <v>3003</v>
      </c>
      <c r="G956" s="70" t="s">
        <v>3456</v>
      </c>
      <c r="H956" s="93"/>
      <c r="I956" s="85">
        <f t="shared" si="34"/>
        <v>3.6020600000000003</v>
      </c>
      <c r="J956" s="85">
        <v>4000.0000798724222</v>
      </c>
      <c r="K956" s="131" t="s">
        <v>6817</v>
      </c>
      <c r="L956" s="60">
        <v>65</v>
      </c>
      <c r="M956" s="49" t="s">
        <v>6392</v>
      </c>
    </row>
    <row r="957" spans="1:14" ht="14" x14ac:dyDescent="0.15">
      <c r="A957" s="166" t="s">
        <v>2633</v>
      </c>
      <c r="B957" s="93" t="s">
        <v>2275</v>
      </c>
      <c r="C957" s="70" t="s">
        <v>3636</v>
      </c>
      <c r="D957" s="70" t="s">
        <v>6983</v>
      </c>
      <c r="E957" s="70" t="s">
        <v>6059</v>
      </c>
      <c r="F957" s="70" t="s">
        <v>3003</v>
      </c>
      <c r="G957" s="70" t="s">
        <v>4699</v>
      </c>
      <c r="H957" s="93"/>
      <c r="I957" s="85">
        <f t="shared" si="34"/>
        <v>3.9030899869919438</v>
      </c>
      <c r="J957" s="85">
        <v>8000</v>
      </c>
      <c r="K957" s="131" t="s">
        <v>6817</v>
      </c>
      <c r="L957" s="60">
        <v>70</v>
      </c>
      <c r="M957" s="49" t="s">
        <v>6809</v>
      </c>
    </row>
    <row r="958" spans="1:14" ht="14" x14ac:dyDescent="0.15">
      <c r="A958" s="166" t="s">
        <v>2633</v>
      </c>
      <c r="B958" s="82"/>
      <c r="C958" s="70" t="s">
        <v>3636</v>
      </c>
      <c r="D958" s="70" t="s">
        <v>6983</v>
      </c>
      <c r="E958" s="70" t="s">
        <v>6059</v>
      </c>
      <c r="F958" s="70" t="s">
        <v>3003</v>
      </c>
      <c r="G958" s="70" t="s">
        <v>3004</v>
      </c>
      <c r="H958" s="93"/>
      <c r="I958" s="85">
        <f t="shared" si="34"/>
        <v>3.9542400000000004</v>
      </c>
      <c r="J958" s="85">
        <v>8999.9479963720187</v>
      </c>
      <c r="K958" s="131" t="s">
        <v>6817</v>
      </c>
      <c r="L958" s="67">
        <v>-999</v>
      </c>
      <c r="M958" s="49" t="s">
        <v>6390</v>
      </c>
    </row>
    <row r="959" spans="1:14" ht="14" x14ac:dyDescent="0.15">
      <c r="A959" s="166" t="s">
        <v>2633</v>
      </c>
      <c r="B959" s="93" t="s">
        <v>2502</v>
      </c>
      <c r="C959" s="70" t="s">
        <v>3636</v>
      </c>
      <c r="D959" s="70" t="s">
        <v>6983</v>
      </c>
      <c r="E959" s="70" t="s">
        <v>6059</v>
      </c>
      <c r="F959" s="70" t="s">
        <v>3003</v>
      </c>
      <c r="G959" s="70" t="s">
        <v>5341</v>
      </c>
      <c r="H959" s="93"/>
      <c r="I959" s="85">
        <f t="shared" si="34"/>
        <v>3.989004615698537</v>
      </c>
      <c r="J959" s="85">
        <f>AVERAGE(8000, 11500)</f>
        <v>9750</v>
      </c>
      <c r="K959" s="131" t="s">
        <v>3177</v>
      </c>
      <c r="L959" s="60">
        <v>70</v>
      </c>
    </row>
    <row r="960" spans="1:14" ht="28" x14ac:dyDescent="0.15">
      <c r="A960" s="166" t="s">
        <v>2633</v>
      </c>
      <c r="B960" s="93" t="s">
        <v>7243</v>
      </c>
      <c r="C960" s="70" t="s">
        <v>3636</v>
      </c>
      <c r="D960" s="70" t="s">
        <v>6983</v>
      </c>
      <c r="E960" s="70" t="s">
        <v>6059</v>
      </c>
      <c r="F960" s="70" t="s">
        <v>3003</v>
      </c>
      <c r="G960" s="70" t="s">
        <v>7998</v>
      </c>
      <c r="H960" s="93"/>
      <c r="I960" s="85">
        <f t="shared" ref="I960:I988" si="35">LOG(J960)</f>
        <v>4.0372670945687101</v>
      </c>
      <c r="J960" s="85">
        <f>454*24</f>
        <v>10896</v>
      </c>
      <c r="K960" s="131" t="s">
        <v>6817</v>
      </c>
      <c r="L960" s="60">
        <v>107</v>
      </c>
      <c r="M960" s="49" t="s">
        <v>6390</v>
      </c>
    </row>
    <row r="961" spans="1:15" ht="14" x14ac:dyDescent="0.15">
      <c r="A961" s="166" t="s">
        <v>2633</v>
      </c>
      <c r="B961" s="82"/>
      <c r="C961" s="70" t="s">
        <v>3636</v>
      </c>
      <c r="D961" s="70" t="s">
        <v>6983</v>
      </c>
      <c r="E961" s="70" t="s">
        <v>6059</v>
      </c>
      <c r="F961" s="70" t="s">
        <v>3051</v>
      </c>
      <c r="G961" s="70" t="s">
        <v>3005</v>
      </c>
      <c r="H961" s="93"/>
      <c r="I961" s="85">
        <f t="shared" si="35"/>
        <v>4.231720000000001</v>
      </c>
      <c r="J961" s="85">
        <v>17049.827915441812</v>
      </c>
      <c r="K961" s="131" t="s">
        <v>6391</v>
      </c>
      <c r="L961" s="60">
        <v>60</v>
      </c>
      <c r="M961" s="49" t="s">
        <v>6392</v>
      </c>
    </row>
    <row r="962" spans="1:15" ht="28" x14ac:dyDescent="0.15">
      <c r="A962" s="166" t="s">
        <v>2633</v>
      </c>
      <c r="B962" s="82" t="s">
        <v>2651</v>
      </c>
      <c r="C962" s="70" t="s">
        <v>3636</v>
      </c>
      <c r="D962" s="70" t="s">
        <v>6983</v>
      </c>
      <c r="E962" s="70" t="s">
        <v>6072</v>
      </c>
      <c r="F962" s="70" t="s">
        <v>6073</v>
      </c>
      <c r="G962" s="70" t="s">
        <v>5189</v>
      </c>
      <c r="H962" s="93"/>
      <c r="I962" s="85">
        <f t="shared" si="35"/>
        <v>2.3617278360175931</v>
      </c>
      <c r="J962" s="85">
        <v>230</v>
      </c>
      <c r="K962" s="131" t="s">
        <v>6816</v>
      </c>
      <c r="L962" s="60">
        <v>70</v>
      </c>
      <c r="M962" s="49" t="s">
        <v>6392</v>
      </c>
    </row>
    <row r="963" spans="1:15" ht="28" x14ac:dyDescent="0.15">
      <c r="A963" s="166" t="s">
        <v>2633</v>
      </c>
      <c r="B963" s="82"/>
      <c r="C963" s="70" t="s">
        <v>3636</v>
      </c>
      <c r="D963" s="70" t="s">
        <v>6983</v>
      </c>
      <c r="E963" s="70" t="s">
        <v>6072</v>
      </c>
      <c r="F963" s="70" t="s">
        <v>6073</v>
      </c>
      <c r="G963" s="70" t="s">
        <v>6074</v>
      </c>
      <c r="H963" s="93"/>
      <c r="I963" s="85">
        <f t="shared" si="35"/>
        <v>2.4771212547196626</v>
      </c>
      <c r="J963" s="85">
        <v>300</v>
      </c>
      <c r="K963" s="131" t="s">
        <v>7875</v>
      </c>
      <c r="L963" s="60">
        <v>60130</v>
      </c>
      <c r="M963" s="49" t="s">
        <v>6392</v>
      </c>
      <c r="N963" s="37" t="s">
        <v>1808</v>
      </c>
    </row>
    <row r="964" spans="1:15" ht="14" x14ac:dyDescent="0.15">
      <c r="A964" s="166" t="s">
        <v>2633</v>
      </c>
      <c r="B964" s="82"/>
      <c r="C964" s="70" t="s">
        <v>3636</v>
      </c>
      <c r="D964" s="70" t="s">
        <v>6983</v>
      </c>
      <c r="E964" s="70" t="s">
        <v>6072</v>
      </c>
      <c r="F964" s="70" t="s">
        <v>6075</v>
      </c>
      <c r="G964" s="70" t="s">
        <v>7846</v>
      </c>
      <c r="H964" s="93"/>
      <c r="I964" s="85">
        <f t="shared" si="35"/>
        <v>2.2041199826559246</v>
      </c>
      <c r="J964" s="85">
        <v>160</v>
      </c>
      <c r="K964" s="131" t="s">
        <v>6485</v>
      </c>
      <c r="L964" s="60">
        <v>70</v>
      </c>
    </row>
    <row r="965" spans="1:15" ht="14" x14ac:dyDescent="0.15">
      <c r="A965" s="166" t="s">
        <v>2633</v>
      </c>
      <c r="B965" s="82"/>
      <c r="C965" s="70" t="s">
        <v>3636</v>
      </c>
      <c r="D965" s="70" t="s">
        <v>6983</v>
      </c>
      <c r="E965" s="70" t="s">
        <v>6072</v>
      </c>
      <c r="F965" s="70" t="s">
        <v>6075</v>
      </c>
      <c r="G965" s="70" t="s">
        <v>6076</v>
      </c>
      <c r="H965" s="93"/>
      <c r="I965" s="85">
        <f t="shared" si="35"/>
        <v>2.3222200000000002</v>
      </c>
      <c r="J965" s="85">
        <v>210.00034102666152</v>
      </c>
      <c r="K965" s="131" t="s">
        <v>6630</v>
      </c>
      <c r="L965" s="67">
        <v>70</v>
      </c>
      <c r="M965" s="49" t="s">
        <v>6392</v>
      </c>
    </row>
    <row r="966" spans="1:15" ht="14" x14ac:dyDescent="0.15">
      <c r="A966" s="166" t="s">
        <v>2633</v>
      </c>
      <c r="B966" s="82"/>
      <c r="C966" s="70" t="s">
        <v>3636</v>
      </c>
      <c r="D966" s="70" t="s">
        <v>6983</v>
      </c>
      <c r="E966" s="70" t="s">
        <v>6072</v>
      </c>
      <c r="F966" s="70" t="s">
        <v>6075</v>
      </c>
      <c r="G966" s="70" t="s">
        <v>6077</v>
      </c>
      <c r="H966" s="93"/>
      <c r="I966" s="85">
        <f t="shared" si="35"/>
        <v>2.3572991284423788</v>
      </c>
      <c r="J966" s="85">
        <f>AVERAGE(152.999495930202, 230, 300)</f>
        <v>227.66649864340067</v>
      </c>
      <c r="K966" s="131" t="s">
        <v>6630</v>
      </c>
      <c r="L966" s="60">
        <v>60130</v>
      </c>
      <c r="M966" s="49" t="s">
        <v>6727</v>
      </c>
      <c r="N966" s="37" t="s">
        <v>1810</v>
      </c>
    </row>
    <row r="967" spans="1:15" ht="42" x14ac:dyDescent="0.15">
      <c r="A967" s="166" t="s">
        <v>2633</v>
      </c>
      <c r="B967" s="93" t="s">
        <v>2500</v>
      </c>
      <c r="C967" s="70" t="s">
        <v>3636</v>
      </c>
      <c r="D967" s="70" t="s">
        <v>6983</v>
      </c>
      <c r="E967" s="70" t="s">
        <v>6072</v>
      </c>
      <c r="F967" s="70" t="s">
        <v>6075</v>
      </c>
      <c r="G967" s="70" t="s">
        <v>5585</v>
      </c>
      <c r="H967" s="93"/>
      <c r="I967" s="85">
        <f t="shared" si="35"/>
        <v>2.3979400086720375</v>
      </c>
      <c r="J967" s="85">
        <v>250</v>
      </c>
      <c r="K967" s="131" t="s">
        <v>7875</v>
      </c>
      <c r="L967" s="60">
        <v>70</v>
      </c>
      <c r="M967" s="49" t="s">
        <v>6392</v>
      </c>
    </row>
    <row r="968" spans="1:15" ht="14" x14ac:dyDescent="0.15">
      <c r="A968" s="166" t="s">
        <v>2633</v>
      </c>
      <c r="B968" s="82"/>
      <c r="C968" s="70" t="s">
        <v>3636</v>
      </c>
      <c r="D968" s="70" t="s">
        <v>6983</v>
      </c>
      <c r="E968" s="70" t="s">
        <v>6072</v>
      </c>
      <c r="F968" s="70" t="s">
        <v>6075</v>
      </c>
      <c r="G968" s="70" t="s">
        <v>3905</v>
      </c>
      <c r="H968" s="93"/>
      <c r="I968" s="85">
        <f t="shared" si="35"/>
        <v>2.4149733479708178</v>
      </c>
      <c r="J968" s="85">
        <v>260</v>
      </c>
      <c r="K968" s="131" t="s">
        <v>6391</v>
      </c>
      <c r="L968" s="60">
        <v>60130</v>
      </c>
      <c r="M968" s="49" t="s">
        <v>6392</v>
      </c>
      <c r="N968" s="49" t="s">
        <v>1809</v>
      </c>
    </row>
    <row r="969" spans="1:15" ht="17" x14ac:dyDescent="0.2">
      <c r="A969" s="166" t="s">
        <v>2633</v>
      </c>
      <c r="B969" s="82"/>
      <c r="C969" s="70" t="s">
        <v>3636</v>
      </c>
      <c r="D969" s="70" t="s">
        <v>6983</v>
      </c>
      <c r="E969" s="70" t="s">
        <v>6072</v>
      </c>
      <c r="F969" s="70" t="s">
        <v>5252</v>
      </c>
      <c r="G969" s="70" t="s">
        <v>5253</v>
      </c>
      <c r="H969" s="93"/>
      <c r="I969" s="85">
        <f t="shared" si="35"/>
        <v>1.7853300000000003</v>
      </c>
      <c r="J969" s="85">
        <v>61.000023174011105</v>
      </c>
      <c r="K969" s="131" t="s">
        <v>6630</v>
      </c>
      <c r="L969" s="60">
        <v>60130</v>
      </c>
      <c r="M969" s="49" t="s">
        <v>6727</v>
      </c>
      <c r="N969" s="48" t="s">
        <v>1811</v>
      </c>
    </row>
    <row r="970" spans="1:15" ht="14" x14ac:dyDescent="0.15">
      <c r="A970" s="166" t="s">
        <v>2633</v>
      </c>
      <c r="B970" s="82"/>
      <c r="C970" s="70" t="s">
        <v>3636</v>
      </c>
      <c r="D970" s="70" t="s">
        <v>6983</v>
      </c>
      <c r="E970" s="70" t="s">
        <v>6072</v>
      </c>
      <c r="F970" s="70" t="s">
        <v>5252</v>
      </c>
      <c r="G970" s="70" t="s">
        <v>5254</v>
      </c>
      <c r="H970" s="93"/>
      <c r="I970" s="85">
        <f t="shared" si="35"/>
        <v>2.00217</v>
      </c>
      <c r="J970" s="85">
        <v>100.50091135227832</v>
      </c>
      <c r="K970" s="131" t="s">
        <v>6391</v>
      </c>
      <c r="L970" s="60">
        <v>56</v>
      </c>
      <c r="M970" s="49" t="s">
        <v>6392</v>
      </c>
    </row>
    <row r="971" spans="1:15" x14ac:dyDescent="0.15">
      <c r="A971" s="166" t="s">
        <v>2633</v>
      </c>
      <c r="B971" s="82"/>
      <c r="C971" s="70" t="s">
        <v>3636</v>
      </c>
      <c r="D971" s="70" t="s">
        <v>6983</v>
      </c>
      <c r="E971" s="70" t="s">
        <v>6072</v>
      </c>
      <c r="F971" s="70" t="s">
        <v>6113</v>
      </c>
      <c r="G971" s="70" t="s">
        <v>4926</v>
      </c>
      <c r="H971" s="93"/>
      <c r="I971" s="85">
        <f t="shared" si="35"/>
        <v>2.8808135922807914</v>
      </c>
      <c r="J971" s="85">
        <v>760</v>
      </c>
      <c r="K971" s="131"/>
      <c r="L971" s="60">
        <v>70</v>
      </c>
    </row>
    <row r="972" spans="1:15" ht="28" x14ac:dyDescent="0.15">
      <c r="A972" s="166" t="s">
        <v>2633</v>
      </c>
      <c r="B972" s="82"/>
      <c r="C972" s="70" t="s">
        <v>3636</v>
      </c>
      <c r="D972" s="70" t="s">
        <v>6983</v>
      </c>
      <c r="E972" s="70" t="s">
        <v>6072</v>
      </c>
      <c r="F972" s="70" t="s">
        <v>6113</v>
      </c>
      <c r="G972" s="70" t="s">
        <v>4032</v>
      </c>
      <c r="H972" s="93"/>
      <c r="I972" s="85">
        <f t="shared" si="35"/>
        <v>3.1760912590556813</v>
      </c>
      <c r="J972" s="85">
        <v>1500</v>
      </c>
      <c r="K972" s="131" t="s">
        <v>6336</v>
      </c>
      <c r="L972" s="67">
        <v>75</v>
      </c>
      <c r="M972" s="49" t="s">
        <v>6390</v>
      </c>
    </row>
    <row r="973" spans="1:15" ht="14" x14ac:dyDescent="0.15">
      <c r="A973" s="166" t="s">
        <v>2633</v>
      </c>
      <c r="B973" s="82"/>
      <c r="C973" s="70" t="s">
        <v>3636</v>
      </c>
      <c r="D973" s="70" t="s">
        <v>6983</v>
      </c>
      <c r="E973" s="70" t="s">
        <v>6114</v>
      </c>
      <c r="F973" s="70" t="s">
        <v>3049</v>
      </c>
      <c r="G973" s="70" t="s">
        <v>3050</v>
      </c>
      <c r="H973" s="93"/>
      <c r="I973" s="85">
        <f t="shared" si="35"/>
        <v>5.1193400845671926</v>
      </c>
      <c r="J973" s="85">
        <f>AVERAGE(124251.030692901, 139000)</f>
        <v>131625.5153464505</v>
      </c>
      <c r="K973" s="131" t="s">
        <v>6817</v>
      </c>
      <c r="L973" s="60" t="s">
        <v>6389</v>
      </c>
      <c r="M973" s="49" t="s">
        <v>6390</v>
      </c>
    </row>
    <row r="974" spans="1:15" ht="14" x14ac:dyDescent="0.15">
      <c r="A974" s="166" t="s">
        <v>2633</v>
      </c>
      <c r="B974" s="82"/>
      <c r="C974" s="70" t="s">
        <v>3636</v>
      </c>
      <c r="D974" s="70" t="s">
        <v>6983</v>
      </c>
      <c r="E974" s="70" t="s">
        <v>6114</v>
      </c>
      <c r="F974" s="70" t="s">
        <v>6116</v>
      </c>
      <c r="G974" s="70" t="s">
        <v>6917</v>
      </c>
      <c r="H974" s="93"/>
      <c r="I974" s="85">
        <f t="shared" si="35"/>
        <v>4.5314800000000011</v>
      </c>
      <c r="J974" s="85">
        <v>34000.084782586011</v>
      </c>
      <c r="K974" s="131" t="s">
        <v>6817</v>
      </c>
      <c r="L974" s="60">
        <v>60</v>
      </c>
      <c r="M974" s="49" t="s">
        <v>6390</v>
      </c>
    </row>
    <row r="975" spans="1:15" ht="14" x14ac:dyDescent="0.15">
      <c r="A975" s="166" t="s">
        <v>2633</v>
      </c>
      <c r="B975" s="82"/>
      <c r="C975" s="70" t="s">
        <v>3636</v>
      </c>
      <c r="D975" s="70" t="s">
        <v>6983</v>
      </c>
      <c r="E975" s="70" t="s">
        <v>6114</v>
      </c>
      <c r="F975" s="70" t="s">
        <v>6116</v>
      </c>
      <c r="G975" s="70" t="s">
        <v>6083</v>
      </c>
      <c r="H975" s="93"/>
      <c r="I975" s="85">
        <f t="shared" si="35"/>
        <v>4.6283889300503116</v>
      </c>
      <c r="J975" s="85">
        <f>AVERAGE(40000, 45000)</f>
        <v>42500</v>
      </c>
      <c r="K975" s="131" t="s">
        <v>6817</v>
      </c>
      <c r="L975" s="60" t="s">
        <v>6389</v>
      </c>
      <c r="M975" s="49" t="s">
        <v>6390</v>
      </c>
      <c r="N975" s="37" t="s">
        <v>1581</v>
      </c>
    </row>
    <row r="976" spans="1:15" ht="14" x14ac:dyDescent="0.15">
      <c r="A976" s="166" t="s">
        <v>2633</v>
      </c>
      <c r="B976" s="82"/>
      <c r="C976" s="70" t="s">
        <v>3636</v>
      </c>
      <c r="D976" s="70" t="s">
        <v>6983</v>
      </c>
      <c r="E976" s="70" t="s">
        <v>3052</v>
      </c>
      <c r="F976" s="70" t="s">
        <v>3429</v>
      </c>
      <c r="G976" s="70" t="s">
        <v>4710</v>
      </c>
      <c r="H976" s="93"/>
      <c r="I976" s="85">
        <f t="shared" si="35"/>
        <v>2.3222200000000002</v>
      </c>
      <c r="J976" s="85">
        <v>210.00034102666152</v>
      </c>
      <c r="K976" s="131" t="s">
        <v>6810</v>
      </c>
      <c r="L976" s="60">
        <v>60130</v>
      </c>
      <c r="M976" s="49" t="s">
        <v>6392</v>
      </c>
      <c r="N976" s="37" t="s">
        <v>1807</v>
      </c>
      <c r="O976" s="49"/>
    </row>
    <row r="977" spans="1:15" ht="14" x14ac:dyDescent="0.15">
      <c r="A977" s="166" t="s">
        <v>2633</v>
      </c>
      <c r="B977" s="82"/>
      <c r="C977" s="70" t="s">
        <v>3636</v>
      </c>
      <c r="D977" s="70" t="s">
        <v>6983</v>
      </c>
      <c r="E977" s="70" t="s">
        <v>3052</v>
      </c>
      <c r="F977" s="70" t="s">
        <v>3429</v>
      </c>
      <c r="G977" s="70" t="s">
        <v>7096</v>
      </c>
      <c r="H977" s="93"/>
      <c r="I977" s="85">
        <f t="shared" si="35"/>
        <v>2.3710678622717363</v>
      </c>
      <c r="J977" s="85">
        <f>AVERAGE(200, 270)</f>
        <v>235</v>
      </c>
      <c r="K977" s="131" t="s">
        <v>6817</v>
      </c>
      <c r="L977" s="60">
        <v>70</v>
      </c>
      <c r="M977" s="49" t="s">
        <v>6392</v>
      </c>
    </row>
    <row r="978" spans="1:15" ht="14" x14ac:dyDescent="0.15">
      <c r="A978" s="166" t="s">
        <v>2633</v>
      </c>
      <c r="B978" s="82"/>
      <c r="C978" s="70" t="s">
        <v>3636</v>
      </c>
      <c r="D978" s="70" t="s">
        <v>6983</v>
      </c>
      <c r="E978" s="70" t="s">
        <v>3052</v>
      </c>
      <c r="F978" s="70" t="s">
        <v>3430</v>
      </c>
      <c r="G978" s="70" t="s">
        <v>3431</v>
      </c>
      <c r="H978" s="93"/>
      <c r="I978" s="85">
        <f t="shared" si="35"/>
        <v>3.0413900000000003</v>
      </c>
      <c r="J978" s="85">
        <v>1099.9931989351937</v>
      </c>
      <c r="K978" s="131" t="s">
        <v>3177</v>
      </c>
      <c r="L978" s="60">
        <v>60130</v>
      </c>
      <c r="N978" s="37" t="s">
        <v>1806</v>
      </c>
    </row>
    <row r="979" spans="1:15" ht="14" x14ac:dyDescent="0.15">
      <c r="A979" s="166" t="s">
        <v>2633</v>
      </c>
      <c r="B979" s="82"/>
      <c r="C979" s="70" t="s">
        <v>3636</v>
      </c>
      <c r="D979" s="70" t="s">
        <v>3902</v>
      </c>
      <c r="E979" s="70" t="s">
        <v>3432</v>
      </c>
      <c r="F979" s="70" t="s">
        <v>3433</v>
      </c>
      <c r="G979" s="70" t="s">
        <v>3871</v>
      </c>
      <c r="H979" s="93"/>
      <c r="I979" s="85">
        <f t="shared" si="35"/>
        <v>6.5955000000000013</v>
      </c>
      <c r="J979" s="85">
        <v>3940034.2764474698</v>
      </c>
      <c r="K979" s="131" t="s">
        <v>3177</v>
      </c>
      <c r="L979" s="63" t="s">
        <v>2686</v>
      </c>
      <c r="M979" s="49" t="s">
        <v>6390</v>
      </c>
    </row>
    <row r="980" spans="1:15" ht="14" x14ac:dyDescent="0.15">
      <c r="A980" s="166" t="s">
        <v>2633</v>
      </c>
      <c r="B980" s="93" t="s">
        <v>5854</v>
      </c>
      <c r="C980" s="70" t="s">
        <v>3636</v>
      </c>
      <c r="D980" s="70" t="s">
        <v>3437</v>
      </c>
      <c r="E980" s="70" t="s">
        <v>3212</v>
      </c>
      <c r="F980" s="70" t="s">
        <v>3213</v>
      </c>
      <c r="G980" s="70" t="s">
        <v>4291</v>
      </c>
      <c r="H980" s="93"/>
      <c r="I980" s="85">
        <f t="shared" si="35"/>
        <v>2.3979400086720375</v>
      </c>
      <c r="J980" s="85">
        <v>250</v>
      </c>
      <c r="K980" s="131" t="s">
        <v>3177</v>
      </c>
      <c r="L980" s="60">
        <v>70</v>
      </c>
    </row>
    <row r="981" spans="1:15" ht="14" x14ac:dyDescent="0.15">
      <c r="A981" s="166" t="s">
        <v>2633</v>
      </c>
      <c r="B981" s="82"/>
      <c r="C981" s="70" t="s">
        <v>3636</v>
      </c>
      <c r="D981" s="70" t="s">
        <v>3437</v>
      </c>
      <c r="E981" s="70" t="s">
        <v>3212</v>
      </c>
      <c r="F981" s="70" t="s">
        <v>3213</v>
      </c>
      <c r="G981" s="70" t="s">
        <v>3214</v>
      </c>
      <c r="H981" s="93"/>
      <c r="I981" s="85">
        <f t="shared" si="35"/>
        <v>2.58995</v>
      </c>
      <c r="J981" s="85">
        <v>389.00035709496058</v>
      </c>
      <c r="K981" s="131" t="s">
        <v>3177</v>
      </c>
      <c r="L981" s="60">
        <v>60</v>
      </c>
      <c r="O981" s="49"/>
    </row>
    <row r="982" spans="1:15" ht="14" x14ac:dyDescent="0.15">
      <c r="A982" s="166" t="s">
        <v>2633</v>
      </c>
      <c r="B982" s="82"/>
      <c r="C982" s="70" t="s">
        <v>3636</v>
      </c>
      <c r="D982" s="70" t="s">
        <v>3437</v>
      </c>
      <c r="E982" s="70" t="s">
        <v>3212</v>
      </c>
      <c r="F982" s="70" t="s">
        <v>3213</v>
      </c>
      <c r="G982" s="70" t="s">
        <v>2897</v>
      </c>
      <c r="H982" s="93"/>
      <c r="I982" s="85">
        <f t="shared" si="35"/>
        <v>2.8129100000000005</v>
      </c>
      <c r="J982" s="85">
        <v>649.99497619814383</v>
      </c>
      <c r="K982" s="131" t="s">
        <v>3177</v>
      </c>
      <c r="L982" s="60">
        <v>65</v>
      </c>
    </row>
    <row r="983" spans="1:15" ht="14" x14ac:dyDescent="0.15">
      <c r="A983" s="166" t="s">
        <v>2633</v>
      </c>
      <c r="B983" s="82"/>
      <c r="C983" s="70" t="s">
        <v>3636</v>
      </c>
      <c r="D983" s="70" t="s">
        <v>3437</v>
      </c>
      <c r="E983" s="70" t="s">
        <v>3212</v>
      </c>
      <c r="F983" s="70" t="s">
        <v>3213</v>
      </c>
      <c r="G983" s="70" t="s">
        <v>3215</v>
      </c>
      <c r="H983" s="93"/>
      <c r="I983" s="85">
        <f t="shared" si="35"/>
        <v>3.24797</v>
      </c>
      <c r="J983" s="85">
        <v>1769.9866877455345</v>
      </c>
      <c r="K983" s="131" t="s">
        <v>6391</v>
      </c>
      <c r="L983" s="60">
        <v>60</v>
      </c>
      <c r="M983" s="49" t="s">
        <v>6728</v>
      </c>
    </row>
    <row r="984" spans="1:15" ht="14" x14ac:dyDescent="0.15">
      <c r="A984" s="166" t="s">
        <v>2633</v>
      </c>
      <c r="B984" s="93" t="s">
        <v>2978</v>
      </c>
      <c r="C984" s="70" t="s">
        <v>3636</v>
      </c>
      <c r="D984" s="70" t="s">
        <v>3437</v>
      </c>
      <c r="E984" s="70" t="s">
        <v>3212</v>
      </c>
      <c r="F984" s="70" t="s">
        <v>3216</v>
      </c>
      <c r="G984" s="70" t="s">
        <v>3959</v>
      </c>
      <c r="H984" s="93"/>
      <c r="I984" s="85">
        <f t="shared" si="35"/>
        <v>1.4771212547196624</v>
      </c>
      <c r="J984" s="85">
        <v>30</v>
      </c>
      <c r="K984" s="131" t="s">
        <v>6391</v>
      </c>
      <c r="L984" s="60">
        <v>70</v>
      </c>
      <c r="M984" s="49" t="s">
        <v>6392</v>
      </c>
    </row>
    <row r="985" spans="1:15" ht="14" x14ac:dyDescent="0.15">
      <c r="A985" s="166" t="s">
        <v>2633</v>
      </c>
      <c r="B985" s="82"/>
      <c r="C985" s="70" t="s">
        <v>3636</v>
      </c>
      <c r="D985" s="70" t="s">
        <v>3437</v>
      </c>
      <c r="E985" s="70" t="s">
        <v>3212</v>
      </c>
      <c r="F985" s="70" t="s">
        <v>3216</v>
      </c>
      <c r="G985" s="70" t="s">
        <v>3217</v>
      </c>
      <c r="H985" s="93"/>
      <c r="I985" s="85">
        <f t="shared" si="35"/>
        <v>2</v>
      </c>
      <c r="J985" s="85">
        <f>AVERAGE(90, 110)</f>
        <v>100</v>
      </c>
      <c r="K985" s="131" t="s">
        <v>6391</v>
      </c>
      <c r="L985" s="60">
        <v>116</v>
      </c>
      <c r="M985" s="49" t="s">
        <v>6392</v>
      </c>
    </row>
    <row r="986" spans="1:15" ht="42" x14ac:dyDescent="0.15">
      <c r="A986" s="166" t="s">
        <v>2633</v>
      </c>
      <c r="B986" s="93" t="s">
        <v>5121</v>
      </c>
      <c r="C986" s="70" t="s">
        <v>3636</v>
      </c>
      <c r="D986" s="70" t="s">
        <v>3437</v>
      </c>
      <c r="E986" s="70" t="s">
        <v>3212</v>
      </c>
      <c r="F986" s="70" t="s">
        <v>5234</v>
      </c>
      <c r="G986" s="70" t="s">
        <v>6217</v>
      </c>
      <c r="H986" s="93"/>
      <c r="I986" s="85">
        <f t="shared" si="35"/>
        <v>2.3010299956639813</v>
      </c>
      <c r="J986" s="85">
        <v>200</v>
      </c>
      <c r="K986" s="131" t="s">
        <v>6630</v>
      </c>
      <c r="L986" s="60">
        <v>70</v>
      </c>
      <c r="M986" s="49" t="s">
        <v>6392</v>
      </c>
    </row>
    <row r="987" spans="1:15" ht="14" x14ac:dyDescent="0.15">
      <c r="A987" s="166" t="s">
        <v>2633</v>
      </c>
      <c r="B987" s="82"/>
      <c r="C987" s="70" t="s">
        <v>3636</v>
      </c>
      <c r="D987" s="70" t="s">
        <v>3437</v>
      </c>
      <c r="E987" s="70" t="s">
        <v>3229</v>
      </c>
      <c r="F987" s="70" t="s">
        <v>3230</v>
      </c>
      <c r="G987" s="70" t="s">
        <v>5263</v>
      </c>
      <c r="H987" s="93"/>
      <c r="I987" s="85">
        <f t="shared" si="35"/>
        <v>2.5211380837040362</v>
      </c>
      <c r="J987" s="85">
        <v>332</v>
      </c>
      <c r="K987" s="131" t="s">
        <v>6391</v>
      </c>
      <c r="L987" s="60">
        <v>68</v>
      </c>
      <c r="M987" s="49" t="s">
        <v>6392</v>
      </c>
    </row>
    <row r="988" spans="1:15" ht="14" x14ac:dyDescent="0.15">
      <c r="A988" s="166" t="s">
        <v>2633</v>
      </c>
      <c r="B988" s="82"/>
      <c r="C988" s="70" t="s">
        <v>3636</v>
      </c>
      <c r="D988" s="70" t="s">
        <v>3437</v>
      </c>
      <c r="E988" s="70" t="s">
        <v>3229</v>
      </c>
      <c r="F988" s="70" t="s">
        <v>3230</v>
      </c>
      <c r="G988" s="70" t="s">
        <v>3231</v>
      </c>
      <c r="H988" s="93"/>
      <c r="I988" s="85">
        <f t="shared" si="35"/>
        <v>2.7958800000000004</v>
      </c>
      <c r="J988" s="85">
        <v>624.99997503987015</v>
      </c>
      <c r="K988" s="131" t="s">
        <v>3177</v>
      </c>
      <c r="L988" s="60">
        <v>60</v>
      </c>
    </row>
    <row r="989" spans="1:15" ht="14" x14ac:dyDescent="0.15">
      <c r="A989" s="166" t="s">
        <v>2633</v>
      </c>
      <c r="B989" s="93" t="s">
        <v>5789</v>
      </c>
      <c r="C989" s="70" t="s">
        <v>3636</v>
      </c>
      <c r="D989" s="70" t="s">
        <v>3437</v>
      </c>
      <c r="E989" s="70" t="s">
        <v>3229</v>
      </c>
      <c r="F989" s="70" t="s">
        <v>2875</v>
      </c>
      <c r="G989" s="70" t="s">
        <v>6977</v>
      </c>
      <c r="H989" s="93"/>
      <c r="I989" s="85">
        <v>-999</v>
      </c>
      <c r="J989" s="85">
        <v>-999</v>
      </c>
      <c r="K989" s="131" t="s">
        <v>6817</v>
      </c>
      <c r="L989" s="60">
        <v>-999</v>
      </c>
      <c r="M989" s="33" t="s">
        <v>6392</v>
      </c>
    </row>
    <row r="990" spans="1:15" ht="14" x14ac:dyDescent="0.15">
      <c r="A990" s="166" t="s">
        <v>2633</v>
      </c>
      <c r="B990" s="82"/>
      <c r="C990" s="70" t="s">
        <v>3636</v>
      </c>
      <c r="D990" s="70" t="s">
        <v>3437</v>
      </c>
      <c r="E990" s="70" t="s">
        <v>3229</v>
      </c>
      <c r="F990" s="70" t="s">
        <v>2875</v>
      </c>
      <c r="G990" s="70" t="s">
        <v>5271</v>
      </c>
      <c r="H990" s="93"/>
      <c r="I990" s="85">
        <f t="shared" ref="I990:I1008" si="36">LOG(J990)</f>
        <v>1.9731278535996986</v>
      </c>
      <c r="J990" s="85">
        <v>94</v>
      </c>
      <c r="K990" s="131" t="s">
        <v>6485</v>
      </c>
      <c r="L990" s="60">
        <v>-999</v>
      </c>
    </row>
    <row r="991" spans="1:15" ht="14" x14ac:dyDescent="0.15">
      <c r="A991" s="166" t="s">
        <v>2633</v>
      </c>
      <c r="B991" s="82"/>
      <c r="C991" s="70" t="s">
        <v>3636</v>
      </c>
      <c r="D991" s="70" t="s">
        <v>3437</v>
      </c>
      <c r="E991" s="70" t="s">
        <v>3229</v>
      </c>
      <c r="F991" s="70" t="s">
        <v>2875</v>
      </c>
      <c r="G991" s="70" t="s">
        <v>2484</v>
      </c>
      <c r="H991" s="93"/>
      <c r="I991" s="85">
        <f t="shared" si="36"/>
        <v>2.0083872301141588</v>
      </c>
      <c r="J991" s="85">
        <f>AVERAGE(134, 119, 86.4, 68.4)</f>
        <v>101.94999999999999</v>
      </c>
      <c r="K991" s="131" t="s">
        <v>3177</v>
      </c>
      <c r="L991" s="60" t="s">
        <v>1768</v>
      </c>
    </row>
    <row r="992" spans="1:15" ht="14" x14ac:dyDescent="0.15">
      <c r="A992" s="166" t="s">
        <v>2633</v>
      </c>
      <c r="B992" s="82"/>
      <c r="C992" s="70" t="s">
        <v>3636</v>
      </c>
      <c r="D992" s="70" t="s">
        <v>3437</v>
      </c>
      <c r="E992" s="70" t="s">
        <v>3229</v>
      </c>
      <c r="F992" s="70" t="s">
        <v>2875</v>
      </c>
      <c r="G992" s="70" t="s">
        <v>7411</v>
      </c>
      <c r="H992" s="93"/>
      <c r="I992" s="85">
        <f t="shared" si="36"/>
        <v>2.1854004831904525</v>
      </c>
      <c r="J992" s="85">
        <f>AVERAGE(165, 141.5)</f>
        <v>153.25</v>
      </c>
      <c r="K992" s="131" t="s">
        <v>3177</v>
      </c>
      <c r="L992" s="60">
        <v>239</v>
      </c>
    </row>
    <row r="993" spans="1:14" ht="14" x14ac:dyDescent="0.15">
      <c r="A993" s="166" t="s">
        <v>2633</v>
      </c>
      <c r="B993" s="82"/>
      <c r="C993" s="70" t="s">
        <v>3636</v>
      </c>
      <c r="D993" s="70" t="s">
        <v>3437</v>
      </c>
      <c r="E993" s="70" t="s">
        <v>3229</v>
      </c>
      <c r="F993" s="70" t="s">
        <v>2875</v>
      </c>
      <c r="G993" s="70" t="s">
        <v>6444</v>
      </c>
      <c r="H993" s="93"/>
      <c r="I993" s="85">
        <f t="shared" si="36"/>
        <v>2.3010299999999999</v>
      </c>
      <c r="J993" s="85">
        <v>200.00000199681045</v>
      </c>
      <c r="K993" s="131" t="s">
        <v>3177</v>
      </c>
      <c r="L993" s="60" t="s">
        <v>2686</v>
      </c>
    </row>
    <row r="994" spans="1:14" ht="14" x14ac:dyDescent="0.15">
      <c r="A994" s="166" t="s">
        <v>2633</v>
      </c>
      <c r="B994" s="93" t="s">
        <v>5790</v>
      </c>
      <c r="C994" s="70" t="s">
        <v>3636</v>
      </c>
      <c r="D994" s="70" t="s">
        <v>3437</v>
      </c>
      <c r="E994" s="70" t="s">
        <v>3229</v>
      </c>
      <c r="F994" s="70" t="s">
        <v>2875</v>
      </c>
      <c r="G994" s="70" t="s">
        <v>5092</v>
      </c>
      <c r="H994" s="93"/>
      <c r="I994" s="85">
        <f t="shared" si="36"/>
        <v>2.3484119628301414</v>
      </c>
      <c r="J994" s="94">
        <f>AVERAGE(241.61, 204.5)</f>
        <v>223.05500000000001</v>
      </c>
      <c r="K994" s="131" t="s">
        <v>6817</v>
      </c>
      <c r="L994" s="60">
        <v>200</v>
      </c>
      <c r="M994" s="33" t="s">
        <v>6392</v>
      </c>
    </row>
    <row r="995" spans="1:14" ht="14" x14ac:dyDescent="0.15">
      <c r="A995" s="166" t="s">
        <v>2633</v>
      </c>
      <c r="B995" s="82"/>
      <c r="C995" s="70" t="s">
        <v>3636</v>
      </c>
      <c r="D995" s="70" t="s">
        <v>3437</v>
      </c>
      <c r="E995" s="70" t="s">
        <v>3229</v>
      </c>
      <c r="F995" s="70" t="s">
        <v>2875</v>
      </c>
      <c r="G995" s="70" t="s">
        <v>5272</v>
      </c>
      <c r="H995" s="93"/>
      <c r="I995" s="85">
        <f t="shared" si="36"/>
        <v>2.4345689040341987</v>
      </c>
      <c r="J995" s="85">
        <v>272</v>
      </c>
      <c r="K995" s="131" t="s">
        <v>6485</v>
      </c>
      <c r="L995" s="60">
        <v>-999</v>
      </c>
    </row>
    <row r="996" spans="1:14" ht="14" x14ac:dyDescent="0.15">
      <c r="A996" s="166" t="s">
        <v>2633</v>
      </c>
      <c r="B996" s="82"/>
      <c r="C996" s="70" t="s">
        <v>3636</v>
      </c>
      <c r="D996" s="70" t="s">
        <v>3437</v>
      </c>
      <c r="E996" s="70" t="s">
        <v>3229</v>
      </c>
      <c r="F996" s="70" t="s">
        <v>6084</v>
      </c>
      <c r="G996" s="70" t="s">
        <v>4078</v>
      </c>
      <c r="H996" s="93"/>
      <c r="I996" s="85">
        <f t="shared" si="36"/>
        <v>2.3667341679034988</v>
      </c>
      <c r="J996" s="85">
        <f>AVERAGE(245, 310, 360, 124, 173, 195, 326, 181, 180)</f>
        <v>232.66666666666666</v>
      </c>
      <c r="K996" s="131" t="s">
        <v>3177</v>
      </c>
      <c r="L996" s="60" t="s">
        <v>1769</v>
      </c>
    </row>
    <row r="997" spans="1:14" ht="14" x14ac:dyDescent="0.15">
      <c r="A997" s="166" t="s">
        <v>2633</v>
      </c>
      <c r="B997" s="82"/>
      <c r="C997" s="70" t="s">
        <v>3636</v>
      </c>
      <c r="D997" s="70" t="s">
        <v>3437</v>
      </c>
      <c r="E997" s="70" t="s">
        <v>3229</v>
      </c>
      <c r="F997" s="70" t="s">
        <v>3055</v>
      </c>
      <c r="G997" s="70" t="s">
        <v>2861</v>
      </c>
      <c r="H997" s="93"/>
      <c r="I997" s="85">
        <f t="shared" si="36"/>
        <v>2.2576800000000001</v>
      </c>
      <c r="J997" s="85">
        <v>181.00059394975446</v>
      </c>
      <c r="K997" s="131" t="s">
        <v>6522</v>
      </c>
      <c r="L997" s="60">
        <v>60</v>
      </c>
      <c r="M997" s="49" t="s">
        <v>6392</v>
      </c>
    </row>
    <row r="998" spans="1:14" ht="14" x14ac:dyDescent="0.15">
      <c r="A998" s="166" t="s">
        <v>2633</v>
      </c>
      <c r="B998" s="82"/>
      <c r="C998" s="70" t="s">
        <v>3636</v>
      </c>
      <c r="D998" s="70" t="s">
        <v>3437</v>
      </c>
      <c r="E998" s="70" t="s">
        <v>3229</v>
      </c>
      <c r="F998" s="70" t="s">
        <v>2862</v>
      </c>
      <c r="G998" s="70" t="s">
        <v>3211</v>
      </c>
      <c r="H998" s="93"/>
      <c r="I998" s="85">
        <f t="shared" si="36"/>
        <v>1.7403600000000001</v>
      </c>
      <c r="J998" s="85">
        <v>54.999659397640222</v>
      </c>
      <c r="K998" s="131" t="s">
        <v>3177</v>
      </c>
      <c r="L998" s="60" t="s">
        <v>2686</v>
      </c>
    </row>
    <row r="999" spans="1:14" ht="14" x14ac:dyDescent="0.15">
      <c r="A999" s="166" t="s">
        <v>2633</v>
      </c>
      <c r="B999" s="82"/>
      <c r="C999" s="70" t="s">
        <v>3636</v>
      </c>
      <c r="D999" s="70" t="s">
        <v>3437</v>
      </c>
      <c r="E999" s="70" t="s">
        <v>3161</v>
      </c>
      <c r="F999" s="70" t="s">
        <v>5279</v>
      </c>
      <c r="G999" s="70" t="s">
        <v>5098</v>
      </c>
      <c r="H999" s="93"/>
      <c r="I999" s="85">
        <f t="shared" si="36"/>
        <v>2.2430380486862944</v>
      </c>
      <c r="J999" s="85">
        <v>175</v>
      </c>
      <c r="K999" s="131" t="s">
        <v>3177</v>
      </c>
      <c r="L999" s="60">
        <v>75</v>
      </c>
    </row>
    <row r="1000" spans="1:14" ht="14" x14ac:dyDescent="0.15">
      <c r="A1000" s="166" t="s">
        <v>2633</v>
      </c>
      <c r="B1000" s="82"/>
      <c r="C1000" s="70" t="s">
        <v>3636</v>
      </c>
      <c r="D1000" s="70" t="s">
        <v>3437</v>
      </c>
      <c r="E1000" s="70" t="s">
        <v>3161</v>
      </c>
      <c r="F1000" s="70" t="s">
        <v>5279</v>
      </c>
      <c r="G1000" s="70" t="s">
        <v>5280</v>
      </c>
      <c r="H1000" s="93"/>
      <c r="I1000" s="85">
        <f t="shared" si="36"/>
        <v>2.4608978427565478</v>
      </c>
      <c r="J1000" s="85">
        <v>289</v>
      </c>
      <c r="K1000" s="131" t="s">
        <v>6485</v>
      </c>
      <c r="L1000" s="60">
        <v>68</v>
      </c>
    </row>
    <row r="1001" spans="1:14" ht="14" x14ac:dyDescent="0.15">
      <c r="A1001" s="166" t="s">
        <v>2633</v>
      </c>
      <c r="B1001" s="93" t="s">
        <v>2638</v>
      </c>
      <c r="C1001" s="70" t="s">
        <v>3636</v>
      </c>
      <c r="D1001" s="70" t="s">
        <v>3437</v>
      </c>
      <c r="E1001" s="70" t="s">
        <v>3161</v>
      </c>
      <c r="F1001" s="70" t="s">
        <v>5099</v>
      </c>
      <c r="G1001" s="70" t="s">
        <v>4946</v>
      </c>
      <c r="H1001" s="93"/>
      <c r="I1001" s="85">
        <f t="shared" si="36"/>
        <v>2.3117538610557542</v>
      </c>
      <c r="J1001" s="85">
        <v>205</v>
      </c>
      <c r="K1001" s="131" t="s">
        <v>6391</v>
      </c>
      <c r="L1001" s="60">
        <v>70</v>
      </c>
      <c r="M1001" s="49" t="s">
        <v>6728</v>
      </c>
    </row>
    <row r="1002" spans="1:14" ht="14" x14ac:dyDescent="0.15">
      <c r="A1002" s="166" t="s">
        <v>2633</v>
      </c>
      <c r="B1002" s="93" t="s">
        <v>2220</v>
      </c>
      <c r="C1002" s="70" t="s">
        <v>3636</v>
      </c>
      <c r="D1002" s="70" t="s">
        <v>3437</v>
      </c>
      <c r="E1002" s="70" t="s">
        <v>3161</v>
      </c>
      <c r="F1002" s="70" t="s">
        <v>4947</v>
      </c>
      <c r="G1002" s="70" t="s">
        <v>4559</v>
      </c>
      <c r="H1002" s="93"/>
      <c r="I1002" s="85">
        <f t="shared" si="36"/>
        <v>2.2041199826559246</v>
      </c>
      <c r="J1002" s="85">
        <v>160</v>
      </c>
      <c r="K1002" s="131" t="s">
        <v>3177</v>
      </c>
      <c r="L1002" s="60">
        <v>70</v>
      </c>
    </row>
    <row r="1003" spans="1:14" ht="28" x14ac:dyDescent="0.15">
      <c r="A1003" s="166" t="s">
        <v>2633</v>
      </c>
      <c r="B1003" s="82"/>
      <c r="C1003" s="70" t="s">
        <v>3636</v>
      </c>
      <c r="D1003" s="70" t="s">
        <v>3437</v>
      </c>
      <c r="E1003" s="70" t="s">
        <v>5992</v>
      </c>
      <c r="F1003" s="70" t="s">
        <v>5007</v>
      </c>
      <c r="G1003" s="70" t="s">
        <v>2043</v>
      </c>
      <c r="H1003" s="93"/>
      <c r="I1003" s="85">
        <f t="shared" si="36"/>
        <v>1.7160033436347992</v>
      </c>
      <c r="J1003" s="85">
        <v>52</v>
      </c>
      <c r="K1003" s="131" t="s">
        <v>7875</v>
      </c>
      <c r="L1003" s="60">
        <v>68</v>
      </c>
      <c r="M1003" s="49" t="s">
        <v>6390</v>
      </c>
    </row>
    <row r="1004" spans="1:14" ht="17" x14ac:dyDescent="0.2">
      <c r="A1004" s="166" t="s">
        <v>2633</v>
      </c>
      <c r="B1004" s="82"/>
      <c r="C1004" s="70" t="s">
        <v>3636</v>
      </c>
      <c r="D1004" s="70" t="s">
        <v>3437</v>
      </c>
      <c r="E1004" s="70" t="s">
        <v>5992</v>
      </c>
      <c r="F1004" s="70" t="s">
        <v>5993</v>
      </c>
      <c r="G1004" s="70" t="s">
        <v>5994</v>
      </c>
      <c r="H1004" s="93"/>
      <c r="I1004" s="85">
        <f t="shared" si="36"/>
        <v>1.7524332158008897</v>
      </c>
      <c r="J1004" s="85">
        <f>AVERAGE(70.0003159130897, 55, 50.8, 50.4)</f>
        <v>56.550078978272424</v>
      </c>
      <c r="K1004" s="131" t="s">
        <v>3177</v>
      </c>
      <c r="L1004" s="60" t="s">
        <v>6394</v>
      </c>
      <c r="N1004" s="48" t="s">
        <v>7468</v>
      </c>
    </row>
    <row r="1005" spans="1:14" ht="14" x14ac:dyDescent="0.15">
      <c r="A1005" s="166" t="s">
        <v>2633</v>
      </c>
      <c r="B1005" s="82"/>
      <c r="C1005" s="70" t="s">
        <v>3636</v>
      </c>
      <c r="D1005" s="70" t="s">
        <v>3437</v>
      </c>
      <c r="E1005" s="70" t="s">
        <v>5992</v>
      </c>
      <c r="F1005" s="70" t="s">
        <v>5993</v>
      </c>
      <c r="G1005" s="70" t="s">
        <v>3624</v>
      </c>
      <c r="H1005" s="93"/>
      <c r="I1005" s="85">
        <f t="shared" si="36"/>
        <v>2.1398799999999998</v>
      </c>
      <c r="J1005" s="85">
        <v>138.00029030247268</v>
      </c>
      <c r="K1005" s="131" t="s">
        <v>6677</v>
      </c>
      <c r="L1005" s="60">
        <v>60</v>
      </c>
      <c r="M1005" s="49" t="s">
        <v>6392</v>
      </c>
    </row>
    <row r="1006" spans="1:14" ht="14" x14ac:dyDescent="0.15">
      <c r="A1006" s="166" t="s">
        <v>2633</v>
      </c>
      <c r="B1006" s="82"/>
      <c r="C1006" s="70" t="s">
        <v>3636</v>
      </c>
      <c r="D1006" s="70" t="s">
        <v>3437</v>
      </c>
      <c r="E1006" s="70" t="s">
        <v>6973</v>
      </c>
      <c r="F1006" s="70" t="s">
        <v>6974</v>
      </c>
      <c r="G1006" s="70" t="s">
        <v>6975</v>
      </c>
      <c r="H1006" s="93"/>
      <c r="I1006" s="85">
        <f t="shared" si="36"/>
        <v>3.2864564697469829</v>
      </c>
      <c r="J1006" s="85">
        <f>AVERAGE(1670, 2198)</f>
        <v>1934</v>
      </c>
      <c r="K1006" s="131" t="s">
        <v>1295</v>
      </c>
      <c r="L1006" s="60">
        <v>135</v>
      </c>
      <c r="N1006" s="37" t="s">
        <v>7470</v>
      </c>
    </row>
    <row r="1007" spans="1:14" ht="14" x14ac:dyDescent="0.15">
      <c r="A1007" s="166" t="s">
        <v>2633</v>
      </c>
      <c r="B1007" s="82"/>
      <c r="C1007" s="70" t="s">
        <v>3636</v>
      </c>
      <c r="D1007" s="70" t="s">
        <v>3437</v>
      </c>
      <c r="E1007" s="70" t="s">
        <v>6973</v>
      </c>
      <c r="F1007" s="70" t="s">
        <v>6976</v>
      </c>
      <c r="G1007" s="70" t="s">
        <v>4453</v>
      </c>
      <c r="H1007" s="93"/>
      <c r="I1007" s="85">
        <f t="shared" si="36"/>
        <v>4.174234996486148</v>
      </c>
      <c r="J1007" s="85">
        <f>AVERAGE(14050.1189161578, 16900, 18400, 12290, 13040)</f>
        <v>14936.023783231562</v>
      </c>
      <c r="K1007" s="131" t="s">
        <v>3177</v>
      </c>
      <c r="L1007" s="60" t="s">
        <v>6839</v>
      </c>
    </row>
    <row r="1008" spans="1:14" ht="14" x14ac:dyDescent="0.15">
      <c r="A1008" s="166" t="s">
        <v>2633</v>
      </c>
      <c r="B1008" s="82"/>
      <c r="C1008" s="70" t="s">
        <v>3636</v>
      </c>
      <c r="D1008" s="70" t="s">
        <v>3437</v>
      </c>
      <c r="E1008" s="70" t="s">
        <v>6973</v>
      </c>
      <c r="F1008" s="70" t="s">
        <v>6976</v>
      </c>
      <c r="G1008" s="70" t="s">
        <v>2354</v>
      </c>
      <c r="H1008" s="93"/>
      <c r="I1008" s="85">
        <f t="shared" si="36"/>
        <v>4.3010300000000008</v>
      </c>
      <c r="J1008" s="85">
        <v>20000.000199681075</v>
      </c>
      <c r="K1008" s="131" t="s">
        <v>3177</v>
      </c>
      <c r="L1008" s="60" t="s">
        <v>6389</v>
      </c>
      <c r="M1008" s="49" t="s">
        <v>6392</v>
      </c>
      <c r="N1008" s="37" t="s">
        <v>7469</v>
      </c>
    </row>
    <row r="1009" spans="1:15" ht="14" x14ac:dyDescent="0.15">
      <c r="A1009" s="166" t="s">
        <v>2633</v>
      </c>
      <c r="B1009" s="82"/>
      <c r="C1009" s="70" t="s">
        <v>3636</v>
      </c>
      <c r="D1009" s="70" t="s">
        <v>3437</v>
      </c>
      <c r="E1009" s="70" t="s">
        <v>3457</v>
      </c>
      <c r="F1009" s="70" t="s">
        <v>3458</v>
      </c>
      <c r="G1009" s="70" t="s">
        <v>6152</v>
      </c>
      <c r="H1009" s="93"/>
      <c r="I1009" s="85">
        <v>-999</v>
      </c>
      <c r="J1009" s="85">
        <v>-999</v>
      </c>
      <c r="K1009" s="131" t="s">
        <v>3177</v>
      </c>
      <c r="L1009" s="60">
        <v>-999</v>
      </c>
      <c r="M1009" s="33"/>
      <c r="N1009" s="52"/>
    </row>
    <row r="1010" spans="1:15" ht="14" x14ac:dyDescent="0.15">
      <c r="A1010" s="166" t="s">
        <v>2633</v>
      </c>
      <c r="B1010" s="82"/>
      <c r="C1010" s="70" t="s">
        <v>3636</v>
      </c>
      <c r="D1010" s="70" t="s">
        <v>3437</v>
      </c>
      <c r="E1010" s="70" t="s">
        <v>3457</v>
      </c>
      <c r="F1010" s="70" t="s">
        <v>3458</v>
      </c>
      <c r="G1010" s="70" t="s">
        <v>3916</v>
      </c>
      <c r="H1010" s="93"/>
      <c r="I1010" s="85">
        <v>-999</v>
      </c>
      <c r="J1010" s="85">
        <v>-999</v>
      </c>
      <c r="K1010" s="131" t="s">
        <v>3177</v>
      </c>
      <c r="L1010" s="60">
        <v>-999</v>
      </c>
      <c r="M1010" s="33"/>
      <c r="N1010" s="35"/>
      <c r="O1010" s="35"/>
    </row>
    <row r="1011" spans="1:15" ht="14" x14ac:dyDescent="0.15">
      <c r="A1011" s="166" t="s">
        <v>2633</v>
      </c>
      <c r="B1011" s="82"/>
      <c r="C1011" s="70" t="s">
        <v>3636</v>
      </c>
      <c r="D1011" s="70" t="s">
        <v>3437</v>
      </c>
      <c r="E1011" s="70" t="s">
        <v>3457</v>
      </c>
      <c r="F1011" s="70" t="s">
        <v>3458</v>
      </c>
      <c r="G1011" s="70" t="s">
        <v>3010</v>
      </c>
      <c r="H1011" s="93"/>
      <c r="I1011" s="85">
        <f t="shared" ref="I1011:I1019" si="37">LOG(J1011)</f>
        <v>1.2671699999999999</v>
      </c>
      <c r="J1011" s="85">
        <v>18.499926373938745</v>
      </c>
      <c r="K1011" s="131" t="s">
        <v>3177</v>
      </c>
      <c r="L1011" s="60">
        <v>60</v>
      </c>
    </row>
    <row r="1012" spans="1:15" ht="14" x14ac:dyDescent="0.15">
      <c r="A1012" s="166" t="s">
        <v>2633</v>
      </c>
      <c r="B1012" s="82"/>
      <c r="C1012" s="70" t="s">
        <v>3636</v>
      </c>
      <c r="D1012" s="70" t="s">
        <v>3437</v>
      </c>
      <c r="E1012" s="70" t="s">
        <v>3457</v>
      </c>
      <c r="F1012" s="70" t="s">
        <v>3458</v>
      </c>
      <c r="G1012" s="70" t="s">
        <v>3007</v>
      </c>
      <c r="H1012" s="93"/>
      <c r="I1012" s="85">
        <f t="shared" si="37"/>
        <v>1.3053500000000002</v>
      </c>
      <c r="J1012" s="85">
        <v>20.199936304099325</v>
      </c>
      <c r="K1012" s="131" t="s">
        <v>3177</v>
      </c>
      <c r="L1012" s="60">
        <v>60</v>
      </c>
    </row>
    <row r="1013" spans="1:15" ht="14" x14ac:dyDescent="0.15">
      <c r="A1013" s="166" t="s">
        <v>2633</v>
      </c>
      <c r="B1013" s="82"/>
      <c r="C1013" s="70" t="s">
        <v>3636</v>
      </c>
      <c r="D1013" s="70" t="s">
        <v>3437</v>
      </c>
      <c r="E1013" s="70" t="s">
        <v>3457</v>
      </c>
      <c r="F1013" s="70" t="s">
        <v>3458</v>
      </c>
      <c r="G1013" s="70" t="s">
        <v>3314</v>
      </c>
      <c r="H1013" s="93"/>
      <c r="I1013" s="85">
        <f t="shared" si="37"/>
        <v>1.3222192947339193</v>
      </c>
      <c r="J1013" s="85">
        <v>21</v>
      </c>
      <c r="K1013" s="131" t="s">
        <v>3177</v>
      </c>
      <c r="L1013" s="66" t="s">
        <v>1094</v>
      </c>
    </row>
    <row r="1014" spans="1:15" ht="14" x14ac:dyDescent="0.15">
      <c r="A1014" s="166" t="s">
        <v>2633</v>
      </c>
      <c r="B1014" s="82"/>
      <c r="C1014" s="70" t="s">
        <v>3636</v>
      </c>
      <c r="D1014" s="70" t="s">
        <v>3437</v>
      </c>
      <c r="E1014" s="70" t="s">
        <v>3457</v>
      </c>
      <c r="F1014" s="70" t="s">
        <v>3458</v>
      </c>
      <c r="G1014" s="70" t="s">
        <v>3436</v>
      </c>
      <c r="H1014" s="93"/>
      <c r="I1014" s="85">
        <f t="shared" si="37"/>
        <v>1.3424226808222062</v>
      </c>
      <c r="J1014" s="85">
        <f>AVERAGE(11, 33)</f>
        <v>22</v>
      </c>
      <c r="K1014" s="131" t="s">
        <v>3177</v>
      </c>
      <c r="L1014" s="60">
        <v>109</v>
      </c>
    </row>
    <row r="1015" spans="1:15" ht="14" x14ac:dyDescent="0.15">
      <c r="A1015" s="166" t="s">
        <v>2633</v>
      </c>
      <c r="B1015" s="82"/>
      <c r="C1015" s="70" t="s">
        <v>3636</v>
      </c>
      <c r="D1015" s="70" t="s">
        <v>3437</v>
      </c>
      <c r="E1015" s="70" t="s">
        <v>3457</v>
      </c>
      <c r="F1015" s="70" t="s">
        <v>3458</v>
      </c>
      <c r="G1015" s="70" t="s">
        <v>6289</v>
      </c>
      <c r="H1015" s="93"/>
      <c r="I1015" s="85">
        <f t="shared" si="37"/>
        <v>1.3424226808222062</v>
      </c>
      <c r="J1015" s="85">
        <v>22</v>
      </c>
      <c r="K1015" s="131" t="s">
        <v>3177</v>
      </c>
      <c r="L1015" s="60">
        <v>109</v>
      </c>
    </row>
    <row r="1016" spans="1:15" ht="14" x14ac:dyDescent="0.15">
      <c r="A1016" s="166" t="s">
        <v>2633</v>
      </c>
      <c r="B1016" s="82"/>
      <c r="C1016" s="70" t="s">
        <v>3636</v>
      </c>
      <c r="D1016" s="70" t="s">
        <v>3437</v>
      </c>
      <c r="E1016" s="70" t="s">
        <v>3457</v>
      </c>
      <c r="F1016" s="70" t="s">
        <v>3458</v>
      </c>
      <c r="G1016" s="70" t="s">
        <v>7718</v>
      </c>
      <c r="H1016" s="93"/>
      <c r="I1016" s="85">
        <f t="shared" si="37"/>
        <v>1.3802112417116059</v>
      </c>
      <c r="J1016" s="85">
        <f>AVERAGE(25, 26, 21)</f>
        <v>24</v>
      </c>
      <c r="K1016" s="131" t="s">
        <v>3177</v>
      </c>
      <c r="L1016" s="60" t="s">
        <v>7554</v>
      </c>
      <c r="M1016" s="33"/>
    </row>
    <row r="1017" spans="1:15" ht="14" x14ac:dyDescent="0.15">
      <c r="A1017" s="166" t="s">
        <v>2633</v>
      </c>
      <c r="B1017" s="82"/>
      <c r="C1017" s="70" t="s">
        <v>3636</v>
      </c>
      <c r="D1017" s="70" t="s">
        <v>3437</v>
      </c>
      <c r="E1017" s="70" t="s">
        <v>3457</v>
      </c>
      <c r="F1017" s="70" t="s">
        <v>3458</v>
      </c>
      <c r="G1017" s="70" t="s">
        <v>3009</v>
      </c>
      <c r="H1017" s="93"/>
      <c r="I1017" s="85">
        <f t="shared" si="37"/>
        <v>1.4232500000000001</v>
      </c>
      <c r="J1017" s="85">
        <v>26.500251767403348</v>
      </c>
      <c r="K1017" s="131" t="s">
        <v>3177</v>
      </c>
      <c r="L1017" s="60">
        <v>60</v>
      </c>
    </row>
    <row r="1018" spans="1:15" ht="14" x14ac:dyDescent="0.15">
      <c r="A1018" s="166" t="s">
        <v>2633</v>
      </c>
      <c r="B1018" s="82"/>
      <c r="C1018" s="70" t="s">
        <v>3636</v>
      </c>
      <c r="D1018" s="70" t="s">
        <v>3437</v>
      </c>
      <c r="E1018" s="70" t="s">
        <v>3457</v>
      </c>
      <c r="F1018" s="70" t="s">
        <v>3458</v>
      </c>
      <c r="G1018" s="70" t="s">
        <v>3006</v>
      </c>
      <c r="H1018" s="93"/>
      <c r="I1018" s="85">
        <f t="shared" si="37"/>
        <v>1.5872299683103204</v>
      </c>
      <c r="J1018" s="85">
        <f>AVERAGE(35.5001346244483, 47.3, 35.6, 36.4, 40.8, 48, 27)</f>
        <v>38.657162089206899</v>
      </c>
      <c r="K1018" s="131" t="s">
        <v>3177</v>
      </c>
      <c r="L1018" s="60" t="s">
        <v>6388</v>
      </c>
      <c r="N1018" s="37" t="s">
        <v>1485</v>
      </c>
    </row>
    <row r="1019" spans="1:15" ht="14" x14ac:dyDescent="0.15">
      <c r="A1019" s="166" t="s">
        <v>2633</v>
      </c>
      <c r="B1019" s="82"/>
      <c r="C1019" s="70" t="s">
        <v>3636</v>
      </c>
      <c r="D1019" s="70" t="s">
        <v>3437</v>
      </c>
      <c r="E1019" s="70" t="s">
        <v>3457</v>
      </c>
      <c r="F1019" s="70" t="s">
        <v>3458</v>
      </c>
      <c r="G1019" s="70" t="s">
        <v>3008</v>
      </c>
      <c r="H1019" s="93"/>
      <c r="I1019" s="85">
        <f t="shared" si="37"/>
        <v>1.6967930741872248</v>
      </c>
      <c r="J1019" s="85">
        <f>AVERAGE(62.499997503987, 37)</f>
        <v>49.749998751993502</v>
      </c>
      <c r="K1019" s="131" t="s">
        <v>3177</v>
      </c>
      <c r="L1019" s="60" t="s">
        <v>6394</v>
      </c>
    </row>
    <row r="1020" spans="1:15" ht="14" x14ac:dyDescent="0.15">
      <c r="A1020" s="166" t="s">
        <v>2633</v>
      </c>
      <c r="B1020" s="82" t="s">
        <v>2017</v>
      </c>
      <c r="C1020" s="73" t="s">
        <v>3636</v>
      </c>
      <c r="D1020" s="73" t="s">
        <v>3437</v>
      </c>
      <c r="E1020" s="70" t="s">
        <v>3457</v>
      </c>
      <c r="F1020" s="73" t="s">
        <v>3011</v>
      </c>
      <c r="G1020" s="73" t="s">
        <v>5271</v>
      </c>
      <c r="H1020" s="108"/>
      <c r="I1020" s="85">
        <v>-999</v>
      </c>
      <c r="J1020" s="95">
        <v>-999</v>
      </c>
      <c r="K1020" s="131" t="s">
        <v>3177</v>
      </c>
      <c r="L1020" s="60">
        <v>-999</v>
      </c>
      <c r="M1020" s="33"/>
      <c r="N1020" s="35"/>
      <c r="O1020" s="35"/>
    </row>
    <row r="1021" spans="1:15" ht="14" x14ac:dyDescent="0.15">
      <c r="A1021" s="166" t="s">
        <v>2633</v>
      </c>
      <c r="B1021" s="82"/>
      <c r="C1021" s="70" t="s">
        <v>3636</v>
      </c>
      <c r="D1021" s="70" t="s">
        <v>3437</v>
      </c>
      <c r="E1021" s="70" t="s">
        <v>3457</v>
      </c>
      <c r="F1021" s="70" t="s">
        <v>3011</v>
      </c>
      <c r="G1021" s="70" t="s">
        <v>7656</v>
      </c>
      <c r="H1021" s="93"/>
      <c r="I1021" s="85">
        <v>-999</v>
      </c>
      <c r="J1021" s="85">
        <v>-999</v>
      </c>
      <c r="K1021" s="131" t="s">
        <v>3177</v>
      </c>
      <c r="L1021" s="60">
        <v>-999</v>
      </c>
      <c r="M1021" s="33"/>
      <c r="N1021" s="35"/>
    </row>
    <row r="1022" spans="1:15" ht="14" x14ac:dyDescent="0.15">
      <c r="A1022" s="166" t="s">
        <v>2633</v>
      </c>
      <c r="B1022" s="82"/>
      <c r="C1022" s="70" t="s">
        <v>3636</v>
      </c>
      <c r="D1022" s="70" t="s">
        <v>3437</v>
      </c>
      <c r="E1022" s="70" t="s">
        <v>3457</v>
      </c>
      <c r="F1022" s="70" t="s">
        <v>3011</v>
      </c>
      <c r="G1022" s="70" t="s">
        <v>7970</v>
      </c>
      <c r="H1022" s="93"/>
      <c r="I1022" s="85">
        <v>-999</v>
      </c>
      <c r="J1022" s="85">
        <v>-999</v>
      </c>
      <c r="K1022" s="131" t="s">
        <v>6391</v>
      </c>
      <c r="L1022" s="60">
        <v>-999</v>
      </c>
      <c r="M1022" s="33" t="s">
        <v>6392</v>
      </c>
      <c r="N1022" s="35"/>
    </row>
    <row r="1023" spans="1:15" ht="14" x14ac:dyDescent="0.15">
      <c r="A1023" s="166" t="s">
        <v>2633</v>
      </c>
      <c r="B1023" s="82" t="s">
        <v>4571</v>
      </c>
      <c r="C1023" s="70" t="s">
        <v>3636</v>
      </c>
      <c r="D1023" s="70" t="s">
        <v>3437</v>
      </c>
      <c r="E1023" s="70" t="s">
        <v>3457</v>
      </c>
      <c r="F1023" s="70" t="s">
        <v>3011</v>
      </c>
      <c r="G1023" s="70" t="s">
        <v>4669</v>
      </c>
      <c r="H1023" s="93"/>
      <c r="I1023" s="85">
        <v>-999</v>
      </c>
      <c r="J1023" s="85">
        <v>-999</v>
      </c>
      <c r="K1023" s="131" t="s">
        <v>3177</v>
      </c>
      <c r="L1023" s="60">
        <v>-999</v>
      </c>
      <c r="M1023" s="33"/>
      <c r="N1023" s="35"/>
    </row>
    <row r="1024" spans="1:15" ht="14" x14ac:dyDescent="0.15">
      <c r="A1024" s="166" t="s">
        <v>2633</v>
      </c>
      <c r="B1024" s="82" t="s">
        <v>2464</v>
      </c>
      <c r="C1024" s="70" t="s">
        <v>3636</v>
      </c>
      <c r="D1024" s="70" t="s">
        <v>3437</v>
      </c>
      <c r="E1024" s="70" t="s">
        <v>3457</v>
      </c>
      <c r="F1024" s="70" t="s">
        <v>3011</v>
      </c>
      <c r="G1024" s="70" t="s">
        <v>7015</v>
      </c>
      <c r="H1024" s="93"/>
      <c r="I1024" s="85">
        <f t="shared" ref="I1024:I1031" si="38">LOG(J1024)</f>
        <v>1.6020599913279623</v>
      </c>
      <c r="J1024" s="85">
        <v>40</v>
      </c>
      <c r="K1024" s="131" t="s">
        <v>3177</v>
      </c>
      <c r="L1024" s="60">
        <v>106</v>
      </c>
    </row>
    <row r="1025" spans="1:14" ht="14" x14ac:dyDescent="0.15">
      <c r="A1025" s="166" t="s">
        <v>2633</v>
      </c>
      <c r="B1025" s="82"/>
      <c r="C1025" s="70" t="s">
        <v>3636</v>
      </c>
      <c r="D1025" s="70" t="s">
        <v>3437</v>
      </c>
      <c r="E1025" s="70" t="s">
        <v>3457</v>
      </c>
      <c r="F1025" s="70" t="s">
        <v>3011</v>
      </c>
      <c r="G1025" s="70" t="s">
        <v>3015</v>
      </c>
      <c r="H1025" s="93"/>
      <c r="I1025" s="85">
        <f t="shared" si="38"/>
        <v>1.704365079117881</v>
      </c>
      <c r="J1025" s="85">
        <f>AVERAGE(48.8000200008747, 48.4, 53.5, 51.8)</f>
        <v>50.625005000218678</v>
      </c>
      <c r="K1025" s="131" t="s">
        <v>3177</v>
      </c>
      <c r="L1025" s="60" t="s">
        <v>1760</v>
      </c>
    </row>
    <row r="1026" spans="1:14" ht="14" x14ac:dyDescent="0.15">
      <c r="A1026" s="166" t="s">
        <v>2633</v>
      </c>
      <c r="B1026" s="82"/>
      <c r="C1026" s="70" t="s">
        <v>3636</v>
      </c>
      <c r="D1026" s="70" t="s">
        <v>3437</v>
      </c>
      <c r="E1026" s="70" t="s">
        <v>3457</v>
      </c>
      <c r="F1026" s="70" t="s">
        <v>3011</v>
      </c>
      <c r="G1026" s="70" t="s">
        <v>3012</v>
      </c>
      <c r="H1026" s="93"/>
      <c r="I1026" s="85">
        <f t="shared" si="38"/>
        <v>1.8741918046790711</v>
      </c>
      <c r="J1026" s="85">
        <f>AVERAGE(76.7, 68.1, 84, 70.6)</f>
        <v>74.849999999999994</v>
      </c>
      <c r="K1026" s="131" t="s">
        <v>3177</v>
      </c>
      <c r="L1026" s="60" t="s">
        <v>1768</v>
      </c>
    </row>
    <row r="1027" spans="1:14" ht="14" x14ac:dyDescent="0.15">
      <c r="A1027" s="166" t="s">
        <v>2633</v>
      </c>
      <c r="B1027" s="82"/>
      <c r="C1027" s="70" t="s">
        <v>3636</v>
      </c>
      <c r="D1027" s="70" t="s">
        <v>3437</v>
      </c>
      <c r="E1027" s="70" t="s">
        <v>3457</v>
      </c>
      <c r="F1027" s="70" t="s">
        <v>3011</v>
      </c>
      <c r="G1027" s="70" t="s">
        <v>3910</v>
      </c>
      <c r="H1027" s="93"/>
      <c r="I1027" s="85">
        <f t="shared" si="38"/>
        <v>1.886575229387726</v>
      </c>
      <c r="J1027" s="85">
        <v>77.014983974996127</v>
      </c>
      <c r="K1027" s="131" t="s">
        <v>3177</v>
      </c>
      <c r="L1027" s="60" t="s">
        <v>7640</v>
      </c>
      <c r="M1027" s="33"/>
    </row>
    <row r="1028" spans="1:14" ht="14" x14ac:dyDescent="0.15">
      <c r="A1028" s="166" t="s">
        <v>2633</v>
      </c>
      <c r="B1028" s="82"/>
      <c r="C1028" s="70" t="s">
        <v>3636</v>
      </c>
      <c r="D1028" s="70" t="s">
        <v>3437</v>
      </c>
      <c r="E1028" s="70" t="s">
        <v>3457</v>
      </c>
      <c r="F1028" s="70" t="s">
        <v>3011</v>
      </c>
      <c r="G1028" s="70" t="s">
        <v>3014</v>
      </c>
      <c r="H1028" s="93"/>
      <c r="I1028" s="85">
        <f t="shared" si="38"/>
        <v>1.9542400000000002</v>
      </c>
      <c r="J1028" s="85">
        <v>89.999479963720162</v>
      </c>
      <c r="K1028" s="131" t="s">
        <v>3177</v>
      </c>
      <c r="L1028" s="60" t="s">
        <v>2686</v>
      </c>
    </row>
    <row r="1029" spans="1:14" ht="14" x14ac:dyDescent="0.15">
      <c r="A1029" s="166" t="s">
        <v>2633</v>
      </c>
      <c r="B1029" s="82"/>
      <c r="C1029" s="70" t="s">
        <v>3636</v>
      </c>
      <c r="D1029" s="70" t="s">
        <v>3437</v>
      </c>
      <c r="E1029" s="70" t="s">
        <v>3457</v>
      </c>
      <c r="F1029" s="70" t="s">
        <v>3011</v>
      </c>
      <c r="G1029" s="70" t="s">
        <v>3013</v>
      </c>
      <c r="H1029" s="93"/>
      <c r="I1029" s="85">
        <f t="shared" si="38"/>
        <v>2.0149403497929366</v>
      </c>
      <c r="J1029" s="85">
        <f>AVERAGE(100, 107)</f>
        <v>103.5</v>
      </c>
      <c r="K1029" s="131" t="s">
        <v>3177</v>
      </c>
      <c r="L1029" s="60" t="s">
        <v>1497</v>
      </c>
      <c r="N1029" s="37" t="s">
        <v>7467</v>
      </c>
    </row>
    <row r="1030" spans="1:14" ht="14" x14ac:dyDescent="0.15">
      <c r="A1030" s="170" t="s">
        <v>2633</v>
      </c>
      <c r="B1030" s="82"/>
      <c r="C1030" s="70" t="s">
        <v>3636</v>
      </c>
      <c r="D1030" s="70" t="s">
        <v>3437</v>
      </c>
      <c r="E1030" s="70" t="s">
        <v>3457</v>
      </c>
      <c r="F1030" s="70" t="s">
        <v>6448</v>
      </c>
      <c r="G1030" s="70" t="s">
        <v>3703</v>
      </c>
      <c r="H1030" s="93"/>
      <c r="I1030" s="85">
        <f t="shared" si="38"/>
        <v>1.6989700043360187</v>
      </c>
      <c r="J1030" s="85">
        <v>50</v>
      </c>
      <c r="K1030" s="131" t="s">
        <v>6391</v>
      </c>
      <c r="L1030" s="60">
        <v>70</v>
      </c>
      <c r="M1030" s="49" t="s">
        <v>6728</v>
      </c>
    </row>
    <row r="1031" spans="1:14" x14ac:dyDescent="0.15">
      <c r="A1031" s="166" t="s">
        <v>2633</v>
      </c>
      <c r="B1031" s="82"/>
      <c r="C1031" s="70" t="s">
        <v>3636</v>
      </c>
      <c r="D1031" s="70" t="s">
        <v>3437</v>
      </c>
      <c r="E1031" s="70" t="s">
        <v>3457</v>
      </c>
      <c r="F1031" s="70" t="s">
        <v>5072</v>
      </c>
      <c r="G1031" s="70" t="s">
        <v>5549</v>
      </c>
      <c r="H1031" s="93"/>
      <c r="I1031" s="85">
        <f t="shared" si="38"/>
        <v>1.3324384599156054</v>
      </c>
      <c r="J1031" s="85">
        <f>AVERAGE(13, 30)</f>
        <v>21.5</v>
      </c>
      <c r="K1031" s="131"/>
      <c r="L1031" s="60">
        <v>70</v>
      </c>
    </row>
    <row r="1032" spans="1:14" ht="14" x14ac:dyDescent="0.15">
      <c r="A1032" s="166" t="s">
        <v>2633</v>
      </c>
      <c r="B1032" s="82"/>
      <c r="C1032" s="73" t="s">
        <v>3636</v>
      </c>
      <c r="D1032" s="73" t="s">
        <v>3437</v>
      </c>
      <c r="E1032" s="70" t="s">
        <v>3457</v>
      </c>
      <c r="F1032" s="73" t="s">
        <v>6082</v>
      </c>
      <c r="G1032" s="73" t="s">
        <v>3922</v>
      </c>
      <c r="H1032" s="108"/>
      <c r="I1032" s="85">
        <v>-999</v>
      </c>
      <c r="J1032" s="95">
        <v>-999</v>
      </c>
      <c r="K1032" s="131" t="s">
        <v>3177</v>
      </c>
      <c r="L1032" s="60">
        <v>-999</v>
      </c>
      <c r="M1032" s="33"/>
      <c r="N1032" s="35"/>
    </row>
    <row r="1033" spans="1:14" ht="14" x14ac:dyDescent="0.15">
      <c r="A1033" s="166" t="s">
        <v>2633</v>
      </c>
      <c r="B1033" s="82"/>
      <c r="C1033" s="70" t="s">
        <v>3636</v>
      </c>
      <c r="D1033" s="70" t="s">
        <v>3437</v>
      </c>
      <c r="E1033" s="70" t="s">
        <v>3457</v>
      </c>
      <c r="F1033" s="70" t="s">
        <v>6082</v>
      </c>
      <c r="G1033" s="70" t="s">
        <v>3018</v>
      </c>
      <c r="H1033" s="93"/>
      <c r="I1033" s="85">
        <f>LOG(J1033)</f>
        <v>1.8870500000000001</v>
      </c>
      <c r="J1033" s="85">
        <v>77.099222771549108</v>
      </c>
      <c r="K1033" s="131" t="s">
        <v>3177</v>
      </c>
      <c r="L1033" s="60">
        <v>60</v>
      </c>
    </row>
    <row r="1034" spans="1:14" ht="14" x14ac:dyDescent="0.15">
      <c r="A1034" s="166" t="s">
        <v>2633</v>
      </c>
      <c r="B1034" s="82"/>
      <c r="C1034" s="70" t="s">
        <v>3636</v>
      </c>
      <c r="D1034" s="70" t="s">
        <v>3437</v>
      </c>
      <c r="E1034" s="70" t="s">
        <v>3457</v>
      </c>
      <c r="F1034" s="70" t="s">
        <v>6082</v>
      </c>
      <c r="G1034" s="70" t="s">
        <v>5166</v>
      </c>
      <c r="H1034" s="93"/>
      <c r="I1034" s="85">
        <f>LOG(J1034)</f>
        <v>2.0170333392987803</v>
      </c>
      <c r="J1034" s="85">
        <v>104</v>
      </c>
      <c r="K1034" s="131" t="s">
        <v>3177</v>
      </c>
      <c r="L1034" s="60" t="s">
        <v>1267</v>
      </c>
      <c r="M1034" s="33"/>
    </row>
    <row r="1035" spans="1:14" ht="14" x14ac:dyDescent="0.15">
      <c r="A1035" s="166" t="s">
        <v>2633</v>
      </c>
      <c r="B1035" s="82"/>
      <c r="C1035" s="70" t="s">
        <v>3636</v>
      </c>
      <c r="D1035" s="70" t="s">
        <v>3437</v>
      </c>
      <c r="E1035" s="70" t="s">
        <v>3457</v>
      </c>
      <c r="F1035" s="70" t="s">
        <v>6082</v>
      </c>
      <c r="G1035" s="70" t="s">
        <v>4711</v>
      </c>
      <c r="H1035" s="93"/>
      <c r="I1035" s="85">
        <f>LOG(J1035)</f>
        <v>2.0289777052087778</v>
      </c>
      <c r="J1035" s="85">
        <f>AVERAGE(75,138.8)</f>
        <v>106.9</v>
      </c>
      <c r="K1035" s="131" t="s">
        <v>3177</v>
      </c>
      <c r="L1035" s="60" t="s">
        <v>1487</v>
      </c>
      <c r="N1035" s="37" t="s">
        <v>1486</v>
      </c>
    </row>
    <row r="1036" spans="1:14" ht="14" x14ac:dyDescent="0.15">
      <c r="A1036" s="166" t="s">
        <v>2633</v>
      </c>
      <c r="B1036" s="82"/>
      <c r="C1036" s="70" t="s">
        <v>3636</v>
      </c>
      <c r="D1036" s="70" t="s">
        <v>3437</v>
      </c>
      <c r="E1036" s="70" t="s">
        <v>3457</v>
      </c>
      <c r="F1036" s="70" t="s">
        <v>6082</v>
      </c>
      <c r="G1036" s="70" t="s">
        <v>3019</v>
      </c>
      <c r="H1036" s="93"/>
      <c r="I1036" s="85">
        <f>LOG(J1036)</f>
        <v>2.1072100000000002</v>
      </c>
      <c r="J1036" s="85">
        <v>128.00000894571116</v>
      </c>
      <c r="K1036" s="131" t="s">
        <v>3177</v>
      </c>
      <c r="L1036" s="60">
        <v>60</v>
      </c>
    </row>
    <row r="1037" spans="1:14" ht="14" x14ac:dyDescent="0.15">
      <c r="A1037" s="166" t="s">
        <v>2633</v>
      </c>
      <c r="B1037" s="82"/>
      <c r="C1037" s="70" t="s">
        <v>3636</v>
      </c>
      <c r="D1037" s="70" t="s">
        <v>3437</v>
      </c>
      <c r="E1037" s="70" t="s">
        <v>3457</v>
      </c>
      <c r="F1037" s="70" t="s">
        <v>4712</v>
      </c>
      <c r="G1037" s="70" t="s">
        <v>5644</v>
      </c>
      <c r="H1037" s="93"/>
      <c r="I1037" s="85">
        <v>-999</v>
      </c>
      <c r="J1037" s="85">
        <v>-999</v>
      </c>
      <c r="K1037" s="131" t="s">
        <v>6630</v>
      </c>
      <c r="L1037" s="60">
        <v>-999</v>
      </c>
      <c r="M1037" s="33" t="s">
        <v>6392</v>
      </c>
      <c r="N1037" s="35"/>
    </row>
    <row r="1038" spans="1:14" ht="14" x14ac:dyDescent="0.15">
      <c r="A1038" s="166" t="s">
        <v>2633</v>
      </c>
      <c r="B1038" s="82"/>
      <c r="C1038" s="70" t="s">
        <v>3636</v>
      </c>
      <c r="D1038" s="70" t="s">
        <v>3437</v>
      </c>
      <c r="E1038" s="70" t="s">
        <v>3457</v>
      </c>
      <c r="F1038" s="70" t="s">
        <v>4712</v>
      </c>
      <c r="G1038" s="70" t="s">
        <v>3013</v>
      </c>
      <c r="H1038" s="93"/>
      <c r="I1038" s="85">
        <f>LOG(J1038)</f>
        <v>1.8796692056320534</v>
      </c>
      <c r="J1038" s="85">
        <v>75.8</v>
      </c>
      <c r="K1038" s="131" t="s">
        <v>6630</v>
      </c>
      <c r="L1038" s="60">
        <v>125</v>
      </c>
      <c r="M1038" s="49" t="s">
        <v>6728</v>
      </c>
    </row>
    <row r="1039" spans="1:14" ht="14" x14ac:dyDescent="0.15">
      <c r="A1039" s="166" t="s">
        <v>2633</v>
      </c>
      <c r="B1039" s="82"/>
      <c r="C1039" s="70" t="s">
        <v>3636</v>
      </c>
      <c r="D1039" s="70" t="s">
        <v>3437</v>
      </c>
      <c r="E1039" s="70" t="s">
        <v>3457</v>
      </c>
      <c r="F1039" s="70" t="s">
        <v>4713</v>
      </c>
      <c r="G1039" s="70" t="s">
        <v>4714</v>
      </c>
      <c r="H1039" s="93"/>
      <c r="I1039" s="85">
        <f>LOG(J1039)</f>
        <v>1.7958800173440752</v>
      </c>
      <c r="J1039" s="85">
        <f>AVERAGE(50, 75)</f>
        <v>62.5</v>
      </c>
      <c r="K1039" s="131" t="s">
        <v>6391</v>
      </c>
      <c r="L1039" s="60">
        <v>116</v>
      </c>
      <c r="M1039" s="49" t="s">
        <v>6809</v>
      </c>
    </row>
    <row r="1040" spans="1:14" ht="14" x14ac:dyDescent="0.15">
      <c r="A1040" s="166" t="s">
        <v>2633</v>
      </c>
      <c r="B1040" s="82"/>
      <c r="C1040" s="70" t="s">
        <v>3636</v>
      </c>
      <c r="D1040" s="70" t="s">
        <v>3437</v>
      </c>
      <c r="E1040" s="70" t="s">
        <v>3457</v>
      </c>
      <c r="F1040" s="70" t="s">
        <v>4715</v>
      </c>
      <c r="G1040" s="70" t="s">
        <v>4717</v>
      </c>
      <c r="H1040" s="93"/>
      <c r="I1040" s="85">
        <f>LOG(J1040)</f>
        <v>3.1041455505540081</v>
      </c>
      <c r="J1040" s="85">
        <f>AVERAGE(1375, 1310, 1170, 1000, 1500)</f>
        <v>1271</v>
      </c>
      <c r="K1040" s="131" t="s">
        <v>3177</v>
      </c>
      <c r="L1040" s="60" t="s">
        <v>1481</v>
      </c>
      <c r="N1040" s="37" t="s">
        <v>1482</v>
      </c>
    </row>
    <row r="1041" spans="1:15" ht="14" x14ac:dyDescent="0.15">
      <c r="A1041" s="166" t="s">
        <v>2633</v>
      </c>
      <c r="B1041" s="82"/>
      <c r="C1041" s="70" t="s">
        <v>3636</v>
      </c>
      <c r="D1041" s="70" t="s">
        <v>3437</v>
      </c>
      <c r="E1041" s="70" t="s">
        <v>3457</v>
      </c>
      <c r="F1041" s="70" t="s">
        <v>4715</v>
      </c>
      <c r="G1041" s="70" t="s">
        <v>4716</v>
      </c>
      <c r="H1041" s="93"/>
      <c r="I1041" s="85">
        <f>LOG(J1041)</f>
        <v>3.1139400000000004</v>
      </c>
      <c r="J1041" s="85">
        <v>1299.9899653754551</v>
      </c>
      <c r="K1041" s="131" t="s">
        <v>3177</v>
      </c>
      <c r="L1041" s="60">
        <v>60</v>
      </c>
    </row>
    <row r="1042" spans="1:15" ht="14" x14ac:dyDescent="0.15">
      <c r="A1042" s="166" t="s">
        <v>2633</v>
      </c>
      <c r="B1042" s="93" t="s">
        <v>5789</v>
      </c>
      <c r="C1042" s="70" t="s">
        <v>3636</v>
      </c>
      <c r="D1042" s="70" t="s">
        <v>3437</v>
      </c>
      <c r="E1042" s="70" t="s">
        <v>3457</v>
      </c>
      <c r="F1042" s="70" t="s">
        <v>7413</v>
      </c>
      <c r="G1042" s="70" t="s">
        <v>6977</v>
      </c>
      <c r="H1042" s="93"/>
      <c r="I1042" s="85">
        <v>-999</v>
      </c>
      <c r="J1042" s="85">
        <v>-999</v>
      </c>
      <c r="K1042" s="131" t="s">
        <v>6391</v>
      </c>
      <c r="L1042" s="60">
        <v>-999</v>
      </c>
      <c r="M1042" s="33" t="s">
        <v>6392</v>
      </c>
      <c r="N1042" s="35"/>
    </row>
    <row r="1043" spans="1:15" ht="14" x14ac:dyDescent="0.15">
      <c r="A1043" s="166" t="s">
        <v>2633</v>
      </c>
      <c r="B1043" s="93" t="s">
        <v>2468</v>
      </c>
      <c r="C1043" s="70" t="s">
        <v>3636</v>
      </c>
      <c r="D1043" s="70" t="s">
        <v>3437</v>
      </c>
      <c r="E1043" s="70" t="s">
        <v>3457</v>
      </c>
      <c r="F1043" s="70" t="s">
        <v>7413</v>
      </c>
      <c r="G1043" s="70" t="s">
        <v>3804</v>
      </c>
      <c r="H1043" s="93"/>
      <c r="I1043" s="85">
        <v>-999</v>
      </c>
      <c r="J1043" s="85">
        <v>-999</v>
      </c>
      <c r="K1043" s="131" t="s">
        <v>6391</v>
      </c>
      <c r="L1043" s="60">
        <v>-999</v>
      </c>
      <c r="M1043" s="33" t="s">
        <v>6728</v>
      </c>
      <c r="N1043" s="35"/>
    </row>
    <row r="1044" spans="1:15" ht="14" x14ac:dyDescent="0.15">
      <c r="A1044" s="166" t="s">
        <v>2633</v>
      </c>
      <c r="B1044" s="82"/>
      <c r="C1044" s="70" t="s">
        <v>3636</v>
      </c>
      <c r="D1044" s="70" t="s">
        <v>3437</v>
      </c>
      <c r="E1044" s="70" t="s">
        <v>3457</v>
      </c>
      <c r="F1044" s="70" t="s">
        <v>7413</v>
      </c>
      <c r="G1044" s="70" t="s">
        <v>6440</v>
      </c>
      <c r="H1044" s="93"/>
      <c r="I1044" s="85">
        <v>-999</v>
      </c>
      <c r="J1044" s="85">
        <v>-999</v>
      </c>
      <c r="K1044" s="131" t="s">
        <v>6391</v>
      </c>
      <c r="L1044" s="60">
        <v>-999</v>
      </c>
      <c r="M1044" s="33" t="s">
        <v>6727</v>
      </c>
      <c r="N1044" s="35"/>
    </row>
    <row r="1045" spans="1:15" ht="14" x14ac:dyDescent="0.15">
      <c r="A1045" s="166" t="s">
        <v>2633</v>
      </c>
      <c r="B1045" s="82"/>
      <c r="C1045" s="70" t="s">
        <v>3636</v>
      </c>
      <c r="D1045" s="70" t="s">
        <v>3437</v>
      </c>
      <c r="E1045" s="70" t="s">
        <v>3457</v>
      </c>
      <c r="F1045" s="70" t="s">
        <v>7413</v>
      </c>
      <c r="G1045" s="70" t="s">
        <v>3390</v>
      </c>
      <c r="H1045" s="93"/>
      <c r="I1045" s="85">
        <v>-999</v>
      </c>
      <c r="J1045" s="85">
        <v>-999</v>
      </c>
      <c r="K1045" s="131" t="s">
        <v>6391</v>
      </c>
      <c r="L1045" s="60">
        <v>-999</v>
      </c>
      <c r="M1045" s="33" t="s">
        <v>6727</v>
      </c>
      <c r="N1045" s="35"/>
    </row>
    <row r="1046" spans="1:15" ht="14" x14ac:dyDescent="0.15">
      <c r="A1046" s="166" t="s">
        <v>2633</v>
      </c>
      <c r="B1046" s="82"/>
      <c r="C1046" s="70" t="s">
        <v>3636</v>
      </c>
      <c r="D1046" s="70" t="s">
        <v>3437</v>
      </c>
      <c r="E1046" s="70" t="s">
        <v>3457</v>
      </c>
      <c r="F1046" s="70" t="s">
        <v>7413</v>
      </c>
      <c r="G1046" s="70" t="s">
        <v>4443</v>
      </c>
      <c r="H1046" s="93"/>
      <c r="I1046" s="85">
        <f>LOG(J1046)</f>
        <v>2.1408221801093106</v>
      </c>
      <c r="J1046" s="85">
        <f>AVERAGE(128.5, 127, 176.5, 139.5, 120)</f>
        <v>138.30000000000001</v>
      </c>
      <c r="K1046" s="131" t="s">
        <v>6391</v>
      </c>
      <c r="L1046" s="60" t="s">
        <v>1490</v>
      </c>
      <c r="M1046" s="49" t="s">
        <v>6727</v>
      </c>
      <c r="N1046" s="37" t="s">
        <v>1491</v>
      </c>
    </row>
    <row r="1047" spans="1:15" ht="14" x14ac:dyDescent="0.15">
      <c r="A1047" s="166" t="s">
        <v>2633</v>
      </c>
      <c r="B1047" s="82"/>
      <c r="C1047" s="70" t="s">
        <v>3636</v>
      </c>
      <c r="D1047" s="70" t="s">
        <v>3437</v>
      </c>
      <c r="E1047" s="70" t="s">
        <v>3457</v>
      </c>
      <c r="F1047" s="70" t="s">
        <v>4444</v>
      </c>
      <c r="G1047" s="70" t="s">
        <v>4307</v>
      </c>
      <c r="H1047" s="93"/>
      <c r="I1047" s="85">
        <f>LOG(J1047)</f>
        <v>0.69896999999999998</v>
      </c>
      <c r="J1047" s="85">
        <v>4.9999999500797392</v>
      </c>
      <c r="K1047" s="131" t="s">
        <v>3177</v>
      </c>
      <c r="L1047" s="60" t="s">
        <v>2686</v>
      </c>
    </row>
    <row r="1048" spans="1:15" ht="14" x14ac:dyDescent="0.15">
      <c r="A1048" s="166" t="s">
        <v>2633</v>
      </c>
      <c r="B1048" s="93" t="s">
        <v>5854</v>
      </c>
      <c r="C1048" s="70" t="s">
        <v>3636</v>
      </c>
      <c r="D1048" s="70" t="s">
        <v>3437</v>
      </c>
      <c r="E1048" s="70" t="s">
        <v>3457</v>
      </c>
      <c r="F1048" s="70" t="s">
        <v>4308</v>
      </c>
      <c r="G1048" s="70" t="s">
        <v>3269</v>
      </c>
      <c r="H1048" s="93"/>
      <c r="I1048" s="85">
        <v>-999</v>
      </c>
      <c r="J1048" s="85">
        <v>-999</v>
      </c>
      <c r="K1048" s="131" t="s">
        <v>6630</v>
      </c>
      <c r="L1048" s="60">
        <v>-999</v>
      </c>
      <c r="M1048" s="33" t="s">
        <v>6392</v>
      </c>
      <c r="N1048" s="35"/>
    </row>
    <row r="1049" spans="1:15" ht="14" x14ac:dyDescent="0.15">
      <c r="A1049" s="166" t="s">
        <v>2633</v>
      </c>
      <c r="B1049" s="93" t="s">
        <v>2307</v>
      </c>
      <c r="C1049" s="73" t="s">
        <v>3636</v>
      </c>
      <c r="D1049" s="73" t="s">
        <v>3437</v>
      </c>
      <c r="E1049" s="70" t="s">
        <v>3457</v>
      </c>
      <c r="F1049" s="73" t="s">
        <v>4308</v>
      </c>
      <c r="G1049" s="73" t="s">
        <v>2867</v>
      </c>
      <c r="H1049" s="108"/>
      <c r="I1049" s="85">
        <v>-999</v>
      </c>
      <c r="J1049" s="95">
        <v>-999</v>
      </c>
      <c r="K1049" s="131" t="s">
        <v>3177</v>
      </c>
      <c r="L1049" s="60">
        <v>-999</v>
      </c>
      <c r="M1049" s="33"/>
      <c r="N1049" s="35"/>
    </row>
    <row r="1050" spans="1:15" ht="14" x14ac:dyDescent="0.15">
      <c r="A1050" s="166" t="s">
        <v>2633</v>
      </c>
      <c r="B1050" s="82"/>
      <c r="C1050" s="70" t="s">
        <v>3636</v>
      </c>
      <c r="D1050" s="70" t="s">
        <v>3437</v>
      </c>
      <c r="E1050" s="70" t="s">
        <v>3457</v>
      </c>
      <c r="F1050" s="70" t="s">
        <v>4308</v>
      </c>
      <c r="G1050" s="70" t="s">
        <v>3467</v>
      </c>
      <c r="H1050" s="93"/>
      <c r="I1050" s="85">
        <v>-999</v>
      </c>
      <c r="J1050" s="85">
        <v>-999</v>
      </c>
      <c r="K1050" s="131" t="s">
        <v>3177</v>
      </c>
      <c r="L1050" s="60">
        <v>-999</v>
      </c>
      <c r="M1050" s="33"/>
      <c r="N1050" s="35"/>
    </row>
    <row r="1051" spans="1:15" ht="14" x14ac:dyDescent="0.15">
      <c r="A1051" s="166" t="s">
        <v>2633</v>
      </c>
      <c r="B1051" s="93" t="s">
        <v>2502</v>
      </c>
      <c r="C1051" s="73" t="s">
        <v>3636</v>
      </c>
      <c r="D1051" s="73" t="s">
        <v>3437</v>
      </c>
      <c r="E1051" s="70" t="s">
        <v>3457</v>
      </c>
      <c r="F1051" s="73" t="s">
        <v>4308</v>
      </c>
      <c r="G1051" s="73" t="s">
        <v>7762</v>
      </c>
      <c r="H1051" s="108"/>
      <c r="I1051" s="85">
        <v>-999</v>
      </c>
      <c r="J1051" s="95">
        <v>-999</v>
      </c>
      <c r="K1051" s="131" t="s">
        <v>6391</v>
      </c>
      <c r="L1051" s="60">
        <v>-999</v>
      </c>
      <c r="M1051" s="33" t="s">
        <v>6728</v>
      </c>
      <c r="N1051" s="35"/>
    </row>
    <row r="1052" spans="1:15" ht="14" x14ac:dyDescent="0.15">
      <c r="A1052" s="166" t="s">
        <v>2633</v>
      </c>
      <c r="B1052" s="93" t="s">
        <v>2240</v>
      </c>
      <c r="C1052" s="70" t="s">
        <v>3636</v>
      </c>
      <c r="D1052" s="70" t="s">
        <v>3437</v>
      </c>
      <c r="E1052" s="70" t="s">
        <v>3457</v>
      </c>
      <c r="F1052" s="70" t="s">
        <v>4308</v>
      </c>
      <c r="G1052" s="70" t="s">
        <v>3468</v>
      </c>
      <c r="H1052" s="93"/>
      <c r="I1052" s="85">
        <v>-999</v>
      </c>
      <c r="J1052" s="85">
        <v>-999</v>
      </c>
      <c r="K1052" s="131" t="s">
        <v>6391</v>
      </c>
      <c r="L1052" s="60">
        <v>-999</v>
      </c>
      <c r="M1052" s="33" t="s">
        <v>6809</v>
      </c>
      <c r="N1052" s="35"/>
      <c r="O1052" s="35"/>
    </row>
    <row r="1053" spans="1:15" ht="14" x14ac:dyDescent="0.15">
      <c r="A1053" s="166" t="s">
        <v>2633</v>
      </c>
      <c r="B1053" s="82"/>
      <c r="C1053" s="70" t="s">
        <v>3636</v>
      </c>
      <c r="D1053" s="70" t="s">
        <v>3437</v>
      </c>
      <c r="E1053" s="70" t="s">
        <v>3457</v>
      </c>
      <c r="F1053" s="70" t="s">
        <v>4308</v>
      </c>
      <c r="G1053" s="70" t="s">
        <v>3017</v>
      </c>
      <c r="H1053" s="93"/>
      <c r="I1053" s="85">
        <f t="shared" ref="I1053:I1058" si="39">LOG(J1053)</f>
        <v>0.88742926638320685</v>
      </c>
      <c r="J1053" s="85">
        <f>AVERAGE(6.5, 9,7.64997472013233)</f>
        <v>7.7166582400441106</v>
      </c>
      <c r="K1053" s="131" t="s">
        <v>3177</v>
      </c>
      <c r="L1053" s="60" t="s">
        <v>6389</v>
      </c>
      <c r="N1053" s="37" t="s">
        <v>1591</v>
      </c>
    </row>
    <row r="1054" spans="1:15" ht="14" x14ac:dyDescent="0.15">
      <c r="A1054" s="166" t="s">
        <v>2633</v>
      </c>
      <c r="B1054" s="82"/>
      <c r="C1054" s="70" t="s">
        <v>3636</v>
      </c>
      <c r="D1054" s="70" t="s">
        <v>3437</v>
      </c>
      <c r="E1054" s="70" t="s">
        <v>3457</v>
      </c>
      <c r="F1054" s="70" t="s">
        <v>4308</v>
      </c>
      <c r="G1054" s="70" t="s">
        <v>4451</v>
      </c>
      <c r="H1054" s="93"/>
      <c r="I1054" s="85">
        <f t="shared" si="39"/>
        <v>0.95699121786747587</v>
      </c>
      <c r="J1054" s="85">
        <f>AVERAGE(11, 12, 6.7, 6.7, 10, 10, 7)</f>
        <v>9.0571428571428569</v>
      </c>
      <c r="K1054" s="131" t="s">
        <v>3177</v>
      </c>
      <c r="L1054" s="60" t="s">
        <v>1590</v>
      </c>
      <c r="N1054" s="37" t="s">
        <v>1672</v>
      </c>
    </row>
    <row r="1055" spans="1:15" ht="14" x14ac:dyDescent="0.15">
      <c r="A1055" s="166" t="s">
        <v>2633</v>
      </c>
      <c r="B1055" s="82"/>
      <c r="C1055" s="73" t="s">
        <v>3636</v>
      </c>
      <c r="D1055" s="73" t="s">
        <v>3437</v>
      </c>
      <c r="E1055" s="70" t="s">
        <v>3457</v>
      </c>
      <c r="F1055" s="73" t="s">
        <v>4308</v>
      </c>
      <c r="G1055" s="73" t="s">
        <v>6217</v>
      </c>
      <c r="H1055" s="108"/>
      <c r="I1055" s="85">
        <f t="shared" si="39"/>
        <v>1.043406973153213</v>
      </c>
      <c r="J1055" s="95">
        <f>AVERAGE(9.60227452406008, 12.5)</f>
        <v>11.051137262030039</v>
      </c>
      <c r="K1055" s="131" t="s">
        <v>3177</v>
      </c>
      <c r="L1055" s="60" t="s">
        <v>7555</v>
      </c>
      <c r="M1055" s="33"/>
      <c r="N1055" s="35"/>
    </row>
    <row r="1056" spans="1:15" ht="14" x14ac:dyDescent="0.15">
      <c r="A1056" s="166" t="s">
        <v>2633</v>
      </c>
      <c r="B1056" s="82"/>
      <c r="C1056" s="70" t="s">
        <v>3636</v>
      </c>
      <c r="D1056" s="70" t="s">
        <v>3437</v>
      </c>
      <c r="E1056" s="70" t="s">
        <v>3457</v>
      </c>
      <c r="F1056" s="70" t="s">
        <v>4308</v>
      </c>
      <c r="G1056" s="70" t="s">
        <v>7097</v>
      </c>
      <c r="H1056" s="93"/>
      <c r="I1056" s="85">
        <f t="shared" si="39"/>
        <v>1.0461047872460387</v>
      </c>
      <c r="J1056" s="85">
        <f>AVERAGE(8, 12, 10.6, 11, 14)</f>
        <v>11.120000000000001</v>
      </c>
      <c r="K1056" s="131" t="s">
        <v>3177</v>
      </c>
      <c r="L1056" s="60" t="s">
        <v>1756</v>
      </c>
    </row>
    <row r="1057" spans="1:14" ht="16" x14ac:dyDescent="0.2">
      <c r="A1057" s="166" t="s">
        <v>2633</v>
      </c>
      <c r="B1057" s="82"/>
      <c r="C1057" s="70" t="s">
        <v>3636</v>
      </c>
      <c r="D1057" s="70" t="s">
        <v>3437</v>
      </c>
      <c r="E1057" s="70" t="s">
        <v>3457</v>
      </c>
      <c r="F1057" s="70" t="s">
        <v>4308</v>
      </c>
      <c r="G1057" s="70" t="s">
        <v>3016</v>
      </c>
      <c r="H1057" s="93"/>
      <c r="I1057" s="85">
        <f t="shared" si="39"/>
        <v>1.07918</v>
      </c>
      <c r="J1057" s="85">
        <v>11.999965570481159</v>
      </c>
      <c r="K1057" s="131" t="s">
        <v>6630</v>
      </c>
      <c r="L1057" s="60">
        <v>60</v>
      </c>
      <c r="M1057" s="49" t="s">
        <v>6392</v>
      </c>
      <c r="N1057" s="48"/>
    </row>
    <row r="1058" spans="1:14" ht="14" x14ac:dyDescent="0.15">
      <c r="A1058" s="166" t="s">
        <v>2633</v>
      </c>
      <c r="B1058" s="82"/>
      <c r="C1058" s="70" t="s">
        <v>3636</v>
      </c>
      <c r="D1058" s="70" t="s">
        <v>3437</v>
      </c>
      <c r="E1058" s="70" t="s">
        <v>3457</v>
      </c>
      <c r="F1058" s="70" t="s">
        <v>4308</v>
      </c>
      <c r="G1058" s="70" t="s">
        <v>3910</v>
      </c>
      <c r="H1058" s="93"/>
      <c r="I1058" s="85">
        <f t="shared" si="39"/>
        <v>1.1760900000000003</v>
      </c>
      <c r="J1058" s="85">
        <v>14.999956513820401</v>
      </c>
      <c r="K1058" s="131" t="s">
        <v>3177</v>
      </c>
      <c r="L1058" s="60" t="s">
        <v>2686</v>
      </c>
    </row>
    <row r="1059" spans="1:14" ht="14" x14ac:dyDescent="0.15">
      <c r="A1059" s="166" t="s">
        <v>2633</v>
      </c>
      <c r="B1059" s="93" t="s">
        <v>2241</v>
      </c>
      <c r="C1059" s="70" t="s">
        <v>3636</v>
      </c>
      <c r="D1059" s="70" t="s">
        <v>3437</v>
      </c>
      <c r="E1059" s="70" t="s">
        <v>3457</v>
      </c>
      <c r="F1059" s="70" t="s">
        <v>3469</v>
      </c>
      <c r="G1059" s="70" t="s">
        <v>3470</v>
      </c>
      <c r="H1059" s="93"/>
      <c r="I1059" s="85">
        <v>-999</v>
      </c>
      <c r="J1059" s="85">
        <v>-999</v>
      </c>
      <c r="K1059" s="131" t="s">
        <v>6630</v>
      </c>
      <c r="L1059" s="60">
        <v>-999</v>
      </c>
      <c r="M1059" s="33" t="s">
        <v>6392</v>
      </c>
      <c r="N1059" s="35"/>
    </row>
    <row r="1060" spans="1:14" ht="14" x14ac:dyDescent="0.15">
      <c r="A1060" s="166" t="s">
        <v>2633</v>
      </c>
      <c r="B1060" s="82"/>
      <c r="C1060" s="70" t="s">
        <v>3636</v>
      </c>
      <c r="D1060" s="70" t="s">
        <v>3437</v>
      </c>
      <c r="E1060" s="70" t="s">
        <v>3457</v>
      </c>
      <c r="F1060" s="70" t="s">
        <v>3459</v>
      </c>
      <c r="G1060" s="70" t="s">
        <v>3460</v>
      </c>
      <c r="H1060" s="93"/>
      <c r="I1060" s="85">
        <f t="shared" ref="I1060:I1069" si="40">LOG(J1060)</f>
        <v>1.7923916894982539</v>
      </c>
      <c r="J1060" s="85">
        <v>62</v>
      </c>
      <c r="K1060" s="131" t="s">
        <v>3177</v>
      </c>
      <c r="L1060" s="60">
        <v>135</v>
      </c>
    </row>
    <row r="1061" spans="1:14" ht="14" x14ac:dyDescent="0.15">
      <c r="A1061" s="166" t="s">
        <v>2633</v>
      </c>
      <c r="B1061" s="82"/>
      <c r="C1061" s="70" t="s">
        <v>3636</v>
      </c>
      <c r="D1061" s="70" t="s">
        <v>3437</v>
      </c>
      <c r="E1061" s="70" t="s">
        <v>3457</v>
      </c>
      <c r="F1061" s="70" t="s">
        <v>3461</v>
      </c>
      <c r="G1061" s="70" t="s">
        <v>3462</v>
      </c>
      <c r="H1061" s="93"/>
      <c r="I1061" s="85">
        <f t="shared" si="40"/>
        <v>1.6339699999999999</v>
      </c>
      <c r="J1061" s="85">
        <v>43.049687179419706</v>
      </c>
      <c r="K1061" s="131" t="s">
        <v>3177</v>
      </c>
      <c r="L1061" s="60">
        <v>60</v>
      </c>
    </row>
    <row r="1062" spans="1:14" ht="14" x14ac:dyDescent="0.15">
      <c r="A1062" s="166" t="s">
        <v>2633</v>
      </c>
      <c r="B1062" s="93" t="s">
        <v>2265</v>
      </c>
      <c r="C1062" s="70" t="s">
        <v>3636</v>
      </c>
      <c r="D1062" s="70" t="s">
        <v>3437</v>
      </c>
      <c r="E1062" s="70" t="s">
        <v>3457</v>
      </c>
      <c r="F1062" s="70" t="s">
        <v>3461</v>
      </c>
      <c r="G1062" s="70" t="s">
        <v>6168</v>
      </c>
      <c r="H1062" s="93"/>
      <c r="I1062" s="85">
        <f t="shared" si="40"/>
        <v>1.7201593034059568</v>
      </c>
      <c r="J1062" s="85">
        <f>AVERAGE(40, 65)</f>
        <v>52.5</v>
      </c>
      <c r="K1062" s="131" t="s">
        <v>3177</v>
      </c>
      <c r="L1062" s="60">
        <v>70</v>
      </c>
    </row>
    <row r="1063" spans="1:14" ht="14" x14ac:dyDescent="0.15">
      <c r="A1063" s="166" t="s">
        <v>2633</v>
      </c>
      <c r="B1063" s="82"/>
      <c r="C1063" s="70" t="s">
        <v>3636</v>
      </c>
      <c r="D1063" s="70" t="s">
        <v>3437</v>
      </c>
      <c r="E1063" s="70" t="s">
        <v>3457</v>
      </c>
      <c r="F1063" s="70" t="s">
        <v>3427</v>
      </c>
      <c r="G1063" s="70" t="s">
        <v>3428</v>
      </c>
      <c r="H1063" s="93"/>
      <c r="I1063" s="85">
        <f t="shared" si="40"/>
        <v>1</v>
      </c>
      <c r="J1063" s="85">
        <v>10</v>
      </c>
      <c r="K1063" s="131" t="s">
        <v>3177</v>
      </c>
      <c r="L1063" s="60">
        <v>56</v>
      </c>
    </row>
    <row r="1064" spans="1:14" ht="16" x14ac:dyDescent="0.2">
      <c r="A1064" s="166" t="s">
        <v>2633</v>
      </c>
      <c r="B1064" s="82"/>
      <c r="C1064" s="70" t="s">
        <v>3636</v>
      </c>
      <c r="D1064" s="70" t="s">
        <v>3437</v>
      </c>
      <c r="E1064" s="70" t="s">
        <v>3457</v>
      </c>
      <c r="F1064" s="70" t="s">
        <v>3907</v>
      </c>
      <c r="G1064" s="70" t="s">
        <v>3232</v>
      </c>
      <c r="H1064" s="93"/>
      <c r="I1064" s="85">
        <f t="shared" si="40"/>
        <v>1.7267300000000003</v>
      </c>
      <c r="J1064" s="85">
        <v>53.300342531088724</v>
      </c>
      <c r="K1064" s="131" t="s">
        <v>3177</v>
      </c>
      <c r="L1064" s="60">
        <v>60</v>
      </c>
      <c r="N1064" s="48"/>
    </row>
    <row r="1065" spans="1:14" ht="14" x14ac:dyDescent="0.15">
      <c r="A1065" s="166" t="s">
        <v>2633</v>
      </c>
      <c r="B1065" s="93" t="s">
        <v>5921</v>
      </c>
      <c r="C1065" s="70" t="s">
        <v>3636</v>
      </c>
      <c r="D1065" s="70" t="s">
        <v>3437</v>
      </c>
      <c r="E1065" s="70" t="s">
        <v>3457</v>
      </c>
      <c r="F1065" s="70" t="s">
        <v>6482</v>
      </c>
      <c r="G1065" s="70" t="s">
        <v>6149</v>
      </c>
      <c r="H1065" s="93"/>
      <c r="I1065" s="85">
        <f t="shared" si="40"/>
        <v>1.954242509439325</v>
      </c>
      <c r="J1065" s="85">
        <v>90</v>
      </c>
      <c r="K1065" s="131" t="s">
        <v>3177</v>
      </c>
      <c r="L1065" s="60">
        <v>70</v>
      </c>
    </row>
    <row r="1066" spans="1:14" ht="14" x14ac:dyDescent="0.15">
      <c r="A1066" s="166" t="s">
        <v>2633</v>
      </c>
      <c r="B1066" s="82"/>
      <c r="C1066" s="70" t="s">
        <v>3636</v>
      </c>
      <c r="D1066" s="70" t="s">
        <v>3437</v>
      </c>
      <c r="E1066" s="70" t="s">
        <v>3457</v>
      </c>
      <c r="F1066" s="70" t="s">
        <v>3271</v>
      </c>
      <c r="G1066" s="70" t="s">
        <v>3272</v>
      </c>
      <c r="H1066" s="93"/>
      <c r="I1066" s="85">
        <f t="shared" si="40"/>
        <v>1.3673600000000001</v>
      </c>
      <c r="J1066" s="85">
        <v>23.300218838930814</v>
      </c>
      <c r="K1066" s="131" t="s">
        <v>3177</v>
      </c>
      <c r="L1066" s="60">
        <v>60</v>
      </c>
    </row>
    <row r="1067" spans="1:14" ht="14" x14ac:dyDescent="0.15">
      <c r="A1067" s="166" t="s">
        <v>2633</v>
      </c>
      <c r="B1067" s="82"/>
      <c r="C1067" s="70" t="s">
        <v>3636</v>
      </c>
      <c r="D1067" s="70" t="s">
        <v>3437</v>
      </c>
      <c r="E1067" s="70" t="s">
        <v>3457</v>
      </c>
      <c r="F1067" s="70" t="s">
        <v>3271</v>
      </c>
      <c r="G1067" s="70" t="s">
        <v>3705</v>
      </c>
      <c r="H1067" s="93"/>
      <c r="I1067" s="85">
        <f t="shared" si="40"/>
        <v>1.4913600000000002</v>
      </c>
      <c r="J1067" s="85">
        <v>30.999879094111858</v>
      </c>
      <c r="K1067" s="131" t="s">
        <v>3177</v>
      </c>
      <c r="L1067" s="60">
        <v>60</v>
      </c>
    </row>
    <row r="1068" spans="1:14" ht="14" x14ac:dyDescent="0.15">
      <c r="A1068" s="166" t="s">
        <v>2633</v>
      </c>
      <c r="B1068" s="82"/>
      <c r="C1068" s="70" t="s">
        <v>3636</v>
      </c>
      <c r="D1068" s="70" t="s">
        <v>3437</v>
      </c>
      <c r="E1068" s="70" t="s">
        <v>3457</v>
      </c>
      <c r="F1068" s="70" t="s">
        <v>3271</v>
      </c>
      <c r="G1068" s="70" t="s">
        <v>3906</v>
      </c>
      <c r="H1068" s="93"/>
      <c r="I1068" s="85">
        <f t="shared" si="40"/>
        <v>1.5471600000000001</v>
      </c>
      <c r="J1068" s="85">
        <v>35.250071318520412</v>
      </c>
      <c r="K1068" s="131" t="s">
        <v>3177</v>
      </c>
      <c r="L1068" s="60">
        <v>60</v>
      </c>
    </row>
    <row r="1069" spans="1:14" ht="14" x14ac:dyDescent="0.15">
      <c r="A1069" s="166" t="s">
        <v>2633</v>
      </c>
      <c r="B1069" s="82"/>
      <c r="C1069" s="70" t="s">
        <v>3636</v>
      </c>
      <c r="D1069" s="70" t="s">
        <v>3437</v>
      </c>
      <c r="E1069" s="70" t="s">
        <v>3457</v>
      </c>
      <c r="F1069" s="70" t="s">
        <v>3271</v>
      </c>
      <c r="G1069" s="70" t="s">
        <v>3234</v>
      </c>
      <c r="H1069" s="93"/>
      <c r="I1069" s="85">
        <f t="shared" si="40"/>
        <v>1.5831999999999999</v>
      </c>
      <c r="J1069" s="85">
        <v>38.300108122644858</v>
      </c>
      <c r="K1069" s="131" t="s">
        <v>3177</v>
      </c>
      <c r="L1069" s="60">
        <v>60</v>
      </c>
    </row>
    <row r="1070" spans="1:14" ht="14" x14ac:dyDescent="0.15">
      <c r="A1070" s="166" t="s">
        <v>2633</v>
      </c>
      <c r="B1070" s="93" t="s">
        <v>2497</v>
      </c>
      <c r="C1070" s="70" t="s">
        <v>3636</v>
      </c>
      <c r="D1070" s="70" t="s">
        <v>3437</v>
      </c>
      <c r="E1070" s="70" t="s">
        <v>3457</v>
      </c>
      <c r="F1070" s="70" t="s">
        <v>4593</v>
      </c>
      <c r="G1070" s="70" t="s">
        <v>3967</v>
      </c>
      <c r="H1070" s="93"/>
      <c r="I1070" s="85">
        <v>-999</v>
      </c>
      <c r="J1070" s="85">
        <v>-999</v>
      </c>
      <c r="K1070" s="131" t="s">
        <v>3177</v>
      </c>
      <c r="L1070" s="60">
        <v>-999</v>
      </c>
      <c r="M1070" s="33"/>
      <c r="N1070" s="35"/>
    </row>
    <row r="1071" spans="1:14" ht="28" x14ac:dyDescent="0.15">
      <c r="A1071" s="166" t="s">
        <v>2633</v>
      </c>
      <c r="B1071" s="93" t="s">
        <v>2350</v>
      </c>
      <c r="C1071" s="73" t="s">
        <v>3636</v>
      </c>
      <c r="D1071" s="73" t="s">
        <v>3437</v>
      </c>
      <c r="E1071" s="70" t="s">
        <v>3457</v>
      </c>
      <c r="F1071" s="73" t="s">
        <v>4593</v>
      </c>
      <c r="G1071" s="73" t="s">
        <v>3968</v>
      </c>
      <c r="H1071" s="108"/>
      <c r="I1071" s="85">
        <v>-999</v>
      </c>
      <c r="J1071" s="95">
        <v>-999</v>
      </c>
      <c r="K1071" s="131" t="s">
        <v>3177</v>
      </c>
      <c r="L1071" s="60">
        <v>-999</v>
      </c>
      <c r="M1071" s="33"/>
      <c r="N1071" s="35"/>
    </row>
    <row r="1072" spans="1:14" ht="14" x14ac:dyDescent="0.15">
      <c r="A1072" s="166" t="s">
        <v>2633</v>
      </c>
      <c r="B1072" s="93" t="s">
        <v>5921</v>
      </c>
      <c r="C1072" s="70" t="s">
        <v>3636</v>
      </c>
      <c r="D1072" s="70" t="s">
        <v>3437</v>
      </c>
      <c r="E1072" s="70" t="s">
        <v>3457</v>
      </c>
      <c r="F1072" s="70" t="s">
        <v>4593</v>
      </c>
      <c r="G1072" s="70" t="s">
        <v>7982</v>
      </c>
      <c r="H1072" s="93"/>
      <c r="I1072" s="85">
        <v>-999</v>
      </c>
      <c r="J1072" s="85">
        <v>-999</v>
      </c>
      <c r="K1072" s="131" t="s">
        <v>6391</v>
      </c>
      <c r="L1072" s="60">
        <v>-999</v>
      </c>
      <c r="M1072" s="33" t="s">
        <v>6809</v>
      </c>
      <c r="N1072" s="35"/>
    </row>
    <row r="1073" spans="1:14" ht="14" x14ac:dyDescent="0.15">
      <c r="A1073" s="166" t="s">
        <v>2633</v>
      </c>
      <c r="B1073" s="93" t="s">
        <v>2430</v>
      </c>
      <c r="C1073" s="73" t="s">
        <v>3636</v>
      </c>
      <c r="D1073" s="73" t="s">
        <v>3437</v>
      </c>
      <c r="E1073" s="70" t="s">
        <v>3457</v>
      </c>
      <c r="F1073" s="73" t="s">
        <v>4593</v>
      </c>
      <c r="G1073" s="73" t="s">
        <v>7983</v>
      </c>
      <c r="H1073" s="108"/>
      <c r="I1073" s="85">
        <v>-999</v>
      </c>
      <c r="J1073" s="95">
        <v>-999</v>
      </c>
      <c r="K1073" s="131" t="s">
        <v>6391</v>
      </c>
      <c r="L1073" s="60">
        <v>-999</v>
      </c>
      <c r="M1073" s="33" t="s">
        <v>6728</v>
      </c>
      <c r="N1073" s="35"/>
    </row>
    <row r="1074" spans="1:14" ht="14" x14ac:dyDescent="0.15">
      <c r="A1074" s="166" t="s">
        <v>2633</v>
      </c>
      <c r="B1074" s="93" t="s">
        <v>2431</v>
      </c>
      <c r="C1074" s="70" t="s">
        <v>3636</v>
      </c>
      <c r="D1074" s="70" t="s">
        <v>3437</v>
      </c>
      <c r="E1074" s="70" t="s">
        <v>3457</v>
      </c>
      <c r="F1074" s="70" t="s">
        <v>4593</v>
      </c>
      <c r="G1074" s="70" t="s">
        <v>5522</v>
      </c>
      <c r="H1074" s="93"/>
      <c r="I1074" s="85">
        <v>-999</v>
      </c>
      <c r="J1074" s="85">
        <v>-999</v>
      </c>
      <c r="K1074" s="131" t="s">
        <v>3177</v>
      </c>
      <c r="L1074" s="60">
        <v>-999</v>
      </c>
      <c r="M1074" s="33"/>
      <c r="N1074" s="35"/>
    </row>
    <row r="1075" spans="1:14" ht="14" x14ac:dyDescent="0.15">
      <c r="A1075" s="166" t="s">
        <v>2633</v>
      </c>
      <c r="B1075" s="93" t="s">
        <v>2497</v>
      </c>
      <c r="C1075" s="70" t="s">
        <v>3636</v>
      </c>
      <c r="D1075" s="73" t="s">
        <v>3437</v>
      </c>
      <c r="E1075" s="70" t="s">
        <v>3457</v>
      </c>
      <c r="F1075" s="73" t="s">
        <v>4593</v>
      </c>
      <c r="G1075" s="73" t="s">
        <v>5523</v>
      </c>
      <c r="H1075" s="108"/>
      <c r="I1075" s="85">
        <v>-999</v>
      </c>
      <c r="J1075" s="95">
        <v>-999</v>
      </c>
      <c r="K1075" s="131" t="s">
        <v>3177</v>
      </c>
      <c r="L1075" s="60">
        <v>-999</v>
      </c>
      <c r="M1075" s="33"/>
      <c r="N1075" s="35"/>
    </row>
    <row r="1076" spans="1:14" ht="14" x14ac:dyDescent="0.15">
      <c r="A1076" s="166" t="s">
        <v>2633</v>
      </c>
      <c r="B1076" s="93" t="s">
        <v>2432</v>
      </c>
      <c r="C1076" s="73" t="s">
        <v>3636</v>
      </c>
      <c r="D1076" s="73" t="s">
        <v>3437</v>
      </c>
      <c r="E1076" s="70" t="s">
        <v>3457</v>
      </c>
      <c r="F1076" s="73" t="s">
        <v>4593</v>
      </c>
      <c r="G1076" s="73" t="s">
        <v>3761</v>
      </c>
      <c r="H1076" s="108"/>
      <c r="I1076" s="85">
        <v>-999</v>
      </c>
      <c r="J1076" s="95">
        <v>-999</v>
      </c>
      <c r="K1076" s="131" t="s">
        <v>6391</v>
      </c>
      <c r="L1076" s="60">
        <v>-999</v>
      </c>
      <c r="M1076" s="33" t="s">
        <v>6728</v>
      </c>
      <c r="N1076" s="35"/>
    </row>
    <row r="1077" spans="1:14" ht="14" x14ac:dyDescent="0.15">
      <c r="A1077" s="166" t="s">
        <v>2633</v>
      </c>
      <c r="B1077" s="93" t="s">
        <v>2275</v>
      </c>
      <c r="C1077" s="73" t="s">
        <v>3636</v>
      </c>
      <c r="D1077" s="73" t="s">
        <v>3437</v>
      </c>
      <c r="E1077" s="70" t="s">
        <v>3457</v>
      </c>
      <c r="F1077" s="73" t="s">
        <v>4593</v>
      </c>
      <c r="G1077" s="73" t="s">
        <v>7929</v>
      </c>
      <c r="H1077" s="108"/>
      <c r="I1077" s="85">
        <v>-999</v>
      </c>
      <c r="J1077" s="95">
        <v>-999</v>
      </c>
      <c r="K1077" s="131" t="s">
        <v>6630</v>
      </c>
      <c r="L1077" s="60">
        <v>-999</v>
      </c>
      <c r="M1077" s="33" t="s">
        <v>6809</v>
      </c>
      <c r="N1077" s="35"/>
    </row>
    <row r="1078" spans="1:14" ht="14" x14ac:dyDescent="0.15">
      <c r="A1078" s="166" t="s">
        <v>2633</v>
      </c>
      <c r="B1078" s="93" t="s">
        <v>2112</v>
      </c>
      <c r="C1078" s="70" t="s">
        <v>3636</v>
      </c>
      <c r="D1078" s="70" t="s">
        <v>3437</v>
      </c>
      <c r="E1078" s="70" t="s">
        <v>3457</v>
      </c>
      <c r="F1078" s="70" t="s">
        <v>4593</v>
      </c>
      <c r="G1078" s="70" t="s">
        <v>7930</v>
      </c>
      <c r="H1078" s="93"/>
      <c r="I1078" s="85">
        <v>-999</v>
      </c>
      <c r="J1078" s="85">
        <v>-999</v>
      </c>
      <c r="K1078" s="131" t="s">
        <v>6630</v>
      </c>
      <c r="L1078" s="60">
        <v>-999</v>
      </c>
      <c r="M1078" s="33" t="s">
        <v>6809</v>
      </c>
      <c r="N1078" s="35"/>
    </row>
    <row r="1079" spans="1:14" ht="14" x14ac:dyDescent="0.15">
      <c r="A1079" s="166" t="s">
        <v>2633</v>
      </c>
      <c r="B1079" s="93" t="s">
        <v>2432</v>
      </c>
      <c r="C1079" s="70" t="s">
        <v>3636</v>
      </c>
      <c r="D1079" s="70" t="s">
        <v>3437</v>
      </c>
      <c r="E1079" s="70" t="s">
        <v>3457</v>
      </c>
      <c r="F1079" s="70" t="s">
        <v>4593</v>
      </c>
      <c r="G1079" s="70" t="s">
        <v>5750</v>
      </c>
      <c r="H1079" s="93"/>
      <c r="I1079" s="85">
        <v>-999</v>
      </c>
      <c r="J1079" s="85">
        <v>-999</v>
      </c>
      <c r="K1079" s="131" t="s">
        <v>3177</v>
      </c>
      <c r="L1079" s="60">
        <v>-999</v>
      </c>
      <c r="M1079" s="33"/>
      <c r="N1079" s="35"/>
    </row>
    <row r="1080" spans="1:14" ht="14" x14ac:dyDescent="0.15">
      <c r="A1080" s="166" t="s">
        <v>2633</v>
      </c>
      <c r="B1080" s="93" t="s">
        <v>2220</v>
      </c>
      <c r="C1080" s="73" t="s">
        <v>3636</v>
      </c>
      <c r="D1080" s="73" t="s">
        <v>3437</v>
      </c>
      <c r="E1080" s="70" t="s">
        <v>3457</v>
      </c>
      <c r="F1080" s="73" t="s">
        <v>4593</v>
      </c>
      <c r="G1080" s="73" t="s">
        <v>6550</v>
      </c>
      <c r="H1080" s="108"/>
      <c r="I1080" s="85">
        <v>-999</v>
      </c>
      <c r="J1080" s="95">
        <v>-999</v>
      </c>
      <c r="K1080" s="131" t="s">
        <v>3177</v>
      </c>
      <c r="L1080" s="60">
        <v>-999</v>
      </c>
      <c r="M1080" s="33"/>
      <c r="N1080" s="35"/>
    </row>
    <row r="1081" spans="1:14" ht="14" x14ac:dyDescent="0.15">
      <c r="A1081" s="166" t="s">
        <v>2633</v>
      </c>
      <c r="B1081" s="93" t="s">
        <v>2344</v>
      </c>
      <c r="C1081" s="70" t="s">
        <v>3636</v>
      </c>
      <c r="D1081" s="70" t="s">
        <v>3437</v>
      </c>
      <c r="E1081" s="70" t="s">
        <v>3457</v>
      </c>
      <c r="F1081" s="70" t="s">
        <v>4593</v>
      </c>
      <c r="G1081" s="70" t="s">
        <v>7181</v>
      </c>
      <c r="H1081" s="93"/>
      <c r="I1081" s="85">
        <v>-999</v>
      </c>
      <c r="J1081" s="85">
        <v>-999</v>
      </c>
      <c r="K1081" s="131" t="s">
        <v>6630</v>
      </c>
      <c r="L1081" s="60">
        <v>-999</v>
      </c>
      <c r="M1081" s="33" t="s">
        <v>6809</v>
      </c>
      <c r="N1081" s="35"/>
    </row>
    <row r="1082" spans="1:14" ht="14" x14ac:dyDescent="0.15">
      <c r="A1082" s="166" t="s">
        <v>2633</v>
      </c>
      <c r="B1082" s="93" t="s">
        <v>2345</v>
      </c>
      <c r="C1082" s="70" t="s">
        <v>3636</v>
      </c>
      <c r="D1082" s="70" t="s">
        <v>3437</v>
      </c>
      <c r="E1082" s="70" t="s">
        <v>3457</v>
      </c>
      <c r="F1082" s="70" t="s">
        <v>4593</v>
      </c>
      <c r="G1082" s="70" t="s">
        <v>6280</v>
      </c>
      <c r="H1082" s="93"/>
      <c r="I1082" s="85">
        <v>-999</v>
      </c>
      <c r="J1082" s="85">
        <v>-999</v>
      </c>
      <c r="K1082" s="131" t="s">
        <v>3177</v>
      </c>
      <c r="L1082" s="60">
        <v>-999</v>
      </c>
      <c r="M1082" s="33"/>
      <c r="N1082" s="35"/>
    </row>
    <row r="1083" spans="1:14" ht="14" x14ac:dyDescent="0.15">
      <c r="A1083" s="166" t="s">
        <v>2633</v>
      </c>
      <c r="B1083" s="93" t="s">
        <v>2348</v>
      </c>
      <c r="C1083" s="73" t="s">
        <v>3636</v>
      </c>
      <c r="D1083" s="73" t="s">
        <v>3437</v>
      </c>
      <c r="E1083" s="70" t="s">
        <v>3457</v>
      </c>
      <c r="F1083" s="73" t="s">
        <v>4593</v>
      </c>
      <c r="G1083" s="73" t="s">
        <v>6557</v>
      </c>
      <c r="H1083" s="108"/>
      <c r="I1083" s="85">
        <v>-999</v>
      </c>
      <c r="J1083" s="95">
        <v>-999</v>
      </c>
      <c r="K1083" s="131" t="s">
        <v>6630</v>
      </c>
      <c r="L1083" s="60">
        <v>-999</v>
      </c>
      <c r="M1083" s="33" t="s">
        <v>6809</v>
      </c>
      <c r="N1083" s="35"/>
    </row>
    <row r="1084" spans="1:14" ht="14" x14ac:dyDescent="0.15">
      <c r="A1084" s="166" t="s">
        <v>2633</v>
      </c>
      <c r="B1084" s="82"/>
      <c r="C1084" s="73" t="s">
        <v>3636</v>
      </c>
      <c r="D1084" s="73" t="s">
        <v>3437</v>
      </c>
      <c r="E1084" s="70" t="s">
        <v>3457</v>
      </c>
      <c r="F1084" s="73" t="s">
        <v>4593</v>
      </c>
      <c r="G1084" s="73" t="s">
        <v>5889</v>
      </c>
      <c r="H1084" s="108"/>
      <c r="I1084" s="85">
        <v>-999</v>
      </c>
      <c r="J1084" s="95">
        <v>-999</v>
      </c>
      <c r="K1084" s="131" t="s">
        <v>3177</v>
      </c>
      <c r="L1084" s="60">
        <v>-999</v>
      </c>
      <c r="M1084" s="33"/>
      <c r="N1084" s="35"/>
    </row>
    <row r="1085" spans="1:14" ht="17" x14ac:dyDescent="0.2">
      <c r="A1085" s="166" t="s">
        <v>2633</v>
      </c>
      <c r="B1085" s="93" t="s">
        <v>2349</v>
      </c>
      <c r="C1085" s="70" t="s">
        <v>3636</v>
      </c>
      <c r="D1085" s="70" t="s">
        <v>3437</v>
      </c>
      <c r="E1085" s="70" t="s">
        <v>3457</v>
      </c>
      <c r="F1085" s="70" t="s">
        <v>4593</v>
      </c>
      <c r="G1085" s="70" t="s">
        <v>5152</v>
      </c>
      <c r="H1085" s="93"/>
      <c r="I1085" s="85">
        <v>-999</v>
      </c>
      <c r="J1085" s="85">
        <v>-999</v>
      </c>
      <c r="K1085" s="131" t="s">
        <v>6391</v>
      </c>
      <c r="L1085" s="60">
        <v>-999</v>
      </c>
      <c r="M1085" s="47" t="s">
        <v>6809</v>
      </c>
      <c r="N1085" s="35"/>
    </row>
    <row r="1086" spans="1:14" ht="14" x14ac:dyDescent="0.15">
      <c r="A1086" s="166" t="s">
        <v>2633</v>
      </c>
      <c r="B1086" s="93" t="s">
        <v>2343</v>
      </c>
      <c r="C1086" s="70" t="s">
        <v>3636</v>
      </c>
      <c r="D1086" s="70" t="s">
        <v>3437</v>
      </c>
      <c r="E1086" s="70" t="s">
        <v>3457</v>
      </c>
      <c r="F1086" s="70" t="s">
        <v>4593</v>
      </c>
      <c r="G1086" s="70" t="s">
        <v>6282</v>
      </c>
      <c r="H1086" s="93"/>
      <c r="I1086" s="85">
        <v>-999</v>
      </c>
      <c r="J1086" s="85">
        <v>-999</v>
      </c>
      <c r="K1086" s="131" t="s">
        <v>3177</v>
      </c>
      <c r="L1086" s="60">
        <v>-999</v>
      </c>
      <c r="M1086" s="33"/>
      <c r="N1086" s="35"/>
    </row>
    <row r="1087" spans="1:14" ht="14" x14ac:dyDescent="0.15">
      <c r="A1087" s="166" t="s">
        <v>2633</v>
      </c>
      <c r="B1087" s="93" t="s">
        <v>2497</v>
      </c>
      <c r="C1087" s="70" t="s">
        <v>3636</v>
      </c>
      <c r="D1087" s="70" t="s">
        <v>3437</v>
      </c>
      <c r="E1087" s="70" t="s">
        <v>3457</v>
      </c>
      <c r="F1087" s="70" t="s">
        <v>4593</v>
      </c>
      <c r="G1087" s="70" t="s">
        <v>6554</v>
      </c>
      <c r="H1087" s="93"/>
      <c r="I1087" s="85">
        <v>-999</v>
      </c>
      <c r="J1087" s="85">
        <v>-999</v>
      </c>
      <c r="K1087" s="131" t="s">
        <v>3177</v>
      </c>
      <c r="L1087" s="60">
        <v>-999</v>
      </c>
      <c r="M1087" s="33"/>
      <c r="N1087" s="35"/>
    </row>
    <row r="1088" spans="1:14" ht="14" x14ac:dyDescent="0.15">
      <c r="A1088" s="166" t="s">
        <v>2633</v>
      </c>
      <c r="B1088" s="93" t="s">
        <v>2432</v>
      </c>
      <c r="C1088" s="70" t="s">
        <v>3636</v>
      </c>
      <c r="D1088" s="70" t="s">
        <v>3437</v>
      </c>
      <c r="E1088" s="70" t="s">
        <v>3457</v>
      </c>
      <c r="F1088" s="70" t="s">
        <v>4593</v>
      </c>
      <c r="G1088" s="70" t="s">
        <v>6556</v>
      </c>
      <c r="H1088" s="93"/>
      <c r="I1088" s="85">
        <v>-999</v>
      </c>
      <c r="J1088" s="85">
        <v>-999</v>
      </c>
      <c r="K1088" s="131" t="s">
        <v>6630</v>
      </c>
      <c r="L1088" s="60">
        <v>-999</v>
      </c>
      <c r="M1088" s="33" t="s">
        <v>6809</v>
      </c>
    </row>
    <row r="1089" spans="1:14" ht="14" x14ac:dyDescent="0.15">
      <c r="A1089" s="166" t="s">
        <v>2633</v>
      </c>
      <c r="B1089" s="93" t="s">
        <v>5832</v>
      </c>
      <c r="C1089" s="73" t="s">
        <v>3636</v>
      </c>
      <c r="D1089" s="73" t="s">
        <v>3437</v>
      </c>
      <c r="E1089" s="70" t="s">
        <v>3457</v>
      </c>
      <c r="F1089" s="73" t="s">
        <v>4593</v>
      </c>
      <c r="G1089" s="73" t="s">
        <v>6277</v>
      </c>
      <c r="H1089" s="108"/>
      <c r="I1089" s="85">
        <v>-999</v>
      </c>
      <c r="J1089" s="95">
        <v>-999</v>
      </c>
      <c r="K1089" s="131" t="s">
        <v>3177</v>
      </c>
      <c r="L1089" s="60">
        <v>-999</v>
      </c>
      <c r="M1089" s="33"/>
    </row>
    <row r="1090" spans="1:14" ht="17" x14ac:dyDescent="0.2">
      <c r="A1090" s="166" t="s">
        <v>2633</v>
      </c>
      <c r="B1090" s="93" t="s">
        <v>2349</v>
      </c>
      <c r="C1090" s="73" t="s">
        <v>3636</v>
      </c>
      <c r="D1090" s="73" t="s">
        <v>3437</v>
      </c>
      <c r="E1090" s="70" t="s">
        <v>3457</v>
      </c>
      <c r="F1090" s="73" t="s">
        <v>4593</v>
      </c>
      <c r="G1090" s="73" t="s">
        <v>5894</v>
      </c>
      <c r="H1090" s="108"/>
      <c r="I1090" s="85">
        <v>-999</v>
      </c>
      <c r="J1090" s="95">
        <v>-999</v>
      </c>
      <c r="K1090" s="131" t="s">
        <v>6630</v>
      </c>
      <c r="L1090" s="60">
        <v>-999</v>
      </c>
      <c r="M1090" s="47" t="s">
        <v>6728</v>
      </c>
    </row>
    <row r="1091" spans="1:14" ht="14" x14ac:dyDescent="0.15">
      <c r="A1091" s="166" t="s">
        <v>2633</v>
      </c>
      <c r="B1091" s="93" t="s">
        <v>2643</v>
      </c>
      <c r="C1091" s="70" t="s">
        <v>3636</v>
      </c>
      <c r="D1091" s="70" t="s">
        <v>3437</v>
      </c>
      <c r="E1091" s="70" t="s">
        <v>3457</v>
      </c>
      <c r="F1091" s="70" t="s">
        <v>4593</v>
      </c>
      <c r="G1091" s="70" t="s">
        <v>5899</v>
      </c>
      <c r="H1091" s="93"/>
      <c r="I1091" s="85">
        <v>-999</v>
      </c>
      <c r="J1091" s="85">
        <v>-999</v>
      </c>
      <c r="K1091" s="131" t="s">
        <v>6630</v>
      </c>
      <c r="L1091" s="60">
        <v>-999</v>
      </c>
      <c r="M1091" s="33" t="s">
        <v>6809</v>
      </c>
    </row>
    <row r="1092" spans="1:14" ht="14" x14ac:dyDescent="0.15">
      <c r="A1092" s="166" t="s">
        <v>2633</v>
      </c>
      <c r="B1092" s="93" t="s">
        <v>2432</v>
      </c>
      <c r="C1092" s="70" t="s">
        <v>3636</v>
      </c>
      <c r="D1092" s="70" t="s">
        <v>3437</v>
      </c>
      <c r="E1092" s="70" t="s">
        <v>3457</v>
      </c>
      <c r="F1092" s="70" t="s">
        <v>4593</v>
      </c>
      <c r="G1092" s="70" t="s">
        <v>6286</v>
      </c>
      <c r="H1092" s="93"/>
      <c r="I1092" s="85">
        <v>-999</v>
      </c>
      <c r="J1092" s="85">
        <v>-999</v>
      </c>
      <c r="K1092" s="131" t="s">
        <v>3177</v>
      </c>
      <c r="L1092" s="60">
        <v>-999</v>
      </c>
      <c r="M1092" s="33"/>
    </row>
    <row r="1093" spans="1:14" ht="16" x14ac:dyDescent="0.2">
      <c r="A1093" s="166" t="s">
        <v>2633</v>
      </c>
      <c r="B1093" s="93" t="s">
        <v>2432</v>
      </c>
      <c r="C1093" s="70" t="s">
        <v>3636</v>
      </c>
      <c r="D1093" s="70" t="s">
        <v>3437</v>
      </c>
      <c r="E1093" s="70" t="s">
        <v>3457</v>
      </c>
      <c r="F1093" s="70" t="s">
        <v>4593</v>
      </c>
      <c r="G1093" s="70" t="s">
        <v>6287</v>
      </c>
      <c r="H1093" s="93"/>
      <c r="I1093" s="85">
        <v>-999</v>
      </c>
      <c r="J1093" s="85">
        <v>-999</v>
      </c>
      <c r="K1093" s="131" t="s">
        <v>6630</v>
      </c>
      <c r="L1093" s="60">
        <v>-999</v>
      </c>
      <c r="M1093" s="33" t="s">
        <v>6392</v>
      </c>
      <c r="N1093" s="48"/>
    </row>
    <row r="1094" spans="1:14" ht="14" x14ac:dyDescent="0.15">
      <c r="A1094" s="166" t="s">
        <v>2633</v>
      </c>
      <c r="B1094" s="93" t="s">
        <v>2349</v>
      </c>
      <c r="C1094" s="73" t="s">
        <v>3636</v>
      </c>
      <c r="D1094" s="73" t="s">
        <v>3437</v>
      </c>
      <c r="E1094" s="70" t="s">
        <v>3457</v>
      </c>
      <c r="F1094" s="73" t="s">
        <v>4593</v>
      </c>
      <c r="G1094" s="73" t="s">
        <v>6288</v>
      </c>
      <c r="H1094" s="108"/>
      <c r="I1094" s="85">
        <v>-999</v>
      </c>
      <c r="J1094" s="95">
        <v>-999</v>
      </c>
      <c r="K1094" s="131" t="s">
        <v>6630</v>
      </c>
      <c r="L1094" s="60">
        <v>-999</v>
      </c>
      <c r="M1094" s="33" t="s">
        <v>6809</v>
      </c>
    </row>
    <row r="1095" spans="1:14" ht="14" x14ac:dyDescent="0.15">
      <c r="A1095" s="166" t="s">
        <v>2633</v>
      </c>
      <c r="B1095" s="93" t="s">
        <v>2275</v>
      </c>
      <c r="C1095" s="70" t="s">
        <v>3636</v>
      </c>
      <c r="D1095" s="70" t="s">
        <v>3437</v>
      </c>
      <c r="E1095" s="70" t="s">
        <v>3457</v>
      </c>
      <c r="F1095" s="70" t="s">
        <v>4593</v>
      </c>
      <c r="G1095" s="70" t="s">
        <v>6289</v>
      </c>
      <c r="H1095" s="93"/>
      <c r="I1095" s="85">
        <v>-999</v>
      </c>
      <c r="J1095" s="85">
        <v>-999</v>
      </c>
      <c r="K1095" s="131" t="s">
        <v>3177</v>
      </c>
      <c r="L1095" s="60">
        <v>-999</v>
      </c>
      <c r="M1095" s="33"/>
    </row>
    <row r="1096" spans="1:14" ht="14" x14ac:dyDescent="0.15">
      <c r="A1096" s="170" t="s">
        <v>2633</v>
      </c>
      <c r="B1096" s="93" t="s">
        <v>2432</v>
      </c>
      <c r="C1096" s="70" t="s">
        <v>3636</v>
      </c>
      <c r="D1096" s="70" t="s">
        <v>3437</v>
      </c>
      <c r="E1096" s="70" t="s">
        <v>3457</v>
      </c>
      <c r="F1096" s="70" t="s">
        <v>4593</v>
      </c>
      <c r="G1096" s="70" t="s">
        <v>6291</v>
      </c>
      <c r="H1096" s="93"/>
      <c r="I1096" s="85">
        <v>-999</v>
      </c>
      <c r="J1096" s="85">
        <v>-999</v>
      </c>
      <c r="K1096" s="131" t="s">
        <v>6630</v>
      </c>
      <c r="L1096" s="60">
        <v>-999</v>
      </c>
      <c r="M1096" s="33" t="s">
        <v>6809</v>
      </c>
    </row>
    <row r="1097" spans="1:14" ht="14" x14ac:dyDescent="0.15">
      <c r="A1097" s="166" t="s">
        <v>2633</v>
      </c>
      <c r="B1097" s="93" t="s">
        <v>5921</v>
      </c>
      <c r="C1097" s="70" t="s">
        <v>3636</v>
      </c>
      <c r="D1097" s="70" t="s">
        <v>3437</v>
      </c>
      <c r="E1097" s="70" t="s">
        <v>3457</v>
      </c>
      <c r="F1097" s="70" t="s">
        <v>4593</v>
      </c>
      <c r="G1097" s="70" t="s">
        <v>6317</v>
      </c>
      <c r="H1097" s="93"/>
      <c r="I1097" s="85">
        <v>-999</v>
      </c>
      <c r="J1097" s="85">
        <v>-999</v>
      </c>
      <c r="K1097" s="131" t="s">
        <v>1630</v>
      </c>
      <c r="L1097" s="60">
        <v>206</v>
      </c>
      <c r="M1097" s="33"/>
    </row>
    <row r="1098" spans="1:14" ht="14" x14ac:dyDescent="0.15">
      <c r="A1098" s="166" t="s">
        <v>2633</v>
      </c>
      <c r="B1098" s="93" t="s">
        <v>2432</v>
      </c>
      <c r="C1098" s="70" t="s">
        <v>3636</v>
      </c>
      <c r="D1098" s="70" t="s">
        <v>3437</v>
      </c>
      <c r="E1098" s="70" t="s">
        <v>3457</v>
      </c>
      <c r="F1098" s="70" t="s">
        <v>4593</v>
      </c>
      <c r="G1098" s="70" t="s">
        <v>6146</v>
      </c>
      <c r="H1098" s="93"/>
      <c r="I1098" s="85">
        <v>-999</v>
      </c>
      <c r="J1098" s="85">
        <v>-999</v>
      </c>
      <c r="K1098" s="131" t="s">
        <v>6630</v>
      </c>
      <c r="L1098" s="60">
        <v>-999</v>
      </c>
      <c r="M1098" s="33" t="s">
        <v>6809</v>
      </c>
    </row>
    <row r="1099" spans="1:14" ht="14" x14ac:dyDescent="0.15">
      <c r="A1099" s="166" t="s">
        <v>2633</v>
      </c>
      <c r="B1099" s="93" t="s">
        <v>5700</v>
      </c>
      <c r="C1099" s="73" t="s">
        <v>3636</v>
      </c>
      <c r="D1099" s="73" t="s">
        <v>3437</v>
      </c>
      <c r="E1099" s="70" t="s">
        <v>3457</v>
      </c>
      <c r="F1099" s="73" t="s">
        <v>4593</v>
      </c>
      <c r="G1099" s="73" t="s">
        <v>3287</v>
      </c>
      <c r="H1099" s="108"/>
      <c r="I1099" s="85">
        <v>-999</v>
      </c>
      <c r="J1099" s="95">
        <v>-999</v>
      </c>
      <c r="K1099" s="131" t="s">
        <v>6630</v>
      </c>
      <c r="L1099" s="60">
        <v>-999</v>
      </c>
      <c r="M1099" s="33" t="s">
        <v>6392</v>
      </c>
    </row>
    <row r="1100" spans="1:14" ht="16" x14ac:dyDescent="0.2">
      <c r="A1100" s="166" t="s">
        <v>2633</v>
      </c>
      <c r="B1100" s="93" t="s">
        <v>2432</v>
      </c>
      <c r="C1100" s="70" t="s">
        <v>3636</v>
      </c>
      <c r="D1100" s="70" t="s">
        <v>3437</v>
      </c>
      <c r="E1100" s="70" t="s">
        <v>3457</v>
      </c>
      <c r="F1100" s="70" t="s">
        <v>4593</v>
      </c>
      <c r="G1100" s="70" t="s">
        <v>5286</v>
      </c>
      <c r="H1100" s="93"/>
      <c r="I1100" s="85">
        <v>-999</v>
      </c>
      <c r="J1100" s="85">
        <v>-999</v>
      </c>
      <c r="K1100" s="131" t="s">
        <v>3177</v>
      </c>
      <c r="L1100" s="60">
        <v>-999</v>
      </c>
      <c r="M1100" s="33"/>
      <c r="N1100" s="48"/>
    </row>
    <row r="1101" spans="1:14" ht="16" x14ac:dyDescent="0.2">
      <c r="A1101" s="166" t="s">
        <v>2633</v>
      </c>
      <c r="B1101" s="93" t="s">
        <v>5701</v>
      </c>
      <c r="C1101" s="73" t="s">
        <v>3636</v>
      </c>
      <c r="D1101" s="73" t="s">
        <v>3437</v>
      </c>
      <c r="E1101" s="70" t="s">
        <v>3457</v>
      </c>
      <c r="F1101" s="73" t="s">
        <v>4593</v>
      </c>
      <c r="G1101" s="73" t="s">
        <v>3515</v>
      </c>
      <c r="H1101" s="108"/>
      <c r="I1101" s="85">
        <v>-999</v>
      </c>
      <c r="J1101" s="95">
        <v>-999</v>
      </c>
      <c r="K1101" s="131" t="s">
        <v>3177</v>
      </c>
      <c r="L1101" s="60">
        <v>-999</v>
      </c>
      <c r="M1101" s="33"/>
      <c r="N1101" s="48"/>
    </row>
    <row r="1102" spans="1:14" ht="16" x14ac:dyDescent="0.2">
      <c r="A1102" s="166" t="s">
        <v>2633</v>
      </c>
      <c r="B1102" s="93" t="s">
        <v>2497</v>
      </c>
      <c r="C1102" s="70" t="s">
        <v>3636</v>
      </c>
      <c r="D1102" s="70" t="s">
        <v>3437</v>
      </c>
      <c r="E1102" s="70" t="s">
        <v>3457</v>
      </c>
      <c r="F1102" s="70" t="s">
        <v>4593</v>
      </c>
      <c r="G1102" s="70" t="s">
        <v>3922</v>
      </c>
      <c r="H1102" s="93"/>
      <c r="I1102" s="85">
        <v>-999</v>
      </c>
      <c r="J1102" s="85">
        <v>-999</v>
      </c>
      <c r="K1102" s="131" t="s">
        <v>3177</v>
      </c>
      <c r="L1102" s="60">
        <v>-999</v>
      </c>
      <c r="M1102" s="47"/>
      <c r="N1102" s="48"/>
    </row>
    <row r="1103" spans="1:14" ht="16" x14ac:dyDescent="0.2">
      <c r="A1103" s="166" t="s">
        <v>2633</v>
      </c>
      <c r="B1103" s="93" t="s">
        <v>2432</v>
      </c>
      <c r="C1103" s="70" t="s">
        <v>3636</v>
      </c>
      <c r="D1103" s="70" t="s">
        <v>3437</v>
      </c>
      <c r="E1103" s="70" t="s">
        <v>3457</v>
      </c>
      <c r="F1103" s="70" t="s">
        <v>4593</v>
      </c>
      <c r="G1103" s="70" t="s">
        <v>3921</v>
      </c>
      <c r="H1103" s="93"/>
      <c r="I1103" s="85">
        <v>-999</v>
      </c>
      <c r="J1103" s="85">
        <v>-999</v>
      </c>
      <c r="K1103" s="131" t="s">
        <v>3177</v>
      </c>
      <c r="L1103" s="60">
        <v>-999</v>
      </c>
      <c r="M1103" s="33"/>
      <c r="N1103" s="48"/>
    </row>
    <row r="1104" spans="1:14" ht="16" x14ac:dyDescent="0.2">
      <c r="A1104" s="166" t="s">
        <v>2633</v>
      </c>
      <c r="B1104" s="93" t="s">
        <v>2348</v>
      </c>
      <c r="C1104" s="70" t="s">
        <v>3636</v>
      </c>
      <c r="D1104" s="70" t="s">
        <v>3437</v>
      </c>
      <c r="E1104" s="70" t="s">
        <v>3457</v>
      </c>
      <c r="F1104" s="70" t="s">
        <v>4593</v>
      </c>
      <c r="G1104" s="70" t="s">
        <v>7941</v>
      </c>
      <c r="H1104" s="93"/>
      <c r="I1104" s="85">
        <v>-999</v>
      </c>
      <c r="J1104" s="85">
        <v>-999</v>
      </c>
      <c r="K1104" s="131" t="s">
        <v>6630</v>
      </c>
      <c r="L1104" s="60">
        <v>-999</v>
      </c>
      <c r="M1104" s="33" t="s">
        <v>6809</v>
      </c>
      <c r="N1104" s="48"/>
    </row>
    <row r="1105" spans="1:14" ht="14" x14ac:dyDescent="0.15">
      <c r="A1105" s="166" t="s">
        <v>2633</v>
      </c>
      <c r="B1105" s="93" t="s">
        <v>2348</v>
      </c>
      <c r="C1105" s="70" t="s">
        <v>3636</v>
      </c>
      <c r="D1105" s="70" t="s">
        <v>3437</v>
      </c>
      <c r="E1105" s="70" t="s">
        <v>3457</v>
      </c>
      <c r="F1105" s="70" t="s">
        <v>4593</v>
      </c>
      <c r="G1105" s="70" t="s">
        <v>7942</v>
      </c>
      <c r="H1105" s="93"/>
      <c r="I1105" s="85">
        <v>-999</v>
      </c>
      <c r="J1105" s="85">
        <v>-999</v>
      </c>
      <c r="K1105" s="131" t="s">
        <v>3177</v>
      </c>
      <c r="L1105" s="60">
        <v>-999</v>
      </c>
      <c r="M1105" s="33"/>
    </row>
    <row r="1106" spans="1:14" ht="14" x14ac:dyDescent="0.15">
      <c r="A1106" s="166" t="s">
        <v>2633</v>
      </c>
      <c r="B1106" s="93" t="s">
        <v>2348</v>
      </c>
      <c r="C1106" s="70" t="s">
        <v>3636</v>
      </c>
      <c r="D1106" s="70" t="s">
        <v>3437</v>
      </c>
      <c r="E1106" s="70" t="s">
        <v>3457</v>
      </c>
      <c r="F1106" s="70" t="s">
        <v>4593</v>
      </c>
      <c r="G1106" s="70" t="s">
        <v>7943</v>
      </c>
      <c r="H1106" s="93"/>
      <c r="I1106" s="85">
        <v>-999</v>
      </c>
      <c r="J1106" s="85">
        <v>-999</v>
      </c>
      <c r="K1106" s="131" t="s">
        <v>3177</v>
      </c>
      <c r="L1106" s="60">
        <v>-999</v>
      </c>
      <c r="M1106" s="33"/>
    </row>
    <row r="1107" spans="1:14" ht="14" x14ac:dyDescent="0.15">
      <c r="A1107" s="166" t="s">
        <v>2633</v>
      </c>
      <c r="B1107" s="82"/>
      <c r="C1107" s="70" t="s">
        <v>3636</v>
      </c>
      <c r="D1107" s="70" t="s">
        <v>3437</v>
      </c>
      <c r="E1107" s="70" t="s">
        <v>3457</v>
      </c>
      <c r="F1107" s="70" t="s">
        <v>4593</v>
      </c>
      <c r="G1107" s="70" t="s">
        <v>3445</v>
      </c>
      <c r="H1107" s="93"/>
      <c r="I1107" s="85">
        <f t="shared" ref="I1107:I1122" si="41">LOG(J1107)</f>
        <v>0.90309000000000006</v>
      </c>
      <c r="J1107" s="85">
        <v>8.0000002396172594</v>
      </c>
      <c r="K1107" s="131" t="s">
        <v>3177</v>
      </c>
      <c r="L1107" s="60">
        <v>60</v>
      </c>
      <c r="N1107" s="35"/>
    </row>
    <row r="1108" spans="1:14" ht="14" x14ac:dyDescent="0.15">
      <c r="A1108" s="166" t="s">
        <v>2633</v>
      </c>
      <c r="B1108" s="93" t="s">
        <v>2432</v>
      </c>
      <c r="C1108" s="70" t="s">
        <v>3636</v>
      </c>
      <c r="D1108" s="70" t="s">
        <v>3437</v>
      </c>
      <c r="E1108" s="70" t="s">
        <v>3457</v>
      </c>
      <c r="F1108" s="70" t="s">
        <v>4593</v>
      </c>
      <c r="G1108" s="70" t="s">
        <v>7945</v>
      </c>
      <c r="H1108" s="93"/>
      <c r="I1108" s="85">
        <f t="shared" si="41"/>
        <v>1.0170333392987803</v>
      </c>
      <c r="J1108" s="85">
        <v>10.4</v>
      </c>
      <c r="K1108" s="131" t="s">
        <v>3177</v>
      </c>
      <c r="L1108" s="60">
        <v>206</v>
      </c>
      <c r="M1108" s="33"/>
    </row>
    <row r="1109" spans="1:14" ht="112" x14ac:dyDescent="0.15">
      <c r="A1109" s="70" t="s">
        <v>2633</v>
      </c>
      <c r="B1109" s="93" t="s">
        <v>2275</v>
      </c>
      <c r="C1109" s="70" t="s">
        <v>3636</v>
      </c>
      <c r="D1109" s="70" t="s">
        <v>3437</v>
      </c>
      <c r="E1109" s="70" t="s">
        <v>3457</v>
      </c>
      <c r="F1109" s="70" t="s">
        <v>4593</v>
      </c>
      <c r="G1109" s="70" t="s">
        <v>5888</v>
      </c>
      <c r="H1109" s="93"/>
      <c r="I1109" s="85">
        <f t="shared" si="41"/>
        <v>1.0453229787866574</v>
      </c>
      <c r="J1109" s="85">
        <v>11.1</v>
      </c>
      <c r="K1109" s="131" t="s">
        <v>3177</v>
      </c>
      <c r="L1109" s="60" t="s">
        <v>1267</v>
      </c>
      <c r="M1109" s="33" t="s">
        <v>145</v>
      </c>
      <c r="N1109" s="35"/>
    </row>
    <row r="1110" spans="1:14" ht="14" x14ac:dyDescent="0.15">
      <c r="A1110" s="70" t="s">
        <v>2633</v>
      </c>
      <c r="B1110" s="82"/>
      <c r="C1110" s="70" t="s">
        <v>3636</v>
      </c>
      <c r="D1110" s="70" t="s">
        <v>3437</v>
      </c>
      <c r="E1110" s="70" t="s">
        <v>3457</v>
      </c>
      <c r="F1110" s="70" t="s">
        <v>4593</v>
      </c>
      <c r="G1110" s="70" t="s">
        <v>4291</v>
      </c>
      <c r="H1110" s="93"/>
      <c r="I1110" s="85">
        <f t="shared" si="41"/>
        <v>1.1003705451175629</v>
      </c>
      <c r="J1110" s="85">
        <v>12.6</v>
      </c>
      <c r="K1110" s="131" t="s">
        <v>3177</v>
      </c>
      <c r="L1110" s="60">
        <v>188</v>
      </c>
    </row>
    <row r="1111" spans="1:14" ht="14" x14ac:dyDescent="0.15">
      <c r="A1111" s="70" t="s">
        <v>2633</v>
      </c>
      <c r="B1111" s="93" t="s">
        <v>1967</v>
      </c>
      <c r="C1111" s="70" t="s">
        <v>3636</v>
      </c>
      <c r="D1111" s="70" t="s">
        <v>3437</v>
      </c>
      <c r="E1111" s="70" t="s">
        <v>3457</v>
      </c>
      <c r="F1111" s="70" t="s">
        <v>4593</v>
      </c>
      <c r="G1111" s="70" t="s">
        <v>3955</v>
      </c>
      <c r="H1111" s="93"/>
      <c r="I1111" s="85">
        <f t="shared" si="41"/>
        <v>1.1205739312058498</v>
      </c>
      <c r="J1111" s="85">
        <v>13.2</v>
      </c>
      <c r="K1111" s="131" t="s">
        <v>3177</v>
      </c>
      <c r="L1111" s="60">
        <v>128</v>
      </c>
      <c r="M1111" s="33"/>
    </row>
    <row r="1112" spans="1:14" ht="70" x14ac:dyDescent="0.15">
      <c r="A1112" s="70" t="s">
        <v>2633</v>
      </c>
      <c r="B1112" s="93" t="s">
        <v>2275</v>
      </c>
      <c r="C1112" s="70" t="s">
        <v>3636</v>
      </c>
      <c r="D1112" s="70" t="s">
        <v>3437</v>
      </c>
      <c r="E1112" s="70" t="s">
        <v>3457</v>
      </c>
      <c r="F1112" s="70" t="s">
        <v>4593</v>
      </c>
      <c r="G1112" s="70" t="s">
        <v>7931</v>
      </c>
      <c r="H1112" s="93"/>
      <c r="I1112" s="85">
        <f t="shared" si="41"/>
        <v>1.2392994791268925</v>
      </c>
      <c r="J1112" s="85">
        <f>AVERAGE(17, 17.7)</f>
        <v>17.350000000000001</v>
      </c>
      <c r="K1112" s="131" t="s">
        <v>3177</v>
      </c>
      <c r="L1112" s="60" t="s">
        <v>1267</v>
      </c>
      <c r="M1112" s="33" t="s">
        <v>142</v>
      </c>
    </row>
    <row r="1113" spans="1:14" ht="28" x14ac:dyDescent="0.15">
      <c r="A1113" s="70" t="s">
        <v>2633</v>
      </c>
      <c r="B1113" s="93" t="s">
        <v>5702</v>
      </c>
      <c r="C1113" s="70" t="s">
        <v>3636</v>
      </c>
      <c r="D1113" s="70" t="s">
        <v>3437</v>
      </c>
      <c r="E1113" s="70" t="s">
        <v>3457</v>
      </c>
      <c r="F1113" s="70" t="s">
        <v>4593</v>
      </c>
      <c r="G1113" s="70" t="s">
        <v>3697</v>
      </c>
      <c r="H1113" s="93"/>
      <c r="I1113" s="85">
        <f t="shared" si="41"/>
        <v>1.2405492482825997</v>
      </c>
      <c r="J1113" s="85">
        <v>17.399999999999999</v>
      </c>
      <c r="K1113" s="131" t="s">
        <v>3177</v>
      </c>
      <c r="L1113" s="60">
        <v>128</v>
      </c>
      <c r="M1113" s="33"/>
    </row>
    <row r="1114" spans="1:14" ht="14" x14ac:dyDescent="0.15">
      <c r="A1114" s="70" t="s">
        <v>2633</v>
      </c>
      <c r="B1114" s="82"/>
      <c r="C1114" s="70" t="s">
        <v>3636</v>
      </c>
      <c r="D1114" s="70" t="s">
        <v>3437</v>
      </c>
      <c r="E1114" s="70" t="s">
        <v>3457</v>
      </c>
      <c r="F1114" s="70" t="s">
        <v>4593</v>
      </c>
      <c r="G1114" s="70" t="s">
        <v>4121</v>
      </c>
      <c r="H1114" s="93"/>
      <c r="I1114" s="85">
        <f t="shared" si="41"/>
        <v>1.3710700000000002</v>
      </c>
      <c r="J1114" s="85">
        <v>23.500115674363677</v>
      </c>
      <c r="K1114" s="131" t="s">
        <v>3177</v>
      </c>
      <c r="L1114" s="60">
        <v>64</v>
      </c>
    </row>
    <row r="1115" spans="1:14" ht="14" x14ac:dyDescent="0.15">
      <c r="A1115" s="70" t="s">
        <v>2633</v>
      </c>
      <c r="B1115" s="82"/>
      <c r="C1115" s="70" t="s">
        <v>3636</v>
      </c>
      <c r="D1115" s="70" t="s">
        <v>3437</v>
      </c>
      <c r="E1115" s="70" t="s">
        <v>3457</v>
      </c>
      <c r="F1115" s="70" t="s">
        <v>4593</v>
      </c>
      <c r="G1115" s="70" t="s">
        <v>3444</v>
      </c>
      <c r="H1115" s="93"/>
      <c r="I1115" s="85">
        <f t="shared" si="41"/>
        <v>1.3985898416898659</v>
      </c>
      <c r="J1115" s="85">
        <f>AVERAGE(34.6497415828929, 24.2, 22.1, 19.2)</f>
        <v>25.037435395723225</v>
      </c>
      <c r="K1115" s="131" t="s">
        <v>3177</v>
      </c>
      <c r="L1115" s="60" t="s">
        <v>6394</v>
      </c>
    </row>
    <row r="1116" spans="1:14" ht="14" x14ac:dyDescent="0.15">
      <c r="A1116" s="70" t="s">
        <v>2633</v>
      </c>
      <c r="B1116" s="82"/>
      <c r="C1116" s="70" t="s">
        <v>3636</v>
      </c>
      <c r="D1116" s="70" t="s">
        <v>3437</v>
      </c>
      <c r="E1116" s="70" t="s">
        <v>3457</v>
      </c>
      <c r="F1116" s="70" t="s">
        <v>4593</v>
      </c>
      <c r="G1116" s="70" t="s">
        <v>2085</v>
      </c>
      <c r="H1116" s="93"/>
      <c r="I1116" s="85">
        <f t="shared" si="41"/>
        <v>1.4065400000000001</v>
      </c>
      <c r="J1116" s="85">
        <v>25.499989405656549</v>
      </c>
      <c r="K1116" s="131" t="s">
        <v>3177</v>
      </c>
      <c r="L1116" s="60">
        <v>60</v>
      </c>
    </row>
    <row r="1117" spans="1:14" ht="14" x14ac:dyDescent="0.15">
      <c r="A1117" s="70" t="s">
        <v>2633</v>
      </c>
      <c r="B1117" s="82"/>
      <c r="C1117" s="70" t="s">
        <v>3636</v>
      </c>
      <c r="D1117" s="70" t="s">
        <v>3437</v>
      </c>
      <c r="E1117" s="70" t="s">
        <v>3457</v>
      </c>
      <c r="F1117" s="70" t="s">
        <v>4593</v>
      </c>
      <c r="G1117" s="70" t="s">
        <v>4221</v>
      </c>
      <c r="H1117" s="93"/>
      <c r="I1117" s="85">
        <f t="shared" si="41"/>
        <v>1.4292130553489992</v>
      </c>
      <c r="J1117" s="85">
        <f>AVERAGE(21.9998641983517, 28.6, 30)</f>
        <v>26.866621399450565</v>
      </c>
      <c r="K1117" s="134" t="s">
        <v>3177</v>
      </c>
      <c r="L1117" s="63" t="s">
        <v>6394</v>
      </c>
    </row>
    <row r="1118" spans="1:14" ht="14" x14ac:dyDescent="0.15">
      <c r="A1118" s="70" t="s">
        <v>2633</v>
      </c>
      <c r="B1118" s="82"/>
      <c r="C1118" s="70" t="s">
        <v>3636</v>
      </c>
      <c r="D1118" s="70" t="s">
        <v>3437</v>
      </c>
      <c r="E1118" s="70" t="s">
        <v>3457</v>
      </c>
      <c r="F1118" s="70" t="s">
        <v>4593</v>
      </c>
      <c r="G1118" s="70" t="s">
        <v>3447</v>
      </c>
      <c r="H1118" s="93"/>
      <c r="I1118" s="85">
        <f t="shared" si="41"/>
        <v>1.4537004733597723</v>
      </c>
      <c r="J1118" s="85">
        <f>AVERAGE(29.2, 34.1, 24, 26.4)</f>
        <v>28.424999999999997</v>
      </c>
      <c r="K1118" s="131" t="s">
        <v>3177</v>
      </c>
      <c r="L1118" s="60">
        <v>128</v>
      </c>
    </row>
    <row r="1119" spans="1:14" ht="14" x14ac:dyDescent="0.15">
      <c r="A1119" s="70" t="s">
        <v>2633</v>
      </c>
      <c r="B1119" s="82"/>
      <c r="C1119" s="70" t="s">
        <v>3636</v>
      </c>
      <c r="D1119" s="70" t="s">
        <v>3437</v>
      </c>
      <c r="E1119" s="70" t="s">
        <v>3457</v>
      </c>
      <c r="F1119" s="70" t="s">
        <v>4593</v>
      </c>
      <c r="G1119" s="70" t="s">
        <v>3983</v>
      </c>
      <c r="H1119" s="93"/>
      <c r="I1119" s="85">
        <f t="shared" si="41"/>
        <v>1.4727600000000001</v>
      </c>
      <c r="J1119" s="85">
        <v>29.700242820745554</v>
      </c>
      <c r="K1119" s="131" t="s">
        <v>3177</v>
      </c>
      <c r="L1119" s="60">
        <v>60</v>
      </c>
    </row>
    <row r="1120" spans="1:14" ht="14" x14ac:dyDescent="0.15">
      <c r="A1120" s="70" t="s">
        <v>2633</v>
      </c>
      <c r="B1120" s="82"/>
      <c r="C1120" s="70" t="s">
        <v>3636</v>
      </c>
      <c r="D1120" s="70" t="s">
        <v>3437</v>
      </c>
      <c r="E1120" s="70" t="s">
        <v>3457</v>
      </c>
      <c r="F1120" s="70" t="s">
        <v>4593</v>
      </c>
      <c r="G1120" s="70" t="s">
        <v>5491</v>
      </c>
      <c r="H1120" s="93"/>
      <c r="I1120" s="85">
        <f t="shared" si="41"/>
        <v>1.5599066250361124</v>
      </c>
      <c r="J1120" s="85">
        <v>36.299999999999997</v>
      </c>
      <c r="K1120" s="131" t="s">
        <v>6485</v>
      </c>
      <c r="L1120" s="60">
        <v>128</v>
      </c>
    </row>
    <row r="1121" spans="1:14" ht="14" x14ac:dyDescent="0.15">
      <c r="A1121" s="70" t="s">
        <v>2633</v>
      </c>
      <c r="B1121" s="93" t="s">
        <v>2598</v>
      </c>
      <c r="C1121" s="70" t="s">
        <v>3636</v>
      </c>
      <c r="D1121" s="70" t="s">
        <v>3437</v>
      </c>
      <c r="E1121" s="70" t="s">
        <v>3457</v>
      </c>
      <c r="F1121" s="70" t="s">
        <v>4593</v>
      </c>
      <c r="G1121" s="70" t="s">
        <v>6555</v>
      </c>
      <c r="H1121" s="93"/>
      <c r="I1121" s="85">
        <f t="shared" si="41"/>
        <v>1.5971464878336954</v>
      </c>
      <c r="J1121" s="85">
        <f>AVERAGE(42.2, 36.9)</f>
        <v>39.549999999999997</v>
      </c>
      <c r="K1121" s="131" t="s">
        <v>3177</v>
      </c>
      <c r="L1121" s="60">
        <v>205</v>
      </c>
      <c r="M1121" s="33"/>
    </row>
    <row r="1122" spans="1:14" ht="14" x14ac:dyDescent="0.15">
      <c r="A1122" s="73" t="s">
        <v>2633</v>
      </c>
      <c r="B1122" s="82"/>
      <c r="C1122" s="70" t="s">
        <v>3636</v>
      </c>
      <c r="D1122" s="70" t="s">
        <v>3437</v>
      </c>
      <c r="E1122" s="70" t="s">
        <v>3457</v>
      </c>
      <c r="F1122" s="70" t="s">
        <v>4593</v>
      </c>
      <c r="G1122" s="70" t="s">
        <v>3446</v>
      </c>
      <c r="H1122" s="93"/>
      <c r="I1122" s="85">
        <f t="shared" si="41"/>
        <v>1.6654629943143242</v>
      </c>
      <c r="J1122" s="85">
        <f>AVERAGE(40.8996884671792, 54.1, 53.2, 36.95)</f>
        <v>46.287422116794801</v>
      </c>
      <c r="K1122" s="131" t="s">
        <v>3177</v>
      </c>
      <c r="L1122" s="60" t="s">
        <v>198</v>
      </c>
    </row>
    <row r="1123" spans="1:14" ht="14" x14ac:dyDescent="0.15">
      <c r="A1123" s="73" t="s">
        <v>2633</v>
      </c>
      <c r="B1123" s="93" t="s">
        <v>6042</v>
      </c>
      <c r="C1123" s="70" t="s">
        <v>3636</v>
      </c>
      <c r="D1123" s="70" t="s">
        <v>3437</v>
      </c>
      <c r="E1123" s="70" t="s">
        <v>3457</v>
      </c>
      <c r="F1123" s="70" t="s">
        <v>3222</v>
      </c>
      <c r="G1123" s="70" t="s">
        <v>6213</v>
      </c>
      <c r="H1123" s="93"/>
      <c r="I1123" s="85">
        <v>-999</v>
      </c>
      <c r="J1123" s="85">
        <v>-999</v>
      </c>
      <c r="K1123" s="131" t="s">
        <v>3177</v>
      </c>
      <c r="L1123" s="60">
        <v>-999</v>
      </c>
      <c r="M1123" s="33"/>
    </row>
    <row r="1124" spans="1:14" ht="14" x14ac:dyDescent="0.15">
      <c r="A1124" s="70" t="s">
        <v>2633</v>
      </c>
      <c r="B1124" s="82"/>
      <c r="C1124" s="70" t="s">
        <v>3636</v>
      </c>
      <c r="D1124" s="70" t="s">
        <v>3437</v>
      </c>
      <c r="E1124" s="70" t="s">
        <v>3457</v>
      </c>
      <c r="F1124" s="70" t="s">
        <v>3222</v>
      </c>
      <c r="G1124" s="70" t="s">
        <v>6494</v>
      </c>
      <c r="H1124" s="93"/>
      <c r="I1124" s="85">
        <v>-999</v>
      </c>
      <c r="J1124" s="85">
        <v>-999</v>
      </c>
      <c r="K1124" s="131" t="s">
        <v>3177</v>
      </c>
      <c r="L1124" s="60">
        <v>-999</v>
      </c>
      <c r="M1124" s="33"/>
    </row>
    <row r="1125" spans="1:14" ht="14" x14ac:dyDescent="0.15">
      <c r="A1125" s="70" t="s">
        <v>2633</v>
      </c>
      <c r="B1125" s="93" t="s">
        <v>6043</v>
      </c>
      <c r="C1125" s="70" t="s">
        <v>3636</v>
      </c>
      <c r="D1125" s="70" t="s">
        <v>3437</v>
      </c>
      <c r="E1125" s="70" t="s">
        <v>3457</v>
      </c>
      <c r="F1125" s="70" t="s">
        <v>3222</v>
      </c>
      <c r="G1125" s="70" t="s">
        <v>3346</v>
      </c>
      <c r="H1125" s="93"/>
      <c r="I1125" s="85">
        <v>-999</v>
      </c>
      <c r="J1125" s="85">
        <v>-999</v>
      </c>
      <c r="K1125" s="131" t="s">
        <v>3177</v>
      </c>
      <c r="L1125" s="60">
        <v>-999</v>
      </c>
      <c r="M1125" s="33"/>
    </row>
    <row r="1126" spans="1:14" ht="14" x14ac:dyDescent="0.15">
      <c r="A1126" s="70" t="s">
        <v>2633</v>
      </c>
      <c r="B1126" s="93" t="s">
        <v>2205</v>
      </c>
      <c r="C1126" s="70" t="s">
        <v>3636</v>
      </c>
      <c r="D1126" s="70" t="s">
        <v>3437</v>
      </c>
      <c r="E1126" s="70" t="s">
        <v>3457</v>
      </c>
      <c r="F1126" s="70" t="s">
        <v>3222</v>
      </c>
      <c r="G1126" s="70" t="s">
        <v>4219</v>
      </c>
      <c r="H1126" s="93"/>
      <c r="I1126" s="85">
        <v>-999</v>
      </c>
      <c r="J1126" s="85">
        <v>-999</v>
      </c>
      <c r="K1126" s="131" t="s">
        <v>3177</v>
      </c>
      <c r="L1126" s="60">
        <v>-999</v>
      </c>
      <c r="M1126" s="33"/>
    </row>
    <row r="1127" spans="1:14" ht="14" x14ac:dyDescent="0.15">
      <c r="A1127" s="70" t="s">
        <v>2633</v>
      </c>
      <c r="B1127" s="93" t="s">
        <v>2724</v>
      </c>
      <c r="C1127" s="70" t="s">
        <v>3636</v>
      </c>
      <c r="D1127" s="70" t="s">
        <v>3437</v>
      </c>
      <c r="E1127" s="70" t="s">
        <v>3457</v>
      </c>
      <c r="F1127" s="70" t="s">
        <v>3222</v>
      </c>
      <c r="G1127" s="70" t="s">
        <v>7138</v>
      </c>
      <c r="H1127" s="93"/>
      <c r="I1127" s="85">
        <v>-999</v>
      </c>
      <c r="J1127" s="85">
        <v>-999</v>
      </c>
      <c r="K1127" s="131" t="s">
        <v>6391</v>
      </c>
      <c r="L1127" s="60">
        <v>-999</v>
      </c>
      <c r="M1127" s="33" t="s">
        <v>6390</v>
      </c>
    </row>
    <row r="1128" spans="1:14" ht="14" x14ac:dyDescent="0.15">
      <c r="A1128" s="73" t="s">
        <v>2633</v>
      </c>
      <c r="B1128" s="82"/>
      <c r="C1128" s="70" t="s">
        <v>3636</v>
      </c>
      <c r="D1128" s="70" t="s">
        <v>3437</v>
      </c>
      <c r="E1128" s="70" t="s">
        <v>3457</v>
      </c>
      <c r="F1128" s="70" t="s">
        <v>3222</v>
      </c>
      <c r="G1128" s="70" t="s">
        <v>3238</v>
      </c>
      <c r="H1128" s="93"/>
      <c r="I1128" s="85">
        <f t="shared" ref="I1128:I1134" si="42">LOG(J1128)</f>
        <v>1.5563</v>
      </c>
      <c r="J1128" s="85">
        <v>35.999792704335675</v>
      </c>
      <c r="K1128" s="131" t="s">
        <v>6630</v>
      </c>
      <c r="L1128" s="60">
        <v>60</v>
      </c>
      <c r="M1128" s="49" t="s">
        <v>6392</v>
      </c>
    </row>
    <row r="1129" spans="1:14" ht="14" x14ac:dyDescent="0.15">
      <c r="A1129" s="70" t="s">
        <v>2633</v>
      </c>
      <c r="B1129" s="82"/>
      <c r="C1129" s="70" t="s">
        <v>3636</v>
      </c>
      <c r="D1129" s="70" t="s">
        <v>3437</v>
      </c>
      <c r="E1129" s="70" t="s">
        <v>3457</v>
      </c>
      <c r="F1129" s="70" t="s">
        <v>3222</v>
      </c>
      <c r="G1129" s="70" t="s">
        <v>6790</v>
      </c>
      <c r="H1129" s="93"/>
      <c r="I1129" s="85">
        <f t="shared" si="42"/>
        <v>1.5563025007672873</v>
      </c>
      <c r="J1129" s="85">
        <v>36</v>
      </c>
      <c r="K1129" s="131" t="s">
        <v>3177</v>
      </c>
      <c r="L1129" s="60">
        <v>125</v>
      </c>
      <c r="M1129" s="33"/>
    </row>
    <row r="1130" spans="1:14" ht="28" x14ac:dyDescent="0.15">
      <c r="A1130" s="70" t="s">
        <v>2633</v>
      </c>
      <c r="B1130" s="82"/>
      <c r="C1130" s="70" t="s">
        <v>3636</v>
      </c>
      <c r="D1130" s="70" t="s">
        <v>3437</v>
      </c>
      <c r="E1130" s="70" t="s">
        <v>3457</v>
      </c>
      <c r="F1130" s="70" t="s">
        <v>3222</v>
      </c>
      <c r="G1130" s="70" t="s">
        <v>3440</v>
      </c>
      <c r="H1130" s="93"/>
      <c r="I1130" s="85">
        <f t="shared" si="42"/>
        <v>1.614633607841792</v>
      </c>
      <c r="J1130" s="85">
        <f>AVERAGE(41.1, 38.6, 43, 42)</f>
        <v>41.174999999999997</v>
      </c>
      <c r="K1130" s="131" t="s">
        <v>1467</v>
      </c>
      <c r="L1130" s="60" t="s">
        <v>1758</v>
      </c>
    </row>
    <row r="1131" spans="1:14" ht="42" x14ac:dyDescent="0.15">
      <c r="A1131" s="70" t="s">
        <v>2633</v>
      </c>
      <c r="B1131" s="93" t="s">
        <v>5781</v>
      </c>
      <c r="C1131" s="70" t="s">
        <v>3636</v>
      </c>
      <c r="D1131" s="70" t="s">
        <v>3437</v>
      </c>
      <c r="E1131" s="70" t="s">
        <v>3457</v>
      </c>
      <c r="F1131" s="70" t="s">
        <v>3222</v>
      </c>
      <c r="G1131" s="70" t="s">
        <v>7855</v>
      </c>
      <c r="H1131" s="93"/>
      <c r="I1131" s="85">
        <f t="shared" si="42"/>
        <v>1.6148972160331345</v>
      </c>
      <c r="J1131" s="85">
        <v>41.2</v>
      </c>
      <c r="K1131" s="131" t="s">
        <v>3177</v>
      </c>
      <c r="L1131" s="60">
        <v>125</v>
      </c>
      <c r="M1131" s="33"/>
    </row>
    <row r="1132" spans="1:14" ht="14" x14ac:dyDescent="0.15">
      <c r="A1132" s="70" t="s">
        <v>2633</v>
      </c>
      <c r="B1132" s="82"/>
      <c r="C1132" s="70" t="s">
        <v>3636</v>
      </c>
      <c r="D1132" s="70" t="s">
        <v>3437</v>
      </c>
      <c r="E1132" s="70" t="s">
        <v>3457</v>
      </c>
      <c r="F1132" s="70" t="s">
        <v>3222</v>
      </c>
      <c r="G1132" s="70" t="s">
        <v>6495</v>
      </c>
      <c r="H1132" s="93"/>
      <c r="I1132" s="85">
        <f t="shared" si="42"/>
        <v>1.6857417386022637</v>
      </c>
      <c r="J1132" s="85">
        <f>AVERAGE(52, 45)</f>
        <v>48.5</v>
      </c>
      <c r="K1132" s="131" t="s">
        <v>3177</v>
      </c>
      <c r="L1132" s="60" t="s">
        <v>1757</v>
      </c>
    </row>
    <row r="1133" spans="1:14" ht="17" x14ac:dyDescent="0.2">
      <c r="A1133" s="70" t="s">
        <v>2633</v>
      </c>
      <c r="B1133" s="82"/>
      <c r="C1133" s="70" t="s">
        <v>3636</v>
      </c>
      <c r="D1133" s="70" t="s">
        <v>3437</v>
      </c>
      <c r="E1133" s="70" t="s">
        <v>3457</v>
      </c>
      <c r="F1133" s="70" t="s">
        <v>3222</v>
      </c>
      <c r="G1133" s="70" t="s">
        <v>3239</v>
      </c>
      <c r="H1133" s="93"/>
      <c r="I1133" s="85">
        <f t="shared" si="42"/>
        <v>1.7160033436347992</v>
      </c>
      <c r="J1133" s="85">
        <v>52</v>
      </c>
      <c r="K1133" s="131" t="s">
        <v>3177</v>
      </c>
      <c r="L1133" s="67">
        <v>130</v>
      </c>
      <c r="N1133" s="48" t="s">
        <v>1494</v>
      </c>
    </row>
    <row r="1134" spans="1:14" ht="14" x14ac:dyDescent="0.15">
      <c r="A1134" s="70" t="s">
        <v>2633</v>
      </c>
      <c r="B1134" s="82"/>
      <c r="C1134" s="70" t="s">
        <v>3636</v>
      </c>
      <c r="D1134" s="70" t="s">
        <v>3437</v>
      </c>
      <c r="E1134" s="70" t="s">
        <v>3457</v>
      </c>
      <c r="F1134" s="70" t="s">
        <v>3240</v>
      </c>
      <c r="G1134" s="70" t="s">
        <v>3164</v>
      </c>
      <c r="H1134" s="93"/>
      <c r="I1134" s="85">
        <f t="shared" si="42"/>
        <v>1.15381</v>
      </c>
      <c r="J1134" s="85">
        <v>14.249840392811253</v>
      </c>
      <c r="K1134" s="131" t="s">
        <v>3177</v>
      </c>
      <c r="L1134" s="60">
        <v>56</v>
      </c>
    </row>
    <row r="1135" spans="1:14" ht="14" x14ac:dyDescent="0.15">
      <c r="A1135" s="70" t="s">
        <v>2633</v>
      </c>
      <c r="B1135" s="93" t="s">
        <v>2502</v>
      </c>
      <c r="C1135" s="70" t="s">
        <v>3636</v>
      </c>
      <c r="D1135" s="70" t="s">
        <v>3437</v>
      </c>
      <c r="E1135" s="70" t="s">
        <v>3457</v>
      </c>
      <c r="F1135" s="70" t="s">
        <v>3241</v>
      </c>
      <c r="G1135" s="70" t="s">
        <v>7183</v>
      </c>
      <c r="H1135" s="93"/>
      <c r="I1135" s="85">
        <v>-999</v>
      </c>
      <c r="J1135" s="85">
        <v>-999</v>
      </c>
      <c r="K1135" s="131" t="s">
        <v>6630</v>
      </c>
      <c r="L1135" s="60">
        <v>-999</v>
      </c>
      <c r="M1135" s="33" t="s">
        <v>6390</v>
      </c>
    </row>
    <row r="1136" spans="1:14" ht="28" x14ac:dyDescent="0.15">
      <c r="A1136" s="70" t="s">
        <v>2633</v>
      </c>
      <c r="B1136" s="93" t="s">
        <v>1426</v>
      </c>
      <c r="C1136" s="70" t="s">
        <v>3636</v>
      </c>
      <c r="D1136" s="70" t="s">
        <v>3437</v>
      </c>
      <c r="E1136" s="70" t="s">
        <v>3457</v>
      </c>
      <c r="F1136" s="70" t="s">
        <v>3241</v>
      </c>
      <c r="G1136" s="70" t="s">
        <v>6871</v>
      </c>
      <c r="H1136" s="93"/>
      <c r="I1136" s="85">
        <v>-999</v>
      </c>
      <c r="J1136" s="85">
        <v>-999</v>
      </c>
      <c r="K1136" s="131" t="s">
        <v>3177</v>
      </c>
      <c r="L1136" s="60">
        <v>-999</v>
      </c>
      <c r="M1136" s="33"/>
    </row>
    <row r="1137" spans="1:18" ht="14" x14ac:dyDescent="0.15">
      <c r="A1137" s="70" t="s">
        <v>2633</v>
      </c>
      <c r="B1137" s="82"/>
      <c r="C1137" s="70" t="s">
        <v>3636</v>
      </c>
      <c r="D1137" s="70" t="s">
        <v>3437</v>
      </c>
      <c r="E1137" s="70" t="s">
        <v>3457</v>
      </c>
      <c r="F1137" s="70" t="s">
        <v>3241</v>
      </c>
      <c r="G1137" s="70" t="s">
        <v>3973</v>
      </c>
      <c r="H1137" s="93"/>
      <c r="I1137" s="85">
        <f>LOG(J1137)</f>
        <v>1.6776069527204931</v>
      </c>
      <c r="J1137" s="85">
        <f>AVERAGE(47.9, 47.3)</f>
        <v>47.599999999999994</v>
      </c>
      <c r="K1137" s="131" t="s">
        <v>1470</v>
      </c>
      <c r="L1137" s="60">
        <v>135</v>
      </c>
    </row>
    <row r="1138" spans="1:18" ht="16" x14ac:dyDescent="0.2">
      <c r="A1138" s="70" t="s">
        <v>2633</v>
      </c>
      <c r="B1138" s="82"/>
      <c r="C1138" s="70" t="s">
        <v>3636</v>
      </c>
      <c r="D1138" s="70" t="s">
        <v>3437</v>
      </c>
      <c r="E1138" s="70" t="s">
        <v>3457</v>
      </c>
      <c r="F1138" s="70" t="s">
        <v>3241</v>
      </c>
      <c r="G1138" s="70" t="s">
        <v>3972</v>
      </c>
      <c r="H1138" s="93"/>
      <c r="I1138" s="85">
        <f>LOG(J1138)</f>
        <v>1.6954800000000003</v>
      </c>
      <c r="J1138" s="85">
        <v>49.599808531407263</v>
      </c>
      <c r="K1138" s="131" t="s">
        <v>3177</v>
      </c>
      <c r="L1138" s="60">
        <v>60</v>
      </c>
      <c r="N1138" s="48"/>
    </row>
    <row r="1139" spans="1:18" ht="14" x14ac:dyDescent="0.15">
      <c r="A1139" s="70" t="s">
        <v>2633</v>
      </c>
      <c r="B1139" s="82"/>
      <c r="C1139" s="70" t="s">
        <v>3636</v>
      </c>
      <c r="D1139" s="70" t="s">
        <v>3437</v>
      </c>
      <c r="E1139" s="70" t="s">
        <v>3457</v>
      </c>
      <c r="F1139" s="70" t="s">
        <v>3241</v>
      </c>
      <c r="G1139" s="70" t="s">
        <v>4454</v>
      </c>
      <c r="H1139" s="93"/>
      <c r="I1139" s="85">
        <f>LOG(J1139)</f>
        <v>1.7551106092458892</v>
      </c>
      <c r="J1139" s="85">
        <f>AVERAGE(63, 50.7995657710955)</f>
        <v>56.899782885547751</v>
      </c>
      <c r="K1139" s="131" t="s">
        <v>3177</v>
      </c>
      <c r="L1139" s="60" t="s">
        <v>6389</v>
      </c>
      <c r="N1139" s="37" t="s">
        <v>1488</v>
      </c>
    </row>
    <row r="1140" spans="1:18" ht="14" x14ac:dyDescent="0.15">
      <c r="A1140" s="70" t="s">
        <v>2633</v>
      </c>
      <c r="B1140" s="93" t="s">
        <v>1428</v>
      </c>
      <c r="C1140" s="70" t="s">
        <v>3636</v>
      </c>
      <c r="D1140" s="70" t="s">
        <v>3437</v>
      </c>
      <c r="E1140" s="70" t="s">
        <v>3457</v>
      </c>
      <c r="F1140" s="70" t="s">
        <v>3974</v>
      </c>
      <c r="G1140" s="70" t="s">
        <v>6514</v>
      </c>
      <c r="H1140" s="93"/>
      <c r="I1140" s="85">
        <v>-999</v>
      </c>
      <c r="J1140" s="85">
        <v>-999</v>
      </c>
      <c r="K1140" s="131" t="s">
        <v>3177</v>
      </c>
      <c r="L1140" s="60">
        <v>-999</v>
      </c>
      <c r="M1140" s="33"/>
    </row>
    <row r="1141" spans="1:18" ht="14" x14ac:dyDescent="0.15">
      <c r="A1141" s="70" t="s">
        <v>2633</v>
      </c>
      <c r="B1141" s="93" t="s">
        <v>1429</v>
      </c>
      <c r="C1141" s="70" t="s">
        <v>3636</v>
      </c>
      <c r="D1141" s="70" t="s">
        <v>3437</v>
      </c>
      <c r="E1141" s="70" t="s">
        <v>3457</v>
      </c>
      <c r="F1141" s="70" t="s">
        <v>3974</v>
      </c>
      <c r="G1141" s="70" t="s">
        <v>6370</v>
      </c>
      <c r="H1141" s="93"/>
      <c r="I1141" s="85">
        <v>-999</v>
      </c>
      <c r="J1141" s="85">
        <v>-999</v>
      </c>
      <c r="K1141" s="131" t="s">
        <v>3177</v>
      </c>
      <c r="L1141" s="60">
        <v>-999</v>
      </c>
      <c r="M1141" s="33"/>
    </row>
    <row r="1142" spans="1:18" ht="42" x14ac:dyDescent="0.15">
      <c r="A1142" s="70" t="s">
        <v>2633</v>
      </c>
      <c r="B1142" s="93" t="s">
        <v>1194</v>
      </c>
      <c r="C1142" s="73" t="s">
        <v>3636</v>
      </c>
      <c r="D1142" s="73" t="s">
        <v>3437</v>
      </c>
      <c r="E1142" s="70" t="s">
        <v>3457</v>
      </c>
      <c r="F1142" s="73" t="s">
        <v>3974</v>
      </c>
      <c r="G1142" s="73" t="s">
        <v>7064</v>
      </c>
      <c r="H1142" s="108"/>
      <c r="I1142" s="85">
        <f>LOG(J1142)</f>
        <v>1.1613034446092956</v>
      </c>
      <c r="J1142" s="116">
        <v>14.497844743508129</v>
      </c>
      <c r="K1142" s="131" t="s">
        <v>3177</v>
      </c>
      <c r="L1142" s="60" t="s">
        <v>1742</v>
      </c>
      <c r="M1142" s="33"/>
    </row>
    <row r="1143" spans="1:18" ht="14" x14ac:dyDescent="0.15">
      <c r="A1143" s="70" t="s">
        <v>2633</v>
      </c>
      <c r="B1143" s="82"/>
      <c r="C1143" s="70" t="s">
        <v>3636</v>
      </c>
      <c r="D1143" s="70" t="s">
        <v>3437</v>
      </c>
      <c r="E1143" s="70" t="s">
        <v>3457</v>
      </c>
      <c r="F1143" s="70" t="s">
        <v>3974</v>
      </c>
      <c r="G1143" s="70" t="s">
        <v>3905</v>
      </c>
      <c r="H1143" s="93"/>
      <c r="I1143" s="85">
        <f>LOG(J1143)</f>
        <v>1.2999429000227669</v>
      </c>
      <c r="J1143" s="85">
        <f>AVERAGE(21, 18.9)</f>
        <v>19.95</v>
      </c>
      <c r="K1143" s="131" t="s">
        <v>3177</v>
      </c>
      <c r="L1143" s="60">
        <v>135</v>
      </c>
    </row>
    <row r="1144" spans="1:18" ht="14" x14ac:dyDescent="0.15">
      <c r="A1144" s="70" t="s">
        <v>2633</v>
      </c>
      <c r="B1144" s="82"/>
      <c r="C1144" s="70" t="s">
        <v>3636</v>
      </c>
      <c r="D1144" s="70" t="s">
        <v>3437</v>
      </c>
      <c r="E1144" s="70" t="s">
        <v>3457</v>
      </c>
      <c r="F1144" s="70" t="s">
        <v>3974</v>
      </c>
      <c r="G1144" s="70" t="s">
        <v>3975</v>
      </c>
      <c r="H1144" s="93"/>
      <c r="I1144" s="85">
        <f>LOG(J1144)</f>
        <v>1.3010300000000001</v>
      </c>
      <c r="J1144" s="85">
        <v>20.000000199681054</v>
      </c>
      <c r="K1144" s="131" t="s">
        <v>3177</v>
      </c>
      <c r="L1144" s="67">
        <v>-999</v>
      </c>
    </row>
    <row r="1145" spans="1:18" ht="14" x14ac:dyDescent="0.15">
      <c r="A1145" s="70" t="s">
        <v>2633</v>
      </c>
      <c r="B1145" s="82"/>
      <c r="C1145" s="70" t="s">
        <v>3636</v>
      </c>
      <c r="D1145" s="70" t="s">
        <v>3437</v>
      </c>
      <c r="E1145" s="70" t="s">
        <v>3457</v>
      </c>
      <c r="F1145" s="70" t="s">
        <v>3974</v>
      </c>
      <c r="G1145" s="70" t="s">
        <v>7989</v>
      </c>
      <c r="H1145" s="93"/>
      <c r="I1145" s="85">
        <f>LOG(J1145)</f>
        <v>1.3021127731082949</v>
      </c>
      <c r="J1145" s="85">
        <f>AVERAGE(19.0998519111226, 21)</f>
        <v>20.049925955561299</v>
      </c>
      <c r="K1145" s="131" t="s">
        <v>3177</v>
      </c>
      <c r="L1145" s="60" t="s">
        <v>6389</v>
      </c>
      <c r="N1145" s="37" t="s">
        <v>1734</v>
      </c>
    </row>
    <row r="1146" spans="1:18" ht="14" x14ac:dyDescent="0.15">
      <c r="A1146" s="70" t="s">
        <v>2633</v>
      </c>
      <c r="B1146" s="82"/>
      <c r="C1146" s="70" t="s">
        <v>3636</v>
      </c>
      <c r="D1146" s="70" t="s">
        <v>3437</v>
      </c>
      <c r="E1146" s="70" t="s">
        <v>3457</v>
      </c>
      <c r="F1146" s="70" t="s">
        <v>3974</v>
      </c>
      <c r="G1146" s="70" t="s">
        <v>3976</v>
      </c>
      <c r="H1146" s="93"/>
      <c r="I1146" s="85">
        <f>LOG(J1146)</f>
        <v>1.5563025007672873</v>
      </c>
      <c r="J1146" s="85">
        <v>36</v>
      </c>
      <c r="K1146" s="131" t="s">
        <v>3177</v>
      </c>
      <c r="L1146" s="60">
        <v>125</v>
      </c>
    </row>
    <row r="1147" spans="1:18" ht="16" x14ac:dyDescent="0.2">
      <c r="A1147" s="70" t="s">
        <v>2633</v>
      </c>
      <c r="B1147" s="82" t="s">
        <v>2502</v>
      </c>
      <c r="C1147" s="70" t="s">
        <v>3636</v>
      </c>
      <c r="D1147" s="70" t="s">
        <v>3437</v>
      </c>
      <c r="E1147" s="70" t="s">
        <v>3457</v>
      </c>
      <c r="F1147" s="70" t="s">
        <v>4015</v>
      </c>
      <c r="G1147" s="70" t="s">
        <v>3808</v>
      </c>
      <c r="H1147" s="93"/>
      <c r="I1147" s="85">
        <v>-999</v>
      </c>
      <c r="J1147" s="85">
        <v>-999</v>
      </c>
      <c r="K1147" s="131" t="s">
        <v>6391</v>
      </c>
      <c r="L1147" s="60">
        <v>-999</v>
      </c>
      <c r="M1147" s="33" t="s">
        <v>6390</v>
      </c>
      <c r="N1147" s="48"/>
      <c r="Q1147" s="6"/>
      <c r="R1147" s="6"/>
    </row>
    <row r="1148" spans="1:18" ht="14" x14ac:dyDescent="0.15">
      <c r="A1148" s="70" t="s">
        <v>2633</v>
      </c>
      <c r="B1148" s="93" t="s">
        <v>2191</v>
      </c>
      <c r="C1148" s="70" t="s">
        <v>3636</v>
      </c>
      <c r="D1148" s="70" t="s">
        <v>3437</v>
      </c>
      <c r="E1148" s="70" t="s">
        <v>3457</v>
      </c>
      <c r="F1148" s="70" t="s">
        <v>6275</v>
      </c>
      <c r="G1148" s="70" t="s">
        <v>3818</v>
      </c>
      <c r="H1148" s="93"/>
      <c r="I1148" s="85">
        <v>-999</v>
      </c>
      <c r="J1148" s="85">
        <v>-999</v>
      </c>
      <c r="K1148" s="131" t="s">
        <v>6630</v>
      </c>
      <c r="L1148" s="60">
        <v>-999</v>
      </c>
      <c r="M1148" s="33" t="s">
        <v>6727</v>
      </c>
      <c r="Q1148" s="6"/>
      <c r="R1148" s="6"/>
    </row>
    <row r="1149" spans="1:18" ht="14" x14ac:dyDescent="0.15">
      <c r="A1149" s="70" t="s">
        <v>2633</v>
      </c>
      <c r="B1149" s="93" t="s">
        <v>2432</v>
      </c>
      <c r="C1149" s="70" t="s">
        <v>3636</v>
      </c>
      <c r="D1149" s="70" t="s">
        <v>3437</v>
      </c>
      <c r="E1149" s="70" t="s">
        <v>3457</v>
      </c>
      <c r="F1149" s="70" t="s">
        <v>6275</v>
      </c>
      <c r="G1149" s="70" t="s">
        <v>5152</v>
      </c>
      <c r="H1149" s="93"/>
      <c r="I1149" s="85">
        <v>-999</v>
      </c>
      <c r="J1149" s="85">
        <v>-999</v>
      </c>
      <c r="K1149" s="131" t="s">
        <v>6630</v>
      </c>
      <c r="L1149" s="60">
        <v>-999</v>
      </c>
      <c r="M1149" s="33" t="s">
        <v>6727</v>
      </c>
      <c r="Q1149" s="6"/>
      <c r="R1149" s="6"/>
    </row>
    <row r="1150" spans="1:18" ht="28" x14ac:dyDescent="0.15">
      <c r="A1150" s="83" t="s">
        <v>2633</v>
      </c>
      <c r="B1150" s="93" t="s">
        <v>2399</v>
      </c>
      <c r="C1150" s="70" t="s">
        <v>3636</v>
      </c>
      <c r="D1150" s="70" t="s">
        <v>3437</v>
      </c>
      <c r="E1150" s="70" t="s">
        <v>3457</v>
      </c>
      <c r="F1150" s="70" t="s">
        <v>6275</v>
      </c>
      <c r="G1150" s="70" t="s">
        <v>3816</v>
      </c>
      <c r="H1150" s="93"/>
      <c r="I1150" s="85">
        <v>-999</v>
      </c>
      <c r="J1150" s="85">
        <v>-999</v>
      </c>
      <c r="K1150" s="131" t="s">
        <v>3177</v>
      </c>
      <c r="L1150" s="60">
        <v>-999</v>
      </c>
      <c r="M1150" s="33" t="s">
        <v>6727</v>
      </c>
      <c r="Q1150" s="6"/>
      <c r="R1150" s="6"/>
    </row>
    <row r="1151" spans="1:18" ht="14" x14ac:dyDescent="0.15">
      <c r="A1151" s="70" t="s">
        <v>2633</v>
      </c>
      <c r="B1151" s="93" t="s">
        <v>2502</v>
      </c>
      <c r="C1151" s="70" t="s">
        <v>3636</v>
      </c>
      <c r="D1151" s="70" t="s">
        <v>3437</v>
      </c>
      <c r="E1151" s="70" t="s">
        <v>3457</v>
      </c>
      <c r="F1151" s="70" t="s">
        <v>6275</v>
      </c>
      <c r="G1151" s="70" t="s">
        <v>6239</v>
      </c>
      <c r="H1151" s="93"/>
      <c r="I1151" s="85">
        <v>-999</v>
      </c>
      <c r="J1151" s="85">
        <v>-999</v>
      </c>
      <c r="K1151" s="131" t="s">
        <v>6391</v>
      </c>
      <c r="L1151" s="60">
        <v>-999</v>
      </c>
      <c r="M1151" s="33" t="s">
        <v>6390</v>
      </c>
      <c r="Q1151" s="6"/>
      <c r="R1151" s="6"/>
    </row>
    <row r="1152" spans="1:18" ht="14" x14ac:dyDescent="0.15">
      <c r="A1152" s="73" t="s">
        <v>2633</v>
      </c>
      <c r="B1152" s="82"/>
      <c r="C1152" s="70" t="s">
        <v>3636</v>
      </c>
      <c r="D1152" s="70" t="s">
        <v>3437</v>
      </c>
      <c r="E1152" s="70" t="s">
        <v>3457</v>
      </c>
      <c r="F1152" s="70" t="s">
        <v>6275</v>
      </c>
      <c r="G1152" s="70" t="s">
        <v>6240</v>
      </c>
      <c r="H1152" s="93"/>
      <c r="I1152" s="85">
        <v>-999</v>
      </c>
      <c r="J1152" s="85">
        <v>-999</v>
      </c>
      <c r="K1152" s="131" t="s">
        <v>6630</v>
      </c>
      <c r="L1152" s="60">
        <v>-999</v>
      </c>
      <c r="M1152" s="33" t="s">
        <v>6392</v>
      </c>
      <c r="Q1152" s="6"/>
      <c r="R1152" s="6"/>
    </row>
    <row r="1153" spans="1:18" ht="14" x14ac:dyDescent="0.15">
      <c r="A1153" s="70" t="s">
        <v>2633</v>
      </c>
      <c r="B1153" s="82"/>
      <c r="C1153" s="70" t="s">
        <v>3636</v>
      </c>
      <c r="D1153" s="70" t="s">
        <v>3437</v>
      </c>
      <c r="E1153" s="70" t="s">
        <v>3457</v>
      </c>
      <c r="F1153" s="70" t="s">
        <v>6275</v>
      </c>
      <c r="G1153" s="70" t="s">
        <v>6438</v>
      </c>
      <c r="H1153" s="93"/>
      <c r="I1153" s="85">
        <f t="shared" ref="I1153:I1158" si="43">LOG(J1153)</f>
        <v>1.4232500000000001</v>
      </c>
      <c r="J1153" s="85">
        <v>26.500251767403348</v>
      </c>
      <c r="K1153" s="131" t="s">
        <v>3177</v>
      </c>
      <c r="L1153" s="60" t="s">
        <v>2686</v>
      </c>
      <c r="Q1153" s="6"/>
      <c r="R1153" s="6"/>
    </row>
    <row r="1154" spans="1:18" ht="14" x14ac:dyDescent="0.15">
      <c r="A1154" s="70" t="s">
        <v>2633</v>
      </c>
      <c r="B1154" s="82"/>
      <c r="C1154" s="70" t="s">
        <v>3636</v>
      </c>
      <c r="D1154" s="70" t="s">
        <v>3437</v>
      </c>
      <c r="E1154" s="70" t="s">
        <v>3457</v>
      </c>
      <c r="F1154" s="70" t="s">
        <v>6275</v>
      </c>
      <c r="G1154" s="70" t="s">
        <v>6436</v>
      </c>
      <c r="H1154" s="93"/>
      <c r="I1154" s="85">
        <f t="shared" si="43"/>
        <v>1.5241796783007557</v>
      </c>
      <c r="J1154" s="85">
        <f>AVERAGE(27.7, 24.6, 48)</f>
        <v>33.43333333333333</v>
      </c>
      <c r="K1154" s="131" t="s">
        <v>3177</v>
      </c>
      <c r="L1154" s="60" t="s">
        <v>1489</v>
      </c>
      <c r="N1154" s="37" t="s">
        <v>1589</v>
      </c>
      <c r="Q1154" s="6"/>
      <c r="R1154" s="6"/>
    </row>
    <row r="1155" spans="1:18" ht="14" x14ac:dyDescent="0.15">
      <c r="A1155" s="73" t="s">
        <v>2633</v>
      </c>
      <c r="B1155" s="82"/>
      <c r="C1155" s="70" t="s">
        <v>3636</v>
      </c>
      <c r="D1155" s="70" t="s">
        <v>3437</v>
      </c>
      <c r="E1155" s="70" t="s">
        <v>3457</v>
      </c>
      <c r="F1155" s="70" t="s">
        <v>6275</v>
      </c>
      <c r="G1155" s="70" t="s">
        <v>3626</v>
      </c>
      <c r="H1155" s="93"/>
      <c r="I1155" s="85">
        <f t="shared" si="43"/>
        <v>1.581304769737343</v>
      </c>
      <c r="J1155" s="85">
        <f>AVERAGE(35.3, 36.3, 42.8)</f>
        <v>38.133333333333333</v>
      </c>
      <c r="K1155" s="131" t="s">
        <v>1469</v>
      </c>
      <c r="L1155" s="60" t="s">
        <v>1489</v>
      </c>
      <c r="N1155" s="37" t="s">
        <v>1493</v>
      </c>
      <c r="Q1155" s="6"/>
      <c r="R1155" s="6"/>
    </row>
    <row r="1156" spans="1:18" ht="14" x14ac:dyDescent="0.15">
      <c r="A1156" s="70" t="s">
        <v>2633</v>
      </c>
      <c r="B1156" s="82"/>
      <c r="C1156" s="70" t="s">
        <v>3636</v>
      </c>
      <c r="D1156" s="70" t="s">
        <v>3437</v>
      </c>
      <c r="E1156" s="70" t="s">
        <v>3457</v>
      </c>
      <c r="F1156" s="70" t="s">
        <v>6275</v>
      </c>
      <c r="G1156" s="70" t="s">
        <v>6437</v>
      </c>
      <c r="H1156" s="93"/>
      <c r="I1156" s="85">
        <f t="shared" si="43"/>
        <v>1.7634300000000003</v>
      </c>
      <c r="J1156" s="85">
        <v>58.000267960159121</v>
      </c>
      <c r="K1156" s="131" t="s">
        <v>3177</v>
      </c>
      <c r="L1156" s="60">
        <v>60</v>
      </c>
      <c r="Q1156" s="6"/>
      <c r="R1156" s="6"/>
    </row>
    <row r="1157" spans="1:18" ht="14" x14ac:dyDescent="0.15">
      <c r="A1157" s="70" t="s">
        <v>2633</v>
      </c>
      <c r="B1157" s="82"/>
      <c r="C1157" s="70" t="s">
        <v>3636</v>
      </c>
      <c r="D1157" s="70" t="s">
        <v>3437</v>
      </c>
      <c r="E1157" s="70" t="s">
        <v>3457</v>
      </c>
      <c r="F1157" s="70" t="s">
        <v>6275</v>
      </c>
      <c r="G1157" s="70" t="s">
        <v>6899</v>
      </c>
      <c r="H1157" s="93"/>
      <c r="I1157" s="85">
        <f t="shared" si="43"/>
        <v>1.7730546933642626</v>
      </c>
      <c r="J1157" s="85">
        <f>AVERAGE(62.8, 55.8)</f>
        <v>59.3</v>
      </c>
      <c r="K1157" s="131" t="s">
        <v>3177</v>
      </c>
      <c r="L1157" s="60">
        <v>260</v>
      </c>
      <c r="Q1157" s="6"/>
      <c r="R1157" s="6"/>
    </row>
    <row r="1158" spans="1:18" ht="14" x14ac:dyDescent="0.15">
      <c r="A1158" s="70" t="s">
        <v>2633</v>
      </c>
      <c r="B1158" s="82"/>
      <c r="C1158" s="70" t="s">
        <v>3636</v>
      </c>
      <c r="D1158" s="70" t="s">
        <v>3437</v>
      </c>
      <c r="E1158" s="70" t="s">
        <v>3457</v>
      </c>
      <c r="F1158" s="70" t="s">
        <v>3678</v>
      </c>
      <c r="G1158" s="70" t="s">
        <v>3717</v>
      </c>
      <c r="H1158" s="93"/>
      <c r="I1158" s="85">
        <f t="shared" si="43"/>
        <v>2.8779500000000002</v>
      </c>
      <c r="J1158" s="85">
        <v>755.00529946415679</v>
      </c>
      <c r="K1158" s="131" t="s">
        <v>3177</v>
      </c>
      <c r="L1158" s="60" t="s">
        <v>2686</v>
      </c>
      <c r="Q1158"/>
      <c r="R1158"/>
    </row>
    <row r="1159" spans="1:18" ht="14" x14ac:dyDescent="0.15">
      <c r="A1159" s="70" t="s">
        <v>2633</v>
      </c>
      <c r="B1159" s="82" t="s">
        <v>5854</v>
      </c>
      <c r="C1159" s="70" t="s">
        <v>3636</v>
      </c>
      <c r="D1159" s="70" t="s">
        <v>3437</v>
      </c>
      <c r="E1159" s="70" t="s">
        <v>3457</v>
      </c>
      <c r="F1159" s="70" t="s">
        <v>3663</v>
      </c>
      <c r="G1159" s="70" t="s">
        <v>4303</v>
      </c>
      <c r="H1159" s="93"/>
      <c r="I1159" s="85">
        <v>-999</v>
      </c>
      <c r="J1159" s="85">
        <v>-999</v>
      </c>
      <c r="K1159" s="131" t="s">
        <v>6630</v>
      </c>
      <c r="L1159" s="60">
        <v>-999</v>
      </c>
      <c r="M1159" s="33" t="s">
        <v>6727</v>
      </c>
      <c r="Q1159"/>
      <c r="R1159"/>
    </row>
    <row r="1160" spans="1:18" ht="14" x14ac:dyDescent="0.15">
      <c r="A1160" s="70" t="s">
        <v>2633</v>
      </c>
      <c r="B1160" s="82" t="s">
        <v>5854</v>
      </c>
      <c r="C1160" s="70" t="s">
        <v>3636</v>
      </c>
      <c r="D1160" s="70" t="s">
        <v>3437</v>
      </c>
      <c r="E1160" s="70" t="s">
        <v>3457</v>
      </c>
      <c r="F1160" s="70" t="s">
        <v>3663</v>
      </c>
      <c r="G1160" s="70" t="s">
        <v>3633</v>
      </c>
      <c r="H1160" s="93"/>
      <c r="I1160" s="85">
        <v>-999</v>
      </c>
      <c r="J1160" s="85">
        <v>-999</v>
      </c>
      <c r="K1160" s="131" t="s">
        <v>3177</v>
      </c>
      <c r="L1160" s="60">
        <v>-999</v>
      </c>
      <c r="M1160" s="33"/>
      <c r="Q1160"/>
      <c r="R1160"/>
    </row>
    <row r="1161" spans="1:18" ht="14" x14ac:dyDescent="0.15">
      <c r="A1161" s="70" t="s">
        <v>2633</v>
      </c>
      <c r="B1161" s="93" t="s">
        <v>2218</v>
      </c>
      <c r="C1161" s="70" t="s">
        <v>3636</v>
      </c>
      <c r="D1161" s="70" t="s">
        <v>3437</v>
      </c>
      <c r="E1161" s="70" t="s">
        <v>3457</v>
      </c>
      <c r="F1161" s="70" t="s">
        <v>3663</v>
      </c>
      <c r="G1161" s="70" t="s">
        <v>3399</v>
      </c>
      <c r="H1161" s="93"/>
      <c r="I1161" s="85">
        <v>-999</v>
      </c>
      <c r="J1161" s="85">
        <v>-999</v>
      </c>
      <c r="K1161" s="131" t="s">
        <v>6391</v>
      </c>
      <c r="L1161" s="60">
        <v>-999</v>
      </c>
      <c r="M1161" s="33" t="s">
        <v>6392</v>
      </c>
      <c r="Q1161"/>
      <c r="R1161"/>
    </row>
    <row r="1162" spans="1:18" ht="28" x14ac:dyDescent="0.2">
      <c r="A1162" s="70" t="s">
        <v>2633</v>
      </c>
      <c r="B1162" s="93" t="s">
        <v>2216</v>
      </c>
      <c r="C1162" s="70" t="s">
        <v>3636</v>
      </c>
      <c r="D1162" s="70" t="s">
        <v>3437</v>
      </c>
      <c r="E1162" s="70" t="s">
        <v>3457</v>
      </c>
      <c r="F1162" s="70" t="s">
        <v>3663</v>
      </c>
      <c r="G1162" s="70" t="s">
        <v>3909</v>
      </c>
      <c r="H1162" s="93"/>
      <c r="I1162" s="85">
        <v>-999</v>
      </c>
      <c r="J1162" s="85">
        <v>-999</v>
      </c>
      <c r="K1162" s="131" t="s">
        <v>3177</v>
      </c>
      <c r="L1162" s="60">
        <v>-999</v>
      </c>
      <c r="M1162" s="33"/>
      <c r="N1162" s="48"/>
      <c r="Q1162"/>
      <c r="R1162"/>
    </row>
    <row r="1163" spans="1:18" ht="14" x14ac:dyDescent="0.15">
      <c r="A1163" s="70" t="s">
        <v>2633</v>
      </c>
      <c r="B1163" s="82"/>
      <c r="C1163" s="70" t="s">
        <v>3636</v>
      </c>
      <c r="D1163" s="70" t="s">
        <v>3437</v>
      </c>
      <c r="E1163" s="70" t="s">
        <v>3457</v>
      </c>
      <c r="F1163" s="70" t="s">
        <v>3663</v>
      </c>
      <c r="G1163" s="70" t="s">
        <v>3680</v>
      </c>
      <c r="H1163" s="93"/>
      <c r="I1163" s="85">
        <f>LOG(J1163)</f>
        <v>1.0085999999999999</v>
      </c>
      <c r="J1163" s="85">
        <v>10.199995965937203</v>
      </c>
      <c r="K1163" s="131" t="s">
        <v>6391</v>
      </c>
      <c r="L1163" s="60">
        <v>60</v>
      </c>
      <c r="M1163" s="49" t="s">
        <v>6392</v>
      </c>
      <c r="Q1163"/>
      <c r="R1163"/>
    </row>
    <row r="1164" spans="1:18" ht="14" x14ac:dyDescent="0.15">
      <c r="A1164" s="70" t="s">
        <v>2633</v>
      </c>
      <c r="B1164" s="93" t="s">
        <v>2218</v>
      </c>
      <c r="C1164" s="70" t="s">
        <v>3636</v>
      </c>
      <c r="D1164" s="70" t="s">
        <v>3437</v>
      </c>
      <c r="E1164" s="70" t="s">
        <v>3457</v>
      </c>
      <c r="F1164" s="70" t="s">
        <v>3663</v>
      </c>
      <c r="G1164" s="70" t="s">
        <v>3206</v>
      </c>
      <c r="H1164" s="93"/>
      <c r="I1164" s="85">
        <f>LOG(J1164)</f>
        <v>1.5797835966168101</v>
      </c>
      <c r="J1164" s="85">
        <v>38</v>
      </c>
      <c r="K1164" s="131" t="s">
        <v>6391</v>
      </c>
      <c r="L1164" s="60">
        <v>212</v>
      </c>
      <c r="M1164" s="33" t="s">
        <v>6392</v>
      </c>
      <c r="Q1164"/>
      <c r="R1164"/>
    </row>
    <row r="1165" spans="1:18" ht="14" x14ac:dyDescent="0.15">
      <c r="A1165" s="70" t="s">
        <v>2633</v>
      </c>
      <c r="B1165" s="82"/>
      <c r="C1165" s="70" t="s">
        <v>3636</v>
      </c>
      <c r="D1165" s="70" t="s">
        <v>3437</v>
      </c>
      <c r="E1165" s="70" t="s">
        <v>3457</v>
      </c>
      <c r="F1165" s="70" t="s">
        <v>3663</v>
      </c>
      <c r="G1165" s="70" t="s">
        <v>7146</v>
      </c>
      <c r="H1165" s="93"/>
      <c r="I1165" s="85">
        <f>LOG(J1165)</f>
        <v>1.6247975789607612</v>
      </c>
      <c r="J1165" s="85">
        <f>AVERAGE(44.7, 39.6)</f>
        <v>42.150000000000006</v>
      </c>
      <c r="K1165" s="131" t="s">
        <v>1293</v>
      </c>
      <c r="L1165" s="60">
        <v>135</v>
      </c>
      <c r="Q1165"/>
      <c r="R1165"/>
    </row>
    <row r="1166" spans="1:18" ht="14" x14ac:dyDescent="0.15">
      <c r="A1166" s="70" t="s">
        <v>2633</v>
      </c>
      <c r="B1166" s="82"/>
      <c r="C1166" s="70" t="s">
        <v>3636</v>
      </c>
      <c r="D1166" s="70" t="s">
        <v>3437</v>
      </c>
      <c r="E1166" s="70" t="s">
        <v>3457</v>
      </c>
      <c r="F1166" s="70" t="s">
        <v>3663</v>
      </c>
      <c r="G1166" s="70" t="s">
        <v>3679</v>
      </c>
      <c r="H1166" s="93"/>
      <c r="I1166" s="85">
        <f>LOG(J1166)</f>
        <v>1.7781500000000001</v>
      </c>
      <c r="J1166" s="85">
        <v>59.999827253364401</v>
      </c>
      <c r="K1166" s="131" t="s">
        <v>3177</v>
      </c>
      <c r="L1166" s="60" t="s">
        <v>2686</v>
      </c>
      <c r="Q1166"/>
      <c r="R1166"/>
    </row>
    <row r="1167" spans="1:18" ht="14" x14ac:dyDescent="0.15">
      <c r="A1167" s="70" t="s">
        <v>2633</v>
      </c>
      <c r="B1167" s="82"/>
      <c r="C1167" s="70" t="s">
        <v>3636</v>
      </c>
      <c r="D1167" s="70" t="s">
        <v>3437</v>
      </c>
      <c r="E1167" s="70" t="s">
        <v>3457</v>
      </c>
      <c r="F1167" s="70" t="s">
        <v>3663</v>
      </c>
      <c r="G1167" s="70" t="s">
        <v>3681</v>
      </c>
      <c r="H1167" s="93"/>
      <c r="I1167" s="85">
        <f>LOG(J1167)</f>
        <v>1.8696227998851864</v>
      </c>
      <c r="J1167" s="85">
        <f>AVERAGE(76.7, 82.5, 63)</f>
        <v>74.066666666666663</v>
      </c>
      <c r="K1167" s="131" t="s">
        <v>1292</v>
      </c>
      <c r="L1167" s="60" t="s">
        <v>1489</v>
      </c>
      <c r="N1167" s="37" t="s">
        <v>1488</v>
      </c>
      <c r="Q1167"/>
      <c r="R1167"/>
    </row>
    <row r="1168" spans="1:18" ht="14" x14ac:dyDescent="0.15">
      <c r="A1168" s="70" t="s">
        <v>2633</v>
      </c>
      <c r="B1168" s="93" t="s">
        <v>2201</v>
      </c>
      <c r="C1168" s="70" t="s">
        <v>3636</v>
      </c>
      <c r="D1168" s="70" t="s">
        <v>3437</v>
      </c>
      <c r="E1168" s="70" t="s">
        <v>3457</v>
      </c>
      <c r="F1168" s="70" t="s">
        <v>3878</v>
      </c>
      <c r="G1168" s="70" t="s">
        <v>3030</v>
      </c>
      <c r="H1168" s="93"/>
      <c r="I1168" s="85">
        <v>-999</v>
      </c>
      <c r="J1168" s="85">
        <v>-999</v>
      </c>
      <c r="K1168" s="131" t="s">
        <v>3177</v>
      </c>
      <c r="L1168" s="60">
        <v>-999</v>
      </c>
      <c r="M1168" s="33"/>
    </row>
    <row r="1169" spans="1:26" ht="14" x14ac:dyDescent="0.15">
      <c r="A1169" s="70" t="s">
        <v>2633</v>
      </c>
      <c r="B1169" s="93" t="s">
        <v>5854</v>
      </c>
      <c r="C1169" s="70" t="s">
        <v>3636</v>
      </c>
      <c r="D1169" s="70" t="s">
        <v>3437</v>
      </c>
      <c r="E1169" s="70" t="s">
        <v>3457</v>
      </c>
      <c r="F1169" s="70" t="s">
        <v>3878</v>
      </c>
      <c r="G1169" s="70" t="s">
        <v>3031</v>
      </c>
      <c r="H1169" s="93"/>
      <c r="I1169" s="85">
        <v>-999</v>
      </c>
      <c r="J1169" s="85">
        <v>-999</v>
      </c>
      <c r="K1169" s="131" t="s">
        <v>6391</v>
      </c>
      <c r="L1169" s="60">
        <v>-999</v>
      </c>
      <c r="M1169" s="33" t="s">
        <v>6725</v>
      </c>
    </row>
    <row r="1170" spans="1:26" ht="14" x14ac:dyDescent="0.15">
      <c r="A1170" s="70" t="s">
        <v>2633</v>
      </c>
      <c r="B1170" s="93" t="s">
        <v>5854</v>
      </c>
      <c r="C1170" s="70" t="s">
        <v>3636</v>
      </c>
      <c r="D1170" s="70" t="s">
        <v>3437</v>
      </c>
      <c r="E1170" s="70" t="s">
        <v>3457</v>
      </c>
      <c r="F1170" s="70" t="s">
        <v>3878</v>
      </c>
      <c r="G1170" s="70" t="s">
        <v>6063</v>
      </c>
      <c r="H1170" s="93"/>
      <c r="I1170" s="85">
        <f>LOG(J1170)</f>
        <v>1.6901960800285136</v>
      </c>
      <c r="J1170" s="85">
        <f>AVERAGE(55, 65, 40, 36)</f>
        <v>49</v>
      </c>
      <c r="K1170" s="131" t="s">
        <v>6391</v>
      </c>
      <c r="L1170" s="60">
        <v>207</v>
      </c>
      <c r="M1170" s="33" t="s">
        <v>6725</v>
      </c>
    </row>
    <row r="1171" spans="1:26" ht="14" x14ac:dyDescent="0.15">
      <c r="A1171" s="73" t="s">
        <v>2633</v>
      </c>
      <c r="B1171" s="82"/>
      <c r="C1171" s="70" t="s">
        <v>3636</v>
      </c>
      <c r="D1171" s="70" t="s">
        <v>3437</v>
      </c>
      <c r="E1171" s="70" t="s">
        <v>3457</v>
      </c>
      <c r="F1171" s="70" t="s">
        <v>3878</v>
      </c>
      <c r="G1171" s="70" t="s">
        <v>3879</v>
      </c>
      <c r="H1171" s="93"/>
      <c r="I1171" s="85">
        <f>LOG(J1171)</f>
        <v>1.8125806751601887</v>
      </c>
      <c r="J1171" s="85">
        <f>AVERAGE(60, 69.9004545671819)</f>
        <v>64.950227283590948</v>
      </c>
      <c r="K1171" s="131" t="s">
        <v>3177</v>
      </c>
      <c r="L1171" s="60" t="s">
        <v>6389</v>
      </c>
      <c r="N1171" s="37" t="s">
        <v>1492</v>
      </c>
    </row>
    <row r="1172" spans="1:26" ht="14" x14ac:dyDescent="0.15">
      <c r="A1172" s="70" t="s">
        <v>2633</v>
      </c>
      <c r="B1172" s="82"/>
      <c r="C1172" s="70" t="s">
        <v>3636</v>
      </c>
      <c r="D1172" s="70" t="s">
        <v>3437</v>
      </c>
      <c r="E1172" s="70" t="s">
        <v>3457</v>
      </c>
      <c r="F1172" s="70" t="s">
        <v>3878</v>
      </c>
      <c r="G1172" s="70" t="s">
        <v>3627</v>
      </c>
      <c r="H1172" s="93"/>
      <c r="I1172" s="85">
        <f>LOG(J1172)</f>
        <v>1.9804578922761</v>
      </c>
      <c r="J1172" s="85">
        <v>95.6</v>
      </c>
      <c r="K1172" s="131" t="s">
        <v>1290</v>
      </c>
      <c r="L1172" s="60">
        <v>135</v>
      </c>
    </row>
    <row r="1173" spans="1:26" ht="16" x14ac:dyDescent="0.2">
      <c r="A1173" s="70" t="s">
        <v>2633</v>
      </c>
      <c r="B1173" s="82"/>
      <c r="C1173" s="70" t="s">
        <v>3636</v>
      </c>
      <c r="D1173" s="70" t="s">
        <v>3437</v>
      </c>
      <c r="E1173" s="70" t="s">
        <v>3457</v>
      </c>
      <c r="F1173" s="70" t="s">
        <v>3880</v>
      </c>
      <c r="G1173" s="70" t="s">
        <v>3881</v>
      </c>
      <c r="H1173" s="93"/>
      <c r="I1173" s="85">
        <f>LOG(J1173)</f>
        <v>1.1271</v>
      </c>
      <c r="J1173" s="85">
        <v>13.399851948997973</v>
      </c>
      <c r="K1173" s="131" t="s">
        <v>3177</v>
      </c>
      <c r="L1173" s="60">
        <v>60</v>
      </c>
      <c r="N1173" s="48"/>
    </row>
    <row r="1174" spans="1:26" ht="14" x14ac:dyDescent="0.15">
      <c r="A1174" s="70" t="s">
        <v>2633</v>
      </c>
      <c r="B1174" s="93" t="s">
        <v>2423</v>
      </c>
      <c r="C1174" s="70" t="s">
        <v>3636</v>
      </c>
      <c r="D1174" s="70" t="s">
        <v>3437</v>
      </c>
      <c r="E1174" s="70" t="s">
        <v>3457</v>
      </c>
      <c r="F1174" s="70" t="s">
        <v>3977</v>
      </c>
      <c r="G1174" s="70" t="s">
        <v>4728</v>
      </c>
      <c r="H1174" s="93"/>
      <c r="I1174" s="85">
        <v>-999</v>
      </c>
      <c r="J1174" s="85">
        <v>-999</v>
      </c>
      <c r="K1174" s="131" t="s">
        <v>3177</v>
      </c>
      <c r="L1174" s="60">
        <v>-999</v>
      </c>
      <c r="M1174" s="33"/>
    </row>
    <row r="1175" spans="1:26" ht="28" x14ac:dyDescent="0.15">
      <c r="A1175" s="70" t="s">
        <v>2633</v>
      </c>
      <c r="B1175" s="93" t="s">
        <v>2219</v>
      </c>
      <c r="C1175" s="73" t="s">
        <v>3636</v>
      </c>
      <c r="D1175" s="73" t="s">
        <v>3437</v>
      </c>
      <c r="E1175" s="70" t="s">
        <v>3457</v>
      </c>
      <c r="F1175" s="73" t="s">
        <v>3977</v>
      </c>
      <c r="G1175" s="73" t="s">
        <v>7899</v>
      </c>
      <c r="H1175" s="108"/>
      <c r="I1175" s="85">
        <v>-999</v>
      </c>
      <c r="J1175" s="95">
        <v>-999</v>
      </c>
      <c r="K1175" s="131" t="s">
        <v>3177</v>
      </c>
      <c r="L1175" s="60">
        <v>-999</v>
      </c>
      <c r="M1175" s="33" t="s">
        <v>6727</v>
      </c>
      <c r="S1175"/>
      <c r="T1175"/>
      <c r="U1175"/>
      <c r="V1175"/>
      <c r="W1175"/>
      <c r="X1175"/>
      <c r="Y1175"/>
      <c r="Z1175"/>
    </row>
    <row r="1176" spans="1:26" ht="14" x14ac:dyDescent="0.15">
      <c r="A1176" s="70" t="s">
        <v>2633</v>
      </c>
      <c r="B1176" s="93" t="s">
        <v>2208</v>
      </c>
      <c r="C1176" s="73" t="s">
        <v>3636</v>
      </c>
      <c r="D1176" s="73" t="s">
        <v>3437</v>
      </c>
      <c r="E1176" s="70" t="s">
        <v>3457</v>
      </c>
      <c r="F1176" s="73" t="s">
        <v>3977</v>
      </c>
      <c r="G1176" s="73" t="s">
        <v>7750</v>
      </c>
      <c r="H1176" s="108"/>
      <c r="I1176" s="85">
        <v>-999</v>
      </c>
      <c r="J1176" s="95">
        <v>-999</v>
      </c>
      <c r="K1176" s="131" t="s">
        <v>3177</v>
      </c>
      <c r="L1176" s="60">
        <v>-999</v>
      </c>
      <c r="M1176" s="33" t="s">
        <v>6392</v>
      </c>
    </row>
    <row r="1177" spans="1:26" ht="14" x14ac:dyDescent="0.15">
      <c r="A1177" s="70" t="s">
        <v>2633</v>
      </c>
      <c r="B1177" s="82"/>
      <c r="C1177" s="70" t="s">
        <v>3636</v>
      </c>
      <c r="D1177" s="70" t="s">
        <v>3437</v>
      </c>
      <c r="E1177" s="70" t="s">
        <v>3457</v>
      </c>
      <c r="F1177" s="70" t="s">
        <v>3977</v>
      </c>
      <c r="G1177" s="70" t="s">
        <v>3978</v>
      </c>
      <c r="H1177" s="93"/>
      <c r="I1177" s="85">
        <f t="shared" ref="I1177:I1185" si="44">LOG(J1177)</f>
        <v>1.6384892569546374</v>
      </c>
      <c r="J1177" s="85">
        <f>AVERAGE(48, 39)</f>
        <v>43.5</v>
      </c>
      <c r="K1177" s="131" t="s">
        <v>3177</v>
      </c>
      <c r="L1177" s="60">
        <v>113</v>
      </c>
    </row>
    <row r="1178" spans="1:26" ht="14" x14ac:dyDescent="0.15">
      <c r="A1178" s="70" t="s">
        <v>2633</v>
      </c>
      <c r="B1178" s="82"/>
      <c r="C1178" s="70" t="s">
        <v>3636</v>
      </c>
      <c r="D1178" s="70" t="s">
        <v>3437</v>
      </c>
      <c r="E1178" s="70" t="s">
        <v>3457</v>
      </c>
      <c r="F1178" s="70" t="s">
        <v>3977</v>
      </c>
      <c r="G1178" s="70" t="s">
        <v>3250</v>
      </c>
      <c r="H1178" s="93"/>
      <c r="I1178" s="85">
        <f t="shared" si="44"/>
        <v>1.6674500000000001</v>
      </c>
      <c r="J1178" s="85">
        <v>46.499683834536768</v>
      </c>
      <c r="K1178" s="131" t="s">
        <v>3177</v>
      </c>
      <c r="L1178" s="60">
        <v>60</v>
      </c>
    </row>
    <row r="1179" spans="1:26" ht="16" x14ac:dyDescent="0.2">
      <c r="A1179" s="70" t="s">
        <v>2633</v>
      </c>
      <c r="B1179" s="82"/>
      <c r="C1179" s="70" t="s">
        <v>3636</v>
      </c>
      <c r="D1179" s="70" t="s">
        <v>3437</v>
      </c>
      <c r="E1179" s="70" t="s">
        <v>3457</v>
      </c>
      <c r="F1179" s="70" t="s">
        <v>3977</v>
      </c>
      <c r="G1179" s="70" t="s">
        <v>3455</v>
      </c>
      <c r="H1179" s="93"/>
      <c r="I1179" s="85">
        <f t="shared" si="44"/>
        <v>1.736715133605611</v>
      </c>
      <c r="J1179" s="85">
        <f>AVERAGE(63.5, 67.4, 50, 53.2, 38.6)</f>
        <v>54.540000000000006</v>
      </c>
      <c r="K1179" s="131" t="s">
        <v>3177</v>
      </c>
      <c r="L1179" s="60" t="s">
        <v>1759</v>
      </c>
      <c r="N1179" s="48"/>
      <c r="S1179"/>
      <c r="T1179"/>
      <c r="U1179"/>
      <c r="V1179"/>
      <c r="W1179"/>
      <c r="X1179"/>
      <c r="Y1179"/>
      <c r="Z1179"/>
    </row>
    <row r="1180" spans="1:26" ht="14" x14ac:dyDescent="0.15">
      <c r="A1180" s="70" t="s">
        <v>2633</v>
      </c>
      <c r="B1180" s="82"/>
      <c r="C1180" s="70" t="s">
        <v>3636</v>
      </c>
      <c r="D1180" s="70" t="s">
        <v>3437</v>
      </c>
      <c r="E1180" s="70" t="s">
        <v>3457</v>
      </c>
      <c r="F1180" s="70" t="s">
        <v>3977</v>
      </c>
      <c r="G1180" s="70" t="s">
        <v>3979</v>
      </c>
      <c r="H1180" s="93"/>
      <c r="I1180" s="85">
        <f t="shared" si="44"/>
        <v>1.7493500000000002</v>
      </c>
      <c r="J1180" s="85">
        <v>56.150030952397437</v>
      </c>
      <c r="K1180" s="131" t="s">
        <v>3177</v>
      </c>
      <c r="L1180" s="60">
        <v>60</v>
      </c>
    </row>
    <row r="1181" spans="1:26" ht="14" x14ac:dyDescent="0.15">
      <c r="A1181" s="70" t="s">
        <v>2633</v>
      </c>
      <c r="B1181" s="82"/>
      <c r="C1181" s="70" t="s">
        <v>3636</v>
      </c>
      <c r="D1181" s="70" t="s">
        <v>3437</v>
      </c>
      <c r="E1181" s="70" t="s">
        <v>3457</v>
      </c>
      <c r="F1181" s="70" t="s">
        <v>3977</v>
      </c>
      <c r="G1181" s="70" t="s">
        <v>3980</v>
      </c>
      <c r="H1181" s="93"/>
      <c r="I1181" s="85">
        <f t="shared" si="44"/>
        <v>1.7930900000000001</v>
      </c>
      <c r="J1181" s="85">
        <v>62.099771190317405</v>
      </c>
      <c r="K1181" s="131" t="s">
        <v>3177</v>
      </c>
      <c r="L1181" s="67">
        <v>-999</v>
      </c>
    </row>
    <row r="1182" spans="1:26" ht="14" x14ac:dyDescent="0.15">
      <c r="A1182" s="70" t="s">
        <v>2633</v>
      </c>
      <c r="B1182" s="82"/>
      <c r="C1182" s="70" t="s">
        <v>3636</v>
      </c>
      <c r="D1182" s="70" t="s">
        <v>3437</v>
      </c>
      <c r="E1182" s="70" t="s">
        <v>3457</v>
      </c>
      <c r="F1182" s="70" t="s">
        <v>3726</v>
      </c>
      <c r="G1182" s="70" t="s">
        <v>6563</v>
      </c>
      <c r="H1182" s="93"/>
      <c r="I1182" s="85">
        <f t="shared" si="44"/>
        <v>1.7160000000000002</v>
      </c>
      <c r="J1182" s="85">
        <v>51.999599653351616</v>
      </c>
      <c r="K1182" s="131" t="s">
        <v>3177</v>
      </c>
      <c r="L1182" s="60">
        <v>60</v>
      </c>
      <c r="M1182" s="49" t="s">
        <v>6728</v>
      </c>
      <c r="Q1182" s="6"/>
      <c r="R1182" s="6"/>
    </row>
    <row r="1183" spans="1:26" ht="14" x14ac:dyDescent="0.15">
      <c r="A1183" s="70" t="s">
        <v>2633</v>
      </c>
      <c r="B1183" s="82"/>
      <c r="C1183" s="70" t="s">
        <v>3636</v>
      </c>
      <c r="D1183" s="70" t="s">
        <v>3437</v>
      </c>
      <c r="E1183" s="70" t="s">
        <v>3457</v>
      </c>
      <c r="F1183" s="70" t="s">
        <v>6564</v>
      </c>
      <c r="G1183" s="70" t="s">
        <v>6565</v>
      </c>
      <c r="H1183" s="93"/>
      <c r="I1183" s="85">
        <f t="shared" si="44"/>
        <v>1.9029270960172628</v>
      </c>
      <c r="J1183" s="85">
        <f>AVERAGE(35.25, 83.3, 85.2, 76, 120.1)</f>
        <v>79.97</v>
      </c>
      <c r="K1183" s="131" t="s">
        <v>3177</v>
      </c>
      <c r="L1183" s="60" t="s">
        <v>6340</v>
      </c>
    </row>
    <row r="1184" spans="1:26" ht="14" x14ac:dyDescent="0.15">
      <c r="A1184" s="70" t="s">
        <v>2633</v>
      </c>
      <c r="B1184" s="82"/>
      <c r="C1184" s="70" t="s">
        <v>3636</v>
      </c>
      <c r="D1184" s="70" t="s">
        <v>3437</v>
      </c>
      <c r="E1184" s="70" t="s">
        <v>3457</v>
      </c>
      <c r="F1184" s="70" t="s">
        <v>6564</v>
      </c>
      <c r="G1184" s="70" t="s">
        <v>6567</v>
      </c>
      <c r="H1184" s="93"/>
      <c r="I1184" s="85">
        <f t="shared" si="44"/>
        <v>1.9571281976768131</v>
      </c>
      <c r="J1184" s="85">
        <v>90.6</v>
      </c>
      <c r="K1184" s="131" t="s">
        <v>3177</v>
      </c>
      <c r="L1184" s="60">
        <v>128</v>
      </c>
    </row>
    <row r="1185" spans="1:16" ht="14" x14ac:dyDescent="0.15">
      <c r="A1185" s="70" t="s">
        <v>2633</v>
      </c>
      <c r="B1185" s="82"/>
      <c r="C1185" s="70" t="s">
        <v>3636</v>
      </c>
      <c r="D1185" s="70" t="s">
        <v>3437</v>
      </c>
      <c r="E1185" s="70" t="s">
        <v>3457</v>
      </c>
      <c r="F1185" s="70" t="s">
        <v>6564</v>
      </c>
      <c r="G1185" s="70" t="s">
        <v>6566</v>
      </c>
      <c r="H1185" s="93"/>
      <c r="I1185" s="85">
        <f t="shared" si="44"/>
        <v>1.9606293081007256</v>
      </c>
      <c r="J1185" s="85">
        <f>AVERAGE(100, 90, 84)</f>
        <v>91.333333333333329</v>
      </c>
      <c r="K1185" s="131" t="s">
        <v>3177</v>
      </c>
      <c r="L1185" s="60" t="s">
        <v>6587</v>
      </c>
    </row>
    <row r="1186" spans="1:16" ht="14" x14ac:dyDescent="0.15">
      <c r="A1186" s="70" t="s">
        <v>2633</v>
      </c>
      <c r="B1186" s="82" t="s">
        <v>2497</v>
      </c>
      <c r="C1186" s="73" t="s">
        <v>3636</v>
      </c>
      <c r="D1186" s="73" t="s">
        <v>3437</v>
      </c>
      <c r="E1186" s="70" t="s">
        <v>3457</v>
      </c>
      <c r="F1186" s="73" t="s">
        <v>5863</v>
      </c>
      <c r="G1186" s="73" t="s">
        <v>7807</v>
      </c>
      <c r="H1186" s="108"/>
      <c r="I1186" s="85">
        <v>-999</v>
      </c>
      <c r="J1186" s="95">
        <v>-999</v>
      </c>
      <c r="K1186" s="131" t="s">
        <v>3177</v>
      </c>
      <c r="L1186" s="60">
        <v>-999</v>
      </c>
      <c r="M1186" s="33" t="s">
        <v>6392</v>
      </c>
    </row>
    <row r="1187" spans="1:16" ht="16" x14ac:dyDescent="0.2">
      <c r="A1187" s="70" t="s">
        <v>2633</v>
      </c>
      <c r="B1187" s="93" t="s">
        <v>5921</v>
      </c>
      <c r="C1187" s="70" t="s">
        <v>3636</v>
      </c>
      <c r="D1187" s="70" t="s">
        <v>3437</v>
      </c>
      <c r="E1187" s="70" t="s">
        <v>3457</v>
      </c>
      <c r="F1187" s="70" t="s">
        <v>6053</v>
      </c>
      <c r="G1187" s="70" t="s">
        <v>3237</v>
      </c>
      <c r="H1187" s="93"/>
      <c r="I1187" s="85">
        <f>LOG(J1187)</f>
        <v>1.2671717284030137</v>
      </c>
      <c r="J1187" s="85">
        <f>AVERAGE(12, 25)</f>
        <v>18.5</v>
      </c>
      <c r="K1187" s="131" t="s">
        <v>3177</v>
      </c>
      <c r="L1187" s="60">
        <v>70</v>
      </c>
      <c r="M1187" s="49" t="s">
        <v>6728</v>
      </c>
      <c r="N1187" s="48"/>
    </row>
    <row r="1188" spans="1:16" ht="28" x14ac:dyDescent="0.2">
      <c r="A1188" s="73" t="s">
        <v>2633</v>
      </c>
      <c r="B1188" s="93" t="s">
        <v>2473</v>
      </c>
      <c r="C1188" s="70" t="s">
        <v>3636</v>
      </c>
      <c r="D1188" s="70" t="s">
        <v>3437</v>
      </c>
      <c r="E1188" s="70" t="s">
        <v>3457</v>
      </c>
      <c r="F1188" s="70" t="s">
        <v>6292</v>
      </c>
      <c r="G1188" s="70" t="s">
        <v>5665</v>
      </c>
      <c r="H1188" s="93"/>
      <c r="I1188" s="85">
        <v>-999</v>
      </c>
      <c r="J1188" s="85">
        <v>-999</v>
      </c>
      <c r="K1188" s="131" t="s">
        <v>3177</v>
      </c>
      <c r="L1188" s="60">
        <v>-999</v>
      </c>
      <c r="M1188" s="33"/>
      <c r="N1188" s="48"/>
      <c r="P1188" s="35"/>
    </row>
    <row r="1189" spans="1:16" ht="14" x14ac:dyDescent="0.15">
      <c r="A1189" s="70" t="s">
        <v>2633</v>
      </c>
      <c r="B1189" s="93" t="s">
        <v>2641</v>
      </c>
      <c r="C1189" s="73" t="s">
        <v>3636</v>
      </c>
      <c r="D1189" s="73" t="s">
        <v>3437</v>
      </c>
      <c r="E1189" s="70" t="s">
        <v>3457</v>
      </c>
      <c r="F1189" s="73" t="s">
        <v>6292</v>
      </c>
      <c r="G1189" s="73" t="s">
        <v>5673</v>
      </c>
      <c r="H1189" s="108"/>
      <c r="I1189" s="85">
        <v>-999</v>
      </c>
      <c r="J1189" s="95">
        <v>-999</v>
      </c>
      <c r="K1189" s="131" t="s">
        <v>3177</v>
      </c>
      <c r="L1189" s="60">
        <v>-999</v>
      </c>
      <c r="M1189" s="33"/>
    </row>
    <row r="1190" spans="1:16" ht="14" x14ac:dyDescent="0.15">
      <c r="A1190" s="73" t="s">
        <v>2633</v>
      </c>
      <c r="B1190" s="93" t="s">
        <v>2466</v>
      </c>
      <c r="C1190" s="70" t="s">
        <v>3636</v>
      </c>
      <c r="D1190" s="70" t="s">
        <v>3437</v>
      </c>
      <c r="E1190" s="70" t="s">
        <v>3457</v>
      </c>
      <c r="F1190" s="70" t="s">
        <v>6292</v>
      </c>
      <c r="G1190" s="70" t="s">
        <v>6255</v>
      </c>
      <c r="H1190" s="93"/>
      <c r="I1190" s="85">
        <v>-999</v>
      </c>
      <c r="J1190" s="85">
        <v>-999</v>
      </c>
      <c r="K1190" s="131" t="s">
        <v>3177</v>
      </c>
      <c r="L1190" s="60">
        <v>-999</v>
      </c>
      <c r="M1190" s="33" t="s">
        <v>6728</v>
      </c>
    </row>
    <row r="1191" spans="1:16" ht="14" x14ac:dyDescent="0.15">
      <c r="A1191" s="73" t="s">
        <v>2633</v>
      </c>
      <c r="B1191" s="82"/>
      <c r="C1191" s="70" t="s">
        <v>3636</v>
      </c>
      <c r="D1191" s="70" t="s">
        <v>3437</v>
      </c>
      <c r="E1191" s="70" t="s">
        <v>3457</v>
      </c>
      <c r="F1191" s="70" t="s">
        <v>6292</v>
      </c>
      <c r="G1191" s="70" t="s">
        <v>6256</v>
      </c>
      <c r="H1191" s="93"/>
      <c r="I1191" s="85">
        <v>-999</v>
      </c>
      <c r="J1191" s="85">
        <v>-999</v>
      </c>
      <c r="K1191" s="131" t="s">
        <v>3177</v>
      </c>
      <c r="L1191" s="60">
        <v>-999</v>
      </c>
      <c r="M1191" s="33"/>
    </row>
    <row r="1192" spans="1:16" ht="14" x14ac:dyDescent="0.15">
      <c r="A1192" s="70" t="s">
        <v>2633</v>
      </c>
      <c r="B1192" s="93" t="s">
        <v>5854</v>
      </c>
      <c r="C1192" s="73" t="s">
        <v>3636</v>
      </c>
      <c r="D1192" s="73" t="s">
        <v>3437</v>
      </c>
      <c r="E1192" s="70" t="s">
        <v>3457</v>
      </c>
      <c r="F1192" s="73" t="s">
        <v>6292</v>
      </c>
      <c r="G1192" s="73" t="s">
        <v>6257</v>
      </c>
      <c r="H1192" s="108"/>
      <c r="I1192" s="85">
        <v>-999</v>
      </c>
      <c r="J1192" s="95">
        <v>-999</v>
      </c>
      <c r="K1192" s="131" t="s">
        <v>3177</v>
      </c>
      <c r="L1192" s="60">
        <v>-999</v>
      </c>
      <c r="M1192" s="33" t="s">
        <v>6809</v>
      </c>
    </row>
    <row r="1193" spans="1:16" ht="14" x14ac:dyDescent="0.15">
      <c r="A1193" s="73" t="s">
        <v>2633</v>
      </c>
      <c r="B1193" s="93" t="s">
        <v>2266</v>
      </c>
      <c r="C1193" s="70" t="s">
        <v>3636</v>
      </c>
      <c r="D1193" s="70" t="s">
        <v>3437</v>
      </c>
      <c r="E1193" s="70" t="s">
        <v>3457</v>
      </c>
      <c r="F1193" s="70" t="s">
        <v>6292</v>
      </c>
      <c r="G1193" s="70" t="s">
        <v>4771</v>
      </c>
      <c r="H1193" s="93"/>
      <c r="I1193" s="85">
        <v>-999</v>
      </c>
      <c r="J1193" s="85">
        <v>-999</v>
      </c>
      <c r="K1193" s="131" t="s">
        <v>3177</v>
      </c>
      <c r="L1193" s="60">
        <v>-999</v>
      </c>
      <c r="M1193" s="33" t="s">
        <v>6727</v>
      </c>
    </row>
    <row r="1194" spans="1:16" ht="42" x14ac:dyDescent="0.15">
      <c r="A1194" s="70" t="s">
        <v>2633</v>
      </c>
      <c r="B1194" s="93" t="s">
        <v>2558</v>
      </c>
      <c r="C1194" s="70" t="s">
        <v>3636</v>
      </c>
      <c r="D1194" s="70" t="s">
        <v>3437</v>
      </c>
      <c r="E1194" s="70" t="s">
        <v>3457</v>
      </c>
      <c r="F1194" s="70" t="s">
        <v>6292</v>
      </c>
      <c r="G1194" s="70" t="s">
        <v>4611</v>
      </c>
      <c r="H1194" s="93"/>
      <c r="I1194" s="85">
        <v>-999</v>
      </c>
      <c r="J1194" s="85">
        <v>-999</v>
      </c>
      <c r="K1194" s="131" t="s">
        <v>3177</v>
      </c>
      <c r="L1194" s="60">
        <v>-999</v>
      </c>
      <c r="M1194" s="33"/>
    </row>
    <row r="1195" spans="1:16" ht="14" x14ac:dyDescent="0.15">
      <c r="A1195" s="70" t="s">
        <v>2633</v>
      </c>
      <c r="B1195" s="93" t="s">
        <v>2464</v>
      </c>
      <c r="C1195" s="73" t="s">
        <v>3636</v>
      </c>
      <c r="D1195" s="73" t="s">
        <v>3437</v>
      </c>
      <c r="E1195" s="70" t="s">
        <v>3457</v>
      </c>
      <c r="F1195" s="73" t="s">
        <v>6292</v>
      </c>
      <c r="G1195" s="73" t="s">
        <v>4612</v>
      </c>
      <c r="H1195" s="108"/>
      <c r="I1195" s="85">
        <v>-999</v>
      </c>
      <c r="J1195" s="95">
        <v>-999</v>
      </c>
      <c r="K1195" s="131" t="s">
        <v>3177</v>
      </c>
      <c r="L1195" s="60">
        <v>-999</v>
      </c>
      <c r="M1195" s="33"/>
    </row>
    <row r="1196" spans="1:16" ht="14" x14ac:dyDescent="0.15">
      <c r="A1196" s="70" t="s">
        <v>2633</v>
      </c>
      <c r="B1196" s="93" t="s">
        <v>2466</v>
      </c>
      <c r="C1196" s="70" t="s">
        <v>3636</v>
      </c>
      <c r="D1196" s="70" t="s">
        <v>3437</v>
      </c>
      <c r="E1196" s="70" t="s">
        <v>3457</v>
      </c>
      <c r="F1196" s="70" t="s">
        <v>6292</v>
      </c>
      <c r="G1196" s="70" t="s">
        <v>4613</v>
      </c>
      <c r="H1196" s="93"/>
      <c r="I1196" s="85">
        <v>-999</v>
      </c>
      <c r="J1196" s="85">
        <v>-999</v>
      </c>
      <c r="K1196" s="131" t="s">
        <v>3177</v>
      </c>
      <c r="L1196" s="60">
        <v>-999</v>
      </c>
      <c r="M1196" s="33" t="s">
        <v>6728</v>
      </c>
    </row>
    <row r="1197" spans="1:16" ht="28" x14ac:dyDescent="0.15">
      <c r="A1197" s="70" t="s">
        <v>2633</v>
      </c>
      <c r="B1197" s="93" t="s">
        <v>2960</v>
      </c>
      <c r="C1197" s="70" t="s">
        <v>3636</v>
      </c>
      <c r="D1197" s="70" t="s">
        <v>3437</v>
      </c>
      <c r="E1197" s="70" t="s">
        <v>3457</v>
      </c>
      <c r="F1197" s="70" t="s">
        <v>6292</v>
      </c>
      <c r="G1197" s="70" t="s">
        <v>4617</v>
      </c>
      <c r="H1197" s="93"/>
      <c r="I1197" s="85">
        <v>-999</v>
      </c>
      <c r="J1197" s="85">
        <v>-999</v>
      </c>
      <c r="K1197" s="131" t="s">
        <v>3177</v>
      </c>
      <c r="L1197" s="60">
        <v>-999</v>
      </c>
      <c r="M1197" s="33"/>
    </row>
    <row r="1198" spans="1:16" ht="28" x14ac:dyDescent="0.15">
      <c r="A1198" s="70" t="s">
        <v>2633</v>
      </c>
      <c r="B1198" s="93" t="s">
        <v>5831</v>
      </c>
      <c r="C1198" s="70" t="s">
        <v>3636</v>
      </c>
      <c r="D1198" s="70" t="s">
        <v>3437</v>
      </c>
      <c r="E1198" s="70" t="s">
        <v>3457</v>
      </c>
      <c r="F1198" s="70" t="s">
        <v>6292</v>
      </c>
      <c r="G1198" s="70" t="s">
        <v>2340</v>
      </c>
      <c r="H1198" s="93"/>
      <c r="I1198" s="85">
        <v>-999</v>
      </c>
      <c r="J1198" s="85">
        <v>-999</v>
      </c>
      <c r="K1198" s="131" t="s">
        <v>3177</v>
      </c>
      <c r="L1198" s="60">
        <v>-999</v>
      </c>
      <c r="M1198" s="33"/>
    </row>
    <row r="1199" spans="1:16" ht="14" x14ac:dyDescent="0.15">
      <c r="A1199" s="70" t="s">
        <v>2633</v>
      </c>
      <c r="B1199" s="82"/>
      <c r="C1199" s="70" t="s">
        <v>3636</v>
      </c>
      <c r="D1199" s="70" t="s">
        <v>3437</v>
      </c>
      <c r="E1199" s="70" t="s">
        <v>3457</v>
      </c>
      <c r="F1199" s="70" t="s">
        <v>6292</v>
      </c>
      <c r="G1199" s="70" t="s">
        <v>5265</v>
      </c>
      <c r="H1199" s="93"/>
      <c r="I1199" s="85">
        <f t="shared" ref="I1199:I1209" si="45">LOG(J1199)</f>
        <v>0.77815125038364363</v>
      </c>
      <c r="J1199" s="85">
        <v>6</v>
      </c>
      <c r="K1199" s="131" t="s">
        <v>6485</v>
      </c>
      <c r="L1199" s="60">
        <v>68</v>
      </c>
    </row>
    <row r="1200" spans="1:16" ht="14" x14ac:dyDescent="0.15">
      <c r="A1200" s="70" t="s">
        <v>2633</v>
      </c>
      <c r="B1200" s="82"/>
      <c r="C1200" s="70" t="s">
        <v>3636</v>
      </c>
      <c r="D1200" s="70" t="s">
        <v>3437</v>
      </c>
      <c r="E1200" s="70" t="s">
        <v>3457</v>
      </c>
      <c r="F1200" s="70" t="s">
        <v>6292</v>
      </c>
      <c r="G1200" s="70" t="s">
        <v>3890</v>
      </c>
      <c r="H1200" s="93"/>
      <c r="I1200" s="85">
        <f t="shared" si="45"/>
        <v>0.78888000000000014</v>
      </c>
      <c r="J1200" s="85">
        <v>6.1500691653966353</v>
      </c>
      <c r="K1200" s="131" t="s">
        <v>3177</v>
      </c>
      <c r="L1200" s="60">
        <v>60</v>
      </c>
    </row>
    <row r="1201" spans="1:14" ht="14" x14ac:dyDescent="0.15">
      <c r="A1201" s="73" t="s">
        <v>2633</v>
      </c>
      <c r="B1201" s="82"/>
      <c r="C1201" s="70" t="s">
        <v>3636</v>
      </c>
      <c r="D1201" s="70" t="s">
        <v>3437</v>
      </c>
      <c r="E1201" s="70" t="s">
        <v>3457</v>
      </c>
      <c r="F1201" s="70" t="s">
        <v>6292</v>
      </c>
      <c r="G1201" s="70" t="s">
        <v>3234</v>
      </c>
      <c r="H1201" s="93"/>
      <c r="I1201" s="85">
        <f t="shared" si="45"/>
        <v>0.82282000000000011</v>
      </c>
      <c r="J1201" s="85">
        <v>6.6499748068525486</v>
      </c>
      <c r="K1201" s="131" t="s">
        <v>3177</v>
      </c>
      <c r="L1201" s="60">
        <v>60</v>
      </c>
    </row>
    <row r="1202" spans="1:14" ht="14" x14ac:dyDescent="0.15">
      <c r="A1202" s="70" t="s">
        <v>2633</v>
      </c>
      <c r="B1202" s="82"/>
      <c r="C1202" s="70" t="s">
        <v>3636</v>
      </c>
      <c r="D1202" s="70" t="s">
        <v>3437</v>
      </c>
      <c r="E1202" s="70" t="s">
        <v>3457</v>
      </c>
      <c r="F1202" s="70" t="s">
        <v>6292</v>
      </c>
      <c r="G1202" s="70" t="s">
        <v>3892</v>
      </c>
      <c r="H1202" s="93"/>
      <c r="I1202" s="85">
        <f t="shared" si="45"/>
        <v>0.84578684980480934</v>
      </c>
      <c r="J1202" s="85">
        <f>AVERAGE(5.8, 5.5, 6.2, 6.3, 7, 7.1, 8.7, 6.5, 10)</f>
        <v>7.0111111111111102</v>
      </c>
      <c r="K1202" s="131" t="s">
        <v>3177</v>
      </c>
      <c r="L1202" s="60" t="s">
        <v>1483</v>
      </c>
      <c r="N1202" s="37" t="s">
        <v>1484</v>
      </c>
    </row>
    <row r="1203" spans="1:14" ht="14" x14ac:dyDescent="0.15">
      <c r="A1203" s="70" t="s">
        <v>2633</v>
      </c>
      <c r="B1203" s="82"/>
      <c r="C1203" s="70" t="s">
        <v>3636</v>
      </c>
      <c r="D1203" s="70" t="s">
        <v>3437</v>
      </c>
      <c r="E1203" s="70" t="s">
        <v>3457</v>
      </c>
      <c r="F1203" s="70" t="s">
        <v>6292</v>
      </c>
      <c r="G1203" s="70" t="s">
        <v>6293</v>
      </c>
      <c r="H1203" s="93"/>
      <c r="I1203" s="85">
        <f t="shared" si="45"/>
        <v>0.96378782734555524</v>
      </c>
      <c r="J1203" s="85">
        <v>9.1999999999999993</v>
      </c>
      <c r="K1203" s="131" t="s">
        <v>3177</v>
      </c>
      <c r="L1203" s="60">
        <v>135</v>
      </c>
    </row>
    <row r="1204" spans="1:14" ht="14" x14ac:dyDescent="0.15">
      <c r="A1204" s="70" t="s">
        <v>2633</v>
      </c>
      <c r="B1204" s="82"/>
      <c r="C1204" s="70" t="s">
        <v>3636</v>
      </c>
      <c r="D1204" s="70" t="s">
        <v>3437</v>
      </c>
      <c r="E1204" s="70" t="s">
        <v>3457</v>
      </c>
      <c r="F1204" s="70" t="s">
        <v>6292</v>
      </c>
      <c r="G1204" s="70" t="s">
        <v>4127</v>
      </c>
      <c r="H1204" s="93"/>
      <c r="I1204" s="85">
        <f t="shared" si="45"/>
        <v>0.97313000000000016</v>
      </c>
      <c r="J1204" s="85">
        <v>9.4000464574465781</v>
      </c>
      <c r="K1204" s="131" t="s">
        <v>3177</v>
      </c>
      <c r="L1204" s="60">
        <v>60</v>
      </c>
    </row>
    <row r="1205" spans="1:14" ht="14" x14ac:dyDescent="0.15">
      <c r="A1205" s="70" t="s">
        <v>2633</v>
      </c>
      <c r="B1205" s="82"/>
      <c r="C1205" s="70" t="s">
        <v>3636</v>
      </c>
      <c r="D1205" s="70" t="s">
        <v>3437</v>
      </c>
      <c r="E1205" s="70" t="s">
        <v>3457</v>
      </c>
      <c r="F1205" s="70" t="s">
        <v>6292</v>
      </c>
      <c r="G1205" s="70" t="s">
        <v>3891</v>
      </c>
      <c r="H1205" s="93"/>
      <c r="I1205" s="85">
        <f t="shared" si="45"/>
        <v>1</v>
      </c>
      <c r="J1205" s="85">
        <v>10</v>
      </c>
      <c r="K1205" s="131" t="s">
        <v>3177</v>
      </c>
      <c r="L1205" s="60">
        <v>60</v>
      </c>
    </row>
    <row r="1206" spans="1:14" ht="14" x14ac:dyDescent="0.15">
      <c r="A1206" s="83" t="s">
        <v>2633</v>
      </c>
      <c r="B1206" s="82"/>
      <c r="C1206" s="83" t="s">
        <v>3636</v>
      </c>
      <c r="D1206" s="83" t="s">
        <v>3437</v>
      </c>
      <c r="E1206" s="83" t="s">
        <v>3457</v>
      </c>
      <c r="F1206" s="83" t="s">
        <v>6292</v>
      </c>
      <c r="G1206" s="83" t="s">
        <v>5266</v>
      </c>
      <c r="H1206" s="82"/>
      <c r="I1206" s="85">
        <f t="shared" si="45"/>
        <v>1.1072099696478683</v>
      </c>
      <c r="J1206" s="84">
        <v>12.8</v>
      </c>
      <c r="K1206" s="136" t="s">
        <v>6485</v>
      </c>
      <c r="L1206" s="69">
        <v>68</v>
      </c>
    </row>
    <row r="1207" spans="1:14" ht="14" x14ac:dyDescent="0.15">
      <c r="A1207" s="73" t="s">
        <v>2633</v>
      </c>
      <c r="B1207" s="82"/>
      <c r="C1207" s="70" t="s">
        <v>3636</v>
      </c>
      <c r="D1207" s="70" t="s">
        <v>3437</v>
      </c>
      <c r="E1207" s="70" t="s">
        <v>3457</v>
      </c>
      <c r="F1207" s="70" t="s">
        <v>6292</v>
      </c>
      <c r="G1207" s="70" t="s">
        <v>4135</v>
      </c>
      <c r="H1207" s="93"/>
      <c r="I1207" s="85">
        <f t="shared" si="45"/>
        <v>1.1319392952104246</v>
      </c>
      <c r="J1207" s="85">
        <v>13.55</v>
      </c>
      <c r="K1207" s="131" t="s">
        <v>1291</v>
      </c>
      <c r="L1207" s="60">
        <v>135</v>
      </c>
    </row>
    <row r="1208" spans="1:14" ht="14" x14ac:dyDescent="0.15">
      <c r="A1208" s="70" t="s">
        <v>2633</v>
      </c>
      <c r="B1208" s="82"/>
      <c r="C1208" s="70" t="s">
        <v>3636</v>
      </c>
      <c r="D1208" s="70" t="s">
        <v>3437</v>
      </c>
      <c r="E1208" s="70" t="s">
        <v>3457</v>
      </c>
      <c r="F1208" s="70" t="s">
        <v>6292</v>
      </c>
      <c r="G1208" s="70" t="s">
        <v>4126</v>
      </c>
      <c r="H1208" s="93"/>
      <c r="I1208" s="85">
        <f t="shared" si="45"/>
        <v>1.2367900591726726</v>
      </c>
      <c r="J1208" s="85">
        <f>AVERAGE(13, 21.5000762429056)</f>
        <v>17.2500381214528</v>
      </c>
      <c r="K1208" s="131" t="s">
        <v>3177</v>
      </c>
      <c r="L1208" s="60" t="s">
        <v>1538</v>
      </c>
      <c r="N1208" s="37" t="s">
        <v>1835</v>
      </c>
    </row>
    <row r="1209" spans="1:14" ht="14" x14ac:dyDescent="0.15">
      <c r="A1209" s="70" t="s">
        <v>2633</v>
      </c>
      <c r="B1209" s="82"/>
      <c r="C1209" s="73" t="s">
        <v>3636</v>
      </c>
      <c r="D1209" s="73" t="s">
        <v>3437</v>
      </c>
      <c r="E1209" s="70" t="s">
        <v>3457</v>
      </c>
      <c r="F1209" s="73" t="s">
        <v>4128</v>
      </c>
      <c r="G1209" s="73" t="s">
        <v>4231</v>
      </c>
      <c r="H1209" s="108"/>
      <c r="I1209" s="85">
        <f t="shared" si="45"/>
        <v>2.0584260244570056</v>
      </c>
      <c r="J1209" s="95">
        <f>AVERAGE(118, 110.8)</f>
        <v>114.4</v>
      </c>
      <c r="K1209" s="131" t="s">
        <v>1468</v>
      </c>
      <c r="L1209" s="60">
        <v>135</v>
      </c>
    </row>
    <row r="1210" spans="1:14" ht="16" x14ac:dyDescent="0.2">
      <c r="A1210" s="73" t="s">
        <v>2633</v>
      </c>
      <c r="B1210" s="93" t="s">
        <v>5921</v>
      </c>
      <c r="C1210" s="70" t="s">
        <v>3636</v>
      </c>
      <c r="D1210" s="70" t="s">
        <v>3437</v>
      </c>
      <c r="E1210" s="70" t="s">
        <v>3457</v>
      </c>
      <c r="F1210" s="70" t="s">
        <v>4129</v>
      </c>
      <c r="G1210" s="70" t="s">
        <v>3851</v>
      </c>
      <c r="H1210" s="93"/>
      <c r="I1210" s="85">
        <v>-999</v>
      </c>
      <c r="J1210" s="85">
        <v>-999</v>
      </c>
      <c r="K1210" s="131" t="s">
        <v>3177</v>
      </c>
      <c r="L1210" s="60">
        <v>-999</v>
      </c>
      <c r="M1210" s="33" t="s">
        <v>6392</v>
      </c>
      <c r="N1210" s="48"/>
    </row>
    <row r="1211" spans="1:14" ht="14" x14ac:dyDescent="0.15">
      <c r="A1211" s="70" t="s">
        <v>2633</v>
      </c>
      <c r="B1211" s="82"/>
      <c r="C1211" s="70" t="s">
        <v>3636</v>
      </c>
      <c r="D1211" s="70" t="s">
        <v>3437</v>
      </c>
      <c r="E1211" s="70" t="s">
        <v>3457</v>
      </c>
      <c r="F1211" s="70" t="s">
        <v>4129</v>
      </c>
      <c r="G1211" s="70" t="s">
        <v>3981</v>
      </c>
      <c r="H1211" s="93"/>
      <c r="I1211" s="85">
        <f t="shared" ref="I1211:I1220" si="46">LOG(J1211)</f>
        <v>1.4771212547196624</v>
      </c>
      <c r="J1211" s="85">
        <v>30</v>
      </c>
      <c r="K1211" s="131" t="s">
        <v>1289</v>
      </c>
      <c r="L1211" s="67">
        <v>135</v>
      </c>
    </row>
    <row r="1212" spans="1:14" ht="14" x14ac:dyDescent="0.15">
      <c r="A1212" s="70" t="s">
        <v>2633</v>
      </c>
      <c r="B1212" s="82"/>
      <c r="C1212" s="70" t="s">
        <v>3636</v>
      </c>
      <c r="D1212" s="70" t="s">
        <v>3437</v>
      </c>
      <c r="E1212" s="70" t="s">
        <v>3457</v>
      </c>
      <c r="F1212" s="70" t="s">
        <v>4129</v>
      </c>
      <c r="G1212" s="70" t="s">
        <v>4131</v>
      </c>
      <c r="H1212" s="93"/>
      <c r="I1212" s="85">
        <f t="shared" si="46"/>
        <v>1.5051500000000002</v>
      </c>
      <c r="J1212" s="85">
        <v>32.000001597448417</v>
      </c>
      <c r="K1212" s="131" t="s">
        <v>3177</v>
      </c>
      <c r="L1212" s="67">
        <v>130</v>
      </c>
      <c r="N1212" s="37" t="s">
        <v>1500</v>
      </c>
    </row>
    <row r="1213" spans="1:14" ht="14" x14ac:dyDescent="0.15">
      <c r="A1213" s="70" t="s">
        <v>2633</v>
      </c>
      <c r="B1213" s="82"/>
      <c r="C1213" s="70" t="s">
        <v>3636</v>
      </c>
      <c r="D1213" s="70" t="s">
        <v>3437</v>
      </c>
      <c r="E1213" s="70" t="s">
        <v>3457</v>
      </c>
      <c r="F1213" s="70" t="s">
        <v>4129</v>
      </c>
      <c r="G1213" s="70" t="s">
        <v>4130</v>
      </c>
      <c r="H1213" s="93"/>
      <c r="I1213" s="85">
        <f t="shared" si="46"/>
        <v>1.5854607295085006</v>
      </c>
      <c r="J1213" s="85">
        <f>AVERAGE(40, 37)</f>
        <v>38.5</v>
      </c>
      <c r="K1213" s="131" t="s">
        <v>3177</v>
      </c>
      <c r="L1213" s="67" t="s">
        <v>1498</v>
      </c>
      <c r="N1213" s="37" t="s">
        <v>1499</v>
      </c>
    </row>
    <row r="1214" spans="1:14" ht="14" x14ac:dyDescent="0.15">
      <c r="A1214" s="70" t="s">
        <v>2633</v>
      </c>
      <c r="B1214" s="82"/>
      <c r="C1214" s="70" t="s">
        <v>3636</v>
      </c>
      <c r="D1214" s="70" t="s">
        <v>3437</v>
      </c>
      <c r="E1214" s="70" t="s">
        <v>3457</v>
      </c>
      <c r="F1214" s="70" t="s">
        <v>4129</v>
      </c>
      <c r="G1214" s="70" t="s">
        <v>3722</v>
      </c>
      <c r="H1214" s="93"/>
      <c r="I1214" s="85">
        <f t="shared" si="46"/>
        <v>1.6127838567197355</v>
      </c>
      <c r="J1214" s="85">
        <f>AVERAGE(44, 38)</f>
        <v>41</v>
      </c>
      <c r="K1214" s="131" t="s">
        <v>3177</v>
      </c>
      <c r="L1214" s="67">
        <v>129</v>
      </c>
    </row>
    <row r="1215" spans="1:14" ht="14" x14ac:dyDescent="0.15">
      <c r="A1215" s="70" t="s">
        <v>2633</v>
      </c>
      <c r="B1215" s="82"/>
      <c r="C1215" s="70" t="s">
        <v>3636</v>
      </c>
      <c r="D1215" s="70" t="s">
        <v>3437</v>
      </c>
      <c r="E1215" s="70" t="s">
        <v>3457</v>
      </c>
      <c r="F1215" s="70" t="s">
        <v>4129</v>
      </c>
      <c r="G1215" s="70" t="s">
        <v>3721</v>
      </c>
      <c r="H1215" s="93"/>
      <c r="I1215" s="85">
        <f t="shared" si="46"/>
        <v>1.6901999999999999</v>
      </c>
      <c r="J1215" s="85">
        <v>49.000442279323579</v>
      </c>
      <c r="K1215" s="131" t="s">
        <v>3177</v>
      </c>
      <c r="L1215" s="67">
        <v>-999</v>
      </c>
      <c r="M1215" s="49" t="s">
        <v>6728</v>
      </c>
    </row>
    <row r="1216" spans="1:14" ht="14" x14ac:dyDescent="0.15">
      <c r="A1216" s="70" t="s">
        <v>2633</v>
      </c>
      <c r="B1216" s="82"/>
      <c r="C1216" s="70" t="s">
        <v>3636</v>
      </c>
      <c r="D1216" s="70" t="s">
        <v>3437</v>
      </c>
      <c r="E1216" s="70" t="s">
        <v>3457</v>
      </c>
      <c r="F1216" s="70" t="s">
        <v>3723</v>
      </c>
      <c r="G1216" s="70" t="s">
        <v>3251</v>
      </c>
      <c r="H1216" s="93"/>
      <c r="I1216" s="85">
        <f t="shared" si="46"/>
        <v>1.9387698227831174</v>
      </c>
      <c r="J1216" s="85">
        <f>AVERAGE(95.7, 78)</f>
        <v>86.85</v>
      </c>
      <c r="K1216" s="131" t="s">
        <v>3177</v>
      </c>
      <c r="L1216" s="60">
        <v>129</v>
      </c>
      <c r="M1216" s="49" t="s">
        <v>6728</v>
      </c>
    </row>
    <row r="1217" spans="1:13" ht="14" x14ac:dyDescent="0.15">
      <c r="A1217" s="70" t="s">
        <v>2633</v>
      </c>
      <c r="B1217" s="82"/>
      <c r="C1217" s="70" t="s">
        <v>3636</v>
      </c>
      <c r="D1217" s="70" t="s">
        <v>3437</v>
      </c>
      <c r="E1217" s="70" t="s">
        <v>3457</v>
      </c>
      <c r="F1217" s="70" t="s">
        <v>3252</v>
      </c>
      <c r="G1217" s="70" t="s">
        <v>4155</v>
      </c>
      <c r="H1217" s="93"/>
      <c r="I1217" s="85">
        <f t="shared" si="46"/>
        <v>2.2455099999999999</v>
      </c>
      <c r="J1217" s="85">
        <v>175.99891885836047</v>
      </c>
      <c r="K1217" s="131" t="s">
        <v>3177</v>
      </c>
      <c r="L1217" s="60">
        <v>60</v>
      </c>
    </row>
    <row r="1218" spans="1:13" ht="14" x14ac:dyDescent="0.15">
      <c r="A1218" s="70" t="s">
        <v>2633</v>
      </c>
      <c r="B1218" s="82"/>
      <c r="C1218" s="70" t="s">
        <v>3636</v>
      </c>
      <c r="D1218" s="70" t="s">
        <v>3437</v>
      </c>
      <c r="E1218" s="70" t="s">
        <v>3457</v>
      </c>
      <c r="F1218" s="70" t="s">
        <v>4156</v>
      </c>
      <c r="G1218" s="70" t="s">
        <v>3926</v>
      </c>
      <c r="H1218" s="93"/>
      <c r="I1218" s="85">
        <f t="shared" si="46"/>
        <v>2.2516400000000005</v>
      </c>
      <c r="J1218" s="85">
        <v>178.50073141764005</v>
      </c>
      <c r="K1218" s="131" t="s">
        <v>3177</v>
      </c>
      <c r="L1218" s="60">
        <v>64</v>
      </c>
    </row>
    <row r="1219" spans="1:13" ht="14" x14ac:dyDescent="0.15">
      <c r="A1219" s="70" t="s">
        <v>2633</v>
      </c>
      <c r="B1219" s="93" t="s">
        <v>2300</v>
      </c>
      <c r="C1219" s="70" t="s">
        <v>3636</v>
      </c>
      <c r="D1219" s="70" t="s">
        <v>3437</v>
      </c>
      <c r="E1219" s="70" t="s">
        <v>3457</v>
      </c>
      <c r="F1219" s="70" t="s">
        <v>4140</v>
      </c>
      <c r="G1219" s="70" t="s">
        <v>4724</v>
      </c>
      <c r="H1219" s="93"/>
      <c r="I1219" s="85">
        <f t="shared" si="46"/>
        <v>1.9319661147281726</v>
      </c>
      <c r="J1219" s="85">
        <f>AVERAGE(50, 121)</f>
        <v>85.5</v>
      </c>
      <c r="K1219" s="131" t="s">
        <v>3177</v>
      </c>
      <c r="L1219" s="60">
        <v>70</v>
      </c>
    </row>
    <row r="1220" spans="1:13" ht="14" x14ac:dyDescent="0.15">
      <c r="A1220" s="70" t="s">
        <v>2633</v>
      </c>
      <c r="B1220" s="82"/>
      <c r="C1220" s="70" t="s">
        <v>3636</v>
      </c>
      <c r="D1220" s="70" t="s">
        <v>3437</v>
      </c>
      <c r="E1220" s="70" t="s">
        <v>3457</v>
      </c>
      <c r="F1220" s="70" t="s">
        <v>4140</v>
      </c>
      <c r="G1220" s="70" t="s">
        <v>4141</v>
      </c>
      <c r="H1220" s="93"/>
      <c r="I1220" s="85">
        <f t="shared" si="46"/>
        <v>1.9542400000000002</v>
      </c>
      <c r="J1220" s="85">
        <v>89.999479963720162</v>
      </c>
      <c r="K1220" s="131" t="s">
        <v>3177</v>
      </c>
      <c r="L1220" s="60" t="s">
        <v>2686</v>
      </c>
      <c r="M1220" s="49" t="s">
        <v>6727</v>
      </c>
    </row>
    <row r="1221" spans="1:13" ht="28" x14ac:dyDescent="0.15">
      <c r="A1221" s="70" t="s">
        <v>2633</v>
      </c>
      <c r="B1221" s="93" t="s">
        <v>5572</v>
      </c>
      <c r="C1221" s="70" t="s">
        <v>3636</v>
      </c>
      <c r="D1221" s="70" t="s">
        <v>3437</v>
      </c>
      <c r="E1221" s="70" t="s">
        <v>3457</v>
      </c>
      <c r="F1221" s="70" t="s">
        <v>4142</v>
      </c>
      <c r="G1221" s="70" t="s">
        <v>5406</v>
      </c>
      <c r="H1221" s="93"/>
      <c r="I1221" s="85">
        <v>-999</v>
      </c>
      <c r="J1221" s="85">
        <v>-999</v>
      </c>
      <c r="K1221" s="131" t="s">
        <v>3177</v>
      </c>
      <c r="L1221" s="60">
        <v>-999</v>
      </c>
      <c r="M1221" s="33" t="s">
        <v>6392</v>
      </c>
    </row>
    <row r="1222" spans="1:13" ht="14" x14ac:dyDescent="0.15">
      <c r="A1222" s="73" t="s">
        <v>2633</v>
      </c>
      <c r="B1222" s="93" t="s">
        <v>7396</v>
      </c>
      <c r="C1222" s="70" t="s">
        <v>3636</v>
      </c>
      <c r="D1222" s="70" t="s">
        <v>3437</v>
      </c>
      <c r="E1222" s="70" t="s">
        <v>3457</v>
      </c>
      <c r="F1222" s="70" t="s">
        <v>4142</v>
      </c>
      <c r="G1222" s="70" t="s">
        <v>4660</v>
      </c>
      <c r="H1222" s="93"/>
      <c r="I1222" s="85">
        <v>-999</v>
      </c>
      <c r="J1222" s="85">
        <v>-999</v>
      </c>
      <c r="K1222" s="131" t="s">
        <v>3177</v>
      </c>
      <c r="L1222" s="60">
        <v>-999</v>
      </c>
      <c r="M1222" s="33" t="s">
        <v>6390</v>
      </c>
    </row>
    <row r="1223" spans="1:13" ht="42" x14ac:dyDescent="0.15">
      <c r="A1223" s="70" t="s">
        <v>2633</v>
      </c>
      <c r="B1223" s="93" t="s">
        <v>7497</v>
      </c>
      <c r="C1223" s="70" t="s">
        <v>3636</v>
      </c>
      <c r="D1223" s="70" t="s">
        <v>3437</v>
      </c>
      <c r="E1223" s="70" t="s">
        <v>3457</v>
      </c>
      <c r="F1223" s="70" t="s">
        <v>4142</v>
      </c>
      <c r="G1223" s="70" t="s">
        <v>3329</v>
      </c>
      <c r="H1223" s="93"/>
      <c r="I1223" s="85">
        <v>-999</v>
      </c>
      <c r="J1223" s="85">
        <v>-999</v>
      </c>
      <c r="K1223" s="131" t="s">
        <v>3177</v>
      </c>
      <c r="L1223" s="60">
        <v>-999</v>
      </c>
      <c r="M1223" s="33" t="s">
        <v>6392</v>
      </c>
    </row>
    <row r="1224" spans="1:13" ht="14" x14ac:dyDescent="0.15">
      <c r="A1224" s="70" t="s">
        <v>2633</v>
      </c>
      <c r="B1224" s="82"/>
      <c r="C1224" s="70" t="s">
        <v>3636</v>
      </c>
      <c r="D1224" s="70" t="s">
        <v>3437</v>
      </c>
      <c r="E1224" s="70" t="s">
        <v>3457</v>
      </c>
      <c r="F1224" s="70" t="s">
        <v>4142</v>
      </c>
      <c r="G1224" s="70" t="s">
        <v>2904</v>
      </c>
      <c r="H1224" s="93"/>
      <c r="I1224" s="85">
        <f t="shared" ref="I1224:I1235" si="47">LOG(J1224)</f>
        <v>2.0128400000000002</v>
      </c>
      <c r="J1224" s="85">
        <v>103.00065820841056</v>
      </c>
      <c r="K1224" s="131" t="s">
        <v>3177</v>
      </c>
      <c r="L1224" s="60">
        <v>60</v>
      </c>
      <c r="M1224" s="49" t="s">
        <v>6392</v>
      </c>
    </row>
    <row r="1225" spans="1:13" ht="14" x14ac:dyDescent="0.15">
      <c r="A1225" s="70" t="s">
        <v>2633</v>
      </c>
      <c r="B1225" s="82"/>
      <c r="C1225" s="70" t="s">
        <v>3636</v>
      </c>
      <c r="D1225" s="70" t="s">
        <v>3437</v>
      </c>
      <c r="E1225" s="70" t="s">
        <v>3457</v>
      </c>
      <c r="F1225" s="70" t="s">
        <v>4142</v>
      </c>
      <c r="G1225" s="70" t="s">
        <v>3931</v>
      </c>
      <c r="H1225" s="93"/>
      <c r="I1225" s="85">
        <f t="shared" si="47"/>
        <v>2.0263289387223491</v>
      </c>
      <c r="J1225" s="85">
        <f>AVERAGE(84, 83, 137, 121)</f>
        <v>106.25</v>
      </c>
      <c r="K1225" s="131" t="s">
        <v>3177</v>
      </c>
      <c r="L1225" s="60" t="s">
        <v>6879</v>
      </c>
      <c r="M1225" s="49" t="s">
        <v>6392</v>
      </c>
    </row>
    <row r="1226" spans="1:13" ht="84" x14ac:dyDescent="0.15">
      <c r="A1226" s="73" t="s">
        <v>2633</v>
      </c>
      <c r="B1226" s="93" t="s">
        <v>7393</v>
      </c>
      <c r="C1226" s="70" t="s">
        <v>3636</v>
      </c>
      <c r="D1226" s="70" t="s">
        <v>3437</v>
      </c>
      <c r="E1226" s="70" t="s">
        <v>3457</v>
      </c>
      <c r="F1226" s="70" t="s">
        <v>4142</v>
      </c>
      <c r="G1226" s="70" t="s">
        <v>3899</v>
      </c>
      <c r="H1226" s="93"/>
      <c r="I1226" s="85">
        <f t="shared" si="47"/>
        <v>2.0367619308914304</v>
      </c>
      <c r="J1226" s="85">
        <f>AVERAGE(101.4, 130.1, 95)</f>
        <v>108.83333333333333</v>
      </c>
      <c r="K1226" s="131" t="s">
        <v>3177</v>
      </c>
      <c r="L1226" s="60" t="s">
        <v>1267</v>
      </c>
      <c r="M1226" s="49" t="s">
        <v>199</v>
      </c>
    </row>
    <row r="1227" spans="1:13" ht="14" x14ac:dyDescent="0.15">
      <c r="A1227" s="70" t="s">
        <v>2633</v>
      </c>
      <c r="B1227" s="82"/>
      <c r="C1227" s="70" t="s">
        <v>3636</v>
      </c>
      <c r="D1227" s="70" t="s">
        <v>3437</v>
      </c>
      <c r="E1227" s="70" t="s">
        <v>3457</v>
      </c>
      <c r="F1227" s="70" t="s">
        <v>4142</v>
      </c>
      <c r="G1227" s="70" t="s">
        <v>5862</v>
      </c>
      <c r="H1227" s="93"/>
      <c r="I1227" s="85">
        <f t="shared" si="47"/>
        <v>2.0719433440030572</v>
      </c>
      <c r="J1227" s="85">
        <f>AVERAGE(94, 77, 122, 114, 162.8, 138.3)</f>
        <v>118.01666666666665</v>
      </c>
      <c r="K1227" s="131" t="s">
        <v>3177</v>
      </c>
      <c r="L1227" s="60" t="s">
        <v>1770</v>
      </c>
    </row>
    <row r="1228" spans="1:13" ht="42" x14ac:dyDescent="0.15">
      <c r="A1228" s="70" t="s">
        <v>2633</v>
      </c>
      <c r="B1228" s="93" t="s">
        <v>4783</v>
      </c>
      <c r="C1228" s="70" t="s">
        <v>3636</v>
      </c>
      <c r="D1228" s="70" t="s">
        <v>3437</v>
      </c>
      <c r="E1228" s="70" t="s">
        <v>3457</v>
      </c>
      <c r="F1228" s="70" t="s">
        <v>4142</v>
      </c>
      <c r="G1228" s="70" t="s">
        <v>2035</v>
      </c>
      <c r="H1228" s="93"/>
      <c r="I1228" s="85">
        <f t="shared" si="47"/>
        <v>2.0791812460476247</v>
      </c>
      <c r="J1228" s="85">
        <v>120</v>
      </c>
      <c r="K1228" s="131" t="s">
        <v>3177</v>
      </c>
      <c r="L1228" s="60">
        <v>135</v>
      </c>
      <c r="M1228" s="33" t="s">
        <v>6392</v>
      </c>
    </row>
    <row r="1229" spans="1:13" ht="14" x14ac:dyDescent="0.15">
      <c r="A1229" s="70" t="s">
        <v>2633</v>
      </c>
      <c r="B1229" s="82"/>
      <c r="C1229" s="70" t="s">
        <v>3636</v>
      </c>
      <c r="D1229" s="70" t="s">
        <v>3437</v>
      </c>
      <c r="E1229" s="70" t="s">
        <v>3457</v>
      </c>
      <c r="F1229" s="70" t="s">
        <v>4142</v>
      </c>
      <c r="G1229" s="70" t="s">
        <v>3923</v>
      </c>
      <c r="H1229" s="93"/>
      <c r="I1229" s="85">
        <f t="shared" si="47"/>
        <v>2.0860037056183818</v>
      </c>
      <c r="J1229" s="85">
        <f>AVERAGE(121.2, 122.6)</f>
        <v>121.9</v>
      </c>
      <c r="K1229" s="131" t="s">
        <v>3177</v>
      </c>
      <c r="L1229" s="60">
        <v>260</v>
      </c>
    </row>
    <row r="1230" spans="1:13" ht="14" x14ac:dyDescent="0.15">
      <c r="A1230" s="70" t="s">
        <v>2633</v>
      </c>
      <c r="B1230" s="82"/>
      <c r="C1230" s="70" t="s">
        <v>3636</v>
      </c>
      <c r="D1230" s="70" t="s">
        <v>3437</v>
      </c>
      <c r="E1230" s="70" t="s">
        <v>3457</v>
      </c>
      <c r="F1230" s="70" t="s">
        <v>4142</v>
      </c>
      <c r="G1230" s="70" t="s">
        <v>3073</v>
      </c>
      <c r="H1230" s="93"/>
      <c r="I1230" s="85">
        <f t="shared" si="47"/>
        <v>2.0951700000000004</v>
      </c>
      <c r="J1230" s="85">
        <v>124.50018592639366</v>
      </c>
      <c r="K1230" s="131" t="s">
        <v>3177</v>
      </c>
      <c r="L1230" s="60">
        <v>60</v>
      </c>
    </row>
    <row r="1231" spans="1:13" ht="14" x14ac:dyDescent="0.15">
      <c r="A1231" s="70" t="s">
        <v>2633</v>
      </c>
      <c r="B1231" s="82"/>
      <c r="C1231" s="70" t="s">
        <v>3636</v>
      </c>
      <c r="D1231" s="70" t="s">
        <v>3437</v>
      </c>
      <c r="E1231" s="70" t="s">
        <v>3457</v>
      </c>
      <c r="F1231" s="70" t="s">
        <v>4142</v>
      </c>
      <c r="G1231" s="70" t="s">
        <v>2784</v>
      </c>
      <c r="H1231" s="93"/>
      <c r="I1231" s="85">
        <f t="shared" si="47"/>
        <v>2.1613680022349748</v>
      </c>
      <c r="J1231" s="85">
        <f>AVERAGE(150, 140)</f>
        <v>145</v>
      </c>
      <c r="K1231" s="131" t="s">
        <v>3177</v>
      </c>
      <c r="L1231" s="60" t="s">
        <v>1765</v>
      </c>
    </row>
    <row r="1232" spans="1:13" ht="14" x14ac:dyDescent="0.15">
      <c r="A1232" s="70" t="s">
        <v>2633</v>
      </c>
      <c r="B1232" s="82"/>
      <c r="C1232" s="70" t="s">
        <v>3636</v>
      </c>
      <c r="D1232" s="70" t="s">
        <v>3437</v>
      </c>
      <c r="E1232" s="70" t="s">
        <v>3457</v>
      </c>
      <c r="F1232" s="70" t="s">
        <v>4142</v>
      </c>
      <c r="G1232" s="70" t="s">
        <v>3249</v>
      </c>
      <c r="H1232" s="93"/>
      <c r="I1232" s="85">
        <f t="shared" si="47"/>
        <v>2.2833000000000006</v>
      </c>
      <c r="J1232" s="85">
        <v>191.99945679542901</v>
      </c>
      <c r="K1232" s="131" t="s">
        <v>3177</v>
      </c>
      <c r="L1232" s="60">
        <v>60</v>
      </c>
    </row>
    <row r="1233" spans="1:14" ht="28" x14ac:dyDescent="0.2">
      <c r="A1233" s="70" t="s">
        <v>2633</v>
      </c>
      <c r="B1233" s="93" t="s">
        <v>7129</v>
      </c>
      <c r="C1233" s="70" t="s">
        <v>3636</v>
      </c>
      <c r="D1233" s="70" t="s">
        <v>3437</v>
      </c>
      <c r="E1233" s="70" t="s">
        <v>3457</v>
      </c>
      <c r="F1233" s="70" t="s">
        <v>3919</v>
      </c>
      <c r="G1233" s="70" t="s">
        <v>3920</v>
      </c>
      <c r="H1233" s="93"/>
      <c r="I1233" s="85">
        <f t="shared" si="47"/>
        <v>1.6766936096248666</v>
      </c>
      <c r="J1233" s="85">
        <f>AVERAGE(30, 65)</f>
        <v>47.5</v>
      </c>
      <c r="K1233" s="131" t="s">
        <v>3177</v>
      </c>
      <c r="L1233" s="60">
        <v>70</v>
      </c>
      <c r="N1233" s="48"/>
    </row>
    <row r="1234" spans="1:14" ht="14" x14ac:dyDescent="0.15">
      <c r="A1234" s="70" t="s">
        <v>2633</v>
      </c>
      <c r="B1234" s="82"/>
      <c r="C1234" s="70" t="s">
        <v>3636</v>
      </c>
      <c r="D1234" s="70" t="s">
        <v>3437</v>
      </c>
      <c r="E1234" s="70" t="s">
        <v>3457</v>
      </c>
      <c r="F1234" s="70" t="s">
        <v>6145</v>
      </c>
      <c r="G1234" s="70" t="s">
        <v>4205</v>
      </c>
      <c r="H1234" s="93"/>
      <c r="I1234" s="85">
        <f t="shared" si="47"/>
        <v>2.1038000000000001</v>
      </c>
      <c r="J1234" s="85">
        <v>126.99891189181123</v>
      </c>
      <c r="K1234" s="131" t="s">
        <v>3177</v>
      </c>
      <c r="L1234" s="60">
        <v>60</v>
      </c>
    </row>
    <row r="1235" spans="1:14" ht="16" x14ac:dyDescent="0.2">
      <c r="A1235" s="70" t="s">
        <v>2633</v>
      </c>
      <c r="B1235" s="82"/>
      <c r="C1235" s="70" t="s">
        <v>3636</v>
      </c>
      <c r="D1235" s="70" t="s">
        <v>3437</v>
      </c>
      <c r="E1235" s="70" t="s">
        <v>3457</v>
      </c>
      <c r="F1235" s="70" t="s">
        <v>6145</v>
      </c>
      <c r="G1235" s="70" t="s">
        <v>3325</v>
      </c>
      <c r="H1235" s="93"/>
      <c r="I1235" s="85">
        <f t="shared" si="47"/>
        <v>2.1122700000000005</v>
      </c>
      <c r="J1235" s="85">
        <v>129.50006905446133</v>
      </c>
      <c r="K1235" s="131" t="s">
        <v>3177</v>
      </c>
      <c r="L1235" s="60">
        <v>60</v>
      </c>
      <c r="M1235" s="47"/>
    </row>
    <row r="1236" spans="1:14" ht="14" x14ac:dyDescent="0.15">
      <c r="A1236" s="70" t="s">
        <v>2633</v>
      </c>
      <c r="B1236" s="93" t="s">
        <v>2641</v>
      </c>
      <c r="C1236" s="73" t="s">
        <v>3636</v>
      </c>
      <c r="D1236" s="73" t="s">
        <v>3437</v>
      </c>
      <c r="E1236" s="70" t="s">
        <v>3457</v>
      </c>
      <c r="F1236" s="73" t="s">
        <v>3327</v>
      </c>
      <c r="G1236" s="73" t="s">
        <v>4899</v>
      </c>
      <c r="H1236" s="108"/>
      <c r="I1236" s="85">
        <v>-999</v>
      </c>
      <c r="J1236" s="95">
        <v>-999</v>
      </c>
      <c r="K1236" s="131" t="s">
        <v>3177</v>
      </c>
      <c r="L1236" s="60">
        <v>-999</v>
      </c>
      <c r="M1236" s="33"/>
    </row>
    <row r="1237" spans="1:14" ht="14" x14ac:dyDescent="0.15">
      <c r="A1237" s="70" t="s">
        <v>2633</v>
      </c>
      <c r="B1237" s="93" t="s">
        <v>4607</v>
      </c>
      <c r="C1237" s="70" t="s">
        <v>3636</v>
      </c>
      <c r="D1237" s="70" t="s">
        <v>3437</v>
      </c>
      <c r="E1237" s="70" t="s">
        <v>3457</v>
      </c>
      <c r="F1237" s="70" t="s">
        <v>3327</v>
      </c>
      <c r="G1237" s="70" t="s">
        <v>5268</v>
      </c>
      <c r="H1237" s="93"/>
      <c r="I1237" s="85">
        <v>-999</v>
      </c>
      <c r="J1237" s="85">
        <v>-999</v>
      </c>
      <c r="K1237" s="131" t="s">
        <v>3177</v>
      </c>
      <c r="L1237" s="60">
        <v>-999</v>
      </c>
      <c r="M1237" s="33" t="s">
        <v>6728</v>
      </c>
    </row>
    <row r="1238" spans="1:14" ht="14" x14ac:dyDescent="0.15">
      <c r="A1238" s="70" t="s">
        <v>2633</v>
      </c>
      <c r="B1238" s="82"/>
      <c r="C1238" s="70" t="s">
        <v>3636</v>
      </c>
      <c r="D1238" s="70" t="s">
        <v>3437</v>
      </c>
      <c r="E1238" s="70" t="s">
        <v>3457</v>
      </c>
      <c r="F1238" s="70" t="s">
        <v>3327</v>
      </c>
      <c r="G1238" s="70" t="s">
        <v>2913</v>
      </c>
      <c r="H1238" s="93"/>
      <c r="I1238" s="85">
        <f>LOG(J1238)</f>
        <v>1.6989700000000001</v>
      </c>
      <c r="J1238" s="85">
        <v>49.999999500797408</v>
      </c>
      <c r="K1238" s="131" t="s">
        <v>3177</v>
      </c>
      <c r="L1238" s="60" t="s">
        <v>2686</v>
      </c>
    </row>
    <row r="1239" spans="1:14" ht="14" x14ac:dyDescent="0.15">
      <c r="A1239" s="70" t="s">
        <v>2633</v>
      </c>
      <c r="B1239" s="82"/>
      <c r="C1239" s="70" t="s">
        <v>3636</v>
      </c>
      <c r="D1239" s="70" t="s">
        <v>3437</v>
      </c>
      <c r="E1239" s="70" t="s">
        <v>3457</v>
      </c>
      <c r="F1239" s="70" t="s">
        <v>3327</v>
      </c>
      <c r="G1239" s="70" t="s">
        <v>2912</v>
      </c>
      <c r="H1239" s="93"/>
      <c r="I1239" s="85">
        <f>LOG(J1239)</f>
        <v>1.7781500000000001</v>
      </c>
      <c r="J1239" s="85">
        <v>59.999827253364401</v>
      </c>
      <c r="K1239" s="131" t="s">
        <v>3177</v>
      </c>
      <c r="L1239" s="60" t="s">
        <v>2686</v>
      </c>
      <c r="M1239" s="49" t="s">
        <v>6728</v>
      </c>
    </row>
    <row r="1240" spans="1:14" ht="14" x14ac:dyDescent="0.15">
      <c r="A1240" s="70" t="s">
        <v>2633</v>
      </c>
      <c r="B1240" s="82"/>
      <c r="C1240" s="70" t="s">
        <v>3636</v>
      </c>
      <c r="D1240" s="70" t="s">
        <v>3437</v>
      </c>
      <c r="E1240" s="70" t="s">
        <v>3457</v>
      </c>
      <c r="F1240" s="70" t="s">
        <v>3327</v>
      </c>
      <c r="G1240" s="70" t="s">
        <v>3601</v>
      </c>
      <c r="H1240" s="93"/>
      <c r="I1240" s="85">
        <f>LOG(J1240)</f>
        <v>2.1139400000000004</v>
      </c>
      <c r="J1240" s="85">
        <v>129.99899653754548</v>
      </c>
      <c r="K1240" s="131" t="s">
        <v>3177</v>
      </c>
      <c r="L1240" s="60" t="s">
        <v>2686</v>
      </c>
    </row>
    <row r="1241" spans="1:14" ht="14" x14ac:dyDescent="0.15">
      <c r="A1241" s="70" t="s">
        <v>2633</v>
      </c>
      <c r="B1241" s="93" t="s">
        <v>2464</v>
      </c>
      <c r="C1241" s="70" t="s">
        <v>3636</v>
      </c>
      <c r="D1241" s="70" t="s">
        <v>3437</v>
      </c>
      <c r="E1241" s="70" t="s">
        <v>3457</v>
      </c>
      <c r="F1241" s="70" t="s">
        <v>2914</v>
      </c>
      <c r="G1241" s="70" t="s">
        <v>7967</v>
      </c>
      <c r="H1241" s="93"/>
      <c r="I1241" s="85">
        <v>-999</v>
      </c>
      <c r="J1241" s="85">
        <v>-999</v>
      </c>
      <c r="K1241" s="131" t="s">
        <v>3177</v>
      </c>
      <c r="L1241" s="60">
        <v>-999</v>
      </c>
      <c r="M1241" s="33" t="s">
        <v>6390</v>
      </c>
    </row>
    <row r="1242" spans="1:14" ht="16" x14ac:dyDescent="0.2">
      <c r="A1242" s="70" t="s">
        <v>2633</v>
      </c>
      <c r="B1242" s="82"/>
      <c r="C1242" s="70" t="s">
        <v>3636</v>
      </c>
      <c r="D1242" s="70" t="s">
        <v>3437</v>
      </c>
      <c r="E1242" s="70" t="s">
        <v>3457</v>
      </c>
      <c r="F1242" s="70" t="s">
        <v>2914</v>
      </c>
      <c r="G1242" s="70" t="s">
        <v>3532</v>
      </c>
      <c r="H1242" s="93"/>
      <c r="I1242" s="85">
        <f>LOG(J1242)</f>
        <v>1.3010300000000001</v>
      </c>
      <c r="J1242" s="85">
        <v>20.000000199681054</v>
      </c>
      <c r="K1242" s="131" t="s">
        <v>3177</v>
      </c>
      <c r="L1242" s="60">
        <v>56</v>
      </c>
      <c r="N1242" s="48"/>
    </row>
    <row r="1243" spans="1:14" ht="14" x14ac:dyDescent="0.15">
      <c r="A1243" s="70" t="s">
        <v>2633</v>
      </c>
      <c r="B1243" s="82"/>
      <c r="C1243" s="70" t="s">
        <v>3636</v>
      </c>
      <c r="D1243" s="70" t="s">
        <v>3437</v>
      </c>
      <c r="E1243" s="70" t="s">
        <v>3457</v>
      </c>
      <c r="F1243" s="70" t="s">
        <v>2914</v>
      </c>
      <c r="G1243" s="70" t="s">
        <v>4530</v>
      </c>
      <c r="H1243" s="93"/>
      <c r="I1243" s="85">
        <f>LOG(J1243)</f>
        <v>1.3166691313653749</v>
      </c>
      <c r="J1243" s="85">
        <f>AVERAGE(20.0000001996811, 20.2, 22)</f>
        <v>20.733333399893699</v>
      </c>
      <c r="K1243" s="131" t="s">
        <v>3177</v>
      </c>
      <c r="L1243" s="60" t="s">
        <v>6387</v>
      </c>
      <c r="M1243" s="49" t="s">
        <v>6392</v>
      </c>
    </row>
    <row r="1244" spans="1:14" ht="14" x14ac:dyDescent="0.15">
      <c r="A1244" s="70" t="s">
        <v>2633</v>
      </c>
      <c r="B1244" s="93" t="s">
        <v>5299</v>
      </c>
      <c r="C1244" s="70" t="s">
        <v>3636</v>
      </c>
      <c r="D1244" s="70" t="s">
        <v>3437</v>
      </c>
      <c r="E1244" s="70" t="s">
        <v>3457</v>
      </c>
      <c r="F1244" s="70" t="s">
        <v>2914</v>
      </c>
      <c r="G1244" s="70" t="s">
        <v>3250</v>
      </c>
      <c r="H1244" s="93"/>
      <c r="I1244" s="85">
        <f>LOG(J1244)</f>
        <v>1.667452952889954</v>
      </c>
      <c r="J1244" s="85">
        <f>AVERAGE(45, 48)</f>
        <v>46.5</v>
      </c>
      <c r="K1244" s="131" t="s">
        <v>6659</v>
      </c>
      <c r="L1244" s="60">
        <v>162</v>
      </c>
      <c r="M1244" s="33"/>
    </row>
    <row r="1245" spans="1:14" ht="28" x14ac:dyDescent="0.15">
      <c r="A1245" s="70" t="s">
        <v>2633</v>
      </c>
      <c r="B1245" s="93" t="s">
        <v>7235</v>
      </c>
      <c r="C1245" s="70" t="s">
        <v>3636</v>
      </c>
      <c r="D1245" s="70" t="s">
        <v>3437</v>
      </c>
      <c r="E1245" s="70" t="s">
        <v>3457</v>
      </c>
      <c r="F1245" s="70" t="s">
        <v>3533</v>
      </c>
      <c r="G1245" s="70" t="s">
        <v>7361</v>
      </c>
      <c r="H1245" s="93"/>
      <c r="I1245" s="85">
        <v>-999</v>
      </c>
      <c r="J1245" s="85">
        <v>-999</v>
      </c>
      <c r="K1245" s="131" t="s">
        <v>6391</v>
      </c>
      <c r="L1245" s="60">
        <v>-999</v>
      </c>
      <c r="M1245" s="33" t="s">
        <v>6390</v>
      </c>
    </row>
    <row r="1246" spans="1:14" ht="16" x14ac:dyDescent="0.2">
      <c r="A1246" s="70" t="s">
        <v>2633</v>
      </c>
      <c r="B1246" s="93" t="s">
        <v>5854</v>
      </c>
      <c r="C1246" s="70" t="s">
        <v>3636</v>
      </c>
      <c r="D1246" s="70" t="s">
        <v>3437</v>
      </c>
      <c r="E1246" s="70" t="s">
        <v>3457</v>
      </c>
      <c r="F1246" s="70" t="s">
        <v>3533</v>
      </c>
      <c r="G1246" s="70" t="s">
        <v>2913</v>
      </c>
      <c r="H1246" s="93"/>
      <c r="I1246" s="85">
        <v>-999</v>
      </c>
      <c r="J1246" s="85">
        <v>-999</v>
      </c>
      <c r="K1246" s="131" t="s">
        <v>3177</v>
      </c>
      <c r="L1246" s="60">
        <v>-999</v>
      </c>
      <c r="M1246" s="33" t="s">
        <v>6728</v>
      </c>
      <c r="N1246" s="48"/>
    </row>
    <row r="1247" spans="1:14" ht="14" x14ac:dyDescent="0.15">
      <c r="A1247" s="73" t="s">
        <v>2633</v>
      </c>
      <c r="B1247" s="93" t="s">
        <v>5854</v>
      </c>
      <c r="C1247" s="70" t="s">
        <v>3636</v>
      </c>
      <c r="D1247" s="70" t="s">
        <v>3437</v>
      </c>
      <c r="E1247" s="70" t="s">
        <v>3457</v>
      </c>
      <c r="F1247" s="70" t="s">
        <v>3533</v>
      </c>
      <c r="G1247" s="70" t="s">
        <v>4962</v>
      </c>
      <c r="H1247" s="93"/>
      <c r="I1247" s="85">
        <v>-999</v>
      </c>
      <c r="J1247" s="85">
        <v>-999</v>
      </c>
      <c r="K1247" s="131" t="s">
        <v>3177</v>
      </c>
      <c r="L1247" s="60">
        <v>-999</v>
      </c>
      <c r="M1247" s="33"/>
    </row>
    <row r="1248" spans="1:14" ht="14" x14ac:dyDescent="0.15">
      <c r="A1248" s="70" t="s">
        <v>2633</v>
      </c>
      <c r="B1248" s="93" t="s">
        <v>5854</v>
      </c>
      <c r="C1248" s="70" t="s">
        <v>3636</v>
      </c>
      <c r="D1248" s="70" t="s">
        <v>3437</v>
      </c>
      <c r="E1248" s="70" t="s">
        <v>3457</v>
      </c>
      <c r="F1248" s="70" t="s">
        <v>3533</v>
      </c>
      <c r="G1248" s="70" t="s">
        <v>4963</v>
      </c>
      <c r="H1248" s="93"/>
      <c r="I1248" s="85">
        <v>-999</v>
      </c>
      <c r="J1248" s="85">
        <v>-999</v>
      </c>
      <c r="K1248" s="131" t="s">
        <v>3177</v>
      </c>
      <c r="L1248" s="60">
        <v>-999</v>
      </c>
      <c r="M1248" s="33" t="s">
        <v>6392</v>
      </c>
    </row>
    <row r="1249" spans="1:26" ht="14" x14ac:dyDescent="0.15">
      <c r="A1249" s="70" t="s">
        <v>2633</v>
      </c>
      <c r="B1249" s="93" t="s">
        <v>7236</v>
      </c>
      <c r="C1249" s="70" t="s">
        <v>3636</v>
      </c>
      <c r="D1249" s="70" t="s">
        <v>3437</v>
      </c>
      <c r="E1249" s="70" t="s">
        <v>3457</v>
      </c>
      <c r="F1249" s="70" t="s">
        <v>3533</v>
      </c>
      <c r="G1249" s="70" t="s">
        <v>3867</v>
      </c>
      <c r="H1249" s="93"/>
      <c r="I1249" s="85">
        <v>-999</v>
      </c>
      <c r="J1249" s="85">
        <v>-999</v>
      </c>
      <c r="K1249" s="131" t="s">
        <v>3177</v>
      </c>
      <c r="L1249" s="60">
        <v>-999</v>
      </c>
      <c r="M1249" s="33"/>
    </row>
    <row r="1250" spans="1:26" ht="14" x14ac:dyDescent="0.15">
      <c r="A1250" s="73" t="s">
        <v>2633</v>
      </c>
      <c r="B1250" s="82"/>
      <c r="C1250" s="70" t="s">
        <v>3636</v>
      </c>
      <c r="D1250" s="70" t="s">
        <v>3437</v>
      </c>
      <c r="E1250" s="70" t="s">
        <v>3457</v>
      </c>
      <c r="F1250" s="70" t="s">
        <v>3533</v>
      </c>
      <c r="G1250" s="70" t="s">
        <v>3535</v>
      </c>
      <c r="H1250" s="93"/>
      <c r="I1250" s="85">
        <f>LOG(J1250)</f>
        <v>1.4771212547196624</v>
      </c>
      <c r="J1250" s="85">
        <v>30</v>
      </c>
      <c r="K1250" s="131" t="s">
        <v>3177</v>
      </c>
      <c r="L1250" s="60">
        <v>75</v>
      </c>
      <c r="M1250" s="49" t="s">
        <v>6728</v>
      </c>
    </row>
    <row r="1251" spans="1:26" ht="14" x14ac:dyDescent="0.15">
      <c r="A1251" s="70" t="s">
        <v>2633</v>
      </c>
      <c r="B1251" s="82"/>
      <c r="C1251" s="70" t="s">
        <v>3636</v>
      </c>
      <c r="D1251" s="70" t="s">
        <v>3437</v>
      </c>
      <c r="E1251" s="70" t="s">
        <v>3457</v>
      </c>
      <c r="F1251" s="70" t="s">
        <v>3533</v>
      </c>
      <c r="G1251" s="70" t="s">
        <v>3536</v>
      </c>
      <c r="H1251" s="93"/>
      <c r="I1251" s="85">
        <f>LOG(J1251)</f>
        <v>1.5541885150980748</v>
      </c>
      <c r="J1251" s="85">
        <f>AVERAGE(38,33.6503820999465)</f>
        <v>35.825191049973249</v>
      </c>
      <c r="K1251" s="131" t="s">
        <v>3177</v>
      </c>
      <c r="L1251" s="60" t="s">
        <v>6389</v>
      </c>
      <c r="N1251" s="37" t="s">
        <v>1834</v>
      </c>
    </row>
    <row r="1252" spans="1:26" ht="16" x14ac:dyDescent="0.2">
      <c r="A1252" s="70" t="s">
        <v>2633</v>
      </c>
      <c r="B1252" s="82"/>
      <c r="C1252" s="70" t="s">
        <v>3636</v>
      </c>
      <c r="D1252" s="70" t="s">
        <v>3437</v>
      </c>
      <c r="E1252" s="70" t="s">
        <v>3457</v>
      </c>
      <c r="F1252" s="70" t="s">
        <v>3533</v>
      </c>
      <c r="G1252" s="70" t="s">
        <v>3534</v>
      </c>
      <c r="H1252" s="93"/>
      <c r="I1252" s="85">
        <f>LOG(J1252)</f>
        <v>1.5563025007672873</v>
      </c>
      <c r="J1252" s="85">
        <v>36</v>
      </c>
      <c r="K1252" s="131" t="s">
        <v>3177</v>
      </c>
      <c r="L1252" s="60">
        <v>125</v>
      </c>
      <c r="N1252" s="48"/>
    </row>
    <row r="1253" spans="1:26" s="15" customFormat="1" ht="17" x14ac:dyDescent="0.2">
      <c r="A1253" s="70" t="s">
        <v>2633</v>
      </c>
      <c r="B1253" s="82"/>
      <c r="C1253" s="70" t="s">
        <v>3636</v>
      </c>
      <c r="D1253" s="70" t="s">
        <v>3437</v>
      </c>
      <c r="E1253" s="70" t="s">
        <v>3457</v>
      </c>
      <c r="F1253" s="70" t="s">
        <v>3533</v>
      </c>
      <c r="G1253" s="70" t="s">
        <v>3875</v>
      </c>
      <c r="H1253" s="93"/>
      <c r="I1253" s="85">
        <f>LOG(J1253)</f>
        <v>1.6232492931509284</v>
      </c>
      <c r="J1253" s="85">
        <f>AVERAGE(40.0000007987242, 42, 44)</f>
        <v>42.0000002662414</v>
      </c>
      <c r="K1253" s="131" t="s">
        <v>3177</v>
      </c>
      <c r="L1253" s="60" t="s">
        <v>1497</v>
      </c>
      <c r="M1253" s="49" t="s">
        <v>6727</v>
      </c>
      <c r="N1253" s="48" t="s">
        <v>1496</v>
      </c>
      <c r="O1253" s="37"/>
      <c r="P1253" s="37"/>
      <c r="Q1253" s="3"/>
      <c r="R1253" s="3"/>
      <c r="S1253" s="14"/>
      <c r="T1253" s="14"/>
      <c r="U1253" s="14"/>
      <c r="V1253" s="14"/>
      <c r="W1253" s="14"/>
      <c r="X1253" s="14"/>
      <c r="Y1253" s="14"/>
      <c r="Z1253" s="17"/>
    </row>
    <row r="1254" spans="1:26" ht="16" x14ac:dyDescent="0.2">
      <c r="A1254" s="70" t="s">
        <v>2633</v>
      </c>
      <c r="B1254" s="93" t="s">
        <v>2502</v>
      </c>
      <c r="C1254" s="70" t="s">
        <v>3636</v>
      </c>
      <c r="D1254" s="70" t="s">
        <v>3437</v>
      </c>
      <c r="E1254" s="70" t="s">
        <v>3457</v>
      </c>
      <c r="F1254" s="70" t="s">
        <v>7981</v>
      </c>
      <c r="G1254" s="70" t="s">
        <v>6955</v>
      </c>
      <c r="H1254" s="93"/>
      <c r="I1254" s="85">
        <f>LOG(J1254)</f>
        <v>1.0969100130080565</v>
      </c>
      <c r="J1254" s="85">
        <f>AVERAGE(10, 15)</f>
        <v>12.5</v>
      </c>
      <c r="K1254" s="131" t="s">
        <v>3177</v>
      </c>
      <c r="L1254" s="60">
        <v>70</v>
      </c>
      <c r="M1254" s="49" t="s">
        <v>6392</v>
      </c>
      <c r="N1254" s="48"/>
    </row>
    <row r="1255" spans="1:26" ht="14" x14ac:dyDescent="0.15">
      <c r="A1255" s="70" t="s">
        <v>2633</v>
      </c>
      <c r="B1255" s="93" t="s">
        <v>7358</v>
      </c>
      <c r="C1255" s="70" t="s">
        <v>3636</v>
      </c>
      <c r="D1255" s="70" t="s">
        <v>3437</v>
      </c>
      <c r="E1255" s="70" t="s">
        <v>3457</v>
      </c>
      <c r="F1255" s="70" t="s">
        <v>6157</v>
      </c>
      <c r="G1255" s="70" t="s">
        <v>3486</v>
      </c>
      <c r="H1255" s="93"/>
      <c r="I1255" s="85">
        <v>-999</v>
      </c>
      <c r="J1255" s="85">
        <v>-999</v>
      </c>
      <c r="K1255" s="131" t="s">
        <v>3177</v>
      </c>
      <c r="L1255" s="60">
        <v>-999</v>
      </c>
      <c r="M1255" s="33"/>
    </row>
    <row r="1256" spans="1:26" ht="14" x14ac:dyDescent="0.15">
      <c r="A1256" s="73" t="s">
        <v>2633</v>
      </c>
      <c r="B1256" s="82"/>
      <c r="C1256" s="70" t="s">
        <v>3636</v>
      </c>
      <c r="D1256" s="70" t="s">
        <v>3437</v>
      </c>
      <c r="E1256" s="70" t="s">
        <v>3457</v>
      </c>
      <c r="F1256" s="70" t="s">
        <v>6157</v>
      </c>
      <c r="G1256" s="70" t="s">
        <v>6158</v>
      </c>
      <c r="H1256" s="93"/>
      <c r="I1256" s="85">
        <f>LOG(J1256)</f>
        <v>2.174859011514084</v>
      </c>
      <c r="J1256" s="85">
        <f>AVERAGE(212, 141.8, 130, 114.5)</f>
        <v>149.57499999999999</v>
      </c>
      <c r="K1256" s="131" t="s">
        <v>3177</v>
      </c>
      <c r="L1256" s="60" t="s">
        <v>6838</v>
      </c>
    </row>
    <row r="1257" spans="1:26" ht="14" x14ac:dyDescent="0.15">
      <c r="A1257" s="70" t="s">
        <v>2633</v>
      </c>
      <c r="B1257" s="82"/>
      <c r="C1257" s="70" t="s">
        <v>3636</v>
      </c>
      <c r="D1257" s="70" t="s">
        <v>3437</v>
      </c>
      <c r="E1257" s="70" t="s">
        <v>3457</v>
      </c>
      <c r="F1257" s="70" t="s">
        <v>2919</v>
      </c>
      <c r="G1257" s="70" t="s">
        <v>3334</v>
      </c>
      <c r="H1257" s="93"/>
      <c r="I1257" s="85">
        <f>LOG(J1257)</f>
        <v>1.6140178991060925</v>
      </c>
      <c r="J1257" s="85">
        <f>AVERAGE(39, 36, 42.2, 45.7, 42.9, 40.9)</f>
        <v>41.116666666666667</v>
      </c>
      <c r="K1257" s="131" t="s">
        <v>3177</v>
      </c>
      <c r="L1257" s="60" t="s">
        <v>1770</v>
      </c>
      <c r="M1257" s="49" t="s">
        <v>6727</v>
      </c>
    </row>
    <row r="1258" spans="1:26" ht="14" x14ac:dyDescent="0.15">
      <c r="A1258" s="70" t="s">
        <v>2633</v>
      </c>
      <c r="B1258" s="82"/>
      <c r="C1258" s="70" t="s">
        <v>3636</v>
      </c>
      <c r="D1258" s="70" t="s">
        <v>3437</v>
      </c>
      <c r="E1258" s="70" t="s">
        <v>3457</v>
      </c>
      <c r="F1258" s="70" t="s">
        <v>3335</v>
      </c>
      <c r="G1258" s="70" t="s">
        <v>3131</v>
      </c>
      <c r="H1258" s="93"/>
      <c r="I1258" s="85">
        <f>LOG(J1258)</f>
        <v>1.6580100000000002</v>
      </c>
      <c r="J1258" s="85">
        <v>45.499853675791265</v>
      </c>
      <c r="K1258" s="131" t="s">
        <v>3177</v>
      </c>
      <c r="L1258" s="60">
        <v>60</v>
      </c>
    </row>
    <row r="1259" spans="1:26" ht="14" x14ac:dyDescent="0.15">
      <c r="A1259" s="70" t="s">
        <v>2633</v>
      </c>
      <c r="B1259" s="82"/>
      <c r="C1259" s="70" t="s">
        <v>3636</v>
      </c>
      <c r="D1259" s="70" t="s">
        <v>3437</v>
      </c>
      <c r="E1259" s="70" t="s">
        <v>3457</v>
      </c>
      <c r="F1259" s="70" t="s">
        <v>3335</v>
      </c>
      <c r="G1259" s="70" t="s">
        <v>3447</v>
      </c>
      <c r="H1259" s="93"/>
      <c r="I1259" s="85">
        <f>LOG(J1259)</f>
        <v>1.7094819670732326</v>
      </c>
      <c r="J1259" s="85">
        <f>AVERAGE(48.5, 42.2, 49, 65.2)</f>
        <v>51.224999999999994</v>
      </c>
      <c r="K1259" s="131" t="s">
        <v>3177</v>
      </c>
      <c r="L1259" s="60" t="s">
        <v>1094</v>
      </c>
    </row>
    <row r="1260" spans="1:26" ht="14" x14ac:dyDescent="0.15">
      <c r="A1260" s="70" t="s">
        <v>2633</v>
      </c>
      <c r="B1260" s="82"/>
      <c r="C1260" s="70" t="s">
        <v>3636</v>
      </c>
      <c r="D1260" s="70" t="s">
        <v>3437</v>
      </c>
      <c r="E1260" s="70" t="s">
        <v>3457</v>
      </c>
      <c r="F1260" s="70" t="s">
        <v>3132</v>
      </c>
      <c r="G1260" s="70" t="s">
        <v>3133</v>
      </c>
      <c r="H1260" s="93"/>
      <c r="I1260" s="85">
        <f>LOG(J1260)</f>
        <v>1.7423300000000002</v>
      </c>
      <c r="J1260" s="85">
        <v>55.249709644247517</v>
      </c>
      <c r="K1260" s="131" t="s">
        <v>3177</v>
      </c>
      <c r="L1260" s="60">
        <v>64</v>
      </c>
    </row>
    <row r="1261" spans="1:26" ht="14" x14ac:dyDescent="0.15">
      <c r="A1261" s="70" t="s">
        <v>2633</v>
      </c>
      <c r="B1261" s="93" t="s">
        <v>7379</v>
      </c>
      <c r="C1261" s="70" t="s">
        <v>3636</v>
      </c>
      <c r="D1261" s="70" t="s">
        <v>3437</v>
      </c>
      <c r="E1261" s="70" t="s">
        <v>3457</v>
      </c>
      <c r="F1261" s="70" t="s">
        <v>3134</v>
      </c>
      <c r="G1261" s="70" t="s">
        <v>5716</v>
      </c>
      <c r="H1261" s="93"/>
      <c r="I1261" s="85">
        <v>-999</v>
      </c>
      <c r="J1261" s="85">
        <v>-999</v>
      </c>
      <c r="K1261" s="131" t="s">
        <v>3177</v>
      </c>
      <c r="L1261" s="60">
        <v>-999</v>
      </c>
      <c r="M1261" s="33" t="s">
        <v>6392</v>
      </c>
    </row>
    <row r="1262" spans="1:26" ht="14" x14ac:dyDescent="0.15">
      <c r="A1262" s="70" t="s">
        <v>2633</v>
      </c>
      <c r="B1262" s="93" t="s">
        <v>4845</v>
      </c>
      <c r="C1262" s="70" t="s">
        <v>3636</v>
      </c>
      <c r="D1262" s="70" t="s">
        <v>3437</v>
      </c>
      <c r="E1262" s="70" t="s">
        <v>3457</v>
      </c>
      <c r="F1262" s="70" t="s">
        <v>3134</v>
      </c>
      <c r="G1262" s="70" t="s">
        <v>3875</v>
      </c>
      <c r="H1262" s="93"/>
      <c r="I1262" s="85">
        <v>-999</v>
      </c>
      <c r="J1262" s="85">
        <v>-999</v>
      </c>
      <c r="K1262" s="131" t="s">
        <v>3177</v>
      </c>
      <c r="L1262" s="60">
        <v>-999</v>
      </c>
      <c r="M1262" s="33" t="s">
        <v>6728</v>
      </c>
    </row>
    <row r="1263" spans="1:26" ht="17" x14ac:dyDescent="0.2">
      <c r="A1263" s="70" t="s">
        <v>2633</v>
      </c>
      <c r="B1263" s="82"/>
      <c r="C1263" s="70" t="s">
        <v>3636</v>
      </c>
      <c r="D1263" s="70" t="s">
        <v>3437</v>
      </c>
      <c r="E1263" s="70" t="s">
        <v>3457</v>
      </c>
      <c r="F1263" s="70" t="s">
        <v>3134</v>
      </c>
      <c r="G1263" s="70" t="s">
        <v>7064</v>
      </c>
      <c r="H1263" s="93"/>
      <c r="I1263" s="85">
        <f t="shared" ref="I1263:I1269" si="48">LOG(J1263)</f>
        <v>0.94694327069782547</v>
      </c>
      <c r="J1263" s="85">
        <f>AVERAGE(12.7,5)</f>
        <v>8.85</v>
      </c>
      <c r="K1263" s="131" t="s">
        <v>3177</v>
      </c>
      <c r="L1263" s="60" t="s">
        <v>1288</v>
      </c>
      <c r="N1263" s="48" t="s">
        <v>1588</v>
      </c>
    </row>
    <row r="1264" spans="1:26" ht="14" x14ac:dyDescent="0.15">
      <c r="A1264" s="70" t="s">
        <v>2633</v>
      </c>
      <c r="B1264" s="82"/>
      <c r="C1264" s="73" t="s">
        <v>3636</v>
      </c>
      <c r="D1264" s="73" t="s">
        <v>3437</v>
      </c>
      <c r="E1264" s="73" t="s">
        <v>3457</v>
      </c>
      <c r="F1264" s="73" t="s">
        <v>3134</v>
      </c>
      <c r="G1264" s="73" t="s">
        <v>3135</v>
      </c>
      <c r="H1264" s="93"/>
      <c r="I1264" s="85">
        <f t="shared" si="48"/>
        <v>1.3152704347785915</v>
      </c>
      <c r="J1264" s="95">
        <f>AVERAGE(20, 18, 24)</f>
        <v>20.666666666666668</v>
      </c>
      <c r="K1264" s="131" t="s">
        <v>3177</v>
      </c>
      <c r="L1264" s="60" t="s">
        <v>6879</v>
      </c>
    </row>
    <row r="1265" spans="1:14" ht="28" x14ac:dyDescent="0.15">
      <c r="A1265" s="70" t="s">
        <v>2633</v>
      </c>
      <c r="B1265" s="93" t="s">
        <v>7378</v>
      </c>
      <c r="C1265" s="70" t="s">
        <v>3636</v>
      </c>
      <c r="D1265" s="70" t="s">
        <v>3437</v>
      </c>
      <c r="E1265" s="70" t="s">
        <v>3457</v>
      </c>
      <c r="F1265" s="70" t="s">
        <v>3134</v>
      </c>
      <c r="G1265" s="70" t="s">
        <v>7985</v>
      </c>
      <c r="H1265" s="93"/>
      <c r="I1265" s="85">
        <f t="shared" si="48"/>
        <v>1.6507930396519308</v>
      </c>
      <c r="J1265" s="85">
        <f>AVERAGE(44.4, 45.1)</f>
        <v>44.75</v>
      </c>
      <c r="K1265" s="131" t="s">
        <v>3177</v>
      </c>
      <c r="L1265" s="60">
        <v>201</v>
      </c>
      <c r="M1265" s="33"/>
    </row>
    <row r="1266" spans="1:14" ht="17" x14ac:dyDescent="0.2">
      <c r="A1266" s="70" t="s">
        <v>2633</v>
      </c>
      <c r="B1266" s="82"/>
      <c r="C1266" s="70" t="s">
        <v>3636</v>
      </c>
      <c r="D1266" s="70" t="s">
        <v>3437</v>
      </c>
      <c r="E1266" s="70" t="s">
        <v>3457</v>
      </c>
      <c r="F1266" s="70" t="s">
        <v>3134</v>
      </c>
      <c r="G1266" s="70" t="s">
        <v>3343</v>
      </c>
      <c r="H1266" s="93"/>
      <c r="I1266" s="85">
        <f t="shared" si="48"/>
        <v>1.6812412373755872</v>
      </c>
      <c r="J1266" s="85">
        <v>48</v>
      </c>
      <c r="K1266" s="131" t="s">
        <v>3177</v>
      </c>
      <c r="L1266" s="60">
        <v>130</v>
      </c>
      <c r="N1266" s="48" t="s">
        <v>1589</v>
      </c>
    </row>
    <row r="1267" spans="1:14" ht="14" x14ac:dyDescent="0.15">
      <c r="A1267" s="70" t="s">
        <v>2633</v>
      </c>
      <c r="B1267" s="82"/>
      <c r="C1267" s="70" t="s">
        <v>3636</v>
      </c>
      <c r="D1267" s="70" t="s">
        <v>3437</v>
      </c>
      <c r="E1267" s="70" t="s">
        <v>3457</v>
      </c>
      <c r="F1267" s="70" t="s">
        <v>3344</v>
      </c>
      <c r="G1267" s="70" t="s">
        <v>3316</v>
      </c>
      <c r="H1267" s="93"/>
      <c r="I1267" s="85">
        <f t="shared" si="48"/>
        <v>1.9332300000000002</v>
      </c>
      <c r="J1267" s="85">
        <v>85.749184802877636</v>
      </c>
      <c r="K1267" s="131" t="s">
        <v>3177</v>
      </c>
      <c r="L1267" s="60">
        <v>60</v>
      </c>
      <c r="M1267" s="49" t="s">
        <v>6392</v>
      </c>
    </row>
    <row r="1268" spans="1:14" ht="14" x14ac:dyDescent="0.15">
      <c r="A1268" s="70" t="s">
        <v>2633</v>
      </c>
      <c r="B1268" s="82"/>
      <c r="C1268" s="70" t="s">
        <v>3636</v>
      </c>
      <c r="D1268" s="70" t="s">
        <v>3437</v>
      </c>
      <c r="E1268" s="70" t="s">
        <v>3457</v>
      </c>
      <c r="F1268" s="70" t="s">
        <v>3344</v>
      </c>
      <c r="G1268" s="70" t="s">
        <v>3308</v>
      </c>
      <c r="H1268" s="93"/>
      <c r="I1268" s="85">
        <f t="shared" si="48"/>
        <v>2.1583600000000001</v>
      </c>
      <c r="J1268" s="85">
        <v>143.99917369273325</v>
      </c>
      <c r="K1268" s="131" t="s">
        <v>3177</v>
      </c>
      <c r="L1268" s="60">
        <v>60</v>
      </c>
      <c r="M1268" s="49" t="s">
        <v>6392</v>
      </c>
    </row>
    <row r="1269" spans="1:14" ht="14" x14ac:dyDescent="0.15">
      <c r="A1269" s="70" t="s">
        <v>2633</v>
      </c>
      <c r="B1269" s="82"/>
      <c r="C1269" s="70" t="s">
        <v>3636</v>
      </c>
      <c r="D1269" s="70" t="s">
        <v>3437</v>
      </c>
      <c r="E1269" s="70" t="s">
        <v>3457</v>
      </c>
      <c r="F1269" s="70" t="s">
        <v>3317</v>
      </c>
      <c r="G1269" s="70" t="s">
        <v>3116</v>
      </c>
      <c r="H1269" s="93"/>
      <c r="I1269" s="85">
        <f t="shared" si="48"/>
        <v>1.8509523997934929</v>
      </c>
      <c r="J1269" s="85">
        <f>AVERAGE(57, 84.9)</f>
        <v>70.95</v>
      </c>
      <c r="K1269" s="131" t="s">
        <v>3177</v>
      </c>
      <c r="L1269" s="60" t="s">
        <v>1288</v>
      </c>
      <c r="N1269" s="37" t="s">
        <v>1501</v>
      </c>
    </row>
    <row r="1270" spans="1:14" ht="14" x14ac:dyDescent="0.15">
      <c r="A1270" s="70" t="s">
        <v>2633</v>
      </c>
      <c r="B1270" s="82" t="s">
        <v>6624</v>
      </c>
      <c r="C1270" s="70" t="s">
        <v>3636</v>
      </c>
      <c r="D1270" s="70" t="s">
        <v>3437</v>
      </c>
      <c r="E1270" s="70" t="s">
        <v>3457</v>
      </c>
      <c r="F1270" s="70" t="s">
        <v>3318</v>
      </c>
      <c r="G1270" s="70" t="s">
        <v>4785</v>
      </c>
      <c r="H1270" s="93"/>
      <c r="I1270" s="85">
        <v>-999</v>
      </c>
      <c r="J1270" s="85">
        <v>-999</v>
      </c>
      <c r="K1270" s="131" t="s">
        <v>3177</v>
      </c>
      <c r="L1270" s="60">
        <v>-999</v>
      </c>
      <c r="M1270" s="33" t="s">
        <v>6728</v>
      </c>
    </row>
    <row r="1271" spans="1:14" ht="14" x14ac:dyDescent="0.15">
      <c r="A1271" s="70" t="s">
        <v>2633</v>
      </c>
      <c r="B1271" s="82" t="s">
        <v>2275</v>
      </c>
      <c r="C1271" s="70" t="s">
        <v>3636</v>
      </c>
      <c r="D1271" s="70" t="s">
        <v>3437</v>
      </c>
      <c r="E1271" s="70" t="s">
        <v>3457</v>
      </c>
      <c r="F1271" s="70" t="s">
        <v>3318</v>
      </c>
      <c r="G1271" s="70" t="s">
        <v>4786</v>
      </c>
      <c r="H1271" s="93"/>
      <c r="I1271" s="85">
        <v>-999</v>
      </c>
      <c r="J1271" s="85">
        <v>-999</v>
      </c>
      <c r="K1271" s="131" t="s">
        <v>3177</v>
      </c>
      <c r="L1271" s="60">
        <v>-999</v>
      </c>
      <c r="M1271" s="33" t="s">
        <v>6390</v>
      </c>
    </row>
    <row r="1272" spans="1:14" ht="14" x14ac:dyDescent="0.15">
      <c r="A1272" s="70" t="s">
        <v>2633</v>
      </c>
      <c r="B1272" s="93" t="s">
        <v>2202</v>
      </c>
      <c r="C1272" s="70" t="s">
        <v>3636</v>
      </c>
      <c r="D1272" s="70" t="s">
        <v>3437</v>
      </c>
      <c r="E1272" s="70" t="s">
        <v>3457</v>
      </c>
      <c r="F1272" s="70" t="s">
        <v>3318</v>
      </c>
      <c r="G1272" s="70" t="s">
        <v>4788</v>
      </c>
      <c r="H1272" s="93"/>
      <c r="I1272" s="85">
        <v>-999</v>
      </c>
      <c r="J1272" s="85">
        <v>-999</v>
      </c>
      <c r="K1272" s="131" t="s">
        <v>3177</v>
      </c>
      <c r="L1272" s="60">
        <v>-999</v>
      </c>
      <c r="M1272" s="33" t="s">
        <v>6392</v>
      </c>
    </row>
    <row r="1273" spans="1:14" ht="16" x14ac:dyDescent="0.2">
      <c r="A1273" s="70" t="s">
        <v>2633</v>
      </c>
      <c r="B1273" s="93" t="s">
        <v>2275</v>
      </c>
      <c r="C1273" s="70" t="s">
        <v>3636</v>
      </c>
      <c r="D1273" s="70" t="s">
        <v>3437</v>
      </c>
      <c r="E1273" s="70" t="s">
        <v>3457</v>
      </c>
      <c r="F1273" s="70" t="s">
        <v>3318</v>
      </c>
      <c r="G1273" s="70" t="s">
        <v>5226</v>
      </c>
      <c r="H1273" s="93"/>
      <c r="I1273" s="85">
        <v>-999</v>
      </c>
      <c r="J1273" s="85">
        <v>-999</v>
      </c>
      <c r="K1273" s="131" t="s">
        <v>3177</v>
      </c>
      <c r="L1273" s="60">
        <v>-999</v>
      </c>
      <c r="M1273" s="33" t="s">
        <v>6390</v>
      </c>
      <c r="N1273" s="48"/>
    </row>
    <row r="1274" spans="1:14" ht="14" x14ac:dyDescent="0.15">
      <c r="A1274" s="70" t="s">
        <v>2633</v>
      </c>
      <c r="B1274" s="93" t="s">
        <v>2275</v>
      </c>
      <c r="C1274" s="70" t="s">
        <v>3636</v>
      </c>
      <c r="D1274" s="70" t="s">
        <v>3437</v>
      </c>
      <c r="E1274" s="70" t="s">
        <v>3457</v>
      </c>
      <c r="F1274" s="70" t="s">
        <v>3318</v>
      </c>
      <c r="G1274" s="70" t="s">
        <v>1963</v>
      </c>
      <c r="H1274" s="93"/>
      <c r="I1274" s="85">
        <v>-999</v>
      </c>
      <c r="J1274" s="85">
        <v>-999</v>
      </c>
      <c r="K1274" s="131" t="s">
        <v>3177</v>
      </c>
      <c r="L1274" s="60">
        <v>-999</v>
      </c>
      <c r="M1274" s="33" t="s">
        <v>6390</v>
      </c>
    </row>
    <row r="1275" spans="1:14" ht="14" x14ac:dyDescent="0.15">
      <c r="A1275" s="70" t="s">
        <v>2633</v>
      </c>
      <c r="B1275" s="93" t="s">
        <v>2103</v>
      </c>
      <c r="C1275" s="70" t="s">
        <v>3636</v>
      </c>
      <c r="D1275" s="70" t="s">
        <v>3437</v>
      </c>
      <c r="E1275" s="70" t="s">
        <v>3457</v>
      </c>
      <c r="F1275" s="70" t="s">
        <v>3318</v>
      </c>
      <c r="G1275" s="70" t="s">
        <v>5227</v>
      </c>
      <c r="H1275" s="93"/>
      <c r="I1275" s="85">
        <v>-999</v>
      </c>
      <c r="J1275" s="85">
        <v>-999</v>
      </c>
      <c r="K1275" s="131" t="s">
        <v>3177</v>
      </c>
      <c r="L1275" s="60">
        <v>-999</v>
      </c>
      <c r="M1275" s="33"/>
    </row>
    <row r="1276" spans="1:14" ht="14" x14ac:dyDescent="0.15">
      <c r="A1276" s="70" t="s">
        <v>2633</v>
      </c>
      <c r="B1276" s="93" t="s">
        <v>6625</v>
      </c>
      <c r="C1276" s="70" t="s">
        <v>3636</v>
      </c>
      <c r="D1276" s="70" t="s">
        <v>3437</v>
      </c>
      <c r="E1276" s="70" t="s">
        <v>3457</v>
      </c>
      <c r="F1276" s="70" t="s">
        <v>3318</v>
      </c>
      <c r="G1276" s="70" t="s">
        <v>7144</v>
      </c>
      <c r="H1276" s="93"/>
      <c r="I1276" s="85">
        <v>-999</v>
      </c>
      <c r="J1276" s="85">
        <v>-999</v>
      </c>
      <c r="K1276" s="131" t="s">
        <v>3177</v>
      </c>
      <c r="L1276" s="60">
        <v>-999</v>
      </c>
      <c r="M1276" s="33"/>
    </row>
    <row r="1277" spans="1:14" ht="14" x14ac:dyDescent="0.15">
      <c r="A1277" s="70" t="s">
        <v>2633</v>
      </c>
      <c r="B1277" s="93" t="s">
        <v>2275</v>
      </c>
      <c r="C1277" s="70" t="s">
        <v>3636</v>
      </c>
      <c r="D1277" s="70" t="s">
        <v>3437</v>
      </c>
      <c r="E1277" s="70" t="s">
        <v>3457</v>
      </c>
      <c r="F1277" s="70" t="s">
        <v>3318</v>
      </c>
      <c r="G1277" s="70" t="s">
        <v>5228</v>
      </c>
      <c r="H1277" s="93"/>
      <c r="I1277" s="85">
        <v>-999</v>
      </c>
      <c r="J1277" s="85">
        <v>-999</v>
      </c>
      <c r="K1277" s="131" t="s">
        <v>3177</v>
      </c>
      <c r="L1277" s="60">
        <v>-999</v>
      </c>
      <c r="M1277" s="33" t="s">
        <v>6392</v>
      </c>
    </row>
    <row r="1278" spans="1:14" ht="14" x14ac:dyDescent="0.15">
      <c r="A1278" s="70" t="s">
        <v>2633</v>
      </c>
      <c r="B1278" s="82"/>
      <c r="C1278" s="70" t="s">
        <v>3636</v>
      </c>
      <c r="D1278" s="70" t="s">
        <v>3437</v>
      </c>
      <c r="E1278" s="70" t="s">
        <v>3457</v>
      </c>
      <c r="F1278" s="70" t="s">
        <v>3318</v>
      </c>
      <c r="G1278" s="70" t="s">
        <v>3340</v>
      </c>
      <c r="H1278" s="93"/>
      <c r="I1278" s="85">
        <f>LOG(J1278)</f>
        <v>2.3268500000000003</v>
      </c>
      <c r="J1278" s="85">
        <v>212.25112459723837</v>
      </c>
      <c r="K1278" s="131" t="s">
        <v>3177</v>
      </c>
      <c r="L1278" s="60" t="s">
        <v>2686</v>
      </c>
    </row>
    <row r="1279" spans="1:14" ht="28" x14ac:dyDescent="0.15">
      <c r="A1279" s="70" t="s">
        <v>2633</v>
      </c>
      <c r="B1279" s="82" t="s">
        <v>2275</v>
      </c>
      <c r="C1279" s="70" t="s">
        <v>3636</v>
      </c>
      <c r="D1279" s="70" t="s">
        <v>3437</v>
      </c>
      <c r="E1279" s="70" t="s">
        <v>3457</v>
      </c>
      <c r="F1279" s="70" t="s">
        <v>3318</v>
      </c>
      <c r="G1279" s="70" t="s">
        <v>4787</v>
      </c>
      <c r="H1279" s="93"/>
      <c r="I1279" s="85">
        <f>LOG(J1279)</f>
        <v>2.3710678622717363</v>
      </c>
      <c r="J1279" s="85">
        <v>235</v>
      </c>
      <c r="K1279" s="131" t="s">
        <v>3177</v>
      </c>
      <c r="L1279" s="60" t="s">
        <v>1267</v>
      </c>
      <c r="M1279" s="33" t="s">
        <v>6728</v>
      </c>
      <c r="N1279" s="37" t="s">
        <v>146</v>
      </c>
    </row>
    <row r="1280" spans="1:14" ht="14" x14ac:dyDescent="0.15">
      <c r="A1280" s="70" t="s">
        <v>2633</v>
      </c>
      <c r="B1280" s="82"/>
      <c r="C1280" s="70" t="s">
        <v>3636</v>
      </c>
      <c r="D1280" s="70" t="s">
        <v>3437</v>
      </c>
      <c r="E1280" s="70" t="s">
        <v>3457</v>
      </c>
      <c r="F1280" s="70" t="s">
        <v>3318</v>
      </c>
      <c r="G1280" s="70" t="s">
        <v>3784</v>
      </c>
      <c r="H1280" s="93"/>
      <c r="I1280" s="85">
        <f>LOG(J1280)</f>
        <v>2.7759700000000005</v>
      </c>
      <c r="J1280" s="85">
        <v>596.99404627171725</v>
      </c>
      <c r="K1280" s="131" t="s">
        <v>3177</v>
      </c>
      <c r="L1280" s="60">
        <v>60</v>
      </c>
    </row>
    <row r="1281" spans="1:14" ht="42" x14ac:dyDescent="0.15">
      <c r="A1281" s="73" t="s">
        <v>2633</v>
      </c>
      <c r="B1281" s="93" t="s">
        <v>7821</v>
      </c>
      <c r="C1281" s="70" t="s">
        <v>3636</v>
      </c>
      <c r="D1281" s="70" t="s">
        <v>3437</v>
      </c>
      <c r="E1281" s="70" t="s">
        <v>3457</v>
      </c>
      <c r="F1281" s="70" t="s">
        <v>3309</v>
      </c>
      <c r="G1281" s="70" t="s">
        <v>2776</v>
      </c>
      <c r="H1281" s="93"/>
      <c r="I1281" s="85">
        <v>-999</v>
      </c>
      <c r="J1281" s="85">
        <v>-999</v>
      </c>
      <c r="K1281" s="131" t="s">
        <v>3177</v>
      </c>
      <c r="L1281" s="60">
        <v>-999</v>
      </c>
      <c r="M1281" s="33"/>
    </row>
    <row r="1282" spans="1:14" ht="28" x14ac:dyDescent="0.15">
      <c r="A1282" s="73" t="s">
        <v>2633</v>
      </c>
      <c r="B1282" s="93" t="s">
        <v>7822</v>
      </c>
      <c r="C1282" s="70" t="s">
        <v>3636</v>
      </c>
      <c r="D1282" s="70" t="s">
        <v>3437</v>
      </c>
      <c r="E1282" s="70" t="s">
        <v>3457</v>
      </c>
      <c r="F1282" s="70" t="s">
        <v>3309</v>
      </c>
      <c r="G1282" s="70" t="s">
        <v>6150</v>
      </c>
      <c r="H1282" s="93"/>
      <c r="I1282" s="85">
        <v>-999</v>
      </c>
      <c r="J1282" s="85">
        <v>-999</v>
      </c>
      <c r="K1282" s="131" t="s">
        <v>1631</v>
      </c>
      <c r="L1282" s="60">
        <v>-999</v>
      </c>
      <c r="M1282" s="33"/>
    </row>
    <row r="1283" spans="1:14" ht="14" x14ac:dyDescent="0.15">
      <c r="A1283" s="70" t="s">
        <v>2633</v>
      </c>
      <c r="B1283" s="82"/>
      <c r="C1283" s="70" t="s">
        <v>3636</v>
      </c>
      <c r="D1283" s="70" t="s">
        <v>3437</v>
      </c>
      <c r="E1283" s="70" t="s">
        <v>3457</v>
      </c>
      <c r="F1283" s="70" t="s">
        <v>3309</v>
      </c>
      <c r="G1283" s="70" t="s">
        <v>3864</v>
      </c>
      <c r="H1283" s="93"/>
      <c r="I1283" s="85">
        <f t="shared" ref="I1283:I1291" si="49">LOG(J1283)</f>
        <v>1.8623301865867781</v>
      </c>
      <c r="J1283" s="85">
        <f>AVERAGE(71.2, 68.5, 78.8)</f>
        <v>72.833333333333329</v>
      </c>
      <c r="K1283" s="131" t="s">
        <v>3177</v>
      </c>
      <c r="L1283" s="60" t="s">
        <v>1768</v>
      </c>
    </row>
    <row r="1284" spans="1:14" ht="14" x14ac:dyDescent="0.15">
      <c r="A1284" s="70" t="s">
        <v>2633</v>
      </c>
      <c r="B1284" s="82"/>
      <c r="C1284" s="70" t="s">
        <v>3636</v>
      </c>
      <c r="D1284" s="70" t="s">
        <v>3437</v>
      </c>
      <c r="E1284" s="70" t="s">
        <v>3457</v>
      </c>
      <c r="F1284" s="70" t="s">
        <v>3309</v>
      </c>
      <c r="G1284" s="70" t="s">
        <v>4519</v>
      </c>
      <c r="H1284" s="93"/>
      <c r="I1284" s="85">
        <f t="shared" si="49"/>
        <v>1.9822700000000002</v>
      </c>
      <c r="J1284" s="85">
        <v>95.999727439248147</v>
      </c>
      <c r="K1284" s="131" t="s">
        <v>3177</v>
      </c>
      <c r="L1284" s="60">
        <v>60</v>
      </c>
    </row>
    <row r="1285" spans="1:14" ht="14" x14ac:dyDescent="0.15">
      <c r="A1285" s="70" t="s">
        <v>2633</v>
      </c>
      <c r="B1285" s="82"/>
      <c r="C1285" s="70" t="s">
        <v>3636</v>
      </c>
      <c r="D1285" s="70" t="s">
        <v>3437</v>
      </c>
      <c r="E1285" s="70" t="s">
        <v>3457</v>
      </c>
      <c r="F1285" s="70" t="s">
        <v>3309</v>
      </c>
      <c r="G1285" s="70" t="s">
        <v>3310</v>
      </c>
      <c r="H1285" s="93"/>
      <c r="I1285" s="85">
        <f t="shared" si="49"/>
        <v>1.9867699999999999</v>
      </c>
      <c r="J1285" s="85">
        <v>96.999612651099937</v>
      </c>
      <c r="K1285" s="131" t="s">
        <v>3177</v>
      </c>
      <c r="L1285" s="60">
        <v>60</v>
      </c>
    </row>
    <row r="1286" spans="1:14" ht="14" x14ac:dyDescent="0.15">
      <c r="A1286" s="73" t="s">
        <v>2633</v>
      </c>
      <c r="B1286" s="82"/>
      <c r="C1286" s="70" t="s">
        <v>3636</v>
      </c>
      <c r="D1286" s="70" t="s">
        <v>3437</v>
      </c>
      <c r="E1286" s="70" t="s">
        <v>3457</v>
      </c>
      <c r="F1286" s="70" t="s">
        <v>3309</v>
      </c>
      <c r="G1286" s="70" t="s">
        <v>3436</v>
      </c>
      <c r="H1286" s="93"/>
      <c r="I1286" s="85">
        <f t="shared" si="49"/>
        <v>2.0043213737826426</v>
      </c>
      <c r="J1286" s="85">
        <v>101</v>
      </c>
      <c r="K1286" s="131" t="s">
        <v>6485</v>
      </c>
      <c r="L1286" s="60">
        <v>-999</v>
      </c>
    </row>
    <row r="1287" spans="1:14" ht="14" x14ac:dyDescent="0.15">
      <c r="A1287" s="70" t="s">
        <v>2633</v>
      </c>
      <c r="B1287" s="82"/>
      <c r="C1287" s="73" t="s">
        <v>3636</v>
      </c>
      <c r="D1287" s="73" t="s">
        <v>3437</v>
      </c>
      <c r="E1287" s="70" t="s">
        <v>3457</v>
      </c>
      <c r="F1287" s="73" t="s">
        <v>3309</v>
      </c>
      <c r="G1287" s="73" t="s">
        <v>3311</v>
      </c>
      <c r="H1287" s="93"/>
      <c r="I1287" s="85">
        <f t="shared" si="49"/>
        <v>2.0107200000000005</v>
      </c>
      <c r="J1287" s="85">
        <v>102.49908771372873</v>
      </c>
      <c r="K1287" s="131" t="s">
        <v>3177</v>
      </c>
      <c r="L1287" s="60">
        <v>60</v>
      </c>
    </row>
    <row r="1288" spans="1:14" ht="14" x14ac:dyDescent="0.15">
      <c r="A1288" s="73" t="s">
        <v>2633</v>
      </c>
      <c r="B1288" s="82"/>
      <c r="C1288" s="70" t="s">
        <v>3636</v>
      </c>
      <c r="D1288" s="70" t="s">
        <v>3437</v>
      </c>
      <c r="E1288" s="73" t="s">
        <v>3457</v>
      </c>
      <c r="F1288" s="70" t="s">
        <v>3309</v>
      </c>
      <c r="G1288" s="70" t="s">
        <v>3789</v>
      </c>
      <c r="H1288" s="93"/>
      <c r="I1288" s="85">
        <f t="shared" si="49"/>
        <v>2.0320830019568796</v>
      </c>
      <c r="J1288" s="85">
        <f>AVERAGE(121.001289895955, 97, 105)</f>
        <v>107.66709663198499</v>
      </c>
      <c r="K1288" s="131" t="s">
        <v>3177</v>
      </c>
      <c r="L1288" s="60" t="s">
        <v>6389</v>
      </c>
      <c r="N1288" s="37" t="s">
        <v>1824</v>
      </c>
    </row>
    <row r="1289" spans="1:14" ht="14" x14ac:dyDescent="0.15">
      <c r="A1289" s="70" t="s">
        <v>2633</v>
      </c>
      <c r="B1289" s="82"/>
      <c r="C1289" s="73" t="s">
        <v>3636</v>
      </c>
      <c r="D1289" s="73" t="s">
        <v>3437</v>
      </c>
      <c r="E1289" s="70" t="s">
        <v>3457</v>
      </c>
      <c r="F1289" s="73" t="s">
        <v>3309</v>
      </c>
      <c r="G1289" s="73" t="s">
        <v>3325</v>
      </c>
      <c r="H1289" s="93"/>
      <c r="I1289" s="85">
        <f t="shared" si="49"/>
        <v>2.0585192042610596</v>
      </c>
      <c r="J1289" s="95">
        <f>+AVERAGE(79.8490953196976, 149)</f>
        <v>114.4245476598488</v>
      </c>
      <c r="K1289" s="131" t="s">
        <v>7501</v>
      </c>
      <c r="L1289" s="60" t="s">
        <v>7419</v>
      </c>
    </row>
    <row r="1290" spans="1:14" ht="14" x14ac:dyDescent="0.15">
      <c r="A1290" s="70" t="s">
        <v>2633</v>
      </c>
      <c r="B1290" s="82"/>
      <c r="C1290" s="70" t="s">
        <v>3636</v>
      </c>
      <c r="D1290" s="70" t="s">
        <v>3437</v>
      </c>
      <c r="E1290" s="70" t="s">
        <v>3457</v>
      </c>
      <c r="F1290" s="70" t="s">
        <v>3309</v>
      </c>
      <c r="G1290" s="70" t="s">
        <v>3312</v>
      </c>
      <c r="H1290" s="93"/>
      <c r="I1290" s="85">
        <f t="shared" si="49"/>
        <v>2.0737199999999998</v>
      </c>
      <c r="J1290" s="85">
        <v>118.50045011936339</v>
      </c>
      <c r="K1290" s="131" t="s">
        <v>3177</v>
      </c>
      <c r="L1290" s="60">
        <v>60</v>
      </c>
    </row>
    <row r="1291" spans="1:14" ht="14" x14ac:dyDescent="0.15">
      <c r="A1291" s="70" t="s">
        <v>2633</v>
      </c>
      <c r="B1291" s="82"/>
      <c r="C1291" s="70" t="s">
        <v>3636</v>
      </c>
      <c r="D1291" s="70" t="s">
        <v>3437</v>
      </c>
      <c r="E1291" s="70" t="s">
        <v>3457</v>
      </c>
      <c r="F1291" s="70" t="s">
        <v>3309</v>
      </c>
      <c r="G1291" s="70" t="s">
        <v>4518</v>
      </c>
      <c r="H1291" s="93"/>
      <c r="I1291" s="85">
        <f t="shared" si="49"/>
        <v>2.0899100000000002</v>
      </c>
      <c r="J1291" s="85">
        <v>123.00138453598495</v>
      </c>
      <c r="K1291" s="131" t="s">
        <v>3177</v>
      </c>
      <c r="L1291" s="60">
        <v>60</v>
      </c>
    </row>
    <row r="1292" spans="1:14" ht="42" x14ac:dyDescent="0.15">
      <c r="A1292" s="70" t="s">
        <v>2633</v>
      </c>
      <c r="B1292" s="93" t="s">
        <v>8027</v>
      </c>
      <c r="C1292" s="70" t="s">
        <v>3636</v>
      </c>
      <c r="D1292" s="70" t="s">
        <v>3437</v>
      </c>
      <c r="E1292" s="70" t="s">
        <v>3457</v>
      </c>
      <c r="F1292" s="70" t="s">
        <v>3546</v>
      </c>
      <c r="G1292" s="70" t="s">
        <v>4079</v>
      </c>
      <c r="H1292" s="93"/>
      <c r="I1292" s="85">
        <v>-999</v>
      </c>
      <c r="J1292" s="85">
        <v>-999</v>
      </c>
      <c r="K1292" s="131" t="s">
        <v>3177</v>
      </c>
      <c r="L1292" s="60">
        <v>-999</v>
      </c>
      <c r="M1292" s="33"/>
    </row>
    <row r="1293" spans="1:14" ht="42" x14ac:dyDescent="0.15">
      <c r="A1293" s="70" t="s">
        <v>2633</v>
      </c>
      <c r="B1293" s="93" t="s">
        <v>7308</v>
      </c>
      <c r="C1293" s="70" t="s">
        <v>3636</v>
      </c>
      <c r="D1293" s="70" t="s">
        <v>3437</v>
      </c>
      <c r="E1293" s="70" t="s">
        <v>3457</v>
      </c>
      <c r="F1293" s="70" t="s">
        <v>3546</v>
      </c>
      <c r="G1293" s="70" t="s">
        <v>6149</v>
      </c>
      <c r="H1293" s="93"/>
      <c r="I1293" s="85">
        <v>-999</v>
      </c>
      <c r="J1293" s="85">
        <v>-999</v>
      </c>
      <c r="K1293" s="131" t="s">
        <v>3177</v>
      </c>
      <c r="L1293" s="60">
        <v>-999</v>
      </c>
      <c r="M1293" s="33"/>
    </row>
    <row r="1294" spans="1:14" ht="14" x14ac:dyDescent="0.15">
      <c r="A1294" s="70" t="s">
        <v>2633</v>
      </c>
      <c r="B1294" s="93" t="s">
        <v>4794</v>
      </c>
      <c r="C1294" s="70" t="s">
        <v>3636</v>
      </c>
      <c r="D1294" s="70" t="s">
        <v>3437</v>
      </c>
      <c r="E1294" s="70" t="s">
        <v>3457</v>
      </c>
      <c r="F1294" s="70" t="s">
        <v>3546</v>
      </c>
      <c r="G1294" s="70" t="s">
        <v>2905</v>
      </c>
      <c r="H1294" s="93"/>
      <c r="I1294" s="85">
        <v>-999</v>
      </c>
      <c r="J1294" s="85">
        <v>-999</v>
      </c>
      <c r="K1294" s="131" t="s">
        <v>3177</v>
      </c>
      <c r="L1294" s="60">
        <v>-999</v>
      </c>
      <c r="M1294" s="33"/>
    </row>
    <row r="1295" spans="1:14" ht="14" x14ac:dyDescent="0.15">
      <c r="A1295" s="166" t="s">
        <v>2633</v>
      </c>
      <c r="B1295" s="82"/>
      <c r="C1295" s="70" t="s">
        <v>3636</v>
      </c>
      <c r="D1295" s="70" t="s">
        <v>3437</v>
      </c>
      <c r="E1295" s="70" t="s">
        <v>3457</v>
      </c>
      <c r="F1295" s="70" t="s">
        <v>3546</v>
      </c>
      <c r="G1295" s="70" t="s">
        <v>5336</v>
      </c>
      <c r="H1295" s="93"/>
      <c r="I1295" s="85">
        <f>LOG(J1295)</f>
        <v>1.6721000000000001</v>
      </c>
      <c r="J1295" s="85">
        <v>47.000231817980108</v>
      </c>
      <c r="K1295" s="131" t="s">
        <v>3177</v>
      </c>
      <c r="L1295" s="60">
        <v>56</v>
      </c>
    </row>
    <row r="1296" spans="1:14" ht="14" x14ac:dyDescent="0.15">
      <c r="A1296" s="166" t="s">
        <v>2633</v>
      </c>
      <c r="B1296" s="82"/>
      <c r="C1296" s="70" t="s">
        <v>3636</v>
      </c>
      <c r="D1296" s="70" t="s">
        <v>3437</v>
      </c>
      <c r="E1296" s="70" t="s">
        <v>3457</v>
      </c>
      <c r="F1296" s="70" t="s">
        <v>3546</v>
      </c>
      <c r="G1296" s="70" t="s">
        <v>3605</v>
      </c>
      <c r="H1296" s="93"/>
      <c r="I1296" s="85">
        <f>LOG(J1296)</f>
        <v>1.6812432381987876</v>
      </c>
      <c r="J1296" s="85">
        <f>AVERAGE(47,49.0004422793236)</f>
        <v>48.000221139661804</v>
      </c>
      <c r="K1296" s="131" t="s">
        <v>3177</v>
      </c>
      <c r="L1296" s="60" t="s">
        <v>6389</v>
      </c>
      <c r="N1296" s="37" t="s">
        <v>1587</v>
      </c>
    </row>
    <row r="1297" spans="1:26" ht="16" x14ac:dyDescent="0.2">
      <c r="A1297" s="166" t="s">
        <v>2633</v>
      </c>
      <c r="B1297" s="82"/>
      <c r="C1297" s="70" t="s">
        <v>3636</v>
      </c>
      <c r="D1297" s="70" t="s">
        <v>3437</v>
      </c>
      <c r="E1297" s="70" t="s">
        <v>3457</v>
      </c>
      <c r="F1297" s="70" t="s">
        <v>3546</v>
      </c>
      <c r="G1297" s="70" t="s">
        <v>2908</v>
      </c>
      <c r="H1297" s="93"/>
      <c r="I1297" s="85">
        <f>LOG(J1297)</f>
        <v>1.7058637122839193</v>
      </c>
      <c r="J1297" s="85">
        <v>50.8</v>
      </c>
      <c r="K1297" s="131" t="s">
        <v>3177</v>
      </c>
      <c r="L1297" s="60">
        <v>214</v>
      </c>
      <c r="M1297" s="47"/>
    </row>
    <row r="1298" spans="1:26" ht="28" x14ac:dyDescent="0.15">
      <c r="A1298" s="166" t="s">
        <v>2633</v>
      </c>
      <c r="B1298" s="93" t="s">
        <v>8028</v>
      </c>
      <c r="C1298" s="70" t="s">
        <v>3636</v>
      </c>
      <c r="D1298" s="70" t="s">
        <v>3437</v>
      </c>
      <c r="E1298" s="70" t="s">
        <v>3457</v>
      </c>
      <c r="F1298" s="70" t="s">
        <v>3546</v>
      </c>
      <c r="G1298" s="70" t="s">
        <v>4716</v>
      </c>
      <c r="H1298" s="93"/>
      <c r="I1298" s="85">
        <f>LOG(J1298)</f>
        <v>1.7160033436347992</v>
      </c>
      <c r="J1298" s="85">
        <v>52</v>
      </c>
      <c r="K1298" s="131" t="s">
        <v>3177</v>
      </c>
      <c r="L1298" s="60">
        <v>135</v>
      </c>
      <c r="M1298" s="33"/>
    </row>
    <row r="1299" spans="1:26" ht="14" x14ac:dyDescent="0.15">
      <c r="A1299" s="166" t="s">
        <v>2633</v>
      </c>
      <c r="B1299" s="82"/>
      <c r="C1299" s="70" t="s">
        <v>3636</v>
      </c>
      <c r="D1299" s="70" t="s">
        <v>3437</v>
      </c>
      <c r="E1299" s="70" t="s">
        <v>3457</v>
      </c>
      <c r="F1299" s="70" t="s">
        <v>3546</v>
      </c>
      <c r="G1299" s="70" t="s">
        <v>1911</v>
      </c>
      <c r="H1299" s="93"/>
      <c r="I1299" s="85">
        <f>LOG(J1299)</f>
        <v>1.7796000000000003</v>
      </c>
      <c r="J1299" s="85">
        <v>60.200486368445944</v>
      </c>
      <c r="K1299" s="131" t="s">
        <v>3177</v>
      </c>
      <c r="L1299" s="60">
        <v>60</v>
      </c>
    </row>
    <row r="1300" spans="1:26" ht="14" x14ac:dyDescent="0.15">
      <c r="A1300" s="166" t="s">
        <v>2633</v>
      </c>
      <c r="B1300" s="82" t="s">
        <v>5032</v>
      </c>
      <c r="C1300" s="70" t="s">
        <v>3636</v>
      </c>
      <c r="D1300" s="70" t="s">
        <v>3437</v>
      </c>
      <c r="E1300" s="70" t="s">
        <v>3457</v>
      </c>
      <c r="F1300" s="70" t="s">
        <v>7140</v>
      </c>
      <c r="G1300" s="70" t="s">
        <v>5441</v>
      </c>
      <c r="H1300" s="93"/>
      <c r="I1300" s="85">
        <v>-999</v>
      </c>
      <c r="J1300" s="85">
        <v>-999</v>
      </c>
      <c r="K1300" s="131" t="s">
        <v>3177</v>
      </c>
      <c r="L1300" s="60">
        <v>-999</v>
      </c>
      <c r="M1300" s="33"/>
    </row>
    <row r="1301" spans="1:26" ht="16" x14ac:dyDescent="0.2">
      <c r="A1301" s="70" t="s">
        <v>2633</v>
      </c>
      <c r="B1301" s="82" t="s">
        <v>2464</v>
      </c>
      <c r="C1301" s="70" t="s">
        <v>3636</v>
      </c>
      <c r="D1301" s="70" t="s">
        <v>3437</v>
      </c>
      <c r="E1301" s="70" t="s">
        <v>3457</v>
      </c>
      <c r="F1301" s="70" t="s">
        <v>7140</v>
      </c>
      <c r="G1301" s="70" t="s">
        <v>3250</v>
      </c>
      <c r="H1301" s="93"/>
      <c r="I1301" s="85">
        <v>-999</v>
      </c>
      <c r="J1301" s="85">
        <v>-999</v>
      </c>
      <c r="K1301" s="131" t="s">
        <v>3177</v>
      </c>
      <c r="L1301" s="60">
        <v>-999</v>
      </c>
      <c r="M1301" s="33" t="s">
        <v>6392</v>
      </c>
      <c r="N1301" s="48"/>
    </row>
    <row r="1302" spans="1:26" ht="14" x14ac:dyDescent="0.15">
      <c r="A1302" s="70" t="s">
        <v>2633</v>
      </c>
      <c r="B1302" s="82"/>
      <c r="C1302" s="70" t="s">
        <v>3636</v>
      </c>
      <c r="D1302" s="70" t="s">
        <v>3437</v>
      </c>
      <c r="E1302" s="70" t="s">
        <v>3457</v>
      </c>
      <c r="F1302" s="70" t="s">
        <v>7140</v>
      </c>
      <c r="G1302" s="70" t="s">
        <v>7141</v>
      </c>
      <c r="H1302" s="93"/>
      <c r="I1302" s="85">
        <f t="shared" ref="I1302:I1309" si="50">LOG(J1302)</f>
        <v>1.9058000000000002</v>
      </c>
      <c r="J1302" s="85">
        <v>80.500763610806274</v>
      </c>
      <c r="K1302" s="131" t="s">
        <v>3177</v>
      </c>
      <c r="L1302" s="60">
        <v>60</v>
      </c>
    </row>
    <row r="1303" spans="1:26" ht="16" x14ac:dyDescent="0.2">
      <c r="A1303" s="70" t="s">
        <v>2633</v>
      </c>
      <c r="B1303" s="82"/>
      <c r="C1303" s="70" t="s">
        <v>3636</v>
      </c>
      <c r="D1303" s="70" t="s">
        <v>3437</v>
      </c>
      <c r="E1303" s="70" t="s">
        <v>3457</v>
      </c>
      <c r="F1303" s="70" t="s">
        <v>7140</v>
      </c>
      <c r="G1303" s="70" t="s">
        <v>4518</v>
      </c>
      <c r="H1303" s="93"/>
      <c r="I1303" s="85">
        <f t="shared" si="50"/>
        <v>2.0958664534785427</v>
      </c>
      <c r="J1303" s="85">
        <v>124.7</v>
      </c>
      <c r="K1303" s="131" t="s">
        <v>6485</v>
      </c>
      <c r="L1303" s="60">
        <v>-999</v>
      </c>
      <c r="M1303" s="47"/>
    </row>
    <row r="1304" spans="1:26" x14ac:dyDescent="0.15">
      <c r="A1304" s="70" t="s">
        <v>2633</v>
      </c>
      <c r="B1304" s="82"/>
      <c r="C1304" s="70" t="s">
        <v>3636</v>
      </c>
      <c r="D1304" s="70" t="s">
        <v>3437</v>
      </c>
      <c r="E1304" s="70" t="s">
        <v>3457</v>
      </c>
      <c r="F1304" s="70" t="s">
        <v>7142</v>
      </c>
      <c r="G1304" s="70" t="s">
        <v>6139</v>
      </c>
      <c r="H1304" s="93"/>
      <c r="I1304" s="85">
        <f t="shared" si="50"/>
        <v>1.7915152119416251</v>
      </c>
      <c r="J1304" s="85">
        <f>AVERAGE(52, 81, 54, 60.5)</f>
        <v>61.875</v>
      </c>
      <c r="K1304" s="131">
        <f>AVERAGE(52, 81, 54, 60.5)</f>
        <v>61.875</v>
      </c>
      <c r="L1304" s="60">
        <v>135</v>
      </c>
    </row>
    <row r="1305" spans="1:26" ht="14" x14ac:dyDescent="0.15">
      <c r="A1305" s="70" t="s">
        <v>2633</v>
      </c>
      <c r="B1305" s="82" t="s">
        <v>6877</v>
      </c>
      <c r="C1305" s="70" t="s">
        <v>3636</v>
      </c>
      <c r="D1305" s="70" t="s">
        <v>3437</v>
      </c>
      <c r="E1305" s="70" t="s">
        <v>3457</v>
      </c>
      <c r="F1305" s="70" t="s">
        <v>7142</v>
      </c>
      <c r="G1305" s="70" t="s">
        <v>3436</v>
      </c>
      <c r="H1305" s="93"/>
      <c r="I1305" s="85">
        <f t="shared" si="50"/>
        <v>1.8750612633917001</v>
      </c>
      <c r="J1305" s="85">
        <v>75</v>
      </c>
      <c r="K1305" s="131" t="s">
        <v>3177</v>
      </c>
      <c r="L1305" s="60">
        <v>70</v>
      </c>
    </row>
    <row r="1306" spans="1:26" ht="17" x14ac:dyDescent="0.2">
      <c r="A1306" s="70" t="s">
        <v>2633</v>
      </c>
      <c r="B1306" s="82"/>
      <c r="C1306" s="70" t="s">
        <v>3636</v>
      </c>
      <c r="D1306" s="70" t="s">
        <v>3437</v>
      </c>
      <c r="E1306" s="73" t="s">
        <v>3457</v>
      </c>
      <c r="F1306" s="70" t="s">
        <v>7143</v>
      </c>
      <c r="G1306" s="70" t="s">
        <v>7144</v>
      </c>
      <c r="H1306" s="93"/>
      <c r="I1306" s="85">
        <f t="shared" si="50"/>
        <v>1.6066883955100335</v>
      </c>
      <c r="J1306" s="85">
        <f>AVERAGE(41, 55, 53, 31, 50, 22, 31)</f>
        <v>40.428571428571431</v>
      </c>
      <c r="K1306" s="131" t="s">
        <v>1294</v>
      </c>
      <c r="L1306" s="60" t="s">
        <v>1489</v>
      </c>
      <c r="N1306" s="48" t="s">
        <v>1495</v>
      </c>
    </row>
    <row r="1307" spans="1:26" ht="16" x14ac:dyDescent="0.2">
      <c r="A1307" s="70" t="s">
        <v>2633</v>
      </c>
      <c r="B1307" s="82"/>
      <c r="C1307" s="70" t="s">
        <v>3636</v>
      </c>
      <c r="D1307" s="70" t="s">
        <v>3437</v>
      </c>
      <c r="E1307" s="70" t="s">
        <v>3457</v>
      </c>
      <c r="F1307" s="70" t="s">
        <v>7145</v>
      </c>
      <c r="G1307" s="70" t="s">
        <v>7146</v>
      </c>
      <c r="H1307" s="93"/>
      <c r="I1307" s="85">
        <f t="shared" si="50"/>
        <v>1.7332000000000003</v>
      </c>
      <c r="J1307" s="85">
        <v>54.100340686346797</v>
      </c>
      <c r="K1307" s="131" t="s">
        <v>3177</v>
      </c>
      <c r="L1307" s="60">
        <v>60</v>
      </c>
      <c r="N1307" s="48"/>
    </row>
    <row r="1308" spans="1:26" ht="14" x14ac:dyDescent="0.15">
      <c r="A1308" s="73" t="s">
        <v>2633</v>
      </c>
      <c r="B1308" s="82"/>
      <c r="C1308" s="70" t="s">
        <v>3636</v>
      </c>
      <c r="D1308" s="70" t="s">
        <v>3437</v>
      </c>
      <c r="E1308" s="70" t="s">
        <v>3457</v>
      </c>
      <c r="F1308" s="70" t="s">
        <v>7145</v>
      </c>
      <c r="G1308" s="70" t="s">
        <v>6432</v>
      </c>
      <c r="H1308" s="93"/>
      <c r="I1308" s="85">
        <f t="shared" si="50"/>
        <v>1.7781500000000001</v>
      </c>
      <c r="J1308" s="85">
        <v>59.999827253364401</v>
      </c>
      <c r="K1308" s="131" t="s">
        <v>3177</v>
      </c>
      <c r="L1308" s="60" t="s">
        <v>1471</v>
      </c>
    </row>
    <row r="1309" spans="1:26" ht="14" x14ac:dyDescent="0.15">
      <c r="A1309" s="70" t="s">
        <v>2633</v>
      </c>
      <c r="B1309" s="93" t="s">
        <v>2193</v>
      </c>
      <c r="C1309" s="70" t="s">
        <v>3636</v>
      </c>
      <c r="D1309" s="70" t="s">
        <v>3437</v>
      </c>
      <c r="E1309" s="70" t="s">
        <v>7763</v>
      </c>
      <c r="F1309" s="70" t="s">
        <v>5694</v>
      </c>
      <c r="G1309" s="70" t="s">
        <v>3426</v>
      </c>
      <c r="H1309" s="93"/>
      <c r="I1309" s="85">
        <f t="shared" si="50"/>
        <v>2.0881360887005513</v>
      </c>
      <c r="J1309" s="85">
        <f>AVERAGE(45, 200)</f>
        <v>122.5</v>
      </c>
      <c r="K1309" s="131" t="s">
        <v>3177</v>
      </c>
      <c r="L1309" s="60">
        <v>70</v>
      </c>
      <c r="M1309" s="49" t="s">
        <v>6392</v>
      </c>
    </row>
    <row r="1310" spans="1:26" s="13" customFormat="1" ht="14" x14ac:dyDescent="0.15">
      <c r="A1310" s="70" t="s">
        <v>2633</v>
      </c>
      <c r="B1310" s="93" t="s">
        <v>2194</v>
      </c>
      <c r="C1310" s="70" t="s">
        <v>3636</v>
      </c>
      <c r="D1310" s="70" t="s">
        <v>3437</v>
      </c>
      <c r="E1310" s="70" t="s">
        <v>7763</v>
      </c>
      <c r="F1310" s="70" t="s">
        <v>7769</v>
      </c>
      <c r="G1310" s="70" t="s">
        <v>4948</v>
      </c>
      <c r="H1310" s="93"/>
      <c r="I1310" s="85">
        <v>-999</v>
      </c>
      <c r="J1310" s="85">
        <v>-999</v>
      </c>
      <c r="K1310" s="131" t="s">
        <v>3177</v>
      </c>
      <c r="L1310" s="60">
        <v>-999</v>
      </c>
      <c r="M1310" s="33"/>
      <c r="N1310" s="37"/>
      <c r="O1310" s="37"/>
      <c r="P1310" s="37"/>
      <c r="Q1310" s="3"/>
      <c r="R1310" s="3"/>
      <c r="S1310" s="12"/>
      <c r="T1310" s="12"/>
      <c r="U1310" s="12"/>
      <c r="V1310" s="12"/>
      <c r="W1310" s="12"/>
      <c r="X1310" s="12"/>
      <c r="Y1310" s="12"/>
      <c r="Z1310" s="16"/>
    </row>
    <row r="1311" spans="1:26" ht="14" x14ac:dyDescent="0.15">
      <c r="A1311" s="70" t="s">
        <v>2633</v>
      </c>
      <c r="B1311" s="82"/>
      <c r="C1311" s="70" t="s">
        <v>3636</v>
      </c>
      <c r="D1311" s="70" t="s">
        <v>3437</v>
      </c>
      <c r="E1311" s="70" t="s">
        <v>7763</v>
      </c>
      <c r="F1311" s="70" t="s">
        <v>7769</v>
      </c>
      <c r="G1311" s="70" t="s">
        <v>4032</v>
      </c>
      <c r="H1311" s="93"/>
      <c r="I1311" s="85">
        <v>-999</v>
      </c>
      <c r="J1311" s="85">
        <v>-999</v>
      </c>
      <c r="K1311" s="131" t="s">
        <v>3177</v>
      </c>
      <c r="L1311" s="60">
        <v>-999</v>
      </c>
      <c r="M1311" s="33"/>
    </row>
    <row r="1312" spans="1:26" ht="28" x14ac:dyDescent="0.2">
      <c r="A1312" s="70" t="s">
        <v>2633</v>
      </c>
      <c r="B1312" s="82" t="s">
        <v>2807</v>
      </c>
      <c r="C1312" s="70" t="s">
        <v>3636</v>
      </c>
      <c r="D1312" s="70" t="s">
        <v>3437</v>
      </c>
      <c r="E1312" s="70" t="s">
        <v>7763</v>
      </c>
      <c r="F1312" s="70" t="s">
        <v>7769</v>
      </c>
      <c r="G1312" s="70" t="s">
        <v>5090</v>
      </c>
      <c r="H1312" s="93"/>
      <c r="I1312" s="85">
        <v>-999</v>
      </c>
      <c r="J1312" s="85">
        <v>-999</v>
      </c>
      <c r="K1312" s="131" t="s">
        <v>3177</v>
      </c>
      <c r="L1312" s="60">
        <v>-999</v>
      </c>
      <c r="M1312" s="33"/>
      <c r="N1312" s="48"/>
    </row>
    <row r="1313" spans="1:14" ht="16" x14ac:dyDescent="0.2">
      <c r="A1313" s="70" t="s">
        <v>2633</v>
      </c>
      <c r="B1313" s="82" t="s">
        <v>2588</v>
      </c>
      <c r="C1313" s="73" t="s">
        <v>3636</v>
      </c>
      <c r="D1313" s="73" t="s">
        <v>3437</v>
      </c>
      <c r="E1313" s="70" t="s">
        <v>7763</v>
      </c>
      <c r="F1313" s="73" t="s">
        <v>7769</v>
      </c>
      <c r="G1313" s="73" t="s">
        <v>2212</v>
      </c>
      <c r="H1313" s="93"/>
      <c r="I1313" s="85">
        <v>-999</v>
      </c>
      <c r="J1313" s="95">
        <v>-999</v>
      </c>
      <c r="K1313" s="131" t="s">
        <v>3177</v>
      </c>
      <c r="L1313" s="60">
        <v>-999</v>
      </c>
      <c r="M1313" s="33"/>
      <c r="N1313" s="48"/>
    </row>
    <row r="1314" spans="1:14" ht="16" x14ac:dyDescent="0.2">
      <c r="A1314" s="166" t="s">
        <v>2633</v>
      </c>
      <c r="B1314" s="93" t="s">
        <v>2589</v>
      </c>
      <c r="C1314" s="70" t="s">
        <v>3636</v>
      </c>
      <c r="D1314" s="70" t="s">
        <v>3437</v>
      </c>
      <c r="E1314" s="70" t="s">
        <v>7763</v>
      </c>
      <c r="F1314" s="70" t="s">
        <v>7769</v>
      </c>
      <c r="G1314" s="70" t="s">
        <v>5088</v>
      </c>
      <c r="H1314" s="93"/>
      <c r="I1314" s="85">
        <v>-999</v>
      </c>
      <c r="J1314" s="85">
        <v>-999</v>
      </c>
      <c r="K1314" s="131" t="s">
        <v>3177</v>
      </c>
      <c r="L1314" s="60">
        <v>-999</v>
      </c>
      <c r="M1314" s="33"/>
      <c r="N1314" s="48"/>
    </row>
    <row r="1315" spans="1:14" ht="28" x14ac:dyDescent="0.15">
      <c r="A1315" s="70" t="s">
        <v>2633</v>
      </c>
      <c r="B1315" s="93" t="s">
        <v>2176</v>
      </c>
      <c r="C1315" s="73" t="s">
        <v>3636</v>
      </c>
      <c r="D1315" s="73" t="s">
        <v>3437</v>
      </c>
      <c r="E1315" s="70" t="s">
        <v>7763</v>
      </c>
      <c r="F1315" s="70" t="s">
        <v>7769</v>
      </c>
      <c r="G1315" s="70" t="s">
        <v>5089</v>
      </c>
      <c r="H1315" s="93"/>
      <c r="I1315" s="85">
        <v>-999</v>
      </c>
      <c r="J1315" s="85">
        <v>-999</v>
      </c>
      <c r="K1315" s="131" t="s">
        <v>3177</v>
      </c>
      <c r="L1315" s="60">
        <v>-999</v>
      </c>
      <c r="M1315" s="33"/>
    </row>
    <row r="1316" spans="1:14" ht="14" x14ac:dyDescent="0.15">
      <c r="A1316" s="70" t="s">
        <v>2633</v>
      </c>
      <c r="B1316" s="82"/>
      <c r="C1316" s="70" t="s">
        <v>3636</v>
      </c>
      <c r="D1316" s="70" t="s">
        <v>3437</v>
      </c>
      <c r="E1316" s="70" t="s">
        <v>7763</v>
      </c>
      <c r="F1316" s="70" t="s">
        <v>7769</v>
      </c>
      <c r="G1316" s="70" t="s">
        <v>5094</v>
      </c>
      <c r="H1316" s="93"/>
      <c r="I1316" s="85">
        <v>-999</v>
      </c>
      <c r="J1316" s="85">
        <v>-999</v>
      </c>
      <c r="K1316" s="131" t="s">
        <v>3177</v>
      </c>
      <c r="L1316" s="60">
        <v>-999</v>
      </c>
      <c r="M1316" s="33"/>
    </row>
    <row r="1317" spans="1:14" ht="14" x14ac:dyDescent="0.15">
      <c r="A1317" s="70" t="s">
        <v>2633</v>
      </c>
      <c r="B1317" s="82"/>
      <c r="C1317" s="70" t="s">
        <v>3636</v>
      </c>
      <c r="D1317" s="70" t="s">
        <v>3437</v>
      </c>
      <c r="E1317" s="70" t="s">
        <v>7763</v>
      </c>
      <c r="F1317" s="70" t="s">
        <v>7769</v>
      </c>
      <c r="G1317" s="70" t="s">
        <v>7064</v>
      </c>
      <c r="H1317" s="93"/>
      <c r="I1317" s="85">
        <f t="shared" ref="I1317:I1344" si="51">LOG(J1317)</f>
        <v>1.0211892990699381</v>
      </c>
      <c r="J1317" s="85">
        <v>10.5</v>
      </c>
      <c r="K1317" s="131" t="s">
        <v>3177</v>
      </c>
      <c r="L1317" s="60">
        <v>127</v>
      </c>
      <c r="M1317" s="33"/>
    </row>
    <row r="1318" spans="1:14" ht="14" x14ac:dyDescent="0.15">
      <c r="A1318" s="70" t="s">
        <v>2633</v>
      </c>
      <c r="B1318" s="82"/>
      <c r="C1318" s="70" t="s">
        <v>3636</v>
      </c>
      <c r="D1318" s="70" t="s">
        <v>3437</v>
      </c>
      <c r="E1318" s="70" t="s">
        <v>7763</v>
      </c>
      <c r="F1318" s="70" t="s">
        <v>7769</v>
      </c>
      <c r="G1318" s="70" t="s">
        <v>4375</v>
      </c>
      <c r="H1318" s="93"/>
      <c r="I1318" s="85">
        <f t="shared" si="51"/>
        <v>1.2804671608642451</v>
      </c>
      <c r="J1318" s="85">
        <f>AVERAGE(20.1502296447649, 18)</f>
        <v>19.075114822382449</v>
      </c>
      <c r="K1318" s="131" t="s">
        <v>3177</v>
      </c>
      <c r="L1318" s="60" t="s">
        <v>1538</v>
      </c>
      <c r="N1318" s="37" t="s">
        <v>1593</v>
      </c>
    </row>
    <row r="1319" spans="1:14" ht="28" x14ac:dyDescent="0.15">
      <c r="A1319" s="70" t="s">
        <v>2633</v>
      </c>
      <c r="B1319" s="93" t="s">
        <v>2651</v>
      </c>
      <c r="C1319" s="70" t="s">
        <v>3636</v>
      </c>
      <c r="D1319" s="70" t="s">
        <v>3437</v>
      </c>
      <c r="E1319" s="70" t="s">
        <v>7763</v>
      </c>
      <c r="F1319" s="70" t="s">
        <v>7769</v>
      </c>
      <c r="G1319" s="70" t="s">
        <v>3676</v>
      </c>
      <c r="H1319" s="93"/>
      <c r="I1319" s="85">
        <f t="shared" si="51"/>
        <v>1.3011462677821426</v>
      </c>
      <c r="J1319" s="85">
        <v>20.005355245758651</v>
      </c>
      <c r="K1319" s="131" t="s">
        <v>3177</v>
      </c>
      <c r="L1319" s="60" t="s">
        <v>7856</v>
      </c>
      <c r="M1319" s="33" t="s">
        <v>6727</v>
      </c>
    </row>
    <row r="1320" spans="1:14" ht="16" x14ac:dyDescent="0.2">
      <c r="A1320" s="70" t="s">
        <v>2633</v>
      </c>
      <c r="B1320" s="82"/>
      <c r="C1320" s="70" t="s">
        <v>3636</v>
      </c>
      <c r="D1320" s="70" t="s">
        <v>3437</v>
      </c>
      <c r="E1320" s="70" t="s">
        <v>7763</v>
      </c>
      <c r="F1320" s="70" t="s">
        <v>7769</v>
      </c>
      <c r="G1320" s="70" t="s">
        <v>5087</v>
      </c>
      <c r="H1320" s="93"/>
      <c r="I1320" s="85">
        <f t="shared" si="51"/>
        <v>1.4314346123531179</v>
      </c>
      <c r="J1320" s="210">
        <v>27.004404977174104</v>
      </c>
      <c r="K1320" s="131" t="s">
        <v>3177</v>
      </c>
      <c r="L1320" s="60" t="s">
        <v>7856</v>
      </c>
      <c r="M1320" s="33"/>
      <c r="N1320" s="48"/>
    </row>
    <row r="1321" spans="1:14" ht="14" x14ac:dyDescent="0.15">
      <c r="A1321" s="70" t="s">
        <v>2633</v>
      </c>
      <c r="B1321" s="82"/>
      <c r="C1321" s="70" t="s">
        <v>3636</v>
      </c>
      <c r="D1321" s="70" t="s">
        <v>3437</v>
      </c>
      <c r="E1321" s="70" t="s">
        <v>7763</v>
      </c>
      <c r="F1321" s="70" t="s">
        <v>7769</v>
      </c>
      <c r="G1321" s="70" t="s">
        <v>7771</v>
      </c>
      <c r="H1321" s="93"/>
      <c r="I1321" s="85">
        <f t="shared" si="51"/>
        <v>1.481442628502305</v>
      </c>
      <c r="J1321" s="85">
        <f>AVERAGE(34, 26.6)</f>
        <v>30.3</v>
      </c>
      <c r="K1321" s="131" t="s">
        <v>3177</v>
      </c>
      <c r="L1321" s="60">
        <v>260</v>
      </c>
      <c r="M1321" s="49" t="s">
        <v>6728</v>
      </c>
    </row>
    <row r="1322" spans="1:14" ht="14" x14ac:dyDescent="0.15">
      <c r="A1322" s="70" t="s">
        <v>2633</v>
      </c>
      <c r="B1322" s="82"/>
      <c r="C1322" s="70" t="s">
        <v>3636</v>
      </c>
      <c r="D1322" s="70" t="s">
        <v>3437</v>
      </c>
      <c r="E1322" s="70" t="s">
        <v>7763</v>
      </c>
      <c r="F1322" s="70" t="s">
        <v>7769</v>
      </c>
      <c r="G1322" s="70" t="s">
        <v>7770</v>
      </c>
      <c r="H1322" s="93"/>
      <c r="I1322" s="85">
        <f t="shared" si="51"/>
        <v>1.6532125137753437</v>
      </c>
      <c r="J1322" s="85">
        <f>AVERAGE(30, 60)</f>
        <v>45</v>
      </c>
      <c r="K1322" s="131" t="s">
        <v>3177</v>
      </c>
      <c r="L1322" s="60" t="s">
        <v>7556</v>
      </c>
      <c r="N1322" s="37" t="s">
        <v>1837</v>
      </c>
    </row>
    <row r="1323" spans="1:14" ht="14" x14ac:dyDescent="0.15">
      <c r="A1323" s="70" t="s">
        <v>2633</v>
      </c>
      <c r="B1323" s="82"/>
      <c r="C1323" s="70" t="s">
        <v>3636</v>
      </c>
      <c r="D1323" s="70" t="s">
        <v>3437</v>
      </c>
      <c r="E1323" s="70" t="s">
        <v>7763</v>
      </c>
      <c r="F1323" s="70" t="s">
        <v>7769</v>
      </c>
      <c r="G1323" s="70" t="s">
        <v>7772</v>
      </c>
      <c r="H1323" s="93"/>
      <c r="I1323" s="85">
        <f t="shared" si="51"/>
        <v>1.6637009253896482</v>
      </c>
      <c r="J1323" s="85">
        <f>AVERAGE(43.6, 48.6)</f>
        <v>46.1</v>
      </c>
      <c r="K1323" s="131" t="s">
        <v>3177</v>
      </c>
      <c r="L1323" s="60">
        <v>129</v>
      </c>
    </row>
    <row r="1324" spans="1:14" ht="14" x14ac:dyDescent="0.15">
      <c r="A1324" s="70" t="s">
        <v>2633</v>
      </c>
      <c r="B1324" s="82"/>
      <c r="C1324" s="70" t="s">
        <v>3636</v>
      </c>
      <c r="D1324" s="70" t="s">
        <v>3437</v>
      </c>
      <c r="E1324" s="73" t="s">
        <v>2868</v>
      </c>
      <c r="F1324" s="70" t="s">
        <v>2869</v>
      </c>
      <c r="G1324" s="70" t="s">
        <v>4078</v>
      </c>
      <c r="H1324" s="93"/>
      <c r="I1324" s="85">
        <f t="shared" si="51"/>
        <v>3.4990000000000006</v>
      </c>
      <c r="J1324" s="85">
        <v>3155.0046233746311</v>
      </c>
      <c r="K1324" s="131" t="s">
        <v>3177</v>
      </c>
      <c r="L1324" s="60">
        <v>60</v>
      </c>
      <c r="M1324" s="49" t="s">
        <v>6728</v>
      </c>
    </row>
    <row r="1325" spans="1:14" ht="14" x14ac:dyDescent="0.15">
      <c r="A1325" s="70" t="s">
        <v>2633</v>
      </c>
      <c r="B1325" s="82"/>
      <c r="C1325" s="70" t="s">
        <v>3636</v>
      </c>
      <c r="D1325" s="70" t="s">
        <v>3437</v>
      </c>
      <c r="E1325" s="70" t="s">
        <v>3255</v>
      </c>
      <c r="F1325" s="70" t="s">
        <v>3256</v>
      </c>
      <c r="G1325" s="70" t="s">
        <v>3257</v>
      </c>
      <c r="H1325" s="93"/>
      <c r="I1325" s="85">
        <f t="shared" si="51"/>
        <v>2.3502500000000004</v>
      </c>
      <c r="J1325" s="85">
        <v>224.00102210407647</v>
      </c>
      <c r="K1325" s="131" t="s">
        <v>3177</v>
      </c>
      <c r="L1325" s="60">
        <v>60</v>
      </c>
    </row>
    <row r="1326" spans="1:14" ht="14" x14ac:dyDescent="0.15">
      <c r="A1326" s="70" t="s">
        <v>2633</v>
      </c>
      <c r="B1326" s="82"/>
      <c r="C1326" s="70" t="s">
        <v>3636</v>
      </c>
      <c r="D1326" s="70" t="s">
        <v>3437</v>
      </c>
      <c r="E1326" s="70" t="s">
        <v>3258</v>
      </c>
      <c r="F1326" s="70" t="s">
        <v>3259</v>
      </c>
      <c r="G1326" s="70" t="s">
        <v>3260</v>
      </c>
      <c r="H1326" s="93"/>
      <c r="I1326" s="85">
        <f t="shared" si="51"/>
        <v>2.3996700000000004</v>
      </c>
      <c r="J1326" s="85">
        <v>250.99784918349809</v>
      </c>
      <c r="K1326" s="131" t="s">
        <v>3177</v>
      </c>
      <c r="L1326" s="60">
        <v>60</v>
      </c>
    </row>
    <row r="1327" spans="1:14" ht="14" x14ac:dyDescent="0.15">
      <c r="A1327" s="70" t="s">
        <v>2633</v>
      </c>
      <c r="B1327" s="82"/>
      <c r="C1327" s="70" t="s">
        <v>3636</v>
      </c>
      <c r="D1327" s="70" t="s">
        <v>3437</v>
      </c>
      <c r="E1327" s="70" t="s">
        <v>3258</v>
      </c>
      <c r="F1327" s="70" t="s">
        <v>3261</v>
      </c>
      <c r="G1327" s="70" t="s">
        <v>3010</v>
      </c>
      <c r="H1327" s="93"/>
      <c r="I1327" s="85">
        <f t="shared" si="51"/>
        <v>2.5888317255942073</v>
      </c>
      <c r="J1327" s="85">
        <v>388</v>
      </c>
      <c r="K1327" s="131" t="s">
        <v>6630</v>
      </c>
      <c r="L1327" s="60">
        <v>68</v>
      </c>
      <c r="M1327" s="49" t="s">
        <v>6392</v>
      </c>
    </row>
    <row r="1328" spans="1:14" ht="14" x14ac:dyDescent="0.15">
      <c r="A1328" s="70" t="s">
        <v>2633</v>
      </c>
      <c r="B1328" s="82"/>
      <c r="C1328" s="70" t="s">
        <v>3636</v>
      </c>
      <c r="D1328" s="70" t="s">
        <v>3437</v>
      </c>
      <c r="E1328" s="70" t="s">
        <v>3258</v>
      </c>
      <c r="F1328" s="70" t="s">
        <v>3261</v>
      </c>
      <c r="G1328" s="70" t="s">
        <v>2863</v>
      </c>
      <c r="H1328" s="93"/>
      <c r="I1328" s="85">
        <f t="shared" si="51"/>
        <v>2.7723200000000006</v>
      </c>
      <c r="J1328" s="85">
        <v>591.99767351871822</v>
      </c>
      <c r="K1328" s="131" t="s">
        <v>6630</v>
      </c>
      <c r="L1328" s="60">
        <v>60</v>
      </c>
      <c r="M1328" s="49" t="s">
        <v>6392</v>
      </c>
    </row>
    <row r="1329" spans="1:13" ht="14" x14ac:dyDescent="0.15">
      <c r="A1329" s="70" t="s">
        <v>2633</v>
      </c>
      <c r="B1329" s="82"/>
      <c r="C1329" s="70" t="s">
        <v>3636</v>
      </c>
      <c r="D1329" s="70" t="s">
        <v>3437</v>
      </c>
      <c r="E1329" s="70" t="s">
        <v>3258</v>
      </c>
      <c r="F1329" s="70" t="s">
        <v>2864</v>
      </c>
      <c r="G1329" s="70" t="s">
        <v>7979</v>
      </c>
      <c r="H1329" s="93"/>
      <c r="I1329" s="85">
        <f t="shared" si="51"/>
        <v>2.0374300000000005</v>
      </c>
      <c r="J1329" s="85">
        <v>109.00087895662287</v>
      </c>
      <c r="K1329" s="131" t="s">
        <v>6630</v>
      </c>
      <c r="L1329" s="60">
        <v>60</v>
      </c>
      <c r="M1329" s="49" t="s">
        <v>6392</v>
      </c>
    </row>
    <row r="1330" spans="1:13" ht="14" x14ac:dyDescent="0.15">
      <c r="A1330" s="70" t="s">
        <v>2633</v>
      </c>
      <c r="B1330" s="82"/>
      <c r="C1330" s="70" t="s">
        <v>3636</v>
      </c>
      <c r="D1330" s="70" t="s">
        <v>3437</v>
      </c>
      <c r="E1330" s="70" t="s">
        <v>3258</v>
      </c>
      <c r="F1330" s="70" t="s">
        <v>2864</v>
      </c>
      <c r="G1330" s="70" t="s">
        <v>4079</v>
      </c>
      <c r="H1330" s="93"/>
      <c r="I1330" s="85">
        <f t="shared" si="51"/>
        <v>2.04922</v>
      </c>
      <c r="J1330" s="85">
        <v>112.00050993381923</v>
      </c>
      <c r="K1330" s="131" t="s">
        <v>3177</v>
      </c>
      <c r="L1330" s="60">
        <v>60</v>
      </c>
    </row>
    <row r="1331" spans="1:13" ht="14" x14ac:dyDescent="0.15">
      <c r="A1331" s="70" t="s">
        <v>2633</v>
      </c>
      <c r="B1331" s="93" t="s">
        <v>2590</v>
      </c>
      <c r="C1331" s="70" t="s">
        <v>3636</v>
      </c>
      <c r="D1331" s="70" t="s">
        <v>3437</v>
      </c>
      <c r="E1331" s="70" t="s">
        <v>3258</v>
      </c>
      <c r="F1331" s="70" t="s">
        <v>2864</v>
      </c>
      <c r="G1331" s="70" t="s">
        <v>8000</v>
      </c>
      <c r="H1331" s="93"/>
      <c r="I1331" s="85">
        <f t="shared" si="51"/>
        <v>2.1303337684950061</v>
      </c>
      <c r="J1331" s="85">
        <f>AVERAGE(110, 160)</f>
        <v>135</v>
      </c>
      <c r="K1331" s="131" t="s">
        <v>3177</v>
      </c>
      <c r="L1331" s="60">
        <v>70</v>
      </c>
    </row>
    <row r="1332" spans="1:13" ht="14" x14ac:dyDescent="0.15">
      <c r="A1332" s="70" t="s">
        <v>2633</v>
      </c>
      <c r="B1332" s="82"/>
      <c r="C1332" s="70" t="s">
        <v>3636</v>
      </c>
      <c r="D1332" s="70" t="s">
        <v>3437</v>
      </c>
      <c r="E1332" s="70" t="s">
        <v>3258</v>
      </c>
      <c r="F1332" s="70" t="s">
        <v>2864</v>
      </c>
      <c r="G1332" s="70" t="s">
        <v>3434</v>
      </c>
      <c r="H1332" s="93"/>
      <c r="I1332" s="85">
        <f t="shared" si="51"/>
        <v>2.1492200000000006</v>
      </c>
      <c r="J1332" s="85">
        <v>141.00028808959021</v>
      </c>
      <c r="K1332" s="131" t="s">
        <v>3177</v>
      </c>
      <c r="L1332" s="60">
        <v>60</v>
      </c>
    </row>
    <row r="1333" spans="1:13" ht="14" x14ac:dyDescent="0.15">
      <c r="A1333" s="166" t="s">
        <v>2633</v>
      </c>
      <c r="B1333" s="82"/>
      <c r="C1333" s="70" t="s">
        <v>3636</v>
      </c>
      <c r="D1333" s="70" t="s">
        <v>3437</v>
      </c>
      <c r="E1333" s="70" t="s">
        <v>3258</v>
      </c>
      <c r="F1333" s="70" t="s">
        <v>2864</v>
      </c>
      <c r="G1333" s="70" t="s">
        <v>2872</v>
      </c>
      <c r="H1333" s="93"/>
      <c r="I1333" s="85">
        <f t="shared" si="51"/>
        <v>2.2695099999999999</v>
      </c>
      <c r="J1333" s="85">
        <v>185.99873905218925</v>
      </c>
      <c r="K1333" s="131" t="s">
        <v>3177</v>
      </c>
      <c r="L1333" s="60">
        <v>60</v>
      </c>
    </row>
    <row r="1334" spans="1:13" ht="14" x14ac:dyDescent="0.15">
      <c r="A1334" s="166" t="s">
        <v>2633</v>
      </c>
      <c r="B1334" s="82"/>
      <c r="C1334" s="70" t="s">
        <v>3636</v>
      </c>
      <c r="D1334" s="70" t="s">
        <v>3437</v>
      </c>
      <c r="E1334" s="70" t="s">
        <v>3258</v>
      </c>
      <c r="F1334" s="70" t="s">
        <v>2864</v>
      </c>
      <c r="G1334" s="70" t="s">
        <v>2865</v>
      </c>
      <c r="H1334" s="93"/>
      <c r="I1334" s="85">
        <f t="shared" si="51"/>
        <v>2.3384600000000004</v>
      </c>
      <c r="J1334" s="85">
        <v>218.00176008978661</v>
      </c>
      <c r="K1334" s="131" t="s">
        <v>3177</v>
      </c>
      <c r="L1334" s="60">
        <v>60</v>
      </c>
    </row>
    <row r="1335" spans="1:13" ht="14" x14ac:dyDescent="0.15">
      <c r="A1335" s="166" t="s">
        <v>2633</v>
      </c>
      <c r="B1335" s="82"/>
      <c r="C1335" s="70" t="s">
        <v>3636</v>
      </c>
      <c r="D1335" s="70" t="s">
        <v>3437</v>
      </c>
      <c r="E1335" s="70" t="s">
        <v>3258</v>
      </c>
      <c r="F1335" s="70" t="s">
        <v>2864</v>
      </c>
      <c r="G1335" s="70" t="s">
        <v>3435</v>
      </c>
      <c r="H1335" s="93"/>
      <c r="I1335" s="85">
        <f t="shared" si="51"/>
        <v>2.3979400000000002</v>
      </c>
      <c r="J1335" s="85">
        <v>249.99999500797404</v>
      </c>
      <c r="K1335" s="131" t="s">
        <v>3177</v>
      </c>
      <c r="L1335" s="60">
        <v>65</v>
      </c>
    </row>
    <row r="1336" spans="1:13" ht="14" x14ac:dyDescent="0.15">
      <c r="A1336" s="166" t="s">
        <v>2633</v>
      </c>
      <c r="B1336" s="82"/>
      <c r="C1336" s="70" t="s">
        <v>3636</v>
      </c>
      <c r="D1336" s="70" t="s">
        <v>3437</v>
      </c>
      <c r="E1336" s="70" t="s">
        <v>3258</v>
      </c>
      <c r="F1336" s="70" t="s">
        <v>2864</v>
      </c>
      <c r="G1336" s="70" t="s">
        <v>2866</v>
      </c>
      <c r="H1336" s="93"/>
      <c r="I1336" s="85">
        <f t="shared" si="51"/>
        <v>2.4563700000000002</v>
      </c>
      <c r="J1336" s="85">
        <v>286.00261235249923</v>
      </c>
      <c r="K1336" s="131" t="s">
        <v>6816</v>
      </c>
      <c r="L1336" s="60" t="s">
        <v>2686</v>
      </c>
      <c r="M1336" s="49" t="s">
        <v>6728</v>
      </c>
    </row>
    <row r="1337" spans="1:13" ht="14" x14ac:dyDescent="0.15">
      <c r="A1337" s="166" t="s">
        <v>2633</v>
      </c>
      <c r="B1337" s="82"/>
      <c r="C1337" s="70" t="s">
        <v>3636</v>
      </c>
      <c r="D1337" s="70" t="s">
        <v>3437</v>
      </c>
      <c r="E1337" s="70" t="s">
        <v>3258</v>
      </c>
      <c r="F1337" s="70" t="s">
        <v>2864</v>
      </c>
      <c r="G1337" s="70" t="s">
        <v>3245</v>
      </c>
      <c r="H1337" s="93"/>
      <c r="I1337" s="85">
        <f t="shared" si="51"/>
        <v>2.4727600000000001</v>
      </c>
      <c r="J1337" s="85">
        <v>297.00242820745564</v>
      </c>
      <c r="K1337" s="131" t="s">
        <v>3177</v>
      </c>
      <c r="L1337" s="60">
        <v>60</v>
      </c>
    </row>
    <row r="1338" spans="1:13" ht="14" x14ac:dyDescent="0.15">
      <c r="A1338" s="166" t="s">
        <v>2633</v>
      </c>
      <c r="B1338" s="82"/>
      <c r="C1338" s="70" t="s">
        <v>3636</v>
      </c>
      <c r="D1338" s="70" t="s">
        <v>3437</v>
      </c>
      <c r="E1338" s="70" t="s">
        <v>3258</v>
      </c>
      <c r="F1338" s="70" t="s">
        <v>2873</v>
      </c>
      <c r="G1338" s="70" t="s">
        <v>2874</v>
      </c>
      <c r="H1338" s="93"/>
      <c r="I1338" s="85">
        <f t="shared" si="51"/>
        <v>2.2405500000000003</v>
      </c>
      <c r="J1338" s="85">
        <v>174.00030117569145</v>
      </c>
      <c r="K1338" s="131" t="s">
        <v>3177</v>
      </c>
      <c r="L1338" s="60">
        <v>60</v>
      </c>
    </row>
    <row r="1339" spans="1:13" ht="14" x14ac:dyDescent="0.15">
      <c r="A1339" s="166" t="s">
        <v>2633</v>
      </c>
      <c r="B1339" s="82"/>
      <c r="C1339" s="70" t="s">
        <v>3636</v>
      </c>
      <c r="D1339" s="70" t="s">
        <v>3437</v>
      </c>
      <c r="E1339" s="70" t="s">
        <v>3258</v>
      </c>
      <c r="F1339" s="70" t="s">
        <v>2873</v>
      </c>
      <c r="G1339" s="70" t="s">
        <v>7159</v>
      </c>
      <c r="H1339" s="93"/>
      <c r="I1339" s="85">
        <f t="shared" si="51"/>
        <v>2.4638900000000001</v>
      </c>
      <c r="J1339" s="85">
        <v>290.99799723012364</v>
      </c>
      <c r="K1339" s="131" t="s">
        <v>3177</v>
      </c>
      <c r="L1339" s="60" t="s">
        <v>2686</v>
      </c>
    </row>
    <row r="1340" spans="1:13" ht="14" x14ac:dyDescent="0.15">
      <c r="A1340" s="166" t="s">
        <v>2633</v>
      </c>
      <c r="B1340" s="82"/>
      <c r="C1340" s="70" t="s">
        <v>3636</v>
      </c>
      <c r="D1340" s="70" t="s">
        <v>3437</v>
      </c>
      <c r="E1340" s="70" t="s">
        <v>3258</v>
      </c>
      <c r="F1340" s="70" t="s">
        <v>2873</v>
      </c>
      <c r="G1340" s="70" t="s">
        <v>4717</v>
      </c>
      <c r="H1340" s="93"/>
      <c r="I1340" s="85">
        <f t="shared" si="51"/>
        <v>2.4698199999999999</v>
      </c>
      <c r="J1340" s="85">
        <v>294.99863062460491</v>
      </c>
      <c r="K1340" s="131" t="s">
        <v>3177</v>
      </c>
      <c r="L1340" s="60" t="s">
        <v>2686</v>
      </c>
    </row>
    <row r="1341" spans="1:13" ht="14" x14ac:dyDescent="0.15">
      <c r="A1341" s="166" t="s">
        <v>2633</v>
      </c>
      <c r="B1341" s="93" t="s">
        <v>2513</v>
      </c>
      <c r="C1341" s="70" t="s">
        <v>3636</v>
      </c>
      <c r="D1341" s="70" t="s">
        <v>3437</v>
      </c>
      <c r="E1341" s="70" t="s">
        <v>3258</v>
      </c>
      <c r="F1341" s="70" t="s">
        <v>2873</v>
      </c>
      <c r="G1341" s="70" t="s">
        <v>5328</v>
      </c>
      <c r="H1341" s="93"/>
      <c r="I1341" s="85">
        <f t="shared" si="51"/>
        <v>2.5407464642438433</v>
      </c>
      <c r="J1341" s="85">
        <f>AVERAGE(250, 380, 412)</f>
        <v>347.33333333333331</v>
      </c>
      <c r="K1341" s="131" t="s">
        <v>3177</v>
      </c>
      <c r="L1341" s="60" t="s">
        <v>7674</v>
      </c>
    </row>
    <row r="1342" spans="1:13" ht="14" x14ac:dyDescent="0.15">
      <c r="A1342" s="166" t="s">
        <v>2633</v>
      </c>
      <c r="B1342" s="82"/>
      <c r="C1342" s="70" t="s">
        <v>3636</v>
      </c>
      <c r="D1342" s="70" t="s">
        <v>3437</v>
      </c>
      <c r="E1342" s="70" t="s">
        <v>3258</v>
      </c>
      <c r="F1342" s="70" t="s">
        <v>2873</v>
      </c>
      <c r="G1342" s="70" t="s">
        <v>5525</v>
      </c>
      <c r="H1342" s="93"/>
      <c r="I1342" s="85">
        <f t="shared" si="51"/>
        <v>2.56996</v>
      </c>
      <c r="J1342" s="85">
        <v>371.50101101379613</v>
      </c>
      <c r="K1342" s="131" t="s">
        <v>3177</v>
      </c>
      <c r="L1342" s="60">
        <v>60</v>
      </c>
    </row>
    <row r="1343" spans="1:13" ht="28" x14ac:dyDescent="0.15">
      <c r="A1343" s="166" t="s">
        <v>2633</v>
      </c>
      <c r="B1343" s="93" t="s">
        <v>2514</v>
      </c>
      <c r="C1343" s="70" t="s">
        <v>3636</v>
      </c>
      <c r="D1343" s="70" t="s">
        <v>3437</v>
      </c>
      <c r="E1343" s="70" t="s">
        <v>3258</v>
      </c>
      <c r="F1343" s="70" t="s">
        <v>2873</v>
      </c>
      <c r="G1343" s="70" t="s">
        <v>7938</v>
      </c>
      <c r="H1343" s="93"/>
      <c r="I1343" s="85">
        <f t="shared" si="51"/>
        <v>2.5910646070264991</v>
      </c>
      <c r="J1343" s="85">
        <f>AVERAGE(300, 480)</f>
        <v>390</v>
      </c>
      <c r="K1343" s="131" t="s">
        <v>3177</v>
      </c>
      <c r="L1343" s="60">
        <v>106</v>
      </c>
    </row>
    <row r="1344" spans="1:13" ht="14" x14ac:dyDescent="0.15">
      <c r="A1344" s="166" t="s">
        <v>2633</v>
      </c>
      <c r="B1344" s="82"/>
      <c r="C1344" s="70" t="s">
        <v>3636</v>
      </c>
      <c r="D1344" s="70" t="s">
        <v>3437</v>
      </c>
      <c r="E1344" s="70" t="s">
        <v>3258</v>
      </c>
      <c r="F1344" s="70" t="s">
        <v>5521</v>
      </c>
      <c r="G1344" s="70" t="s">
        <v>3334</v>
      </c>
      <c r="H1344" s="93"/>
      <c r="I1344" s="85">
        <f t="shared" si="51"/>
        <v>2.2174800000000006</v>
      </c>
      <c r="J1344" s="85">
        <v>164.998501495261</v>
      </c>
      <c r="K1344" s="131" t="s">
        <v>6391</v>
      </c>
      <c r="L1344" s="60">
        <v>60</v>
      </c>
      <c r="M1344" s="49" t="s">
        <v>6728</v>
      </c>
    </row>
    <row r="1345" spans="1:14" ht="14" x14ac:dyDescent="0.15">
      <c r="A1345" s="166" t="s">
        <v>2633</v>
      </c>
      <c r="B1345" s="93" t="s">
        <v>4782</v>
      </c>
      <c r="C1345" s="70" t="s">
        <v>3636</v>
      </c>
      <c r="D1345" s="70" t="s">
        <v>3437</v>
      </c>
      <c r="E1345" s="70" t="s">
        <v>3258</v>
      </c>
      <c r="F1345" s="70" t="s">
        <v>7984</v>
      </c>
      <c r="G1345" s="70" t="s">
        <v>3915</v>
      </c>
      <c r="H1345" s="93"/>
      <c r="I1345" s="85">
        <v>-999</v>
      </c>
      <c r="J1345" s="85">
        <v>-999</v>
      </c>
      <c r="K1345" s="131" t="s">
        <v>6630</v>
      </c>
      <c r="L1345" s="60">
        <v>-999</v>
      </c>
      <c r="M1345" s="33" t="s">
        <v>6728</v>
      </c>
    </row>
    <row r="1346" spans="1:14" ht="14" x14ac:dyDescent="0.15">
      <c r="A1346" s="166" t="s">
        <v>2633</v>
      </c>
      <c r="B1346" s="93" t="s">
        <v>7828</v>
      </c>
      <c r="C1346" s="70" t="s">
        <v>3636</v>
      </c>
      <c r="D1346" s="70" t="s">
        <v>3437</v>
      </c>
      <c r="E1346" s="70" t="s">
        <v>3258</v>
      </c>
      <c r="F1346" s="70" t="s">
        <v>7984</v>
      </c>
      <c r="G1346" s="70" t="s">
        <v>3367</v>
      </c>
      <c r="H1346" s="93"/>
      <c r="I1346" s="85">
        <f t="shared" ref="I1346:I1377" si="52">LOG(J1346)</f>
        <v>1.7160033436347992</v>
      </c>
      <c r="J1346" s="85">
        <f>AVERAGE(32, 72)</f>
        <v>52</v>
      </c>
      <c r="K1346" s="131" t="s">
        <v>6630</v>
      </c>
      <c r="L1346" s="60">
        <v>70</v>
      </c>
      <c r="M1346" s="49" t="s">
        <v>6392</v>
      </c>
    </row>
    <row r="1347" spans="1:14" ht="28" x14ac:dyDescent="0.15">
      <c r="A1347" s="166" t="s">
        <v>2633</v>
      </c>
      <c r="B1347" s="93" t="s">
        <v>5174</v>
      </c>
      <c r="C1347" s="70" t="s">
        <v>3636</v>
      </c>
      <c r="D1347" s="70" t="s">
        <v>3437</v>
      </c>
      <c r="E1347" s="70" t="s">
        <v>3258</v>
      </c>
      <c r="F1347" s="70" t="s">
        <v>7984</v>
      </c>
      <c r="G1347" s="70" t="s">
        <v>2776</v>
      </c>
      <c r="H1347" s="93"/>
      <c r="I1347" s="85">
        <f t="shared" si="52"/>
        <v>1.8450980400142569</v>
      </c>
      <c r="J1347" s="85">
        <f>AVERAGE(40, 100)</f>
        <v>70</v>
      </c>
      <c r="K1347" s="131" t="s">
        <v>3177</v>
      </c>
      <c r="L1347" s="60">
        <v>70</v>
      </c>
    </row>
    <row r="1348" spans="1:14" ht="14" x14ac:dyDescent="0.15">
      <c r="A1348" s="166" t="s">
        <v>2633</v>
      </c>
      <c r="B1348" s="93" t="s">
        <v>4781</v>
      </c>
      <c r="C1348" s="70" t="s">
        <v>3636</v>
      </c>
      <c r="D1348" s="70" t="s">
        <v>3437</v>
      </c>
      <c r="E1348" s="70" t="s">
        <v>3258</v>
      </c>
      <c r="F1348" s="70" t="s">
        <v>7984</v>
      </c>
      <c r="G1348" s="70" t="s">
        <v>6326</v>
      </c>
      <c r="H1348" s="93"/>
      <c r="I1348" s="85">
        <f t="shared" si="52"/>
        <v>2.0182843084265309</v>
      </c>
      <c r="J1348" s="85">
        <f>AVERAGE(90, 118.6)</f>
        <v>104.3</v>
      </c>
      <c r="K1348" s="131" t="s">
        <v>3177</v>
      </c>
      <c r="L1348" s="60" t="s">
        <v>7674</v>
      </c>
    </row>
    <row r="1349" spans="1:14" ht="14" x14ac:dyDescent="0.15">
      <c r="A1349" s="166" t="s">
        <v>2633</v>
      </c>
      <c r="B1349" s="82"/>
      <c r="C1349" s="70" t="s">
        <v>3636</v>
      </c>
      <c r="D1349" s="70" t="s">
        <v>3437</v>
      </c>
      <c r="E1349" s="70" t="s">
        <v>3258</v>
      </c>
      <c r="F1349" s="70" t="s">
        <v>7984</v>
      </c>
      <c r="G1349" s="70" t="s">
        <v>4211</v>
      </c>
      <c r="H1349" s="93"/>
      <c r="I1349" s="85">
        <f t="shared" si="52"/>
        <v>2.0951700000000004</v>
      </c>
      <c r="J1349" s="85">
        <v>124.50018592639366</v>
      </c>
      <c r="K1349" s="131" t="s">
        <v>3177</v>
      </c>
      <c r="L1349" s="60">
        <v>60</v>
      </c>
    </row>
    <row r="1350" spans="1:14" ht="28" x14ac:dyDescent="0.15">
      <c r="A1350" s="166" t="s">
        <v>2633</v>
      </c>
      <c r="B1350" s="93" t="s">
        <v>7132</v>
      </c>
      <c r="C1350" s="70" t="s">
        <v>3636</v>
      </c>
      <c r="D1350" s="70" t="s">
        <v>3437</v>
      </c>
      <c r="E1350" s="70" t="s">
        <v>3258</v>
      </c>
      <c r="F1350" s="70" t="s">
        <v>7984</v>
      </c>
      <c r="G1350" s="70" t="s">
        <v>3699</v>
      </c>
      <c r="H1350" s="93"/>
      <c r="I1350" s="85">
        <f t="shared" si="52"/>
        <v>2.2041199826559246</v>
      </c>
      <c r="J1350" s="85">
        <f>AVERAGE(120, 200)</f>
        <v>160</v>
      </c>
      <c r="K1350" s="131" t="s">
        <v>3177</v>
      </c>
      <c r="L1350" s="60">
        <v>70</v>
      </c>
    </row>
    <row r="1351" spans="1:14" ht="14" x14ac:dyDescent="0.15">
      <c r="A1351" s="166" t="s">
        <v>2633</v>
      </c>
      <c r="B1351" s="82"/>
      <c r="C1351" s="70" t="s">
        <v>3636</v>
      </c>
      <c r="D1351" s="70" t="s">
        <v>3437</v>
      </c>
      <c r="E1351" s="70" t="s">
        <v>3258</v>
      </c>
      <c r="F1351" s="70" t="s">
        <v>7984</v>
      </c>
      <c r="G1351" s="70" t="s">
        <v>7991</v>
      </c>
      <c r="H1351" s="93"/>
      <c r="I1351" s="85">
        <f t="shared" si="52"/>
        <v>2.255272505103306</v>
      </c>
      <c r="J1351" s="85">
        <f>AVERAGE(100, 260)</f>
        <v>180</v>
      </c>
      <c r="K1351" s="131" t="s">
        <v>3177</v>
      </c>
      <c r="L1351" s="60">
        <v>70</v>
      </c>
    </row>
    <row r="1352" spans="1:14" ht="14" x14ac:dyDescent="0.15">
      <c r="A1352" s="166" t="s">
        <v>2633</v>
      </c>
      <c r="B1352" s="93" t="s">
        <v>2502</v>
      </c>
      <c r="C1352" s="70" t="s">
        <v>3636</v>
      </c>
      <c r="D1352" s="70" t="s">
        <v>3437</v>
      </c>
      <c r="E1352" s="70" t="s">
        <v>3258</v>
      </c>
      <c r="F1352" s="70" t="s">
        <v>7984</v>
      </c>
      <c r="G1352" s="70" t="s">
        <v>4428</v>
      </c>
      <c r="H1352" s="93"/>
      <c r="I1352" s="85">
        <f t="shared" si="52"/>
        <v>2.3979400086720375</v>
      </c>
      <c r="J1352" s="85">
        <v>250</v>
      </c>
      <c r="K1352" s="131" t="s">
        <v>6630</v>
      </c>
      <c r="L1352" s="60">
        <v>70</v>
      </c>
      <c r="M1352" s="49" t="s">
        <v>6728</v>
      </c>
    </row>
    <row r="1353" spans="1:14" ht="17" x14ac:dyDescent="0.2">
      <c r="A1353" s="166" t="s">
        <v>2633</v>
      </c>
      <c r="B1353" s="82"/>
      <c r="C1353" s="73" t="s">
        <v>3636</v>
      </c>
      <c r="D1353" s="73" t="s">
        <v>3437</v>
      </c>
      <c r="E1353" s="70" t="s">
        <v>3258</v>
      </c>
      <c r="F1353" s="73" t="s">
        <v>7984</v>
      </c>
      <c r="G1353" s="73" t="s">
        <v>7992</v>
      </c>
      <c r="H1353" s="93"/>
      <c r="I1353" s="85">
        <f t="shared" si="52"/>
        <v>2.4903974711552315</v>
      </c>
      <c r="J1353" s="95">
        <f>AVERAGE(200, 550, 275.1, 360.9, 291.5, 207.5, 378.9, 210.6)</f>
        <v>309.3125</v>
      </c>
      <c r="K1353" s="131" t="s">
        <v>6391</v>
      </c>
      <c r="L1353" s="60" t="s">
        <v>6521</v>
      </c>
      <c r="M1353" s="47" t="s">
        <v>6728</v>
      </c>
    </row>
    <row r="1354" spans="1:14" ht="14" x14ac:dyDescent="0.15">
      <c r="A1354" s="166" t="s">
        <v>2633</v>
      </c>
      <c r="B1354" s="93" t="s">
        <v>2202</v>
      </c>
      <c r="C1354" s="70" t="s">
        <v>3636</v>
      </c>
      <c r="D1354" s="70" t="s">
        <v>3437</v>
      </c>
      <c r="E1354" s="70" t="s">
        <v>3258</v>
      </c>
      <c r="F1354" s="70" t="s">
        <v>7984</v>
      </c>
      <c r="G1354" s="70" t="s">
        <v>3700</v>
      </c>
      <c r="H1354" s="93"/>
      <c r="I1354" s="85">
        <f t="shared" si="52"/>
        <v>2.8293037728310249</v>
      </c>
      <c r="J1354" s="85">
        <v>675</v>
      </c>
      <c r="K1354" s="131" t="s">
        <v>6391</v>
      </c>
      <c r="L1354" s="60">
        <v>70</v>
      </c>
      <c r="M1354" s="49" t="s">
        <v>6728</v>
      </c>
    </row>
    <row r="1355" spans="1:14" ht="14" x14ac:dyDescent="0.15">
      <c r="A1355" s="206" t="s">
        <v>2633</v>
      </c>
      <c r="B1355" s="93" t="s">
        <v>7404</v>
      </c>
      <c r="C1355" s="70" t="s">
        <v>3636</v>
      </c>
      <c r="D1355" s="70" t="s">
        <v>3437</v>
      </c>
      <c r="E1355" s="70" t="s">
        <v>3258</v>
      </c>
      <c r="F1355" s="70" t="s">
        <v>7984</v>
      </c>
      <c r="G1355" s="70" t="s">
        <v>6325</v>
      </c>
      <c r="H1355" s="93"/>
      <c r="I1355" s="85">
        <f t="shared" si="52"/>
        <v>2.8450980400142569</v>
      </c>
      <c r="J1355" s="85">
        <v>700</v>
      </c>
      <c r="K1355" s="131" t="s">
        <v>3177</v>
      </c>
      <c r="L1355" s="60">
        <v>70</v>
      </c>
    </row>
    <row r="1356" spans="1:14" ht="14" x14ac:dyDescent="0.15">
      <c r="A1356" s="166" t="s">
        <v>2633</v>
      </c>
      <c r="B1356" s="82"/>
      <c r="C1356" s="70" t="s">
        <v>3636</v>
      </c>
      <c r="D1356" s="70" t="s">
        <v>3437</v>
      </c>
      <c r="E1356" s="70" t="s">
        <v>3258</v>
      </c>
      <c r="F1356" s="70" t="s">
        <v>6539</v>
      </c>
      <c r="G1356" s="70" t="s">
        <v>2878</v>
      </c>
      <c r="H1356" s="93"/>
      <c r="I1356" s="85">
        <f t="shared" si="52"/>
        <v>2.5440680443502757</v>
      </c>
      <c r="J1356" s="85">
        <v>350</v>
      </c>
      <c r="K1356" s="131" t="s">
        <v>3177</v>
      </c>
      <c r="L1356" s="60">
        <v>70</v>
      </c>
    </row>
    <row r="1357" spans="1:14" ht="14" x14ac:dyDescent="0.15">
      <c r="A1357" s="166" t="s">
        <v>2633</v>
      </c>
      <c r="B1357" s="82"/>
      <c r="C1357" s="70" t="s">
        <v>3636</v>
      </c>
      <c r="D1357" s="70" t="s">
        <v>3437</v>
      </c>
      <c r="E1357" s="70" t="s">
        <v>3258</v>
      </c>
      <c r="F1357" s="70" t="s">
        <v>6539</v>
      </c>
      <c r="G1357" s="70" t="s">
        <v>2879</v>
      </c>
      <c r="H1357" s="93"/>
      <c r="I1357" s="85">
        <f t="shared" si="52"/>
        <v>2.7934400000000004</v>
      </c>
      <c r="J1357" s="85">
        <v>621.4983786469121</v>
      </c>
      <c r="K1357" s="131" t="s">
        <v>3177</v>
      </c>
      <c r="L1357" s="60">
        <v>60</v>
      </c>
    </row>
    <row r="1358" spans="1:14" ht="14" x14ac:dyDescent="0.15">
      <c r="A1358" s="166" t="s">
        <v>2633</v>
      </c>
      <c r="B1358" s="82"/>
      <c r="C1358" s="70" t="s">
        <v>3636</v>
      </c>
      <c r="D1358" s="70" t="s">
        <v>3437</v>
      </c>
      <c r="E1358" s="70" t="s">
        <v>3258</v>
      </c>
      <c r="F1358" s="70" t="s">
        <v>2880</v>
      </c>
      <c r="G1358" s="70" t="s">
        <v>4226</v>
      </c>
      <c r="H1358" s="93"/>
      <c r="I1358" s="85">
        <f t="shared" si="52"/>
        <v>2.5017400000000003</v>
      </c>
      <c r="J1358" s="85">
        <v>317.49727338970928</v>
      </c>
      <c r="K1358" s="131" t="s">
        <v>3177</v>
      </c>
      <c r="L1358" s="60" t="s">
        <v>2686</v>
      </c>
    </row>
    <row r="1359" spans="1:14" ht="14" x14ac:dyDescent="0.15">
      <c r="A1359" s="166" t="s">
        <v>2633</v>
      </c>
      <c r="B1359" s="82"/>
      <c r="C1359" s="70" t="s">
        <v>3636</v>
      </c>
      <c r="D1359" s="70" t="s">
        <v>3437</v>
      </c>
      <c r="E1359" s="70" t="s">
        <v>3258</v>
      </c>
      <c r="F1359" s="70" t="s">
        <v>2880</v>
      </c>
      <c r="G1359" s="70" t="s">
        <v>3265</v>
      </c>
      <c r="H1359" s="93"/>
      <c r="I1359" s="85">
        <f t="shared" si="52"/>
        <v>2.7010496307291398</v>
      </c>
      <c r="J1359" s="85">
        <v>502.4</v>
      </c>
      <c r="K1359" s="131" t="s">
        <v>7936</v>
      </c>
      <c r="L1359" s="60">
        <v>221</v>
      </c>
      <c r="N1359" s="37" t="s">
        <v>1586</v>
      </c>
    </row>
    <row r="1360" spans="1:14" ht="14" x14ac:dyDescent="0.15">
      <c r="A1360" s="166" t="s">
        <v>2633</v>
      </c>
      <c r="B1360" s="82"/>
      <c r="C1360" s="70" t="s">
        <v>3636</v>
      </c>
      <c r="D1360" s="70" t="s">
        <v>3437</v>
      </c>
      <c r="E1360" s="70" t="s">
        <v>3258</v>
      </c>
      <c r="F1360" s="70" t="s">
        <v>2880</v>
      </c>
      <c r="G1360" s="70" t="s">
        <v>3266</v>
      </c>
      <c r="H1360" s="93"/>
      <c r="I1360" s="85">
        <f t="shared" si="52"/>
        <v>2.7234556720351857</v>
      </c>
      <c r="J1360" s="85">
        <f>AVERAGE(423, 649, 444, 600)</f>
        <v>529</v>
      </c>
      <c r="K1360" s="131" t="s">
        <v>3177</v>
      </c>
      <c r="L1360" s="60">
        <v>274</v>
      </c>
    </row>
    <row r="1361" spans="1:14" ht="14" x14ac:dyDescent="0.15">
      <c r="A1361" s="166" t="s">
        <v>2633</v>
      </c>
      <c r="B1361" s="82"/>
      <c r="C1361" s="70" t="s">
        <v>3636</v>
      </c>
      <c r="D1361" s="70" t="s">
        <v>3437</v>
      </c>
      <c r="E1361" s="70" t="s">
        <v>3258</v>
      </c>
      <c r="F1361" s="70" t="s">
        <v>2880</v>
      </c>
      <c r="G1361" s="70" t="s">
        <v>3609</v>
      </c>
      <c r="H1361" s="93"/>
      <c r="I1361" s="85">
        <f t="shared" si="52"/>
        <v>2.8034571156484138</v>
      </c>
      <c r="J1361" s="85">
        <v>636</v>
      </c>
      <c r="K1361" s="131" t="s">
        <v>3177</v>
      </c>
      <c r="L1361" s="60">
        <v>234</v>
      </c>
    </row>
    <row r="1362" spans="1:14" ht="14" x14ac:dyDescent="0.15">
      <c r="A1362" s="166" t="s">
        <v>2633</v>
      </c>
      <c r="B1362" s="82"/>
      <c r="C1362" s="70" t="s">
        <v>3636</v>
      </c>
      <c r="D1362" s="70" t="s">
        <v>3437</v>
      </c>
      <c r="E1362" s="70" t="s">
        <v>6225</v>
      </c>
      <c r="F1362" s="70" t="s">
        <v>6226</v>
      </c>
      <c r="G1362" s="70" t="s">
        <v>6175</v>
      </c>
      <c r="H1362" s="93"/>
      <c r="I1362" s="85">
        <f t="shared" si="52"/>
        <v>3.4325111742898344</v>
      </c>
      <c r="J1362" s="85">
        <f>AVERAGE(1870, 1880, 2700, 2200, 3600, 4100, 2600)</f>
        <v>2707.1428571428573</v>
      </c>
      <c r="K1362" s="131" t="s">
        <v>3177</v>
      </c>
      <c r="L1362" s="60" t="s">
        <v>1094</v>
      </c>
    </row>
    <row r="1363" spans="1:14" ht="14" x14ac:dyDescent="0.15">
      <c r="A1363" s="166" t="s">
        <v>2633</v>
      </c>
      <c r="B1363" s="82"/>
      <c r="C1363" s="70" t="s">
        <v>3636</v>
      </c>
      <c r="D1363" s="70" t="s">
        <v>3437</v>
      </c>
      <c r="E1363" s="70" t="s">
        <v>6225</v>
      </c>
      <c r="F1363" s="70" t="s">
        <v>6226</v>
      </c>
      <c r="G1363" s="70" t="s">
        <v>3148</v>
      </c>
      <c r="H1363" s="93"/>
      <c r="I1363" s="85">
        <f t="shared" si="52"/>
        <v>3.5024296520132356</v>
      </c>
      <c r="J1363" s="85">
        <f>AVERAGE(4060.03708025499, 2300)</f>
        <v>3180.0185401274948</v>
      </c>
      <c r="K1363" s="131" t="s">
        <v>3177</v>
      </c>
      <c r="L1363" s="60" t="s">
        <v>1765</v>
      </c>
      <c r="N1363" s="37" t="s">
        <v>1577</v>
      </c>
    </row>
    <row r="1364" spans="1:14" ht="14" x14ac:dyDescent="0.15">
      <c r="A1364" s="166" t="s">
        <v>2633</v>
      </c>
      <c r="B1364" s="82"/>
      <c r="C1364" s="70" t="s">
        <v>3636</v>
      </c>
      <c r="D1364" s="70" t="s">
        <v>7093</v>
      </c>
      <c r="E1364" s="70" t="s">
        <v>3403</v>
      </c>
      <c r="F1364" s="70" t="s">
        <v>3375</v>
      </c>
      <c r="G1364" s="70" t="s">
        <v>6077</v>
      </c>
      <c r="H1364" s="93"/>
      <c r="I1364" s="85">
        <f t="shared" si="52"/>
        <v>5.6570558528571038</v>
      </c>
      <c r="J1364" s="85">
        <f>1000*454</f>
        <v>454000</v>
      </c>
      <c r="K1364" s="131" t="s">
        <v>3177</v>
      </c>
      <c r="L1364" s="60">
        <v>107</v>
      </c>
    </row>
    <row r="1365" spans="1:14" ht="14" x14ac:dyDescent="0.15">
      <c r="A1365" s="166" t="s">
        <v>2633</v>
      </c>
      <c r="B1365" s="82"/>
      <c r="C1365" s="70" t="s">
        <v>3636</v>
      </c>
      <c r="D1365" s="70" t="s">
        <v>7723</v>
      </c>
      <c r="E1365" s="70" t="s">
        <v>6007</v>
      </c>
      <c r="F1365" s="70" t="s">
        <v>6170</v>
      </c>
      <c r="G1365" s="70" t="s">
        <v>6171</v>
      </c>
      <c r="H1365" s="93"/>
      <c r="I1365" s="85">
        <f t="shared" si="52"/>
        <v>4.7189199999999998</v>
      </c>
      <c r="J1365" s="85">
        <v>52350.399470385135</v>
      </c>
      <c r="K1365" s="131" t="s">
        <v>6817</v>
      </c>
      <c r="L1365" s="60">
        <v>60</v>
      </c>
      <c r="M1365" s="49" t="s">
        <v>6748</v>
      </c>
    </row>
    <row r="1366" spans="1:14" ht="14" x14ac:dyDescent="0.15">
      <c r="A1366" s="70" t="s">
        <v>2538</v>
      </c>
      <c r="B1366" s="82"/>
      <c r="C1366" s="70" t="s">
        <v>3636</v>
      </c>
      <c r="D1366" s="70" t="s">
        <v>3773</v>
      </c>
      <c r="E1366" s="70" t="s">
        <v>3774</v>
      </c>
      <c r="F1366" s="70" t="s">
        <v>3775</v>
      </c>
      <c r="G1366" s="70" t="s">
        <v>4492</v>
      </c>
      <c r="H1366" s="93"/>
      <c r="I1366" s="85">
        <f t="shared" si="52"/>
        <v>4.2253092817258633</v>
      </c>
      <c r="J1366" s="85">
        <v>16800</v>
      </c>
      <c r="K1366" s="131" t="s">
        <v>3177</v>
      </c>
      <c r="L1366" s="60">
        <v>59</v>
      </c>
    </row>
    <row r="1367" spans="1:14" ht="14" x14ac:dyDescent="0.15">
      <c r="A1367" s="70" t="s">
        <v>2538</v>
      </c>
      <c r="B1367" s="82"/>
      <c r="C1367" s="70" t="s">
        <v>3636</v>
      </c>
      <c r="D1367" s="70" t="s">
        <v>3773</v>
      </c>
      <c r="E1367" s="70" t="s">
        <v>4286</v>
      </c>
      <c r="F1367" s="70" t="s">
        <v>3898</v>
      </c>
      <c r="G1367" s="70" t="s">
        <v>3899</v>
      </c>
      <c r="H1367" s="93"/>
      <c r="I1367" s="85">
        <f t="shared" si="52"/>
        <v>4.924279286061882</v>
      </c>
      <c r="J1367" s="85">
        <v>84000</v>
      </c>
      <c r="K1367" s="131" t="s">
        <v>3177</v>
      </c>
      <c r="L1367" s="60">
        <v>59</v>
      </c>
    </row>
    <row r="1368" spans="1:14" ht="14" x14ac:dyDescent="0.15">
      <c r="A1368" s="166" t="s">
        <v>2538</v>
      </c>
      <c r="B1368" s="82"/>
      <c r="C1368" s="70" t="s">
        <v>3636</v>
      </c>
      <c r="D1368" s="70" t="s">
        <v>3773</v>
      </c>
      <c r="E1368" s="70" t="s">
        <v>4286</v>
      </c>
      <c r="F1368" s="70" t="s">
        <v>3898</v>
      </c>
      <c r="G1368" s="70" t="s">
        <v>7014</v>
      </c>
      <c r="H1368" s="93"/>
      <c r="I1368" s="85">
        <f t="shared" si="52"/>
        <v>4.989004615698537</v>
      </c>
      <c r="J1368" s="85">
        <v>97500</v>
      </c>
      <c r="K1368" s="131" t="s">
        <v>3177</v>
      </c>
      <c r="L1368" s="60">
        <v>59</v>
      </c>
    </row>
    <row r="1369" spans="1:14" ht="14" x14ac:dyDescent="0.15">
      <c r="A1369" s="166" t="s">
        <v>2538</v>
      </c>
      <c r="B1369" s="82"/>
      <c r="C1369" s="70" t="s">
        <v>3636</v>
      </c>
      <c r="D1369" s="70" t="s">
        <v>3773</v>
      </c>
      <c r="E1369" s="70" t="s">
        <v>4286</v>
      </c>
      <c r="F1369" s="70" t="s">
        <v>3898</v>
      </c>
      <c r="G1369" s="70" t="s">
        <v>3900</v>
      </c>
      <c r="H1369" s="93"/>
      <c r="I1369" s="85">
        <f t="shared" si="52"/>
        <v>5.0053950318867058</v>
      </c>
      <c r="J1369" s="85">
        <v>101250</v>
      </c>
      <c r="K1369" s="131" t="s">
        <v>3177</v>
      </c>
      <c r="L1369" s="60">
        <v>59</v>
      </c>
    </row>
    <row r="1370" spans="1:14" ht="14" x14ac:dyDescent="0.15">
      <c r="A1370" s="166" t="s">
        <v>2538</v>
      </c>
      <c r="B1370" s="82"/>
      <c r="C1370" s="70" t="s">
        <v>3636</v>
      </c>
      <c r="D1370" s="70" t="s">
        <v>3773</v>
      </c>
      <c r="E1370" s="70" t="s">
        <v>4286</v>
      </c>
      <c r="F1370" s="70" t="s">
        <v>3898</v>
      </c>
      <c r="G1370" s="70" t="s">
        <v>4291</v>
      </c>
      <c r="H1370" s="93"/>
      <c r="I1370" s="85">
        <f t="shared" si="52"/>
        <v>5.2516382204482124</v>
      </c>
      <c r="J1370" s="85">
        <v>178500</v>
      </c>
      <c r="K1370" s="131" t="s">
        <v>3177</v>
      </c>
      <c r="L1370" s="60">
        <v>59</v>
      </c>
    </row>
    <row r="1371" spans="1:14" ht="14" x14ac:dyDescent="0.15">
      <c r="A1371" s="166" t="s">
        <v>2538</v>
      </c>
      <c r="B1371" s="82"/>
      <c r="C1371" s="70" t="s">
        <v>3636</v>
      </c>
      <c r="D1371" s="70" t="s">
        <v>3773</v>
      </c>
      <c r="E1371" s="70" t="s">
        <v>4286</v>
      </c>
      <c r="F1371" s="70" t="s">
        <v>4292</v>
      </c>
      <c r="G1371" s="70" t="s">
        <v>4430</v>
      </c>
      <c r="H1371" s="93"/>
      <c r="I1371" s="85">
        <f t="shared" si="52"/>
        <v>5.2787536009528289</v>
      </c>
      <c r="J1371" s="85">
        <v>190000</v>
      </c>
      <c r="K1371" s="131" t="s">
        <v>3177</v>
      </c>
      <c r="L1371" s="60">
        <v>59</v>
      </c>
    </row>
    <row r="1372" spans="1:14" ht="14" x14ac:dyDescent="0.15">
      <c r="A1372" s="166" t="s">
        <v>2538</v>
      </c>
      <c r="B1372" s="82"/>
      <c r="C1372" s="70" t="s">
        <v>3636</v>
      </c>
      <c r="D1372" s="70" t="s">
        <v>3773</v>
      </c>
      <c r="E1372" s="70" t="s">
        <v>4431</v>
      </c>
      <c r="F1372" s="70" t="s">
        <v>2586</v>
      </c>
      <c r="G1372" s="70" t="s">
        <v>2303</v>
      </c>
      <c r="H1372" s="93"/>
      <c r="I1372" s="85">
        <f t="shared" si="52"/>
        <v>5.5563025007672868</v>
      </c>
      <c r="J1372" s="85">
        <v>360000</v>
      </c>
      <c r="K1372" s="131" t="s">
        <v>3177</v>
      </c>
      <c r="L1372" s="60">
        <v>59</v>
      </c>
    </row>
    <row r="1373" spans="1:14" ht="14" x14ac:dyDescent="0.15">
      <c r="A1373" s="166" t="s">
        <v>2538</v>
      </c>
      <c r="B1373" s="82"/>
      <c r="C1373" s="70" t="s">
        <v>3636</v>
      </c>
      <c r="D1373" s="70" t="s">
        <v>3773</v>
      </c>
      <c r="E1373" s="70" t="s">
        <v>4431</v>
      </c>
      <c r="F1373" s="70" t="s">
        <v>2260</v>
      </c>
      <c r="G1373" s="70" t="s">
        <v>2261</v>
      </c>
      <c r="H1373" s="93"/>
      <c r="I1373" s="85">
        <f t="shared" si="52"/>
        <v>5.6020599913279625</v>
      </c>
      <c r="J1373" s="85">
        <v>400000</v>
      </c>
      <c r="K1373" s="131" t="s">
        <v>3177</v>
      </c>
      <c r="L1373" s="60">
        <v>59</v>
      </c>
    </row>
    <row r="1374" spans="1:14" ht="14" x14ac:dyDescent="0.15">
      <c r="A1374" s="166" t="s">
        <v>2538</v>
      </c>
      <c r="B1374" s="82"/>
      <c r="C1374" s="70" t="s">
        <v>3636</v>
      </c>
      <c r="D1374" s="70" t="s">
        <v>3773</v>
      </c>
      <c r="E1374" s="70" t="s">
        <v>4431</v>
      </c>
      <c r="F1374" s="70" t="s">
        <v>4432</v>
      </c>
      <c r="G1374" s="70" t="s">
        <v>1906</v>
      </c>
      <c r="H1374" s="93"/>
      <c r="I1374" s="85">
        <f t="shared" si="52"/>
        <v>5.3678216524185371</v>
      </c>
      <c r="J1374" s="85">
        <f>AVERAGE(235600, 230900)</f>
        <v>233250</v>
      </c>
      <c r="K1374" s="131" t="s">
        <v>3177</v>
      </c>
      <c r="L1374" s="60">
        <v>267</v>
      </c>
    </row>
    <row r="1375" spans="1:14" ht="14" x14ac:dyDescent="0.15">
      <c r="A1375" s="166" t="s">
        <v>2538</v>
      </c>
      <c r="B1375" s="82"/>
      <c r="C1375" s="70" t="s">
        <v>3636</v>
      </c>
      <c r="D1375" s="70" t="s">
        <v>3773</v>
      </c>
      <c r="E1375" s="70" t="s">
        <v>4431</v>
      </c>
      <c r="F1375" s="70" t="s">
        <v>2408</v>
      </c>
      <c r="G1375" s="70" t="s">
        <v>2409</v>
      </c>
      <c r="H1375" s="93"/>
      <c r="I1375" s="85">
        <f t="shared" si="52"/>
        <v>6.204119982655925</v>
      </c>
      <c r="J1375" s="85">
        <v>1600000</v>
      </c>
      <c r="K1375" s="131" t="s">
        <v>3177</v>
      </c>
      <c r="L1375" s="60">
        <v>59</v>
      </c>
    </row>
    <row r="1376" spans="1:14" ht="14" x14ac:dyDescent="0.15">
      <c r="A1376" s="166" t="s">
        <v>2538</v>
      </c>
      <c r="B1376" s="82"/>
      <c r="C1376" s="70" t="s">
        <v>3636</v>
      </c>
      <c r="D1376" s="70" t="s">
        <v>3773</v>
      </c>
      <c r="E1376" s="70" t="s">
        <v>4431</v>
      </c>
      <c r="F1376" s="70" t="s">
        <v>7013</v>
      </c>
      <c r="G1376" s="70" t="s">
        <v>2407</v>
      </c>
      <c r="H1376" s="93"/>
      <c r="I1376" s="85">
        <f t="shared" si="52"/>
        <v>5.3979400086720375</v>
      </c>
      <c r="J1376" s="85">
        <v>250000</v>
      </c>
      <c r="K1376" s="131" t="s">
        <v>3177</v>
      </c>
      <c r="L1376" s="60">
        <v>59</v>
      </c>
    </row>
    <row r="1377" spans="1:15" ht="28" x14ac:dyDescent="0.15">
      <c r="A1377" s="61" t="s">
        <v>2538</v>
      </c>
      <c r="B1377" s="93" t="s">
        <v>519</v>
      </c>
      <c r="C1377" s="100" t="s">
        <v>3636</v>
      </c>
      <c r="D1377" s="61" t="s">
        <v>2548</v>
      </c>
      <c r="E1377" s="100" t="s">
        <v>2687</v>
      </c>
      <c r="F1377" s="100" t="s">
        <v>2961</v>
      </c>
      <c r="G1377" s="100" t="s">
        <v>2935</v>
      </c>
      <c r="H1377" s="177"/>
      <c r="I1377" s="103">
        <f t="shared" si="52"/>
        <v>1.3623567926545359</v>
      </c>
      <c r="J1377" s="61">
        <f>AVERAGE(21.3, 26.5, 21.3)</f>
        <v>23.033333333333331</v>
      </c>
      <c r="K1377" s="145" t="s">
        <v>1696</v>
      </c>
      <c r="L1377" s="61">
        <v>259</v>
      </c>
      <c r="M1377" s="35"/>
    </row>
    <row r="1378" spans="1:15" ht="98" x14ac:dyDescent="0.15">
      <c r="A1378" s="165" t="s">
        <v>2538</v>
      </c>
      <c r="B1378" s="93" t="s">
        <v>4681</v>
      </c>
      <c r="C1378" s="102" t="s">
        <v>3636</v>
      </c>
      <c r="D1378" s="62" t="s">
        <v>2548</v>
      </c>
      <c r="E1378" s="102" t="s">
        <v>2687</v>
      </c>
      <c r="F1378" s="102" t="s">
        <v>2961</v>
      </c>
      <c r="G1378" s="102" t="s">
        <v>2936</v>
      </c>
      <c r="H1378" s="175"/>
      <c r="I1378" s="85">
        <f t="shared" ref="I1378:I1409" si="53">LOG(J1378)</f>
        <v>1.6404814369704219</v>
      </c>
      <c r="J1378" s="104">
        <v>43.7</v>
      </c>
      <c r="K1378" s="143"/>
      <c r="L1378" s="61">
        <v>153</v>
      </c>
      <c r="M1378" s="50"/>
    </row>
    <row r="1379" spans="1:15" ht="28" x14ac:dyDescent="0.15">
      <c r="A1379" s="165" t="s">
        <v>2538</v>
      </c>
      <c r="B1379" s="93" t="s">
        <v>4682</v>
      </c>
      <c r="C1379" s="102" t="s">
        <v>3636</v>
      </c>
      <c r="D1379" s="62" t="s">
        <v>2548</v>
      </c>
      <c r="E1379" s="102" t="s">
        <v>2687</v>
      </c>
      <c r="F1379" s="102" t="s">
        <v>2961</v>
      </c>
      <c r="G1379" s="102" t="s">
        <v>3512</v>
      </c>
      <c r="H1379" s="175"/>
      <c r="I1379" s="85">
        <f t="shared" si="53"/>
        <v>1.6532125137753437</v>
      </c>
      <c r="J1379" s="104">
        <v>45</v>
      </c>
      <c r="K1379" s="143"/>
      <c r="L1379" s="61">
        <v>153</v>
      </c>
      <c r="M1379" s="50"/>
      <c r="O1379" s="51"/>
    </row>
    <row r="1380" spans="1:15" ht="42" x14ac:dyDescent="0.15">
      <c r="A1380" s="165" t="s">
        <v>2538</v>
      </c>
      <c r="B1380" s="93" t="s">
        <v>1336</v>
      </c>
      <c r="C1380" s="102" t="s">
        <v>3636</v>
      </c>
      <c r="D1380" s="62" t="s">
        <v>2548</v>
      </c>
      <c r="E1380" s="102" t="s">
        <v>2687</v>
      </c>
      <c r="F1380" s="102" t="s">
        <v>5971</v>
      </c>
      <c r="G1380" s="102" t="s">
        <v>1133</v>
      </c>
      <c r="H1380" s="175"/>
      <c r="I1380" s="85">
        <f t="shared" si="53"/>
        <v>1.3424226808222062</v>
      </c>
      <c r="J1380" s="104">
        <v>22</v>
      </c>
      <c r="K1380" s="143"/>
      <c r="L1380" s="61">
        <v>153</v>
      </c>
      <c r="M1380" s="35"/>
    </row>
    <row r="1381" spans="1:15" ht="42" x14ac:dyDescent="0.15">
      <c r="A1381" s="165" t="s">
        <v>2538</v>
      </c>
      <c r="B1381" s="93" t="s">
        <v>1134</v>
      </c>
      <c r="C1381" s="102" t="s">
        <v>3636</v>
      </c>
      <c r="D1381" s="62" t="s">
        <v>2548</v>
      </c>
      <c r="E1381" s="102" t="s">
        <v>2687</v>
      </c>
      <c r="F1381" s="102" t="s">
        <v>5971</v>
      </c>
      <c r="G1381" s="102" t="s">
        <v>3608</v>
      </c>
      <c r="H1381" s="175"/>
      <c r="I1381" s="85">
        <f t="shared" si="53"/>
        <v>1.3598354823398879</v>
      </c>
      <c r="J1381" s="104">
        <v>22.9</v>
      </c>
      <c r="K1381" s="143"/>
      <c r="L1381" s="61">
        <v>153</v>
      </c>
      <c r="M1381" s="35"/>
    </row>
    <row r="1382" spans="1:15" ht="14" x14ac:dyDescent="0.15">
      <c r="A1382" s="165" t="s">
        <v>2538</v>
      </c>
      <c r="B1382" s="93" t="s">
        <v>1233</v>
      </c>
      <c r="C1382" s="102" t="s">
        <v>3636</v>
      </c>
      <c r="D1382" s="62" t="s">
        <v>2548</v>
      </c>
      <c r="E1382" s="102" t="s">
        <v>2687</v>
      </c>
      <c r="F1382" s="102" t="s">
        <v>5971</v>
      </c>
      <c r="G1382" s="102" t="s">
        <v>1131</v>
      </c>
      <c r="H1382" s="175"/>
      <c r="I1382" s="85">
        <f t="shared" si="53"/>
        <v>1.414973347970818</v>
      </c>
      <c r="J1382" s="104">
        <v>26</v>
      </c>
      <c r="K1382" s="143"/>
      <c r="L1382" s="61">
        <v>153</v>
      </c>
      <c r="M1382" s="35"/>
    </row>
    <row r="1383" spans="1:15" ht="14" x14ac:dyDescent="0.15">
      <c r="A1383" s="165" t="s">
        <v>2538</v>
      </c>
      <c r="B1383" s="93" t="s">
        <v>2046</v>
      </c>
      <c r="C1383" s="102" t="s">
        <v>3636</v>
      </c>
      <c r="D1383" s="62" t="s">
        <v>2548</v>
      </c>
      <c r="E1383" s="102" t="s">
        <v>2687</v>
      </c>
      <c r="F1383" s="102" t="s">
        <v>5971</v>
      </c>
      <c r="G1383" s="102" t="s">
        <v>2047</v>
      </c>
      <c r="H1383" s="175"/>
      <c r="I1383" s="85">
        <f t="shared" si="53"/>
        <v>1.4418914269353145</v>
      </c>
      <c r="J1383" s="104">
        <v>27.662500000000001</v>
      </c>
      <c r="K1383" s="143"/>
      <c r="L1383" s="61">
        <v>153</v>
      </c>
    </row>
    <row r="1384" spans="1:15" ht="14" x14ac:dyDescent="0.15">
      <c r="A1384" s="62" t="s">
        <v>2538</v>
      </c>
      <c r="B1384" s="93" t="s">
        <v>4580</v>
      </c>
      <c r="C1384" s="102" t="s">
        <v>3636</v>
      </c>
      <c r="D1384" s="62" t="s">
        <v>2548</v>
      </c>
      <c r="E1384" s="102" t="s">
        <v>1362</v>
      </c>
      <c r="F1384" s="102" t="s">
        <v>4581</v>
      </c>
      <c r="G1384" s="102" t="s">
        <v>7138</v>
      </c>
      <c r="H1384" s="175"/>
      <c r="I1384" s="85">
        <f t="shared" si="53"/>
        <v>2.1018501379381256</v>
      </c>
      <c r="J1384" s="104">
        <v>126.43</v>
      </c>
      <c r="K1384" s="143"/>
      <c r="L1384" s="61">
        <v>153</v>
      </c>
      <c r="M1384" s="50"/>
      <c r="N1384" s="51"/>
    </row>
    <row r="1385" spans="1:15" ht="56" x14ac:dyDescent="0.15">
      <c r="A1385" s="165" t="s">
        <v>2538</v>
      </c>
      <c r="B1385" s="93" t="s">
        <v>1480</v>
      </c>
      <c r="C1385" s="102" t="s">
        <v>3636</v>
      </c>
      <c r="D1385" s="62" t="s">
        <v>2548</v>
      </c>
      <c r="E1385" s="100" t="s">
        <v>2421</v>
      </c>
      <c r="F1385" s="102" t="s">
        <v>5833</v>
      </c>
      <c r="G1385" s="102" t="s">
        <v>5834</v>
      </c>
      <c r="H1385" s="175"/>
      <c r="I1385" s="85">
        <f t="shared" si="53"/>
        <v>1.3273589343863303</v>
      </c>
      <c r="J1385" s="104">
        <v>21.25</v>
      </c>
      <c r="K1385" s="143"/>
      <c r="L1385" s="61">
        <v>153</v>
      </c>
    </row>
    <row r="1386" spans="1:15" ht="42" x14ac:dyDescent="0.15">
      <c r="A1386" s="62" t="s">
        <v>2538</v>
      </c>
      <c r="B1386" s="93" t="s">
        <v>658</v>
      </c>
      <c r="C1386" s="100" t="s">
        <v>3636</v>
      </c>
      <c r="D1386" s="61" t="s">
        <v>2548</v>
      </c>
      <c r="E1386" s="100" t="s">
        <v>2421</v>
      </c>
      <c r="F1386" s="100" t="s">
        <v>2389</v>
      </c>
      <c r="G1386" s="100" t="s">
        <v>659</v>
      </c>
      <c r="H1386" s="177"/>
      <c r="I1386" s="85">
        <f t="shared" si="53"/>
        <v>0.90308998699194354</v>
      </c>
      <c r="J1386" s="101">
        <v>8</v>
      </c>
      <c r="K1386" s="143"/>
      <c r="L1386" s="61">
        <v>153</v>
      </c>
    </row>
    <row r="1387" spans="1:15" ht="14" x14ac:dyDescent="0.15">
      <c r="A1387" s="62" t="s">
        <v>2538</v>
      </c>
      <c r="B1387" s="93" t="s">
        <v>578</v>
      </c>
      <c r="C1387" s="100" t="s">
        <v>3636</v>
      </c>
      <c r="D1387" s="61" t="s">
        <v>2548</v>
      </c>
      <c r="E1387" s="100" t="s">
        <v>2421</v>
      </c>
      <c r="F1387" s="100" t="s">
        <v>2389</v>
      </c>
      <c r="G1387" s="100" t="s">
        <v>7028</v>
      </c>
      <c r="H1387" s="177"/>
      <c r="I1387" s="85">
        <f t="shared" si="53"/>
        <v>0.94448267215016868</v>
      </c>
      <c r="J1387" s="101">
        <v>8.8000000000000007</v>
      </c>
      <c r="K1387" s="143"/>
      <c r="L1387" s="61">
        <v>153</v>
      </c>
    </row>
    <row r="1388" spans="1:15" ht="42" x14ac:dyDescent="0.15">
      <c r="A1388" s="62" t="s">
        <v>2538</v>
      </c>
      <c r="B1388" s="93" t="s">
        <v>4164</v>
      </c>
      <c r="C1388" s="102" t="s">
        <v>3636</v>
      </c>
      <c r="D1388" s="62" t="s">
        <v>2548</v>
      </c>
      <c r="E1388" s="100" t="s">
        <v>2421</v>
      </c>
      <c r="F1388" s="102" t="s">
        <v>2389</v>
      </c>
      <c r="G1388" s="102" t="s">
        <v>7898</v>
      </c>
      <c r="H1388" s="175"/>
      <c r="I1388" s="85">
        <f t="shared" si="53"/>
        <v>1.1717264536532312</v>
      </c>
      <c r="J1388" s="104">
        <v>14.85</v>
      </c>
      <c r="K1388" s="143"/>
      <c r="L1388" s="61">
        <v>153</v>
      </c>
    </row>
    <row r="1389" spans="1:15" ht="28" x14ac:dyDescent="0.15">
      <c r="A1389" s="165" t="s">
        <v>2538</v>
      </c>
      <c r="B1389" s="93" t="s">
        <v>1884</v>
      </c>
      <c r="C1389" s="102" t="s">
        <v>3636</v>
      </c>
      <c r="D1389" s="62" t="s">
        <v>2548</v>
      </c>
      <c r="E1389" s="102" t="s">
        <v>2421</v>
      </c>
      <c r="F1389" s="102" t="s">
        <v>2393</v>
      </c>
      <c r="G1389" s="102" t="s">
        <v>3608</v>
      </c>
      <c r="H1389" s="175"/>
      <c r="I1389" s="85">
        <f t="shared" si="53"/>
        <v>1.5024271199844328</v>
      </c>
      <c r="J1389" s="104">
        <v>31.8</v>
      </c>
      <c r="K1389" s="143"/>
      <c r="L1389" s="61">
        <v>153</v>
      </c>
    </row>
    <row r="1390" spans="1:15" ht="84" x14ac:dyDescent="0.15">
      <c r="A1390" s="62" t="s">
        <v>2538</v>
      </c>
      <c r="B1390" s="93" t="s">
        <v>613</v>
      </c>
      <c r="C1390" s="102" t="s">
        <v>3636</v>
      </c>
      <c r="D1390" s="62" t="s">
        <v>2548</v>
      </c>
      <c r="E1390" s="102" t="s">
        <v>5975</v>
      </c>
      <c r="F1390" s="102" t="s">
        <v>1509</v>
      </c>
      <c r="G1390" s="102" t="s">
        <v>786</v>
      </c>
      <c r="H1390" s="175"/>
      <c r="I1390" s="85">
        <f t="shared" si="53"/>
        <v>2.5814220934656538</v>
      </c>
      <c r="J1390" s="104">
        <v>381.43636363636</v>
      </c>
      <c r="K1390" s="143"/>
      <c r="L1390" s="61">
        <v>153</v>
      </c>
    </row>
    <row r="1391" spans="1:15" ht="56" x14ac:dyDescent="0.15">
      <c r="A1391" s="165" t="s">
        <v>2538</v>
      </c>
      <c r="B1391" s="82" t="s">
        <v>2727</v>
      </c>
      <c r="C1391" s="107" t="s">
        <v>3636</v>
      </c>
      <c r="D1391" s="62" t="s">
        <v>2548</v>
      </c>
      <c r="E1391" s="105" t="s">
        <v>5975</v>
      </c>
      <c r="F1391" s="107" t="s">
        <v>1473</v>
      </c>
      <c r="G1391" s="107" t="s">
        <v>3989</v>
      </c>
      <c r="H1391" s="179"/>
      <c r="I1391" s="85">
        <f t="shared" si="53"/>
        <v>1.2000292665537702</v>
      </c>
      <c r="J1391" s="104">
        <v>15.85</v>
      </c>
      <c r="K1391" s="144"/>
      <c r="L1391" s="61">
        <v>153</v>
      </c>
    </row>
    <row r="1392" spans="1:15" ht="84" x14ac:dyDescent="0.15">
      <c r="A1392" s="165" t="s">
        <v>2538</v>
      </c>
      <c r="B1392" s="93" t="s">
        <v>613</v>
      </c>
      <c r="C1392" s="102" t="s">
        <v>3636</v>
      </c>
      <c r="D1392" s="62" t="s">
        <v>2548</v>
      </c>
      <c r="E1392" s="102" t="s">
        <v>5975</v>
      </c>
      <c r="F1392" s="102" t="s">
        <v>2618</v>
      </c>
      <c r="G1392" s="102" t="s">
        <v>3353</v>
      </c>
      <c r="H1392" s="175"/>
      <c r="I1392" s="85">
        <f t="shared" si="53"/>
        <v>1.6905652211318316</v>
      </c>
      <c r="J1392" s="104">
        <v>49.041666666666998</v>
      </c>
      <c r="K1392" s="144"/>
      <c r="L1392" s="61">
        <v>153</v>
      </c>
    </row>
    <row r="1393" spans="1:12" ht="56" x14ac:dyDescent="0.15">
      <c r="A1393" s="62" t="s">
        <v>2538</v>
      </c>
      <c r="B1393" s="93" t="s">
        <v>483</v>
      </c>
      <c r="C1393" s="102" t="s">
        <v>3636</v>
      </c>
      <c r="D1393" s="62" t="s">
        <v>2548</v>
      </c>
      <c r="E1393" s="102" t="s">
        <v>5975</v>
      </c>
      <c r="F1393" s="102" t="s">
        <v>1553</v>
      </c>
      <c r="G1393" s="102" t="s">
        <v>4122</v>
      </c>
      <c r="H1393" s="175"/>
      <c r="I1393" s="85">
        <f t="shared" si="53"/>
        <v>1.4753079139561942</v>
      </c>
      <c r="J1393" s="104">
        <v>29.875</v>
      </c>
      <c r="K1393" s="144"/>
      <c r="L1393" s="61">
        <v>153</v>
      </c>
    </row>
    <row r="1394" spans="1:12" ht="14" x14ac:dyDescent="0.15">
      <c r="A1394" s="165" t="s">
        <v>2538</v>
      </c>
      <c r="B1394" s="93" t="s">
        <v>4167</v>
      </c>
      <c r="C1394" s="102" t="s">
        <v>3636</v>
      </c>
      <c r="D1394" s="62" t="s">
        <v>2548</v>
      </c>
      <c r="E1394" s="102" t="s">
        <v>5975</v>
      </c>
      <c r="F1394" s="102" t="s">
        <v>1553</v>
      </c>
      <c r="G1394" s="102" t="s">
        <v>4360</v>
      </c>
      <c r="H1394" s="175"/>
      <c r="I1394" s="85">
        <f t="shared" si="53"/>
        <v>1.6944101856919001</v>
      </c>
      <c r="J1394" s="104">
        <v>49.477777777778002</v>
      </c>
      <c r="K1394" s="144"/>
      <c r="L1394" s="61">
        <v>153</v>
      </c>
    </row>
    <row r="1395" spans="1:12" ht="14" x14ac:dyDescent="0.15">
      <c r="A1395" s="165" t="s">
        <v>2538</v>
      </c>
      <c r="B1395" s="93" t="s">
        <v>1261</v>
      </c>
      <c r="C1395" s="102" t="s">
        <v>3636</v>
      </c>
      <c r="D1395" s="62" t="s">
        <v>2548</v>
      </c>
      <c r="E1395" s="102" t="s">
        <v>5975</v>
      </c>
      <c r="F1395" s="102" t="s">
        <v>5976</v>
      </c>
      <c r="G1395" s="102" t="s">
        <v>2942</v>
      </c>
      <c r="H1395" s="175"/>
      <c r="I1395" s="85">
        <f t="shared" si="53"/>
        <v>2.6468236725718928</v>
      </c>
      <c r="J1395" s="104">
        <v>443.42857142857002</v>
      </c>
      <c r="K1395" s="144"/>
      <c r="L1395" s="61">
        <v>153</v>
      </c>
    </row>
    <row r="1396" spans="1:12" ht="84" x14ac:dyDescent="0.15">
      <c r="A1396" s="165" t="s">
        <v>2538</v>
      </c>
      <c r="B1396" s="93" t="s">
        <v>706</v>
      </c>
      <c r="C1396" s="102" t="s">
        <v>3636</v>
      </c>
      <c r="D1396" s="62" t="s">
        <v>2548</v>
      </c>
      <c r="E1396" s="102" t="s">
        <v>5975</v>
      </c>
      <c r="F1396" s="102" t="s">
        <v>5976</v>
      </c>
      <c r="G1396" s="102" t="s">
        <v>5873</v>
      </c>
      <c r="H1396" s="175"/>
      <c r="I1396" s="85">
        <f t="shared" si="53"/>
        <v>2.8274615877490143</v>
      </c>
      <c r="J1396" s="104">
        <v>672.14285714284995</v>
      </c>
      <c r="K1396" s="144"/>
      <c r="L1396" s="61">
        <v>153</v>
      </c>
    </row>
    <row r="1397" spans="1:12" ht="28" x14ac:dyDescent="0.15">
      <c r="A1397" s="165" t="s">
        <v>2538</v>
      </c>
      <c r="B1397" s="93" t="s">
        <v>715</v>
      </c>
      <c r="C1397" s="102" t="s">
        <v>3636</v>
      </c>
      <c r="D1397" s="62" t="s">
        <v>2548</v>
      </c>
      <c r="E1397" s="102" t="s">
        <v>5975</v>
      </c>
      <c r="F1397" s="102" t="s">
        <v>5976</v>
      </c>
      <c r="G1397" s="102" t="s">
        <v>716</v>
      </c>
      <c r="H1397" s="175"/>
      <c r="I1397" s="85">
        <f t="shared" si="53"/>
        <v>2.87500861844565</v>
      </c>
      <c r="J1397" s="104">
        <v>749.90909090908997</v>
      </c>
      <c r="K1397" s="144"/>
      <c r="L1397" s="61">
        <v>153</v>
      </c>
    </row>
    <row r="1398" spans="1:12" ht="42" x14ac:dyDescent="0.15">
      <c r="A1398" s="62" t="s">
        <v>2538</v>
      </c>
      <c r="B1398" s="93" t="s">
        <v>806</v>
      </c>
      <c r="C1398" s="102" t="s">
        <v>3636</v>
      </c>
      <c r="D1398" s="62" t="s">
        <v>2548</v>
      </c>
      <c r="E1398" s="102" t="s">
        <v>5975</v>
      </c>
      <c r="F1398" s="102" t="s">
        <v>5976</v>
      </c>
      <c r="G1398" s="102" t="s">
        <v>3997</v>
      </c>
      <c r="H1398" s="175"/>
      <c r="I1398" s="85">
        <f t="shared" si="53"/>
        <v>2.8896937914441851</v>
      </c>
      <c r="J1398" s="104">
        <v>775.7</v>
      </c>
      <c r="K1398" s="144"/>
      <c r="L1398" s="61">
        <v>153</v>
      </c>
    </row>
    <row r="1399" spans="1:12" ht="126" x14ac:dyDescent="0.15">
      <c r="A1399" s="165" t="s">
        <v>2538</v>
      </c>
      <c r="B1399" s="93" t="s">
        <v>750</v>
      </c>
      <c r="C1399" s="102" t="s">
        <v>3636</v>
      </c>
      <c r="D1399" s="62" t="s">
        <v>2548</v>
      </c>
      <c r="E1399" s="102" t="s">
        <v>5975</v>
      </c>
      <c r="F1399" s="102" t="s">
        <v>1643</v>
      </c>
      <c r="G1399" s="102" t="s">
        <v>3608</v>
      </c>
      <c r="H1399" s="175"/>
      <c r="I1399" s="85">
        <f t="shared" si="53"/>
        <v>1.2329110761968058</v>
      </c>
      <c r="J1399" s="104">
        <v>17.096652173913</v>
      </c>
      <c r="K1399" s="144"/>
      <c r="L1399" s="61">
        <v>153</v>
      </c>
    </row>
    <row r="1400" spans="1:12" ht="98" x14ac:dyDescent="0.15">
      <c r="A1400" s="165" t="s">
        <v>2538</v>
      </c>
      <c r="B1400" s="93" t="s">
        <v>712</v>
      </c>
      <c r="C1400" s="102" t="s">
        <v>3636</v>
      </c>
      <c r="D1400" s="62" t="s">
        <v>2548</v>
      </c>
      <c r="E1400" s="102" t="s">
        <v>1605</v>
      </c>
      <c r="F1400" s="102" t="s">
        <v>1641</v>
      </c>
      <c r="G1400" s="102" t="s">
        <v>5748</v>
      </c>
      <c r="H1400" s="175"/>
      <c r="I1400" s="85">
        <f t="shared" si="53"/>
        <v>0.7652959296980566</v>
      </c>
      <c r="J1400" s="104">
        <v>5.8250000000000002</v>
      </c>
      <c r="K1400" s="144"/>
      <c r="L1400" s="61">
        <v>153</v>
      </c>
    </row>
    <row r="1401" spans="1:12" ht="56" x14ac:dyDescent="0.15">
      <c r="A1401" s="62" t="s">
        <v>2538</v>
      </c>
      <c r="B1401" s="93" t="s">
        <v>702</v>
      </c>
      <c r="C1401" s="102" t="s">
        <v>3636</v>
      </c>
      <c r="D1401" s="62" t="s">
        <v>2548</v>
      </c>
      <c r="E1401" s="102" t="s">
        <v>1605</v>
      </c>
      <c r="F1401" s="102" t="s">
        <v>1641</v>
      </c>
      <c r="G1401" s="102" t="s">
        <v>4663</v>
      </c>
      <c r="H1401" s="175"/>
      <c r="I1401" s="85">
        <f t="shared" si="53"/>
        <v>0.96848294855393513</v>
      </c>
      <c r="J1401" s="104">
        <v>9.3000000000000007</v>
      </c>
      <c r="K1401" s="144"/>
      <c r="L1401" s="61">
        <v>153</v>
      </c>
    </row>
    <row r="1402" spans="1:12" ht="42" x14ac:dyDescent="0.15">
      <c r="A1402" s="62" t="s">
        <v>2538</v>
      </c>
      <c r="B1402" s="93" t="s">
        <v>710</v>
      </c>
      <c r="C1402" s="102" t="s">
        <v>3636</v>
      </c>
      <c r="D1402" s="62" t="s">
        <v>2548</v>
      </c>
      <c r="E1402" s="102" t="s">
        <v>1605</v>
      </c>
      <c r="F1402" s="102" t="s">
        <v>1641</v>
      </c>
      <c r="G1402" s="102" t="s">
        <v>711</v>
      </c>
      <c r="H1402" s="175"/>
      <c r="I1402" s="85">
        <f t="shared" si="53"/>
        <v>1.0791812460476249</v>
      </c>
      <c r="J1402" s="104">
        <v>12</v>
      </c>
      <c r="K1402" s="144"/>
      <c r="L1402" s="61">
        <v>153</v>
      </c>
    </row>
    <row r="1403" spans="1:12" ht="28" x14ac:dyDescent="0.15">
      <c r="A1403" s="62" t="s">
        <v>2538</v>
      </c>
      <c r="B1403" s="93" t="s">
        <v>1180</v>
      </c>
      <c r="C1403" s="102" t="s">
        <v>3636</v>
      </c>
      <c r="D1403" s="62" t="s">
        <v>2548</v>
      </c>
      <c r="E1403" s="102" t="s">
        <v>1605</v>
      </c>
      <c r="F1403" s="102" t="s">
        <v>1641</v>
      </c>
      <c r="G1403" s="102" t="s">
        <v>1472</v>
      </c>
      <c r="H1403" s="175"/>
      <c r="I1403" s="85">
        <f t="shared" si="53"/>
        <v>1.146128035678238</v>
      </c>
      <c r="J1403" s="104">
        <v>14</v>
      </c>
      <c r="K1403" s="144"/>
      <c r="L1403" s="61">
        <v>153</v>
      </c>
    </row>
    <row r="1404" spans="1:12" ht="84" x14ac:dyDescent="0.15">
      <c r="A1404" s="62" t="s">
        <v>2538</v>
      </c>
      <c r="B1404" s="93" t="s">
        <v>820</v>
      </c>
      <c r="C1404" s="102" t="s">
        <v>3636</v>
      </c>
      <c r="D1404" s="62" t="s">
        <v>2548</v>
      </c>
      <c r="E1404" s="102" t="s">
        <v>1605</v>
      </c>
      <c r="F1404" s="102" t="s">
        <v>1641</v>
      </c>
      <c r="G1404" s="102" t="s">
        <v>5329</v>
      </c>
      <c r="H1404" s="175"/>
      <c r="I1404" s="85">
        <f t="shared" si="53"/>
        <v>1.6411134007807826</v>
      </c>
      <c r="J1404" s="104">
        <v>43.763636363636003</v>
      </c>
      <c r="K1404" s="144"/>
      <c r="L1404" s="61">
        <v>153</v>
      </c>
    </row>
    <row r="1405" spans="1:12" ht="112" x14ac:dyDescent="0.15">
      <c r="A1405" s="62" t="s">
        <v>2538</v>
      </c>
      <c r="B1405" s="93" t="s">
        <v>1097</v>
      </c>
      <c r="C1405" s="102" t="s">
        <v>3636</v>
      </c>
      <c r="D1405" s="62" t="s">
        <v>2548</v>
      </c>
      <c r="E1405" s="102" t="s">
        <v>1605</v>
      </c>
      <c r="F1405" s="102" t="s">
        <v>1310</v>
      </c>
      <c r="G1405" s="102" t="s">
        <v>1347</v>
      </c>
      <c r="H1405" s="175"/>
      <c r="I1405" s="85">
        <f t="shared" si="53"/>
        <v>1.002705893375925</v>
      </c>
      <c r="J1405" s="104">
        <v>10.0625</v>
      </c>
      <c r="K1405" s="144"/>
      <c r="L1405" s="61">
        <v>153</v>
      </c>
    </row>
    <row r="1406" spans="1:12" ht="84" x14ac:dyDescent="0.15">
      <c r="A1406" s="62" t="s">
        <v>2538</v>
      </c>
      <c r="B1406" s="93" t="s">
        <v>174</v>
      </c>
      <c r="C1406" s="102" t="s">
        <v>3636</v>
      </c>
      <c r="D1406" s="62" t="s">
        <v>2548</v>
      </c>
      <c r="E1406" s="102" t="s">
        <v>1605</v>
      </c>
      <c r="F1406" s="102" t="s">
        <v>1310</v>
      </c>
      <c r="G1406" s="102" t="s">
        <v>6022</v>
      </c>
      <c r="H1406" s="175"/>
      <c r="I1406" s="85">
        <f t="shared" si="53"/>
        <v>1.0273496077747566</v>
      </c>
      <c r="J1406" s="104">
        <v>10.65</v>
      </c>
      <c r="K1406" s="144"/>
      <c r="L1406" s="61">
        <v>153</v>
      </c>
    </row>
    <row r="1407" spans="1:12" ht="42" x14ac:dyDescent="0.15">
      <c r="A1407" s="62" t="s">
        <v>2538</v>
      </c>
      <c r="B1407" s="93" t="s">
        <v>1000</v>
      </c>
      <c r="C1407" s="102" t="s">
        <v>3636</v>
      </c>
      <c r="D1407" s="62" t="s">
        <v>2548</v>
      </c>
      <c r="E1407" s="102" t="s">
        <v>1605</v>
      </c>
      <c r="F1407" s="102" t="s">
        <v>1001</v>
      </c>
      <c r="G1407" s="102" t="s">
        <v>701</v>
      </c>
      <c r="H1407" s="175"/>
      <c r="I1407" s="85">
        <f t="shared" si="53"/>
        <v>0.94283449377011197</v>
      </c>
      <c r="J1407" s="104">
        <v>8.7666666666669997</v>
      </c>
      <c r="K1407" s="144"/>
      <c r="L1407" s="61">
        <v>153</v>
      </c>
    </row>
    <row r="1408" spans="1:12" ht="42" x14ac:dyDescent="0.15">
      <c r="A1408" s="61" t="s">
        <v>2538</v>
      </c>
      <c r="B1408" s="93" t="s">
        <v>983</v>
      </c>
      <c r="C1408" s="102" t="s">
        <v>3636</v>
      </c>
      <c r="D1408" s="62" t="s">
        <v>2548</v>
      </c>
      <c r="E1408" s="102" t="s">
        <v>5977</v>
      </c>
      <c r="F1408" s="102" t="s">
        <v>1320</v>
      </c>
      <c r="G1408" s="102" t="s">
        <v>910</v>
      </c>
      <c r="H1408" s="175"/>
      <c r="I1408" s="98">
        <f t="shared" si="53"/>
        <v>0.70757017609793638</v>
      </c>
      <c r="J1408" s="98">
        <f>AVERAGE(5, 5.2)</f>
        <v>5.0999999999999996</v>
      </c>
      <c r="K1408" s="135"/>
      <c r="L1408" s="61">
        <v>256</v>
      </c>
    </row>
    <row r="1409" spans="1:18" ht="28" x14ac:dyDescent="0.15">
      <c r="A1409" s="62" t="s">
        <v>2538</v>
      </c>
      <c r="B1409" s="93" t="s">
        <v>2736</v>
      </c>
      <c r="C1409" s="102" t="s">
        <v>3636</v>
      </c>
      <c r="D1409" s="62" t="s">
        <v>2548</v>
      </c>
      <c r="E1409" s="102" t="s">
        <v>5977</v>
      </c>
      <c r="F1409" s="102" t="s">
        <v>1320</v>
      </c>
      <c r="G1409" s="102" t="s">
        <v>3535</v>
      </c>
      <c r="H1409" s="175"/>
      <c r="I1409" s="85">
        <f t="shared" si="53"/>
        <v>0.94283449377011197</v>
      </c>
      <c r="J1409" s="104">
        <v>8.7666666666669997</v>
      </c>
      <c r="K1409" s="144"/>
      <c r="L1409" s="61">
        <v>153</v>
      </c>
    </row>
    <row r="1410" spans="1:18" ht="42" x14ac:dyDescent="0.15">
      <c r="A1410" s="62" t="s">
        <v>2538</v>
      </c>
      <c r="B1410" s="93" t="s">
        <v>952</v>
      </c>
      <c r="C1410" s="102" t="s">
        <v>3636</v>
      </c>
      <c r="D1410" s="62" t="s">
        <v>2548</v>
      </c>
      <c r="E1410" s="102" t="s">
        <v>5977</v>
      </c>
      <c r="F1410" s="102" t="s">
        <v>1320</v>
      </c>
      <c r="G1410" s="102" t="s">
        <v>1321</v>
      </c>
      <c r="H1410" s="175"/>
      <c r="I1410" s="85">
        <f>LOG(J1410)</f>
        <v>0.94448267215016868</v>
      </c>
      <c r="J1410" s="104">
        <v>8.8000000000000007</v>
      </c>
      <c r="K1410" s="144"/>
      <c r="L1410" s="61">
        <v>153</v>
      </c>
    </row>
    <row r="1411" spans="1:18" ht="42" x14ac:dyDescent="0.15">
      <c r="A1411" s="165" t="s">
        <v>2538</v>
      </c>
      <c r="B1411" s="93" t="s">
        <v>742</v>
      </c>
      <c r="C1411" s="102" t="s">
        <v>3636</v>
      </c>
      <c r="D1411" s="62" t="s">
        <v>2548</v>
      </c>
      <c r="E1411" s="102" t="s">
        <v>5977</v>
      </c>
      <c r="F1411" s="102" t="s">
        <v>1320</v>
      </c>
      <c r="G1411" s="102" t="s">
        <v>2734</v>
      </c>
      <c r="H1411" s="175"/>
      <c r="I1411" s="85">
        <f>LOG(J1411)</f>
        <v>0.95578392891691144</v>
      </c>
      <c r="J1411" s="104">
        <v>9.032</v>
      </c>
      <c r="K1411" s="144"/>
      <c r="L1411" s="61">
        <v>153</v>
      </c>
    </row>
    <row r="1412" spans="1:18" ht="56" x14ac:dyDescent="0.15">
      <c r="A1412" s="165" t="s">
        <v>2538</v>
      </c>
      <c r="B1412" s="93" t="s">
        <v>586</v>
      </c>
      <c r="C1412" s="102" t="s">
        <v>3636</v>
      </c>
      <c r="D1412" s="62" t="s">
        <v>2548</v>
      </c>
      <c r="E1412" s="102" t="s">
        <v>5977</v>
      </c>
      <c r="F1412" s="102" t="s">
        <v>1320</v>
      </c>
      <c r="G1412" s="102" t="s">
        <v>6491</v>
      </c>
      <c r="H1412" s="175"/>
      <c r="I1412" s="85">
        <f>LOG(J1412)</f>
        <v>1.1603684747928582</v>
      </c>
      <c r="J1412" s="104">
        <v>14.466666666667001</v>
      </c>
      <c r="K1412" s="144"/>
      <c r="L1412" s="61">
        <v>153</v>
      </c>
    </row>
    <row r="1413" spans="1:18" ht="14" x14ac:dyDescent="0.15">
      <c r="A1413" s="61" t="s">
        <v>2538</v>
      </c>
      <c r="B1413" s="93" t="s">
        <v>1014</v>
      </c>
      <c r="C1413" s="102" t="s">
        <v>3636</v>
      </c>
      <c r="D1413" s="62" t="s">
        <v>2548</v>
      </c>
      <c r="E1413" s="102" t="s">
        <v>5977</v>
      </c>
      <c r="F1413" s="102" t="s">
        <v>6037</v>
      </c>
      <c r="G1413" s="102" t="s">
        <v>1012</v>
      </c>
      <c r="H1413" s="175"/>
      <c r="I1413" s="98">
        <v>-999</v>
      </c>
      <c r="J1413" s="98">
        <v>-999</v>
      </c>
      <c r="K1413" s="135"/>
      <c r="L1413" s="61">
        <v>-999</v>
      </c>
    </row>
    <row r="1414" spans="1:18" ht="28" x14ac:dyDescent="0.15">
      <c r="A1414" s="62" t="s">
        <v>2538</v>
      </c>
      <c r="B1414" s="93" t="s">
        <v>911</v>
      </c>
      <c r="C1414" s="102" t="s">
        <v>3636</v>
      </c>
      <c r="D1414" s="62" t="s">
        <v>2548</v>
      </c>
      <c r="E1414" s="102" t="s">
        <v>5977</v>
      </c>
      <c r="F1414" s="102" t="s">
        <v>6037</v>
      </c>
      <c r="G1414" s="102" t="s">
        <v>906</v>
      </c>
      <c r="H1414" s="175"/>
      <c r="I1414" s="85">
        <f t="shared" ref="I1414:I1422" si="54">LOG(J1414)</f>
        <v>0.58149454229089925</v>
      </c>
      <c r="J1414" s="104">
        <v>3.8149999999999999</v>
      </c>
      <c r="K1414" s="144"/>
      <c r="L1414" s="61">
        <v>153</v>
      </c>
    </row>
    <row r="1415" spans="1:18" ht="28" x14ac:dyDescent="0.15">
      <c r="A1415" s="165" t="s">
        <v>2538</v>
      </c>
      <c r="B1415" s="93" t="s">
        <v>907</v>
      </c>
      <c r="C1415" s="102" t="s">
        <v>3636</v>
      </c>
      <c r="D1415" s="62" t="s">
        <v>2548</v>
      </c>
      <c r="E1415" s="102" t="s">
        <v>5977</v>
      </c>
      <c r="F1415" s="102" t="s">
        <v>6037</v>
      </c>
      <c r="G1415" s="102" t="s">
        <v>908</v>
      </c>
      <c r="H1415" s="175"/>
      <c r="I1415" s="85">
        <f t="shared" si="54"/>
        <v>0.69897000433601886</v>
      </c>
      <c r="J1415" s="104">
        <v>5</v>
      </c>
      <c r="K1415" s="144"/>
      <c r="L1415" s="61">
        <v>153</v>
      </c>
    </row>
    <row r="1416" spans="1:18" ht="56" x14ac:dyDescent="0.15">
      <c r="A1416" s="165" t="s">
        <v>2538</v>
      </c>
      <c r="B1416" s="93" t="s">
        <v>811</v>
      </c>
      <c r="C1416" s="102" t="s">
        <v>3636</v>
      </c>
      <c r="D1416" s="62" t="s">
        <v>2548</v>
      </c>
      <c r="E1416" s="102" t="s">
        <v>5977</v>
      </c>
      <c r="F1416" s="102" t="s">
        <v>6037</v>
      </c>
      <c r="G1416" s="102" t="s">
        <v>5586</v>
      </c>
      <c r="H1416" s="175"/>
      <c r="I1416" s="85">
        <f t="shared" si="54"/>
        <v>0.70876072369031662</v>
      </c>
      <c r="J1416" s="104">
        <v>5.1139999999999999</v>
      </c>
      <c r="K1416" s="144"/>
      <c r="L1416" s="61">
        <v>153</v>
      </c>
    </row>
    <row r="1417" spans="1:18" ht="28" x14ac:dyDescent="0.15">
      <c r="A1417" s="62" t="s">
        <v>2538</v>
      </c>
      <c r="B1417" s="93" t="s">
        <v>2718</v>
      </c>
      <c r="C1417" s="102" t="s">
        <v>3636</v>
      </c>
      <c r="D1417" s="62" t="s">
        <v>2548</v>
      </c>
      <c r="E1417" s="102" t="s">
        <v>5977</v>
      </c>
      <c r="F1417" s="102" t="s">
        <v>6037</v>
      </c>
      <c r="G1417" s="102" t="s">
        <v>3365</v>
      </c>
      <c r="H1417" s="175"/>
      <c r="I1417" s="85">
        <f t="shared" si="54"/>
        <v>0.7103994661167724</v>
      </c>
      <c r="J1417" s="104">
        <v>5.1333333333329998</v>
      </c>
      <c r="K1417" s="144"/>
      <c r="L1417" s="61">
        <v>153</v>
      </c>
      <c r="Q1417"/>
      <c r="R1417"/>
    </row>
    <row r="1418" spans="1:18" ht="42" x14ac:dyDescent="0.15">
      <c r="A1418" s="165" t="s">
        <v>2538</v>
      </c>
      <c r="B1418" s="93" t="s">
        <v>822</v>
      </c>
      <c r="C1418" s="102" t="s">
        <v>3636</v>
      </c>
      <c r="D1418" s="62" t="s">
        <v>2548</v>
      </c>
      <c r="E1418" s="102" t="s">
        <v>5977</v>
      </c>
      <c r="F1418" s="102" t="s">
        <v>6037</v>
      </c>
      <c r="G1418" s="102" t="s">
        <v>1865</v>
      </c>
      <c r="H1418" s="175"/>
      <c r="I1418" s="85">
        <f t="shared" si="54"/>
        <v>0.80955971463526777</v>
      </c>
      <c r="J1418" s="104">
        <v>6.45</v>
      </c>
      <c r="K1418" s="144"/>
      <c r="L1418" s="61">
        <v>153</v>
      </c>
    </row>
    <row r="1419" spans="1:18" ht="42" x14ac:dyDescent="0.15">
      <c r="A1419" s="165" t="s">
        <v>2538</v>
      </c>
      <c r="B1419" s="93" t="s">
        <v>2683</v>
      </c>
      <c r="C1419" s="102" t="s">
        <v>3636</v>
      </c>
      <c r="D1419" s="62" t="s">
        <v>2548</v>
      </c>
      <c r="E1419" s="102" t="s">
        <v>5977</v>
      </c>
      <c r="F1419" s="102" t="s">
        <v>1136</v>
      </c>
      <c r="G1419" s="102" t="s">
        <v>5342</v>
      </c>
      <c r="H1419" s="175"/>
      <c r="I1419" s="85">
        <f t="shared" si="54"/>
        <v>0.79239168949825389</v>
      </c>
      <c r="J1419" s="104">
        <v>6.2</v>
      </c>
      <c r="K1419" s="144"/>
      <c r="L1419" s="61">
        <v>153</v>
      </c>
    </row>
    <row r="1420" spans="1:18" ht="56" x14ac:dyDescent="0.15">
      <c r="A1420" s="165" t="s">
        <v>2538</v>
      </c>
      <c r="B1420" s="93" t="s">
        <v>2625</v>
      </c>
      <c r="C1420" s="102" t="s">
        <v>3636</v>
      </c>
      <c r="D1420" s="62" t="s">
        <v>2548</v>
      </c>
      <c r="E1420" s="102" t="s">
        <v>5977</v>
      </c>
      <c r="F1420" s="102" t="s">
        <v>2593</v>
      </c>
      <c r="G1420" s="102" t="s">
        <v>3608</v>
      </c>
      <c r="H1420" s="175"/>
      <c r="I1420" s="85">
        <f t="shared" si="54"/>
        <v>0.86332286012045589</v>
      </c>
      <c r="J1420" s="104">
        <v>7.3</v>
      </c>
      <c r="K1420" s="144"/>
      <c r="L1420" s="61">
        <v>153</v>
      </c>
    </row>
    <row r="1421" spans="1:18" ht="126" x14ac:dyDescent="0.15">
      <c r="A1421" s="165" t="s">
        <v>2538</v>
      </c>
      <c r="B1421" s="93" t="s">
        <v>1003</v>
      </c>
      <c r="C1421" s="102" t="s">
        <v>3636</v>
      </c>
      <c r="D1421" s="62" t="s">
        <v>2548</v>
      </c>
      <c r="E1421" s="100" t="s">
        <v>5977</v>
      </c>
      <c r="F1421" s="102" t="s">
        <v>2593</v>
      </c>
      <c r="G1421" s="102" t="s">
        <v>1004</v>
      </c>
      <c r="H1421" s="175"/>
      <c r="I1421" s="85">
        <f t="shared" si="54"/>
        <v>1.0594624367970615</v>
      </c>
      <c r="J1421" s="104">
        <v>11.467333333333</v>
      </c>
      <c r="K1421" s="144"/>
      <c r="L1421" s="61">
        <v>153</v>
      </c>
    </row>
    <row r="1422" spans="1:18" ht="28" x14ac:dyDescent="0.15">
      <c r="A1422" s="165" t="s">
        <v>2538</v>
      </c>
      <c r="B1422" s="93" t="s">
        <v>1071</v>
      </c>
      <c r="C1422" s="102" t="s">
        <v>3636</v>
      </c>
      <c r="D1422" s="62" t="s">
        <v>2548</v>
      </c>
      <c r="E1422" s="102" t="s">
        <v>5977</v>
      </c>
      <c r="F1422" s="102" t="s">
        <v>1440</v>
      </c>
      <c r="G1422" s="102" t="s">
        <v>1441</v>
      </c>
      <c r="H1422" s="175"/>
      <c r="I1422" s="85">
        <f t="shared" si="54"/>
        <v>0.62838893005031149</v>
      </c>
      <c r="J1422" s="104">
        <v>4.25</v>
      </c>
      <c r="K1422" s="144"/>
      <c r="L1422" s="62">
        <v>153</v>
      </c>
    </row>
    <row r="1423" spans="1:18" ht="28" x14ac:dyDescent="0.15">
      <c r="A1423" s="165" t="s">
        <v>2538</v>
      </c>
      <c r="B1423" s="93" t="s">
        <v>792</v>
      </c>
      <c r="C1423" s="102" t="s">
        <v>3636</v>
      </c>
      <c r="D1423" s="62" t="s">
        <v>2548</v>
      </c>
      <c r="E1423" s="102" t="s">
        <v>5977</v>
      </c>
      <c r="F1423" s="102" t="s">
        <v>5978</v>
      </c>
      <c r="G1423" s="102" t="s">
        <v>3608</v>
      </c>
      <c r="H1423" s="175"/>
      <c r="I1423" s="98">
        <v>-999</v>
      </c>
      <c r="J1423" s="98">
        <v>-999</v>
      </c>
      <c r="K1423" s="135"/>
      <c r="L1423" s="62">
        <v>-999</v>
      </c>
    </row>
    <row r="1424" spans="1:18" ht="98" x14ac:dyDescent="0.15">
      <c r="A1424" s="165" t="s">
        <v>2538</v>
      </c>
      <c r="B1424" s="93" t="s">
        <v>1174</v>
      </c>
      <c r="C1424" s="102" t="s">
        <v>3636</v>
      </c>
      <c r="D1424" s="62" t="s">
        <v>2548</v>
      </c>
      <c r="E1424" s="102" t="s">
        <v>5977</v>
      </c>
      <c r="F1424" s="102" t="s">
        <v>5978</v>
      </c>
      <c r="G1424" s="102" t="s">
        <v>6033</v>
      </c>
      <c r="H1424" s="175"/>
      <c r="I1424" s="85">
        <f t="shared" ref="I1424:I1464" si="55">LOG(J1424)</f>
        <v>1.0233553608264458</v>
      </c>
      <c r="J1424" s="104">
        <v>10.5525</v>
      </c>
      <c r="K1424" s="144"/>
      <c r="L1424" s="62">
        <v>153</v>
      </c>
    </row>
    <row r="1425" spans="1:14" ht="56" x14ac:dyDescent="0.15">
      <c r="A1425" s="165" t="s">
        <v>2538</v>
      </c>
      <c r="B1425" s="93" t="s">
        <v>1038</v>
      </c>
      <c r="C1425" s="102" t="s">
        <v>3636</v>
      </c>
      <c r="D1425" s="62" t="s">
        <v>2548</v>
      </c>
      <c r="E1425" s="102" t="s">
        <v>5977</v>
      </c>
      <c r="F1425" s="102" t="s">
        <v>2748</v>
      </c>
      <c r="G1425" s="102" t="s">
        <v>4119</v>
      </c>
      <c r="H1425" s="175"/>
      <c r="I1425" s="85">
        <f t="shared" si="55"/>
        <v>0.90489578785518787</v>
      </c>
      <c r="J1425" s="104">
        <v>8.0333333333329993</v>
      </c>
      <c r="K1425" s="144"/>
      <c r="L1425" s="62">
        <v>153</v>
      </c>
    </row>
    <row r="1426" spans="1:14" ht="70" x14ac:dyDescent="0.15">
      <c r="A1426" s="165" t="s">
        <v>2538</v>
      </c>
      <c r="B1426" s="93" t="s">
        <v>1262</v>
      </c>
      <c r="C1426" s="102" t="s">
        <v>3636</v>
      </c>
      <c r="D1426" s="62" t="s">
        <v>2548</v>
      </c>
      <c r="E1426" s="102" t="s">
        <v>5977</v>
      </c>
      <c r="F1426" s="102" t="s">
        <v>2748</v>
      </c>
      <c r="G1426" s="102" t="s">
        <v>1263</v>
      </c>
      <c r="H1426" s="175"/>
      <c r="I1426" s="85">
        <f t="shared" si="55"/>
        <v>1</v>
      </c>
      <c r="J1426" s="104">
        <v>10</v>
      </c>
      <c r="K1426" s="144"/>
      <c r="L1426" s="62">
        <v>153</v>
      </c>
    </row>
    <row r="1427" spans="1:14" ht="14" x14ac:dyDescent="0.15">
      <c r="A1427" s="165" t="s">
        <v>2538</v>
      </c>
      <c r="B1427" s="93" t="s">
        <v>143</v>
      </c>
      <c r="C1427" s="102" t="s">
        <v>3636</v>
      </c>
      <c r="D1427" s="62" t="s">
        <v>2548</v>
      </c>
      <c r="E1427" s="102" t="s">
        <v>5977</v>
      </c>
      <c r="F1427" s="102" t="s">
        <v>2748</v>
      </c>
      <c r="G1427" s="102" t="s">
        <v>144</v>
      </c>
      <c r="H1427" s="175"/>
      <c r="I1427" s="85">
        <f t="shared" si="55"/>
        <v>1.0689276116820718</v>
      </c>
      <c r="J1427" s="104">
        <v>11.72</v>
      </c>
      <c r="K1427" s="144"/>
      <c r="L1427" s="62">
        <v>153</v>
      </c>
    </row>
    <row r="1428" spans="1:14" ht="28" x14ac:dyDescent="0.15">
      <c r="A1428" s="165" t="s">
        <v>2538</v>
      </c>
      <c r="B1428" s="93" t="s">
        <v>1171</v>
      </c>
      <c r="C1428" s="102" t="s">
        <v>3636</v>
      </c>
      <c r="D1428" s="62" t="s">
        <v>2548</v>
      </c>
      <c r="E1428" s="102" t="s">
        <v>5977</v>
      </c>
      <c r="F1428" s="102" t="s">
        <v>2748</v>
      </c>
      <c r="G1428" s="102" t="s">
        <v>1072</v>
      </c>
      <c r="H1428" s="175"/>
      <c r="I1428" s="85">
        <f t="shared" si="55"/>
        <v>1.4232458739368079</v>
      </c>
      <c r="J1428" s="104">
        <v>26.5</v>
      </c>
      <c r="K1428" s="144"/>
      <c r="L1428" s="62">
        <v>153</v>
      </c>
    </row>
    <row r="1429" spans="1:14" ht="28" x14ac:dyDescent="0.15">
      <c r="A1429" s="165" t="s">
        <v>2538</v>
      </c>
      <c r="B1429" s="93" t="s">
        <v>200</v>
      </c>
      <c r="C1429" s="102" t="s">
        <v>3636</v>
      </c>
      <c r="D1429" s="62" t="s">
        <v>2548</v>
      </c>
      <c r="E1429" s="102" t="s">
        <v>5977</v>
      </c>
      <c r="F1429" s="102" t="s">
        <v>2937</v>
      </c>
      <c r="G1429" s="102" t="s">
        <v>201</v>
      </c>
      <c r="H1429" s="175"/>
      <c r="I1429" s="85">
        <f t="shared" si="55"/>
        <v>0.63698910181222912</v>
      </c>
      <c r="J1429" s="104">
        <v>4.335</v>
      </c>
      <c r="K1429" s="144"/>
      <c r="L1429" s="62">
        <v>153</v>
      </c>
    </row>
    <row r="1430" spans="1:14" ht="14" x14ac:dyDescent="0.15">
      <c r="A1430" s="165" t="s">
        <v>2538</v>
      </c>
      <c r="B1430" s="93" t="s">
        <v>202</v>
      </c>
      <c r="C1430" s="102" t="s">
        <v>3636</v>
      </c>
      <c r="D1430" s="62" t="s">
        <v>2548</v>
      </c>
      <c r="E1430" s="102" t="s">
        <v>5977</v>
      </c>
      <c r="F1430" s="102" t="s">
        <v>2937</v>
      </c>
      <c r="G1430" s="102" t="s">
        <v>5303</v>
      </c>
      <c r="H1430" s="175"/>
      <c r="I1430" s="85">
        <f t="shared" si="55"/>
        <v>0.82282164530310464</v>
      </c>
      <c r="J1430" s="104">
        <v>6.65</v>
      </c>
      <c r="K1430" s="144"/>
      <c r="L1430" s="62">
        <v>153</v>
      </c>
    </row>
    <row r="1431" spans="1:14" ht="28" x14ac:dyDescent="0.15">
      <c r="A1431" s="165" t="s">
        <v>2538</v>
      </c>
      <c r="B1431" s="93" t="s">
        <v>159</v>
      </c>
      <c r="C1431" s="102" t="s">
        <v>3636</v>
      </c>
      <c r="D1431" s="62" t="s">
        <v>2548</v>
      </c>
      <c r="E1431" s="102" t="s">
        <v>5977</v>
      </c>
      <c r="F1431" s="102" t="s">
        <v>2937</v>
      </c>
      <c r="G1431" s="102" t="s">
        <v>3596</v>
      </c>
      <c r="H1431" s="175"/>
      <c r="I1431" s="85">
        <f t="shared" si="55"/>
        <v>0.86226392760701887</v>
      </c>
      <c r="J1431" s="104">
        <v>7.2822222222219999</v>
      </c>
      <c r="K1431" s="144"/>
      <c r="L1431" s="62">
        <v>153</v>
      </c>
    </row>
    <row r="1432" spans="1:14" ht="70" x14ac:dyDescent="0.15">
      <c r="A1432" s="165" t="s">
        <v>2538</v>
      </c>
      <c r="B1432" s="93" t="s">
        <v>1314</v>
      </c>
      <c r="C1432" s="102" t="s">
        <v>3636</v>
      </c>
      <c r="D1432" s="62" t="s">
        <v>2548</v>
      </c>
      <c r="E1432" s="102" t="s">
        <v>5977</v>
      </c>
      <c r="F1432" s="102" t="s">
        <v>2937</v>
      </c>
      <c r="G1432" s="102" t="s">
        <v>1315</v>
      </c>
      <c r="H1432" s="175"/>
      <c r="I1432" s="85">
        <f t="shared" si="55"/>
        <v>1</v>
      </c>
      <c r="J1432" s="104">
        <v>10</v>
      </c>
      <c r="K1432" s="144"/>
      <c r="L1432" s="62">
        <v>153</v>
      </c>
    </row>
    <row r="1433" spans="1:14" ht="42" x14ac:dyDescent="0.15">
      <c r="A1433" s="165" t="s">
        <v>2538</v>
      </c>
      <c r="B1433" s="93" t="s">
        <v>1116</v>
      </c>
      <c r="C1433" s="102" t="s">
        <v>3636</v>
      </c>
      <c r="D1433" s="62" t="s">
        <v>2548</v>
      </c>
      <c r="E1433" s="102" t="s">
        <v>5977</v>
      </c>
      <c r="F1433" s="102" t="s">
        <v>2937</v>
      </c>
      <c r="G1433" s="102" t="s">
        <v>6056</v>
      </c>
      <c r="H1433" s="175"/>
      <c r="I1433" s="85">
        <f t="shared" si="55"/>
        <v>1.0691128513871209</v>
      </c>
      <c r="J1433" s="104">
        <v>11.725</v>
      </c>
      <c r="K1433" s="144"/>
      <c r="L1433" s="62">
        <v>153</v>
      </c>
    </row>
    <row r="1434" spans="1:14" ht="84" x14ac:dyDescent="0.15">
      <c r="A1434" s="165" t="s">
        <v>2538</v>
      </c>
      <c r="B1434" s="93" t="s">
        <v>264</v>
      </c>
      <c r="C1434" s="102" t="s">
        <v>3636</v>
      </c>
      <c r="D1434" s="62" t="s">
        <v>2548</v>
      </c>
      <c r="E1434" s="102" t="s">
        <v>5977</v>
      </c>
      <c r="F1434" s="102" t="s">
        <v>2581</v>
      </c>
      <c r="G1434" s="102" t="s">
        <v>5077</v>
      </c>
      <c r="H1434" s="175"/>
      <c r="I1434" s="85">
        <f t="shared" si="55"/>
        <v>0.67209785793571752</v>
      </c>
      <c r="J1434" s="104">
        <v>4.7</v>
      </c>
      <c r="K1434" s="144"/>
      <c r="L1434" s="62">
        <v>153</v>
      </c>
    </row>
    <row r="1435" spans="1:14" ht="84" x14ac:dyDescent="0.15">
      <c r="A1435" s="165" t="s">
        <v>2538</v>
      </c>
      <c r="B1435" s="93" t="s">
        <v>203</v>
      </c>
      <c r="C1435" s="102" t="s">
        <v>3636</v>
      </c>
      <c r="D1435" s="62" t="s">
        <v>2548</v>
      </c>
      <c r="E1435" s="102" t="s">
        <v>5977</v>
      </c>
      <c r="F1435" s="102" t="s">
        <v>2581</v>
      </c>
      <c r="G1435" s="102" t="s">
        <v>7202</v>
      </c>
      <c r="H1435" s="175"/>
      <c r="I1435" s="85">
        <f t="shared" si="55"/>
        <v>0.72378393696532939</v>
      </c>
      <c r="J1435" s="104">
        <v>5.2939999999999996</v>
      </c>
      <c r="K1435" s="144"/>
      <c r="L1435" s="62">
        <v>153</v>
      </c>
    </row>
    <row r="1436" spans="1:14" ht="42" x14ac:dyDescent="0.15">
      <c r="A1436" s="165" t="s">
        <v>2538</v>
      </c>
      <c r="B1436" s="93" t="s">
        <v>245</v>
      </c>
      <c r="C1436" s="102" t="s">
        <v>3636</v>
      </c>
      <c r="D1436" s="62" t="s">
        <v>2548</v>
      </c>
      <c r="E1436" s="102" t="s">
        <v>5977</v>
      </c>
      <c r="F1436" s="102" t="s">
        <v>2581</v>
      </c>
      <c r="G1436" s="102" t="s">
        <v>1385</v>
      </c>
      <c r="H1436" s="175"/>
      <c r="I1436" s="85">
        <f t="shared" si="55"/>
        <v>1.3550682063488506</v>
      </c>
      <c r="J1436" s="104">
        <v>22.65</v>
      </c>
      <c r="K1436" s="144"/>
      <c r="L1436" s="62">
        <v>153</v>
      </c>
    </row>
    <row r="1437" spans="1:14" ht="14" x14ac:dyDescent="0.15">
      <c r="A1437" s="166" t="s">
        <v>2538</v>
      </c>
      <c r="B1437" s="82"/>
      <c r="C1437" s="70" t="s">
        <v>3636</v>
      </c>
      <c r="D1437" s="70" t="s">
        <v>3243</v>
      </c>
      <c r="E1437" s="70" t="s">
        <v>3244</v>
      </c>
      <c r="F1437" s="70" t="s">
        <v>7222</v>
      </c>
      <c r="G1437" s="70" t="s">
        <v>7223</v>
      </c>
      <c r="H1437" s="93"/>
      <c r="I1437" s="85">
        <f t="shared" si="55"/>
        <v>1.4393326938302626</v>
      </c>
      <c r="J1437" s="85">
        <v>27.5</v>
      </c>
      <c r="K1437" s="131" t="s">
        <v>3177</v>
      </c>
      <c r="L1437" s="60">
        <v>59</v>
      </c>
    </row>
    <row r="1438" spans="1:14" ht="14" x14ac:dyDescent="0.15">
      <c r="A1438" s="70" t="s">
        <v>2538</v>
      </c>
      <c r="B1438" s="82"/>
      <c r="C1438" s="70" t="s">
        <v>3636</v>
      </c>
      <c r="D1438" s="70" t="s">
        <v>3243</v>
      </c>
      <c r="E1438" s="70" t="s">
        <v>3244</v>
      </c>
      <c r="F1438" s="70" t="s">
        <v>7222</v>
      </c>
      <c r="G1438" s="70" t="s">
        <v>3940</v>
      </c>
      <c r="H1438" s="93"/>
      <c r="I1438" s="85">
        <f t="shared" si="55"/>
        <v>1.6483600109809315</v>
      </c>
      <c r="J1438" s="85">
        <v>44.5</v>
      </c>
      <c r="K1438" s="131" t="s">
        <v>3177</v>
      </c>
      <c r="L1438" s="60">
        <v>59</v>
      </c>
      <c r="N1438" s="35"/>
    </row>
    <row r="1439" spans="1:14" ht="14" x14ac:dyDescent="0.15">
      <c r="A1439" s="70" t="s">
        <v>2538</v>
      </c>
      <c r="B1439" s="82"/>
      <c r="C1439" s="70" t="s">
        <v>3636</v>
      </c>
      <c r="D1439" s="70" t="s">
        <v>3243</v>
      </c>
      <c r="E1439" s="70" t="s">
        <v>3244</v>
      </c>
      <c r="F1439" s="70" t="s">
        <v>7222</v>
      </c>
      <c r="G1439" s="70" t="s">
        <v>4210</v>
      </c>
      <c r="H1439" s="93"/>
      <c r="I1439" s="85">
        <f t="shared" si="55"/>
        <v>1.6532125137753437</v>
      </c>
      <c r="J1439" s="85">
        <v>45</v>
      </c>
      <c r="K1439" s="131" t="s">
        <v>3177</v>
      </c>
      <c r="L1439" s="60">
        <v>59</v>
      </c>
      <c r="N1439" s="35"/>
    </row>
    <row r="1440" spans="1:14" ht="14" x14ac:dyDescent="0.15">
      <c r="A1440" s="70" t="s">
        <v>2538</v>
      </c>
      <c r="B1440" s="82"/>
      <c r="C1440" s="70" t="s">
        <v>3636</v>
      </c>
      <c r="D1440" s="70" t="s">
        <v>3243</v>
      </c>
      <c r="E1440" s="70" t="s">
        <v>3244</v>
      </c>
      <c r="F1440" s="70" t="s">
        <v>7222</v>
      </c>
      <c r="G1440" s="70" t="s">
        <v>4213</v>
      </c>
      <c r="H1440" s="93"/>
      <c r="I1440" s="85">
        <f t="shared" si="55"/>
        <v>1.7242758696007889</v>
      </c>
      <c r="J1440" s="85">
        <v>53</v>
      </c>
      <c r="K1440" s="131" t="s">
        <v>3177</v>
      </c>
      <c r="L1440" s="60">
        <v>59</v>
      </c>
    </row>
    <row r="1441" spans="1:16" ht="14" x14ac:dyDescent="0.15">
      <c r="A1441" s="70" t="s">
        <v>2538</v>
      </c>
      <c r="B1441" s="82"/>
      <c r="C1441" s="70" t="s">
        <v>3636</v>
      </c>
      <c r="D1441" s="70" t="s">
        <v>3243</v>
      </c>
      <c r="E1441" s="70" t="s">
        <v>3244</v>
      </c>
      <c r="F1441" s="70" t="s">
        <v>7222</v>
      </c>
      <c r="G1441" s="70" t="s">
        <v>3989</v>
      </c>
      <c r="H1441" s="93"/>
      <c r="I1441" s="85">
        <f t="shared" si="55"/>
        <v>1.7283537820212285</v>
      </c>
      <c r="J1441" s="85">
        <v>53.5</v>
      </c>
      <c r="K1441" s="131" t="s">
        <v>3177</v>
      </c>
      <c r="L1441" s="60">
        <v>59</v>
      </c>
    </row>
    <row r="1442" spans="1:16" ht="14" x14ac:dyDescent="0.15">
      <c r="A1442" s="70" t="s">
        <v>2538</v>
      </c>
      <c r="B1442" s="82"/>
      <c r="C1442" s="70" t="s">
        <v>3636</v>
      </c>
      <c r="D1442" s="70" t="s">
        <v>3243</v>
      </c>
      <c r="E1442" s="70" t="s">
        <v>3244</v>
      </c>
      <c r="F1442" s="70" t="s">
        <v>7222</v>
      </c>
      <c r="G1442" s="70" t="s">
        <v>4678</v>
      </c>
      <c r="H1442" s="93"/>
      <c r="I1442" s="85">
        <f t="shared" si="55"/>
        <v>1.8692317197309762</v>
      </c>
      <c r="J1442" s="85">
        <v>74</v>
      </c>
      <c r="K1442" s="131" t="s">
        <v>6630</v>
      </c>
      <c r="L1442" s="60">
        <v>59</v>
      </c>
      <c r="M1442" s="49" t="s">
        <v>6392</v>
      </c>
    </row>
    <row r="1443" spans="1:16" ht="14" x14ac:dyDescent="0.15">
      <c r="A1443" s="70" t="s">
        <v>2538</v>
      </c>
      <c r="B1443" s="82"/>
      <c r="C1443" s="70" t="s">
        <v>3636</v>
      </c>
      <c r="D1443" s="70" t="s">
        <v>3243</v>
      </c>
      <c r="E1443" s="70" t="s">
        <v>3244</v>
      </c>
      <c r="F1443" s="70" t="s">
        <v>7222</v>
      </c>
      <c r="G1443" s="70" t="s">
        <v>4148</v>
      </c>
      <c r="H1443" s="93"/>
      <c r="I1443" s="85">
        <f t="shared" si="55"/>
        <v>1.8836614351536176</v>
      </c>
      <c r="J1443" s="85">
        <v>76.5</v>
      </c>
      <c r="K1443" s="131" t="s">
        <v>6391</v>
      </c>
      <c r="L1443" s="60">
        <v>59</v>
      </c>
      <c r="M1443" s="49" t="s">
        <v>6392</v>
      </c>
    </row>
    <row r="1444" spans="1:16" ht="28" x14ac:dyDescent="0.15">
      <c r="A1444" s="70" t="s">
        <v>2538</v>
      </c>
      <c r="B1444" s="82"/>
      <c r="C1444" s="70" t="s">
        <v>3636</v>
      </c>
      <c r="D1444" s="70" t="s">
        <v>3243</v>
      </c>
      <c r="E1444" s="70" t="s">
        <v>3244</v>
      </c>
      <c r="F1444" s="70" t="s">
        <v>3736</v>
      </c>
      <c r="G1444" s="70" t="s">
        <v>3737</v>
      </c>
      <c r="H1444" s="93"/>
      <c r="I1444" s="85">
        <f t="shared" si="55"/>
        <v>2</v>
      </c>
      <c r="J1444" s="85">
        <v>100</v>
      </c>
      <c r="K1444" s="131" t="s">
        <v>6617</v>
      </c>
      <c r="L1444" s="60">
        <v>59</v>
      </c>
      <c r="M1444" s="49" t="s">
        <v>6728</v>
      </c>
    </row>
    <row r="1445" spans="1:16" ht="14" x14ac:dyDescent="0.15">
      <c r="A1445" s="70" t="s">
        <v>2538</v>
      </c>
      <c r="B1445" s="82"/>
      <c r="C1445" s="70" t="s">
        <v>3636</v>
      </c>
      <c r="D1445" s="70" t="s">
        <v>3243</v>
      </c>
      <c r="E1445" s="70" t="s">
        <v>3244</v>
      </c>
      <c r="F1445" s="70" t="s">
        <v>3736</v>
      </c>
      <c r="G1445" s="70" t="s">
        <v>3738</v>
      </c>
      <c r="H1445" s="93"/>
      <c r="I1445" s="85">
        <f t="shared" si="55"/>
        <v>2.0159881053841304</v>
      </c>
      <c r="J1445" s="85">
        <v>103.75</v>
      </c>
      <c r="K1445" s="131" t="s">
        <v>6600</v>
      </c>
      <c r="L1445" s="60">
        <v>59</v>
      </c>
      <c r="M1445" s="49" t="s">
        <v>6728</v>
      </c>
      <c r="P1445" s="35"/>
    </row>
    <row r="1446" spans="1:16" ht="14" x14ac:dyDescent="0.15">
      <c r="A1446" s="70" t="s">
        <v>2538</v>
      </c>
      <c r="B1446" s="82"/>
      <c r="C1446" s="70" t="s">
        <v>3636</v>
      </c>
      <c r="D1446" s="70" t="s">
        <v>3243</v>
      </c>
      <c r="E1446" s="70" t="s">
        <v>3244</v>
      </c>
      <c r="F1446" s="70" t="s">
        <v>3690</v>
      </c>
      <c r="G1446" s="70" t="s">
        <v>3691</v>
      </c>
      <c r="H1446" s="93"/>
      <c r="I1446" s="85">
        <f t="shared" si="55"/>
        <v>1.4586378490256493</v>
      </c>
      <c r="J1446" s="85">
        <v>28.75</v>
      </c>
      <c r="K1446" s="131" t="s">
        <v>3177</v>
      </c>
      <c r="L1446" s="60">
        <v>59</v>
      </c>
    </row>
    <row r="1447" spans="1:16" ht="42" x14ac:dyDescent="0.15">
      <c r="A1447" s="166" t="s">
        <v>2538</v>
      </c>
      <c r="B1447" s="82"/>
      <c r="C1447" s="70" t="s">
        <v>3636</v>
      </c>
      <c r="D1447" s="70" t="s">
        <v>3243</v>
      </c>
      <c r="E1447" s="70" t="s">
        <v>3244</v>
      </c>
      <c r="F1447" s="70" t="s">
        <v>4208</v>
      </c>
      <c r="G1447" s="70" t="s">
        <v>4209</v>
      </c>
      <c r="H1447" s="93"/>
      <c r="I1447" s="85">
        <f t="shared" si="55"/>
        <v>2.720159303405957</v>
      </c>
      <c r="J1447" s="85">
        <v>525</v>
      </c>
      <c r="K1447" s="131" t="s">
        <v>7253</v>
      </c>
      <c r="L1447" s="60">
        <v>59</v>
      </c>
      <c r="M1447" s="49" t="s">
        <v>6392</v>
      </c>
    </row>
    <row r="1448" spans="1:16" ht="42" x14ac:dyDescent="0.15">
      <c r="A1448" s="70" t="s">
        <v>2538</v>
      </c>
      <c r="B1448" s="82"/>
      <c r="C1448" s="70" t="s">
        <v>3636</v>
      </c>
      <c r="D1448" s="70" t="s">
        <v>3243</v>
      </c>
      <c r="E1448" s="70" t="s">
        <v>3244</v>
      </c>
      <c r="F1448" s="70" t="s">
        <v>4208</v>
      </c>
      <c r="G1448" s="70" t="s">
        <v>3754</v>
      </c>
      <c r="H1448" s="93"/>
      <c r="I1448" s="85">
        <f t="shared" si="55"/>
        <v>3.0374264979406238</v>
      </c>
      <c r="J1448" s="85">
        <v>1090</v>
      </c>
      <c r="K1448" s="131" t="s">
        <v>7255</v>
      </c>
      <c r="L1448" s="60">
        <v>59</v>
      </c>
      <c r="M1448" s="49" t="s">
        <v>6392</v>
      </c>
    </row>
    <row r="1449" spans="1:16" ht="70" x14ac:dyDescent="0.15">
      <c r="A1449" s="70" t="s">
        <v>2538</v>
      </c>
      <c r="B1449" s="82"/>
      <c r="C1449" s="70" t="s">
        <v>3636</v>
      </c>
      <c r="D1449" s="70" t="s">
        <v>3243</v>
      </c>
      <c r="E1449" s="70" t="s">
        <v>3244</v>
      </c>
      <c r="F1449" s="70" t="s">
        <v>4208</v>
      </c>
      <c r="G1449" s="70" t="s">
        <v>3744</v>
      </c>
      <c r="H1449" s="93"/>
      <c r="I1449" s="85">
        <f t="shared" si="55"/>
        <v>3.0413926851582249</v>
      </c>
      <c r="J1449" s="85">
        <v>1100</v>
      </c>
      <c r="K1449" s="131" t="s">
        <v>6674</v>
      </c>
      <c r="L1449" s="60">
        <v>59</v>
      </c>
      <c r="M1449" s="49" t="s">
        <v>6728</v>
      </c>
    </row>
    <row r="1450" spans="1:16" ht="28" x14ac:dyDescent="0.15">
      <c r="A1450" s="70" t="s">
        <v>2538</v>
      </c>
      <c r="B1450" s="82"/>
      <c r="C1450" s="70" t="s">
        <v>3636</v>
      </c>
      <c r="D1450" s="70" t="s">
        <v>3243</v>
      </c>
      <c r="E1450" s="70" t="s">
        <v>3244</v>
      </c>
      <c r="F1450" s="70" t="s">
        <v>4208</v>
      </c>
      <c r="G1450" s="70" t="s">
        <v>3333</v>
      </c>
      <c r="H1450" s="93"/>
      <c r="I1450" s="85">
        <f t="shared" si="55"/>
        <v>3.7403626894942437</v>
      </c>
      <c r="J1450" s="85">
        <v>5500</v>
      </c>
      <c r="K1450" s="131" t="s">
        <v>6471</v>
      </c>
      <c r="L1450" s="60">
        <v>59</v>
      </c>
      <c r="M1450" s="49" t="s">
        <v>6728</v>
      </c>
    </row>
    <row r="1451" spans="1:16" ht="14" x14ac:dyDescent="0.15">
      <c r="A1451" s="70" t="s">
        <v>2538</v>
      </c>
      <c r="B1451" s="82"/>
      <c r="C1451" s="70" t="s">
        <v>3636</v>
      </c>
      <c r="D1451" s="70" t="s">
        <v>3243</v>
      </c>
      <c r="E1451" s="70" t="s">
        <v>3244</v>
      </c>
      <c r="F1451" s="70" t="s">
        <v>3876</v>
      </c>
      <c r="G1451" s="70" t="s">
        <v>6883</v>
      </c>
      <c r="H1451" s="93"/>
      <c r="I1451" s="85">
        <f t="shared" si="55"/>
        <v>0.75587485567249146</v>
      </c>
      <c r="J1451" s="85">
        <v>5.7</v>
      </c>
      <c r="K1451" s="131" t="s">
        <v>3177</v>
      </c>
      <c r="L1451" s="60">
        <v>59</v>
      </c>
    </row>
    <row r="1452" spans="1:16" ht="14" x14ac:dyDescent="0.15">
      <c r="A1452" s="70" t="s">
        <v>2538</v>
      </c>
      <c r="B1452" s="82"/>
      <c r="C1452" s="70" t="s">
        <v>3636</v>
      </c>
      <c r="D1452" s="70" t="s">
        <v>3243</v>
      </c>
      <c r="E1452" s="70" t="s">
        <v>3244</v>
      </c>
      <c r="F1452" s="70" t="s">
        <v>3876</v>
      </c>
      <c r="G1452" s="70" t="s">
        <v>3934</v>
      </c>
      <c r="H1452" s="93"/>
      <c r="I1452" s="85">
        <f t="shared" si="55"/>
        <v>0.84509804001425681</v>
      </c>
      <c r="J1452" s="85">
        <v>7</v>
      </c>
      <c r="K1452" s="131" t="s">
        <v>3177</v>
      </c>
      <c r="L1452" s="60">
        <v>59</v>
      </c>
    </row>
    <row r="1453" spans="1:16" ht="14" x14ac:dyDescent="0.15">
      <c r="A1453" s="166" t="s">
        <v>2538</v>
      </c>
      <c r="B1453" s="82"/>
      <c r="C1453" s="70" t="s">
        <v>3636</v>
      </c>
      <c r="D1453" s="70" t="s">
        <v>3243</v>
      </c>
      <c r="E1453" s="70" t="s">
        <v>3244</v>
      </c>
      <c r="F1453" s="70" t="s">
        <v>3876</v>
      </c>
      <c r="G1453" s="70" t="s">
        <v>3935</v>
      </c>
      <c r="H1453" s="93"/>
      <c r="I1453" s="85">
        <f t="shared" si="55"/>
        <v>0.92941892571429274</v>
      </c>
      <c r="J1453" s="85">
        <v>8.5</v>
      </c>
      <c r="K1453" s="131" t="s">
        <v>3177</v>
      </c>
      <c r="L1453" s="60">
        <v>59</v>
      </c>
    </row>
    <row r="1454" spans="1:16" ht="14" x14ac:dyDescent="0.15">
      <c r="A1454" s="166" t="s">
        <v>2538</v>
      </c>
      <c r="B1454" s="82"/>
      <c r="C1454" s="70" t="s">
        <v>3636</v>
      </c>
      <c r="D1454" s="70" t="s">
        <v>3243</v>
      </c>
      <c r="E1454" s="70" t="s">
        <v>3244</v>
      </c>
      <c r="F1454" s="70" t="s">
        <v>3692</v>
      </c>
      <c r="G1454" s="70" t="s">
        <v>3693</v>
      </c>
      <c r="H1454" s="93"/>
      <c r="I1454" s="85">
        <f t="shared" si="55"/>
        <v>1.4393326938302626</v>
      </c>
      <c r="J1454" s="85">
        <v>27.5</v>
      </c>
      <c r="K1454" s="131" t="s">
        <v>3177</v>
      </c>
      <c r="L1454" s="60">
        <v>59</v>
      </c>
    </row>
    <row r="1455" spans="1:16" ht="42" x14ac:dyDescent="0.15">
      <c r="A1455" s="166" t="s">
        <v>2538</v>
      </c>
      <c r="B1455" s="82"/>
      <c r="C1455" s="70" t="s">
        <v>3636</v>
      </c>
      <c r="D1455" s="70" t="s">
        <v>3243</v>
      </c>
      <c r="E1455" s="70" t="s">
        <v>3244</v>
      </c>
      <c r="F1455" s="70" t="s">
        <v>3692</v>
      </c>
      <c r="G1455" s="70" t="s">
        <v>4147</v>
      </c>
      <c r="H1455" s="93"/>
      <c r="I1455" s="85">
        <f t="shared" si="55"/>
        <v>1.8372727025023003</v>
      </c>
      <c r="J1455" s="85">
        <v>68.75</v>
      </c>
      <c r="K1455" s="131" t="s">
        <v>7253</v>
      </c>
      <c r="L1455" s="60">
        <v>59</v>
      </c>
      <c r="M1455" s="49" t="s">
        <v>6390</v>
      </c>
      <c r="P1455" s="35"/>
    </row>
    <row r="1456" spans="1:16" ht="28" x14ac:dyDescent="0.2">
      <c r="A1456" s="166" t="s">
        <v>2538</v>
      </c>
      <c r="B1456" s="82"/>
      <c r="C1456" s="70" t="s">
        <v>3636</v>
      </c>
      <c r="D1456" s="70" t="s">
        <v>3243</v>
      </c>
      <c r="E1456" s="70" t="s">
        <v>3244</v>
      </c>
      <c r="F1456" s="70" t="s">
        <v>3990</v>
      </c>
      <c r="G1456" s="70" t="s">
        <v>4145</v>
      </c>
      <c r="H1456" s="93"/>
      <c r="I1456" s="85">
        <f t="shared" si="55"/>
        <v>1.711807229041191</v>
      </c>
      <c r="J1456" s="85">
        <v>51.5</v>
      </c>
      <c r="K1456" s="131" t="s">
        <v>6617</v>
      </c>
      <c r="L1456" s="60">
        <v>59</v>
      </c>
      <c r="M1456" s="49" t="s">
        <v>6390</v>
      </c>
      <c r="N1456" s="48"/>
    </row>
    <row r="1457" spans="1:14" ht="42" x14ac:dyDescent="0.15">
      <c r="A1457" s="166" t="s">
        <v>2538</v>
      </c>
      <c r="B1457" s="82"/>
      <c r="C1457" s="70" t="s">
        <v>3636</v>
      </c>
      <c r="D1457" s="70" t="s">
        <v>3243</v>
      </c>
      <c r="E1457" s="70" t="s">
        <v>3244</v>
      </c>
      <c r="F1457" s="70" t="s">
        <v>3990</v>
      </c>
      <c r="G1457" s="70" t="s">
        <v>3739</v>
      </c>
      <c r="H1457" s="93"/>
      <c r="I1457" s="85">
        <f t="shared" si="55"/>
        <v>2.2866809693549301</v>
      </c>
      <c r="J1457" s="85">
        <v>193.5</v>
      </c>
      <c r="K1457" s="131" t="s">
        <v>6778</v>
      </c>
      <c r="L1457" s="60">
        <v>59</v>
      </c>
      <c r="M1457" s="49" t="s">
        <v>6392</v>
      </c>
    </row>
    <row r="1458" spans="1:14" ht="14" x14ac:dyDescent="0.15">
      <c r="A1458" s="70" t="s">
        <v>2538</v>
      </c>
      <c r="B1458" s="82"/>
      <c r="C1458" s="70" t="s">
        <v>3636</v>
      </c>
      <c r="D1458" s="70" t="s">
        <v>3243</v>
      </c>
      <c r="E1458" s="70" t="s">
        <v>3244</v>
      </c>
      <c r="F1458" s="70" t="s">
        <v>3877</v>
      </c>
      <c r="G1458" s="70" t="s">
        <v>4313</v>
      </c>
      <c r="H1458" s="93"/>
      <c r="I1458" s="85">
        <f t="shared" si="55"/>
        <v>0.62838893005031149</v>
      </c>
      <c r="J1458" s="85">
        <v>4.25</v>
      </c>
      <c r="K1458" s="131" t="s">
        <v>3177</v>
      </c>
      <c r="L1458" s="60">
        <v>59</v>
      </c>
    </row>
    <row r="1459" spans="1:14" ht="14" x14ac:dyDescent="0.15">
      <c r="A1459" s="73" t="s">
        <v>2538</v>
      </c>
      <c r="B1459" s="82"/>
      <c r="C1459" s="70" t="s">
        <v>3636</v>
      </c>
      <c r="D1459" s="70" t="s">
        <v>3243</v>
      </c>
      <c r="E1459" s="70" t="s">
        <v>3244</v>
      </c>
      <c r="F1459" s="70" t="s">
        <v>3877</v>
      </c>
      <c r="G1459" s="70" t="s">
        <v>4314</v>
      </c>
      <c r="H1459" s="93"/>
      <c r="I1459" s="85">
        <f t="shared" si="55"/>
        <v>0.78175537465246892</v>
      </c>
      <c r="J1459" s="85">
        <v>6.05</v>
      </c>
      <c r="K1459" s="131" t="s">
        <v>3177</v>
      </c>
      <c r="L1459" s="60">
        <v>59</v>
      </c>
    </row>
    <row r="1460" spans="1:14" ht="14" x14ac:dyDescent="0.15">
      <c r="A1460" s="166" t="s">
        <v>2538</v>
      </c>
      <c r="B1460" s="82"/>
      <c r="C1460" s="70" t="s">
        <v>3636</v>
      </c>
      <c r="D1460" s="70" t="s">
        <v>3243</v>
      </c>
      <c r="E1460" s="70" t="s">
        <v>3244</v>
      </c>
      <c r="F1460" s="70" t="s">
        <v>3877</v>
      </c>
      <c r="G1460" s="70" t="s">
        <v>6884</v>
      </c>
      <c r="H1460" s="93"/>
      <c r="I1460" s="85">
        <f t="shared" si="55"/>
        <v>0.96378782734555524</v>
      </c>
      <c r="J1460" s="85">
        <v>9.1999999999999993</v>
      </c>
      <c r="K1460" s="131" t="s">
        <v>3177</v>
      </c>
      <c r="L1460" s="60">
        <v>59</v>
      </c>
    </row>
    <row r="1461" spans="1:14" ht="16" x14ac:dyDescent="0.2">
      <c r="A1461" s="166" t="s">
        <v>2538</v>
      </c>
      <c r="B1461" s="82"/>
      <c r="C1461" s="70" t="s">
        <v>3636</v>
      </c>
      <c r="D1461" s="70" t="s">
        <v>3243</v>
      </c>
      <c r="E1461" s="70" t="s">
        <v>3244</v>
      </c>
      <c r="F1461" s="70" t="s">
        <v>3877</v>
      </c>
      <c r="G1461" s="70" t="s">
        <v>4730</v>
      </c>
      <c r="H1461" s="93"/>
      <c r="I1461" s="85">
        <f t="shared" si="55"/>
        <v>1.0413926851582251</v>
      </c>
      <c r="J1461" s="85">
        <v>11</v>
      </c>
      <c r="K1461" s="131" t="s">
        <v>3177</v>
      </c>
      <c r="L1461" s="60">
        <v>59</v>
      </c>
      <c r="N1461" s="48"/>
    </row>
    <row r="1462" spans="1:14" ht="16" x14ac:dyDescent="0.2">
      <c r="A1462" s="166" t="s">
        <v>2538</v>
      </c>
      <c r="B1462" s="82"/>
      <c r="C1462" s="70" t="s">
        <v>3636</v>
      </c>
      <c r="D1462" s="70" t="s">
        <v>3243</v>
      </c>
      <c r="E1462" s="70" t="s">
        <v>3244</v>
      </c>
      <c r="F1462" s="70" t="s">
        <v>7313</v>
      </c>
      <c r="G1462" s="70" t="s">
        <v>7314</v>
      </c>
      <c r="H1462" s="93"/>
      <c r="I1462" s="85">
        <f t="shared" si="55"/>
        <v>1.3010299956639813</v>
      </c>
      <c r="J1462" s="85">
        <v>20</v>
      </c>
      <c r="K1462" s="131" t="s">
        <v>3177</v>
      </c>
      <c r="L1462" s="60">
        <v>59</v>
      </c>
      <c r="N1462" s="48"/>
    </row>
    <row r="1463" spans="1:14" ht="14" x14ac:dyDescent="0.15">
      <c r="A1463" s="166" t="s">
        <v>2538</v>
      </c>
      <c r="B1463" s="82"/>
      <c r="C1463" s="70" t="s">
        <v>3636</v>
      </c>
      <c r="D1463" s="70" t="s">
        <v>3243</v>
      </c>
      <c r="E1463" s="70" t="s">
        <v>3244</v>
      </c>
      <c r="F1463" s="70" t="s">
        <v>7313</v>
      </c>
      <c r="G1463" s="70" t="s">
        <v>4134</v>
      </c>
      <c r="H1463" s="93"/>
      <c r="I1463" s="85">
        <f t="shared" si="55"/>
        <v>1.5118833609788744</v>
      </c>
      <c r="J1463" s="85">
        <v>32.5</v>
      </c>
      <c r="K1463" s="131" t="s">
        <v>6520</v>
      </c>
      <c r="L1463" s="60">
        <v>59</v>
      </c>
      <c r="M1463" s="49" t="s">
        <v>6728</v>
      </c>
    </row>
    <row r="1464" spans="1:14" ht="14" x14ac:dyDescent="0.15">
      <c r="A1464" s="166" t="s">
        <v>2538</v>
      </c>
      <c r="B1464" s="82"/>
      <c r="C1464" s="70" t="s">
        <v>3636</v>
      </c>
      <c r="D1464" s="70" t="s">
        <v>3243</v>
      </c>
      <c r="E1464" s="70" t="s">
        <v>3244</v>
      </c>
      <c r="F1464" s="70" t="s">
        <v>7313</v>
      </c>
      <c r="G1464" s="70" t="s">
        <v>3941</v>
      </c>
      <c r="H1464" s="93"/>
      <c r="I1464" s="85">
        <f t="shared" si="55"/>
        <v>1.6020599913279623</v>
      </c>
      <c r="J1464" s="85">
        <v>40</v>
      </c>
      <c r="K1464" s="131" t="s">
        <v>3177</v>
      </c>
      <c r="L1464" s="60">
        <v>59</v>
      </c>
    </row>
    <row r="1465" spans="1:14" ht="14" x14ac:dyDescent="0.15">
      <c r="A1465" s="166" t="s">
        <v>2538</v>
      </c>
      <c r="B1465" s="93" t="s">
        <v>6623</v>
      </c>
      <c r="C1465" s="70" t="s">
        <v>3636</v>
      </c>
      <c r="D1465" s="70" t="s">
        <v>3243</v>
      </c>
      <c r="E1465" s="70" t="s">
        <v>3244</v>
      </c>
      <c r="F1465" s="70" t="s">
        <v>3936</v>
      </c>
      <c r="G1465" s="70" t="s">
        <v>4243</v>
      </c>
      <c r="H1465" s="93"/>
      <c r="I1465" s="85">
        <v>-999</v>
      </c>
      <c r="J1465" s="85">
        <v>-999</v>
      </c>
      <c r="K1465" s="131">
        <v>-999</v>
      </c>
      <c r="L1465" s="60">
        <v>148</v>
      </c>
      <c r="M1465" s="33" t="s">
        <v>6727</v>
      </c>
    </row>
    <row r="1466" spans="1:14" ht="14" x14ac:dyDescent="0.15">
      <c r="A1466" s="166" t="s">
        <v>2538</v>
      </c>
      <c r="B1466" s="82"/>
      <c r="C1466" s="70" t="s">
        <v>3636</v>
      </c>
      <c r="D1466" s="70" t="s">
        <v>3243</v>
      </c>
      <c r="E1466" s="70" t="s">
        <v>3244</v>
      </c>
      <c r="F1466" s="70" t="s">
        <v>3936</v>
      </c>
      <c r="G1466" s="70" t="s">
        <v>7201</v>
      </c>
      <c r="H1466" s="93"/>
      <c r="I1466" s="85">
        <f t="shared" ref="I1466:I1497" si="56">LOG(J1466)</f>
        <v>1.0043213737826426</v>
      </c>
      <c r="J1466" s="85">
        <v>10.1</v>
      </c>
      <c r="K1466" s="131" t="s">
        <v>3177</v>
      </c>
      <c r="L1466" s="60">
        <v>59</v>
      </c>
    </row>
    <row r="1467" spans="1:14" ht="14" x14ac:dyDescent="0.15">
      <c r="A1467" s="166" t="s">
        <v>2538</v>
      </c>
      <c r="B1467" s="82"/>
      <c r="C1467" s="70" t="s">
        <v>3636</v>
      </c>
      <c r="D1467" s="70" t="s">
        <v>3243</v>
      </c>
      <c r="E1467" s="70" t="s">
        <v>3244</v>
      </c>
      <c r="F1467" s="70" t="s">
        <v>3936</v>
      </c>
      <c r="G1467" s="70" t="s">
        <v>6882</v>
      </c>
      <c r="H1467" s="93"/>
      <c r="I1467" s="85">
        <f t="shared" si="56"/>
        <v>1.0413926851582251</v>
      </c>
      <c r="J1467" s="95">
        <v>11</v>
      </c>
      <c r="K1467" s="131" t="s">
        <v>3177</v>
      </c>
      <c r="L1467" s="60">
        <v>59</v>
      </c>
    </row>
    <row r="1468" spans="1:14" ht="14" x14ac:dyDescent="0.15">
      <c r="A1468" s="166" t="s">
        <v>2538</v>
      </c>
      <c r="B1468" s="82"/>
      <c r="C1468" s="70" t="s">
        <v>3636</v>
      </c>
      <c r="D1468" s="70" t="s">
        <v>3243</v>
      </c>
      <c r="E1468" s="70" t="s">
        <v>3244</v>
      </c>
      <c r="F1468" s="70" t="s">
        <v>3936</v>
      </c>
      <c r="G1468" s="70" t="s">
        <v>3874</v>
      </c>
      <c r="H1468" s="93"/>
      <c r="I1468" s="85">
        <f t="shared" si="56"/>
        <v>1.1335389083702174</v>
      </c>
      <c r="J1468" s="85">
        <v>13.6</v>
      </c>
      <c r="K1468" s="131" t="s">
        <v>3177</v>
      </c>
      <c r="L1468" s="60">
        <v>59</v>
      </c>
    </row>
    <row r="1469" spans="1:14" ht="16" x14ac:dyDescent="0.2">
      <c r="A1469" s="166" t="s">
        <v>2538</v>
      </c>
      <c r="B1469" s="82"/>
      <c r="C1469" s="70" t="s">
        <v>3636</v>
      </c>
      <c r="D1469" s="70" t="s">
        <v>3243</v>
      </c>
      <c r="E1469" s="70" t="s">
        <v>3244</v>
      </c>
      <c r="F1469" s="70" t="s">
        <v>3936</v>
      </c>
      <c r="G1469" s="70" t="s">
        <v>4321</v>
      </c>
      <c r="H1469" s="93"/>
      <c r="I1469" s="85">
        <f t="shared" si="56"/>
        <v>1.1760912590556813</v>
      </c>
      <c r="J1469" s="85">
        <v>15</v>
      </c>
      <c r="K1469" s="131" t="s">
        <v>3177</v>
      </c>
      <c r="L1469" s="60">
        <v>59</v>
      </c>
      <c r="N1469" s="48"/>
    </row>
    <row r="1470" spans="1:14" ht="14" x14ac:dyDescent="0.15">
      <c r="A1470" s="166" t="s">
        <v>2538</v>
      </c>
      <c r="B1470" s="82"/>
      <c r="C1470" s="70" t="s">
        <v>3636</v>
      </c>
      <c r="D1470" s="70" t="s">
        <v>3243</v>
      </c>
      <c r="E1470" s="70" t="s">
        <v>3244</v>
      </c>
      <c r="F1470" s="70" t="s">
        <v>3936</v>
      </c>
      <c r="G1470" s="70" t="s">
        <v>7210</v>
      </c>
      <c r="H1470" s="93"/>
      <c r="I1470" s="85">
        <f t="shared" si="56"/>
        <v>1.1760912590556813</v>
      </c>
      <c r="J1470" s="85">
        <v>15</v>
      </c>
      <c r="K1470" s="131" t="s">
        <v>3177</v>
      </c>
      <c r="L1470" s="60">
        <v>59</v>
      </c>
    </row>
    <row r="1471" spans="1:14" ht="16" x14ac:dyDescent="0.2">
      <c r="A1471" s="166" t="s">
        <v>2538</v>
      </c>
      <c r="B1471" s="82"/>
      <c r="C1471" s="70" t="s">
        <v>3636</v>
      </c>
      <c r="D1471" s="70" t="s">
        <v>3243</v>
      </c>
      <c r="E1471" s="70" t="s">
        <v>3244</v>
      </c>
      <c r="F1471" s="70" t="s">
        <v>3936</v>
      </c>
      <c r="G1471" s="70" t="s">
        <v>6881</v>
      </c>
      <c r="H1471" s="93"/>
      <c r="I1471" s="85">
        <f t="shared" si="56"/>
        <v>1.2041199826559248</v>
      </c>
      <c r="J1471" s="85">
        <v>16</v>
      </c>
      <c r="K1471" s="131" t="s">
        <v>3177</v>
      </c>
      <c r="L1471" s="60">
        <v>59</v>
      </c>
      <c r="M1471" s="49" t="s">
        <v>6727</v>
      </c>
      <c r="N1471" s="48"/>
    </row>
    <row r="1472" spans="1:14" ht="14" x14ac:dyDescent="0.15">
      <c r="A1472" s="166" t="s">
        <v>2538</v>
      </c>
      <c r="B1472" s="82"/>
      <c r="C1472" s="70" t="s">
        <v>3636</v>
      </c>
      <c r="D1472" s="70" t="s">
        <v>3243</v>
      </c>
      <c r="E1472" s="70" t="s">
        <v>3244</v>
      </c>
      <c r="F1472" s="70" t="s">
        <v>3936</v>
      </c>
      <c r="G1472" s="70" t="s">
        <v>4125</v>
      </c>
      <c r="H1472" s="93"/>
      <c r="I1472" s="85">
        <f t="shared" si="56"/>
        <v>1.2304489213782739</v>
      </c>
      <c r="J1472" s="85">
        <v>17</v>
      </c>
      <c r="K1472" s="131" t="s">
        <v>3177</v>
      </c>
      <c r="L1472" s="60">
        <v>59</v>
      </c>
    </row>
    <row r="1473" spans="1:13" ht="14" x14ac:dyDescent="0.15">
      <c r="A1473" s="166" t="s">
        <v>2538</v>
      </c>
      <c r="B1473" s="82"/>
      <c r="C1473" s="73" t="s">
        <v>3636</v>
      </c>
      <c r="D1473" s="73" t="s">
        <v>3243</v>
      </c>
      <c r="E1473" s="70" t="s">
        <v>3244</v>
      </c>
      <c r="F1473" s="73" t="s">
        <v>3936</v>
      </c>
      <c r="G1473" s="73" t="s">
        <v>6880</v>
      </c>
      <c r="H1473" s="108"/>
      <c r="I1473" s="85">
        <f t="shared" si="56"/>
        <v>1.2430380486862944</v>
      </c>
      <c r="J1473" s="95">
        <v>17.5</v>
      </c>
      <c r="K1473" s="131" t="s">
        <v>3177</v>
      </c>
      <c r="L1473" s="60">
        <v>59</v>
      </c>
    </row>
    <row r="1474" spans="1:13" ht="14" x14ac:dyDescent="0.15">
      <c r="A1474" s="166" t="s">
        <v>2538</v>
      </c>
      <c r="B1474" s="82"/>
      <c r="C1474" s="70" t="s">
        <v>3636</v>
      </c>
      <c r="D1474" s="70" t="s">
        <v>3243</v>
      </c>
      <c r="E1474" s="70" t="s">
        <v>3244</v>
      </c>
      <c r="F1474" s="70" t="s">
        <v>3936</v>
      </c>
      <c r="G1474" s="70" t="s">
        <v>7219</v>
      </c>
      <c r="H1474" s="93"/>
      <c r="I1474" s="85">
        <f t="shared" si="56"/>
        <v>1.255272505103306</v>
      </c>
      <c r="J1474" s="85">
        <v>18</v>
      </c>
      <c r="K1474" s="131" t="s">
        <v>3177</v>
      </c>
      <c r="L1474" s="60">
        <v>59</v>
      </c>
    </row>
    <row r="1475" spans="1:13" ht="14" x14ac:dyDescent="0.15">
      <c r="A1475" s="166" t="s">
        <v>2538</v>
      </c>
      <c r="B1475" s="82"/>
      <c r="C1475" s="70" t="s">
        <v>3636</v>
      </c>
      <c r="D1475" s="70" t="s">
        <v>3243</v>
      </c>
      <c r="E1475" s="70" t="s">
        <v>3244</v>
      </c>
      <c r="F1475" s="70" t="s">
        <v>3936</v>
      </c>
      <c r="G1475" s="70" t="s">
        <v>7220</v>
      </c>
      <c r="H1475" s="93"/>
      <c r="I1475" s="85">
        <f t="shared" si="56"/>
        <v>1.2900346113625181</v>
      </c>
      <c r="J1475" s="85">
        <v>19.5</v>
      </c>
      <c r="K1475" s="131" t="s">
        <v>3177</v>
      </c>
      <c r="L1475" s="60">
        <v>59</v>
      </c>
    </row>
    <row r="1476" spans="1:13" ht="14" x14ac:dyDescent="0.15">
      <c r="A1476" s="166" t="s">
        <v>2538</v>
      </c>
      <c r="B1476" s="82"/>
      <c r="C1476" s="70" t="s">
        <v>3636</v>
      </c>
      <c r="D1476" s="70" t="s">
        <v>3243</v>
      </c>
      <c r="E1476" s="70" t="s">
        <v>3244</v>
      </c>
      <c r="F1476" s="70" t="s">
        <v>3936</v>
      </c>
      <c r="G1476" s="70" t="s">
        <v>3652</v>
      </c>
      <c r="H1476" s="93"/>
      <c r="I1476" s="85">
        <f t="shared" si="56"/>
        <v>1.3010299956639813</v>
      </c>
      <c r="J1476" s="85">
        <v>20</v>
      </c>
      <c r="K1476" s="131" t="s">
        <v>3177</v>
      </c>
      <c r="L1476" s="60">
        <v>59</v>
      </c>
    </row>
    <row r="1477" spans="1:13" ht="28" x14ac:dyDescent="0.15">
      <c r="A1477" s="166" t="s">
        <v>2538</v>
      </c>
      <c r="B1477" s="82"/>
      <c r="C1477" s="70" t="s">
        <v>3636</v>
      </c>
      <c r="D1477" s="70" t="s">
        <v>3243</v>
      </c>
      <c r="E1477" s="70" t="s">
        <v>3244</v>
      </c>
      <c r="F1477" s="70" t="s">
        <v>3936</v>
      </c>
      <c r="G1477" s="70" t="s">
        <v>4172</v>
      </c>
      <c r="H1477" s="93"/>
      <c r="I1477" s="85">
        <f t="shared" si="56"/>
        <v>1.3521825181113625</v>
      </c>
      <c r="J1477" s="85">
        <v>22.5</v>
      </c>
      <c r="K1477" s="131" t="s">
        <v>6691</v>
      </c>
      <c r="L1477" s="60">
        <v>59</v>
      </c>
      <c r="M1477" s="49" t="s">
        <v>6390</v>
      </c>
    </row>
    <row r="1478" spans="1:13" ht="14" x14ac:dyDescent="0.15">
      <c r="A1478" s="169" t="s">
        <v>2538</v>
      </c>
      <c r="B1478" s="90"/>
      <c r="C1478" s="91" t="s">
        <v>3636</v>
      </c>
      <c r="D1478" s="91" t="s">
        <v>3243</v>
      </c>
      <c r="E1478" s="91" t="s">
        <v>3244</v>
      </c>
      <c r="F1478" s="91" t="s">
        <v>3936</v>
      </c>
      <c r="G1478" s="91" t="s">
        <v>3740</v>
      </c>
      <c r="H1478" s="176"/>
      <c r="I1478" s="85">
        <f t="shared" si="56"/>
        <v>1.3979400086720377</v>
      </c>
      <c r="J1478" s="92">
        <v>25</v>
      </c>
      <c r="K1478" s="133" t="s">
        <v>6692</v>
      </c>
      <c r="L1478" s="65">
        <v>59</v>
      </c>
      <c r="M1478" s="49" t="s">
        <v>6728</v>
      </c>
    </row>
    <row r="1479" spans="1:13" ht="14" x14ac:dyDescent="0.15">
      <c r="A1479" s="166" t="s">
        <v>2538</v>
      </c>
      <c r="B1479" s="82"/>
      <c r="C1479" s="70" t="s">
        <v>3636</v>
      </c>
      <c r="D1479" s="70" t="s">
        <v>3243</v>
      </c>
      <c r="E1479" s="70" t="s">
        <v>3244</v>
      </c>
      <c r="F1479" s="70" t="s">
        <v>3936</v>
      </c>
      <c r="G1479" s="70" t="s">
        <v>3893</v>
      </c>
      <c r="H1479" s="93"/>
      <c r="I1479" s="85">
        <f t="shared" si="56"/>
        <v>1.3979400086720377</v>
      </c>
      <c r="J1479" s="85">
        <v>25</v>
      </c>
      <c r="K1479" s="131" t="s">
        <v>3177</v>
      </c>
      <c r="L1479" s="60">
        <v>59</v>
      </c>
    </row>
    <row r="1480" spans="1:13" ht="14" x14ac:dyDescent="0.15">
      <c r="A1480" s="166" t="s">
        <v>2538</v>
      </c>
      <c r="B1480" s="82"/>
      <c r="C1480" s="70" t="s">
        <v>3636</v>
      </c>
      <c r="D1480" s="70" t="s">
        <v>3243</v>
      </c>
      <c r="E1480" s="70" t="s">
        <v>3244</v>
      </c>
      <c r="F1480" s="70" t="s">
        <v>3936</v>
      </c>
      <c r="G1480" s="70" t="s">
        <v>7221</v>
      </c>
      <c r="H1480" s="93"/>
      <c r="I1480" s="85">
        <f t="shared" si="56"/>
        <v>1.3979400086720377</v>
      </c>
      <c r="J1480" s="85">
        <v>25</v>
      </c>
      <c r="K1480" s="131" t="s">
        <v>3177</v>
      </c>
      <c r="L1480" s="60">
        <v>59</v>
      </c>
      <c r="M1480" s="49" t="s">
        <v>6727</v>
      </c>
    </row>
    <row r="1481" spans="1:13" ht="14" x14ac:dyDescent="0.15">
      <c r="A1481" s="166" t="s">
        <v>2538</v>
      </c>
      <c r="B1481" s="82"/>
      <c r="C1481" s="70" t="s">
        <v>3636</v>
      </c>
      <c r="D1481" s="70" t="s">
        <v>3243</v>
      </c>
      <c r="E1481" s="70" t="s">
        <v>3244</v>
      </c>
      <c r="F1481" s="70" t="s">
        <v>3936</v>
      </c>
      <c r="G1481" s="70" t="s">
        <v>7224</v>
      </c>
      <c r="H1481" s="93"/>
      <c r="I1481" s="85">
        <f t="shared" si="56"/>
        <v>1.414973347970818</v>
      </c>
      <c r="J1481" s="85">
        <v>26</v>
      </c>
      <c r="K1481" s="131" t="s">
        <v>3177</v>
      </c>
      <c r="L1481" s="60">
        <v>59</v>
      </c>
      <c r="M1481" s="49" t="s">
        <v>6727</v>
      </c>
    </row>
    <row r="1482" spans="1:13" ht="28" x14ac:dyDescent="0.15">
      <c r="A1482" s="166" t="s">
        <v>2538</v>
      </c>
      <c r="B1482" s="82"/>
      <c r="C1482" s="70" t="s">
        <v>3636</v>
      </c>
      <c r="D1482" s="70" t="s">
        <v>3243</v>
      </c>
      <c r="E1482" s="70" t="s">
        <v>3244</v>
      </c>
      <c r="F1482" s="70" t="s">
        <v>3936</v>
      </c>
      <c r="G1482" s="70" t="s">
        <v>4157</v>
      </c>
      <c r="H1482" s="93"/>
      <c r="I1482" s="85">
        <f t="shared" si="56"/>
        <v>1.5250448070368452</v>
      </c>
      <c r="J1482" s="85">
        <v>33.5</v>
      </c>
      <c r="K1482" s="131" t="s">
        <v>6617</v>
      </c>
      <c r="L1482" s="60">
        <v>59</v>
      </c>
      <c r="M1482" s="49" t="s">
        <v>6390</v>
      </c>
    </row>
    <row r="1483" spans="1:13" ht="14" x14ac:dyDescent="0.15">
      <c r="A1483" s="166" t="s">
        <v>2538</v>
      </c>
      <c r="B1483" s="82"/>
      <c r="C1483" s="70" t="s">
        <v>3636</v>
      </c>
      <c r="D1483" s="70" t="s">
        <v>3243</v>
      </c>
      <c r="E1483" s="70" t="s">
        <v>3244</v>
      </c>
      <c r="F1483" s="70" t="s">
        <v>3936</v>
      </c>
      <c r="G1483" s="70" t="s">
        <v>3914</v>
      </c>
      <c r="H1483" s="93"/>
      <c r="I1483" s="85">
        <f t="shared" si="56"/>
        <v>1.5471591213274176</v>
      </c>
      <c r="J1483" s="85">
        <v>35.25</v>
      </c>
      <c r="K1483" s="131" t="s">
        <v>3177</v>
      </c>
      <c r="L1483" s="60">
        <v>59</v>
      </c>
    </row>
    <row r="1484" spans="1:13" ht="28" x14ac:dyDescent="0.15">
      <c r="A1484" s="166" t="s">
        <v>2538</v>
      </c>
      <c r="B1484" s="82"/>
      <c r="C1484" s="73" t="s">
        <v>3636</v>
      </c>
      <c r="D1484" s="73" t="s">
        <v>3243</v>
      </c>
      <c r="E1484" s="70" t="s">
        <v>3244</v>
      </c>
      <c r="F1484" s="73" t="s">
        <v>3936</v>
      </c>
      <c r="G1484" s="73" t="s">
        <v>4146</v>
      </c>
      <c r="H1484" s="108"/>
      <c r="I1484" s="85">
        <f t="shared" si="56"/>
        <v>1.7403626894942439</v>
      </c>
      <c r="J1484" s="95">
        <v>55</v>
      </c>
      <c r="K1484" s="131" t="s">
        <v>6693</v>
      </c>
      <c r="L1484" s="60">
        <v>59</v>
      </c>
      <c r="M1484" s="49" t="s">
        <v>6390</v>
      </c>
    </row>
    <row r="1485" spans="1:13" ht="28" x14ac:dyDescent="0.15">
      <c r="A1485" s="166" t="s">
        <v>2538</v>
      </c>
      <c r="B1485" s="82"/>
      <c r="C1485" s="70" t="s">
        <v>3636</v>
      </c>
      <c r="D1485" s="70" t="s">
        <v>3243</v>
      </c>
      <c r="E1485" s="70" t="s">
        <v>3747</v>
      </c>
      <c r="F1485" s="70" t="s">
        <v>4187</v>
      </c>
      <c r="G1485" s="70" t="s">
        <v>4188</v>
      </c>
      <c r="H1485" s="93"/>
      <c r="I1485" s="85">
        <f t="shared" si="56"/>
        <v>2.6734816970733473</v>
      </c>
      <c r="J1485" s="85">
        <v>471.5</v>
      </c>
      <c r="K1485" s="131" t="s">
        <v>6617</v>
      </c>
      <c r="L1485" s="60">
        <v>59</v>
      </c>
      <c r="M1485" s="49" t="s">
        <v>6728</v>
      </c>
    </row>
    <row r="1486" spans="1:13" ht="14" x14ac:dyDescent="0.15">
      <c r="A1486" s="166" t="s">
        <v>2538</v>
      </c>
      <c r="B1486" s="82"/>
      <c r="C1486" s="70" t="s">
        <v>3636</v>
      </c>
      <c r="D1486" s="70" t="s">
        <v>1992</v>
      </c>
      <c r="E1486" s="70" t="s">
        <v>2089</v>
      </c>
      <c r="F1486" s="70" t="s">
        <v>4797</v>
      </c>
      <c r="G1486" s="70" t="s">
        <v>6967</v>
      </c>
      <c r="H1486" s="93"/>
      <c r="I1486" s="85">
        <f t="shared" si="56"/>
        <v>1.0791812460476249</v>
      </c>
      <c r="J1486" s="85">
        <v>12</v>
      </c>
      <c r="K1486" s="131" t="s">
        <v>3177</v>
      </c>
      <c r="L1486" s="60">
        <v>59</v>
      </c>
    </row>
    <row r="1487" spans="1:13" ht="28" x14ac:dyDescent="0.15">
      <c r="A1487" s="166" t="s">
        <v>2538</v>
      </c>
      <c r="B1487" s="82"/>
      <c r="C1487" s="70" t="s">
        <v>3636</v>
      </c>
      <c r="D1487" s="70" t="s">
        <v>1992</v>
      </c>
      <c r="E1487" s="70" t="s">
        <v>4659</v>
      </c>
      <c r="F1487" s="70" t="s">
        <v>2087</v>
      </c>
      <c r="G1487" s="70" t="s">
        <v>7064</v>
      </c>
      <c r="H1487" s="93"/>
      <c r="I1487" s="85">
        <f t="shared" si="56"/>
        <v>1.6180480967120927</v>
      </c>
      <c r="J1487" s="85">
        <v>41.5</v>
      </c>
      <c r="K1487" s="131" t="s">
        <v>6652</v>
      </c>
      <c r="L1487" s="60">
        <v>59</v>
      </c>
      <c r="M1487" s="49" t="s">
        <v>6390</v>
      </c>
    </row>
    <row r="1488" spans="1:13" ht="14" x14ac:dyDescent="0.15">
      <c r="A1488" s="166" t="s">
        <v>2538</v>
      </c>
      <c r="B1488" s="82"/>
      <c r="C1488" s="70" t="s">
        <v>3636</v>
      </c>
      <c r="D1488" s="70" t="s">
        <v>1992</v>
      </c>
      <c r="E1488" s="70" t="s">
        <v>4659</v>
      </c>
      <c r="F1488" s="70" t="s">
        <v>2082</v>
      </c>
      <c r="G1488" s="70" t="s">
        <v>2083</v>
      </c>
      <c r="H1488" s="93"/>
      <c r="I1488" s="85">
        <f t="shared" si="56"/>
        <v>0.84509804001425681</v>
      </c>
      <c r="J1488" s="85">
        <v>7</v>
      </c>
      <c r="K1488" s="131" t="s">
        <v>3177</v>
      </c>
      <c r="L1488" s="60">
        <v>59</v>
      </c>
    </row>
    <row r="1489" spans="1:13" ht="14" x14ac:dyDescent="0.15">
      <c r="A1489" s="166" t="s">
        <v>2538</v>
      </c>
      <c r="B1489" s="82"/>
      <c r="C1489" s="70" t="s">
        <v>3636</v>
      </c>
      <c r="D1489" s="70" t="s">
        <v>1992</v>
      </c>
      <c r="E1489" s="70" t="s">
        <v>4659</v>
      </c>
      <c r="F1489" s="70" t="s">
        <v>2082</v>
      </c>
      <c r="G1489" s="70" t="s">
        <v>2084</v>
      </c>
      <c r="H1489" s="93"/>
      <c r="I1489" s="85">
        <f t="shared" si="56"/>
        <v>1.1139433523068367</v>
      </c>
      <c r="J1489" s="85">
        <v>13</v>
      </c>
      <c r="K1489" s="131" t="s">
        <v>3177</v>
      </c>
      <c r="L1489" s="60">
        <v>59</v>
      </c>
    </row>
    <row r="1490" spans="1:13" ht="14" x14ac:dyDescent="0.15">
      <c r="A1490" s="166" t="s">
        <v>2538</v>
      </c>
      <c r="B1490" s="82"/>
      <c r="C1490" s="70" t="s">
        <v>3636</v>
      </c>
      <c r="D1490" s="70" t="s">
        <v>1992</v>
      </c>
      <c r="E1490" s="70" t="s">
        <v>4659</v>
      </c>
      <c r="F1490" s="70" t="s">
        <v>2082</v>
      </c>
      <c r="G1490" s="70" t="s">
        <v>2085</v>
      </c>
      <c r="H1490" s="93"/>
      <c r="I1490" s="85">
        <f t="shared" si="56"/>
        <v>1.3802112417116059</v>
      </c>
      <c r="J1490" s="85">
        <v>24</v>
      </c>
      <c r="K1490" s="131" t="s">
        <v>3177</v>
      </c>
      <c r="L1490" s="60">
        <v>59</v>
      </c>
    </row>
    <row r="1491" spans="1:13" ht="14" x14ac:dyDescent="0.15">
      <c r="A1491" s="166" t="s">
        <v>2538</v>
      </c>
      <c r="B1491" s="82"/>
      <c r="C1491" s="70" t="s">
        <v>3636</v>
      </c>
      <c r="D1491" s="70" t="s">
        <v>1992</v>
      </c>
      <c r="E1491" s="70" t="s">
        <v>4659</v>
      </c>
      <c r="F1491" s="70" t="s">
        <v>2082</v>
      </c>
      <c r="G1491" s="70" t="s">
        <v>2086</v>
      </c>
      <c r="H1491" s="93"/>
      <c r="I1491" s="85">
        <f t="shared" si="56"/>
        <v>1.4771212547196624</v>
      </c>
      <c r="J1491" s="85">
        <v>30</v>
      </c>
      <c r="K1491" s="131" t="s">
        <v>3177</v>
      </c>
      <c r="L1491" s="60">
        <v>59</v>
      </c>
    </row>
    <row r="1492" spans="1:13" ht="14" x14ac:dyDescent="0.15">
      <c r="A1492" s="166" t="s">
        <v>2538</v>
      </c>
      <c r="B1492" s="82"/>
      <c r="C1492" s="70" t="s">
        <v>3636</v>
      </c>
      <c r="D1492" s="70" t="s">
        <v>1992</v>
      </c>
      <c r="E1492" s="70" t="s">
        <v>7065</v>
      </c>
      <c r="F1492" s="70" t="s">
        <v>4803</v>
      </c>
      <c r="G1492" s="70" t="s">
        <v>4804</v>
      </c>
      <c r="H1492" s="93"/>
      <c r="I1492" s="85">
        <f t="shared" si="56"/>
        <v>3.8293037728310249</v>
      </c>
      <c r="J1492" s="85">
        <v>6750</v>
      </c>
      <c r="K1492" s="131" t="s">
        <v>3177</v>
      </c>
      <c r="L1492" s="60">
        <v>59</v>
      </c>
      <c r="M1492" s="49" t="s">
        <v>6392</v>
      </c>
    </row>
    <row r="1493" spans="1:13" ht="14" x14ac:dyDescent="0.15">
      <c r="A1493" s="166" t="s">
        <v>2538</v>
      </c>
      <c r="B1493" s="82"/>
      <c r="C1493" s="70" t="s">
        <v>3636</v>
      </c>
      <c r="D1493" s="70" t="s">
        <v>1992</v>
      </c>
      <c r="E1493" s="70" t="s">
        <v>7065</v>
      </c>
      <c r="F1493" s="70" t="s">
        <v>4803</v>
      </c>
      <c r="G1493" s="70" t="s">
        <v>4042</v>
      </c>
      <c r="H1493" s="93"/>
      <c r="I1493" s="85">
        <f t="shared" si="56"/>
        <v>4.0394141191761372</v>
      </c>
      <c r="J1493" s="85">
        <v>10950</v>
      </c>
      <c r="K1493" s="131" t="s">
        <v>3177</v>
      </c>
      <c r="L1493" s="60">
        <v>59</v>
      </c>
      <c r="M1493" s="49" t="s">
        <v>6392</v>
      </c>
    </row>
    <row r="1494" spans="1:13" ht="28" x14ac:dyDescent="0.15">
      <c r="A1494" s="166" t="s">
        <v>2538</v>
      </c>
      <c r="B1494" s="82"/>
      <c r="C1494" s="70" t="s">
        <v>3636</v>
      </c>
      <c r="D1494" s="70" t="s">
        <v>1992</v>
      </c>
      <c r="E1494" s="70" t="s">
        <v>7065</v>
      </c>
      <c r="F1494" s="70" t="s">
        <v>7063</v>
      </c>
      <c r="G1494" s="70" t="s">
        <v>3595</v>
      </c>
      <c r="H1494" s="93"/>
      <c r="I1494" s="85">
        <f t="shared" si="56"/>
        <v>3.1020905255118367</v>
      </c>
      <c r="J1494" s="85">
        <v>1265</v>
      </c>
      <c r="K1494" s="131" t="s">
        <v>6617</v>
      </c>
      <c r="L1494" s="60">
        <v>59</v>
      </c>
      <c r="M1494" s="49" t="s">
        <v>6728</v>
      </c>
    </row>
    <row r="1495" spans="1:13" ht="14" x14ac:dyDescent="0.15">
      <c r="A1495" s="166" t="s">
        <v>2538</v>
      </c>
      <c r="B1495" s="82"/>
      <c r="C1495" s="70" t="s">
        <v>3636</v>
      </c>
      <c r="D1495" s="70" t="s">
        <v>1992</v>
      </c>
      <c r="E1495" s="70" t="s">
        <v>7065</v>
      </c>
      <c r="F1495" s="70" t="s">
        <v>7063</v>
      </c>
      <c r="G1495" s="70" t="s">
        <v>3997</v>
      </c>
      <c r="H1495" s="93"/>
      <c r="I1495" s="85">
        <f t="shared" si="56"/>
        <v>3.4842998393467859</v>
      </c>
      <c r="J1495" s="85">
        <v>3050</v>
      </c>
      <c r="K1495" s="131" t="s">
        <v>3177</v>
      </c>
      <c r="L1495" s="60">
        <v>59</v>
      </c>
      <c r="M1495" s="49" t="s">
        <v>6392</v>
      </c>
    </row>
    <row r="1496" spans="1:13" ht="14" x14ac:dyDescent="0.15">
      <c r="A1496" s="166" t="s">
        <v>2538</v>
      </c>
      <c r="B1496" s="82"/>
      <c r="C1496" s="70" t="s">
        <v>3636</v>
      </c>
      <c r="D1496" s="70" t="s">
        <v>1992</v>
      </c>
      <c r="E1496" s="70" t="s">
        <v>7065</v>
      </c>
      <c r="F1496" s="70" t="s">
        <v>3837</v>
      </c>
      <c r="G1496" s="70" t="s">
        <v>4188</v>
      </c>
      <c r="H1496" s="93"/>
      <c r="I1496" s="85">
        <f t="shared" si="56"/>
        <v>3.2304489213782741</v>
      </c>
      <c r="J1496" s="85">
        <v>1700</v>
      </c>
      <c r="K1496" s="131" t="s">
        <v>6630</v>
      </c>
      <c r="L1496" s="60">
        <v>59</v>
      </c>
      <c r="M1496" s="49" t="s">
        <v>6728</v>
      </c>
    </row>
    <row r="1497" spans="1:13" ht="28" x14ac:dyDescent="0.15">
      <c r="A1497" s="166" t="s">
        <v>2538</v>
      </c>
      <c r="B1497" s="82"/>
      <c r="C1497" s="70" t="s">
        <v>3636</v>
      </c>
      <c r="D1497" s="70" t="s">
        <v>1992</v>
      </c>
      <c r="E1497" s="70" t="s">
        <v>7065</v>
      </c>
      <c r="F1497" s="70" t="s">
        <v>3574</v>
      </c>
      <c r="G1497" s="70" t="s">
        <v>6824</v>
      </c>
      <c r="H1497" s="93"/>
      <c r="I1497" s="85">
        <f t="shared" si="56"/>
        <v>3.6532125137753435</v>
      </c>
      <c r="J1497" s="85">
        <v>4500</v>
      </c>
      <c r="K1497" s="131" t="s">
        <v>6617</v>
      </c>
      <c r="L1497" s="60">
        <v>59</v>
      </c>
      <c r="M1497" s="49" t="s">
        <v>6392</v>
      </c>
    </row>
    <row r="1498" spans="1:13" ht="14" x14ac:dyDescent="0.15">
      <c r="A1498" s="166" t="s">
        <v>2538</v>
      </c>
      <c r="B1498" s="82"/>
      <c r="C1498" s="70" t="s">
        <v>3636</v>
      </c>
      <c r="D1498" s="70" t="s">
        <v>1992</v>
      </c>
      <c r="E1498" s="70" t="s">
        <v>7065</v>
      </c>
      <c r="F1498" s="70" t="s">
        <v>3574</v>
      </c>
      <c r="G1498" s="70" t="s">
        <v>7081</v>
      </c>
      <c r="H1498" s="93"/>
      <c r="I1498" s="85">
        <f t="shared" ref="I1498:I1529" si="57">LOG(J1498)</f>
        <v>3.8129133566428557</v>
      </c>
      <c r="J1498" s="85">
        <v>6500</v>
      </c>
      <c r="K1498" s="131" t="s">
        <v>3177</v>
      </c>
      <c r="L1498" s="60">
        <v>59</v>
      </c>
    </row>
    <row r="1499" spans="1:13" ht="28" x14ac:dyDescent="0.15">
      <c r="A1499" s="166" t="s">
        <v>2538</v>
      </c>
      <c r="B1499" s="82"/>
      <c r="C1499" s="70" t="s">
        <v>3636</v>
      </c>
      <c r="D1499" s="70" t="s">
        <v>1992</v>
      </c>
      <c r="E1499" s="70" t="s">
        <v>7065</v>
      </c>
      <c r="F1499" s="70" t="s">
        <v>3574</v>
      </c>
      <c r="G1499" s="70" t="s">
        <v>4805</v>
      </c>
      <c r="H1499" s="93"/>
      <c r="I1499" s="85">
        <f t="shared" si="57"/>
        <v>3.9030899869919438</v>
      </c>
      <c r="J1499" s="85">
        <v>8000</v>
      </c>
      <c r="K1499" s="131" t="s">
        <v>7256</v>
      </c>
      <c r="L1499" s="60">
        <v>59</v>
      </c>
      <c r="M1499" s="49" t="s">
        <v>6392</v>
      </c>
    </row>
    <row r="1500" spans="1:13" ht="14" x14ac:dyDescent="0.15">
      <c r="A1500" s="166" t="s">
        <v>2538</v>
      </c>
      <c r="B1500" s="82"/>
      <c r="C1500" s="70" t="s">
        <v>3636</v>
      </c>
      <c r="D1500" s="70" t="s">
        <v>1992</v>
      </c>
      <c r="E1500" s="70" t="s">
        <v>7065</v>
      </c>
      <c r="F1500" s="70" t="s">
        <v>3574</v>
      </c>
      <c r="G1500" s="70" t="s">
        <v>3449</v>
      </c>
      <c r="H1500" s="93"/>
      <c r="I1500" s="85">
        <f t="shared" si="57"/>
        <v>4.0511525224473814</v>
      </c>
      <c r="J1500" s="85">
        <v>11250</v>
      </c>
      <c r="K1500" s="131" t="s">
        <v>3177</v>
      </c>
      <c r="L1500" s="60">
        <v>59</v>
      </c>
    </row>
    <row r="1501" spans="1:13" ht="14" x14ac:dyDescent="0.15">
      <c r="A1501" s="166" t="s">
        <v>2538</v>
      </c>
      <c r="B1501" s="82"/>
      <c r="C1501" s="70" t="s">
        <v>3636</v>
      </c>
      <c r="D1501" s="70" t="s">
        <v>1992</v>
      </c>
      <c r="E1501" s="70" t="s">
        <v>7065</v>
      </c>
      <c r="F1501" s="70" t="s">
        <v>3574</v>
      </c>
      <c r="G1501" s="70" t="s">
        <v>4043</v>
      </c>
      <c r="H1501" s="93"/>
      <c r="I1501" s="85">
        <f t="shared" si="57"/>
        <v>4.1303337684950066</v>
      </c>
      <c r="J1501" s="85">
        <v>13500</v>
      </c>
      <c r="K1501" s="131" t="s">
        <v>3177</v>
      </c>
      <c r="L1501" s="60">
        <v>59</v>
      </c>
    </row>
    <row r="1502" spans="1:13" ht="14" x14ac:dyDescent="0.15">
      <c r="A1502" s="166" t="s">
        <v>2538</v>
      </c>
      <c r="B1502" s="82"/>
      <c r="C1502" s="70" t="s">
        <v>3636</v>
      </c>
      <c r="D1502" s="70" t="s">
        <v>1992</v>
      </c>
      <c r="E1502" s="70" t="s">
        <v>7065</v>
      </c>
      <c r="F1502" s="70" t="s">
        <v>3574</v>
      </c>
      <c r="G1502" s="70" t="s">
        <v>4218</v>
      </c>
      <c r="H1502" s="93"/>
      <c r="I1502" s="85">
        <f t="shared" si="57"/>
        <v>4.1760912590556813</v>
      </c>
      <c r="J1502" s="85">
        <v>15000</v>
      </c>
      <c r="K1502" s="131" t="s">
        <v>3177</v>
      </c>
      <c r="L1502" s="60">
        <v>59</v>
      </c>
    </row>
    <row r="1503" spans="1:13" ht="14" x14ac:dyDescent="0.15">
      <c r="A1503" s="166" t="s">
        <v>2538</v>
      </c>
      <c r="B1503" s="82"/>
      <c r="C1503" s="70" t="s">
        <v>3636</v>
      </c>
      <c r="D1503" s="70" t="s">
        <v>1992</v>
      </c>
      <c r="E1503" s="73" t="s">
        <v>7065</v>
      </c>
      <c r="F1503" s="70" t="s">
        <v>3574</v>
      </c>
      <c r="G1503" s="70" t="s">
        <v>4005</v>
      </c>
      <c r="H1503" s="93"/>
      <c r="I1503" s="85">
        <f t="shared" si="57"/>
        <v>4.2265999052073573</v>
      </c>
      <c r="J1503" s="85">
        <v>16850</v>
      </c>
      <c r="K1503" s="131" t="s">
        <v>3177</v>
      </c>
      <c r="L1503" s="60">
        <v>59</v>
      </c>
    </row>
    <row r="1504" spans="1:13" ht="14" x14ac:dyDescent="0.15">
      <c r="A1504" s="166" t="s">
        <v>2538</v>
      </c>
      <c r="B1504" s="82"/>
      <c r="C1504" s="70" t="s">
        <v>3636</v>
      </c>
      <c r="D1504" s="70" t="s">
        <v>1992</v>
      </c>
      <c r="E1504" s="70" t="s">
        <v>7065</v>
      </c>
      <c r="F1504" s="70" t="s">
        <v>3574</v>
      </c>
      <c r="G1504" s="70" t="s">
        <v>4004</v>
      </c>
      <c r="H1504" s="93"/>
      <c r="I1504" s="85">
        <f t="shared" si="57"/>
        <v>4.2304489213782741</v>
      </c>
      <c r="J1504" s="85">
        <v>17000</v>
      </c>
      <c r="K1504" s="131" t="s">
        <v>6391</v>
      </c>
      <c r="L1504" s="60">
        <v>59</v>
      </c>
      <c r="M1504" s="49" t="s">
        <v>6392</v>
      </c>
    </row>
    <row r="1505" spans="1:13" ht="14" x14ac:dyDescent="0.15">
      <c r="A1505" s="166" t="s">
        <v>2538</v>
      </c>
      <c r="B1505" s="82"/>
      <c r="C1505" s="70" t="s">
        <v>3636</v>
      </c>
      <c r="D1505" s="70" t="s">
        <v>1992</v>
      </c>
      <c r="E1505" s="70" t="s">
        <v>7065</v>
      </c>
      <c r="F1505" s="70" t="s">
        <v>3574</v>
      </c>
      <c r="G1505" s="70" t="s">
        <v>6834</v>
      </c>
      <c r="H1505" s="93"/>
      <c r="I1505" s="85">
        <f t="shared" si="57"/>
        <v>4.3276143266206253</v>
      </c>
      <c r="J1505" s="85">
        <v>21262.5</v>
      </c>
      <c r="K1505" s="131" t="s">
        <v>3177</v>
      </c>
      <c r="L1505" s="60">
        <v>59</v>
      </c>
    </row>
    <row r="1506" spans="1:13" ht="14" x14ac:dyDescent="0.15">
      <c r="A1506" s="166" t="s">
        <v>2538</v>
      </c>
      <c r="B1506" s="82"/>
      <c r="C1506" s="70" t="s">
        <v>3636</v>
      </c>
      <c r="D1506" s="70" t="s">
        <v>1992</v>
      </c>
      <c r="E1506" s="70" t="s">
        <v>7065</v>
      </c>
      <c r="F1506" s="70" t="s">
        <v>3574</v>
      </c>
      <c r="G1506" s="70" t="s">
        <v>4243</v>
      </c>
      <c r="H1506" s="93"/>
      <c r="I1506" s="85">
        <f t="shared" si="57"/>
        <v>4.3424226808222066</v>
      </c>
      <c r="J1506" s="85">
        <v>22000</v>
      </c>
      <c r="K1506" s="131" t="s">
        <v>3177</v>
      </c>
      <c r="L1506" s="60">
        <v>59</v>
      </c>
    </row>
    <row r="1507" spans="1:13" ht="14" x14ac:dyDescent="0.15">
      <c r="A1507" s="166" t="s">
        <v>2538</v>
      </c>
      <c r="B1507" s="82"/>
      <c r="C1507" s="70" t="s">
        <v>3636</v>
      </c>
      <c r="D1507" s="70" t="s">
        <v>1992</v>
      </c>
      <c r="E1507" s="70" t="s">
        <v>7065</v>
      </c>
      <c r="F1507" s="70" t="s">
        <v>3574</v>
      </c>
      <c r="G1507" s="70" t="s">
        <v>4074</v>
      </c>
      <c r="H1507" s="93"/>
      <c r="I1507" s="85">
        <f t="shared" si="57"/>
        <v>4.4128803584649745</v>
      </c>
      <c r="J1507" s="85">
        <v>25875</v>
      </c>
      <c r="K1507" s="131" t="s">
        <v>3177</v>
      </c>
      <c r="L1507" s="60">
        <v>59</v>
      </c>
    </row>
    <row r="1508" spans="1:13" ht="14" x14ac:dyDescent="0.15">
      <c r="A1508" s="166" t="s">
        <v>2538</v>
      </c>
      <c r="B1508" s="82"/>
      <c r="C1508" s="70" t="s">
        <v>3636</v>
      </c>
      <c r="D1508" s="70" t="s">
        <v>1992</v>
      </c>
      <c r="E1508" s="70" t="s">
        <v>7065</v>
      </c>
      <c r="F1508" s="70" t="s">
        <v>3574</v>
      </c>
      <c r="G1508" s="70" t="s">
        <v>4054</v>
      </c>
      <c r="H1508" s="93"/>
      <c r="I1508" s="85">
        <f t="shared" si="57"/>
        <v>4.4353665066126613</v>
      </c>
      <c r="J1508" s="85">
        <v>27250</v>
      </c>
      <c r="K1508" s="131" t="s">
        <v>3177</v>
      </c>
      <c r="L1508" s="60">
        <v>59</v>
      </c>
    </row>
    <row r="1509" spans="1:13" ht="14" x14ac:dyDescent="0.15">
      <c r="A1509" s="166" t="s">
        <v>2538</v>
      </c>
      <c r="B1509" s="82"/>
      <c r="C1509" s="70" t="s">
        <v>3636</v>
      </c>
      <c r="D1509" s="70" t="s">
        <v>1992</v>
      </c>
      <c r="E1509" s="70" t="s">
        <v>7065</v>
      </c>
      <c r="F1509" s="70" t="s">
        <v>3574</v>
      </c>
      <c r="G1509" s="70" t="s">
        <v>2230</v>
      </c>
      <c r="H1509" s="93"/>
      <c r="I1509" s="85">
        <f t="shared" si="57"/>
        <v>4.6651117370750512</v>
      </c>
      <c r="J1509" s="85">
        <v>46250</v>
      </c>
      <c r="K1509" s="131" t="s">
        <v>3177</v>
      </c>
      <c r="L1509" s="60">
        <v>59</v>
      </c>
    </row>
    <row r="1510" spans="1:13" ht="28" x14ac:dyDescent="0.15">
      <c r="A1510" s="166" t="s">
        <v>2538</v>
      </c>
      <c r="B1510" s="82"/>
      <c r="C1510" s="70" t="s">
        <v>3636</v>
      </c>
      <c r="D1510" s="70" t="s">
        <v>1992</v>
      </c>
      <c r="E1510" s="70" t="s">
        <v>7065</v>
      </c>
      <c r="F1510" s="70" t="s">
        <v>7074</v>
      </c>
      <c r="G1510" s="70" t="s">
        <v>7075</v>
      </c>
      <c r="H1510" s="93"/>
      <c r="I1510" s="85">
        <f t="shared" si="57"/>
        <v>3.7403626894942437</v>
      </c>
      <c r="J1510" s="85">
        <v>5500</v>
      </c>
      <c r="K1510" s="146" t="s">
        <v>6617</v>
      </c>
      <c r="L1510" s="60">
        <v>59</v>
      </c>
      <c r="M1510" s="49" t="s">
        <v>6390</v>
      </c>
    </row>
    <row r="1511" spans="1:13" ht="14" x14ac:dyDescent="0.15">
      <c r="A1511" s="166" t="s">
        <v>2538</v>
      </c>
      <c r="B1511" s="82"/>
      <c r="C1511" s="70" t="s">
        <v>3636</v>
      </c>
      <c r="D1511" s="70" t="s">
        <v>1992</v>
      </c>
      <c r="E1511" s="70" t="s">
        <v>7065</v>
      </c>
      <c r="F1511" s="70" t="s">
        <v>7074</v>
      </c>
      <c r="G1511" s="70" t="s">
        <v>4802</v>
      </c>
      <c r="H1511" s="93"/>
      <c r="I1511" s="85">
        <f t="shared" si="57"/>
        <v>3.8228216453031045</v>
      </c>
      <c r="J1511" s="85">
        <v>6650</v>
      </c>
      <c r="K1511" s="131" t="s">
        <v>3177</v>
      </c>
      <c r="L1511" s="60">
        <v>59</v>
      </c>
    </row>
    <row r="1512" spans="1:13" ht="14" x14ac:dyDescent="0.15">
      <c r="A1512" s="166" t="s">
        <v>2538</v>
      </c>
      <c r="B1512" s="82"/>
      <c r="C1512" s="70" t="s">
        <v>3636</v>
      </c>
      <c r="D1512" s="70" t="s">
        <v>1992</v>
      </c>
      <c r="E1512" s="70" t="s">
        <v>7065</v>
      </c>
      <c r="F1512" s="70" t="s">
        <v>7066</v>
      </c>
      <c r="G1512" s="70" t="s">
        <v>2094</v>
      </c>
      <c r="H1512" s="93"/>
      <c r="I1512" s="85">
        <f t="shared" si="57"/>
        <v>3.0996806411092499</v>
      </c>
      <c r="J1512" s="85">
        <v>1258</v>
      </c>
      <c r="K1512" s="131" t="s">
        <v>6782</v>
      </c>
      <c r="L1512" s="60">
        <v>59</v>
      </c>
      <c r="M1512" s="49" t="s">
        <v>6392</v>
      </c>
    </row>
    <row r="1513" spans="1:13" ht="28" x14ac:dyDescent="0.15">
      <c r="A1513" s="166" t="s">
        <v>2538</v>
      </c>
      <c r="B1513" s="82"/>
      <c r="C1513" s="70" t="s">
        <v>3636</v>
      </c>
      <c r="D1513" s="70" t="s">
        <v>1992</v>
      </c>
      <c r="E1513" s="70" t="s">
        <v>7065</v>
      </c>
      <c r="F1513" s="70" t="s">
        <v>7066</v>
      </c>
      <c r="G1513" s="70" t="s">
        <v>4026</v>
      </c>
      <c r="H1513" s="93"/>
      <c r="I1513" s="85">
        <f t="shared" si="57"/>
        <v>3.1461280356782382</v>
      </c>
      <c r="J1513" s="85">
        <v>1400</v>
      </c>
      <c r="K1513" s="131" t="s">
        <v>6694</v>
      </c>
      <c r="L1513" s="60">
        <v>59</v>
      </c>
      <c r="M1513" s="49" t="s">
        <v>6392</v>
      </c>
    </row>
    <row r="1514" spans="1:13" ht="14" x14ac:dyDescent="0.15">
      <c r="A1514" s="166" t="s">
        <v>2538</v>
      </c>
      <c r="B1514" s="82"/>
      <c r="C1514" s="70" t="s">
        <v>3636</v>
      </c>
      <c r="D1514" s="70" t="s">
        <v>1992</v>
      </c>
      <c r="E1514" s="70" t="s">
        <v>7065</v>
      </c>
      <c r="F1514" s="70" t="s">
        <v>7066</v>
      </c>
      <c r="G1514" s="70" t="s">
        <v>3996</v>
      </c>
      <c r="H1514" s="93"/>
      <c r="I1514" s="85">
        <f t="shared" si="57"/>
        <v>3.5314789170422549</v>
      </c>
      <c r="J1514" s="85">
        <v>3400</v>
      </c>
      <c r="K1514" s="131" t="s">
        <v>3177</v>
      </c>
      <c r="L1514" s="60">
        <v>59</v>
      </c>
    </row>
    <row r="1515" spans="1:13" ht="14" x14ac:dyDescent="0.15">
      <c r="A1515" s="166" t="s">
        <v>2538</v>
      </c>
      <c r="B1515" s="82"/>
      <c r="C1515" s="70" t="s">
        <v>3636</v>
      </c>
      <c r="D1515" s="70" t="s">
        <v>1992</v>
      </c>
      <c r="E1515" s="70" t="s">
        <v>7065</v>
      </c>
      <c r="F1515" s="70" t="s">
        <v>7066</v>
      </c>
      <c r="G1515" s="70" t="s">
        <v>7271</v>
      </c>
      <c r="H1515" s="93"/>
      <c r="I1515" s="85">
        <f t="shared" si="57"/>
        <v>3.6074550232146687</v>
      </c>
      <c r="J1515" s="85">
        <v>4050</v>
      </c>
      <c r="K1515" s="131" t="s">
        <v>3177</v>
      </c>
      <c r="L1515" s="60">
        <v>59</v>
      </c>
    </row>
    <row r="1516" spans="1:13" ht="14" x14ac:dyDescent="0.15">
      <c r="A1516" s="166" t="s">
        <v>2538</v>
      </c>
      <c r="B1516" s="82"/>
      <c r="C1516" s="70" t="s">
        <v>3636</v>
      </c>
      <c r="D1516" s="70" t="s">
        <v>1992</v>
      </c>
      <c r="E1516" s="70" t="s">
        <v>7065</v>
      </c>
      <c r="F1516" s="70" t="s">
        <v>7066</v>
      </c>
      <c r="G1516" s="70" t="s">
        <v>7082</v>
      </c>
      <c r="H1516" s="93"/>
      <c r="I1516" s="85">
        <f t="shared" si="57"/>
        <v>3.6532125137753435</v>
      </c>
      <c r="J1516" s="85">
        <v>4500</v>
      </c>
      <c r="K1516" s="131" t="s">
        <v>3177</v>
      </c>
      <c r="L1516" s="60">
        <v>59</v>
      </c>
    </row>
    <row r="1517" spans="1:13" ht="14" x14ac:dyDescent="0.15">
      <c r="A1517" s="166" t="s">
        <v>2538</v>
      </c>
      <c r="B1517" s="82"/>
      <c r="C1517" s="70" t="s">
        <v>3636</v>
      </c>
      <c r="D1517" s="70" t="s">
        <v>1992</v>
      </c>
      <c r="E1517" s="70" t="s">
        <v>7065</v>
      </c>
      <c r="F1517" s="70" t="s">
        <v>7066</v>
      </c>
      <c r="G1517" s="70" t="s">
        <v>6826</v>
      </c>
      <c r="H1517" s="93"/>
      <c r="I1517" s="85">
        <f t="shared" si="57"/>
        <v>3.6627578316815739</v>
      </c>
      <c r="J1517" s="85">
        <v>4600</v>
      </c>
      <c r="K1517" s="131" t="s">
        <v>3177</v>
      </c>
      <c r="L1517" s="60">
        <v>59</v>
      </c>
    </row>
    <row r="1518" spans="1:13" ht="14" x14ac:dyDescent="0.15">
      <c r="A1518" s="166" t="s">
        <v>2538</v>
      </c>
      <c r="B1518" s="82"/>
      <c r="C1518" s="70" t="s">
        <v>3636</v>
      </c>
      <c r="D1518" s="70" t="s">
        <v>1992</v>
      </c>
      <c r="E1518" s="70" t="s">
        <v>7065</v>
      </c>
      <c r="F1518" s="70" t="s">
        <v>7066</v>
      </c>
      <c r="G1518" s="70" t="s">
        <v>4230</v>
      </c>
      <c r="H1518" s="93"/>
      <c r="I1518" s="85">
        <f t="shared" si="57"/>
        <v>3.6651117370750512</v>
      </c>
      <c r="J1518" s="85">
        <v>4625</v>
      </c>
      <c r="K1518" s="131" t="s">
        <v>3177</v>
      </c>
      <c r="L1518" s="60">
        <v>59</v>
      </c>
    </row>
    <row r="1519" spans="1:13" ht="14" x14ac:dyDescent="0.15">
      <c r="A1519" s="166" t="s">
        <v>2538</v>
      </c>
      <c r="B1519" s="82"/>
      <c r="C1519" s="70" t="s">
        <v>3636</v>
      </c>
      <c r="D1519" s="70" t="s">
        <v>1992</v>
      </c>
      <c r="E1519" s="70" t="s">
        <v>7065</v>
      </c>
      <c r="F1519" s="70" t="s">
        <v>7066</v>
      </c>
      <c r="G1519" s="70" t="s">
        <v>4148</v>
      </c>
      <c r="H1519" s="93"/>
      <c r="I1519" s="85">
        <f t="shared" si="57"/>
        <v>3.6766936096248664</v>
      </c>
      <c r="J1519" s="85">
        <v>4750</v>
      </c>
      <c r="K1519" s="131" t="s">
        <v>3177</v>
      </c>
      <c r="L1519" s="60">
        <v>59</v>
      </c>
      <c r="M1519" s="49" t="s">
        <v>6392</v>
      </c>
    </row>
    <row r="1520" spans="1:13" ht="42" x14ac:dyDescent="0.15">
      <c r="A1520" s="166" t="s">
        <v>2538</v>
      </c>
      <c r="B1520" s="82"/>
      <c r="C1520" s="70" t="s">
        <v>3636</v>
      </c>
      <c r="D1520" s="70" t="s">
        <v>1992</v>
      </c>
      <c r="E1520" s="70" t="s">
        <v>7065</v>
      </c>
      <c r="F1520" s="70" t="s">
        <v>7066</v>
      </c>
      <c r="G1520" s="70" t="s">
        <v>7076</v>
      </c>
      <c r="H1520" s="93"/>
      <c r="I1520" s="85">
        <f t="shared" si="57"/>
        <v>3.7923916894982539</v>
      </c>
      <c r="J1520" s="85">
        <v>6200</v>
      </c>
      <c r="K1520" s="131" t="s">
        <v>6685</v>
      </c>
      <c r="L1520" s="60">
        <v>59</v>
      </c>
      <c r="M1520" s="49" t="s">
        <v>6390</v>
      </c>
    </row>
    <row r="1521" spans="1:13" ht="28" x14ac:dyDescent="0.15">
      <c r="A1521" s="166" t="s">
        <v>2538</v>
      </c>
      <c r="B1521" s="82"/>
      <c r="C1521" s="70" t="s">
        <v>3636</v>
      </c>
      <c r="D1521" s="70" t="s">
        <v>1992</v>
      </c>
      <c r="E1521" s="70" t="s">
        <v>7065</v>
      </c>
      <c r="F1521" s="70" t="s">
        <v>7066</v>
      </c>
      <c r="G1521" s="70" t="s">
        <v>6833</v>
      </c>
      <c r="H1521" s="93"/>
      <c r="I1521" s="85">
        <f t="shared" si="57"/>
        <v>3.8512583487190755</v>
      </c>
      <c r="J1521" s="85">
        <v>7100</v>
      </c>
      <c r="K1521" s="131" t="s">
        <v>6617</v>
      </c>
      <c r="L1521" s="60">
        <v>59</v>
      </c>
      <c r="M1521" s="49" t="s">
        <v>6728</v>
      </c>
    </row>
    <row r="1522" spans="1:13" ht="14" x14ac:dyDescent="0.15">
      <c r="A1522" s="166" t="s">
        <v>2538</v>
      </c>
      <c r="B1522" s="82"/>
      <c r="C1522" s="70" t="s">
        <v>3636</v>
      </c>
      <c r="D1522" s="70" t="s">
        <v>1992</v>
      </c>
      <c r="E1522" s="70" t="s">
        <v>7065</v>
      </c>
      <c r="F1522" s="70" t="s">
        <v>7066</v>
      </c>
      <c r="G1522" s="70" t="s">
        <v>4806</v>
      </c>
      <c r="H1522" s="93"/>
      <c r="I1522" s="85">
        <f t="shared" si="57"/>
        <v>3.9294189257142929</v>
      </c>
      <c r="J1522" s="85">
        <v>8500</v>
      </c>
      <c r="K1522" s="131" t="s">
        <v>3177</v>
      </c>
      <c r="L1522" s="60">
        <v>59</v>
      </c>
      <c r="M1522" s="49" t="s">
        <v>6392</v>
      </c>
    </row>
    <row r="1523" spans="1:13" ht="28" x14ac:dyDescent="0.15">
      <c r="A1523" s="166" t="s">
        <v>2538</v>
      </c>
      <c r="B1523" s="82"/>
      <c r="C1523" s="70" t="s">
        <v>3636</v>
      </c>
      <c r="D1523" s="70" t="s">
        <v>1992</v>
      </c>
      <c r="E1523" s="70" t="s">
        <v>7065</v>
      </c>
      <c r="F1523" s="70" t="s">
        <v>3838</v>
      </c>
      <c r="G1523" s="70" t="s">
        <v>2115</v>
      </c>
      <c r="H1523" s="93"/>
      <c r="I1523" s="85">
        <f t="shared" si="57"/>
        <v>3.5118833609788744</v>
      </c>
      <c r="J1523" s="85">
        <v>3250</v>
      </c>
      <c r="K1523" s="131" t="s">
        <v>6617</v>
      </c>
      <c r="L1523" s="60">
        <v>59</v>
      </c>
      <c r="M1523" s="49" t="s">
        <v>6728</v>
      </c>
    </row>
    <row r="1524" spans="1:13" ht="14" x14ac:dyDescent="0.15">
      <c r="A1524" s="166" t="s">
        <v>2538</v>
      </c>
      <c r="B1524" s="82"/>
      <c r="C1524" s="70" t="s">
        <v>3636</v>
      </c>
      <c r="D1524" s="70" t="s">
        <v>1992</v>
      </c>
      <c r="E1524" s="70" t="s">
        <v>7065</v>
      </c>
      <c r="F1524" s="70" t="s">
        <v>7272</v>
      </c>
      <c r="G1524" s="70" t="s">
        <v>6825</v>
      </c>
      <c r="H1524" s="93"/>
      <c r="I1524" s="85">
        <f t="shared" si="57"/>
        <v>3.6627578316815739</v>
      </c>
      <c r="J1524" s="85">
        <v>4600</v>
      </c>
      <c r="K1524" s="131" t="s">
        <v>3177</v>
      </c>
      <c r="L1524" s="60">
        <v>59</v>
      </c>
    </row>
    <row r="1525" spans="1:13" ht="14" x14ac:dyDescent="0.15">
      <c r="A1525" s="166" t="s">
        <v>2538</v>
      </c>
      <c r="B1525" s="82"/>
      <c r="C1525" s="70" t="s">
        <v>3636</v>
      </c>
      <c r="D1525" s="70" t="s">
        <v>1992</v>
      </c>
      <c r="E1525" s="70" t="s">
        <v>7065</v>
      </c>
      <c r="F1525" s="70" t="s">
        <v>7272</v>
      </c>
      <c r="G1525" s="70" t="s">
        <v>7273</v>
      </c>
      <c r="H1525" s="93"/>
      <c r="I1525" s="85">
        <f t="shared" si="57"/>
        <v>3.7323937598229686</v>
      </c>
      <c r="J1525" s="85">
        <v>5400</v>
      </c>
      <c r="K1525" s="131" t="s">
        <v>3177</v>
      </c>
      <c r="L1525" s="60">
        <v>59</v>
      </c>
    </row>
    <row r="1526" spans="1:13" ht="14" x14ac:dyDescent="0.15">
      <c r="A1526" s="166" t="s">
        <v>2538</v>
      </c>
      <c r="B1526" s="82"/>
      <c r="C1526" s="70" t="s">
        <v>3636</v>
      </c>
      <c r="D1526" s="70" t="s">
        <v>1992</v>
      </c>
      <c r="E1526" s="70" t="s">
        <v>7065</v>
      </c>
      <c r="F1526" s="70" t="s">
        <v>7272</v>
      </c>
      <c r="G1526" s="70" t="s">
        <v>3573</v>
      </c>
      <c r="H1526" s="93"/>
      <c r="I1526" s="85">
        <f t="shared" si="57"/>
        <v>3.7363965022766426</v>
      </c>
      <c r="J1526" s="85">
        <v>5450</v>
      </c>
      <c r="K1526" s="131" t="s">
        <v>3177</v>
      </c>
      <c r="L1526" s="60">
        <v>59</v>
      </c>
    </row>
    <row r="1527" spans="1:13" ht="14" x14ac:dyDescent="0.15">
      <c r="A1527" s="166" t="s">
        <v>2538</v>
      </c>
      <c r="B1527" s="82"/>
      <c r="C1527" s="70" t="s">
        <v>3636</v>
      </c>
      <c r="D1527" s="70" t="s">
        <v>1992</v>
      </c>
      <c r="E1527" s="70" t="s">
        <v>7065</v>
      </c>
      <c r="F1527" s="70" t="s">
        <v>3828</v>
      </c>
      <c r="G1527" s="70" t="s">
        <v>3829</v>
      </c>
      <c r="H1527" s="93"/>
      <c r="I1527" s="85">
        <f t="shared" si="57"/>
        <v>4.1760912590556813</v>
      </c>
      <c r="J1527" s="85">
        <v>15000</v>
      </c>
      <c r="K1527" s="131" t="s">
        <v>3177</v>
      </c>
      <c r="L1527" s="60">
        <v>59</v>
      </c>
    </row>
    <row r="1528" spans="1:13" ht="14" x14ac:dyDescent="0.15">
      <c r="A1528" s="166" t="s">
        <v>2538</v>
      </c>
      <c r="B1528" s="82"/>
      <c r="C1528" s="70" t="s">
        <v>3636</v>
      </c>
      <c r="D1528" s="70" t="s">
        <v>1992</v>
      </c>
      <c r="E1528" s="70" t="s">
        <v>4086</v>
      </c>
      <c r="F1528" s="70" t="s">
        <v>3606</v>
      </c>
      <c r="G1528" s="70" t="s">
        <v>3607</v>
      </c>
      <c r="H1528" s="93"/>
      <c r="I1528" s="85">
        <f t="shared" si="57"/>
        <v>2.6263403673750423</v>
      </c>
      <c r="J1528" s="85">
        <v>423</v>
      </c>
      <c r="K1528" s="131" t="s">
        <v>3177</v>
      </c>
      <c r="L1528" s="60">
        <v>59</v>
      </c>
    </row>
    <row r="1529" spans="1:13" ht="14" x14ac:dyDescent="0.15">
      <c r="A1529" s="166" t="s">
        <v>2538</v>
      </c>
      <c r="B1529" s="82"/>
      <c r="C1529" s="70" t="s">
        <v>3636</v>
      </c>
      <c r="D1529" s="70" t="s">
        <v>1992</v>
      </c>
      <c r="E1529" s="70" t="s">
        <v>4086</v>
      </c>
      <c r="F1529" s="70" t="s">
        <v>4089</v>
      </c>
      <c r="G1529" s="70" t="s">
        <v>4080</v>
      </c>
      <c r="H1529" s="93"/>
      <c r="I1529" s="85">
        <f t="shared" si="57"/>
        <v>2.1038037209559568</v>
      </c>
      <c r="J1529" s="85">
        <v>127</v>
      </c>
      <c r="K1529" s="131" t="s">
        <v>6630</v>
      </c>
      <c r="L1529" s="60">
        <v>59</v>
      </c>
      <c r="M1529" s="49" t="s">
        <v>6390</v>
      </c>
    </row>
    <row r="1530" spans="1:13" ht="14" x14ac:dyDescent="0.15">
      <c r="A1530" s="166" t="s">
        <v>2538</v>
      </c>
      <c r="B1530" s="82"/>
      <c r="C1530" s="70" t="s">
        <v>3636</v>
      </c>
      <c r="D1530" s="70" t="s">
        <v>1992</v>
      </c>
      <c r="E1530" s="70" t="s">
        <v>4086</v>
      </c>
      <c r="F1530" s="70" t="s">
        <v>4087</v>
      </c>
      <c r="G1530" s="70" t="s">
        <v>4088</v>
      </c>
      <c r="H1530" s="93"/>
      <c r="I1530" s="85">
        <f t="shared" ref="I1530:I1561" si="58">LOG(J1530)</f>
        <v>2.1055101847699738</v>
      </c>
      <c r="J1530" s="85">
        <v>127.5</v>
      </c>
      <c r="K1530" s="131" t="s">
        <v>3177</v>
      </c>
      <c r="L1530" s="60">
        <v>59</v>
      </c>
    </row>
    <row r="1531" spans="1:13" ht="28" x14ac:dyDescent="0.15">
      <c r="A1531" s="166" t="s">
        <v>2538</v>
      </c>
      <c r="B1531" s="82"/>
      <c r="C1531" s="70" t="s">
        <v>3636</v>
      </c>
      <c r="D1531" s="70" t="s">
        <v>1992</v>
      </c>
      <c r="E1531" s="70" t="s">
        <v>4086</v>
      </c>
      <c r="F1531" s="70" t="s">
        <v>4087</v>
      </c>
      <c r="G1531" s="70" t="s">
        <v>3617</v>
      </c>
      <c r="H1531" s="93"/>
      <c r="I1531" s="85">
        <f t="shared" si="58"/>
        <v>2.3617278360175931</v>
      </c>
      <c r="J1531" s="85">
        <v>230</v>
      </c>
      <c r="K1531" s="131" t="s">
        <v>7875</v>
      </c>
      <c r="L1531" s="60">
        <v>59</v>
      </c>
      <c r="M1531" s="49" t="s">
        <v>6392</v>
      </c>
    </row>
    <row r="1532" spans="1:13" ht="28" x14ac:dyDescent="0.15">
      <c r="A1532" s="166" t="s">
        <v>2538</v>
      </c>
      <c r="B1532" s="82"/>
      <c r="C1532" s="70" t="s">
        <v>3636</v>
      </c>
      <c r="D1532" s="70" t="s">
        <v>1992</v>
      </c>
      <c r="E1532" s="70" t="s">
        <v>4086</v>
      </c>
      <c r="F1532" s="70" t="s">
        <v>4087</v>
      </c>
      <c r="G1532" s="70" t="s">
        <v>3605</v>
      </c>
      <c r="H1532" s="93"/>
      <c r="I1532" s="85">
        <f t="shared" si="58"/>
        <v>2.5477747053878224</v>
      </c>
      <c r="J1532" s="85">
        <v>353</v>
      </c>
      <c r="K1532" s="131" t="s">
        <v>7875</v>
      </c>
      <c r="L1532" s="60">
        <v>59</v>
      </c>
      <c r="M1532" s="49" t="s">
        <v>6390</v>
      </c>
    </row>
    <row r="1533" spans="1:13" ht="14" x14ac:dyDescent="0.15">
      <c r="A1533" s="166" t="s">
        <v>2538</v>
      </c>
      <c r="B1533" s="82"/>
      <c r="C1533" s="70" t="s">
        <v>3636</v>
      </c>
      <c r="D1533" s="70" t="s">
        <v>1992</v>
      </c>
      <c r="E1533" s="70" t="s">
        <v>4086</v>
      </c>
      <c r="F1533" s="70" t="s">
        <v>4087</v>
      </c>
      <c r="G1533" s="70" t="s">
        <v>3608</v>
      </c>
      <c r="H1533" s="93"/>
      <c r="I1533" s="85">
        <f t="shared" si="58"/>
        <v>2.7596678446896306</v>
      </c>
      <c r="J1533" s="85">
        <v>575</v>
      </c>
      <c r="K1533" s="131" t="s">
        <v>6391</v>
      </c>
      <c r="L1533" s="60">
        <v>59</v>
      </c>
      <c r="M1533" s="49" t="s">
        <v>6392</v>
      </c>
    </row>
    <row r="1534" spans="1:13" ht="14" x14ac:dyDescent="0.15">
      <c r="A1534" s="166" t="s">
        <v>2538</v>
      </c>
      <c r="B1534" s="82"/>
      <c r="C1534" s="70" t="s">
        <v>3636</v>
      </c>
      <c r="D1534" s="70" t="s">
        <v>1992</v>
      </c>
      <c r="E1534" s="70" t="s">
        <v>3612</v>
      </c>
      <c r="F1534" s="70" t="s">
        <v>3616</v>
      </c>
      <c r="G1534" s="70" t="s">
        <v>3624</v>
      </c>
      <c r="H1534" s="93"/>
      <c r="I1534" s="85">
        <f t="shared" si="58"/>
        <v>3.2671717284030137</v>
      </c>
      <c r="J1534" s="85">
        <v>1850</v>
      </c>
      <c r="K1534" s="131" t="s">
        <v>3177</v>
      </c>
      <c r="L1534" s="60">
        <v>59</v>
      </c>
    </row>
    <row r="1535" spans="1:13" ht="14" x14ac:dyDescent="0.15">
      <c r="A1535" s="166" t="s">
        <v>2538</v>
      </c>
      <c r="B1535" s="82"/>
      <c r="C1535" s="70" t="s">
        <v>3636</v>
      </c>
      <c r="D1535" s="70" t="s">
        <v>1992</v>
      </c>
      <c r="E1535" s="70" t="s">
        <v>3612</v>
      </c>
      <c r="F1535" s="70" t="s">
        <v>4070</v>
      </c>
      <c r="G1535" s="70" t="s">
        <v>3333</v>
      </c>
      <c r="H1535" s="93"/>
      <c r="I1535" s="85">
        <f t="shared" si="58"/>
        <v>3.8061799739838871</v>
      </c>
      <c r="J1535" s="85">
        <v>6400</v>
      </c>
      <c r="K1535" s="131" t="s">
        <v>3177</v>
      </c>
      <c r="L1535" s="60">
        <v>59</v>
      </c>
    </row>
    <row r="1536" spans="1:13" ht="28" x14ac:dyDescent="0.15">
      <c r="A1536" s="166" t="s">
        <v>2538</v>
      </c>
      <c r="B1536" s="93" t="s">
        <v>8030</v>
      </c>
      <c r="C1536" s="70" t="s">
        <v>3636</v>
      </c>
      <c r="D1536" s="70" t="s">
        <v>1992</v>
      </c>
      <c r="E1536" s="70" t="s">
        <v>3612</v>
      </c>
      <c r="F1536" s="70" t="s">
        <v>3618</v>
      </c>
      <c r="G1536" s="70" t="s">
        <v>5303</v>
      </c>
      <c r="H1536" s="93"/>
      <c r="I1536" s="85">
        <f t="shared" si="58"/>
        <v>3.1139433523068369</v>
      </c>
      <c r="J1536" s="85">
        <v>1300</v>
      </c>
      <c r="K1536" s="131" t="s">
        <v>3177</v>
      </c>
      <c r="L1536" s="60">
        <v>75</v>
      </c>
      <c r="M1536" s="54"/>
    </row>
    <row r="1537" spans="1:13" ht="14" x14ac:dyDescent="0.15">
      <c r="A1537" s="166" t="s">
        <v>2538</v>
      </c>
      <c r="B1537" s="82"/>
      <c r="C1537" s="70" t="s">
        <v>3636</v>
      </c>
      <c r="D1537" s="70" t="s">
        <v>1992</v>
      </c>
      <c r="E1537" s="70" t="s">
        <v>3612</v>
      </c>
      <c r="F1537" s="70" t="s">
        <v>3618</v>
      </c>
      <c r="G1537" s="70" t="s">
        <v>3628</v>
      </c>
      <c r="H1537" s="93"/>
      <c r="I1537" s="85">
        <f t="shared" si="58"/>
        <v>3.4232458739368079</v>
      </c>
      <c r="J1537" s="85">
        <v>2650</v>
      </c>
      <c r="K1537" s="131" t="s">
        <v>3177</v>
      </c>
      <c r="L1537" s="60">
        <v>59</v>
      </c>
    </row>
    <row r="1538" spans="1:13" ht="14" x14ac:dyDescent="0.15">
      <c r="A1538" s="166" t="s">
        <v>2538</v>
      </c>
      <c r="B1538" s="82"/>
      <c r="C1538" s="70" t="s">
        <v>3636</v>
      </c>
      <c r="D1538" s="70" t="s">
        <v>1992</v>
      </c>
      <c r="E1538" s="70" t="s">
        <v>3612</v>
      </c>
      <c r="F1538" s="70" t="s">
        <v>3618</v>
      </c>
      <c r="G1538" s="70" t="s">
        <v>3629</v>
      </c>
      <c r="H1538" s="93"/>
      <c r="I1538" s="85">
        <f t="shared" si="58"/>
        <v>3.5440680443502757</v>
      </c>
      <c r="J1538" s="85">
        <v>3500</v>
      </c>
      <c r="K1538" s="131" t="s">
        <v>3177</v>
      </c>
      <c r="L1538" s="60">
        <v>59</v>
      </c>
    </row>
    <row r="1539" spans="1:13" ht="14" x14ac:dyDescent="0.15">
      <c r="A1539" s="166" t="s">
        <v>2538</v>
      </c>
      <c r="B1539" s="82"/>
      <c r="C1539" s="70" t="s">
        <v>3636</v>
      </c>
      <c r="D1539" s="70" t="s">
        <v>1992</v>
      </c>
      <c r="E1539" s="70" t="s">
        <v>3612</v>
      </c>
      <c r="F1539" s="70" t="s">
        <v>3613</v>
      </c>
      <c r="G1539" s="70" t="s">
        <v>3414</v>
      </c>
      <c r="H1539" s="93"/>
      <c r="I1539" s="85">
        <f t="shared" si="58"/>
        <v>3.2240148113728639</v>
      </c>
      <c r="J1539" s="85">
        <v>1675</v>
      </c>
      <c r="K1539" s="131" t="s">
        <v>6630</v>
      </c>
      <c r="L1539" s="60">
        <v>59</v>
      </c>
      <c r="M1539" s="49" t="s">
        <v>6392</v>
      </c>
    </row>
    <row r="1540" spans="1:13" ht="14" x14ac:dyDescent="0.15">
      <c r="A1540" s="166" t="s">
        <v>2538</v>
      </c>
      <c r="B1540" s="82"/>
      <c r="C1540" s="70" t="s">
        <v>3636</v>
      </c>
      <c r="D1540" s="70" t="s">
        <v>1992</v>
      </c>
      <c r="E1540" s="70" t="s">
        <v>6940</v>
      </c>
      <c r="F1540" s="70" t="s">
        <v>4302</v>
      </c>
      <c r="G1540" s="70" t="s">
        <v>4303</v>
      </c>
      <c r="H1540" s="93"/>
      <c r="I1540" s="85">
        <f t="shared" si="58"/>
        <v>4.0107238653917729</v>
      </c>
      <c r="J1540" s="85">
        <v>10250</v>
      </c>
      <c r="K1540" s="131" t="s">
        <v>6520</v>
      </c>
      <c r="L1540" s="60">
        <v>59</v>
      </c>
      <c r="M1540" s="49" t="s">
        <v>6392</v>
      </c>
    </row>
    <row r="1541" spans="1:13" ht="14" x14ac:dyDescent="0.15">
      <c r="A1541" s="166" t="s">
        <v>2538</v>
      </c>
      <c r="B1541" s="82"/>
      <c r="C1541" s="70" t="s">
        <v>3636</v>
      </c>
      <c r="D1541" s="70" t="s">
        <v>1992</v>
      </c>
      <c r="E1541" s="70" t="s">
        <v>4304</v>
      </c>
      <c r="F1541" s="70" t="s">
        <v>4296</v>
      </c>
      <c r="G1541" s="70" t="s">
        <v>4265</v>
      </c>
      <c r="H1541" s="93"/>
      <c r="I1541" s="85">
        <f t="shared" si="58"/>
        <v>3.5118833609788744</v>
      </c>
      <c r="J1541" s="85">
        <v>3250</v>
      </c>
      <c r="K1541" s="131" t="s">
        <v>3177</v>
      </c>
      <c r="L1541" s="60">
        <v>59</v>
      </c>
    </row>
    <row r="1542" spans="1:13" ht="28" x14ac:dyDescent="0.15">
      <c r="A1542" s="166" t="s">
        <v>2538</v>
      </c>
      <c r="B1542" s="82"/>
      <c r="C1542" s="70" t="s">
        <v>3636</v>
      </c>
      <c r="D1542" s="70" t="s">
        <v>1992</v>
      </c>
      <c r="E1542" s="70" t="s">
        <v>4304</v>
      </c>
      <c r="F1542" s="70" t="s">
        <v>3648</v>
      </c>
      <c r="G1542" s="70" t="s">
        <v>6833</v>
      </c>
      <c r="H1542" s="93"/>
      <c r="I1542" s="85">
        <f t="shared" si="58"/>
        <v>3.1139433523068369</v>
      </c>
      <c r="J1542" s="85">
        <v>1300</v>
      </c>
      <c r="K1542" s="131" t="s">
        <v>6617</v>
      </c>
      <c r="L1542" s="60">
        <v>59</v>
      </c>
      <c r="M1542" s="49" t="s">
        <v>6392</v>
      </c>
    </row>
    <row r="1543" spans="1:13" ht="42" x14ac:dyDescent="0.15">
      <c r="A1543" s="166" t="s">
        <v>2538</v>
      </c>
      <c r="B1543" s="82"/>
      <c r="C1543" s="70" t="s">
        <v>3636</v>
      </c>
      <c r="D1543" s="70" t="s">
        <v>1992</v>
      </c>
      <c r="E1543" s="70" t="s">
        <v>4304</v>
      </c>
      <c r="F1543" s="70" t="s">
        <v>3648</v>
      </c>
      <c r="G1543" s="70" t="s">
        <v>3649</v>
      </c>
      <c r="H1543" s="93"/>
      <c r="I1543" s="85">
        <f t="shared" si="58"/>
        <v>3.1760912590556813</v>
      </c>
      <c r="J1543" s="85">
        <v>1500</v>
      </c>
      <c r="K1543" s="131" t="s">
        <v>6697</v>
      </c>
      <c r="L1543" s="60">
        <v>59</v>
      </c>
      <c r="M1543" s="49" t="s">
        <v>6728</v>
      </c>
    </row>
    <row r="1544" spans="1:13" ht="14" x14ac:dyDescent="0.15">
      <c r="A1544" s="166" t="s">
        <v>2538</v>
      </c>
      <c r="B1544" s="82"/>
      <c r="C1544" s="70" t="s">
        <v>3636</v>
      </c>
      <c r="D1544" s="70" t="s">
        <v>1992</v>
      </c>
      <c r="E1544" s="70" t="s">
        <v>4304</v>
      </c>
      <c r="F1544" s="70" t="s">
        <v>3648</v>
      </c>
      <c r="G1544" s="70" t="s">
        <v>6752</v>
      </c>
      <c r="H1544" s="93"/>
      <c r="I1544" s="85">
        <f t="shared" si="58"/>
        <v>3.220108088040055</v>
      </c>
      <c r="J1544" s="85">
        <v>1660</v>
      </c>
      <c r="K1544" s="131" t="s">
        <v>6630</v>
      </c>
      <c r="L1544" s="60">
        <v>59</v>
      </c>
      <c r="M1544" s="49" t="s">
        <v>6392</v>
      </c>
    </row>
    <row r="1545" spans="1:13" ht="14" x14ac:dyDescent="0.15">
      <c r="A1545" s="166" t="s">
        <v>2538</v>
      </c>
      <c r="B1545" s="82"/>
      <c r="C1545" s="70" t="s">
        <v>3636</v>
      </c>
      <c r="D1545" s="70" t="s">
        <v>1992</v>
      </c>
      <c r="E1545" s="70" t="s">
        <v>4304</v>
      </c>
      <c r="F1545" s="70" t="s">
        <v>4305</v>
      </c>
      <c r="G1545" s="70" t="s">
        <v>6966</v>
      </c>
      <c r="H1545" s="93"/>
      <c r="I1545" s="85">
        <f t="shared" si="58"/>
        <v>2.716003343634799</v>
      </c>
      <c r="J1545" s="85">
        <v>520</v>
      </c>
      <c r="K1545" s="131" t="s">
        <v>3177</v>
      </c>
      <c r="L1545" s="60">
        <v>59</v>
      </c>
    </row>
    <row r="1546" spans="1:13" ht="28" x14ac:dyDescent="0.15">
      <c r="A1546" s="166" t="s">
        <v>2538</v>
      </c>
      <c r="B1546" s="82"/>
      <c r="C1546" s="70" t="s">
        <v>3636</v>
      </c>
      <c r="D1546" s="70" t="s">
        <v>1992</v>
      </c>
      <c r="E1546" s="70" t="s">
        <v>4304</v>
      </c>
      <c r="F1546" s="70" t="s">
        <v>3615</v>
      </c>
      <c r="G1546" s="70" t="s">
        <v>4295</v>
      </c>
      <c r="H1546" s="93"/>
      <c r="I1546" s="85">
        <f t="shared" si="58"/>
        <v>3.0413926851582249</v>
      </c>
      <c r="J1546" s="85">
        <v>1100</v>
      </c>
      <c r="K1546" s="131" t="s">
        <v>6617</v>
      </c>
      <c r="L1546" s="60">
        <v>59</v>
      </c>
      <c r="M1546" s="49" t="s">
        <v>6809</v>
      </c>
    </row>
    <row r="1547" spans="1:13" ht="28" x14ac:dyDescent="0.15">
      <c r="A1547" s="166" t="s">
        <v>2538</v>
      </c>
      <c r="B1547" s="82"/>
      <c r="C1547" s="70" t="s">
        <v>3636</v>
      </c>
      <c r="D1547" s="70" t="s">
        <v>1992</v>
      </c>
      <c r="E1547" s="70" t="s">
        <v>4304</v>
      </c>
      <c r="F1547" s="70" t="s">
        <v>3615</v>
      </c>
      <c r="G1547" s="70" t="s">
        <v>3627</v>
      </c>
      <c r="H1547" s="93"/>
      <c r="I1547" s="85">
        <f t="shared" si="58"/>
        <v>3.2787536009528289</v>
      </c>
      <c r="J1547" s="85">
        <v>1900</v>
      </c>
      <c r="K1547" s="131" t="s">
        <v>7875</v>
      </c>
      <c r="L1547" s="60">
        <v>59</v>
      </c>
      <c r="M1547" s="49" t="s">
        <v>6390</v>
      </c>
    </row>
    <row r="1548" spans="1:13" ht="14" x14ac:dyDescent="0.15">
      <c r="A1548" s="166" t="s">
        <v>2538</v>
      </c>
      <c r="B1548" s="82"/>
      <c r="C1548" s="70" t="s">
        <v>3636</v>
      </c>
      <c r="D1548" s="70" t="s">
        <v>1992</v>
      </c>
      <c r="E1548" s="70" t="s">
        <v>7033</v>
      </c>
      <c r="F1548" s="70" t="s">
        <v>6986</v>
      </c>
      <c r="G1548" s="70" t="s">
        <v>6987</v>
      </c>
      <c r="H1548" s="93"/>
      <c r="I1548" s="85">
        <f t="shared" si="58"/>
        <v>2.9788649843476569</v>
      </c>
      <c r="J1548" s="85">
        <v>952.5</v>
      </c>
      <c r="K1548" s="131" t="s">
        <v>3177</v>
      </c>
      <c r="L1548" s="60">
        <v>59</v>
      </c>
      <c r="M1548" s="49" t="s">
        <v>6392</v>
      </c>
    </row>
    <row r="1549" spans="1:13" ht="14" x14ac:dyDescent="0.15">
      <c r="A1549" s="205" t="s">
        <v>2538</v>
      </c>
      <c r="B1549" s="82"/>
      <c r="C1549" s="70" t="s">
        <v>3636</v>
      </c>
      <c r="D1549" s="70" t="s">
        <v>1992</v>
      </c>
      <c r="E1549" s="70" t="s">
        <v>7033</v>
      </c>
      <c r="F1549" s="70" t="s">
        <v>4267</v>
      </c>
      <c r="G1549" s="70" t="s">
        <v>4268</v>
      </c>
      <c r="H1549" s="93"/>
      <c r="I1549" s="85">
        <f t="shared" si="58"/>
        <v>3.1139433523068369</v>
      </c>
      <c r="J1549" s="85">
        <v>1300</v>
      </c>
      <c r="K1549" s="131" t="s">
        <v>3177</v>
      </c>
      <c r="L1549" s="60">
        <v>59</v>
      </c>
    </row>
    <row r="1550" spans="1:13" ht="14" x14ac:dyDescent="0.15">
      <c r="A1550" s="205" t="s">
        <v>2538</v>
      </c>
      <c r="B1550" s="82"/>
      <c r="C1550" s="70" t="s">
        <v>3636</v>
      </c>
      <c r="D1550" s="70" t="s">
        <v>1992</v>
      </c>
      <c r="E1550" s="70" t="s">
        <v>7033</v>
      </c>
      <c r="F1550" s="70" t="s">
        <v>4269</v>
      </c>
      <c r="G1550" s="70" t="s">
        <v>4276</v>
      </c>
      <c r="H1550" s="93"/>
      <c r="I1550" s="85">
        <f t="shared" si="58"/>
        <v>3.214843848047698</v>
      </c>
      <c r="J1550" s="85">
        <v>1640</v>
      </c>
      <c r="K1550" s="131" t="s">
        <v>3177</v>
      </c>
      <c r="L1550" s="60">
        <v>59</v>
      </c>
    </row>
    <row r="1551" spans="1:13" ht="28" x14ac:dyDescent="0.15">
      <c r="A1551" s="205" t="s">
        <v>2538</v>
      </c>
      <c r="B1551" s="82"/>
      <c r="C1551" s="70" t="s">
        <v>3636</v>
      </c>
      <c r="D1551" s="70" t="s">
        <v>1992</v>
      </c>
      <c r="E1551" s="70" t="s">
        <v>7033</v>
      </c>
      <c r="F1551" s="70" t="s">
        <v>7034</v>
      </c>
      <c r="G1551" s="70" t="s">
        <v>7035</v>
      </c>
      <c r="H1551" s="93"/>
      <c r="I1551" s="85">
        <f t="shared" si="58"/>
        <v>2.9542425094393248</v>
      </c>
      <c r="J1551" s="85">
        <v>900</v>
      </c>
      <c r="K1551" s="131" t="s">
        <v>6754</v>
      </c>
      <c r="L1551" s="60">
        <v>59</v>
      </c>
      <c r="M1551" s="49" t="s">
        <v>6728</v>
      </c>
    </row>
    <row r="1552" spans="1:13" ht="14" x14ac:dyDescent="0.15">
      <c r="A1552" s="205" t="s">
        <v>2538</v>
      </c>
      <c r="B1552" s="82"/>
      <c r="C1552" s="70" t="s">
        <v>3636</v>
      </c>
      <c r="D1552" s="70" t="s">
        <v>1992</v>
      </c>
      <c r="E1552" s="70" t="s">
        <v>7033</v>
      </c>
      <c r="F1552" s="70" t="s">
        <v>7034</v>
      </c>
      <c r="G1552" s="70" t="s">
        <v>6988</v>
      </c>
      <c r="H1552" s="93"/>
      <c r="I1552" s="85">
        <f t="shared" si="58"/>
        <v>3.0472748673841794</v>
      </c>
      <c r="J1552" s="85">
        <v>1115</v>
      </c>
      <c r="K1552" s="131" t="s">
        <v>6630</v>
      </c>
      <c r="L1552" s="60">
        <v>59</v>
      </c>
      <c r="M1552" s="49" t="s">
        <v>6392</v>
      </c>
    </row>
    <row r="1553" spans="1:16" ht="14" x14ac:dyDescent="0.15">
      <c r="A1553" s="205" t="s">
        <v>2538</v>
      </c>
      <c r="B1553" s="82"/>
      <c r="C1553" s="70" t="s">
        <v>3636</v>
      </c>
      <c r="D1553" s="70" t="s">
        <v>1992</v>
      </c>
      <c r="E1553" s="70" t="s">
        <v>7033</v>
      </c>
      <c r="F1553" s="70" t="s">
        <v>6989</v>
      </c>
      <c r="G1553" s="70" t="s">
        <v>6881</v>
      </c>
      <c r="H1553" s="93"/>
      <c r="I1553" s="85">
        <f t="shared" si="58"/>
        <v>3.038023740045158</v>
      </c>
      <c r="J1553" s="85">
        <v>1091.5</v>
      </c>
      <c r="K1553" s="131" t="s">
        <v>6630</v>
      </c>
      <c r="L1553" s="60">
        <v>59</v>
      </c>
      <c r="M1553" s="49" t="s">
        <v>6392</v>
      </c>
    </row>
    <row r="1554" spans="1:16" ht="14" x14ac:dyDescent="0.15">
      <c r="A1554" s="205" t="s">
        <v>2538</v>
      </c>
      <c r="B1554" s="82"/>
      <c r="C1554" s="70" t="s">
        <v>3636</v>
      </c>
      <c r="D1554" s="70" t="s">
        <v>1992</v>
      </c>
      <c r="E1554" s="70" t="s">
        <v>4277</v>
      </c>
      <c r="F1554" s="70" t="s">
        <v>4278</v>
      </c>
      <c r="G1554" s="70" t="s">
        <v>3867</v>
      </c>
      <c r="H1554" s="93"/>
      <c r="I1554" s="85">
        <f t="shared" si="58"/>
        <v>0.95424250943932487</v>
      </c>
      <c r="J1554" s="85">
        <v>9</v>
      </c>
      <c r="K1554" s="131" t="s">
        <v>3177</v>
      </c>
      <c r="L1554" s="60">
        <v>59</v>
      </c>
    </row>
    <row r="1555" spans="1:16" ht="14" x14ac:dyDescent="0.15">
      <c r="A1555" s="205" t="s">
        <v>2538</v>
      </c>
      <c r="B1555" s="82"/>
      <c r="C1555" s="70" t="s">
        <v>3636</v>
      </c>
      <c r="D1555" s="70" t="s">
        <v>1992</v>
      </c>
      <c r="E1555" s="70" t="s">
        <v>4280</v>
      </c>
      <c r="F1555" s="70" t="s">
        <v>4281</v>
      </c>
      <c r="G1555" s="70" t="s">
        <v>4282</v>
      </c>
      <c r="H1555" s="93"/>
      <c r="I1555" s="85">
        <f t="shared" si="58"/>
        <v>3.4623979978989561</v>
      </c>
      <c r="J1555" s="85">
        <v>2900</v>
      </c>
      <c r="K1555" s="131" t="s">
        <v>6391</v>
      </c>
      <c r="L1555" s="60">
        <v>59</v>
      </c>
      <c r="M1555" s="49" t="s">
        <v>6809</v>
      </c>
    </row>
    <row r="1556" spans="1:16" ht="14" x14ac:dyDescent="0.15">
      <c r="A1556" s="205" t="s">
        <v>2538</v>
      </c>
      <c r="B1556" s="82"/>
      <c r="C1556" s="70" t="s">
        <v>3636</v>
      </c>
      <c r="D1556" s="70" t="s">
        <v>1992</v>
      </c>
      <c r="E1556" s="70" t="s">
        <v>4280</v>
      </c>
      <c r="F1556" s="70" t="s">
        <v>4281</v>
      </c>
      <c r="G1556" s="70" t="s">
        <v>4283</v>
      </c>
      <c r="H1556" s="93"/>
      <c r="I1556" s="85">
        <f t="shared" si="58"/>
        <v>4.4065401804339555</v>
      </c>
      <c r="J1556" s="85">
        <v>25500</v>
      </c>
      <c r="K1556" s="131" t="s">
        <v>3177</v>
      </c>
      <c r="L1556" s="60">
        <v>59</v>
      </c>
    </row>
    <row r="1557" spans="1:16" ht="14" x14ac:dyDescent="0.15">
      <c r="A1557" s="205" t="s">
        <v>2538</v>
      </c>
      <c r="B1557" s="82"/>
      <c r="C1557" s="70" t="s">
        <v>3636</v>
      </c>
      <c r="D1557" s="70" t="s">
        <v>1992</v>
      </c>
      <c r="E1557" s="70" t="s">
        <v>4280</v>
      </c>
      <c r="F1557" s="70" t="s">
        <v>4287</v>
      </c>
      <c r="G1557" s="70" t="s">
        <v>4288</v>
      </c>
      <c r="H1557" s="93"/>
      <c r="I1557" s="85">
        <f t="shared" si="58"/>
        <v>4.4149733479708182</v>
      </c>
      <c r="J1557" s="85">
        <v>26000</v>
      </c>
      <c r="K1557" s="131" t="s">
        <v>3177</v>
      </c>
      <c r="L1557" s="60">
        <v>59</v>
      </c>
    </row>
    <row r="1558" spans="1:16" ht="14" x14ac:dyDescent="0.15">
      <c r="A1558" s="205" t="s">
        <v>2538</v>
      </c>
      <c r="B1558" s="82"/>
      <c r="C1558" s="70" t="s">
        <v>3636</v>
      </c>
      <c r="D1558" s="70" t="s">
        <v>7077</v>
      </c>
      <c r="E1558" s="70" t="s">
        <v>7078</v>
      </c>
      <c r="F1558" s="70" t="s">
        <v>7072</v>
      </c>
      <c r="G1558" s="70" t="s">
        <v>4078</v>
      </c>
      <c r="H1558" s="93"/>
      <c r="I1558" s="85">
        <f t="shared" si="58"/>
        <v>3.6020599913279625</v>
      </c>
      <c r="J1558" s="85">
        <v>4000</v>
      </c>
      <c r="K1558" s="131" t="s">
        <v>3177</v>
      </c>
      <c r="L1558" s="60">
        <v>59</v>
      </c>
    </row>
    <row r="1559" spans="1:16" ht="14" x14ac:dyDescent="0.15">
      <c r="A1559" s="205" t="s">
        <v>2538</v>
      </c>
      <c r="B1559" s="82"/>
      <c r="C1559" s="70" t="s">
        <v>3636</v>
      </c>
      <c r="D1559" s="70" t="s">
        <v>6849</v>
      </c>
      <c r="E1559" s="70" t="s">
        <v>3621</v>
      </c>
      <c r="F1559" s="70" t="s">
        <v>3622</v>
      </c>
      <c r="G1559" s="70" t="s">
        <v>4069</v>
      </c>
      <c r="H1559" s="93"/>
      <c r="I1559" s="85">
        <f t="shared" si="58"/>
        <v>3.1715070575980961</v>
      </c>
      <c r="J1559" s="85">
        <v>1484.25</v>
      </c>
      <c r="K1559" s="131" t="s">
        <v>3177</v>
      </c>
      <c r="L1559" s="60">
        <v>59</v>
      </c>
      <c r="P1559" s="49"/>
    </row>
    <row r="1560" spans="1:16" ht="14" x14ac:dyDescent="0.15">
      <c r="A1560" s="205" t="s">
        <v>2538</v>
      </c>
      <c r="B1560" s="82"/>
      <c r="C1560" s="70" t="s">
        <v>3636</v>
      </c>
      <c r="D1560" s="70" t="s">
        <v>6849</v>
      </c>
      <c r="E1560" s="70" t="s">
        <v>4293</v>
      </c>
      <c r="F1560" s="70" t="s">
        <v>4294</v>
      </c>
      <c r="G1560" s="70" t="s">
        <v>6848</v>
      </c>
      <c r="H1560" s="93"/>
      <c r="I1560" s="85">
        <f t="shared" si="58"/>
        <v>3.6532125137753435</v>
      </c>
      <c r="J1560" s="85">
        <v>4500</v>
      </c>
      <c r="K1560" s="131" t="s">
        <v>3177</v>
      </c>
      <c r="L1560" s="60">
        <v>59</v>
      </c>
    </row>
    <row r="1561" spans="1:16" ht="14" x14ac:dyDescent="0.15">
      <c r="A1561" s="205" t="s">
        <v>2538</v>
      </c>
      <c r="B1561" s="82" t="s">
        <v>7398</v>
      </c>
      <c r="C1561" s="70" t="s">
        <v>3636</v>
      </c>
      <c r="D1561" s="70" t="s">
        <v>6796</v>
      </c>
      <c r="E1561" s="70" t="s">
        <v>6751</v>
      </c>
      <c r="F1561" s="70" t="s">
        <v>4272</v>
      </c>
      <c r="G1561" s="70" t="s">
        <v>7985</v>
      </c>
      <c r="H1561" s="93"/>
      <c r="I1561" s="85">
        <f t="shared" si="58"/>
        <v>1.5314789170422551</v>
      </c>
      <c r="J1561" s="110">
        <v>34</v>
      </c>
      <c r="K1561" s="146" t="s">
        <v>6773</v>
      </c>
      <c r="L1561" s="60">
        <v>228</v>
      </c>
      <c r="M1561" s="33" t="s">
        <v>6390</v>
      </c>
    </row>
    <row r="1562" spans="1:16" ht="14" x14ac:dyDescent="0.15">
      <c r="A1562" s="205" t="s">
        <v>2538</v>
      </c>
      <c r="B1562" s="82"/>
      <c r="C1562" s="70" t="s">
        <v>3636</v>
      </c>
      <c r="D1562" s="70" t="s">
        <v>6796</v>
      </c>
      <c r="E1562" s="70" t="s">
        <v>6751</v>
      </c>
      <c r="F1562" s="70" t="s">
        <v>4272</v>
      </c>
      <c r="G1562" s="70" t="s">
        <v>4273</v>
      </c>
      <c r="H1562" s="93"/>
      <c r="I1562" s="85">
        <f t="shared" ref="I1562:I1587" si="59">LOG(J1562)</f>
        <v>1.7403626894942439</v>
      </c>
      <c r="J1562" s="85">
        <v>55</v>
      </c>
      <c r="K1562" s="146" t="s">
        <v>6774</v>
      </c>
      <c r="L1562" s="60">
        <v>59</v>
      </c>
      <c r="M1562" s="49" t="s">
        <v>6390</v>
      </c>
    </row>
    <row r="1563" spans="1:16" ht="14" x14ac:dyDescent="0.15">
      <c r="A1563" s="205" t="s">
        <v>2538</v>
      </c>
      <c r="B1563" s="82"/>
      <c r="C1563" s="70" t="s">
        <v>3636</v>
      </c>
      <c r="D1563" s="70" t="s">
        <v>2439</v>
      </c>
      <c r="E1563" s="70" t="s">
        <v>2440</v>
      </c>
      <c r="F1563" s="70" t="s">
        <v>2445</v>
      </c>
      <c r="G1563" s="70" t="s">
        <v>2242</v>
      </c>
      <c r="H1563" s="93"/>
      <c r="I1563" s="85">
        <f t="shared" si="59"/>
        <v>2.6283889300503116</v>
      </c>
      <c r="J1563" s="85">
        <v>425</v>
      </c>
      <c r="K1563" s="131" t="s">
        <v>3177</v>
      </c>
      <c r="L1563" s="60">
        <v>59</v>
      </c>
      <c r="M1563" s="49" t="s">
        <v>6392</v>
      </c>
    </row>
    <row r="1564" spans="1:16" ht="14" x14ac:dyDescent="0.15">
      <c r="A1564" s="205" t="s">
        <v>2538</v>
      </c>
      <c r="B1564" s="82"/>
      <c r="C1564" s="70" t="s">
        <v>3636</v>
      </c>
      <c r="D1564" s="70" t="s">
        <v>2439</v>
      </c>
      <c r="E1564" s="70" t="s">
        <v>2440</v>
      </c>
      <c r="F1564" s="70" t="s">
        <v>2445</v>
      </c>
      <c r="G1564" s="70" t="s">
        <v>2563</v>
      </c>
      <c r="H1564" s="93"/>
      <c r="I1564" s="85">
        <f t="shared" si="59"/>
        <v>2.8893017025063101</v>
      </c>
      <c r="J1564" s="85">
        <v>775</v>
      </c>
      <c r="K1564" s="131" t="s">
        <v>3177</v>
      </c>
      <c r="L1564" s="60">
        <v>59</v>
      </c>
    </row>
    <row r="1565" spans="1:16" ht="14" x14ac:dyDescent="0.15">
      <c r="A1565" s="205" t="s">
        <v>2538</v>
      </c>
      <c r="B1565" s="82"/>
      <c r="C1565" s="70" t="s">
        <v>3636</v>
      </c>
      <c r="D1565" s="70" t="s">
        <v>2439</v>
      </c>
      <c r="E1565" s="70" t="s">
        <v>2440</v>
      </c>
      <c r="F1565" s="70" t="s">
        <v>2445</v>
      </c>
      <c r="G1565" s="70" t="s">
        <v>2250</v>
      </c>
      <c r="H1565" s="93"/>
      <c r="I1565" s="85">
        <f t="shared" si="59"/>
        <v>3.2041199826559246</v>
      </c>
      <c r="J1565" s="85">
        <v>1600</v>
      </c>
      <c r="K1565" s="131" t="s">
        <v>3177</v>
      </c>
      <c r="L1565" s="60">
        <v>59</v>
      </c>
    </row>
    <row r="1566" spans="1:16" ht="42" x14ac:dyDescent="0.15">
      <c r="A1566" s="205" t="s">
        <v>2538</v>
      </c>
      <c r="B1566" s="82"/>
      <c r="C1566" s="70" t="s">
        <v>3636</v>
      </c>
      <c r="D1566" s="70" t="s">
        <v>2439</v>
      </c>
      <c r="E1566" s="70" t="s">
        <v>2440</v>
      </c>
      <c r="F1566" s="70" t="s">
        <v>2443</v>
      </c>
      <c r="G1566" s="70" t="s">
        <v>2404</v>
      </c>
      <c r="H1566" s="93"/>
      <c r="I1566" s="85">
        <f t="shared" si="59"/>
        <v>3.1303337684950061</v>
      </c>
      <c r="J1566" s="85">
        <v>1350</v>
      </c>
      <c r="K1566" s="131" t="s">
        <v>6837</v>
      </c>
      <c r="L1566" s="60">
        <v>59</v>
      </c>
      <c r="M1566" s="49" t="s">
        <v>6728</v>
      </c>
    </row>
    <row r="1567" spans="1:16" ht="28" x14ac:dyDescent="0.15">
      <c r="A1567" s="205" t="s">
        <v>2538</v>
      </c>
      <c r="B1567" s="82"/>
      <c r="C1567" s="70" t="s">
        <v>3636</v>
      </c>
      <c r="D1567" s="70" t="s">
        <v>2439</v>
      </c>
      <c r="E1567" s="70" t="s">
        <v>2440</v>
      </c>
      <c r="F1567" s="70" t="s">
        <v>2441</v>
      </c>
      <c r="G1567" s="70" t="s">
        <v>2442</v>
      </c>
      <c r="H1567" s="93"/>
      <c r="I1567" s="85">
        <f t="shared" si="59"/>
        <v>2.3541084391474008</v>
      </c>
      <c r="J1567" s="85">
        <v>226</v>
      </c>
      <c r="K1567" s="131" t="s">
        <v>6617</v>
      </c>
      <c r="L1567" s="60">
        <v>59</v>
      </c>
      <c r="M1567" s="49" t="s">
        <v>6390</v>
      </c>
    </row>
    <row r="1568" spans="1:16" ht="14" x14ac:dyDescent="0.15">
      <c r="A1568" s="205" t="s">
        <v>2538</v>
      </c>
      <c r="B1568" s="82"/>
      <c r="C1568" s="70" t="s">
        <v>3636</v>
      </c>
      <c r="D1568" s="70" t="s">
        <v>2439</v>
      </c>
      <c r="E1568" s="70" t="s">
        <v>2440</v>
      </c>
      <c r="F1568" s="70" t="s">
        <v>2441</v>
      </c>
      <c r="G1568" s="70" t="s">
        <v>2166</v>
      </c>
      <c r="H1568" s="93"/>
      <c r="I1568" s="85">
        <f t="shared" si="59"/>
        <v>2.9395192526186187</v>
      </c>
      <c r="J1568" s="85">
        <v>870</v>
      </c>
      <c r="K1568" s="131" t="s">
        <v>6630</v>
      </c>
      <c r="L1568" s="60">
        <v>59</v>
      </c>
      <c r="M1568" s="49" t="s">
        <v>6728</v>
      </c>
    </row>
    <row r="1569" spans="1:18" ht="14" x14ac:dyDescent="0.15">
      <c r="A1569" s="205" t="s">
        <v>2538</v>
      </c>
      <c r="B1569" s="82"/>
      <c r="C1569" s="70" t="s">
        <v>3636</v>
      </c>
      <c r="D1569" s="70" t="s">
        <v>2439</v>
      </c>
      <c r="E1569" s="70" t="s">
        <v>2440</v>
      </c>
      <c r="F1569" s="70" t="s">
        <v>2441</v>
      </c>
      <c r="G1569" s="70" t="s">
        <v>2249</v>
      </c>
      <c r="H1569" s="93"/>
      <c r="I1569" s="85">
        <f t="shared" si="59"/>
        <v>2.989004615698537</v>
      </c>
      <c r="J1569" s="85">
        <v>975</v>
      </c>
      <c r="K1569" s="131" t="s">
        <v>3177</v>
      </c>
      <c r="L1569" s="60">
        <v>59</v>
      </c>
    </row>
    <row r="1570" spans="1:18" ht="14" x14ac:dyDescent="0.15">
      <c r="A1570" s="205" t="s">
        <v>2538</v>
      </c>
      <c r="B1570" s="82"/>
      <c r="C1570" s="70" t="s">
        <v>3636</v>
      </c>
      <c r="D1570" s="70" t="s">
        <v>2439</v>
      </c>
      <c r="E1570" s="70" t="s">
        <v>6962</v>
      </c>
      <c r="F1570" s="70" t="s">
        <v>7006</v>
      </c>
      <c r="G1570" s="70" t="s">
        <v>4265</v>
      </c>
      <c r="H1570" s="93"/>
      <c r="I1570" s="85">
        <f t="shared" si="59"/>
        <v>3.0413926851582249</v>
      </c>
      <c r="J1570" s="85">
        <v>1100</v>
      </c>
      <c r="K1570" s="131" t="s">
        <v>3177</v>
      </c>
      <c r="L1570" s="60">
        <v>59</v>
      </c>
    </row>
    <row r="1571" spans="1:18" ht="14" x14ac:dyDescent="0.15">
      <c r="A1571" s="205" t="s">
        <v>2538</v>
      </c>
      <c r="B1571" s="82"/>
      <c r="C1571" s="73" t="s">
        <v>3636</v>
      </c>
      <c r="D1571" s="73" t="s">
        <v>3437</v>
      </c>
      <c r="E1571" s="70" t="s">
        <v>3457</v>
      </c>
      <c r="F1571" s="73" t="s">
        <v>3556</v>
      </c>
      <c r="G1571" s="73" t="s">
        <v>2982</v>
      </c>
      <c r="H1571" s="108"/>
      <c r="I1571" s="85">
        <f t="shared" si="59"/>
        <v>2.1861083798132053</v>
      </c>
      <c r="J1571" s="85">
        <v>153.5</v>
      </c>
      <c r="K1571" s="131" t="s">
        <v>3177</v>
      </c>
      <c r="L1571" s="60">
        <v>59</v>
      </c>
    </row>
    <row r="1572" spans="1:18" ht="14" x14ac:dyDescent="0.15">
      <c r="A1572" s="205" t="s">
        <v>2538</v>
      </c>
      <c r="B1572" s="82"/>
      <c r="C1572" s="70" t="s">
        <v>3636</v>
      </c>
      <c r="D1572" s="70" t="s">
        <v>3437</v>
      </c>
      <c r="E1572" s="70" t="s">
        <v>3457</v>
      </c>
      <c r="F1572" s="70" t="s">
        <v>4094</v>
      </c>
      <c r="G1572" s="70" t="s">
        <v>4095</v>
      </c>
      <c r="H1572" s="93"/>
      <c r="I1572" s="85">
        <f t="shared" si="59"/>
        <v>2.782472624166286</v>
      </c>
      <c r="J1572" s="85">
        <v>606</v>
      </c>
      <c r="K1572" s="131" t="s">
        <v>3177</v>
      </c>
      <c r="L1572" s="60">
        <v>59</v>
      </c>
    </row>
    <row r="1573" spans="1:18" ht="14" x14ac:dyDescent="0.15">
      <c r="A1573" s="205" t="s">
        <v>2538</v>
      </c>
      <c r="B1573" s="82"/>
      <c r="C1573" s="70" t="s">
        <v>3636</v>
      </c>
      <c r="D1573" s="70" t="s">
        <v>3437</v>
      </c>
      <c r="E1573" s="70" t="s">
        <v>3457</v>
      </c>
      <c r="F1573" s="70" t="s">
        <v>3145</v>
      </c>
      <c r="G1573" s="70" t="s">
        <v>7103</v>
      </c>
      <c r="H1573" s="93"/>
      <c r="I1573" s="85">
        <f t="shared" si="59"/>
        <v>1.2430380486862944</v>
      </c>
      <c r="J1573" s="85">
        <v>17.5</v>
      </c>
      <c r="K1573" s="131" t="s">
        <v>6816</v>
      </c>
      <c r="L1573" s="60">
        <v>59</v>
      </c>
      <c r="M1573" s="49" t="s">
        <v>6392</v>
      </c>
      <c r="Q1573" s="6"/>
      <c r="R1573" s="6"/>
    </row>
    <row r="1574" spans="1:18" ht="16" x14ac:dyDescent="0.2">
      <c r="A1574" s="205" t="s">
        <v>2538</v>
      </c>
      <c r="B1574" s="82"/>
      <c r="C1574" s="70" t="s">
        <v>3636</v>
      </c>
      <c r="D1574" s="70" t="s">
        <v>3437</v>
      </c>
      <c r="E1574" s="70" t="s">
        <v>3457</v>
      </c>
      <c r="F1574" s="70" t="s">
        <v>3145</v>
      </c>
      <c r="G1574" s="70" t="s">
        <v>7092</v>
      </c>
      <c r="H1574" s="93"/>
      <c r="I1574" s="85">
        <f t="shared" si="59"/>
        <v>1.3010299956639813</v>
      </c>
      <c r="J1574" s="85">
        <v>20</v>
      </c>
      <c r="K1574" s="131" t="s">
        <v>6630</v>
      </c>
      <c r="L1574" s="60">
        <v>59</v>
      </c>
      <c r="M1574" s="49" t="s">
        <v>6392</v>
      </c>
      <c r="N1574" s="48"/>
      <c r="Q1574" s="6"/>
      <c r="R1574" s="6"/>
    </row>
    <row r="1575" spans="1:18" ht="14" x14ac:dyDescent="0.15">
      <c r="A1575" s="205" t="s">
        <v>2538</v>
      </c>
      <c r="B1575" s="82"/>
      <c r="C1575" s="70" t="s">
        <v>3636</v>
      </c>
      <c r="D1575" s="70" t="s">
        <v>3437</v>
      </c>
      <c r="E1575" s="70" t="s">
        <v>3457</v>
      </c>
      <c r="F1575" s="70" t="s">
        <v>3835</v>
      </c>
      <c r="G1575" s="70" t="s">
        <v>3836</v>
      </c>
      <c r="H1575" s="93"/>
      <c r="I1575" s="85">
        <f t="shared" si="59"/>
        <v>2.5440680443502757</v>
      </c>
      <c r="J1575" s="85">
        <v>350</v>
      </c>
      <c r="K1575" s="131" t="s">
        <v>6630</v>
      </c>
      <c r="L1575" s="60">
        <v>59</v>
      </c>
      <c r="M1575" s="49" t="s">
        <v>6390</v>
      </c>
      <c r="Q1575"/>
      <c r="R1575"/>
    </row>
    <row r="1576" spans="1:18" ht="14" x14ac:dyDescent="0.15">
      <c r="A1576" s="205" t="s">
        <v>2538</v>
      </c>
      <c r="B1576" s="82"/>
      <c r="C1576" s="70" t="s">
        <v>3636</v>
      </c>
      <c r="D1576" s="70" t="s">
        <v>3437</v>
      </c>
      <c r="E1576" s="70" t="s">
        <v>3457</v>
      </c>
      <c r="F1576" s="70" t="s">
        <v>3760</v>
      </c>
      <c r="G1576" s="70" t="s">
        <v>3761</v>
      </c>
      <c r="H1576" s="93"/>
      <c r="I1576" s="85">
        <f t="shared" si="59"/>
        <v>1.8356905714924256</v>
      </c>
      <c r="J1576" s="85">
        <v>68.5</v>
      </c>
      <c r="K1576" s="131" t="s">
        <v>3177</v>
      </c>
      <c r="L1576" s="60">
        <v>59</v>
      </c>
      <c r="Q1576" s="6"/>
      <c r="R1576" s="6"/>
    </row>
    <row r="1577" spans="1:18" ht="14" x14ac:dyDescent="0.15">
      <c r="A1577" s="205" t="s">
        <v>2538</v>
      </c>
      <c r="B1577" s="82"/>
      <c r="C1577" s="70" t="s">
        <v>3636</v>
      </c>
      <c r="D1577" s="70" t="s">
        <v>3437</v>
      </c>
      <c r="E1577" s="70" t="s">
        <v>3457</v>
      </c>
      <c r="F1577" s="70" t="s">
        <v>3760</v>
      </c>
      <c r="G1577" s="70" t="s">
        <v>4078</v>
      </c>
      <c r="H1577" s="93"/>
      <c r="I1577" s="85">
        <f t="shared" si="59"/>
        <v>1.8450980400142569</v>
      </c>
      <c r="J1577" s="85">
        <v>70</v>
      </c>
      <c r="K1577" s="131" t="s">
        <v>3177</v>
      </c>
      <c r="L1577" s="60">
        <v>59</v>
      </c>
      <c r="Q1577" s="6"/>
      <c r="R1577" s="6"/>
    </row>
    <row r="1578" spans="1:18" ht="14" x14ac:dyDescent="0.15">
      <c r="A1578" s="205" t="s">
        <v>2538</v>
      </c>
      <c r="B1578" s="82"/>
      <c r="C1578" s="70" t="s">
        <v>3636</v>
      </c>
      <c r="D1578" s="70" t="s">
        <v>3437</v>
      </c>
      <c r="E1578" s="70" t="s">
        <v>3457</v>
      </c>
      <c r="F1578" s="70" t="s">
        <v>3760</v>
      </c>
      <c r="G1578" s="70" t="s">
        <v>3560</v>
      </c>
      <c r="H1578" s="93"/>
      <c r="I1578" s="85">
        <f t="shared" si="59"/>
        <v>1.8920946026904804</v>
      </c>
      <c r="J1578" s="85">
        <v>78</v>
      </c>
      <c r="K1578" s="131" t="s">
        <v>3177</v>
      </c>
      <c r="L1578" s="60">
        <v>59</v>
      </c>
    </row>
    <row r="1579" spans="1:18" ht="14" x14ac:dyDescent="0.15">
      <c r="A1579" s="205" t="s">
        <v>2538</v>
      </c>
      <c r="B1579" s="82"/>
      <c r="C1579" s="70" t="s">
        <v>3636</v>
      </c>
      <c r="D1579" s="70" t="s">
        <v>3437</v>
      </c>
      <c r="E1579" s="70" t="s">
        <v>3457</v>
      </c>
      <c r="F1579" s="70" t="s">
        <v>3760</v>
      </c>
      <c r="G1579" s="70" t="s">
        <v>3564</v>
      </c>
      <c r="H1579" s="93"/>
      <c r="I1579" s="85">
        <f t="shared" si="59"/>
        <v>2</v>
      </c>
      <c r="J1579" s="85">
        <v>100</v>
      </c>
      <c r="K1579" s="131" t="s">
        <v>3177</v>
      </c>
      <c r="L1579" s="60">
        <v>59</v>
      </c>
      <c r="M1579" s="49" t="s">
        <v>6809</v>
      </c>
    </row>
    <row r="1580" spans="1:18" ht="14" x14ac:dyDescent="0.15">
      <c r="A1580" s="205" t="s">
        <v>2538</v>
      </c>
      <c r="B1580" s="82"/>
      <c r="C1580" s="70" t="s">
        <v>3636</v>
      </c>
      <c r="D1580" s="70" t="s">
        <v>3437</v>
      </c>
      <c r="E1580" s="70" t="s">
        <v>3457</v>
      </c>
      <c r="F1580" s="70" t="s">
        <v>3841</v>
      </c>
      <c r="G1580" s="70" t="s">
        <v>3138</v>
      </c>
      <c r="H1580" s="93"/>
      <c r="I1580" s="85">
        <f t="shared" si="59"/>
        <v>2.4265112613645754</v>
      </c>
      <c r="J1580" s="85">
        <v>267</v>
      </c>
      <c r="K1580" s="131" t="s">
        <v>3177</v>
      </c>
      <c r="L1580" s="60">
        <v>59</v>
      </c>
      <c r="M1580" s="49" t="s">
        <v>6728</v>
      </c>
    </row>
    <row r="1581" spans="1:18" ht="14" x14ac:dyDescent="0.15">
      <c r="A1581" s="205" t="s">
        <v>2538</v>
      </c>
      <c r="B1581" s="82"/>
      <c r="C1581" s="70" t="s">
        <v>3636</v>
      </c>
      <c r="D1581" s="70" t="s">
        <v>3437</v>
      </c>
      <c r="E1581" s="70" t="s">
        <v>3457</v>
      </c>
      <c r="F1581" s="70" t="s">
        <v>3841</v>
      </c>
      <c r="G1581" s="70" t="s">
        <v>6491</v>
      </c>
      <c r="H1581" s="93"/>
      <c r="I1581" s="85">
        <f t="shared" si="59"/>
        <v>2.8552161947333632</v>
      </c>
      <c r="J1581" s="85">
        <v>716.5</v>
      </c>
      <c r="K1581" s="131" t="s">
        <v>3177</v>
      </c>
      <c r="L1581" s="60">
        <v>59</v>
      </c>
      <c r="M1581" s="49" t="s">
        <v>6392</v>
      </c>
    </row>
    <row r="1582" spans="1:18" ht="14" x14ac:dyDescent="0.15">
      <c r="A1582" s="205" t="s">
        <v>2538</v>
      </c>
      <c r="B1582" s="82"/>
      <c r="C1582" s="70" t="s">
        <v>3636</v>
      </c>
      <c r="D1582" s="70" t="s">
        <v>3437</v>
      </c>
      <c r="E1582" s="70" t="s">
        <v>3457</v>
      </c>
      <c r="F1582" s="70" t="s">
        <v>4661</v>
      </c>
      <c r="G1582" s="70" t="s">
        <v>4662</v>
      </c>
      <c r="H1582" s="93"/>
      <c r="I1582" s="85">
        <f t="shared" si="59"/>
        <v>1.5440680443502757</v>
      </c>
      <c r="J1582" s="85">
        <v>35</v>
      </c>
      <c r="K1582" s="131" t="s">
        <v>3177</v>
      </c>
      <c r="L1582" s="60">
        <v>59</v>
      </c>
    </row>
    <row r="1583" spans="1:18" ht="14" x14ac:dyDescent="0.15">
      <c r="A1583" s="205" t="s">
        <v>2538</v>
      </c>
      <c r="B1583" s="82"/>
      <c r="C1583" s="70" t="s">
        <v>3636</v>
      </c>
      <c r="D1583" s="70" t="s">
        <v>3437</v>
      </c>
      <c r="E1583" s="70" t="s">
        <v>3457</v>
      </c>
      <c r="F1583" s="70" t="s">
        <v>4661</v>
      </c>
      <c r="G1583" s="70" t="s">
        <v>4663</v>
      </c>
      <c r="H1583" s="93"/>
      <c r="I1583" s="85">
        <f t="shared" si="59"/>
        <v>1.5440680443502757</v>
      </c>
      <c r="J1583" s="85">
        <v>35</v>
      </c>
      <c r="K1583" s="131" t="s">
        <v>3177</v>
      </c>
      <c r="L1583" s="60">
        <v>59</v>
      </c>
      <c r="M1583" s="49" t="s">
        <v>6392</v>
      </c>
    </row>
    <row r="1584" spans="1:18" ht="14" x14ac:dyDescent="0.15">
      <c r="A1584" s="205" t="s">
        <v>2538</v>
      </c>
      <c r="B1584" s="82"/>
      <c r="C1584" s="70" t="s">
        <v>3636</v>
      </c>
      <c r="D1584" s="70" t="s">
        <v>3437</v>
      </c>
      <c r="E1584" s="70" t="s">
        <v>3457</v>
      </c>
      <c r="F1584" s="70" t="s">
        <v>4661</v>
      </c>
      <c r="G1584" s="70" t="s">
        <v>4664</v>
      </c>
      <c r="H1584" s="93"/>
      <c r="I1584" s="85">
        <f t="shared" si="59"/>
        <v>1.5440680443502757</v>
      </c>
      <c r="J1584" s="85">
        <v>35</v>
      </c>
      <c r="K1584" s="131" t="s">
        <v>3177</v>
      </c>
      <c r="L1584" s="60">
        <v>59</v>
      </c>
      <c r="M1584" s="49" t="s">
        <v>6728</v>
      </c>
    </row>
    <row r="1585" spans="1:26" ht="14" x14ac:dyDescent="0.15">
      <c r="A1585" s="205" t="s">
        <v>2538</v>
      </c>
      <c r="B1585" s="82"/>
      <c r="C1585" s="70" t="s">
        <v>3636</v>
      </c>
      <c r="D1585" s="70" t="s">
        <v>3437</v>
      </c>
      <c r="E1585" s="70" t="s">
        <v>3457</v>
      </c>
      <c r="F1585" s="70" t="s">
        <v>4661</v>
      </c>
      <c r="G1585" s="70" t="s">
        <v>7373</v>
      </c>
      <c r="H1585" s="93"/>
      <c r="I1585" s="85">
        <f t="shared" si="59"/>
        <v>1.5910646070264991</v>
      </c>
      <c r="J1585" s="85">
        <v>39</v>
      </c>
      <c r="K1585" s="131" t="s">
        <v>3177</v>
      </c>
      <c r="L1585" s="60">
        <v>59</v>
      </c>
      <c r="M1585" s="49" t="s">
        <v>6392</v>
      </c>
    </row>
    <row r="1586" spans="1:26" ht="14" x14ac:dyDescent="0.15">
      <c r="A1586" s="205" t="s">
        <v>2538</v>
      </c>
      <c r="B1586" s="82"/>
      <c r="C1586" s="70" t="s">
        <v>3636</v>
      </c>
      <c r="D1586" s="70" t="s">
        <v>3437</v>
      </c>
      <c r="E1586" s="70" t="s">
        <v>3457</v>
      </c>
      <c r="F1586" s="70" t="s">
        <v>4661</v>
      </c>
      <c r="G1586" s="70" t="s">
        <v>3555</v>
      </c>
      <c r="H1586" s="93"/>
      <c r="I1586" s="85">
        <f t="shared" si="59"/>
        <v>1.7160033436347992</v>
      </c>
      <c r="J1586" s="85">
        <v>52</v>
      </c>
      <c r="K1586" s="131" t="s">
        <v>3177</v>
      </c>
      <c r="L1586" s="60">
        <v>59</v>
      </c>
    </row>
    <row r="1587" spans="1:26" ht="14" x14ac:dyDescent="0.15">
      <c r="A1587" s="205" t="s">
        <v>2538</v>
      </c>
      <c r="B1587" s="82"/>
      <c r="C1587" s="70" t="s">
        <v>3636</v>
      </c>
      <c r="D1587" s="70" t="s">
        <v>3437</v>
      </c>
      <c r="E1587" s="70" t="s">
        <v>3457</v>
      </c>
      <c r="F1587" s="70" t="s">
        <v>3995</v>
      </c>
      <c r="G1587" s="70" t="s">
        <v>2250</v>
      </c>
      <c r="H1587" s="93"/>
      <c r="I1587" s="85">
        <f t="shared" si="59"/>
        <v>1.7993405494535817</v>
      </c>
      <c r="J1587" s="85">
        <v>63</v>
      </c>
      <c r="K1587" s="131" t="s">
        <v>3177</v>
      </c>
      <c r="L1587" s="60">
        <v>59</v>
      </c>
    </row>
    <row r="1588" spans="1:26" ht="16" x14ac:dyDescent="0.2">
      <c r="A1588" s="205" t="s">
        <v>2538</v>
      </c>
      <c r="B1588" s="93" t="s">
        <v>7047</v>
      </c>
      <c r="C1588" s="70" t="s">
        <v>3636</v>
      </c>
      <c r="D1588" s="70" t="s">
        <v>3437</v>
      </c>
      <c r="E1588" s="70" t="s">
        <v>3457</v>
      </c>
      <c r="F1588" s="70" t="s">
        <v>7147</v>
      </c>
      <c r="G1588" s="70" t="s">
        <v>5598</v>
      </c>
      <c r="H1588" s="93"/>
      <c r="I1588" s="85">
        <v>-999</v>
      </c>
      <c r="J1588" s="85">
        <v>-999</v>
      </c>
      <c r="K1588" s="131" t="s">
        <v>3177</v>
      </c>
      <c r="L1588" s="60">
        <v>-999</v>
      </c>
      <c r="M1588" s="33" t="s">
        <v>6728</v>
      </c>
      <c r="N1588" s="48"/>
    </row>
    <row r="1589" spans="1:26" ht="14" x14ac:dyDescent="0.15">
      <c r="A1589" s="205" t="s">
        <v>2538</v>
      </c>
      <c r="B1589" s="82"/>
      <c r="C1589" s="70" t="s">
        <v>3636</v>
      </c>
      <c r="D1589" s="70" t="s">
        <v>3437</v>
      </c>
      <c r="E1589" s="70" t="s">
        <v>3457</v>
      </c>
      <c r="F1589" s="70" t="s">
        <v>7147</v>
      </c>
      <c r="G1589" s="70" t="s">
        <v>7148</v>
      </c>
      <c r="H1589" s="93"/>
      <c r="I1589" s="85">
        <f t="shared" ref="I1589:I1628" si="60">LOG(J1589)</f>
        <v>1.0413926851582251</v>
      </c>
      <c r="J1589" s="85">
        <v>11</v>
      </c>
      <c r="K1589" s="131" t="s">
        <v>3177</v>
      </c>
      <c r="L1589" s="60">
        <v>59</v>
      </c>
      <c r="M1589" s="49" t="s">
        <v>6392</v>
      </c>
    </row>
    <row r="1590" spans="1:26" ht="14" x14ac:dyDescent="0.15">
      <c r="A1590" s="70" t="s">
        <v>2538</v>
      </c>
      <c r="B1590" s="82"/>
      <c r="C1590" s="70" t="s">
        <v>3636</v>
      </c>
      <c r="D1590" s="70" t="s">
        <v>3437</v>
      </c>
      <c r="E1590" s="70" t="s">
        <v>3457</v>
      </c>
      <c r="F1590" s="70" t="s">
        <v>7147</v>
      </c>
      <c r="G1590" s="70" t="s">
        <v>7104</v>
      </c>
      <c r="H1590" s="93"/>
      <c r="I1590" s="85">
        <f t="shared" si="60"/>
        <v>1.0413926851582251</v>
      </c>
      <c r="J1590" s="85">
        <v>11</v>
      </c>
      <c r="K1590" s="131" t="s">
        <v>3177</v>
      </c>
      <c r="L1590" s="60">
        <v>59</v>
      </c>
      <c r="M1590" s="49" t="s">
        <v>6728</v>
      </c>
    </row>
    <row r="1591" spans="1:26" ht="14" x14ac:dyDescent="0.15">
      <c r="A1591" s="70" t="s">
        <v>2538</v>
      </c>
      <c r="B1591" s="82"/>
      <c r="C1591" s="70" t="s">
        <v>3636</v>
      </c>
      <c r="D1591" s="70" t="s">
        <v>3437</v>
      </c>
      <c r="E1591" s="70" t="s">
        <v>3457</v>
      </c>
      <c r="F1591" s="70" t="s">
        <v>7147</v>
      </c>
      <c r="G1591" s="70" t="s">
        <v>7367</v>
      </c>
      <c r="H1591" s="93"/>
      <c r="I1591" s="85">
        <f t="shared" si="60"/>
        <v>1.0791812460476249</v>
      </c>
      <c r="J1591" s="85">
        <v>12</v>
      </c>
      <c r="K1591" s="131" t="s">
        <v>3177</v>
      </c>
      <c r="L1591" s="60">
        <v>59</v>
      </c>
    </row>
    <row r="1592" spans="1:26" ht="14" x14ac:dyDescent="0.15">
      <c r="A1592" s="70" t="s">
        <v>2538</v>
      </c>
      <c r="B1592" s="82"/>
      <c r="C1592" s="70" t="s">
        <v>3636</v>
      </c>
      <c r="D1592" s="70" t="s">
        <v>3437</v>
      </c>
      <c r="E1592" s="70" t="s">
        <v>3457</v>
      </c>
      <c r="F1592" s="70" t="s">
        <v>7147</v>
      </c>
      <c r="G1592" s="70" t="s">
        <v>7099</v>
      </c>
      <c r="H1592" s="93"/>
      <c r="I1592" s="85">
        <f t="shared" si="60"/>
        <v>1.0791812460476249</v>
      </c>
      <c r="J1592" s="85">
        <v>12</v>
      </c>
      <c r="K1592" s="131" t="s">
        <v>3177</v>
      </c>
      <c r="L1592" s="60">
        <v>59</v>
      </c>
    </row>
    <row r="1593" spans="1:26" ht="14" x14ac:dyDescent="0.15">
      <c r="A1593" s="70" t="s">
        <v>2538</v>
      </c>
      <c r="B1593" s="82"/>
      <c r="C1593" s="70" t="s">
        <v>3636</v>
      </c>
      <c r="D1593" s="70" t="s">
        <v>3437</v>
      </c>
      <c r="E1593" s="70" t="s">
        <v>3457</v>
      </c>
      <c r="F1593" s="70" t="s">
        <v>7147</v>
      </c>
      <c r="G1593" s="70" t="s">
        <v>3547</v>
      </c>
      <c r="H1593" s="93"/>
      <c r="I1593" s="85">
        <f t="shared" si="60"/>
        <v>1.0791812460476249</v>
      </c>
      <c r="J1593" s="85">
        <v>12</v>
      </c>
      <c r="K1593" s="131" t="s">
        <v>3177</v>
      </c>
      <c r="L1593" s="60">
        <v>59</v>
      </c>
      <c r="M1593" s="49" t="s">
        <v>6392</v>
      </c>
    </row>
    <row r="1594" spans="1:26" ht="14" x14ac:dyDescent="0.15">
      <c r="A1594" s="73" t="s">
        <v>2538</v>
      </c>
      <c r="B1594" s="82"/>
      <c r="C1594" s="70" t="s">
        <v>3636</v>
      </c>
      <c r="D1594" s="70" t="s">
        <v>3437</v>
      </c>
      <c r="E1594" s="70" t="s">
        <v>3457</v>
      </c>
      <c r="F1594" s="70" t="s">
        <v>7147</v>
      </c>
      <c r="G1594" s="70" t="s">
        <v>3146</v>
      </c>
      <c r="H1594" s="93"/>
      <c r="I1594" s="85">
        <f t="shared" si="60"/>
        <v>1.0791812460476249</v>
      </c>
      <c r="J1594" s="85">
        <v>12</v>
      </c>
      <c r="K1594" s="131" t="s">
        <v>3177</v>
      </c>
      <c r="L1594" s="60">
        <v>59</v>
      </c>
    </row>
    <row r="1595" spans="1:26" ht="14" x14ac:dyDescent="0.15">
      <c r="A1595" s="70" t="s">
        <v>2538</v>
      </c>
      <c r="B1595" s="82"/>
      <c r="C1595" s="70" t="s">
        <v>3636</v>
      </c>
      <c r="D1595" s="70" t="s">
        <v>3437</v>
      </c>
      <c r="E1595" s="70" t="s">
        <v>3457</v>
      </c>
      <c r="F1595" s="70" t="s">
        <v>7147</v>
      </c>
      <c r="G1595" s="70" t="s">
        <v>3147</v>
      </c>
      <c r="H1595" s="93"/>
      <c r="I1595" s="85">
        <f t="shared" si="60"/>
        <v>1.1903316981702914</v>
      </c>
      <c r="J1595" s="85">
        <v>15.5</v>
      </c>
      <c r="K1595" s="131" t="s">
        <v>3177</v>
      </c>
      <c r="L1595" s="60">
        <v>59</v>
      </c>
    </row>
    <row r="1596" spans="1:26" ht="14" x14ac:dyDescent="0.15">
      <c r="A1596" s="70" t="s">
        <v>2538</v>
      </c>
      <c r="B1596" s="82"/>
      <c r="C1596" s="70" t="s">
        <v>3636</v>
      </c>
      <c r="D1596" s="70" t="s">
        <v>3437</v>
      </c>
      <c r="E1596" s="70" t="s">
        <v>3457</v>
      </c>
      <c r="F1596" s="70" t="s">
        <v>7147</v>
      </c>
      <c r="G1596" s="70" t="s">
        <v>4482</v>
      </c>
      <c r="H1596" s="93"/>
      <c r="I1596" s="85">
        <f t="shared" si="60"/>
        <v>1.3010299956639813</v>
      </c>
      <c r="J1596" s="85">
        <v>20</v>
      </c>
      <c r="K1596" s="131" t="s">
        <v>3177</v>
      </c>
      <c r="L1596" s="60">
        <v>59</v>
      </c>
    </row>
    <row r="1597" spans="1:26" ht="16" x14ac:dyDescent="0.2">
      <c r="A1597" s="70" t="s">
        <v>2538</v>
      </c>
      <c r="B1597" s="82"/>
      <c r="C1597" s="70" t="s">
        <v>3636</v>
      </c>
      <c r="D1597" s="70" t="s">
        <v>3437</v>
      </c>
      <c r="E1597" s="70" t="s">
        <v>3457</v>
      </c>
      <c r="F1597" s="70" t="s">
        <v>7147</v>
      </c>
      <c r="G1597" s="70" t="s">
        <v>4481</v>
      </c>
      <c r="H1597" s="93"/>
      <c r="I1597" s="85">
        <f t="shared" si="60"/>
        <v>1.3010299956639813</v>
      </c>
      <c r="J1597" s="85">
        <v>20</v>
      </c>
      <c r="K1597" s="131" t="s">
        <v>3177</v>
      </c>
      <c r="L1597" s="60">
        <v>59</v>
      </c>
      <c r="N1597" s="48"/>
    </row>
    <row r="1598" spans="1:26" s="15" customFormat="1" ht="14" x14ac:dyDescent="0.15">
      <c r="A1598" s="70" t="s">
        <v>2538</v>
      </c>
      <c r="B1598" s="82"/>
      <c r="C1598" s="70" t="s">
        <v>3636</v>
      </c>
      <c r="D1598" s="70" t="s">
        <v>3437</v>
      </c>
      <c r="E1598" s="70" t="s">
        <v>3457</v>
      </c>
      <c r="F1598" s="70" t="s">
        <v>7147</v>
      </c>
      <c r="G1598" s="70" t="s">
        <v>7371</v>
      </c>
      <c r="H1598" s="93"/>
      <c r="I1598" s="85">
        <f t="shared" si="60"/>
        <v>1.3979400086720377</v>
      </c>
      <c r="J1598" s="85">
        <v>25</v>
      </c>
      <c r="K1598" s="131" t="s">
        <v>3177</v>
      </c>
      <c r="L1598" s="60">
        <v>59</v>
      </c>
      <c r="M1598" s="49" t="s">
        <v>6392</v>
      </c>
      <c r="N1598" s="37"/>
      <c r="O1598" s="37"/>
      <c r="P1598" s="37"/>
      <c r="Q1598" s="3"/>
      <c r="R1598" s="3"/>
      <c r="S1598" s="14"/>
      <c r="T1598" s="14"/>
      <c r="U1598" s="14"/>
      <c r="V1598" s="14"/>
      <c r="W1598" s="14"/>
      <c r="X1598" s="14"/>
      <c r="Y1598" s="14"/>
      <c r="Z1598" s="17"/>
    </row>
    <row r="1599" spans="1:26" ht="14" x14ac:dyDescent="0.15">
      <c r="A1599" s="70" t="s">
        <v>2538</v>
      </c>
      <c r="B1599" s="82"/>
      <c r="C1599" s="70" t="s">
        <v>3636</v>
      </c>
      <c r="D1599" s="70" t="s">
        <v>3437</v>
      </c>
      <c r="E1599" s="70" t="s">
        <v>3457</v>
      </c>
      <c r="F1599" s="70" t="s">
        <v>7147</v>
      </c>
      <c r="G1599" s="70" t="s">
        <v>2114</v>
      </c>
      <c r="H1599" s="93"/>
      <c r="I1599" s="85">
        <f t="shared" si="60"/>
        <v>1.4842998393467859</v>
      </c>
      <c r="J1599" s="85">
        <v>30.5</v>
      </c>
      <c r="K1599" s="131" t="s">
        <v>3177</v>
      </c>
      <c r="L1599" s="60">
        <v>59</v>
      </c>
    </row>
    <row r="1600" spans="1:26" ht="14" x14ac:dyDescent="0.15">
      <c r="A1600" s="70" t="s">
        <v>2538</v>
      </c>
      <c r="B1600" s="82"/>
      <c r="C1600" s="70" t="s">
        <v>3636</v>
      </c>
      <c r="D1600" s="70" t="s">
        <v>3437</v>
      </c>
      <c r="E1600" s="70" t="s">
        <v>3457</v>
      </c>
      <c r="F1600" s="70" t="s">
        <v>7147</v>
      </c>
      <c r="G1600" s="70" t="s">
        <v>2085</v>
      </c>
      <c r="H1600" s="93"/>
      <c r="I1600" s="85">
        <f t="shared" si="60"/>
        <v>1.5314789170422551</v>
      </c>
      <c r="J1600" s="85">
        <v>34</v>
      </c>
      <c r="K1600" s="131" t="s">
        <v>3177</v>
      </c>
      <c r="L1600" s="60">
        <v>59</v>
      </c>
      <c r="M1600" s="49" t="s">
        <v>6392</v>
      </c>
    </row>
    <row r="1601" spans="1:26" ht="14" x14ac:dyDescent="0.15">
      <c r="A1601" s="70" t="s">
        <v>2538</v>
      </c>
      <c r="B1601" s="82"/>
      <c r="C1601" s="70" t="s">
        <v>3636</v>
      </c>
      <c r="D1601" s="70" t="s">
        <v>3437</v>
      </c>
      <c r="E1601" s="70" t="s">
        <v>3457</v>
      </c>
      <c r="F1601" s="70" t="s">
        <v>7147</v>
      </c>
      <c r="G1601" s="70" t="s">
        <v>4660</v>
      </c>
      <c r="H1601" s="93"/>
      <c r="I1601" s="85">
        <f t="shared" si="60"/>
        <v>1.5314789170422551</v>
      </c>
      <c r="J1601" s="85">
        <v>34</v>
      </c>
      <c r="K1601" s="131" t="s">
        <v>3177</v>
      </c>
      <c r="L1601" s="60">
        <v>59</v>
      </c>
      <c r="M1601" s="49" t="s">
        <v>6390</v>
      </c>
    </row>
    <row r="1602" spans="1:26" ht="14" x14ac:dyDescent="0.15">
      <c r="A1602" s="166" t="s">
        <v>2538</v>
      </c>
      <c r="B1602" s="93" t="s">
        <v>7381</v>
      </c>
      <c r="C1602" s="70" t="s">
        <v>3636</v>
      </c>
      <c r="D1602" s="70" t="s">
        <v>3437</v>
      </c>
      <c r="E1602" s="70" t="s">
        <v>3457</v>
      </c>
      <c r="F1602" s="70" t="s">
        <v>7147</v>
      </c>
      <c r="G1602" s="70" t="s">
        <v>5568</v>
      </c>
      <c r="H1602" s="93"/>
      <c r="I1602" s="85">
        <f t="shared" si="60"/>
        <v>1.6532125137753437</v>
      </c>
      <c r="J1602" s="85">
        <f>1000*0.045</f>
        <v>45</v>
      </c>
      <c r="K1602" s="131" t="s">
        <v>3177</v>
      </c>
      <c r="L1602" s="60">
        <v>60</v>
      </c>
      <c r="M1602" s="33" t="s">
        <v>6728</v>
      </c>
    </row>
    <row r="1603" spans="1:26" ht="14" x14ac:dyDescent="0.15">
      <c r="A1603" s="166" t="s">
        <v>2538</v>
      </c>
      <c r="B1603" s="82"/>
      <c r="C1603" s="70" t="s">
        <v>3636</v>
      </c>
      <c r="D1603" s="70" t="s">
        <v>3437</v>
      </c>
      <c r="E1603" s="70" t="s">
        <v>3457</v>
      </c>
      <c r="F1603" s="70" t="s">
        <v>7147</v>
      </c>
      <c r="G1603" s="70" t="s">
        <v>3608</v>
      </c>
      <c r="H1603" s="93"/>
      <c r="I1603" s="85">
        <f t="shared" si="60"/>
        <v>1.8129133566428555</v>
      </c>
      <c r="J1603" s="85">
        <v>65</v>
      </c>
      <c r="K1603" s="131" t="s">
        <v>3177</v>
      </c>
      <c r="L1603" s="60">
        <v>59</v>
      </c>
      <c r="M1603" s="49" t="s">
        <v>6728</v>
      </c>
    </row>
    <row r="1604" spans="1:26" s="15" customFormat="1" ht="14" x14ac:dyDescent="0.15">
      <c r="A1604" s="166" t="s">
        <v>2538</v>
      </c>
      <c r="B1604" s="82"/>
      <c r="C1604" s="70" t="s">
        <v>3636</v>
      </c>
      <c r="D1604" s="70" t="s">
        <v>3437</v>
      </c>
      <c r="E1604" s="70" t="s">
        <v>3457</v>
      </c>
      <c r="F1604" s="70" t="s">
        <v>7147</v>
      </c>
      <c r="G1604" s="70" t="s">
        <v>3846</v>
      </c>
      <c r="H1604" s="93"/>
      <c r="I1604" s="85">
        <f t="shared" si="60"/>
        <v>1.8260748027008264</v>
      </c>
      <c r="J1604" s="85">
        <v>67</v>
      </c>
      <c r="K1604" s="131" t="s">
        <v>3177</v>
      </c>
      <c r="L1604" s="60">
        <v>59</v>
      </c>
      <c r="M1604" s="49"/>
      <c r="N1604" s="37"/>
      <c r="O1604" s="37"/>
      <c r="P1604" s="37"/>
      <c r="Q1604" s="3"/>
      <c r="R1604" s="3"/>
      <c r="S1604" s="14"/>
      <c r="T1604" s="14"/>
      <c r="U1604" s="14"/>
      <c r="V1604" s="14"/>
      <c r="W1604" s="14"/>
      <c r="X1604" s="14"/>
      <c r="Y1604" s="14"/>
      <c r="Z1604" s="17"/>
    </row>
    <row r="1605" spans="1:26" ht="14" x14ac:dyDescent="0.15">
      <c r="A1605" s="166" t="s">
        <v>2538</v>
      </c>
      <c r="B1605" s="82"/>
      <c r="C1605" s="70" t="s">
        <v>3636</v>
      </c>
      <c r="D1605" s="70" t="s">
        <v>3437</v>
      </c>
      <c r="E1605" s="70" t="s">
        <v>3457</v>
      </c>
      <c r="F1605" s="70" t="s">
        <v>7147</v>
      </c>
      <c r="G1605" s="70" t="s">
        <v>1959</v>
      </c>
      <c r="H1605" s="93"/>
      <c r="I1605" s="85">
        <f t="shared" si="60"/>
        <v>1.8450980400142569</v>
      </c>
      <c r="J1605" s="85">
        <v>70</v>
      </c>
      <c r="K1605" s="131" t="s">
        <v>3177</v>
      </c>
      <c r="L1605" s="60">
        <v>59</v>
      </c>
      <c r="M1605" s="49" t="s">
        <v>6728</v>
      </c>
    </row>
    <row r="1606" spans="1:26" s="15" customFormat="1" ht="14" x14ac:dyDescent="0.15">
      <c r="A1606" s="166" t="s">
        <v>2538</v>
      </c>
      <c r="B1606" s="82"/>
      <c r="C1606" s="70" t="s">
        <v>3636</v>
      </c>
      <c r="D1606" s="70" t="s">
        <v>3437</v>
      </c>
      <c r="E1606" s="70" t="s">
        <v>3457</v>
      </c>
      <c r="F1606" s="70" t="s">
        <v>7147</v>
      </c>
      <c r="G1606" s="70" t="s">
        <v>3250</v>
      </c>
      <c r="H1606" s="93"/>
      <c r="I1606" s="85">
        <f t="shared" si="60"/>
        <v>1.8450980400142569</v>
      </c>
      <c r="J1606" s="85">
        <v>70</v>
      </c>
      <c r="K1606" s="131" t="s">
        <v>3177</v>
      </c>
      <c r="L1606" s="60">
        <v>59</v>
      </c>
      <c r="M1606" s="49" t="s">
        <v>6392</v>
      </c>
      <c r="N1606" s="37"/>
      <c r="O1606" s="37"/>
      <c r="P1606" s="37"/>
      <c r="Q1606" s="3"/>
      <c r="R1606" s="3"/>
      <c r="S1606" s="14"/>
      <c r="T1606" s="14"/>
      <c r="U1606" s="14"/>
      <c r="V1606" s="14"/>
      <c r="W1606" s="14"/>
      <c r="X1606" s="14"/>
      <c r="Y1606" s="14"/>
      <c r="Z1606" s="17"/>
    </row>
    <row r="1607" spans="1:26" ht="14" x14ac:dyDescent="0.15">
      <c r="A1607" s="166" t="s">
        <v>2538</v>
      </c>
      <c r="B1607" s="82"/>
      <c r="C1607" s="70" t="s">
        <v>3636</v>
      </c>
      <c r="D1607" s="70" t="s">
        <v>3437</v>
      </c>
      <c r="E1607" s="70" t="s">
        <v>3457</v>
      </c>
      <c r="F1607" s="70" t="s">
        <v>7147</v>
      </c>
      <c r="G1607" s="70" t="s">
        <v>3762</v>
      </c>
      <c r="H1607" s="93"/>
      <c r="I1607" s="85">
        <f t="shared" si="60"/>
        <v>1.8736111969964673</v>
      </c>
      <c r="J1607" s="85">
        <v>74.75</v>
      </c>
      <c r="K1607" s="131" t="s">
        <v>3177</v>
      </c>
      <c r="L1607" s="60">
        <v>59</v>
      </c>
    </row>
    <row r="1608" spans="1:26" ht="14" x14ac:dyDescent="0.15">
      <c r="A1608" s="166" t="s">
        <v>2538</v>
      </c>
      <c r="B1608" s="82"/>
      <c r="C1608" s="70" t="s">
        <v>3636</v>
      </c>
      <c r="D1608" s="70" t="s">
        <v>3437</v>
      </c>
      <c r="E1608" s="70" t="s">
        <v>3457</v>
      </c>
      <c r="F1608" s="70" t="s">
        <v>7147</v>
      </c>
      <c r="G1608" s="70" t="s">
        <v>3562</v>
      </c>
      <c r="H1608" s="93"/>
      <c r="I1608" s="85">
        <f t="shared" si="60"/>
        <v>1.9777236052888478</v>
      </c>
      <c r="J1608" s="85">
        <v>95</v>
      </c>
      <c r="K1608" s="131" t="s">
        <v>3177</v>
      </c>
      <c r="L1608" s="60">
        <v>59</v>
      </c>
      <c r="M1608" s="49" t="s">
        <v>6390</v>
      </c>
    </row>
    <row r="1609" spans="1:26" ht="14" x14ac:dyDescent="0.15">
      <c r="A1609" s="166" t="s">
        <v>2538</v>
      </c>
      <c r="B1609" s="82"/>
      <c r="C1609" s="70" t="s">
        <v>3636</v>
      </c>
      <c r="D1609" s="70" t="s">
        <v>3437</v>
      </c>
      <c r="E1609" s="70" t="s">
        <v>3457</v>
      </c>
      <c r="F1609" s="70" t="s">
        <v>7147</v>
      </c>
      <c r="G1609" s="70" t="s">
        <v>4664</v>
      </c>
      <c r="H1609" s="93"/>
      <c r="I1609" s="85">
        <f t="shared" si="60"/>
        <v>2.0863598306747484</v>
      </c>
      <c r="J1609" s="85">
        <v>122</v>
      </c>
      <c r="K1609" s="131" t="s">
        <v>3177</v>
      </c>
      <c r="L1609" s="60">
        <v>59</v>
      </c>
    </row>
    <row r="1610" spans="1:26" ht="14" x14ac:dyDescent="0.15">
      <c r="A1610" s="166" t="s">
        <v>2538</v>
      </c>
      <c r="B1610" s="82"/>
      <c r="C1610" s="70" t="s">
        <v>3636</v>
      </c>
      <c r="D1610" s="70" t="s">
        <v>3437</v>
      </c>
      <c r="E1610" s="70" t="s">
        <v>3457</v>
      </c>
      <c r="F1610" s="70" t="s">
        <v>7374</v>
      </c>
      <c r="G1610" s="70" t="s">
        <v>7257</v>
      </c>
      <c r="H1610" s="93"/>
      <c r="I1610" s="85">
        <f t="shared" si="60"/>
        <v>1.6020599913279623</v>
      </c>
      <c r="J1610" s="85">
        <v>40</v>
      </c>
      <c r="K1610" s="131" t="s">
        <v>3177</v>
      </c>
      <c r="L1610" s="60">
        <v>59</v>
      </c>
    </row>
    <row r="1611" spans="1:26" ht="16" x14ac:dyDescent="0.2">
      <c r="A1611" s="166" t="s">
        <v>2538</v>
      </c>
      <c r="B1611" s="82"/>
      <c r="C1611" s="70" t="s">
        <v>3636</v>
      </c>
      <c r="D1611" s="70" t="s">
        <v>3437</v>
      </c>
      <c r="E1611" s="70" t="s">
        <v>3457</v>
      </c>
      <c r="F1611" s="70" t="s">
        <v>7374</v>
      </c>
      <c r="G1611" s="70" t="s">
        <v>3759</v>
      </c>
      <c r="H1611" s="93"/>
      <c r="I1611" s="85">
        <f t="shared" si="60"/>
        <v>1.7853298350107671</v>
      </c>
      <c r="J1611" s="85">
        <v>61</v>
      </c>
      <c r="K1611" s="131" t="s">
        <v>3177</v>
      </c>
      <c r="L1611" s="60">
        <v>59</v>
      </c>
      <c r="N1611" s="48"/>
    </row>
    <row r="1612" spans="1:26" ht="14" x14ac:dyDescent="0.15">
      <c r="A1612" s="166" t="s">
        <v>2538</v>
      </c>
      <c r="B1612" s="82"/>
      <c r="C1612" s="70" t="s">
        <v>3636</v>
      </c>
      <c r="D1612" s="70" t="s">
        <v>3437</v>
      </c>
      <c r="E1612" s="70" t="s">
        <v>3457</v>
      </c>
      <c r="F1612" s="70" t="s">
        <v>7374</v>
      </c>
      <c r="G1612" s="70" t="s">
        <v>7062</v>
      </c>
      <c r="H1612" s="93"/>
      <c r="I1612" s="85">
        <f t="shared" si="60"/>
        <v>2.0253058652647704</v>
      </c>
      <c r="J1612" s="85">
        <v>106</v>
      </c>
      <c r="K1612" s="131" t="s">
        <v>3177</v>
      </c>
      <c r="L1612" s="60">
        <v>59</v>
      </c>
    </row>
    <row r="1613" spans="1:26" ht="14" x14ac:dyDescent="0.15">
      <c r="A1613" s="166" t="s">
        <v>2538</v>
      </c>
      <c r="B1613" s="82"/>
      <c r="C1613" s="70" t="s">
        <v>3636</v>
      </c>
      <c r="D1613" s="70" t="s">
        <v>3437</v>
      </c>
      <c r="E1613" s="73" t="s">
        <v>3457</v>
      </c>
      <c r="F1613" s="70" t="s">
        <v>7374</v>
      </c>
      <c r="G1613" s="70" t="s">
        <v>3843</v>
      </c>
      <c r="H1613" s="93"/>
      <c r="I1613" s="85">
        <f t="shared" si="60"/>
        <v>2.0934216851622351</v>
      </c>
      <c r="J1613" s="85">
        <v>124</v>
      </c>
      <c r="K1613" s="131" t="s">
        <v>3177</v>
      </c>
      <c r="L1613" s="60">
        <v>59</v>
      </c>
      <c r="M1613" s="49" t="s">
        <v>6392</v>
      </c>
    </row>
    <row r="1614" spans="1:26" ht="14" x14ac:dyDescent="0.15">
      <c r="A1614" s="166" t="s">
        <v>2538</v>
      </c>
      <c r="B1614" s="82"/>
      <c r="C1614" s="70" t="s">
        <v>3636</v>
      </c>
      <c r="D1614" s="70" t="s">
        <v>3437</v>
      </c>
      <c r="E1614" s="70" t="s">
        <v>3457</v>
      </c>
      <c r="F1614" s="70" t="s">
        <v>7374</v>
      </c>
      <c r="G1614" s="70" t="s">
        <v>7224</v>
      </c>
      <c r="H1614" s="93"/>
      <c r="I1614" s="85">
        <f t="shared" si="60"/>
        <v>2.12057393120585</v>
      </c>
      <c r="J1614" s="85">
        <v>132</v>
      </c>
      <c r="K1614" s="131" t="s">
        <v>3177</v>
      </c>
      <c r="L1614" s="60">
        <v>59</v>
      </c>
    </row>
    <row r="1615" spans="1:26" ht="14" x14ac:dyDescent="0.15">
      <c r="A1615" s="166" t="s">
        <v>2538</v>
      </c>
      <c r="B1615" s="82"/>
      <c r="C1615" s="70" t="s">
        <v>3636</v>
      </c>
      <c r="D1615" s="70" t="s">
        <v>3437</v>
      </c>
      <c r="E1615" s="70" t="s">
        <v>3457</v>
      </c>
      <c r="F1615" s="70" t="s">
        <v>7374</v>
      </c>
      <c r="G1615" s="70" t="s">
        <v>4082</v>
      </c>
      <c r="H1615" s="93"/>
      <c r="I1615" s="85">
        <f t="shared" si="60"/>
        <v>2.1238516409670858</v>
      </c>
      <c r="J1615" s="85">
        <v>133</v>
      </c>
      <c r="K1615" s="131" t="s">
        <v>3177</v>
      </c>
      <c r="L1615" s="60">
        <v>59</v>
      </c>
    </row>
    <row r="1616" spans="1:26" ht="14" x14ac:dyDescent="0.15">
      <c r="A1616" s="166" t="s">
        <v>2538</v>
      </c>
      <c r="B1616" s="82"/>
      <c r="C1616" s="70" t="s">
        <v>3636</v>
      </c>
      <c r="D1616" s="70" t="s">
        <v>3437</v>
      </c>
      <c r="E1616" s="70" t="s">
        <v>3457</v>
      </c>
      <c r="F1616" s="70" t="s">
        <v>7374</v>
      </c>
      <c r="G1616" s="70" t="s">
        <v>3380</v>
      </c>
      <c r="H1616" s="93"/>
      <c r="I1616" s="85">
        <f t="shared" si="60"/>
        <v>2.1271047983648077</v>
      </c>
      <c r="J1616" s="85">
        <v>134</v>
      </c>
      <c r="K1616" s="131" t="s">
        <v>3177</v>
      </c>
      <c r="L1616" s="60">
        <v>59</v>
      </c>
    </row>
    <row r="1617" spans="1:26" ht="14" x14ac:dyDescent="0.15">
      <c r="A1617" s="166" t="s">
        <v>2538</v>
      </c>
      <c r="B1617" s="82"/>
      <c r="C1617" s="70" t="s">
        <v>3636</v>
      </c>
      <c r="D1617" s="70" t="s">
        <v>3437</v>
      </c>
      <c r="E1617" s="70" t="s">
        <v>3457</v>
      </c>
      <c r="F1617" s="70" t="s">
        <v>7374</v>
      </c>
      <c r="G1617" s="70" t="s">
        <v>6483</v>
      </c>
      <c r="H1617" s="93"/>
      <c r="I1617" s="85">
        <f t="shared" si="60"/>
        <v>2.1972805581256192</v>
      </c>
      <c r="J1617" s="85">
        <v>157.5</v>
      </c>
      <c r="K1617" s="131" t="s">
        <v>3177</v>
      </c>
      <c r="L1617" s="60">
        <v>59</v>
      </c>
      <c r="M1617" s="49" t="s">
        <v>6392</v>
      </c>
    </row>
    <row r="1618" spans="1:26" ht="14" x14ac:dyDescent="0.15">
      <c r="A1618" s="166" t="s">
        <v>2538</v>
      </c>
      <c r="B1618" s="82"/>
      <c r="C1618" s="70" t="s">
        <v>3636</v>
      </c>
      <c r="D1618" s="70" t="s">
        <v>3437</v>
      </c>
      <c r="E1618" s="70" t="s">
        <v>3457</v>
      </c>
      <c r="F1618" s="70" t="s">
        <v>3557</v>
      </c>
      <c r="G1618" s="70" t="s">
        <v>3840</v>
      </c>
      <c r="H1618" s="93"/>
      <c r="I1618" s="85">
        <f t="shared" si="60"/>
        <v>2.287801729930226</v>
      </c>
      <c r="J1618" s="85">
        <v>194</v>
      </c>
      <c r="K1618" s="131" t="s">
        <v>3177</v>
      </c>
      <c r="L1618" s="60">
        <v>59</v>
      </c>
      <c r="M1618" s="49" t="s">
        <v>6392</v>
      </c>
    </row>
    <row r="1619" spans="1:26" ht="14" x14ac:dyDescent="0.15">
      <c r="A1619" s="166" t="s">
        <v>2538</v>
      </c>
      <c r="B1619" s="82"/>
      <c r="C1619" s="70" t="s">
        <v>3636</v>
      </c>
      <c r="D1619" s="70" t="s">
        <v>3437</v>
      </c>
      <c r="E1619" s="70" t="s">
        <v>3457</v>
      </c>
      <c r="F1619" s="70" t="s">
        <v>3557</v>
      </c>
      <c r="G1619" s="70" t="s">
        <v>6490</v>
      </c>
      <c r="H1619" s="93"/>
      <c r="I1619" s="85">
        <f t="shared" si="60"/>
        <v>2.8102325179950842</v>
      </c>
      <c r="J1619" s="85">
        <v>646</v>
      </c>
      <c r="K1619" s="131" t="s">
        <v>3177</v>
      </c>
      <c r="L1619" s="60">
        <v>59</v>
      </c>
    </row>
    <row r="1620" spans="1:26" ht="14" x14ac:dyDescent="0.15">
      <c r="A1620" s="166" t="s">
        <v>2538</v>
      </c>
      <c r="B1620" s="82"/>
      <c r="C1620" s="70" t="s">
        <v>3636</v>
      </c>
      <c r="D1620" s="70" t="s">
        <v>3437</v>
      </c>
      <c r="E1620" s="70" t="s">
        <v>3457</v>
      </c>
      <c r="F1620" s="70" t="s">
        <v>3095</v>
      </c>
      <c r="G1620" s="70" t="s">
        <v>3096</v>
      </c>
      <c r="H1620" s="93"/>
      <c r="I1620" s="85">
        <f t="shared" si="60"/>
        <v>1.6127838567197355</v>
      </c>
      <c r="J1620" s="85">
        <v>41</v>
      </c>
      <c r="K1620" s="131" t="s">
        <v>3177</v>
      </c>
      <c r="L1620" s="63">
        <v>59</v>
      </c>
      <c r="M1620" s="49" t="s">
        <v>6728</v>
      </c>
    </row>
    <row r="1621" spans="1:26" ht="14" x14ac:dyDescent="0.15">
      <c r="A1621" s="166" t="s">
        <v>2538</v>
      </c>
      <c r="B1621" s="82"/>
      <c r="C1621" s="70" t="s">
        <v>3636</v>
      </c>
      <c r="D1621" s="70" t="s">
        <v>3437</v>
      </c>
      <c r="E1621" s="70" t="s">
        <v>3457</v>
      </c>
      <c r="F1621" s="70" t="s">
        <v>7368</v>
      </c>
      <c r="G1621" s="70" t="s">
        <v>7372</v>
      </c>
      <c r="H1621" s="93"/>
      <c r="I1621" s="85">
        <f t="shared" si="60"/>
        <v>1.5563025007672873</v>
      </c>
      <c r="J1621" s="85">
        <v>36</v>
      </c>
      <c r="K1621" s="131" t="s">
        <v>3177</v>
      </c>
      <c r="L1621" s="63">
        <v>59</v>
      </c>
    </row>
    <row r="1622" spans="1:26" ht="14" x14ac:dyDescent="0.15">
      <c r="A1622" s="166" t="s">
        <v>2538</v>
      </c>
      <c r="B1622" s="82"/>
      <c r="C1622" s="70" t="s">
        <v>3636</v>
      </c>
      <c r="D1622" s="70" t="s">
        <v>3437</v>
      </c>
      <c r="E1622" s="70" t="s">
        <v>3457</v>
      </c>
      <c r="F1622" s="70" t="s">
        <v>7368</v>
      </c>
      <c r="G1622" s="70" t="s">
        <v>3561</v>
      </c>
      <c r="H1622" s="93"/>
      <c r="I1622" s="85">
        <f t="shared" si="60"/>
        <v>1.9731278535996986</v>
      </c>
      <c r="J1622" s="85">
        <v>94</v>
      </c>
      <c r="K1622" s="131" t="s">
        <v>3177</v>
      </c>
      <c r="L1622" s="60">
        <v>59</v>
      </c>
    </row>
    <row r="1623" spans="1:26" ht="14" x14ac:dyDescent="0.15">
      <c r="A1623" s="169" t="s">
        <v>2538</v>
      </c>
      <c r="B1623" s="90"/>
      <c r="C1623" s="91" t="s">
        <v>3636</v>
      </c>
      <c r="D1623" s="91" t="s">
        <v>3437</v>
      </c>
      <c r="E1623" s="91" t="s">
        <v>3457</v>
      </c>
      <c r="F1623" s="91" t="s">
        <v>7368</v>
      </c>
      <c r="G1623" s="91" t="s">
        <v>3849</v>
      </c>
      <c r="H1623" s="176"/>
      <c r="I1623" s="85">
        <f t="shared" si="60"/>
        <v>2</v>
      </c>
      <c r="J1623" s="92">
        <v>100</v>
      </c>
      <c r="K1623" s="133" t="s">
        <v>3741</v>
      </c>
      <c r="L1623" s="64">
        <v>59</v>
      </c>
      <c r="M1623" s="49" t="s">
        <v>6809</v>
      </c>
    </row>
    <row r="1624" spans="1:26" ht="14" x14ac:dyDescent="0.15">
      <c r="A1624" s="166" t="s">
        <v>2538</v>
      </c>
      <c r="B1624" s="82"/>
      <c r="C1624" s="70" t="s">
        <v>3636</v>
      </c>
      <c r="D1624" s="70" t="s">
        <v>3437</v>
      </c>
      <c r="E1624" s="70" t="s">
        <v>3457</v>
      </c>
      <c r="F1624" s="70" t="s">
        <v>7368</v>
      </c>
      <c r="G1624" s="70" t="s">
        <v>3381</v>
      </c>
      <c r="H1624" s="93"/>
      <c r="I1624" s="85">
        <f t="shared" si="60"/>
        <v>2.0899051114393981</v>
      </c>
      <c r="J1624" s="85">
        <v>123</v>
      </c>
      <c r="K1624" s="131" t="s">
        <v>3177</v>
      </c>
      <c r="L1624" s="60">
        <v>59</v>
      </c>
      <c r="M1624" s="49" t="s">
        <v>6809</v>
      </c>
    </row>
    <row r="1625" spans="1:26" ht="14" x14ac:dyDescent="0.15">
      <c r="A1625" s="166" t="s">
        <v>2538</v>
      </c>
      <c r="B1625" s="82"/>
      <c r="C1625" s="73" t="s">
        <v>3636</v>
      </c>
      <c r="D1625" s="73" t="s">
        <v>3437</v>
      </c>
      <c r="E1625" s="73" t="s">
        <v>3457</v>
      </c>
      <c r="F1625" s="73" t="s">
        <v>7368</v>
      </c>
      <c r="G1625" s="73" t="s">
        <v>6484</v>
      </c>
      <c r="H1625" s="93"/>
      <c r="I1625" s="85">
        <f t="shared" si="60"/>
        <v>2.1335389083702174</v>
      </c>
      <c r="J1625" s="85">
        <v>136</v>
      </c>
      <c r="K1625" s="131" t="s">
        <v>3177</v>
      </c>
      <c r="L1625" s="63">
        <v>59</v>
      </c>
    </row>
    <row r="1626" spans="1:26" ht="14" x14ac:dyDescent="0.15">
      <c r="A1626" s="166" t="s">
        <v>2538</v>
      </c>
      <c r="B1626" s="82"/>
      <c r="C1626" s="70" t="s">
        <v>3636</v>
      </c>
      <c r="D1626" s="70" t="s">
        <v>7093</v>
      </c>
      <c r="E1626" s="70" t="s">
        <v>7720</v>
      </c>
      <c r="F1626" s="70" t="s">
        <v>7721</v>
      </c>
      <c r="G1626" s="70" t="s">
        <v>7722</v>
      </c>
      <c r="H1626" s="93"/>
      <c r="I1626" s="85">
        <f t="shared" si="60"/>
        <v>5.6232492903979008</v>
      </c>
      <c r="J1626" s="85">
        <v>420000</v>
      </c>
      <c r="K1626" s="131" t="s">
        <v>3177</v>
      </c>
      <c r="L1626" s="60">
        <v>59</v>
      </c>
    </row>
    <row r="1627" spans="1:26" ht="14" x14ac:dyDescent="0.15">
      <c r="A1627" s="166" t="s">
        <v>2479</v>
      </c>
      <c r="B1627" s="82"/>
      <c r="C1627" s="70" t="s">
        <v>44</v>
      </c>
      <c r="D1627" s="70" t="s">
        <v>2837</v>
      </c>
      <c r="E1627" s="70" t="s">
        <v>3178</v>
      </c>
      <c r="F1627" s="70" t="s">
        <v>3885</v>
      </c>
      <c r="G1627" s="70" t="s">
        <v>7810</v>
      </c>
      <c r="H1627" s="93"/>
      <c r="I1627" s="85">
        <f t="shared" si="60"/>
        <v>5.9542425094393252</v>
      </c>
      <c r="J1627" s="85">
        <v>900000</v>
      </c>
      <c r="K1627" s="131" t="s">
        <v>1305</v>
      </c>
      <c r="L1627" s="60">
        <v>114</v>
      </c>
    </row>
    <row r="1628" spans="1:26" ht="56" x14ac:dyDescent="0.15">
      <c r="A1628" s="166" t="s">
        <v>2479</v>
      </c>
      <c r="B1628" s="82" t="s">
        <v>31</v>
      </c>
      <c r="C1628" s="70" t="s">
        <v>44</v>
      </c>
      <c r="D1628" s="70" t="s">
        <v>3773</v>
      </c>
      <c r="E1628" s="70" t="s">
        <v>7053</v>
      </c>
      <c r="F1628" s="70" t="s">
        <v>4677</v>
      </c>
      <c r="G1628" s="70" t="s">
        <v>4678</v>
      </c>
      <c r="H1628" s="93" t="s">
        <v>93</v>
      </c>
      <c r="I1628" s="85">
        <f t="shared" si="60"/>
        <v>5.2081700000000009</v>
      </c>
      <c r="J1628" s="85">
        <v>161499.06041736645</v>
      </c>
      <c r="K1628" s="131" t="s">
        <v>6662</v>
      </c>
      <c r="L1628" s="60" t="s">
        <v>1609</v>
      </c>
      <c r="M1628" s="33" t="s">
        <v>6728</v>
      </c>
    </row>
    <row r="1629" spans="1:26" ht="70" x14ac:dyDescent="0.15">
      <c r="A1629" s="166" t="s">
        <v>2479</v>
      </c>
      <c r="B1629" s="93" t="s">
        <v>5754</v>
      </c>
      <c r="C1629" s="70" t="s">
        <v>44</v>
      </c>
      <c r="D1629" s="70" t="s">
        <v>3437</v>
      </c>
      <c r="E1629" s="70" t="s">
        <v>3457</v>
      </c>
      <c r="F1629" s="70" t="s">
        <v>4046</v>
      </c>
      <c r="G1629" s="70" t="s">
        <v>6065</v>
      </c>
      <c r="H1629" s="93" t="s">
        <v>1</v>
      </c>
      <c r="I1629" s="85">
        <v>-999</v>
      </c>
      <c r="J1629" s="85">
        <v>-999</v>
      </c>
      <c r="K1629" s="131" t="s">
        <v>62</v>
      </c>
      <c r="L1629" s="60">
        <v>-999</v>
      </c>
      <c r="M1629" s="33" t="s">
        <v>2</v>
      </c>
    </row>
    <row r="1630" spans="1:26" ht="14" x14ac:dyDescent="0.15">
      <c r="A1630" s="166" t="s">
        <v>2479</v>
      </c>
      <c r="B1630" s="82"/>
      <c r="C1630" s="70" t="s">
        <v>3636</v>
      </c>
      <c r="D1630" s="70" t="s">
        <v>2837</v>
      </c>
      <c r="E1630" s="73" t="s">
        <v>3178</v>
      </c>
      <c r="F1630" s="70" t="s">
        <v>6301</v>
      </c>
      <c r="G1630" s="70" t="s">
        <v>6302</v>
      </c>
      <c r="H1630" s="93"/>
      <c r="I1630" s="85">
        <f t="shared" ref="I1630:I1636" si="61">LOG(J1630)</f>
        <v>4.5740312677277188</v>
      </c>
      <c r="J1630" s="85">
        <v>37500</v>
      </c>
      <c r="K1630" s="131" t="s">
        <v>6485</v>
      </c>
      <c r="L1630" s="60">
        <v>68</v>
      </c>
      <c r="M1630" s="49" t="s">
        <v>6728</v>
      </c>
    </row>
    <row r="1631" spans="1:26" s="15" customFormat="1" ht="14" x14ac:dyDescent="0.15">
      <c r="A1631" s="166" t="s">
        <v>2479</v>
      </c>
      <c r="B1631" s="82"/>
      <c r="C1631" s="70" t="s">
        <v>3636</v>
      </c>
      <c r="D1631" s="70" t="s">
        <v>2837</v>
      </c>
      <c r="E1631" s="70" t="s">
        <v>3178</v>
      </c>
      <c r="F1631" s="70" t="s">
        <v>7191</v>
      </c>
      <c r="G1631" s="70" t="s">
        <v>7806</v>
      </c>
      <c r="H1631" s="93"/>
      <c r="I1631" s="85">
        <f t="shared" si="61"/>
        <v>5.6989700043360187</v>
      </c>
      <c r="J1631" s="85">
        <v>500000</v>
      </c>
      <c r="K1631" s="131" t="s">
        <v>6485</v>
      </c>
      <c r="L1631" s="60">
        <v>68</v>
      </c>
      <c r="M1631" s="49" t="s">
        <v>6390</v>
      </c>
      <c r="N1631" s="37"/>
      <c r="O1631" s="37"/>
      <c r="P1631" s="37"/>
      <c r="Q1631" s="3"/>
      <c r="R1631" s="3"/>
      <c r="S1631" s="14"/>
      <c r="T1631" s="14"/>
      <c r="U1631" s="14"/>
      <c r="V1631" s="14"/>
      <c r="W1631" s="14"/>
      <c r="X1631" s="14"/>
      <c r="Y1631" s="14"/>
      <c r="Z1631" s="17"/>
    </row>
    <row r="1632" spans="1:26" s="15" customFormat="1" ht="42" x14ac:dyDescent="0.15">
      <c r="A1632" s="166" t="s">
        <v>2479</v>
      </c>
      <c r="B1632" s="82"/>
      <c r="C1632" s="70" t="s">
        <v>3636</v>
      </c>
      <c r="D1632" s="70" t="s">
        <v>2837</v>
      </c>
      <c r="E1632" s="70" t="s">
        <v>3178</v>
      </c>
      <c r="F1632" s="70" t="s">
        <v>3885</v>
      </c>
      <c r="G1632" s="70" t="s">
        <v>7809</v>
      </c>
      <c r="H1632" s="93"/>
      <c r="I1632" s="85">
        <f t="shared" si="61"/>
        <v>5.5224442335063202</v>
      </c>
      <c r="J1632" s="85">
        <v>333000</v>
      </c>
      <c r="K1632" s="131" t="s">
        <v>1335</v>
      </c>
      <c r="L1632" s="60">
        <v>68</v>
      </c>
      <c r="M1632" s="33" t="s">
        <v>6728</v>
      </c>
      <c r="N1632" s="37"/>
      <c r="O1632" s="37"/>
      <c r="P1632" s="37"/>
      <c r="Q1632" s="3"/>
      <c r="R1632" s="3"/>
      <c r="S1632" s="14"/>
      <c r="T1632" s="14"/>
      <c r="U1632" s="14"/>
      <c r="V1632" s="14"/>
      <c r="W1632" s="14"/>
      <c r="X1632" s="14"/>
      <c r="Y1632" s="14"/>
      <c r="Z1632" s="17"/>
    </row>
    <row r="1633" spans="1:18" ht="42" x14ac:dyDescent="0.15">
      <c r="A1633" s="169" t="s">
        <v>2479</v>
      </c>
      <c r="B1633" s="90"/>
      <c r="C1633" s="91" t="s">
        <v>3636</v>
      </c>
      <c r="D1633" s="91" t="s">
        <v>2837</v>
      </c>
      <c r="E1633" s="91" t="s">
        <v>3178</v>
      </c>
      <c r="F1633" s="91" t="s">
        <v>3885</v>
      </c>
      <c r="G1633" s="91" t="s">
        <v>7202</v>
      </c>
      <c r="H1633" s="176"/>
      <c r="I1633" s="85">
        <f t="shared" si="61"/>
        <v>5.8450980400142569</v>
      </c>
      <c r="J1633" s="92">
        <v>700000</v>
      </c>
      <c r="K1633" s="131" t="s">
        <v>1335</v>
      </c>
      <c r="L1633" s="65">
        <v>75</v>
      </c>
      <c r="M1633" s="33" t="s">
        <v>6390</v>
      </c>
    </row>
    <row r="1634" spans="1:18" ht="28" x14ac:dyDescent="0.15">
      <c r="A1634" s="166" t="s">
        <v>2479</v>
      </c>
      <c r="B1634" s="82"/>
      <c r="C1634" s="70" t="s">
        <v>3636</v>
      </c>
      <c r="D1634" s="70" t="s">
        <v>2837</v>
      </c>
      <c r="E1634" s="70" t="s">
        <v>3178</v>
      </c>
      <c r="F1634" s="70" t="s">
        <v>3885</v>
      </c>
      <c r="G1634" s="70" t="s">
        <v>7417</v>
      </c>
      <c r="H1634" s="93"/>
      <c r="I1634" s="85">
        <f t="shared" si="61"/>
        <v>5.9030899869919438</v>
      </c>
      <c r="J1634" s="85">
        <v>800000</v>
      </c>
      <c r="K1634" s="131" t="s">
        <v>6629</v>
      </c>
      <c r="L1634" s="60">
        <v>68</v>
      </c>
      <c r="M1634" s="33" t="s">
        <v>6728</v>
      </c>
    </row>
    <row r="1635" spans="1:18" ht="28" x14ac:dyDescent="0.15">
      <c r="A1635" s="166" t="s">
        <v>2479</v>
      </c>
      <c r="B1635" s="82"/>
      <c r="C1635" s="70" t="s">
        <v>3636</v>
      </c>
      <c r="D1635" s="70" t="s">
        <v>2837</v>
      </c>
      <c r="E1635" s="70" t="s">
        <v>3178</v>
      </c>
      <c r="F1635" s="70" t="s">
        <v>3885</v>
      </c>
      <c r="G1635" s="70" t="s">
        <v>5719</v>
      </c>
      <c r="H1635" s="93"/>
      <c r="I1635" s="85">
        <f t="shared" si="61"/>
        <v>5.9030899869919438</v>
      </c>
      <c r="J1635" s="85">
        <v>800000</v>
      </c>
      <c r="K1635" s="134" t="s">
        <v>6710</v>
      </c>
      <c r="L1635" s="60">
        <v>136</v>
      </c>
      <c r="M1635" s="33" t="s">
        <v>6809</v>
      </c>
    </row>
    <row r="1636" spans="1:18" ht="14" x14ac:dyDescent="0.15">
      <c r="A1636" s="166" t="s">
        <v>2479</v>
      </c>
      <c r="B1636" s="82"/>
      <c r="C1636" s="70" t="s">
        <v>3636</v>
      </c>
      <c r="D1636" s="70" t="s">
        <v>2837</v>
      </c>
      <c r="E1636" s="70" t="s">
        <v>3178</v>
      </c>
      <c r="F1636" s="70" t="s">
        <v>5407</v>
      </c>
      <c r="G1636" s="70" t="s">
        <v>5408</v>
      </c>
      <c r="H1636" s="93"/>
      <c r="I1636" s="85">
        <f t="shared" si="61"/>
        <v>5.2278867046136739</v>
      </c>
      <c r="J1636" s="85">
        <v>169000</v>
      </c>
      <c r="K1636" s="131" t="s">
        <v>6485</v>
      </c>
      <c r="L1636" s="63">
        <v>68</v>
      </c>
      <c r="M1636" s="49" t="s">
        <v>6392</v>
      </c>
    </row>
    <row r="1637" spans="1:18" ht="14" x14ac:dyDescent="0.15">
      <c r="A1637" s="166" t="s">
        <v>2479</v>
      </c>
      <c r="B1637" s="93" t="s">
        <v>5851</v>
      </c>
      <c r="C1637" s="70" t="s">
        <v>3636</v>
      </c>
      <c r="D1637" s="70" t="s">
        <v>2837</v>
      </c>
      <c r="E1637" s="70" t="s">
        <v>3178</v>
      </c>
      <c r="F1637" s="70" t="s">
        <v>7189</v>
      </c>
      <c r="G1637" s="70" t="s">
        <v>5682</v>
      </c>
      <c r="H1637" s="93"/>
      <c r="I1637" s="85">
        <v>-999</v>
      </c>
      <c r="J1637" s="85">
        <v>-999</v>
      </c>
      <c r="K1637" s="131" t="s">
        <v>3177</v>
      </c>
      <c r="L1637" s="60">
        <v>-999</v>
      </c>
      <c r="M1637" s="33"/>
    </row>
    <row r="1638" spans="1:18" ht="70" x14ac:dyDescent="0.2">
      <c r="A1638" s="166" t="s">
        <v>2479</v>
      </c>
      <c r="B1638" s="82"/>
      <c r="C1638" s="70" t="s">
        <v>3636</v>
      </c>
      <c r="D1638" s="70" t="s">
        <v>2837</v>
      </c>
      <c r="E1638" s="70" t="s">
        <v>3178</v>
      </c>
      <c r="F1638" s="70" t="s">
        <v>7189</v>
      </c>
      <c r="G1638" s="70" t="s">
        <v>7190</v>
      </c>
      <c r="H1638" s="93"/>
      <c r="I1638" s="85">
        <f t="shared" ref="I1638:I1669" si="62">LOG(J1638)</f>
        <v>4.5740312677277188</v>
      </c>
      <c r="J1638" s="85">
        <f>AVERAGE(25000, 50000)</f>
        <v>37500</v>
      </c>
      <c r="K1638" s="131" t="s">
        <v>1399</v>
      </c>
      <c r="L1638" s="60">
        <v>111</v>
      </c>
      <c r="M1638" s="47" t="s">
        <v>6390</v>
      </c>
    </row>
    <row r="1639" spans="1:18" ht="56" x14ac:dyDescent="0.15">
      <c r="A1639" s="166" t="s">
        <v>2479</v>
      </c>
      <c r="B1639" s="82"/>
      <c r="C1639" s="70" t="s">
        <v>3636</v>
      </c>
      <c r="D1639" s="70" t="s">
        <v>2837</v>
      </c>
      <c r="E1639" s="70" t="s">
        <v>3178</v>
      </c>
      <c r="F1639" s="70" t="s">
        <v>5409</v>
      </c>
      <c r="G1639" s="70" t="s">
        <v>5410</v>
      </c>
      <c r="H1639" s="93"/>
      <c r="I1639" s="85">
        <f t="shared" si="62"/>
        <v>5.480006942957151</v>
      </c>
      <c r="J1639" s="85">
        <v>302000</v>
      </c>
      <c r="K1639" s="131" t="s">
        <v>1227</v>
      </c>
      <c r="L1639" s="63">
        <v>68</v>
      </c>
      <c r="M1639" s="49" t="s">
        <v>6728</v>
      </c>
    </row>
    <row r="1640" spans="1:18" ht="42" x14ac:dyDescent="0.15">
      <c r="A1640" s="166" t="s">
        <v>2479</v>
      </c>
      <c r="B1640" s="82"/>
      <c r="C1640" s="70" t="s">
        <v>3636</v>
      </c>
      <c r="D1640" s="70" t="s">
        <v>2837</v>
      </c>
      <c r="E1640" s="70" t="s">
        <v>3178</v>
      </c>
      <c r="F1640" s="70" t="s">
        <v>2997</v>
      </c>
      <c r="G1640" s="70" t="s">
        <v>5348</v>
      </c>
      <c r="H1640" s="93"/>
      <c r="I1640" s="85">
        <f t="shared" si="62"/>
        <v>4.6127838567197355</v>
      </c>
      <c r="J1640" s="85">
        <v>41000</v>
      </c>
      <c r="K1640" s="131" t="s">
        <v>1413</v>
      </c>
      <c r="L1640" s="60">
        <v>68</v>
      </c>
      <c r="M1640" s="49" t="s">
        <v>6390</v>
      </c>
      <c r="Q1640" s="12"/>
      <c r="R1640" s="12"/>
    </row>
    <row r="1641" spans="1:18" ht="70" x14ac:dyDescent="0.15">
      <c r="A1641" s="166" t="s">
        <v>2479</v>
      </c>
      <c r="B1641" s="82"/>
      <c r="C1641" s="70" t="s">
        <v>3636</v>
      </c>
      <c r="D1641" s="70" t="s">
        <v>2837</v>
      </c>
      <c r="E1641" s="70" t="s">
        <v>3178</v>
      </c>
      <c r="F1641" s="70" t="s">
        <v>2997</v>
      </c>
      <c r="G1641" s="70" t="s">
        <v>7976</v>
      </c>
      <c r="H1641" s="93"/>
      <c r="I1641" s="85">
        <f t="shared" si="62"/>
        <v>4.6651117370750512</v>
      </c>
      <c r="J1641" s="85">
        <f>AVERAGE(60000, 32500)</f>
        <v>46250</v>
      </c>
      <c r="K1641" s="131" t="s">
        <v>6741</v>
      </c>
      <c r="L1641" s="60">
        <v>136</v>
      </c>
      <c r="M1641" s="33" t="s">
        <v>6390</v>
      </c>
      <c r="O1641" s="37" t="s">
        <v>1373</v>
      </c>
    </row>
    <row r="1642" spans="1:18" ht="14" x14ac:dyDescent="0.15">
      <c r="A1642" s="166" t="s">
        <v>2479</v>
      </c>
      <c r="B1642" s="82"/>
      <c r="C1642" s="70" t="s">
        <v>3636</v>
      </c>
      <c r="D1642" s="70" t="s">
        <v>2837</v>
      </c>
      <c r="E1642" s="70" t="s">
        <v>3178</v>
      </c>
      <c r="F1642" s="70" t="s">
        <v>2997</v>
      </c>
      <c r="G1642" s="70" t="s">
        <v>5347</v>
      </c>
      <c r="H1642" s="93"/>
      <c r="I1642" s="85">
        <f t="shared" si="62"/>
        <v>4.6989700043360187</v>
      </c>
      <c r="J1642" s="85">
        <v>50000</v>
      </c>
      <c r="K1642" s="131" t="s">
        <v>5966</v>
      </c>
      <c r="L1642" s="60">
        <v>68</v>
      </c>
      <c r="M1642" s="49" t="s">
        <v>6728</v>
      </c>
    </row>
    <row r="1643" spans="1:18" ht="34" x14ac:dyDescent="0.2">
      <c r="A1643" s="166" t="s">
        <v>2479</v>
      </c>
      <c r="B1643" s="82" t="s">
        <v>5853</v>
      </c>
      <c r="C1643" s="70" t="s">
        <v>3636</v>
      </c>
      <c r="D1643" s="70" t="s">
        <v>2837</v>
      </c>
      <c r="E1643" s="70" t="s">
        <v>3178</v>
      </c>
      <c r="F1643" s="70" t="s">
        <v>2997</v>
      </c>
      <c r="G1643" s="70" t="s">
        <v>7785</v>
      </c>
      <c r="H1643" s="93"/>
      <c r="I1643" s="85">
        <f t="shared" si="62"/>
        <v>4.6989700043360187</v>
      </c>
      <c r="J1643" s="85">
        <v>50000</v>
      </c>
      <c r="K1643" s="131" t="s">
        <v>6592</v>
      </c>
      <c r="L1643" s="60">
        <v>134</v>
      </c>
      <c r="M1643" s="33" t="s">
        <v>6392</v>
      </c>
      <c r="N1643" s="47" t="s">
        <v>6645</v>
      </c>
      <c r="Q1643" s="12"/>
      <c r="R1643" s="12"/>
    </row>
    <row r="1644" spans="1:18" ht="28" x14ac:dyDescent="0.2">
      <c r="A1644" s="166" t="s">
        <v>2479</v>
      </c>
      <c r="B1644" s="82"/>
      <c r="C1644" s="70" t="s">
        <v>3636</v>
      </c>
      <c r="D1644" s="70" t="s">
        <v>2837</v>
      </c>
      <c r="E1644" s="70" t="s">
        <v>3178</v>
      </c>
      <c r="F1644" s="70" t="s">
        <v>2997</v>
      </c>
      <c r="G1644" s="70" t="s">
        <v>5411</v>
      </c>
      <c r="H1644" s="93"/>
      <c r="I1644" s="85">
        <f t="shared" si="62"/>
        <v>4.7403626894942441</v>
      </c>
      <c r="J1644" s="85">
        <v>55000</v>
      </c>
      <c r="K1644" s="131" t="s">
        <v>1132</v>
      </c>
      <c r="L1644" s="60">
        <v>68</v>
      </c>
      <c r="M1644" s="47" t="s">
        <v>6390</v>
      </c>
    </row>
    <row r="1645" spans="1:18" ht="14" x14ac:dyDescent="0.15">
      <c r="A1645" s="166" t="s">
        <v>2479</v>
      </c>
      <c r="B1645" s="82"/>
      <c r="C1645" s="70" t="s">
        <v>3636</v>
      </c>
      <c r="D1645" s="70" t="s">
        <v>2837</v>
      </c>
      <c r="E1645" s="70" t="s">
        <v>3178</v>
      </c>
      <c r="F1645" s="70" t="s">
        <v>2997</v>
      </c>
      <c r="G1645" s="70" t="s">
        <v>2998</v>
      </c>
      <c r="H1645" s="93"/>
      <c r="I1645" s="85">
        <f t="shared" si="62"/>
        <v>4.8409420802430994</v>
      </c>
      <c r="J1645" s="85">
        <f>AVERAGE(26000, 92000, 90000)</f>
        <v>69333.333333333328</v>
      </c>
      <c r="K1645" s="131" t="s">
        <v>3177</v>
      </c>
      <c r="L1645" s="60" t="s">
        <v>1612</v>
      </c>
      <c r="M1645" s="33"/>
    </row>
    <row r="1646" spans="1:18" ht="56" x14ac:dyDescent="0.2">
      <c r="A1646" s="166" t="s">
        <v>2479</v>
      </c>
      <c r="B1646" s="82"/>
      <c r="C1646" s="70" t="s">
        <v>3636</v>
      </c>
      <c r="D1646" s="70" t="s">
        <v>2837</v>
      </c>
      <c r="E1646" s="70" t="s">
        <v>3178</v>
      </c>
      <c r="F1646" s="70" t="s">
        <v>2997</v>
      </c>
      <c r="G1646" s="70" t="s">
        <v>3884</v>
      </c>
      <c r="H1646" s="93"/>
      <c r="I1646" s="85">
        <f t="shared" si="62"/>
        <v>4.8750612633917001</v>
      </c>
      <c r="J1646" s="85">
        <f>AVERAGE(97500, 52500)</f>
        <v>75000</v>
      </c>
      <c r="K1646" s="131" t="s">
        <v>1416</v>
      </c>
      <c r="L1646" s="60">
        <v>111</v>
      </c>
      <c r="M1646" s="47" t="s">
        <v>6728</v>
      </c>
    </row>
    <row r="1647" spans="1:18" ht="14" x14ac:dyDescent="0.15">
      <c r="A1647" s="166" t="s">
        <v>2479</v>
      </c>
      <c r="B1647" s="82"/>
      <c r="C1647" s="70" t="s">
        <v>3636</v>
      </c>
      <c r="D1647" s="70" t="s">
        <v>2837</v>
      </c>
      <c r="E1647" s="70" t="s">
        <v>3178</v>
      </c>
      <c r="F1647" s="70" t="s">
        <v>2997</v>
      </c>
      <c r="G1647" s="70" t="s">
        <v>7949</v>
      </c>
      <c r="H1647" s="93"/>
      <c r="I1647" s="85">
        <f t="shared" si="62"/>
        <v>5.1139433523068369</v>
      </c>
      <c r="J1647" s="85">
        <v>130000</v>
      </c>
      <c r="K1647" s="131" t="s">
        <v>3177</v>
      </c>
      <c r="L1647" s="63">
        <v>104</v>
      </c>
    </row>
    <row r="1648" spans="1:18" ht="28" x14ac:dyDescent="0.15">
      <c r="A1648" s="166" t="s">
        <v>2479</v>
      </c>
      <c r="B1648" s="93" t="s">
        <v>2417</v>
      </c>
      <c r="C1648" s="70" t="s">
        <v>3636</v>
      </c>
      <c r="D1648" s="70" t="s">
        <v>2837</v>
      </c>
      <c r="E1648" s="70" t="s">
        <v>3178</v>
      </c>
      <c r="F1648" s="70" t="s">
        <v>1914</v>
      </c>
      <c r="G1648" s="70" t="s">
        <v>5534</v>
      </c>
      <c r="H1648" s="93"/>
      <c r="I1648" s="85">
        <f t="shared" si="62"/>
        <v>4.204119982655925</v>
      </c>
      <c r="J1648" s="85">
        <v>16000</v>
      </c>
      <c r="K1648" s="131" t="s">
        <v>3177</v>
      </c>
      <c r="L1648" s="60">
        <v>143</v>
      </c>
      <c r="M1648" s="49" t="s">
        <v>6748</v>
      </c>
    </row>
    <row r="1649" spans="1:26" ht="14" x14ac:dyDescent="0.15">
      <c r="A1649" s="166" t="s">
        <v>2479</v>
      </c>
      <c r="B1649" s="93" t="s">
        <v>5856</v>
      </c>
      <c r="C1649" s="70" t="s">
        <v>3636</v>
      </c>
      <c r="D1649" s="70" t="s">
        <v>2837</v>
      </c>
      <c r="E1649" s="70" t="s">
        <v>3178</v>
      </c>
      <c r="F1649" s="70" t="s">
        <v>1914</v>
      </c>
      <c r="G1649" s="70" t="s">
        <v>5544</v>
      </c>
      <c r="H1649" s="93"/>
      <c r="I1649" s="85">
        <f t="shared" si="62"/>
        <v>4.2768446111454983</v>
      </c>
      <c r="J1649" s="85">
        <f>AVERAGE((50*454), (35*454), (40*454))</f>
        <v>18916.666666666668</v>
      </c>
      <c r="K1649" s="131" t="s">
        <v>6817</v>
      </c>
      <c r="L1649" s="60">
        <v>133</v>
      </c>
      <c r="M1649" s="33" t="s">
        <v>6392</v>
      </c>
    </row>
    <row r="1650" spans="1:26" ht="28" x14ac:dyDescent="0.2">
      <c r="A1650" s="166" t="s">
        <v>2479</v>
      </c>
      <c r="B1650" s="82"/>
      <c r="C1650" s="70" t="s">
        <v>3636</v>
      </c>
      <c r="D1650" s="70" t="s">
        <v>2837</v>
      </c>
      <c r="E1650" s="70" t="s">
        <v>3178</v>
      </c>
      <c r="F1650" s="70" t="s">
        <v>1914</v>
      </c>
      <c r="G1650" s="70" t="s">
        <v>7014</v>
      </c>
      <c r="H1650" s="93"/>
      <c r="I1650" s="85">
        <f t="shared" si="62"/>
        <v>4.3617278360175931</v>
      </c>
      <c r="J1650" s="85">
        <v>23000</v>
      </c>
      <c r="K1650" s="131" t="s">
        <v>1374</v>
      </c>
      <c r="L1650" s="60">
        <v>115</v>
      </c>
      <c r="M1650" s="49" t="s">
        <v>6392</v>
      </c>
      <c r="N1650" s="48"/>
    </row>
    <row r="1651" spans="1:26" ht="14" x14ac:dyDescent="0.15">
      <c r="A1651" s="166" t="s">
        <v>2479</v>
      </c>
      <c r="B1651" s="82" t="s">
        <v>7561</v>
      </c>
      <c r="C1651" s="70" t="s">
        <v>3636</v>
      </c>
      <c r="D1651" s="70" t="s">
        <v>2837</v>
      </c>
      <c r="E1651" s="70" t="s">
        <v>3178</v>
      </c>
      <c r="F1651" s="70" t="s">
        <v>1914</v>
      </c>
      <c r="G1651" s="70" t="s">
        <v>1907</v>
      </c>
      <c r="H1651" s="93"/>
      <c r="I1651" s="85">
        <f t="shared" si="62"/>
        <v>4.3617299999999997</v>
      </c>
      <c r="J1651" s="85">
        <v>23000.114603619051</v>
      </c>
      <c r="K1651" s="131" t="s">
        <v>6817</v>
      </c>
      <c r="L1651" s="60">
        <v>65</v>
      </c>
      <c r="M1651" s="49" t="s">
        <v>6728</v>
      </c>
      <c r="P1651" s="49"/>
    </row>
    <row r="1652" spans="1:26" ht="70" x14ac:dyDescent="0.15">
      <c r="A1652" s="166" t="s">
        <v>2479</v>
      </c>
      <c r="B1652" s="82"/>
      <c r="C1652" s="70" t="s">
        <v>3636</v>
      </c>
      <c r="D1652" s="70" t="s">
        <v>2837</v>
      </c>
      <c r="E1652" s="70" t="s">
        <v>3178</v>
      </c>
      <c r="F1652" s="70" t="s">
        <v>1914</v>
      </c>
      <c r="G1652" s="70" t="s">
        <v>5535</v>
      </c>
      <c r="H1652" s="93"/>
      <c r="I1652" s="85">
        <f t="shared" si="62"/>
        <v>4.4548448600085102</v>
      </c>
      <c r="J1652" s="85">
        <f>AVERAGE(25500, 31500)</f>
        <v>28500</v>
      </c>
      <c r="K1652" s="131" t="s">
        <v>6817</v>
      </c>
      <c r="L1652" s="60">
        <v>91</v>
      </c>
      <c r="M1652" s="49" t="s">
        <v>6392</v>
      </c>
      <c r="N1652" s="32" t="s">
        <v>6707</v>
      </c>
    </row>
    <row r="1653" spans="1:26" ht="56" x14ac:dyDescent="0.2">
      <c r="A1653" s="166" t="s">
        <v>2479</v>
      </c>
      <c r="B1653" s="93" t="s">
        <v>2248</v>
      </c>
      <c r="C1653" s="70" t="s">
        <v>3636</v>
      </c>
      <c r="D1653" s="70" t="s">
        <v>2837</v>
      </c>
      <c r="E1653" s="70" t="s">
        <v>3178</v>
      </c>
      <c r="F1653" s="70" t="s">
        <v>5203</v>
      </c>
      <c r="G1653" s="70" t="s">
        <v>7784</v>
      </c>
      <c r="H1653" s="93"/>
      <c r="I1653" s="85">
        <f t="shared" si="62"/>
        <v>4.3617278360175931</v>
      </c>
      <c r="J1653" s="85">
        <v>23000</v>
      </c>
      <c r="K1653" s="131" t="s">
        <v>4256</v>
      </c>
      <c r="L1653" s="60">
        <v>136</v>
      </c>
      <c r="M1653" s="47" t="s">
        <v>6390</v>
      </c>
      <c r="N1653" s="32" t="s">
        <v>1327</v>
      </c>
    </row>
    <row r="1654" spans="1:26" ht="42" x14ac:dyDescent="0.15">
      <c r="A1654" s="166" t="s">
        <v>2479</v>
      </c>
      <c r="B1654" s="82"/>
      <c r="C1654" s="70" t="s">
        <v>3636</v>
      </c>
      <c r="D1654" s="70" t="s">
        <v>2837</v>
      </c>
      <c r="E1654" s="70" t="s">
        <v>3178</v>
      </c>
      <c r="F1654" s="70" t="s">
        <v>5203</v>
      </c>
      <c r="G1654" s="70" t="s">
        <v>6097</v>
      </c>
      <c r="H1654" s="93"/>
      <c r="I1654" s="85">
        <f t="shared" si="62"/>
        <v>4.5465426634781307</v>
      </c>
      <c r="J1654" s="85">
        <v>35200</v>
      </c>
      <c r="K1654" s="131" t="s">
        <v>1413</v>
      </c>
      <c r="L1654" s="60">
        <v>68</v>
      </c>
      <c r="M1654" s="33" t="s">
        <v>6728</v>
      </c>
    </row>
    <row r="1655" spans="1:26" s="13" customFormat="1" ht="14" x14ac:dyDescent="0.15">
      <c r="A1655" s="166" t="s">
        <v>2479</v>
      </c>
      <c r="B1655" s="93" t="s">
        <v>2418</v>
      </c>
      <c r="C1655" s="70" t="s">
        <v>3636</v>
      </c>
      <c r="D1655" s="70" t="s">
        <v>2837</v>
      </c>
      <c r="E1655" s="70" t="s">
        <v>3178</v>
      </c>
      <c r="F1655" s="70" t="s">
        <v>5203</v>
      </c>
      <c r="G1655" s="70" t="s">
        <v>7783</v>
      </c>
      <c r="H1655" s="93"/>
      <c r="I1655" s="85">
        <f t="shared" si="62"/>
        <v>4.8750612633917001</v>
      </c>
      <c r="J1655" s="85">
        <v>75000</v>
      </c>
      <c r="K1655" s="131" t="s">
        <v>6817</v>
      </c>
      <c r="L1655" s="60">
        <v>136</v>
      </c>
      <c r="M1655" s="31" t="s">
        <v>6390</v>
      </c>
      <c r="N1655" s="37"/>
      <c r="O1655" s="37"/>
      <c r="P1655" s="37"/>
      <c r="Q1655" s="3"/>
      <c r="R1655" s="3"/>
      <c r="S1655" s="12"/>
      <c r="T1655" s="12"/>
      <c r="U1655" s="12"/>
      <c r="V1655" s="12"/>
      <c r="W1655" s="12"/>
      <c r="X1655" s="12"/>
      <c r="Y1655" s="12"/>
      <c r="Z1655" s="16"/>
    </row>
    <row r="1656" spans="1:26" ht="28" x14ac:dyDescent="0.2">
      <c r="A1656" s="166" t="s">
        <v>2479</v>
      </c>
      <c r="B1656" s="82" t="s">
        <v>2020</v>
      </c>
      <c r="C1656" s="70" t="s">
        <v>3636</v>
      </c>
      <c r="D1656" s="70" t="s">
        <v>2837</v>
      </c>
      <c r="E1656" s="70" t="s">
        <v>3178</v>
      </c>
      <c r="F1656" s="70" t="s">
        <v>6098</v>
      </c>
      <c r="G1656" s="70" t="s">
        <v>2086</v>
      </c>
      <c r="H1656" s="93"/>
      <c r="I1656" s="85">
        <f t="shared" si="62"/>
        <v>4.4313637641589869</v>
      </c>
      <c r="J1656" s="85">
        <f>AVERAGE(22000, 32000)</f>
        <v>27000</v>
      </c>
      <c r="K1656" s="131" t="s">
        <v>1132</v>
      </c>
      <c r="L1656" s="60">
        <v>144</v>
      </c>
      <c r="M1656" s="49" t="s">
        <v>6728</v>
      </c>
      <c r="N1656" s="48"/>
    </row>
    <row r="1657" spans="1:26" ht="14" x14ac:dyDescent="0.15">
      <c r="A1657" s="166" t="s">
        <v>2479</v>
      </c>
      <c r="B1657" s="82" t="s">
        <v>2498</v>
      </c>
      <c r="C1657" s="70" t="s">
        <v>3636</v>
      </c>
      <c r="D1657" s="70" t="s">
        <v>2837</v>
      </c>
      <c r="E1657" s="70" t="s">
        <v>3178</v>
      </c>
      <c r="F1657" s="70" t="s">
        <v>6098</v>
      </c>
      <c r="G1657" s="70" t="s">
        <v>2164</v>
      </c>
      <c r="H1657" s="93"/>
      <c r="I1657" s="85">
        <f t="shared" si="62"/>
        <v>4.439135242368847</v>
      </c>
      <c r="J1657" s="85">
        <f>AVERAGE(24993, 29982)</f>
        <v>27487.5</v>
      </c>
      <c r="K1657" s="131" t="s">
        <v>6817</v>
      </c>
      <c r="L1657" s="60">
        <v>215</v>
      </c>
      <c r="M1657" s="49" t="s">
        <v>6728</v>
      </c>
      <c r="N1657" s="35"/>
    </row>
    <row r="1658" spans="1:26" ht="17" x14ac:dyDescent="0.2">
      <c r="A1658" s="166" t="s">
        <v>2479</v>
      </c>
      <c r="B1658" s="82"/>
      <c r="C1658" s="70" t="s">
        <v>3636</v>
      </c>
      <c r="D1658" s="70" t="s">
        <v>2837</v>
      </c>
      <c r="E1658" s="70" t="s">
        <v>3178</v>
      </c>
      <c r="F1658" s="70" t="s">
        <v>6098</v>
      </c>
      <c r="G1658" s="70" t="s">
        <v>6099</v>
      </c>
      <c r="H1658" s="93"/>
      <c r="I1658" s="85">
        <f t="shared" si="62"/>
        <v>4.4548448600085102</v>
      </c>
      <c r="J1658" s="85">
        <v>28500</v>
      </c>
      <c r="K1658" s="131" t="s">
        <v>6820</v>
      </c>
      <c r="L1658" s="63">
        <v>68</v>
      </c>
      <c r="M1658" s="47" t="s">
        <v>6392</v>
      </c>
    </row>
    <row r="1659" spans="1:26" ht="17" x14ac:dyDescent="0.2">
      <c r="A1659" s="166" t="s">
        <v>2479</v>
      </c>
      <c r="B1659" s="82"/>
      <c r="C1659" s="70" t="s">
        <v>3636</v>
      </c>
      <c r="D1659" s="70" t="s">
        <v>2837</v>
      </c>
      <c r="E1659" s="70" t="s">
        <v>3178</v>
      </c>
      <c r="F1659" s="70" t="s">
        <v>6098</v>
      </c>
      <c r="G1659" s="70" t="s">
        <v>6100</v>
      </c>
      <c r="H1659" s="93"/>
      <c r="I1659" s="85">
        <f t="shared" si="62"/>
        <v>4.9420080530223132</v>
      </c>
      <c r="J1659" s="85">
        <v>87500</v>
      </c>
      <c r="K1659" s="131" t="s">
        <v>6817</v>
      </c>
      <c r="L1659" s="60">
        <v>68</v>
      </c>
      <c r="M1659" s="47" t="s">
        <v>6728</v>
      </c>
    </row>
    <row r="1660" spans="1:26" ht="28" x14ac:dyDescent="0.2">
      <c r="A1660" s="166" t="s">
        <v>2479</v>
      </c>
      <c r="B1660" s="82"/>
      <c r="C1660" s="70" t="s">
        <v>3636</v>
      </c>
      <c r="D1660" s="70" t="s">
        <v>2837</v>
      </c>
      <c r="E1660" s="70" t="s">
        <v>3178</v>
      </c>
      <c r="F1660" s="70" t="s">
        <v>7172</v>
      </c>
      <c r="G1660" s="70" t="s">
        <v>6101</v>
      </c>
      <c r="H1660" s="93"/>
      <c r="I1660" s="85">
        <f t="shared" si="62"/>
        <v>4.9429995933660402</v>
      </c>
      <c r="J1660" s="85">
        <v>87700</v>
      </c>
      <c r="K1660" s="131" t="s">
        <v>7673</v>
      </c>
      <c r="L1660" s="60">
        <v>68</v>
      </c>
      <c r="M1660" s="47" t="s">
        <v>6390</v>
      </c>
    </row>
    <row r="1661" spans="1:26" ht="14" x14ac:dyDescent="0.15">
      <c r="A1661" s="166" t="s">
        <v>2479</v>
      </c>
      <c r="B1661" s="82"/>
      <c r="C1661" s="70" t="s">
        <v>3636</v>
      </c>
      <c r="D1661" s="70" t="s">
        <v>2837</v>
      </c>
      <c r="E1661" s="70" t="s">
        <v>3178</v>
      </c>
      <c r="F1661" s="70" t="s">
        <v>7172</v>
      </c>
      <c r="G1661" s="70" t="s">
        <v>7173</v>
      </c>
      <c r="H1661" s="93"/>
      <c r="I1661" s="85">
        <f t="shared" si="62"/>
        <v>5.3010299999999999</v>
      </c>
      <c r="J1661" s="85">
        <v>200000.00199681061</v>
      </c>
      <c r="K1661" s="131" t="s">
        <v>6817</v>
      </c>
      <c r="L1661" s="60">
        <v>60</v>
      </c>
      <c r="M1661" s="49" t="s">
        <v>6748</v>
      </c>
    </row>
    <row r="1662" spans="1:26" ht="16" x14ac:dyDescent="0.2">
      <c r="A1662" s="166" t="s">
        <v>2479</v>
      </c>
      <c r="B1662" s="82"/>
      <c r="C1662" s="70" t="s">
        <v>3636</v>
      </c>
      <c r="D1662" s="70" t="s">
        <v>2837</v>
      </c>
      <c r="E1662" s="70" t="s">
        <v>3178</v>
      </c>
      <c r="F1662" s="70" t="s">
        <v>7195</v>
      </c>
      <c r="G1662" s="70" t="s">
        <v>6966</v>
      </c>
      <c r="H1662" s="93"/>
      <c r="I1662" s="85">
        <f t="shared" si="62"/>
        <v>5.4948500216800937</v>
      </c>
      <c r="J1662" s="85">
        <f>AVERAGE(225000, 400000)</f>
        <v>312500</v>
      </c>
      <c r="K1662" s="135"/>
      <c r="L1662" s="60">
        <v>111</v>
      </c>
      <c r="M1662" s="33"/>
      <c r="N1662" s="48"/>
    </row>
    <row r="1663" spans="1:26" ht="16" x14ac:dyDescent="0.2">
      <c r="A1663" s="166" t="s">
        <v>2479</v>
      </c>
      <c r="B1663" s="82"/>
      <c r="C1663" s="70" t="s">
        <v>3636</v>
      </c>
      <c r="D1663" s="70" t="s">
        <v>2837</v>
      </c>
      <c r="E1663" s="70" t="s">
        <v>3178</v>
      </c>
      <c r="F1663" s="70" t="s">
        <v>3938</v>
      </c>
      <c r="G1663" s="70" t="s">
        <v>5512</v>
      </c>
      <c r="H1663" s="93"/>
      <c r="I1663" s="85">
        <f t="shared" si="62"/>
        <v>4.6989700043360187</v>
      </c>
      <c r="J1663" s="85">
        <v>50000</v>
      </c>
      <c r="K1663" s="131" t="s">
        <v>6485</v>
      </c>
      <c r="L1663" s="60">
        <v>68</v>
      </c>
      <c r="M1663" s="47"/>
    </row>
    <row r="1664" spans="1:26" ht="42" x14ac:dyDescent="0.15">
      <c r="A1664" s="166" t="s">
        <v>2479</v>
      </c>
      <c r="B1664" s="93" t="s">
        <v>7395</v>
      </c>
      <c r="C1664" s="70" t="s">
        <v>3636</v>
      </c>
      <c r="D1664" s="70" t="s">
        <v>2837</v>
      </c>
      <c r="E1664" s="70" t="s">
        <v>3178</v>
      </c>
      <c r="F1664" s="70" t="s">
        <v>3938</v>
      </c>
      <c r="G1664" s="70" t="s">
        <v>5510</v>
      </c>
      <c r="H1664" s="93"/>
      <c r="I1664" s="85">
        <f t="shared" si="62"/>
        <v>4.7781512503836439</v>
      </c>
      <c r="J1664" s="85">
        <v>60000</v>
      </c>
      <c r="K1664" s="131" t="s">
        <v>3177</v>
      </c>
      <c r="L1664" s="60">
        <v>56</v>
      </c>
      <c r="M1664" s="33"/>
    </row>
    <row r="1665" spans="1:18" ht="29" x14ac:dyDescent="0.2">
      <c r="A1665" s="166" t="s">
        <v>2479</v>
      </c>
      <c r="B1665" s="93" t="s">
        <v>2885</v>
      </c>
      <c r="C1665" s="70" t="s">
        <v>3636</v>
      </c>
      <c r="D1665" s="70" t="s">
        <v>2837</v>
      </c>
      <c r="E1665" s="70" t="s">
        <v>3178</v>
      </c>
      <c r="F1665" s="70" t="s">
        <v>3938</v>
      </c>
      <c r="G1665" s="70" t="s">
        <v>5583</v>
      </c>
      <c r="H1665" s="93"/>
      <c r="I1665" s="85">
        <f t="shared" si="62"/>
        <v>4.9542425094393252</v>
      </c>
      <c r="J1665" s="85">
        <v>90000</v>
      </c>
      <c r="K1665" s="131" t="s">
        <v>6758</v>
      </c>
      <c r="L1665" s="60">
        <v>135</v>
      </c>
      <c r="M1665" s="47" t="s">
        <v>6392</v>
      </c>
      <c r="N1665" s="32" t="s">
        <v>1325</v>
      </c>
    </row>
    <row r="1666" spans="1:18" ht="56" x14ac:dyDescent="0.2">
      <c r="A1666" s="166" t="s">
        <v>2479</v>
      </c>
      <c r="B1666" s="96"/>
      <c r="C1666" s="70" t="s">
        <v>3636</v>
      </c>
      <c r="D1666" s="70" t="s">
        <v>2837</v>
      </c>
      <c r="E1666" s="70" t="s">
        <v>3178</v>
      </c>
      <c r="F1666" s="70" t="s">
        <v>3938</v>
      </c>
      <c r="G1666" s="70" t="s">
        <v>7786</v>
      </c>
      <c r="H1666" s="93"/>
      <c r="I1666" s="85">
        <f t="shared" si="62"/>
        <v>5.2552725051033065</v>
      </c>
      <c r="J1666" s="85">
        <v>180000</v>
      </c>
      <c r="K1666" s="131" t="s">
        <v>1188</v>
      </c>
      <c r="L1666" s="60">
        <v>68</v>
      </c>
      <c r="M1666" s="47" t="s">
        <v>6728</v>
      </c>
    </row>
    <row r="1667" spans="1:18" ht="28" x14ac:dyDescent="0.2">
      <c r="A1667" s="166" t="s">
        <v>2479</v>
      </c>
      <c r="B1667" s="82"/>
      <c r="C1667" s="70" t="s">
        <v>3636</v>
      </c>
      <c r="D1667" s="70" t="s">
        <v>2837</v>
      </c>
      <c r="E1667" s="70" t="s">
        <v>3178</v>
      </c>
      <c r="F1667" s="70" t="s">
        <v>5749</v>
      </c>
      <c r="G1667" s="70" t="s">
        <v>5577</v>
      </c>
      <c r="H1667" s="93"/>
      <c r="I1667" s="85">
        <f t="shared" si="62"/>
        <v>4.4393326938302629</v>
      </c>
      <c r="J1667" s="85">
        <v>27500</v>
      </c>
      <c r="K1667" s="131" t="s">
        <v>6759</v>
      </c>
      <c r="L1667" s="60">
        <v>68</v>
      </c>
      <c r="M1667" s="47" t="s">
        <v>6390</v>
      </c>
    </row>
    <row r="1668" spans="1:18" ht="14" x14ac:dyDescent="0.15">
      <c r="A1668" s="166" t="s">
        <v>2479</v>
      </c>
      <c r="B1668" s="93" t="s">
        <v>7317</v>
      </c>
      <c r="C1668" s="70" t="s">
        <v>3636</v>
      </c>
      <c r="D1668" s="70" t="s">
        <v>2837</v>
      </c>
      <c r="E1668" s="70" t="s">
        <v>3178</v>
      </c>
      <c r="F1668" s="70" t="s">
        <v>5537</v>
      </c>
      <c r="G1668" s="70" t="s">
        <v>5527</v>
      </c>
      <c r="H1668" s="93"/>
      <c r="I1668" s="85">
        <f t="shared" si="62"/>
        <v>4.3010299956639813</v>
      </c>
      <c r="J1668" s="85">
        <v>20000</v>
      </c>
      <c r="K1668" s="131" t="s">
        <v>1551</v>
      </c>
      <c r="L1668" s="60">
        <v>136</v>
      </c>
      <c r="M1668" s="49" t="s">
        <v>6392</v>
      </c>
    </row>
    <row r="1669" spans="1:18" ht="42" x14ac:dyDescent="0.2">
      <c r="A1669" s="166" t="s">
        <v>2479</v>
      </c>
      <c r="B1669" s="93" t="s">
        <v>7242</v>
      </c>
      <c r="C1669" s="70" t="s">
        <v>3636</v>
      </c>
      <c r="D1669" s="70" t="s">
        <v>2837</v>
      </c>
      <c r="E1669" s="70" t="s">
        <v>3178</v>
      </c>
      <c r="F1669" s="70" t="s">
        <v>5537</v>
      </c>
      <c r="G1669" s="70" t="s">
        <v>5718</v>
      </c>
      <c r="H1669" s="93"/>
      <c r="I1669" s="85">
        <f t="shared" si="62"/>
        <v>4.4393326938302629</v>
      </c>
      <c r="J1669" s="85">
        <f>AVERAGE(20000, 35000)</f>
        <v>27500</v>
      </c>
      <c r="K1669" s="131" t="s">
        <v>1386</v>
      </c>
      <c r="L1669" s="60">
        <v>141</v>
      </c>
      <c r="M1669" s="47" t="s">
        <v>6809</v>
      </c>
    </row>
    <row r="1670" spans="1:18" ht="70" x14ac:dyDescent="0.15">
      <c r="A1670" s="166" t="s">
        <v>2479</v>
      </c>
      <c r="B1670" s="93" t="s">
        <v>4838</v>
      </c>
      <c r="C1670" s="70" t="s">
        <v>3636</v>
      </c>
      <c r="D1670" s="70" t="s">
        <v>2837</v>
      </c>
      <c r="E1670" s="70" t="s">
        <v>3178</v>
      </c>
      <c r="F1670" s="70" t="s">
        <v>5537</v>
      </c>
      <c r="G1670" s="70" t="s">
        <v>5538</v>
      </c>
      <c r="H1670" s="93"/>
      <c r="I1670" s="85">
        <f t="shared" ref="I1670:I1701" si="63">LOG(J1670)</f>
        <v>4.4432629874586951</v>
      </c>
      <c r="J1670" s="85">
        <f>AVERAGE(24000, 31500)</f>
        <v>27750</v>
      </c>
      <c r="K1670" s="131" t="s">
        <v>1551</v>
      </c>
      <c r="L1670" s="60">
        <v>95</v>
      </c>
      <c r="M1670" s="49" t="s">
        <v>6392</v>
      </c>
      <c r="N1670" s="32" t="s">
        <v>6671</v>
      </c>
    </row>
    <row r="1671" spans="1:18" ht="56" x14ac:dyDescent="0.15">
      <c r="A1671" s="166" t="s">
        <v>2479</v>
      </c>
      <c r="B1671" s="93" t="s">
        <v>1902</v>
      </c>
      <c r="C1671" s="70" t="s">
        <v>3636</v>
      </c>
      <c r="D1671" s="70" t="s">
        <v>2837</v>
      </c>
      <c r="E1671" s="70" t="s">
        <v>3178</v>
      </c>
      <c r="F1671" s="70" t="s">
        <v>5578</v>
      </c>
      <c r="G1671" s="70" t="s">
        <v>5344</v>
      </c>
      <c r="H1671" s="93"/>
      <c r="I1671" s="85">
        <f t="shared" si="63"/>
        <v>4.4661258704181996</v>
      </c>
      <c r="J1671" s="85">
        <f>AVERAGE(33500, 25000)</f>
        <v>29250</v>
      </c>
      <c r="K1671" s="131" t="s">
        <v>6522</v>
      </c>
      <c r="L1671" s="60">
        <v>80</v>
      </c>
      <c r="M1671" s="33" t="s">
        <v>6390</v>
      </c>
      <c r="N1671" s="32" t="s">
        <v>8011</v>
      </c>
    </row>
    <row r="1672" spans="1:18" ht="17" x14ac:dyDescent="0.2">
      <c r="A1672" s="166" t="s">
        <v>2479</v>
      </c>
      <c r="B1672" s="82"/>
      <c r="C1672" s="70" t="s">
        <v>3636</v>
      </c>
      <c r="D1672" s="70" t="s">
        <v>2837</v>
      </c>
      <c r="E1672" s="70" t="s">
        <v>3178</v>
      </c>
      <c r="F1672" s="70" t="s">
        <v>5578</v>
      </c>
      <c r="G1672" s="70" t="s">
        <v>5579</v>
      </c>
      <c r="H1672" s="93"/>
      <c r="I1672" s="85">
        <f t="shared" si="63"/>
        <v>4.653212513775344</v>
      </c>
      <c r="J1672" s="85">
        <v>45000</v>
      </c>
      <c r="K1672" s="131" t="s">
        <v>6817</v>
      </c>
      <c r="L1672" s="60">
        <v>68</v>
      </c>
      <c r="M1672" s="47" t="s">
        <v>6392</v>
      </c>
    </row>
    <row r="1673" spans="1:18" ht="16" x14ac:dyDescent="0.2">
      <c r="A1673" s="166" t="s">
        <v>2479</v>
      </c>
      <c r="B1673" s="82"/>
      <c r="C1673" s="70" t="s">
        <v>3636</v>
      </c>
      <c r="D1673" s="70" t="s">
        <v>2837</v>
      </c>
      <c r="E1673" s="70" t="s">
        <v>3178</v>
      </c>
      <c r="F1673" s="70" t="s">
        <v>5567</v>
      </c>
      <c r="G1673" s="70" t="s">
        <v>5571</v>
      </c>
      <c r="H1673" s="93"/>
      <c r="I1673" s="85">
        <f t="shared" si="63"/>
        <v>4.4166405073382808</v>
      </c>
      <c r="J1673" s="85">
        <v>26100</v>
      </c>
      <c r="K1673" s="131" t="s">
        <v>6485</v>
      </c>
      <c r="L1673" s="60">
        <v>68</v>
      </c>
      <c r="M1673" s="47"/>
      <c r="Q1673"/>
      <c r="R1673"/>
    </row>
    <row r="1674" spans="1:18" ht="14" x14ac:dyDescent="0.15">
      <c r="A1674" s="166" t="s">
        <v>2479</v>
      </c>
      <c r="B1674" s="93" t="s">
        <v>5031</v>
      </c>
      <c r="C1674" s="70" t="s">
        <v>3636</v>
      </c>
      <c r="D1674" s="70" t="s">
        <v>2837</v>
      </c>
      <c r="E1674" s="70" t="s">
        <v>3178</v>
      </c>
      <c r="F1674" s="70" t="s">
        <v>5567</v>
      </c>
      <c r="G1674" s="70" t="s">
        <v>7785</v>
      </c>
      <c r="H1674" s="93"/>
      <c r="I1674" s="85">
        <f t="shared" si="63"/>
        <v>4.4771212547196626</v>
      </c>
      <c r="J1674" s="85">
        <v>30000</v>
      </c>
      <c r="K1674" s="131" t="s">
        <v>3177</v>
      </c>
      <c r="L1674" s="60">
        <v>141</v>
      </c>
      <c r="M1674" s="33" t="s">
        <v>6392</v>
      </c>
      <c r="Q1674"/>
      <c r="R1674"/>
    </row>
    <row r="1675" spans="1:18" ht="42" x14ac:dyDescent="0.2">
      <c r="A1675" s="166" t="s">
        <v>2479</v>
      </c>
      <c r="B1675" s="82"/>
      <c r="C1675" s="70" t="s">
        <v>3636</v>
      </c>
      <c r="D1675" s="70" t="s">
        <v>2837</v>
      </c>
      <c r="E1675" s="70" t="s">
        <v>3178</v>
      </c>
      <c r="F1675" s="70" t="s">
        <v>5897</v>
      </c>
      <c r="G1675" s="70" t="s">
        <v>4700</v>
      </c>
      <c r="H1675" s="93"/>
      <c r="I1675" s="85">
        <f t="shared" si="63"/>
        <v>4.4623979978989565</v>
      </c>
      <c r="J1675" s="85">
        <v>29000</v>
      </c>
      <c r="K1675" s="131" t="s">
        <v>1333</v>
      </c>
      <c r="L1675" s="60">
        <v>68</v>
      </c>
      <c r="M1675" s="47" t="s">
        <v>6809</v>
      </c>
    </row>
    <row r="1676" spans="1:18" ht="17" x14ac:dyDescent="0.2">
      <c r="A1676" s="166" t="s">
        <v>2479</v>
      </c>
      <c r="B1676" s="82"/>
      <c r="C1676" s="70" t="s">
        <v>3636</v>
      </c>
      <c r="D1676" s="70" t="s">
        <v>2837</v>
      </c>
      <c r="E1676" s="70" t="s">
        <v>3178</v>
      </c>
      <c r="F1676" s="70" t="s">
        <v>7439</v>
      </c>
      <c r="G1676" s="70" t="s">
        <v>5240</v>
      </c>
      <c r="H1676" s="93"/>
      <c r="I1676" s="85">
        <f t="shared" si="63"/>
        <v>4.2787536009528289</v>
      </c>
      <c r="J1676" s="85">
        <v>19000</v>
      </c>
      <c r="K1676" s="134" t="s">
        <v>6817</v>
      </c>
      <c r="L1676" s="63">
        <v>68</v>
      </c>
      <c r="M1676" s="47" t="s">
        <v>6728</v>
      </c>
    </row>
    <row r="1677" spans="1:18" x14ac:dyDescent="0.15">
      <c r="A1677" s="169" t="s">
        <v>2479</v>
      </c>
      <c r="B1677" s="90"/>
      <c r="C1677" s="91" t="s">
        <v>3636</v>
      </c>
      <c r="D1677" s="91" t="s">
        <v>2837</v>
      </c>
      <c r="E1677" s="91" t="s">
        <v>7198</v>
      </c>
      <c r="F1677" s="91" t="s">
        <v>7199</v>
      </c>
      <c r="G1677" s="91" t="s">
        <v>7200</v>
      </c>
      <c r="H1677" s="176"/>
      <c r="I1677" s="85">
        <f t="shared" si="63"/>
        <v>5.6042260530844699</v>
      </c>
      <c r="J1677" s="92">
        <v>402000</v>
      </c>
      <c r="K1677" s="133"/>
      <c r="L1677" s="64">
        <v>75</v>
      </c>
    </row>
    <row r="1678" spans="1:18" ht="42" x14ac:dyDescent="0.15">
      <c r="A1678" s="166" t="s">
        <v>2479</v>
      </c>
      <c r="B1678" s="82"/>
      <c r="C1678" s="70" t="s">
        <v>3636</v>
      </c>
      <c r="D1678" s="70" t="s">
        <v>2837</v>
      </c>
      <c r="E1678" s="70" t="s">
        <v>7198</v>
      </c>
      <c r="F1678" s="70" t="s">
        <v>7199</v>
      </c>
      <c r="G1678" s="70" t="s">
        <v>5241</v>
      </c>
      <c r="H1678" s="93"/>
      <c r="I1678" s="85">
        <f t="shared" si="63"/>
        <v>5.8388490907372557</v>
      </c>
      <c r="J1678" s="85">
        <v>690000</v>
      </c>
      <c r="K1678" s="131" t="s">
        <v>1317</v>
      </c>
      <c r="L1678" s="60">
        <v>-999</v>
      </c>
      <c r="M1678" s="33" t="s">
        <v>6809</v>
      </c>
      <c r="N1678" s="32" t="s">
        <v>6485</v>
      </c>
    </row>
    <row r="1679" spans="1:18" ht="16" x14ac:dyDescent="0.2">
      <c r="A1679" s="166" t="s">
        <v>2479</v>
      </c>
      <c r="B1679" s="82"/>
      <c r="C1679" s="70" t="s">
        <v>3636</v>
      </c>
      <c r="D1679" s="70" t="s">
        <v>2837</v>
      </c>
      <c r="E1679" s="70" t="s">
        <v>3724</v>
      </c>
      <c r="F1679" s="70" t="s">
        <v>4136</v>
      </c>
      <c r="G1679" s="70" t="s">
        <v>4151</v>
      </c>
      <c r="H1679" s="93"/>
      <c r="I1679" s="85">
        <f t="shared" si="63"/>
        <v>5.5502283530550942</v>
      </c>
      <c r="J1679" s="85">
        <f>AVERAGE(385000, 325000)</f>
        <v>355000</v>
      </c>
      <c r="K1679" s="131" t="s">
        <v>3177</v>
      </c>
      <c r="L1679" s="63">
        <v>111</v>
      </c>
      <c r="M1679" s="47"/>
    </row>
    <row r="1680" spans="1:18" ht="16" x14ac:dyDescent="0.2">
      <c r="A1680" s="166" t="s">
        <v>2479</v>
      </c>
      <c r="B1680" s="82"/>
      <c r="C1680" s="70" t="s">
        <v>3636</v>
      </c>
      <c r="D1680" s="70" t="s">
        <v>2837</v>
      </c>
      <c r="E1680" s="70" t="s">
        <v>3724</v>
      </c>
      <c r="F1680" s="70" t="s">
        <v>3683</v>
      </c>
      <c r="G1680" s="70" t="s">
        <v>3684</v>
      </c>
      <c r="H1680" s="93"/>
      <c r="I1680" s="85">
        <f t="shared" si="63"/>
        <v>4.5440680443502757</v>
      </c>
      <c r="J1680" s="85">
        <v>35000</v>
      </c>
      <c r="K1680" s="131"/>
      <c r="L1680" s="60" t="s">
        <v>1610</v>
      </c>
      <c r="M1680" s="47"/>
    </row>
    <row r="1681" spans="1:15" x14ac:dyDescent="0.15">
      <c r="A1681" s="169" t="s">
        <v>2479</v>
      </c>
      <c r="B1681" s="90"/>
      <c r="C1681" s="91" t="s">
        <v>3636</v>
      </c>
      <c r="D1681" s="91" t="s">
        <v>2837</v>
      </c>
      <c r="E1681" s="91" t="s">
        <v>3724</v>
      </c>
      <c r="F1681" s="91" t="s">
        <v>3683</v>
      </c>
      <c r="G1681" s="91" t="s">
        <v>3727</v>
      </c>
      <c r="H1681" s="176"/>
      <c r="I1681" s="85">
        <f t="shared" si="63"/>
        <v>4.8450980400142569</v>
      </c>
      <c r="J1681" s="92">
        <v>70000</v>
      </c>
      <c r="K1681" s="133"/>
      <c r="L1681" s="64">
        <v>75</v>
      </c>
    </row>
    <row r="1682" spans="1:15" ht="14" x14ac:dyDescent="0.15">
      <c r="A1682" s="166" t="s">
        <v>2479</v>
      </c>
      <c r="B1682" s="82"/>
      <c r="C1682" s="70" t="s">
        <v>3636</v>
      </c>
      <c r="D1682" s="70" t="s">
        <v>2837</v>
      </c>
      <c r="E1682" s="70" t="s">
        <v>3724</v>
      </c>
      <c r="F1682" s="70" t="s">
        <v>5765</v>
      </c>
      <c r="G1682" s="70" t="s">
        <v>6957</v>
      </c>
      <c r="H1682" s="93"/>
      <c r="I1682" s="85">
        <f t="shared" si="63"/>
        <v>4.3521825181113627</v>
      </c>
      <c r="J1682" s="85">
        <v>22500</v>
      </c>
      <c r="K1682" s="131" t="s">
        <v>6485</v>
      </c>
      <c r="L1682" s="60">
        <v>68</v>
      </c>
    </row>
    <row r="1683" spans="1:15" ht="14" x14ac:dyDescent="0.15">
      <c r="A1683" s="170" t="s">
        <v>2479</v>
      </c>
      <c r="B1683" s="82"/>
      <c r="C1683" s="70" t="s">
        <v>3636</v>
      </c>
      <c r="D1683" s="70" t="s">
        <v>2837</v>
      </c>
      <c r="E1683" s="70" t="s">
        <v>3724</v>
      </c>
      <c r="F1683" s="70" t="s">
        <v>5765</v>
      </c>
      <c r="G1683" s="70" t="s">
        <v>1911</v>
      </c>
      <c r="H1683" s="93"/>
      <c r="I1683" s="85">
        <f t="shared" si="63"/>
        <v>4.641</v>
      </c>
      <c r="J1683" s="85">
        <v>43752.210515825202</v>
      </c>
      <c r="K1683" s="131" t="s">
        <v>3177</v>
      </c>
      <c r="L1683" s="60">
        <v>165</v>
      </c>
      <c r="M1683" s="33"/>
    </row>
    <row r="1684" spans="1:15" ht="14" x14ac:dyDescent="0.15">
      <c r="A1684" s="166" t="s">
        <v>2479</v>
      </c>
      <c r="B1684" s="82"/>
      <c r="C1684" s="70" t="s">
        <v>3636</v>
      </c>
      <c r="D1684" s="70" t="s">
        <v>2837</v>
      </c>
      <c r="E1684" s="70" t="s">
        <v>3724</v>
      </c>
      <c r="F1684" s="70" t="s">
        <v>3725</v>
      </c>
      <c r="G1684" s="70" t="s">
        <v>5768</v>
      </c>
      <c r="H1684" s="93"/>
      <c r="I1684" s="85">
        <f t="shared" si="63"/>
        <v>4.7242758696007892</v>
      </c>
      <c r="J1684" s="85">
        <v>53000</v>
      </c>
      <c r="K1684" s="131" t="s">
        <v>6485</v>
      </c>
      <c r="L1684" s="60">
        <v>68</v>
      </c>
    </row>
    <row r="1685" spans="1:15" ht="14" x14ac:dyDescent="0.15">
      <c r="A1685" s="166" t="s">
        <v>2479</v>
      </c>
      <c r="B1685" s="82"/>
      <c r="C1685" s="70" t="s">
        <v>3636</v>
      </c>
      <c r="D1685" s="70" t="s">
        <v>2837</v>
      </c>
      <c r="E1685" s="70" t="s">
        <v>3724</v>
      </c>
      <c r="F1685" s="70" t="s">
        <v>3725</v>
      </c>
      <c r="G1685" s="70" t="s">
        <v>5767</v>
      </c>
      <c r="H1685" s="93"/>
      <c r="I1685" s="85">
        <f t="shared" si="63"/>
        <v>4.8633228601204559</v>
      </c>
      <c r="J1685" s="85">
        <v>73000</v>
      </c>
      <c r="K1685" s="131" t="s">
        <v>6817</v>
      </c>
      <c r="L1685" s="60">
        <v>68</v>
      </c>
      <c r="M1685" s="33" t="s">
        <v>6728</v>
      </c>
    </row>
    <row r="1686" spans="1:15" ht="28" x14ac:dyDescent="0.15">
      <c r="A1686" s="166" t="s">
        <v>2479</v>
      </c>
      <c r="B1686" s="82"/>
      <c r="C1686" s="70" t="s">
        <v>3636</v>
      </c>
      <c r="D1686" s="70" t="s">
        <v>2837</v>
      </c>
      <c r="E1686" s="70" t="s">
        <v>3724</v>
      </c>
      <c r="F1686" s="70" t="s">
        <v>3725</v>
      </c>
      <c r="G1686" s="70" t="s">
        <v>5766</v>
      </c>
      <c r="H1686" s="93"/>
      <c r="I1686" s="85">
        <f t="shared" si="63"/>
        <v>5.0969100130080562</v>
      </c>
      <c r="J1686" s="85">
        <v>125000</v>
      </c>
      <c r="K1686" s="131" t="s">
        <v>1231</v>
      </c>
      <c r="L1686" s="63">
        <v>68</v>
      </c>
      <c r="M1686" s="49" t="s">
        <v>6728</v>
      </c>
    </row>
    <row r="1687" spans="1:15" ht="14" x14ac:dyDescent="0.15">
      <c r="A1687" s="166" t="s">
        <v>2479</v>
      </c>
      <c r="B1687" s="82"/>
      <c r="C1687" s="70" t="s">
        <v>3636</v>
      </c>
      <c r="D1687" s="70" t="s">
        <v>2837</v>
      </c>
      <c r="E1687" s="70" t="s">
        <v>3724</v>
      </c>
      <c r="F1687" s="70" t="s">
        <v>3725</v>
      </c>
      <c r="G1687" s="70" t="s">
        <v>5882</v>
      </c>
      <c r="H1687" s="93"/>
      <c r="I1687" s="85">
        <f t="shared" si="63"/>
        <v>5.1553360374650614</v>
      </c>
      <c r="J1687" s="85">
        <v>143000</v>
      </c>
      <c r="K1687" s="131" t="s">
        <v>6817</v>
      </c>
      <c r="L1687" s="63">
        <v>68</v>
      </c>
      <c r="M1687" s="49" t="s">
        <v>6728</v>
      </c>
    </row>
    <row r="1688" spans="1:15" ht="14" x14ac:dyDescent="0.15">
      <c r="A1688" s="166" t="s">
        <v>2479</v>
      </c>
      <c r="B1688" s="82"/>
      <c r="C1688" s="70" t="s">
        <v>3636</v>
      </c>
      <c r="D1688" s="70" t="s">
        <v>2837</v>
      </c>
      <c r="E1688" s="70" t="s">
        <v>3724</v>
      </c>
      <c r="F1688" s="70" t="s">
        <v>3725</v>
      </c>
      <c r="G1688" s="70" t="s">
        <v>3682</v>
      </c>
      <c r="H1688" s="93"/>
      <c r="I1688" s="85">
        <f t="shared" si="63"/>
        <v>5.2215772307066661</v>
      </c>
      <c r="J1688" s="85">
        <f>AVERAGE(150000, 175000, 120000, 170000, 127500, 190000, 250000, 150000)</f>
        <v>166562.5</v>
      </c>
      <c r="K1688" s="131" t="s">
        <v>3177</v>
      </c>
      <c r="L1688" s="60" t="s">
        <v>5709</v>
      </c>
      <c r="M1688" s="33"/>
    </row>
    <row r="1689" spans="1:15" x14ac:dyDescent="0.15">
      <c r="A1689" s="170" t="s">
        <v>2479</v>
      </c>
      <c r="B1689" s="82"/>
      <c r="C1689" s="83" t="s">
        <v>3636</v>
      </c>
      <c r="D1689" s="83" t="s">
        <v>2837</v>
      </c>
      <c r="E1689" s="83" t="s">
        <v>3724</v>
      </c>
      <c r="F1689" s="83" t="s">
        <v>3725</v>
      </c>
      <c r="G1689" s="83" t="s">
        <v>3471</v>
      </c>
      <c r="H1689" s="82"/>
      <c r="I1689" s="85">
        <f t="shared" si="63"/>
        <v>5.3255567100511332</v>
      </c>
      <c r="J1689" s="84">
        <f>AVERAGE(169000, (454*560))</f>
        <v>211620</v>
      </c>
      <c r="K1689" s="136"/>
      <c r="L1689" s="69" t="s">
        <v>1613</v>
      </c>
      <c r="M1689" s="31"/>
    </row>
    <row r="1690" spans="1:15" x14ac:dyDescent="0.15">
      <c r="A1690" s="166" t="s">
        <v>2479</v>
      </c>
      <c r="B1690" s="82"/>
      <c r="C1690" s="70" t="s">
        <v>3636</v>
      </c>
      <c r="D1690" s="70" t="s">
        <v>2837</v>
      </c>
      <c r="E1690" s="70" t="s">
        <v>3724</v>
      </c>
      <c r="F1690" s="70" t="s">
        <v>3685</v>
      </c>
      <c r="G1690" s="70" t="s">
        <v>4708</v>
      </c>
      <c r="H1690" s="93"/>
      <c r="I1690" s="85">
        <f t="shared" si="63"/>
        <v>4.7501225267834002</v>
      </c>
      <c r="J1690" s="85">
        <f>AVERAGE(72500, 40000)</f>
        <v>56250</v>
      </c>
      <c r="K1690" s="131"/>
      <c r="L1690" s="63">
        <v>111</v>
      </c>
      <c r="M1690" s="33"/>
    </row>
    <row r="1691" spans="1:15" ht="14" x14ac:dyDescent="0.15">
      <c r="A1691" s="166" t="s">
        <v>2479</v>
      </c>
      <c r="B1691" s="82"/>
      <c r="C1691" s="70" t="s">
        <v>3636</v>
      </c>
      <c r="D1691" s="70" t="s">
        <v>2837</v>
      </c>
      <c r="E1691" s="70" t="s">
        <v>3724</v>
      </c>
      <c r="F1691" s="70" t="s">
        <v>3685</v>
      </c>
      <c r="G1691" s="70" t="s">
        <v>5684</v>
      </c>
      <c r="H1691" s="93"/>
      <c r="I1691" s="85">
        <f t="shared" si="63"/>
        <v>4.860338006570994</v>
      </c>
      <c r="J1691" s="85">
        <f>AVERAGE(50000, 95000)</f>
        <v>72500</v>
      </c>
      <c r="K1691" s="131" t="s">
        <v>3177</v>
      </c>
      <c r="L1691" s="60" t="s">
        <v>207</v>
      </c>
      <c r="M1691" s="33"/>
    </row>
    <row r="1692" spans="1:15" ht="14" x14ac:dyDescent="0.15">
      <c r="A1692" s="166" t="s">
        <v>2479</v>
      </c>
      <c r="B1692" s="82"/>
      <c r="C1692" s="70" t="s">
        <v>3636</v>
      </c>
      <c r="D1692" s="70" t="s">
        <v>2837</v>
      </c>
      <c r="E1692" s="70" t="s">
        <v>3724</v>
      </c>
      <c r="F1692" s="70" t="s">
        <v>5884</v>
      </c>
      <c r="G1692" s="70" t="s">
        <v>4908</v>
      </c>
      <c r="H1692" s="93"/>
      <c r="I1692" s="85">
        <f t="shared" si="63"/>
        <v>4.5250448070368456</v>
      </c>
      <c r="J1692" s="85">
        <v>33500</v>
      </c>
      <c r="K1692" s="131" t="s">
        <v>6522</v>
      </c>
      <c r="L1692" s="60">
        <v>68</v>
      </c>
      <c r="M1692" s="33" t="s">
        <v>6727</v>
      </c>
    </row>
    <row r="1693" spans="1:15" ht="14" x14ac:dyDescent="0.15">
      <c r="A1693" s="166" t="s">
        <v>2479</v>
      </c>
      <c r="B1693" s="82"/>
      <c r="C1693" s="70" t="s">
        <v>3636</v>
      </c>
      <c r="D1693" s="70" t="s">
        <v>2837</v>
      </c>
      <c r="E1693" s="70" t="s">
        <v>3724</v>
      </c>
      <c r="F1693" s="70" t="s">
        <v>4909</v>
      </c>
      <c r="G1693" s="70" t="s">
        <v>4910</v>
      </c>
      <c r="H1693" s="93"/>
      <c r="I1693" s="85">
        <f t="shared" si="63"/>
        <v>5.173186268412274</v>
      </c>
      <c r="J1693" s="85">
        <v>149000</v>
      </c>
      <c r="K1693" s="131" t="s">
        <v>6485</v>
      </c>
      <c r="L1693" s="60">
        <v>68</v>
      </c>
      <c r="M1693" s="33" t="s">
        <v>6809</v>
      </c>
    </row>
    <row r="1694" spans="1:15" ht="14" x14ac:dyDescent="0.15">
      <c r="A1694" s="166" t="s">
        <v>2479</v>
      </c>
      <c r="B1694" s="82"/>
      <c r="C1694" s="70" t="s">
        <v>3636</v>
      </c>
      <c r="D1694" s="70" t="s">
        <v>2837</v>
      </c>
      <c r="E1694" s="70" t="s">
        <v>3724</v>
      </c>
      <c r="F1694" s="70" t="s">
        <v>4990</v>
      </c>
      <c r="G1694" s="70" t="s">
        <v>5570</v>
      </c>
      <c r="H1694" s="93"/>
      <c r="I1694" s="85">
        <f t="shared" si="63"/>
        <v>4.1461280356782382</v>
      </c>
      <c r="J1694" s="85">
        <v>14000</v>
      </c>
      <c r="K1694" s="131" t="s">
        <v>6485</v>
      </c>
      <c r="L1694" s="60">
        <v>68</v>
      </c>
      <c r="M1694" s="49" t="s">
        <v>6392</v>
      </c>
      <c r="O1694" s="33"/>
    </row>
    <row r="1695" spans="1:15" ht="34" x14ac:dyDescent="0.2">
      <c r="A1695" s="166" t="s">
        <v>2479</v>
      </c>
      <c r="B1695" s="93" t="s">
        <v>1902</v>
      </c>
      <c r="C1695" s="70" t="s">
        <v>3636</v>
      </c>
      <c r="D1695" s="70" t="s">
        <v>2837</v>
      </c>
      <c r="E1695" s="70" t="s">
        <v>3724</v>
      </c>
      <c r="F1695" s="70" t="s">
        <v>5712</v>
      </c>
      <c r="G1695" s="70" t="s">
        <v>5542</v>
      </c>
      <c r="H1695" s="93"/>
      <c r="I1695" s="85">
        <f t="shared" si="63"/>
        <v>4.1303337684950066</v>
      </c>
      <c r="J1695" s="85">
        <f>13.5*1000</f>
        <v>13500</v>
      </c>
      <c r="K1695" s="131" t="s">
        <v>3177</v>
      </c>
      <c r="L1695" s="60">
        <v>134</v>
      </c>
      <c r="M1695" s="47" t="s">
        <v>7609</v>
      </c>
      <c r="N1695" s="50"/>
    </row>
    <row r="1696" spans="1:15" ht="14" x14ac:dyDescent="0.15">
      <c r="A1696" s="166" t="s">
        <v>2479</v>
      </c>
      <c r="B1696" s="82"/>
      <c r="C1696" s="70" t="s">
        <v>3636</v>
      </c>
      <c r="D1696" s="70" t="s">
        <v>2837</v>
      </c>
      <c r="E1696" s="70" t="s">
        <v>3724</v>
      </c>
      <c r="F1696" s="70" t="s">
        <v>5712</v>
      </c>
      <c r="G1696" s="70" t="s">
        <v>6540</v>
      </c>
      <c r="H1696" s="93"/>
      <c r="I1696" s="85">
        <f t="shared" si="63"/>
        <v>4.1461280356782382</v>
      </c>
      <c r="J1696" s="85">
        <v>14000</v>
      </c>
      <c r="K1696" s="131" t="s">
        <v>6485</v>
      </c>
      <c r="L1696" s="60">
        <v>68</v>
      </c>
    </row>
    <row r="1697" spans="1:15" ht="14" x14ac:dyDescent="0.15">
      <c r="A1697" s="166" t="s">
        <v>2479</v>
      </c>
      <c r="B1697" s="93" t="s">
        <v>2069</v>
      </c>
      <c r="C1697" s="70" t="s">
        <v>3636</v>
      </c>
      <c r="D1697" s="70" t="s">
        <v>2837</v>
      </c>
      <c r="E1697" s="70" t="s">
        <v>3724</v>
      </c>
      <c r="F1697" s="70" t="s">
        <v>5712</v>
      </c>
      <c r="G1697" s="70" t="s">
        <v>5312</v>
      </c>
      <c r="H1697" s="93"/>
      <c r="I1697" s="85">
        <f t="shared" si="63"/>
        <v>4.2990000000000004</v>
      </c>
      <c r="J1697" s="85">
        <v>19906.733389871901</v>
      </c>
      <c r="K1697" s="131" t="s">
        <v>6522</v>
      </c>
      <c r="L1697" s="60">
        <v>165</v>
      </c>
      <c r="M1697" s="33" t="s">
        <v>6727</v>
      </c>
    </row>
    <row r="1698" spans="1:15" ht="28" x14ac:dyDescent="0.2">
      <c r="A1698" s="166" t="s">
        <v>2479</v>
      </c>
      <c r="B1698" s="93" t="s">
        <v>2068</v>
      </c>
      <c r="C1698" s="70" t="s">
        <v>3636</v>
      </c>
      <c r="D1698" s="70" t="s">
        <v>2837</v>
      </c>
      <c r="E1698" s="70" t="s">
        <v>3724</v>
      </c>
      <c r="F1698" s="70" t="s">
        <v>5712</v>
      </c>
      <c r="G1698" s="70" t="s">
        <v>7765</v>
      </c>
      <c r="H1698" s="93"/>
      <c r="I1698" s="85">
        <f t="shared" si="63"/>
        <v>4.3424226808222066</v>
      </c>
      <c r="J1698" s="85">
        <v>22000</v>
      </c>
      <c r="K1698" s="131" t="s">
        <v>3177</v>
      </c>
      <c r="L1698" s="60" t="s">
        <v>7641</v>
      </c>
      <c r="M1698" s="33" t="s">
        <v>6727</v>
      </c>
      <c r="N1698" s="48"/>
    </row>
    <row r="1699" spans="1:15" ht="14" x14ac:dyDescent="0.15">
      <c r="A1699" s="166" t="s">
        <v>2479</v>
      </c>
      <c r="B1699" s="93" t="s">
        <v>2488</v>
      </c>
      <c r="C1699" s="70" t="s">
        <v>3636</v>
      </c>
      <c r="D1699" s="70" t="s">
        <v>2837</v>
      </c>
      <c r="E1699" s="70" t="s">
        <v>3724</v>
      </c>
      <c r="F1699" s="70" t="s">
        <v>5712</v>
      </c>
      <c r="G1699" s="70" t="s">
        <v>7764</v>
      </c>
      <c r="H1699" s="93"/>
      <c r="I1699" s="85">
        <f t="shared" si="63"/>
        <v>4.5579999999999998</v>
      </c>
      <c r="J1699" s="95">
        <v>36140.986263961298</v>
      </c>
      <c r="K1699" s="131" t="s">
        <v>6522</v>
      </c>
      <c r="L1699" s="60">
        <v>165</v>
      </c>
      <c r="M1699" s="33" t="s">
        <v>6728</v>
      </c>
    </row>
    <row r="1700" spans="1:15" ht="28" x14ac:dyDescent="0.15">
      <c r="A1700" s="166" t="s">
        <v>2479</v>
      </c>
      <c r="B1700" s="93" t="s">
        <v>1968</v>
      </c>
      <c r="C1700" s="70" t="s">
        <v>3636</v>
      </c>
      <c r="D1700" s="70" t="s">
        <v>2837</v>
      </c>
      <c r="E1700" s="70" t="s">
        <v>3162</v>
      </c>
      <c r="F1700" s="70" t="s">
        <v>6541</v>
      </c>
      <c r="G1700" s="70" t="s">
        <v>4664</v>
      </c>
      <c r="H1700" s="93"/>
      <c r="I1700" s="85">
        <f t="shared" si="63"/>
        <v>1.0969100130080565</v>
      </c>
      <c r="J1700" s="85">
        <f>AVERAGE(10,15)</f>
        <v>12.5</v>
      </c>
      <c r="K1700" s="131" t="s">
        <v>3177</v>
      </c>
      <c r="L1700" s="60" t="s">
        <v>168</v>
      </c>
      <c r="M1700" s="31" t="s">
        <v>6392</v>
      </c>
    </row>
    <row r="1701" spans="1:15" ht="28" x14ac:dyDescent="0.15">
      <c r="A1701" s="166" t="s">
        <v>2479</v>
      </c>
      <c r="B1701" s="93" t="s">
        <v>4485</v>
      </c>
      <c r="C1701" s="70" t="s">
        <v>3636</v>
      </c>
      <c r="D1701" s="70" t="s">
        <v>2837</v>
      </c>
      <c r="E1701" s="70" t="s">
        <v>3162</v>
      </c>
      <c r="F1701" s="70" t="s">
        <v>6541</v>
      </c>
      <c r="G1701" s="70" t="s">
        <v>5247</v>
      </c>
      <c r="H1701" s="93"/>
      <c r="I1701" s="85">
        <f t="shared" si="63"/>
        <v>3.9542425094393248</v>
      </c>
      <c r="J1701" s="85">
        <v>9000</v>
      </c>
      <c r="K1701" s="131" t="s">
        <v>3177</v>
      </c>
      <c r="L1701" s="60">
        <v>172</v>
      </c>
      <c r="M1701" s="33" t="s">
        <v>6392</v>
      </c>
    </row>
    <row r="1702" spans="1:15" ht="14" x14ac:dyDescent="0.15">
      <c r="A1702" s="166" t="s">
        <v>2479</v>
      </c>
      <c r="B1702" s="82"/>
      <c r="C1702" s="70" t="s">
        <v>3636</v>
      </c>
      <c r="D1702" s="70" t="s">
        <v>2837</v>
      </c>
      <c r="E1702" s="70" t="s">
        <v>3162</v>
      </c>
      <c r="F1702" s="70" t="s">
        <v>6541</v>
      </c>
      <c r="G1702" s="70" t="s">
        <v>5887</v>
      </c>
      <c r="H1702" s="93"/>
      <c r="I1702" s="85">
        <f>LOG(J1702)</f>
        <v>4.1139433523068369</v>
      </c>
      <c r="J1702" s="85">
        <v>13000</v>
      </c>
      <c r="K1702" s="131" t="s">
        <v>6522</v>
      </c>
      <c r="L1702" s="60">
        <v>68</v>
      </c>
      <c r="M1702" s="33" t="s">
        <v>6728</v>
      </c>
      <c r="O1702" s="33"/>
    </row>
    <row r="1703" spans="1:15" ht="56" x14ac:dyDescent="0.15">
      <c r="A1703" s="166" t="s">
        <v>2479</v>
      </c>
      <c r="B1703" s="93" t="s">
        <v>2597</v>
      </c>
      <c r="C1703" s="70" t="s">
        <v>3636</v>
      </c>
      <c r="D1703" s="70" t="s">
        <v>2837</v>
      </c>
      <c r="E1703" s="70" t="s">
        <v>3162</v>
      </c>
      <c r="F1703" s="70" t="s">
        <v>6541</v>
      </c>
      <c r="G1703" s="70" t="s">
        <v>4095</v>
      </c>
      <c r="H1703" s="93"/>
      <c r="I1703" s="85">
        <f>LOG(J1703)</f>
        <v>4.1613680022349753</v>
      </c>
      <c r="J1703" s="85">
        <f>AVERAGE(11000, 18000)</f>
        <v>14500</v>
      </c>
      <c r="K1703" s="131" t="s">
        <v>3177</v>
      </c>
      <c r="L1703" s="60">
        <v>147</v>
      </c>
      <c r="M1703" s="31" t="s">
        <v>6392</v>
      </c>
    </row>
    <row r="1704" spans="1:15" ht="28" x14ac:dyDescent="0.15">
      <c r="A1704" s="166" t="s">
        <v>2479</v>
      </c>
      <c r="B1704" s="93" t="s">
        <v>7384</v>
      </c>
      <c r="C1704" s="70" t="s">
        <v>3636</v>
      </c>
      <c r="D1704" s="70" t="s">
        <v>2837</v>
      </c>
      <c r="E1704" s="70" t="s">
        <v>3088</v>
      </c>
      <c r="F1704" s="70" t="s">
        <v>3304</v>
      </c>
      <c r="G1704" s="70" t="s">
        <v>6407</v>
      </c>
      <c r="H1704" s="93"/>
      <c r="I1704" s="85">
        <v>-999</v>
      </c>
      <c r="J1704" s="85">
        <v>-999</v>
      </c>
      <c r="K1704" s="131" t="s">
        <v>3177</v>
      </c>
      <c r="L1704" s="63">
        <v>-999</v>
      </c>
      <c r="M1704" s="33" t="s">
        <v>6727</v>
      </c>
      <c r="N1704" s="37" t="s">
        <v>1507</v>
      </c>
    </row>
    <row r="1705" spans="1:15" ht="14" x14ac:dyDescent="0.15">
      <c r="A1705" s="166" t="s">
        <v>2479</v>
      </c>
      <c r="B1705" s="93" t="s">
        <v>7385</v>
      </c>
      <c r="C1705" s="70" t="s">
        <v>3636</v>
      </c>
      <c r="D1705" s="70" t="s">
        <v>2837</v>
      </c>
      <c r="E1705" s="70" t="s">
        <v>3088</v>
      </c>
      <c r="F1705" s="70" t="s">
        <v>3304</v>
      </c>
      <c r="G1705" s="70" t="s">
        <v>2829</v>
      </c>
      <c r="H1705" s="93"/>
      <c r="I1705" s="85">
        <f t="shared" ref="I1705:I1740" si="64">LOG(J1705)</f>
        <v>3.8875047742353779</v>
      </c>
      <c r="J1705" s="85">
        <f>17*454</f>
        <v>7718</v>
      </c>
      <c r="K1705" s="131" t="s">
        <v>6817</v>
      </c>
      <c r="L1705" s="60">
        <v>133</v>
      </c>
      <c r="M1705" s="31" t="s">
        <v>6809</v>
      </c>
    </row>
    <row r="1706" spans="1:15" ht="14" x14ac:dyDescent="0.15">
      <c r="A1706" s="166" t="s">
        <v>2479</v>
      </c>
      <c r="B1706" s="93" t="s">
        <v>2367</v>
      </c>
      <c r="C1706" s="70" t="s">
        <v>3636</v>
      </c>
      <c r="D1706" s="70" t="s">
        <v>2837</v>
      </c>
      <c r="E1706" s="70" t="s">
        <v>3088</v>
      </c>
      <c r="F1706" s="70" t="s">
        <v>3304</v>
      </c>
      <c r="G1706" s="70" t="s">
        <v>6011</v>
      </c>
      <c r="H1706" s="93"/>
      <c r="I1706" s="85">
        <f t="shared" si="64"/>
        <v>4.9852767431792939</v>
      </c>
      <c r="J1706" s="85">
        <f>AVERAGE(57000, 83000, 150000)</f>
        <v>96666.666666666672</v>
      </c>
      <c r="K1706" s="131" t="s">
        <v>3177</v>
      </c>
      <c r="L1706" s="60" t="s">
        <v>1474</v>
      </c>
      <c r="M1706" s="33"/>
    </row>
    <row r="1707" spans="1:15" x14ac:dyDescent="0.15">
      <c r="A1707" s="166" t="s">
        <v>2479</v>
      </c>
      <c r="B1707" s="82"/>
      <c r="C1707" s="70" t="s">
        <v>3636</v>
      </c>
      <c r="D1707" s="70" t="s">
        <v>2837</v>
      </c>
      <c r="E1707" s="70" t="s">
        <v>3088</v>
      </c>
      <c r="F1707" s="70" t="s">
        <v>3304</v>
      </c>
      <c r="G1707" s="70" t="s">
        <v>3305</v>
      </c>
      <c r="H1707" s="93"/>
      <c r="I1707" s="85">
        <f t="shared" si="64"/>
        <v>5.0692451171051838</v>
      </c>
      <c r="J1707" s="85">
        <f>AVERAGE(112500, 92500, 60000, 153000, 45000, 128000, 230000)</f>
        <v>117285.71428571429</v>
      </c>
      <c r="K1707" s="131"/>
      <c r="L1707" s="60" t="s">
        <v>1329</v>
      </c>
      <c r="M1707" s="33"/>
    </row>
    <row r="1708" spans="1:15" ht="16" x14ac:dyDescent="0.2">
      <c r="A1708" s="166" t="s">
        <v>2479</v>
      </c>
      <c r="B1708" s="82"/>
      <c r="C1708" s="70" t="s">
        <v>3636</v>
      </c>
      <c r="D1708" s="70" t="s">
        <v>2837</v>
      </c>
      <c r="E1708" s="70" t="s">
        <v>3770</v>
      </c>
      <c r="F1708" s="70" t="s">
        <v>5576</v>
      </c>
      <c r="G1708" s="70" t="s">
        <v>7993</v>
      </c>
      <c r="H1708" s="93"/>
      <c r="I1708" s="85">
        <f t="shared" si="64"/>
        <v>3.3891660843645326</v>
      </c>
      <c r="J1708" s="85">
        <v>2450</v>
      </c>
      <c r="K1708" s="131" t="s">
        <v>6485</v>
      </c>
      <c r="L1708" s="60">
        <v>68</v>
      </c>
      <c r="M1708" s="47"/>
    </row>
    <row r="1709" spans="1:15" ht="14" x14ac:dyDescent="0.15">
      <c r="A1709" s="166" t="s">
        <v>2479</v>
      </c>
      <c r="B1709" s="82"/>
      <c r="C1709" s="70" t="s">
        <v>3636</v>
      </c>
      <c r="D1709" s="70" t="s">
        <v>2837</v>
      </c>
      <c r="E1709" s="70" t="s">
        <v>3770</v>
      </c>
      <c r="F1709" s="70" t="s">
        <v>7994</v>
      </c>
      <c r="G1709" s="70" t="s">
        <v>7202</v>
      </c>
      <c r="H1709" s="93"/>
      <c r="I1709" s="85">
        <f t="shared" si="64"/>
        <v>3.5185139398778875</v>
      </c>
      <c r="J1709" s="85">
        <v>3300</v>
      </c>
      <c r="K1709" s="131" t="s">
        <v>6485</v>
      </c>
      <c r="L1709" s="60">
        <v>68</v>
      </c>
    </row>
    <row r="1710" spans="1:15" ht="14" x14ac:dyDescent="0.15">
      <c r="A1710" s="166" t="s">
        <v>2479</v>
      </c>
      <c r="B1710" s="82"/>
      <c r="C1710" s="70" t="s">
        <v>3636</v>
      </c>
      <c r="D1710" s="70" t="s">
        <v>2837</v>
      </c>
      <c r="E1710" s="70" t="s">
        <v>3770</v>
      </c>
      <c r="F1710" s="70" t="s">
        <v>7994</v>
      </c>
      <c r="G1710" s="70" t="s">
        <v>5885</v>
      </c>
      <c r="H1710" s="93"/>
      <c r="I1710" s="85">
        <f t="shared" si="64"/>
        <v>3.7708520116421442</v>
      </c>
      <c r="J1710" s="85">
        <v>5900</v>
      </c>
      <c r="K1710" s="131" t="s">
        <v>6485</v>
      </c>
      <c r="L1710" s="60">
        <v>68</v>
      </c>
    </row>
    <row r="1711" spans="1:15" ht="14" x14ac:dyDescent="0.15">
      <c r="A1711" s="166" t="s">
        <v>2479</v>
      </c>
      <c r="B1711" s="82"/>
      <c r="C1711" s="70" t="s">
        <v>3636</v>
      </c>
      <c r="D1711" s="70" t="s">
        <v>3773</v>
      </c>
      <c r="E1711" s="70" t="s">
        <v>3774</v>
      </c>
      <c r="F1711" s="70" t="s">
        <v>1960</v>
      </c>
      <c r="G1711" s="70" t="s">
        <v>1961</v>
      </c>
      <c r="H1711" s="93"/>
      <c r="I1711" s="85">
        <f t="shared" si="64"/>
        <v>3.7983283147966049</v>
      </c>
      <c r="J1711" s="85">
        <f>AVERAGE(4500, 8000, (454*14))</f>
        <v>6285.333333333333</v>
      </c>
      <c r="K1711" s="131" t="s">
        <v>1556</v>
      </c>
      <c r="L1711" s="60" t="s">
        <v>1557</v>
      </c>
      <c r="M1711" s="33"/>
    </row>
    <row r="1712" spans="1:15" ht="14" x14ac:dyDescent="0.15">
      <c r="A1712" s="166" t="s">
        <v>2479</v>
      </c>
      <c r="B1712" s="82"/>
      <c r="C1712" s="70" t="s">
        <v>3636</v>
      </c>
      <c r="D1712" s="70" t="s">
        <v>3773</v>
      </c>
      <c r="E1712" s="70" t="s">
        <v>3774</v>
      </c>
      <c r="F1712" s="70" t="s">
        <v>3775</v>
      </c>
      <c r="G1712" s="70" t="s">
        <v>7096</v>
      </c>
      <c r="H1712" s="93"/>
      <c r="I1712" s="85">
        <f t="shared" si="64"/>
        <v>4.077670655022386</v>
      </c>
      <c r="J1712" s="85">
        <f>AVERAGE(10000, 15000, 16400, 8000, 11000, 11350)</f>
        <v>11958.333333333334</v>
      </c>
      <c r="K1712" s="134"/>
      <c r="L1712" s="63" t="s">
        <v>1606</v>
      </c>
      <c r="M1712" s="33"/>
      <c r="N1712" s="37" t="s">
        <v>7597</v>
      </c>
    </row>
    <row r="1713" spans="1:15" ht="14" x14ac:dyDescent="0.15">
      <c r="A1713" s="166" t="s">
        <v>2479</v>
      </c>
      <c r="B1713" s="82"/>
      <c r="C1713" s="70" t="s">
        <v>3636</v>
      </c>
      <c r="D1713" s="70" t="s">
        <v>3773</v>
      </c>
      <c r="E1713" s="70" t="s">
        <v>3774</v>
      </c>
      <c r="F1713" s="70" t="s">
        <v>3775</v>
      </c>
      <c r="G1713" s="70" t="s">
        <v>4492</v>
      </c>
      <c r="H1713" s="93"/>
      <c r="I1713" s="85">
        <f t="shared" si="64"/>
        <v>4.568201724066995</v>
      </c>
      <c r="J1713" s="95">
        <f>AVERAGE(25000, 50000, 30000, 72000, 18000, 27000)</f>
        <v>37000</v>
      </c>
      <c r="K1713" s="139"/>
      <c r="L1713" s="63" t="s">
        <v>1329</v>
      </c>
      <c r="M1713" s="33"/>
      <c r="N1713" s="37" t="s">
        <v>7527</v>
      </c>
    </row>
    <row r="1714" spans="1:15" ht="140" x14ac:dyDescent="0.15">
      <c r="A1714" s="166" t="s">
        <v>2479</v>
      </c>
      <c r="B1714" s="82" t="s">
        <v>5920</v>
      </c>
      <c r="C1714" s="70" t="s">
        <v>3636</v>
      </c>
      <c r="D1714" s="70" t="s">
        <v>3773</v>
      </c>
      <c r="E1714" s="70" t="s">
        <v>3774</v>
      </c>
      <c r="F1714" s="70" t="s">
        <v>5769</v>
      </c>
      <c r="G1714" s="70" t="s">
        <v>2927</v>
      </c>
      <c r="H1714" s="93"/>
      <c r="I1714" s="85">
        <f t="shared" si="64"/>
        <v>4.1058506743851435</v>
      </c>
      <c r="J1714" s="85">
        <v>12760</v>
      </c>
      <c r="K1714" s="131" t="s">
        <v>6710</v>
      </c>
      <c r="L1714" s="60">
        <v>68</v>
      </c>
      <c r="M1714" s="49" t="s">
        <v>6728</v>
      </c>
    </row>
    <row r="1715" spans="1:15" ht="42" x14ac:dyDescent="0.15">
      <c r="A1715" s="166" t="s">
        <v>2479</v>
      </c>
      <c r="B1715" s="82" t="s">
        <v>2483</v>
      </c>
      <c r="C1715" s="70" t="s">
        <v>3636</v>
      </c>
      <c r="D1715" s="70" t="s">
        <v>3773</v>
      </c>
      <c r="E1715" s="70" t="s">
        <v>3774</v>
      </c>
      <c r="F1715" s="70" t="s">
        <v>5770</v>
      </c>
      <c r="G1715" s="70" t="s">
        <v>5896</v>
      </c>
      <c r="H1715" s="93"/>
      <c r="I1715" s="85">
        <f t="shared" si="64"/>
        <v>3.6063813651106051</v>
      </c>
      <c r="J1715" s="85">
        <v>4040</v>
      </c>
      <c r="K1715" s="131" t="s">
        <v>6485</v>
      </c>
      <c r="L1715" s="60">
        <v>68</v>
      </c>
    </row>
    <row r="1716" spans="1:15" ht="28" x14ac:dyDescent="0.15">
      <c r="A1716" s="166" t="s">
        <v>2479</v>
      </c>
      <c r="B1716" s="82" t="s">
        <v>2113</v>
      </c>
      <c r="C1716" s="70" t="s">
        <v>3636</v>
      </c>
      <c r="D1716" s="70" t="s">
        <v>3773</v>
      </c>
      <c r="E1716" s="70" t="s">
        <v>3774</v>
      </c>
      <c r="F1716" s="70" t="s">
        <v>4362</v>
      </c>
      <c r="G1716" s="70" t="s">
        <v>5893</v>
      </c>
      <c r="H1716" s="93"/>
      <c r="I1716" s="85">
        <f t="shared" si="64"/>
        <v>2.9716700611256046</v>
      </c>
      <c r="J1716" s="85">
        <f>AVERAGE(1000, 873.7)</f>
        <v>936.85</v>
      </c>
      <c r="K1716" s="131" t="s">
        <v>7256</v>
      </c>
      <c r="L1716" s="60" t="s">
        <v>7460</v>
      </c>
      <c r="M1716" s="49" t="s">
        <v>6727</v>
      </c>
      <c r="N1716" s="37" t="s">
        <v>7457</v>
      </c>
    </row>
    <row r="1717" spans="1:15" ht="14" x14ac:dyDescent="0.15">
      <c r="A1717" s="166" t="s">
        <v>2479</v>
      </c>
      <c r="B1717" s="82"/>
      <c r="C1717" s="73" t="s">
        <v>3636</v>
      </c>
      <c r="D1717" s="73" t="s">
        <v>3773</v>
      </c>
      <c r="E1717" s="73" t="s">
        <v>3774</v>
      </c>
      <c r="F1717" s="73" t="s">
        <v>4362</v>
      </c>
      <c r="G1717" s="73" t="s">
        <v>4495</v>
      </c>
      <c r="H1717" s="108"/>
      <c r="I1717" s="85">
        <f t="shared" si="64"/>
        <v>3.0413926851582249</v>
      </c>
      <c r="J1717" s="85">
        <v>1100</v>
      </c>
      <c r="K1717" s="131" t="s">
        <v>6522</v>
      </c>
      <c r="L1717" s="66">
        <v>75</v>
      </c>
      <c r="M1717" s="49" t="s">
        <v>6727</v>
      </c>
    </row>
    <row r="1718" spans="1:15" ht="42" x14ac:dyDescent="0.15">
      <c r="A1718" s="166" t="s">
        <v>2479</v>
      </c>
      <c r="B1718" s="93" t="s">
        <v>4956</v>
      </c>
      <c r="C1718" s="70" t="s">
        <v>3636</v>
      </c>
      <c r="D1718" s="70" t="s">
        <v>3773</v>
      </c>
      <c r="E1718" s="70" t="s">
        <v>3774</v>
      </c>
      <c r="F1718" s="70" t="s">
        <v>4362</v>
      </c>
      <c r="G1718" s="70" t="s">
        <v>3170</v>
      </c>
      <c r="H1718" s="93"/>
      <c r="I1718" s="85">
        <f t="shared" si="64"/>
        <v>3.3802112417116059</v>
      </c>
      <c r="J1718" s="85">
        <v>2400</v>
      </c>
      <c r="K1718" s="131" t="s">
        <v>6522</v>
      </c>
      <c r="L1718" s="60">
        <v>75</v>
      </c>
      <c r="M1718" s="49" t="s">
        <v>6727</v>
      </c>
      <c r="O1718" s="33"/>
    </row>
    <row r="1719" spans="1:15" ht="28" x14ac:dyDescent="0.15">
      <c r="A1719" s="166" t="s">
        <v>2479</v>
      </c>
      <c r="B1719" s="82"/>
      <c r="C1719" s="70" t="s">
        <v>3636</v>
      </c>
      <c r="D1719" s="70" t="s">
        <v>3773</v>
      </c>
      <c r="E1719" s="70" t="s">
        <v>3774</v>
      </c>
      <c r="F1719" s="70" t="s">
        <v>4362</v>
      </c>
      <c r="G1719" s="70" t="s">
        <v>4493</v>
      </c>
      <c r="H1719" s="93"/>
      <c r="I1719" s="85">
        <f t="shared" si="64"/>
        <v>3.3944494785748516</v>
      </c>
      <c r="J1719" s="85">
        <f>AVERAGE(3249.9748485428, 1710)</f>
        <v>2479.9874242714</v>
      </c>
      <c r="K1719" s="131" t="s">
        <v>1232</v>
      </c>
      <c r="L1719" s="60" t="s">
        <v>7459</v>
      </c>
      <c r="M1719" s="33" t="s">
        <v>6727</v>
      </c>
      <c r="N1719" s="37" t="s">
        <v>7456</v>
      </c>
    </row>
    <row r="1720" spans="1:15" ht="14" x14ac:dyDescent="0.15">
      <c r="A1720" s="166" t="s">
        <v>2479</v>
      </c>
      <c r="B1720" s="93" t="s">
        <v>6699</v>
      </c>
      <c r="C1720" s="70" t="s">
        <v>3636</v>
      </c>
      <c r="D1720" s="70" t="s">
        <v>3773</v>
      </c>
      <c r="E1720" s="70" t="s">
        <v>3774</v>
      </c>
      <c r="F1720" s="70" t="s">
        <v>4362</v>
      </c>
      <c r="G1720" s="70" t="s">
        <v>5957</v>
      </c>
      <c r="H1720" s="93"/>
      <c r="I1720" s="85">
        <f t="shared" si="64"/>
        <v>3.4355258514986549</v>
      </c>
      <c r="J1720" s="85">
        <f>AVERAGE(1800, 3200, (454*7))</f>
        <v>2726</v>
      </c>
      <c r="K1720" s="131" t="s">
        <v>6817</v>
      </c>
      <c r="L1720" s="60" t="s">
        <v>1191</v>
      </c>
      <c r="M1720" s="33" t="s">
        <v>6727</v>
      </c>
    </row>
    <row r="1721" spans="1:15" ht="14" x14ac:dyDescent="0.15">
      <c r="A1721" s="166" t="s">
        <v>2479</v>
      </c>
      <c r="B1721" s="93" t="s">
        <v>4957</v>
      </c>
      <c r="C1721" s="70" t="s">
        <v>3636</v>
      </c>
      <c r="D1721" s="70" t="s">
        <v>3773</v>
      </c>
      <c r="E1721" s="70" t="s">
        <v>3774</v>
      </c>
      <c r="F1721" s="70" t="s">
        <v>4362</v>
      </c>
      <c r="G1721" s="70" t="s">
        <v>6250</v>
      </c>
      <c r="H1721" s="93"/>
      <c r="I1721" s="85">
        <f t="shared" si="64"/>
        <v>3.6989700043360187</v>
      </c>
      <c r="J1721" s="85">
        <v>5000</v>
      </c>
      <c r="K1721" s="131" t="s">
        <v>3177</v>
      </c>
      <c r="L1721" s="60">
        <v>137</v>
      </c>
      <c r="M1721" s="33"/>
    </row>
    <row r="1722" spans="1:15" ht="14" x14ac:dyDescent="0.15">
      <c r="A1722" s="166" t="s">
        <v>2479</v>
      </c>
      <c r="B1722" s="82"/>
      <c r="C1722" s="70" t="s">
        <v>3636</v>
      </c>
      <c r="D1722" s="70" t="s">
        <v>3773</v>
      </c>
      <c r="E1722" s="70" t="s">
        <v>3774</v>
      </c>
      <c r="F1722" s="70" t="s">
        <v>4362</v>
      </c>
      <c r="G1722" s="70" t="s">
        <v>4494</v>
      </c>
      <c r="H1722" s="93"/>
      <c r="I1722" s="85">
        <f t="shared" si="64"/>
        <v>3.7651467901080253</v>
      </c>
      <c r="J1722" s="85">
        <f>AVERAGE(6000, 10000, 4700, 7300, 4500, 5500, 2761)</f>
        <v>5823</v>
      </c>
      <c r="K1722" s="131"/>
      <c r="L1722" s="60" t="s">
        <v>7458</v>
      </c>
      <c r="M1722" s="33"/>
      <c r="N1722" s="37" t="s">
        <v>7528</v>
      </c>
    </row>
    <row r="1723" spans="1:15" ht="14" x14ac:dyDescent="0.15">
      <c r="A1723" s="166" t="s">
        <v>2479</v>
      </c>
      <c r="B1723" s="82"/>
      <c r="C1723" s="70" t="s">
        <v>3636</v>
      </c>
      <c r="D1723" s="70" t="s">
        <v>3773</v>
      </c>
      <c r="E1723" s="70" t="s">
        <v>7053</v>
      </c>
      <c r="F1723" s="70" t="s">
        <v>4502</v>
      </c>
      <c r="G1723" s="70" t="s">
        <v>4653</v>
      </c>
      <c r="H1723" s="93"/>
      <c r="I1723" s="85">
        <f t="shared" si="64"/>
        <v>4.698970000000001</v>
      </c>
      <c r="J1723" s="85">
        <v>49999.999500797465</v>
      </c>
      <c r="K1723" s="131" t="s">
        <v>6662</v>
      </c>
      <c r="L1723" s="60" t="s">
        <v>1609</v>
      </c>
      <c r="M1723" s="33" t="s">
        <v>6728</v>
      </c>
    </row>
    <row r="1724" spans="1:15" ht="14" x14ac:dyDescent="0.15">
      <c r="A1724" s="166" t="s">
        <v>2479</v>
      </c>
      <c r="B1724" s="82"/>
      <c r="C1724" s="70" t="s">
        <v>3636</v>
      </c>
      <c r="D1724" s="70" t="s">
        <v>3773</v>
      </c>
      <c r="E1724" s="70" t="s">
        <v>7053</v>
      </c>
      <c r="F1724" s="70" t="s">
        <v>4654</v>
      </c>
      <c r="G1724" s="70" t="s">
        <v>4655</v>
      </c>
      <c r="H1724" s="93"/>
      <c r="I1724" s="85">
        <f t="shared" si="64"/>
        <v>4.138300000000001</v>
      </c>
      <c r="J1724" s="85">
        <v>13749.91457485034</v>
      </c>
      <c r="K1724" s="131" t="s">
        <v>3177</v>
      </c>
      <c r="L1724" s="60" t="s">
        <v>1609</v>
      </c>
      <c r="M1724" s="33"/>
      <c r="N1724" s="37" t="s">
        <v>7323</v>
      </c>
    </row>
    <row r="1725" spans="1:15" ht="56" x14ac:dyDescent="0.2">
      <c r="A1725" s="166" t="s">
        <v>2479</v>
      </c>
      <c r="B1725" s="96" t="s">
        <v>4866</v>
      </c>
      <c r="C1725" s="73" t="s">
        <v>3636</v>
      </c>
      <c r="D1725" s="73" t="s">
        <v>3773</v>
      </c>
      <c r="E1725" s="70" t="s">
        <v>7053</v>
      </c>
      <c r="F1725" s="73" t="s">
        <v>5771</v>
      </c>
      <c r="G1725" s="73" t="s">
        <v>2042</v>
      </c>
      <c r="H1725" s="108"/>
      <c r="I1725" s="85">
        <f t="shared" si="64"/>
        <v>4.0606978403536118</v>
      </c>
      <c r="J1725" s="95">
        <v>11500</v>
      </c>
      <c r="K1725" s="131" t="s">
        <v>6817</v>
      </c>
      <c r="L1725" s="60">
        <v>68</v>
      </c>
      <c r="M1725" s="47" t="s">
        <v>6728</v>
      </c>
    </row>
    <row r="1726" spans="1:15" ht="28" x14ac:dyDescent="0.15">
      <c r="A1726" s="166" t="s">
        <v>2479</v>
      </c>
      <c r="B1726" s="82"/>
      <c r="C1726" s="70" t="s">
        <v>3636</v>
      </c>
      <c r="D1726" s="70" t="s">
        <v>3773</v>
      </c>
      <c r="E1726" s="70" t="s">
        <v>7053</v>
      </c>
      <c r="F1726" s="70" t="s">
        <v>4656</v>
      </c>
      <c r="G1726" s="70" t="s">
        <v>4672</v>
      </c>
      <c r="H1726" s="93"/>
      <c r="I1726" s="85">
        <f t="shared" si="64"/>
        <v>3.4022600000000005</v>
      </c>
      <c r="J1726" s="85">
        <v>2524.9919623834612</v>
      </c>
      <c r="K1726" s="131" t="s">
        <v>1425</v>
      </c>
      <c r="L1726" s="60">
        <v>117</v>
      </c>
      <c r="M1726" s="33" t="s">
        <v>6725</v>
      </c>
      <c r="N1726" s="37" t="s">
        <v>7321</v>
      </c>
    </row>
    <row r="1727" spans="1:15" ht="28" x14ac:dyDescent="0.15">
      <c r="A1727" s="166" t="s">
        <v>2479</v>
      </c>
      <c r="B1727" s="93" t="s">
        <v>2072</v>
      </c>
      <c r="C1727" s="70" t="s">
        <v>3636</v>
      </c>
      <c r="D1727" s="70" t="s">
        <v>3773</v>
      </c>
      <c r="E1727" s="70" t="s">
        <v>7053</v>
      </c>
      <c r="F1727" s="70" t="s">
        <v>4656</v>
      </c>
      <c r="G1727" s="70" t="s">
        <v>3362</v>
      </c>
      <c r="H1727" s="93"/>
      <c r="I1727" s="85">
        <f t="shared" si="64"/>
        <v>3.7403626894942437</v>
      </c>
      <c r="J1727" s="85">
        <v>5500</v>
      </c>
      <c r="K1727" s="131" t="s">
        <v>1234</v>
      </c>
      <c r="L1727" s="60">
        <v>141</v>
      </c>
      <c r="M1727" s="33" t="s">
        <v>6728</v>
      </c>
    </row>
    <row r="1728" spans="1:15" ht="14" x14ac:dyDescent="0.15">
      <c r="A1728" s="166" t="s">
        <v>2479</v>
      </c>
      <c r="B1728" s="96"/>
      <c r="C1728" s="70" t="s">
        <v>3636</v>
      </c>
      <c r="D1728" s="70" t="s">
        <v>3773</v>
      </c>
      <c r="E1728" s="70" t="s">
        <v>7053</v>
      </c>
      <c r="F1728" s="70" t="s">
        <v>4656</v>
      </c>
      <c r="G1728" s="70" t="s">
        <v>4674</v>
      </c>
      <c r="H1728" s="93"/>
      <c r="I1728" s="85">
        <f t="shared" si="64"/>
        <v>3.8061799739838871</v>
      </c>
      <c r="J1728" s="85">
        <f>AVERAGE(5000,10000, 3500, 7100)</f>
        <v>6400</v>
      </c>
      <c r="K1728" s="134"/>
      <c r="L1728" s="63" t="s">
        <v>5709</v>
      </c>
      <c r="M1728" s="33"/>
      <c r="N1728" s="37" t="s">
        <v>7320</v>
      </c>
    </row>
    <row r="1729" spans="1:14" ht="14" x14ac:dyDescent="0.15">
      <c r="A1729" s="166" t="s">
        <v>2479</v>
      </c>
      <c r="B1729" s="82"/>
      <c r="C1729" s="70" t="s">
        <v>3636</v>
      </c>
      <c r="D1729" s="70" t="s">
        <v>3773</v>
      </c>
      <c r="E1729" s="70" t="s">
        <v>7053</v>
      </c>
      <c r="F1729" s="70" t="s">
        <v>4656</v>
      </c>
      <c r="G1729" s="70" t="s">
        <v>4657</v>
      </c>
      <c r="H1729" s="93"/>
      <c r="I1729" s="85">
        <f t="shared" si="64"/>
        <v>3.8607571230815423</v>
      </c>
      <c r="J1729" s="85">
        <f>AVERAGE(5500, 9000, (454*14), (454*18))</f>
        <v>7257</v>
      </c>
      <c r="K1729" s="131" t="s">
        <v>3177</v>
      </c>
      <c r="L1729" s="60" t="s">
        <v>1330</v>
      </c>
      <c r="M1729" s="33"/>
      <c r="N1729" s="37" t="s">
        <v>7322</v>
      </c>
    </row>
    <row r="1730" spans="1:14" ht="42" x14ac:dyDescent="0.15">
      <c r="A1730" s="166" t="s">
        <v>2479</v>
      </c>
      <c r="B1730" s="82" t="s">
        <v>6120</v>
      </c>
      <c r="C1730" s="70" t="s">
        <v>3636</v>
      </c>
      <c r="D1730" s="70" t="s">
        <v>3773</v>
      </c>
      <c r="E1730" s="70" t="s">
        <v>7053</v>
      </c>
      <c r="F1730" s="70" t="s">
        <v>7111</v>
      </c>
      <c r="G1730" s="70" t="s">
        <v>5588</v>
      </c>
      <c r="H1730" s="93"/>
      <c r="I1730" s="85">
        <f t="shared" si="64"/>
        <v>3.9731278535996988</v>
      </c>
      <c r="J1730" s="85">
        <v>9400</v>
      </c>
      <c r="K1730" s="131" t="s">
        <v>1620</v>
      </c>
      <c r="L1730" s="60">
        <v>68</v>
      </c>
      <c r="M1730" s="49" t="s">
        <v>6809</v>
      </c>
    </row>
    <row r="1731" spans="1:14" ht="196" x14ac:dyDescent="0.2">
      <c r="A1731" s="166" t="s">
        <v>2479</v>
      </c>
      <c r="B1731" s="82" t="s">
        <v>6119</v>
      </c>
      <c r="C1731" s="70" t="s">
        <v>3636</v>
      </c>
      <c r="D1731" s="70" t="s">
        <v>3773</v>
      </c>
      <c r="E1731" s="70" t="s">
        <v>7053</v>
      </c>
      <c r="F1731" s="70" t="s">
        <v>7111</v>
      </c>
      <c r="G1731" s="70" t="s">
        <v>5772</v>
      </c>
      <c r="H1731" s="93"/>
      <c r="I1731" s="85">
        <f t="shared" si="64"/>
        <v>4.2540644529143377</v>
      </c>
      <c r="J1731" s="85">
        <v>17950</v>
      </c>
      <c r="K1731" s="131" t="s">
        <v>1456</v>
      </c>
      <c r="L1731" s="60">
        <v>68</v>
      </c>
      <c r="M1731" s="47" t="s">
        <v>6725</v>
      </c>
    </row>
    <row r="1732" spans="1:14" ht="56" x14ac:dyDescent="0.15">
      <c r="A1732" s="166" t="s">
        <v>2479</v>
      </c>
      <c r="B1732" s="82" t="s">
        <v>5775</v>
      </c>
      <c r="C1732" s="70" t="s">
        <v>3636</v>
      </c>
      <c r="D1732" s="70" t="s">
        <v>3773</v>
      </c>
      <c r="E1732" s="70" t="s">
        <v>7053</v>
      </c>
      <c r="F1732" s="70" t="s">
        <v>5589</v>
      </c>
      <c r="G1732" s="70" t="s">
        <v>5138</v>
      </c>
      <c r="H1732" s="93"/>
      <c r="I1732" s="85">
        <f t="shared" si="64"/>
        <v>4.2900346113625183</v>
      </c>
      <c r="J1732" s="85">
        <v>19500</v>
      </c>
      <c r="K1732" s="131" t="s">
        <v>6485</v>
      </c>
      <c r="L1732" s="60">
        <v>68</v>
      </c>
    </row>
    <row r="1733" spans="1:14" ht="70" x14ac:dyDescent="0.15">
      <c r="A1733" s="166" t="s">
        <v>2479</v>
      </c>
      <c r="B1733" s="82" t="s">
        <v>2333</v>
      </c>
      <c r="C1733" s="70" t="s">
        <v>3636</v>
      </c>
      <c r="D1733" s="70" t="s">
        <v>3773</v>
      </c>
      <c r="E1733" s="73" t="s">
        <v>7053</v>
      </c>
      <c r="F1733" s="70" t="s">
        <v>5218</v>
      </c>
      <c r="G1733" s="70" t="s">
        <v>5184</v>
      </c>
      <c r="H1733" s="93"/>
      <c r="I1733" s="85">
        <f t="shared" si="64"/>
        <v>3.5440680443502757</v>
      </c>
      <c r="J1733" s="85">
        <v>3500</v>
      </c>
      <c r="K1733" s="131" t="s">
        <v>1324</v>
      </c>
      <c r="L1733" s="60">
        <v>68</v>
      </c>
      <c r="M1733" s="49" t="s">
        <v>6725</v>
      </c>
    </row>
    <row r="1734" spans="1:14" ht="16" x14ac:dyDescent="0.2">
      <c r="A1734" s="166" t="s">
        <v>2479</v>
      </c>
      <c r="B1734" s="82"/>
      <c r="C1734" s="70" t="s">
        <v>3636</v>
      </c>
      <c r="D1734" s="70" t="s">
        <v>3773</v>
      </c>
      <c r="E1734" s="70" t="s">
        <v>7053</v>
      </c>
      <c r="F1734" s="70" t="s">
        <v>4677</v>
      </c>
      <c r="G1734" s="70" t="s">
        <v>2092</v>
      </c>
      <c r="H1734" s="93"/>
      <c r="I1734" s="85">
        <f t="shared" si="64"/>
        <v>4.6580113966571126</v>
      </c>
      <c r="J1734" s="85">
        <f>AVERAGE(52000, 39000)</f>
        <v>45500</v>
      </c>
      <c r="K1734" s="131" t="s">
        <v>3177</v>
      </c>
      <c r="L1734" s="60">
        <v>115</v>
      </c>
      <c r="M1734" s="33"/>
      <c r="N1734" s="48"/>
    </row>
    <row r="1735" spans="1:14" ht="126" x14ac:dyDescent="0.15">
      <c r="A1735" s="166" t="s">
        <v>2479</v>
      </c>
      <c r="B1735" s="82" t="s">
        <v>5919</v>
      </c>
      <c r="C1735" s="70" t="s">
        <v>3636</v>
      </c>
      <c r="D1735" s="70" t="s">
        <v>3773</v>
      </c>
      <c r="E1735" s="70" t="s">
        <v>7053</v>
      </c>
      <c r="F1735" s="70" t="s">
        <v>4677</v>
      </c>
      <c r="G1735" s="70" t="s">
        <v>5185</v>
      </c>
      <c r="H1735" s="93"/>
      <c r="I1735" s="85">
        <f t="shared" si="64"/>
        <v>5.2110243768523192</v>
      </c>
      <c r="J1735" s="85">
        <f>AVERAGE(209000, (454*350), (454*360), (454*380), (454*240))</f>
        <v>162564</v>
      </c>
      <c r="K1735" s="131" t="s">
        <v>1093</v>
      </c>
      <c r="L1735" s="60" t="s">
        <v>3059</v>
      </c>
      <c r="M1735" s="49" t="s">
        <v>6390</v>
      </c>
    </row>
    <row r="1736" spans="1:14" ht="28" x14ac:dyDescent="0.15">
      <c r="A1736" s="166" t="s">
        <v>2479</v>
      </c>
      <c r="B1736" s="82" t="s">
        <v>7284</v>
      </c>
      <c r="C1736" s="70" t="s">
        <v>3636</v>
      </c>
      <c r="D1736" s="70" t="s">
        <v>3773</v>
      </c>
      <c r="E1736" s="70" t="s">
        <v>7053</v>
      </c>
      <c r="F1736" s="70" t="s">
        <v>3363</v>
      </c>
      <c r="G1736" s="70" t="s">
        <v>7668</v>
      </c>
      <c r="H1736" s="93"/>
      <c r="I1736" s="85">
        <f t="shared" si="64"/>
        <v>3.5118833609788744</v>
      </c>
      <c r="J1736" s="85">
        <f>AVERAGE(4000, 2500)</f>
        <v>3250</v>
      </c>
      <c r="K1736" s="131" t="s">
        <v>6391</v>
      </c>
      <c r="L1736" s="60" t="s">
        <v>2814</v>
      </c>
      <c r="M1736" s="33" t="s">
        <v>6728</v>
      </c>
    </row>
    <row r="1737" spans="1:14" ht="14" x14ac:dyDescent="0.15">
      <c r="A1737" s="166" t="s">
        <v>2479</v>
      </c>
      <c r="B1737" s="82" t="s">
        <v>2418</v>
      </c>
      <c r="C1737" s="70" t="s">
        <v>3636</v>
      </c>
      <c r="D1737" s="70" t="s">
        <v>3773</v>
      </c>
      <c r="E1737" s="70" t="s">
        <v>7053</v>
      </c>
      <c r="F1737" s="70" t="s">
        <v>5904</v>
      </c>
      <c r="G1737" s="70" t="s">
        <v>5905</v>
      </c>
      <c r="H1737" s="93"/>
      <c r="I1737" s="85">
        <f t="shared" si="64"/>
        <v>3.1303337684950061</v>
      </c>
      <c r="J1737" s="85">
        <v>1350</v>
      </c>
      <c r="K1737" s="131" t="s">
        <v>6666</v>
      </c>
      <c r="L1737" s="60">
        <v>68</v>
      </c>
      <c r="M1737" s="49" t="s">
        <v>6728</v>
      </c>
    </row>
    <row r="1738" spans="1:14" ht="126" x14ac:dyDescent="0.15">
      <c r="A1738" s="166" t="s">
        <v>2479</v>
      </c>
      <c r="B1738" s="82" t="s">
        <v>2728</v>
      </c>
      <c r="C1738" s="70" t="s">
        <v>3636</v>
      </c>
      <c r="D1738" s="70" t="s">
        <v>3773</v>
      </c>
      <c r="E1738" s="70" t="s">
        <v>7053</v>
      </c>
      <c r="F1738" s="70" t="s">
        <v>5904</v>
      </c>
      <c r="G1738" s="70" t="s">
        <v>5957</v>
      </c>
      <c r="H1738" s="93"/>
      <c r="I1738" s="85">
        <f t="shared" si="64"/>
        <v>3.5185139398778875</v>
      </c>
      <c r="J1738" s="85">
        <v>3300</v>
      </c>
      <c r="K1738" s="131" t="s">
        <v>6485</v>
      </c>
      <c r="L1738" s="60">
        <v>68</v>
      </c>
    </row>
    <row r="1739" spans="1:14" ht="70" x14ac:dyDescent="0.2">
      <c r="A1739" s="166" t="s">
        <v>2479</v>
      </c>
      <c r="B1739" s="82" t="s">
        <v>2282</v>
      </c>
      <c r="C1739" s="70" t="s">
        <v>3636</v>
      </c>
      <c r="D1739" s="70" t="s">
        <v>3773</v>
      </c>
      <c r="E1739" s="70" t="s">
        <v>7053</v>
      </c>
      <c r="F1739" s="70" t="s">
        <v>5904</v>
      </c>
      <c r="G1739" s="70" t="s">
        <v>3754</v>
      </c>
      <c r="H1739" s="93"/>
      <c r="I1739" s="85">
        <f t="shared" si="64"/>
        <v>4.0354297381845488</v>
      </c>
      <c r="J1739" s="85">
        <v>10850</v>
      </c>
      <c r="K1739" s="131" t="s">
        <v>6696</v>
      </c>
      <c r="L1739" s="60">
        <v>68</v>
      </c>
      <c r="M1739" s="47" t="s">
        <v>6728</v>
      </c>
    </row>
    <row r="1740" spans="1:14" ht="56" x14ac:dyDescent="0.15">
      <c r="A1740" s="166" t="s">
        <v>2479</v>
      </c>
      <c r="B1740" s="82" t="s">
        <v>2532</v>
      </c>
      <c r="C1740" s="70" t="s">
        <v>3636</v>
      </c>
      <c r="D1740" s="70" t="s">
        <v>3773</v>
      </c>
      <c r="E1740" s="70" t="s">
        <v>7053</v>
      </c>
      <c r="F1740" s="70" t="s">
        <v>5906</v>
      </c>
      <c r="G1740" s="70" t="s">
        <v>4777</v>
      </c>
      <c r="H1740" s="93"/>
      <c r="I1740" s="85">
        <f t="shared" si="64"/>
        <v>4.6450979012349984</v>
      </c>
      <c r="J1740" s="85">
        <v>44167</v>
      </c>
      <c r="K1740" s="131" t="s">
        <v>4516</v>
      </c>
      <c r="L1740" s="60">
        <v>68</v>
      </c>
      <c r="M1740" s="49" t="s">
        <v>6390</v>
      </c>
    </row>
    <row r="1741" spans="1:14" ht="17" x14ac:dyDescent="0.2">
      <c r="A1741" s="70" t="s">
        <v>2479</v>
      </c>
      <c r="B1741" s="93" t="s">
        <v>2418</v>
      </c>
      <c r="C1741" s="70" t="s">
        <v>3636</v>
      </c>
      <c r="D1741" s="70" t="s">
        <v>3773</v>
      </c>
      <c r="E1741" s="70" t="s">
        <v>3998</v>
      </c>
      <c r="F1741" s="70" t="s">
        <v>6821</v>
      </c>
      <c r="G1741" s="70" t="s">
        <v>2090</v>
      </c>
      <c r="H1741" s="93"/>
      <c r="I1741" s="85">
        <v>-999</v>
      </c>
      <c r="J1741" s="85">
        <v>-999</v>
      </c>
      <c r="K1741" s="131" t="s">
        <v>6391</v>
      </c>
      <c r="L1741" s="60">
        <v>-999</v>
      </c>
      <c r="M1741" s="47" t="s">
        <v>6390</v>
      </c>
      <c r="N1741" s="48"/>
    </row>
    <row r="1742" spans="1:14" ht="154" x14ac:dyDescent="0.15">
      <c r="A1742" s="70" t="s">
        <v>2479</v>
      </c>
      <c r="B1742" s="82" t="s">
        <v>2461</v>
      </c>
      <c r="C1742" s="70" t="s">
        <v>3636</v>
      </c>
      <c r="D1742" s="70" t="s">
        <v>3773</v>
      </c>
      <c r="E1742" s="70" t="s">
        <v>3998</v>
      </c>
      <c r="F1742" s="70" t="s">
        <v>6821</v>
      </c>
      <c r="G1742" s="70" t="s">
        <v>7202</v>
      </c>
      <c r="H1742" s="93"/>
      <c r="I1742" s="85">
        <f t="shared" ref="I1742:I1773" si="65">LOG(J1742)</f>
        <v>2.8750612633917001</v>
      </c>
      <c r="J1742" s="85">
        <v>750</v>
      </c>
      <c r="K1742" s="131" t="s">
        <v>6485</v>
      </c>
      <c r="L1742" s="60">
        <v>68</v>
      </c>
    </row>
    <row r="1743" spans="1:14" x14ac:dyDescent="0.15">
      <c r="A1743" s="70" t="s">
        <v>2479</v>
      </c>
      <c r="B1743" s="82"/>
      <c r="C1743" s="70" t="s">
        <v>3636</v>
      </c>
      <c r="D1743" s="70" t="s">
        <v>3773</v>
      </c>
      <c r="E1743" s="70" t="s">
        <v>3998</v>
      </c>
      <c r="F1743" s="70" t="s">
        <v>6821</v>
      </c>
      <c r="G1743" s="70" t="s">
        <v>4474</v>
      </c>
      <c r="H1743" s="93"/>
      <c r="I1743" s="85">
        <f t="shared" si="65"/>
        <v>3.1219535835452987</v>
      </c>
      <c r="J1743" s="85">
        <f>AVERAGE(1400, 1816, 1248.5, 1248.5, 908)</f>
        <v>1324.2</v>
      </c>
      <c r="K1743" s="131"/>
      <c r="L1743" s="60" t="s">
        <v>2930</v>
      </c>
      <c r="M1743" s="33"/>
    </row>
    <row r="1744" spans="1:14" ht="16" x14ac:dyDescent="0.2">
      <c r="A1744" s="166" t="s">
        <v>2479</v>
      </c>
      <c r="B1744" s="93" t="s">
        <v>2418</v>
      </c>
      <c r="C1744" s="70" t="s">
        <v>3636</v>
      </c>
      <c r="D1744" s="70" t="s">
        <v>3773</v>
      </c>
      <c r="E1744" s="70" t="s">
        <v>3998</v>
      </c>
      <c r="F1744" s="70" t="s">
        <v>6821</v>
      </c>
      <c r="G1744" s="70" t="s">
        <v>3986</v>
      </c>
      <c r="H1744" s="93"/>
      <c r="I1744" s="85">
        <f t="shared" si="65"/>
        <v>3.2698397095768392</v>
      </c>
      <c r="J1744" s="85">
        <f>AVERAGE(1816, 1702.5, 1589, 2724, 2724, 1135, 1929.5, 1816, 1589, 1589)</f>
        <v>1861.4</v>
      </c>
      <c r="K1744" s="131"/>
      <c r="L1744" s="60">
        <v>131</v>
      </c>
      <c r="M1744" s="47"/>
      <c r="N1744" s="48"/>
    </row>
    <row r="1745" spans="1:26" x14ac:dyDescent="0.15">
      <c r="A1745" s="70" t="s">
        <v>2479</v>
      </c>
      <c r="B1745" s="82"/>
      <c r="C1745" s="70" t="s">
        <v>3636</v>
      </c>
      <c r="D1745" s="70" t="s">
        <v>3773</v>
      </c>
      <c r="E1745" s="70" t="s">
        <v>3998</v>
      </c>
      <c r="F1745" s="70" t="s">
        <v>6821</v>
      </c>
      <c r="G1745" s="70" t="s">
        <v>7919</v>
      </c>
      <c r="H1745" s="93"/>
      <c r="I1745" s="85">
        <f t="shared" si="65"/>
        <v>3.2702594755266241</v>
      </c>
      <c r="J1745" s="85">
        <f>AVERAGE(1800, 2300, 1150, 2250, (454*4))</f>
        <v>1863.2</v>
      </c>
      <c r="K1745" s="131"/>
      <c r="L1745" s="60" t="s">
        <v>2963</v>
      </c>
      <c r="M1745" s="33"/>
    </row>
    <row r="1746" spans="1:26" ht="28" x14ac:dyDescent="0.15">
      <c r="A1746" s="70" t="s">
        <v>2479</v>
      </c>
      <c r="B1746" s="93" t="s">
        <v>2075</v>
      </c>
      <c r="C1746" s="70" t="s">
        <v>3636</v>
      </c>
      <c r="D1746" s="70" t="s">
        <v>3773</v>
      </c>
      <c r="E1746" s="70" t="s">
        <v>3998</v>
      </c>
      <c r="F1746" s="70" t="s">
        <v>6821</v>
      </c>
      <c r="G1746" s="70" t="s">
        <v>2115</v>
      </c>
      <c r="H1746" s="93"/>
      <c r="I1746" s="85">
        <f t="shared" si="65"/>
        <v>3.3010299956639813</v>
      </c>
      <c r="J1746" s="85">
        <v>2000</v>
      </c>
      <c r="K1746" s="131" t="s">
        <v>3177</v>
      </c>
      <c r="L1746" s="60">
        <v>119</v>
      </c>
      <c r="M1746" s="33"/>
    </row>
    <row r="1747" spans="1:26" x14ac:dyDescent="0.15">
      <c r="A1747" s="166" t="s">
        <v>2479</v>
      </c>
      <c r="B1747" s="82"/>
      <c r="C1747" s="70" t="s">
        <v>3636</v>
      </c>
      <c r="D1747" s="70" t="s">
        <v>3773</v>
      </c>
      <c r="E1747" s="70" t="s">
        <v>3998</v>
      </c>
      <c r="F1747" s="70" t="s">
        <v>6821</v>
      </c>
      <c r="G1747" s="70" t="s">
        <v>7887</v>
      </c>
      <c r="H1747" s="93"/>
      <c r="I1747" s="85">
        <f t="shared" si="65"/>
        <v>3.4763502149903709</v>
      </c>
      <c r="J1747" s="85">
        <f>AVERAGE(3200, 3405, 2951, 2610.5, 3064.5, 2724, (6.625*454))</f>
        <v>2994.6785714285716</v>
      </c>
      <c r="K1747" s="131"/>
      <c r="L1747" s="60" t="s">
        <v>2813</v>
      </c>
      <c r="M1747" s="33"/>
    </row>
    <row r="1748" spans="1:26" ht="16" x14ac:dyDescent="0.2">
      <c r="A1748" s="166" t="s">
        <v>2479</v>
      </c>
      <c r="B1748" s="82"/>
      <c r="C1748" s="70" t="s">
        <v>3636</v>
      </c>
      <c r="D1748" s="70" t="s">
        <v>3773</v>
      </c>
      <c r="E1748" s="70" t="s">
        <v>3998</v>
      </c>
      <c r="F1748" s="70" t="s">
        <v>6821</v>
      </c>
      <c r="G1748" s="70" t="s">
        <v>6822</v>
      </c>
      <c r="H1748" s="93"/>
      <c r="I1748" s="85">
        <f t="shared" si="65"/>
        <v>3.8750612633917001</v>
      </c>
      <c r="J1748" s="85">
        <f>AVERAGE(7000, 8000)</f>
        <v>7500</v>
      </c>
      <c r="K1748" s="131" t="s">
        <v>3177</v>
      </c>
      <c r="L1748" s="60">
        <v>111</v>
      </c>
      <c r="M1748" s="47"/>
    </row>
    <row r="1749" spans="1:26" ht="14" x14ac:dyDescent="0.15">
      <c r="A1749" s="166" t="s">
        <v>2479</v>
      </c>
      <c r="B1749" s="82"/>
      <c r="C1749" s="70" t="s">
        <v>3636</v>
      </c>
      <c r="D1749" s="70" t="s">
        <v>3773</v>
      </c>
      <c r="E1749" s="70" t="s">
        <v>3998</v>
      </c>
      <c r="F1749" s="70" t="s">
        <v>4072</v>
      </c>
      <c r="G1749" s="70" t="s">
        <v>6831</v>
      </c>
      <c r="H1749" s="93"/>
      <c r="I1749" s="85">
        <f t="shared" si="65"/>
        <v>3.5440700000000001</v>
      </c>
      <c r="J1749" s="85">
        <v>3500.0157607101446</v>
      </c>
      <c r="K1749" s="131" t="s">
        <v>3177</v>
      </c>
      <c r="L1749" s="60" t="s">
        <v>2686</v>
      </c>
      <c r="P1749" s="35"/>
    </row>
    <row r="1750" spans="1:26" ht="28" x14ac:dyDescent="0.15">
      <c r="A1750" s="166" t="s">
        <v>2479</v>
      </c>
      <c r="B1750" s="82"/>
      <c r="C1750" s="70" t="s">
        <v>3636</v>
      </c>
      <c r="D1750" s="70" t="s">
        <v>3773</v>
      </c>
      <c r="E1750" s="70" t="s">
        <v>6832</v>
      </c>
      <c r="F1750" s="70" t="s">
        <v>3831</v>
      </c>
      <c r="G1750" s="70" t="s">
        <v>3832</v>
      </c>
      <c r="H1750" s="93"/>
      <c r="I1750" s="85">
        <f t="shared" si="65"/>
        <v>4.5729877081982053</v>
      </c>
      <c r="J1750" s="85">
        <f>AVERAGE(36000, 41000, 38590, 34050)</f>
        <v>37410</v>
      </c>
      <c r="K1750" s="131" t="s">
        <v>6688</v>
      </c>
      <c r="L1750" s="60" t="s">
        <v>3058</v>
      </c>
      <c r="M1750" s="49" t="s">
        <v>6392</v>
      </c>
      <c r="N1750" s="37" t="s">
        <v>7464</v>
      </c>
      <c r="O1750" s="33"/>
    </row>
    <row r="1751" spans="1:26" ht="28" x14ac:dyDescent="0.15">
      <c r="A1751" s="166" t="s">
        <v>2479</v>
      </c>
      <c r="B1751" s="82" t="s">
        <v>4766</v>
      </c>
      <c r="C1751" s="70" t="s">
        <v>3636</v>
      </c>
      <c r="D1751" s="70" t="s">
        <v>3773</v>
      </c>
      <c r="E1751" s="70" t="s">
        <v>4076</v>
      </c>
      <c r="F1751" s="70" t="s">
        <v>6417</v>
      </c>
      <c r="G1751" s="70" t="s">
        <v>4303</v>
      </c>
      <c r="H1751" s="93"/>
      <c r="I1751" s="85">
        <f t="shared" si="65"/>
        <v>3.6010195413537178</v>
      </c>
      <c r="J1751" s="85">
        <f>AVERAGE(1000, 3000, 6000, 5902, 4994, 4313, 2724)</f>
        <v>3990.4285714285716</v>
      </c>
      <c r="K1751" s="131" t="s">
        <v>1225</v>
      </c>
      <c r="L1751" s="60" t="s">
        <v>1384</v>
      </c>
      <c r="M1751" s="32" t="s">
        <v>6392</v>
      </c>
    </row>
    <row r="1752" spans="1:26" ht="42" x14ac:dyDescent="0.15">
      <c r="A1752" s="166" t="s">
        <v>2479</v>
      </c>
      <c r="B1752" s="82" t="s">
        <v>2132</v>
      </c>
      <c r="C1752" s="70" t="s">
        <v>3636</v>
      </c>
      <c r="D1752" s="70" t="s">
        <v>3773</v>
      </c>
      <c r="E1752" s="70" t="s">
        <v>4076</v>
      </c>
      <c r="F1752" s="70" t="s">
        <v>6420</v>
      </c>
      <c r="G1752" s="70" t="s">
        <v>4058</v>
      </c>
      <c r="H1752" s="93"/>
      <c r="I1752" s="85">
        <f t="shared" si="65"/>
        <v>3.8031838885353419</v>
      </c>
      <c r="J1752" s="85">
        <f>454*14</f>
        <v>6356</v>
      </c>
      <c r="K1752" s="131" t="s">
        <v>3177</v>
      </c>
      <c r="L1752" s="60">
        <v>131</v>
      </c>
      <c r="M1752" s="33"/>
    </row>
    <row r="1753" spans="1:26" ht="16" x14ac:dyDescent="0.2">
      <c r="A1753" s="166" t="s">
        <v>2479</v>
      </c>
      <c r="B1753" s="82"/>
      <c r="C1753" s="70" t="s">
        <v>3636</v>
      </c>
      <c r="D1753" s="70" t="s">
        <v>3773</v>
      </c>
      <c r="E1753" s="70" t="s">
        <v>4076</v>
      </c>
      <c r="F1753" s="70" t="s">
        <v>3642</v>
      </c>
      <c r="G1753" s="70" t="s">
        <v>3643</v>
      </c>
      <c r="H1753" s="93"/>
      <c r="I1753" s="85">
        <f t="shared" si="65"/>
        <v>4.2900346113625183</v>
      </c>
      <c r="J1753" s="85">
        <f>AVERAGE(9000, 30000)</f>
        <v>19500</v>
      </c>
      <c r="K1753" s="131" t="s">
        <v>6817</v>
      </c>
      <c r="L1753" s="60">
        <v>111</v>
      </c>
      <c r="M1753" s="33" t="s">
        <v>6728</v>
      </c>
      <c r="N1753" s="48"/>
      <c r="S1753"/>
      <c r="T1753"/>
      <c r="U1753"/>
      <c r="V1753"/>
      <c r="W1753"/>
      <c r="X1753"/>
      <c r="Y1753"/>
      <c r="Z1753"/>
    </row>
    <row r="1754" spans="1:26" ht="14" x14ac:dyDescent="0.15">
      <c r="A1754" s="166" t="s">
        <v>2479</v>
      </c>
      <c r="B1754" s="82"/>
      <c r="C1754" s="70" t="s">
        <v>3636</v>
      </c>
      <c r="D1754" s="70" t="s">
        <v>3773</v>
      </c>
      <c r="E1754" s="70" t="s">
        <v>4076</v>
      </c>
      <c r="F1754" s="70" t="s">
        <v>3602</v>
      </c>
      <c r="G1754" s="70" t="s">
        <v>3408</v>
      </c>
      <c r="H1754" s="93"/>
      <c r="I1754" s="85">
        <f t="shared" si="65"/>
        <v>3.5440680443502757</v>
      </c>
      <c r="J1754" s="85">
        <v>3500</v>
      </c>
      <c r="K1754" s="131" t="s">
        <v>3177</v>
      </c>
      <c r="L1754" s="60" t="s">
        <v>2815</v>
      </c>
      <c r="M1754" s="33"/>
    </row>
    <row r="1755" spans="1:26" ht="28" x14ac:dyDescent="0.2">
      <c r="A1755" s="166" t="s">
        <v>2479</v>
      </c>
      <c r="B1755" s="82"/>
      <c r="C1755" s="70" t="s">
        <v>3636</v>
      </c>
      <c r="D1755" s="70" t="s">
        <v>3773</v>
      </c>
      <c r="E1755" s="70" t="s">
        <v>4076</v>
      </c>
      <c r="F1755" s="70" t="s">
        <v>4298</v>
      </c>
      <c r="G1755" s="70" t="s">
        <v>6419</v>
      </c>
      <c r="H1755" s="93"/>
      <c r="I1755" s="85">
        <f t="shared" si="65"/>
        <v>3.7403626894942437</v>
      </c>
      <c r="J1755" s="85">
        <v>5500</v>
      </c>
      <c r="K1755" s="131" t="s">
        <v>1425</v>
      </c>
      <c r="L1755" s="60">
        <v>119</v>
      </c>
      <c r="M1755" s="49" t="s">
        <v>6727</v>
      </c>
      <c r="N1755" s="48"/>
    </row>
    <row r="1756" spans="1:26" ht="42" x14ac:dyDescent="0.15">
      <c r="A1756" s="166" t="s">
        <v>2479</v>
      </c>
      <c r="B1756" s="82"/>
      <c r="C1756" s="70" t="s">
        <v>3636</v>
      </c>
      <c r="D1756" s="70" t="s">
        <v>3773</v>
      </c>
      <c r="E1756" s="70" t="s">
        <v>4076</v>
      </c>
      <c r="F1756" s="70" t="s">
        <v>4298</v>
      </c>
      <c r="G1756" s="70" t="s">
        <v>3614</v>
      </c>
      <c r="H1756" s="93"/>
      <c r="I1756" s="85">
        <f t="shared" si="65"/>
        <v>4.0413899999999998</v>
      </c>
      <c r="J1756" s="85">
        <v>10999.931989351941</v>
      </c>
      <c r="K1756" s="131" t="s">
        <v>6730</v>
      </c>
      <c r="L1756" s="60">
        <v>65</v>
      </c>
      <c r="M1756" s="49" t="s">
        <v>6728</v>
      </c>
    </row>
    <row r="1757" spans="1:26" ht="84" x14ac:dyDescent="0.15">
      <c r="A1757" s="70" t="s">
        <v>2479</v>
      </c>
      <c r="B1757" s="82" t="s">
        <v>2239</v>
      </c>
      <c r="C1757" s="70" t="s">
        <v>3636</v>
      </c>
      <c r="D1757" s="70" t="s">
        <v>3773</v>
      </c>
      <c r="E1757" s="70" t="s">
        <v>4076</v>
      </c>
      <c r="F1757" s="70" t="s">
        <v>5141</v>
      </c>
      <c r="G1757" s="70" t="s">
        <v>5180</v>
      </c>
      <c r="H1757" s="93"/>
      <c r="I1757" s="85">
        <f t="shared" si="65"/>
        <v>3.9985499336047674</v>
      </c>
      <c r="J1757" s="85">
        <f>AVERAGE(9000, 10900, 10000)</f>
        <v>9966.6666666666661</v>
      </c>
      <c r="K1757" s="131" t="s">
        <v>1448</v>
      </c>
      <c r="L1757" s="60" t="s">
        <v>7569</v>
      </c>
      <c r="M1757" s="49" t="s">
        <v>6728</v>
      </c>
    </row>
    <row r="1758" spans="1:26" ht="14" x14ac:dyDescent="0.15">
      <c r="A1758" s="70" t="s">
        <v>2479</v>
      </c>
      <c r="B1758" s="93" t="s">
        <v>2512</v>
      </c>
      <c r="C1758" s="70" t="s">
        <v>3636</v>
      </c>
      <c r="D1758" s="70" t="s">
        <v>3773</v>
      </c>
      <c r="E1758" s="70" t="s">
        <v>4076</v>
      </c>
      <c r="F1758" s="70" t="s">
        <v>3647</v>
      </c>
      <c r="G1758" s="70" t="s">
        <v>3182</v>
      </c>
      <c r="H1758" s="93"/>
      <c r="I1758" s="85">
        <f t="shared" si="65"/>
        <v>3</v>
      </c>
      <c r="J1758" s="85">
        <v>1000</v>
      </c>
      <c r="K1758" s="131" t="s">
        <v>3177</v>
      </c>
      <c r="L1758" s="60">
        <v>141</v>
      </c>
      <c r="M1758" s="33"/>
    </row>
    <row r="1759" spans="1:26" ht="98" x14ac:dyDescent="0.15">
      <c r="A1759" s="166" t="s">
        <v>2479</v>
      </c>
      <c r="B1759" s="82" t="s">
        <v>2400</v>
      </c>
      <c r="C1759" s="70" t="s">
        <v>3636</v>
      </c>
      <c r="D1759" s="70" t="s">
        <v>3773</v>
      </c>
      <c r="E1759" s="70" t="s">
        <v>4076</v>
      </c>
      <c r="F1759" s="70" t="s">
        <v>3647</v>
      </c>
      <c r="G1759" s="70" t="s">
        <v>5903</v>
      </c>
      <c r="H1759" s="93"/>
      <c r="I1759" s="85">
        <f t="shared" si="65"/>
        <v>3.0530784434834195</v>
      </c>
      <c r="J1759" s="85">
        <v>1130</v>
      </c>
      <c r="K1759" s="131" t="s">
        <v>6485</v>
      </c>
      <c r="L1759" s="60">
        <v>68</v>
      </c>
    </row>
    <row r="1760" spans="1:26" ht="70" x14ac:dyDescent="0.15">
      <c r="A1760" s="166" t="s">
        <v>2479</v>
      </c>
      <c r="B1760" s="82" t="s">
        <v>2190</v>
      </c>
      <c r="C1760" s="70" t="s">
        <v>3636</v>
      </c>
      <c r="D1760" s="70" t="s">
        <v>3773</v>
      </c>
      <c r="E1760" s="70" t="s">
        <v>4076</v>
      </c>
      <c r="F1760" s="70" t="s">
        <v>3647</v>
      </c>
      <c r="G1760" s="70" t="s">
        <v>5462</v>
      </c>
      <c r="H1760" s="93"/>
      <c r="I1760" s="85">
        <f t="shared" si="65"/>
        <v>3.1139433523068369</v>
      </c>
      <c r="J1760" s="85">
        <v>1300</v>
      </c>
      <c r="K1760" s="131" t="s">
        <v>6485</v>
      </c>
      <c r="L1760" s="60">
        <v>68</v>
      </c>
    </row>
    <row r="1761" spans="1:14" ht="28" x14ac:dyDescent="0.15">
      <c r="A1761" s="166" t="s">
        <v>2479</v>
      </c>
      <c r="B1761" s="82" t="s">
        <v>5818</v>
      </c>
      <c r="C1761" s="70" t="s">
        <v>3636</v>
      </c>
      <c r="D1761" s="70" t="s">
        <v>3773</v>
      </c>
      <c r="E1761" s="70" t="s">
        <v>4076</v>
      </c>
      <c r="F1761" s="70" t="s">
        <v>3647</v>
      </c>
      <c r="G1761" s="70" t="s">
        <v>6442</v>
      </c>
      <c r="H1761" s="93"/>
      <c r="I1761" s="85">
        <f t="shared" si="65"/>
        <v>3.1877462697804595</v>
      </c>
      <c r="J1761" s="85">
        <f>AVERAGE(1300, 2300, 850, 1440, 1814)</f>
        <v>1540.8</v>
      </c>
      <c r="K1761" s="131"/>
      <c r="L1761" s="60" t="s">
        <v>1183</v>
      </c>
      <c r="M1761" s="33"/>
      <c r="N1761" s="37" t="s">
        <v>7463</v>
      </c>
    </row>
    <row r="1762" spans="1:14" ht="28" x14ac:dyDescent="0.15">
      <c r="A1762" s="166" t="s">
        <v>2479</v>
      </c>
      <c r="B1762" s="82"/>
      <c r="C1762" s="70" t="s">
        <v>3636</v>
      </c>
      <c r="D1762" s="70" t="s">
        <v>3773</v>
      </c>
      <c r="E1762" s="70" t="s">
        <v>4076</v>
      </c>
      <c r="F1762" s="70" t="s">
        <v>3647</v>
      </c>
      <c r="G1762" s="70" t="s">
        <v>6443</v>
      </c>
      <c r="H1762" s="93"/>
      <c r="I1762" s="85">
        <f t="shared" si="65"/>
        <v>3.3102683666324477</v>
      </c>
      <c r="J1762" s="85">
        <f>454*4.5</f>
        <v>2043</v>
      </c>
      <c r="K1762" s="131" t="s">
        <v>6654</v>
      </c>
      <c r="L1762" s="60">
        <v>131</v>
      </c>
      <c r="M1762" s="33" t="s">
        <v>6728</v>
      </c>
    </row>
    <row r="1763" spans="1:14" ht="84" x14ac:dyDescent="0.15">
      <c r="A1763" s="70" t="s">
        <v>2479</v>
      </c>
      <c r="B1763" s="82" t="s">
        <v>2306</v>
      </c>
      <c r="C1763" s="70" t="s">
        <v>3636</v>
      </c>
      <c r="D1763" s="70" t="s">
        <v>3773</v>
      </c>
      <c r="E1763" s="70" t="s">
        <v>4076</v>
      </c>
      <c r="F1763" s="70" t="s">
        <v>3647</v>
      </c>
      <c r="G1763" s="70" t="s">
        <v>5181</v>
      </c>
      <c r="H1763" s="93"/>
      <c r="I1763" s="85">
        <f t="shared" si="65"/>
        <v>3.3979400086720375</v>
      </c>
      <c r="J1763" s="85">
        <v>2500</v>
      </c>
      <c r="K1763" s="131" t="s">
        <v>6485</v>
      </c>
      <c r="L1763" s="60">
        <v>68</v>
      </c>
    </row>
    <row r="1764" spans="1:14" ht="70" x14ac:dyDescent="0.15">
      <c r="A1764" s="166" t="s">
        <v>2479</v>
      </c>
      <c r="B1764" s="82" t="s">
        <v>5830</v>
      </c>
      <c r="C1764" s="70" t="s">
        <v>3636</v>
      </c>
      <c r="D1764" s="70" t="s">
        <v>3773</v>
      </c>
      <c r="E1764" s="70" t="s">
        <v>4076</v>
      </c>
      <c r="F1764" s="70" t="s">
        <v>3522</v>
      </c>
      <c r="G1764" s="70" t="s">
        <v>3523</v>
      </c>
      <c r="H1764" s="93"/>
      <c r="I1764" s="85">
        <f t="shared" si="65"/>
        <v>4.1139433523068369</v>
      </c>
      <c r="J1764" s="85">
        <v>13000</v>
      </c>
      <c r="K1764" s="131" t="s">
        <v>6485</v>
      </c>
      <c r="L1764" s="60">
        <v>68</v>
      </c>
    </row>
    <row r="1765" spans="1:14" ht="14" x14ac:dyDescent="0.15">
      <c r="A1765" s="70" t="s">
        <v>2479</v>
      </c>
      <c r="B1765" s="82"/>
      <c r="C1765" s="70" t="s">
        <v>3636</v>
      </c>
      <c r="D1765" s="70" t="s">
        <v>3773</v>
      </c>
      <c r="E1765" s="70" t="s">
        <v>4076</v>
      </c>
      <c r="F1765" s="70" t="s">
        <v>3175</v>
      </c>
      <c r="G1765" s="70" t="s">
        <v>4078</v>
      </c>
      <c r="H1765" s="93"/>
      <c r="I1765" s="85">
        <f t="shared" si="65"/>
        <v>3.9542425094393248</v>
      </c>
      <c r="J1765" s="85">
        <f>AVERAGE(8000, 10000)</f>
        <v>9000</v>
      </c>
      <c r="K1765" s="131" t="s">
        <v>3177</v>
      </c>
      <c r="L1765" s="60">
        <v>115</v>
      </c>
      <c r="M1765" s="33"/>
    </row>
    <row r="1766" spans="1:14" ht="14" x14ac:dyDescent="0.15">
      <c r="A1766" s="70" t="s">
        <v>2479</v>
      </c>
      <c r="B1766" s="82"/>
      <c r="C1766" s="70" t="s">
        <v>3636</v>
      </c>
      <c r="D1766" s="70" t="s">
        <v>3773</v>
      </c>
      <c r="E1766" s="70" t="s">
        <v>4076</v>
      </c>
      <c r="F1766" s="70" t="s">
        <v>3267</v>
      </c>
      <c r="G1766" s="70" t="s">
        <v>6503</v>
      </c>
      <c r="H1766" s="93"/>
      <c r="I1766" s="85">
        <f t="shared" si="65"/>
        <v>2.9724342769573653</v>
      </c>
      <c r="J1766" s="85">
        <f>AVERAGE(800, 1600, 573, 781)</f>
        <v>938.5</v>
      </c>
      <c r="K1766" s="131" t="s">
        <v>6607</v>
      </c>
      <c r="L1766" s="60">
        <v>101</v>
      </c>
    </row>
    <row r="1767" spans="1:14" ht="14" x14ac:dyDescent="0.15">
      <c r="A1767" s="70" t="s">
        <v>2479</v>
      </c>
      <c r="B1767" s="82"/>
      <c r="C1767" s="70" t="s">
        <v>3636</v>
      </c>
      <c r="D1767" s="70" t="s">
        <v>3773</v>
      </c>
      <c r="E1767" s="70" t="s">
        <v>4076</v>
      </c>
      <c r="F1767" s="70" t="s">
        <v>3267</v>
      </c>
      <c r="G1767" s="70" t="s">
        <v>3223</v>
      </c>
      <c r="H1767" s="93"/>
      <c r="I1767" s="85">
        <f t="shared" si="65"/>
        <v>3.2310871205848226</v>
      </c>
      <c r="J1767" s="85">
        <f>454*3.75</f>
        <v>1702.5</v>
      </c>
      <c r="K1767" s="131" t="s">
        <v>3177</v>
      </c>
      <c r="L1767" s="60">
        <v>131</v>
      </c>
      <c r="M1767" s="33"/>
    </row>
    <row r="1768" spans="1:14" ht="16" x14ac:dyDescent="0.2">
      <c r="A1768" s="73" t="s">
        <v>2479</v>
      </c>
      <c r="B1768" s="82"/>
      <c r="C1768" s="70" t="s">
        <v>3636</v>
      </c>
      <c r="D1768" s="70" t="s">
        <v>3773</v>
      </c>
      <c r="E1768" s="70" t="s">
        <v>4076</v>
      </c>
      <c r="F1768" s="70" t="s">
        <v>4297</v>
      </c>
      <c r="G1768" s="70" t="s">
        <v>3625</v>
      </c>
      <c r="H1768" s="93"/>
      <c r="I1768" s="85">
        <f t="shared" si="65"/>
        <v>1.8878984880968723</v>
      </c>
      <c r="J1768" s="85">
        <f>AVERAGE(45, 60, 34, 170)</f>
        <v>77.25</v>
      </c>
      <c r="K1768" s="131"/>
      <c r="L1768" s="60" t="s">
        <v>5709</v>
      </c>
      <c r="M1768" s="47"/>
    </row>
    <row r="1769" spans="1:14" x14ac:dyDescent="0.15">
      <c r="A1769" s="70" t="s">
        <v>2479</v>
      </c>
      <c r="B1769" s="82"/>
      <c r="C1769" s="70" t="s">
        <v>3636</v>
      </c>
      <c r="D1769" s="70" t="s">
        <v>3773</v>
      </c>
      <c r="E1769" s="70" t="s">
        <v>4076</v>
      </c>
      <c r="F1769" s="70" t="s">
        <v>4297</v>
      </c>
      <c r="G1769" s="70" t="s">
        <v>3194</v>
      </c>
      <c r="H1769" s="93"/>
      <c r="I1769" s="85">
        <f t="shared" si="65"/>
        <v>2.2272437815030623</v>
      </c>
      <c r="J1769" s="85">
        <f>AVERAGE(125, 300, 95, 155)</f>
        <v>168.75</v>
      </c>
      <c r="K1769" s="131"/>
      <c r="L1769" s="60" t="s">
        <v>5709</v>
      </c>
      <c r="M1769" s="33"/>
    </row>
    <row r="1770" spans="1:14" ht="56" x14ac:dyDescent="0.15">
      <c r="A1770" s="70" t="s">
        <v>2479</v>
      </c>
      <c r="B1770" s="82" t="s">
        <v>2420</v>
      </c>
      <c r="C1770" s="70" t="s">
        <v>3636</v>
      </c>
      <c r="D1770" s="70" t="s">
        <v>3773</v>
      </c>
      <c r="E1770" s="70" t="s">
        <v>4076</v>
      </c>
      <c r="F1770" s="70" t="s">
        <v>4297</v>
      </c>
      <c r="G1770" s="70" t="s">
        <v>7946</v>
      </c>
      <c r="H1770" s="93"/>
      <c r="I1770" s="85">
        <f t="shared" si="65"/>
        <v>2.2329961103921536</v>
      </c>
      <c r="J1770" s="85">
        <v>171</v>
      </c>
      <c r="K1770" s="131" t="s">
        <v>6485</v>
      </c>
      <c r="L1770" s="60">
        <v>68</v>
      </c>
    </row>
    <row r="1771" spans="1:14" x14ac:dyDescent="0.15">
      <c r="A1771" s="70" t="s">
        <v>2479</v>
      </c>
      <c r="B1771" s="82"/>
      <c r="C1771" s="70" t="s">
        <v>3636</v>
      </c>
      <c r="D1771" s="70" t="s">
        <v>3773</v>
      </c>
      <c r="E1771" s="70" t="s">
        <v>4076</v>
      </c>
      <c r="F1771" s="70" t="s">
        <v>4297</v>
      </c>
      <c r="G1771" s="70" t="s">
        <v>2870</v>
      </c>
      <c r="H1771" s="93"/>
      <c r="I1771" s="85">
        <f t="shared" si="65"/>
        <v>2.3182372959878723</v>
      </c>
      <c r="J1771" s="85">
        <f>454*0.458333333</f>
        <v>208.08333318200002</v>
      </c>
      <c r="K1771" s="131"/>
      <c r="L1771" s="60">
        <v>131</v>
      </c>
      <c r="M1771" s="33"/>
    </row>
    <row r="1772" spans="1:14" ht="98" x14ac:dyDescent="0.2">
      <c r="A1772" s="70" t="s">
        <v>2479</v>
      </c>
      <c r="B1772" s="82" t="s">
        <v>2652</v>
      </c>
      <c r="C1772" s="70" t="s">
        <v>3636</v>
      </c>
      <c r="D1772" s="70" t="s">
        <v>3773</v>
      </c>
      <c r="E1772" s="70" t="s">
        <v>4076</v>
      </c>
      <c r="F1772" s="70" t="s">
        <v>4297</v>
      </c>
      <c r="G1772" s="70" t="s">
        <v>7949</v>
      </c>
      <c r="H1772" s="93"/>
      <c r="I1772" s="85">
        <f t="shared" si="65"/>
        <v>2.6074550232146687</v>
      </c>
      <c r="J1772" s="85">
        <v>405</v>
      </c>
      <c r="K1772" s="131" t="s">
        <v>6485</v>
      </c>
      <c r="L1772" s="60">
        <v>68</v>
      </c>
      <c r="M1772" s="47"/>
    </row>
    <row r="1773" spans="1:14" ht="56" x14ac:dyDescent="0.15">
      <c r="A1773" s="70" t="s">
        <v>2479</v>
      </c>
      <c r="B1773" s="82" t="s">
        <v>2472</v>
      </c>
      <c r="C1773" s="70" t="s">
        <v>3636</v>
      </c>
      <c r="D1773" s="70" t="s">
        <v>3773</v>
      </c>
      <c r="E1773" s="70" t="s">
        <v>4076</v>
      </c>
      <c r="F1773" s="70" t="s">
        <v>4297</v>
      </c>
      <c r="G1773" s="70" t="s">
        <v>7948</v>
      </c>
      <c r="H1773" s="93"/>
      <c r="I1773" s="85">
        <f t="shared" si="65"/>
        <v>2.6434526764861874</v>
      </c>
      <c r="J1773" s="85">
        <v>440</v>
      </c>
      <c r="K1773" s="131" t="s">
        <v>6260</v>
      </c>
      <c r="L1773" s="60">
        <v>68</v>
      </c>
      <c r="M1773" s="49" t="s">
        <v>6390</v>
      </c>
    </row>
    <row r="1774" spans="1:14" ht="14" x14ac:dyDescent="0.15">
      <c r="A1774" s="70" t="s">
        <v>2479</v>
      </c>
      <c r="B1774" s="82"/>
      <c r="C1774" s="70" t="s">
        <v>3636</v>
      </c>
      <c r="D1774" s="70" t="s">
        <v>3773</v>
      </c>
      <c r="E1774" s="70" t="s">
        <v>4076</v>
      </c>
      <c r="F1774" s="70" t="s">
        <v>4297</v>
      </c>
      <c r="G1774" s="70" t="s">
        <v>6440</v>
      </c>
      <c r="H1774" s="93"/>
      <c r="I1774" s="85">
        <f t="shared" ref="I1774:I1802" si="66">LOG(J1774)</f>
        <v>2.6989700043360187</v>
      </c>
      <c r="J1774" s="85">
        <v>500</v>
      </c>
      <c r="K1774" s="131" t="s">
        <v>3177</v>
      </c>
      <c r="L1774" s="60">
        <v>119</v>
      </c>
      <c r="M1774" s="33"/>
    </row>
    <row r="1775" spans="1:14" x14ac:dyDescent="0.15">
      <c r="A1775" s="70" t="s">
        <v>2479</v>
      </c>
      <c r="B1775" s="82"/>
      <c r="C1775" s="73" t="s">
        <v>3636</v>
      </c>
      <c r="D1775" s="73" t="s">
        <v>3773</v>
      </c>
      <c r="E1775" s="70" t="s">
        <v>4076</v>
      </c>
      <c r="F1775" s="73" t="s">
        <v>4297</v>
      </c>
      <c r="G1775" s="73" t="s">
        <v>3416</v>
      </c>
      <c r="H1775" s="108"/>
      <c r="I1775" s="85">
        <f t="shared" si="66"/>
        <v>2.8637688240294739</v>
      </c>
      <c r="J1775" s="95">
        <f>AVERAGE(500, 1200, 415, 808)</f>
        <v>730.75</v>
      </c>
      <c r="K1775" s="131"/>
      <c r="L1775" s="60" t="s">
        <v>5709</v>
      </c>
      <c r="M1775" s="33"/>
    </row>
    <row r="1776" spans="1:14" ht="56" x14ac:dyDescent="0.2">
      <c r="A1776" s="70" t="s">
        <v>2479</v>
      </c>
      <c r="B1776" s="82" t="s">
        <v>2499</v>
      </c>
      <c r="C1776" s="70" t="s">
        <v>3636</v>
      </c>
      <c r="D1776" s="70" t="s">
        <v>3773</v>
      </c>
      <c r="E1776" s="73" t="s">
        <v>4076</v>
      </c>
      <c r="F1776" s="70" t="s">
        <v>4297</v>
      </c>
      <c r="G1776" s="70" t="s">
        <v>7947</v>
      </c>
      <c r="H1776" s="93"/>
      <c r="I1776" s="85">
        <f t="shared" si="66"/>
        <v>3.1303337684950061</v>
      </c>
      <c r="J1776" s="85">
        <v>1350</v>
      </c>
      <c r="K1776" s="131" t="s">
        <v>6485</v>
      </c>
      <c r="L1776" s="60">
        <v>68</v>
      </c>
      <c r="M1776" s="47"/>
    </row>
    <row r="1777" spans="1:13" ht="28" x14ac:dyDescent="0.15">
      <c r="A1777" s="70" t="s">
        <v>2479</v>
      </c>
      <c r="B1777" s="82" t="s">
        <v>7481</v>
      </c>
      <c r="C1777" s="70" t="s">
        <v>3636</v>
      </c>
      <c r="D1777" s="70" t="s">
        <v>3773</v>
      </c>
      <c r="E1777" s="70" t="s">
        <v>4076</v>
      </c>
      <c r="F1777" s="70" t="s">
        <v>4297</v>
      </c>
      <c r="G1777" s="70" t="s">
        <v>4974</v>
      </c>
      <c r="H1777" s="93"/>
      <c r="I1777" s="85">
        <f t="shared" si="66"/>
        <v>3.1760912590556813</v>
      </c>
      <c r="J1777" s="85">
        <f>AVERAGE(1000, 2000)</f>
        <v>1500</v>
      </c>
      <c r="K1777" s="131" t="s">
        <v>3177</v>
      </c>
      <c r="L1777" s="60">
        <v>60</v>
      </c>
      <c r="M1777" s="33" t="s">
        <v>6390</v>
      </c>
    </row>
    <row r="1778" spans="1:13" ht="70" x14ac:dyDescent="0.15">
      <c r="A1778" s="70" t="s">
        <v>2479</v>
      </c>
      <c r="B1778" s="82" t="s">
        <v>1958</v>
      </c>
      <c r="C1778" s="70" t="s">
        <v>3636</v>
      </c>
      <c r="D1778" s="70" t="s">
        <v>3773</v>
      </c>
      <c r="E1778" s="70" t="s">
        <v>4076</v>
      </c>
      <c r="F1778" s="70" t="s">
        <v>7950</v>
      </c>
      <c r="G1778" s="70" t="s">
        <v>3292</v>
      </c>
      <c r="H1778" s="93"/>
      <c r="I1778" s="85">
        <f t="shared" si="66"/>
        <v>2.6535835471015452</v>
      </c>
      <c r="J1778" s="99">
        <f>AVERAGE(330, 520, 317, 295, 610, 715, 450, 600, 320, 493, 275, 310, 620)</f>
        <v>450.38461538461536</v>
      </c>
      <c r="K1778" s="131"/>
      <c r="L1778" s="60">
        <v>272</v>
      </c>
    </row>
    <row r="1779" spans="1:13" ht="70" x14ac:dyDescent="0.15">
      <c r="A1779" s="73" t="s">
        <v>2479</v>
      </c>
      <c r="B1779" s="82" t="s">
        <v>2175</v>
      </c>
      <c r="C1779" s="70" t="s">
        <v>3636</v>
      </c>
      <c r="D1779" s="70" t="s">
        <v>3773</v>
      </c>
      <c r="E1779" s="70" t="s">
        <v>3351</v>
      </c>
      <c r="F1779" s="70" t="s">
        <v>3293</v>
      </c>
      <c r="G1779" s="70" t="s">
        <v>6323</v>
      </c>
      <c r="H1779" s="93"/>
      <c r="I1779" s="85">
        <f t="shared" si="66"/>
        <v>5.9164539485499255</v>
      </c>
      <c r="J1779" s="85">
        <v>825000</v>
      </c>
      <c r="K1779" s="131" t="s">
        <v>6485</v>
      </c>
      <c r="L1779" s="60">
        <v>68</v>
      </c>
    </row>
    <row r="1780" spans="1:13" ht="42" x14ac:dyDescent="0.2">
      <c r="A1780" s="70" t="s">
        <v>2479</v>
      </c>
      <c r="B1780" s="82" t="s">
        <v>4468</v>
      </c>
      <c r="C1780" s="70" t="s">
        <v>3636</v>
      </c>
      <c r="D1780" s="70" t="s">
        <v>3773</v>
      </c>
      <c r="E1780" s="70" t="s">
        <v>4286</v>
      </c>
      <c r="F1780" s="70" t="s">
        <v>3291</v>
      </c>
      <c r="G1780" s="70" t="s">
        <v>4653</v>
      </c>
      <c r="H1780" s="93"/>
      <c r="I1780" s="85">
        <f t="shared" si="66"/>
        <v>5.4913616938342731</v>
      </c>
      <c r="J1780" s="85">
        <v>310000</v>
      </c>
      <c r="K1780" s="131" t="s">
        <v>6309</v>
      </c>
      <c r="L1780" s="60">
        <v>68</v>
      </c>
      <c r="M1780" s="47" t="s">
        <v>6390</v>
      </c>
    </row>
    <row r="1781" spans="1:13" ht="98" x14ac:dyDescent="0.2">
      <c r="A1781" s="70" t="s">
        <v>2479</v>
      </c>
      <c r="B1781" s="82" t="s">
        <v>5980</v>
      </c>
      <c r="C1781" s="70" t="s">
        <v>3636</v>
      </c>
      <c r="D1781" s="70" t="s">
        <v>3773</v>
      </c>
      <c r="E1781" s="70" t="s">
        <v>4431</v>
      </c>
      <c r="F1781" s="70" t="s">
        <v>5869</v>
      </c>
      <c r="G1781" s="70" t="s">
        <v>2354</v>
      </c>
      <c r="H1781" s="93"/>
      <c r="I1781" s="85">
        <f t="shared" si="66"/>
        <v>5.5740312677277188</v>
      </c>
      <c r="J1781" s="85">
        <f>AVERAGE(350000, 400000)</f>
        <v>375000</v>
      </c>
      <c r="K1781" s="131"/>
      <c r="L1781" s="60">
        <v>111</v>
      </c>
      <c r="M1781" s="47"/>
    </row>
    <row r="1782" spans="1:13" ht="84" x14ac:dyDescent="0.15">
      <c r="A1782" s="73" t="s">
        <v>2479</v>
      </c>
      <c r="B1782" s="82" t="s">
        <v>5909</v>
      </c>
      <c r="C1782" s="70" t="s">
        <v>3636</v>
      </c>
      <c r="D1782" s="70" t="s">
        <v>3773</v>
      </c>
      <c r="E1782" s="70" t="s">
        <v>4431</v>
      </c>
      <c r="F1782" s="70" t="s">
        <v>6010</v>
      </c>
      <c r="G1782" s="70" t="s">
        <v>6011</v>
      </c>
      <c r="H1782" s="93"/>
      <c r="I1782" s="85">
        <f t="shared" si="66"/>
        <v>5.4471580313422194</v>
      </c>
      <c r="J1782" s="85">
        <v>280000</v>
      </c>
      <c r="K1782" s="131" t="s">
        <v>6485</v>
      </c>
      <c r="L1782" s="60">
        <v>68</v>
      </c>
    </row>
    <row r="1783" spans="1:13" ht="84" x14ac:dyDescent="0.15">
      <c r="A1783" s="70" t="s">
        <v>2479</v>
      </c>
      <c r="B1783" s="82" t="s">
        <v>2451</v>
      </c>
      <c r="C1783" s="70" t="s">
        <v>3636</v>
      </c>
      <c r="D1783" s="70" t="s">
        <v>3773</v>
      </c>
      <c r="E1783" s="70" t="s">
        <v>4431</v>
      </c>
      <c r="F1783" s="70" t="s">
        <v>5866</v>
      </c>
      <c r="G1783" s="70" t="s">
        <v>5867</v>
      </c>
      <c r="H1783" s="93"/>
      <c r="I1783" s="85">
        <f t="shared" si="66"/>
        <v>5.1977408041873305</v>
      </c>
      <c r="J1783" s="85">
        <v>157667</v>
      </c>
      <c r="K1783" s="131" t="s">
        <v>6485</v>
      </c>
      <c r="L1783" s="60">
        <v>68</v>
      </c>
    </row>
    <row r="1784" spans="1:13" ht="56" x14ac:dyDescent="0.15">
      <c r="A1784" s="70" t="s">
        <v>2479</v>
      </c>
      <c r="B1784" s="82" t="s">
        <v>2402</v>
      </c>
      <c r="C1784" s="70" t="s">
        <v>3636</v>
      </c>
      <c r="D1784" s="70" t="s">
        <v>3773</v>
      </c>
      <c r="E1784" s="70" t="s">
        <v>4431</v>
      </c>
      <c r="F1784" s="70" t="s">
        <v>7645</v>
      </c>
      <c r="G1784" s="70" t="s">
        <v>6907</v>
      </c>
      <c r="H1784" s="93"/>
      <c r="I1784" s="85">
        <f t="shared" si="66"/>
        <v>5.4913616938342731</v>
      </c>
      <c r="J1784" s="85">
        <f>AVERAGE(300000, 320000)</f>
        <v>310000</v>
      </c>
      <c r="K1784" s="131" t="s">
        <v>6675</v>
      </c>
      <c r="L1784" s="60">
        <v>11</v>
      </c>
      <c r="M1784" s="49" t="s">
        <v>6809</v>
      </c>
    </row>
    <row r="1785" spans="1:13" ht="14" x14ac:dyDescent="0.15">
      <c r="A1785" s="70" t="s">
        <v>2479</v>
      </c>
      <c r="B1785" s="82" t="s">
        <v>5916</v>
      </c>
      <c r="C1785" s="70" t="s">
        <v>3636</v>
      </c>
      <c r="D1785" s="70" t="s">
        <v>3773</v>
      </c>
      <c r="E1785" s="70" t="s">
        <v>4431</v>
      </c>
      <c r="F1785" s="70" t="s">
        <v>7646</v>
      </c>
      <c r="G1785" s="70" t="s">
        <v>7647</v>
      </c>
      <c r="H1785" s="93"/>
      <c r="I1785" s="85">
        <f t="shared" si="66"/>
        <v>4.9344984512435675</v>
      </c>
      <c r="J1785" s="85">
        <v>86000</v>
      </c>
      <c r="K1785" s="131" t="s">
        <v>6391</v>
      </c>
      <c r="L1785" s="60">
        <v>68</v>
      </c>
      <c r="M1785" s="49" t="s">
        <v>6728</v>
      </c>
    </row>
    <row r="1786" spans="1:13" ht="28" x14ac:dyDescent="0.15">
      <c r="A1786" s="70" t="s">
        <v>2479</v>
      </c>
      <c r="B1786" s="82" t="s">
        <v>2534</v>
      </c>
      <c r="C1786" s="70" t="s">
        <v>3636</v>
      </c>
      <c r="D1786" s="70" t="s">
        <v>3773</v>
      </c>
      <c r="E1786" s="70" t="s">
        <v>4431</v>
      </c>
      <c r="F1786" s="70" t="s">
        <v>7646</v>
      </c>
      <c r="G1786" s="70" t="s">
        <v>7648</v>
      </c>
      <c r="H1786" s="93"/>
      <c r="I1786" s="85">
        <f t="shared" si="66"/>
        <v>4.9542425094393252</v>
      </c>
      <c r="J1786" s="85">
        <v>90000</v>
      </c>
      <c r="K1786" s="131" t="s">
        <v>6485</v>
      </c>
      <c r="L1786" s="60">
        <v>68</v>
      </c>
    </row>
    <row r="1787" spans="1:13" ht="28" x14ac:dyDescent="0.15">
      <c r="A1787" s="70" t="s">
        <v>2479</v>
      </c>
      <c r="B1787" s="82" t="s">
        <v>2352</v>
      </c>
      <c r="C1787" s="70" t="s">
        <v>3636</v>
      </c>
      <c r="D1787" s="70" t="s">
        <v>3773</v>
      </c>
      <c r="E1787" s="70" t="s">
        <v>4431</v>
      </c>
      <c r="F1787" s="70" t="s">
        <v>7646</v>
      </c>
      <c r="G1787" s="70" t="s">
        <v>7949</v>
      </c>
      <c r="H1787" s="93"/>
      <c r="I1787" s="85">
        <f t="shared" si="66"/>
        <v>4.9542425094393252</v>
      </c>
      <c r="J1787" s="85">
        <v>90000</v>
      </c>
      <c r="K1787" s="131" t="s">
        <v>4459</v>
      </c>
      <c r="L1787" s="60">
        <v>68</v>
      </c>
      <c r="M1787" s="49" t="s">
        <v>6392</v>
      </c>
    </row>
    <row r="1788" spans="1:13" ht="14" x14ac:dyDescent="0.15">
      <c r="A1788" s="70" t="s">
        <v>2479</v>
      </c>
      <c r="B1788" s="93" t="s">
        <v>2533</v>
      </c>
      <c r="C1788" s="70" t="s">
        <v>3636</v>
      </c>
      <c r="D1788" s="70" t="s">
        <v>3773</v>
      </c>
      <c r="E1788" s="70" t="s">
        <v>4431</v>
      </c>
      <c r="F1788" s="70" t="s">
        <v>7646</v>
      </c>
      <c r="G1788" s="70" t="s">
        <v>5147</v>
      </c>
      <c r="H1788" s="93"/>
      <c r="I1788" s="85">
        <f t="shared" si="66"/>
        <v>4.9585638832219674</v>
      </c>
      <c r="J1788" s="85">
        <v>90900</v>
      </c>
      <c r="K1788" s="131" t="s">
        <v>6485</v>
      </c>
      <c r="L1788" s="60">
        <v>68</v>
      </c>
    </row>
    <row r="1789" spans="1:13" ht="126" x14ac:dyDescent="0.2">
      <c r="A1789" s="70" t="s">
        <v>2479</v>
      </c>
      <c r="B1789" s="82" t="s">
        <v>2491</v>
      </c>
      <c r="C1789" s="70" t="s">
        <v>3636</v>
      </c>
      <c r="D1789" s="70" t="s">
        <v>3773</v>
      </c>
      <c r="E1789" s="70" t="s">
        <v>4431</v>
      </c>
      <c r="F1789" s="70" t="s">
        <v>7646</v>
      </c>
      <c r="G1789" s="70" t="s">
        <v>5148</v>
      </c>
      <c r="H1789" s="93"/>
      <c r="I1789" s="85">
        <f t="shared" si="66"/>
        <v>5</v>
      </c>
      <c r="J1789" s="85">
        <v>100000</v>
      </c>
      <c r="K1789" s="131" t="s">
        <v>6485</v>
      </c>
      <c r="L1789" s="60">
        <v>68</v>
      </c>
      <c r="M1789" s="47"/>
    </row>
    <row r="1790" spans="1:13" ht="42" x14ac:dyDescent="0.15">
      <c r="A1790" s="70" t="s">
        <v>2479</v>
      </c>
      <c r="B1790" s="82" t="s">
        <v>2351</v>
      </c>
      <c r="C1790" s="70" t="s">
        <v>3636</v>
      </c>
      <c r="D1790" s="70" t="s">
        <v>3773</v>
      </c>
      <c r="E1790" s="70" t="s">
        <v>4431</v>
      </c>
      <c r="F1790" s="70" t="s">
        <v>7646</v>
      </c>
      <c r="G1790" s="70" t="s">
        <v>5146</v>
      </c>
      <c r="H1790" s="93"/>
      <c r="I1790" s="85">
        <f t="shared" si="66"/>
        <v>5.0791812460476251</v>
      </c>
      <c r="J1790" s="85">
        <v>120000</v>
      </c>
      <c r="K1790" s="131" t="s">
        <v>6485</v>
      </c>
      <c r="L1790" s="60">
        <v>68</v>
      </c>
    </row>
    <row r="1791" spans="1:13" ht="28" x14ac:dyDescent="0.15">
      <c r="A1791" s="70" t="s">
        <v>2479</v>
      </c>
      <c r="B1791" s="93" t="s">
        <v>7285</v>
      </c>
      <c r="C1791" s="70" t="s">
        <v>3636</v>
      </c>
      <c r="D1791" s="70" t="s">
        <v>3773</v>
      </c>
      <c r="E1791" s="70" t="s">
        <v>4431</v>
      </c>
      <c r="F1791" s="70" t="s">
        <v>7646</v>
      </c>
      <c r="G1791" s="70" t="s">
        <v>5743</v>
      </c>
      <c r="H1791" s="93"/>
      <c r="I1791" s="85">
        <f t="shared" si="66"/>
        <v>5.1760912590556813</v>
      </c>
      <c r="J1791" s="85">
        <v>150000</v>
      </c>
      <c r="K1791" s="131" t="s">
        <v>3177</v>
      </c>
      <c r="L1791" s="60">
        <v>137</v>
      </c>
      <c r="M1791" s="33"/>
    </row>
    <row r="1792" spans="1:13" ht="42" x14ac:dyDescent="0.15">
      <c r="A1792" s="73" t="s">
        <v>2479</v>
      </c>
      <c r="B1792" s="82" t="s">
        <v>1902</v>
      </c>
      <c r="C1792" s="70" t="s">
        <v>3636</v>
      </c>
      <c r="D1792" s="70" t="s">
        <v>3773</v>
      </c>
      <c r="E1792" s="70" t="s">
        <v>7167</v>
      </c>
      <c r="F1792" s="70" t="s">
        <v>5149</v>
      </c>
      <c r="G1792" s="70" t="s">
        <v>5153</v>
      </c>
      <c r="H1792" s="93"/>
      <c r="I1792" s="85">
        <f t="shared" si="66"/>
        <v>5.0350292822023679</v>
      </c>
      <c r="J1792" s="85">
        <v>108400</v>
      </c>
      <c r="K1792" s="131" t="s">
        <v>1601</v>
      </c>
      <c r="L1792" s="60">
        <v>68</v>
      </c>
      <c r="M1792" s="33" t="s">
        <v>6390</v>
      </c>
    </row>
    <row r="1793" spans="1:15" ht="42" x14ac:dyDescent="0.15">
      <c r="A1793" s="73" t="s">
        <v>2479</v>
      </c>
      <c r="B1793" s="96" t="s">
        <v>1903</v>
      </c>
      <c r="C1793" s="70" t="s">
        <v>3636</v>
      </c>
      <c r="D1793" s="70" t="s">
        <v>3773</v>
      </c>
      <c r="E1793" s="70" t="s">
        <v>7167</v>
      </c>
      <c r="F1793" s="70" t="s">
        <v>5154</v>
      </c>
      <c r="G1793" s="70" t="s">
        <v>5155</v>
      </c>
      <c r="H1793" s="93"/>
      <c r="I1793" s="85">
        <f t="shared" si="66"/>
        <v>3.6901960800285138</v>
      </c>
      <c r="J1793" s="85">
        <v>4900</v>
      </c>
      <c r="K1793" s="131" t="s">
        <v>1413</v>
      </c>
      <c r="L1793" s="60">
        <v>68</v>
      </c>
      <c r="M1793" s="33" t="s">
        <v>6390</v>
      </c>
    </row>
    <row r="1794" spans="1:15" ht="84" x14ac:dyDescent="0.15">
      <c r="A1794" s="70" t="s">
        <v>2479</v>
      </c>
      <c r="B1794" s="82" t="s">
        <v>2607</v>
      </c>
      <c r="C1794" s="70" t="s">
        <v>3636</v>
      </c>
      <c r="D1794" s="70" t="s">
        <v>3773</v>
      </c>
      <c r="E1794" s="70" t="s">
        <v>7167</v>
      </c>
      <c r="F1794" s="70" t="s">
        <v>5156</v>
      </c>
      <c r="G1794" s="70" t="s">
        <v>5157</v>
      </c>
      <c r="H1794" s="93"/>
      <c r="I1794" s="85">
        <f t="shared" si="66"/>
        <v>4.6627578316815743</v>
      </c>
      <c r="J1794" s="85">
        <v>46000</v>
      </c>
      <c r="K1794" s="131" t="s">
        <v>6817</v>
      </c>
      <c r="L1794" s="60">
        <v>68</v>
      </c>
      <c r="M1794" s="33" t="s">
        <v>6727</v>
      </c>
    </row>
    <row r="1795" spans="1:15" ht="42" x14ac:dyDescent="0.2">
      <c r="A1795" s="73" t="s">
        <v>2479</v>
      </c>
      <c r="B1795" s="82" t="s">
        <v>5926</v>
      </c>
      <c r="C1795" s="70" t="s">
        <v>3636</v>
      </c>
      <c r="D1795" s="70" t="s">
        <v>3773</v>
      </c>
      <c r="E1795" s="70" t="s">
        <v>7167</v>
      </c>
      <c r="F1795" s="70" t="s">
        <v>5158</v>
      </c>
      <c r="G1795" s="70" t="s">
        <v>4288</v>
      </c>
      <c r="H1795" s="93"/>
      <c r="I1795" s="85">
        <f t="shared" si="66"/>
        <v>5</v>
      </c>
      <c r="J1795" s="85">
        <v>100000</v>
      </c>
      <c r="K1795" s="131" t="s">
        <v>6817</v>
      </c>
      <c r="L1795" s="60">
        <v>68</v>
      </c>
      <c r="M1795" s="47" t="s">
        <v>6728</v>
      </c>
    </row>
    <row r="1796" spans="1:15" ht="70" x14ac:dyDescent="0.15">
      <c r="A1796" s="70" t="s">
        <v>2479</v>
      </c>
      <c r="B1796" s="82" t="s">
        <v>2157</v>
      </c>
      <c r="C1796" s="70" t="s">
        <v>3636</v>
      </c>
      <c r="D1796" s="70" t="s">
        <v>3773</v>
      </c>
      <c r="E1796" s="70" t="s">
        <v>7167</v>
      </c>
      <c r="F1796" s="70" t="s">
        <v>7168</v>
      </c>
      <c r="G1796" s="70" t="s">
        <v>7702</v>
      </c>
      <c r="H1796" s="93"/>
      <c r="I1796" s="85">
        <f t="shared" si="66"/>
        <v>4.8893017025063106</v>
      </c>
      <c r="J1796" s="85">
        <v>77500</v>
      </c>
      <c r="K1796" s="131" t="s">
        <v>6817</v>
      </c>
      <c r="L1796" s="60">
        <v>68</v>
      </c>
      <c r="M1796" s="33" t="s">
        <v>6728</v>
      </c>
    </row>
    <row r="1797" spans="1:15" ht="14" x14ac:dyDescent="0.15">
      <c r="A1797" s="70" t="s">
        <v>2479</v>
      </c>
      <c r="B1797" s="82"/>
      <c r="C1797" s="70" t="s">
        <v>3636</v>
      </c>
      <c r="D1797" s="70" t="s">
        <v>3773</v>
      </c>
      <c r="E1797" s="70" t="s">
        <v>7167</v>
      </c>
      <c r="F1797" s="70" t="s">
        <v>7168</v>
      </c>
      <c r="G1797" s="70" t="s">
        <v>7169</v>
      </c>
      <c r="H1797" s="93"/>
      <c r="I1797" s="85">
        <f t="shared" si="66"/>
        <v>5.345569756056392</v>
      </c>
      <c r="J1797" s="85">
        <f>AVERAGE(105000, 265000, 248000, 190000, 300000)</f>
        <v>221600</v>
      </c>
      <c r="K1797" s="131"/>
      <c r="L1797" s="60" t="s">
        <v>7461</v>
      </c>
      <c r="M1797" s="33"/>
      <c r="N1797" s="37" t="s">
        <v>7462</v>
      </c>
    </row>
    <row r="1798" spans="1:15" ht="28" x14ac:dyDescent="0.2">
      <c r="A1798" s="70" t="s">
        <v>2479</v>
      </c>
      <c r="B1798" s="82"/>
      <c r="C1798" s="70" t="s">
        <v>3636</v>
      </c>
      <c r="D1798" s="70" t="s">
        <v>3773</v>
      </c>
      <c r="E1798" s="70" t="s">
        <v>7167</v>
      </c>
      <c r="F1798" s="70" t="s">
        <v>7168</v>
      </c>
      <c r="G1798" s="70" t="s">
        <v>7170</v>
      </c>
      <c r="H1798" s="93"/>
      <c r="I1798" s="85">
        <f t="shared" si="66"/>
        <v>5.6283889300503116</v>
      </c>
      <c r="J1798" s="85">
        <f>AVERAGE(400000, 450000)</f>
        <v>425000</v>
      </c>
      <c r="K1798" s="131" t="s">
        <v>6696</v>
      </c>
      <c r="L1798" s="60">
        <v>111</v>
      </c>
      <c r="M1798" s="33" t="s">
        <v>6392</v>
      </c>
      <c r="N1798" s="48"/>
    </row>
    <row r="1799" spans="1:15" ht="56" x14ac:dyDescent="0.15">
      <c r="A1799" s="70" t="s">
        <v>2479</v>
      </c>
      <c r="B1799" s="82" t="s">
        <v>2287</v>
      </c>
      <c r="C1799" s="70" t="s">
        <v>3636</v>
      </c>
      <c r="D1799" s="70" t="s">
        <v>3773</v>
      </c>
      <c r="E1799" s="70" t="s">
        <v>4725</v>
      </c>
      <c r="F1799" s="70" t="s">
        <v>7703</v>
      </c>
      <c r="G1799" s="70" t="s">
        <v>7704</v>
      </c>
      <c r="H1799" s="93"/>
      <c r="I1799" s="85">
        <f t="shared" si="66"/>
        <v>4.1139433523068369</v>
      </c>
      <c r="J1799" s="85">
        <v>13000</v>
      </c>
      <c r="K1799" s="131" t="s">
        <v>6485</v>
      </c>
      <c r="L1799" s="60">
        <v>68</v>
      </c>
      <c r="O1799" s="51"/>
    </row>
    <row r="1800" spans="1:15" ht="42" x14ac:dyDescent="0.2">
      <c r="A1800" s="70" t="s">
        <v>2479</v>
      </c>
      <c r="B1800" s="82" t="s">
        <v>2655</v>
      </c>
      <c r="C1800" s="70" t="s">
        <v>3636</v>
      </c>
      <c r="D1800" s="70" t="s">
        <v>3773</v>
      </c>
      <c r="E1800" s="70" t="s">
        <v>4725</v>
      </c>
      <c r="F1800" s="70" t="s">
        <v>5415</v>
      </c>
      <c r="G1800" s="70" t="s">
        <v>3607</v>
      </c>
      <c r="H1800" s="93"/>
      <c r="I1800" s="85">
        <f t="shared" si="66"/>
        <v>3.3521825181113627</v>
      </c>
      <c r="J1800" s="85">
        <v>2250</v>
      </c>
      <c r="K1800" s="131" t="s">
        <v>6485</v>
      </c>
      <c r="L1800" s="60">
        <v>68</v>
      </c>
      <c r="M1800" s="47"/>
    </row>
    <row r="1801" spans="1:15" ht="14" x14ac:dyDescent="0.15">
      <c r="A1801" s="70" t="s">
        <v>2479</v>
      </c>
      <c r="B1801" s="82" t="s">
        <v>4867</v>
      </c>
      <c r="C1801" s="70" t="s">
        <v>3636</v>
      </c>
      <c r="D1801" s="70" t="s">
        <v>3773</v>
      </c>
      <c r="E1801" s="70" t="s">
        <v>4725</v>
      </c>
      <c r="F1801" s="70" t="s">
        <v>5416</v>
      </c>
      <c r="G1801" s="70" t="s">
        <v>5417</v>
      </c>
      <c r="H1801" s="93"/>
      <c r="I1801" s="85">
        <f t="shared" si="66"/>
        <v>3.5118833609788744</v>
      </c>
      <c r="J1801" s="85">
        <v>3250</v>
      </c>
      <c r="K1801" s="131" t="s">
        <v>6817</v>
      </c>
      <c r="L1801" s="60">
        <v>68</v>
      </c>
      <c r="M1801" s="49" t="s">
        <v>6728</v>
      </c>
    </row>
    <row r="1802" spans="1:15" ht="14" x14ac:dyDescent="0.15">
      <c r="A1802" s="166" t="s">
        <v>2479</v>
      </c>
      <c r="B1802" s="93" t="s">
        <v>2979</v>
      </c>
      <c r="C1802" s="70" t="s">
        <v>3636</v>
      </c>
      <c r="D1802" s="70" t="s">
        <v>3773</v>
      </c>
      <c r="E1802" s="70" t="s">
        <v>4725</v>
      </c>
      <c r="F1802" s="70" t="s">
        <v>6427</v>
      </c>
      <c r="G1802" s="70" t="s">
        <v>5544</v>
      </c>
      <c r="H1802" s="93"/>
      <c r="I1802" s="85">
        <f t="shared" si="66"/>
        <v>3.6532125137753435</v>
      </c>
      <c r="J1802" s="85">
        <f>AVERAGE(3500, 5500)</f>
        <v>4500</v>
      </c>
      <c r="K1802" s="131" t="s">
        <v>6817</v>
      </c>
      <c r="L1802" s="60">
        <v>119</v>
      </c>
      <c r="M1802" s="49" t="s">
        <v>6390</v>
      </c>
    </row>
    <row r="1803" spans="1:15" ht="14" x14ac:dyDescent="0.15">
      <c r="A1803" s="166" t="s">
        <v>2479</v>
      </c>
      <c r="B1803" s="93" t="s">
        <v>2209</v>
      </c>
      <c r="C1803" s="70" t="s">
        <v>3636</v>
      </c>
      <c r="D1803" s="70" t="s">
        <v>3773</v>
      </c>
      <c r="E1803" s="70" t="s">
        <v>4725</v>
      </c>
      <c r="F1803" s="70" t="s">
        <v>2871</v>
      </c>
      <c r="G1803" s="70" t="s">
        <v>5447</v>
      </c>
      <c r="H1803" s="93"/>
      <c r="I1803" s="85">
        <v>-999</v>
      </c>
      <c r="J1803" s="85">
        <v>-999</v>
      </c>
      <c r="K1803" s="131" t="s">
        <v>6391</v>
      </c>
      <c r="L1803" s="60">
        <v>-999</v>
      </c>
      <c r="M1803" s="49" t="s">
        <v>6728</v>
      </c>
    </row>
    <row r="1804" spans="1:15" ht="14" x14ac:dyDescent="0.15">
      <c r="A1804" s="70" t="s">
        <v>2479</v>
      </c>
      <c r="B1804" s="82"/>
      <c r="C1804" s="70" t="s">
        <v>3636</v>
      </c>
      <c r="D1804" s="70" t="s">
        <v>3773</v>
      </c>
      <c r="E1804" s="70" t="s">
        <v>4725</v>
      </c>
      <c r="F1804" s="70" t="s">
        <v>2029</v>
      </c>
      <c r="G1804" s="70" t="s">
        <v>4729</v>
      </c>
      <c r="H1804" s="93"/>
      <c r="I1804" s="85">
        <f t="shared" ref="I1804:I1829" si="67">LOG(J1804)</f>
        <v>3.2041199826559246</v>
      </c>
      <c r="J1804" s="85">
        <f>AVERAGE(1000, 2200)</f>
        <v>1600</v>
      </c>
      <c r="K1804" s="131" t="s">
        <v>1394</v>
      </c>
      <c r="L1804" s="60">
        <v>111</v>
      </c>
      <c r="M1804" s="33"/>
    </row>
    <row r="1805" spans="1:15" ht="28" x14ac:dyDescent="0.15">
      <c r="A1805" s="70" t="s">
        <v>2479</v>
      </c>
      <c r="B1805" s="93" t="s">
        <v>2342</v>
      </c>
      <c r="C1805" s="70" t="s">
        <v>3636</v>
      </c>
      <c r="D1805" s="70" t="s">
        <v>3773</v>
      </c>
      <c r="E1805" s="70" t="s">
        <v>4725</v>
      </c>
      <c r="F1805" s="70" t="s">
        <v>5524</v>
      </c>
      <c r="G1805" s="70" t="s">
        <v>6447</v>
      </c>
      <c r="H1805" s="93"/>
      <c r="I1805" s="85">
        <f t="shared" si="67"/>
        <v>3.3979400086720375</v>
      </c>
      <c r="J1805" s="85">
        <v>2500</v>
      </c>
      <c r="K1805" s="131" t="s">
        <v>3177</v>
      </c>
      <c r="L1805" s="60">
        <v>119</v>
      </c>
    </row>
    <row r="1806" spans="1:15" ht="154" x14ac:dyDescent="0.15">
      <c r="A1806" s="70" t="s">
        <v>2479</v>
      </c>
      <c r="B1806" s="82" t="s">
        <v>2517</v>
      </c>
      <c r="C1806" s="70" t="s">
        <v>3636</v>
      </c>
      <c r="D1806" s="70" t="s">
        <v>3773</v>
      </c>
      <c r="E1806" s="70" t="s">
        <v>4725</v>
      </c>
      <c r="F1806" s="70" t="s">
        <v>5366</v>
      </c>
      <c r="G1806" s="70" t="s">
        <v>5367</v>
      </c>
      <c r="H1806" s="93"/>
      <c r="I1806" s="85">
        <f t="shared" si="67"/>
        <v>3.6334684555795866</v>
      </c>
      <c r="J1806" s="85">
        <v>4300</v>
      </c>
      <c r="K1806" s="131" t="s">
        <v>6485</v>
      </c>
      <c r="L1806" s="60">
        <v>68</v>
      </c>
    </row>
    <row r="1807" spans="1:15" ht="14" x14ac:dyDescent="0.15">
      <c r="A1807" s="166" t="s">
        <v>2479</v>
      </c>
      <c r="B1807" s="93" t="s">
        <v>2454</v>
      </c>
      <c r="C1807" s="70" t="s">
        <v>3636</v>
      </c>
      <c r="D1807" s="70" t="s">
        <v>3773</v>
      </c>
      <c r="E1807" s="70" t="s">
        <v>4725</v>
      </c>
      <c r="F1807" s="70" t="s">
        <v>5368</v>
      </c>
      <c r="G1807" s="70" t="s">
        <v>5514</v>
      </c>
      <c r="H1807" s="93"/>
      <c r="I1807" s="85">
        <f t="shared" si="67"/>
        <v>3.4441619458936739</v>
      </c>
      <c r="J1807" s="85">
        <f>AVERAGE((7.25*454), (5*454))</f>
        <v>2780.75</v>
      </c>
      <c r="K1807" s="131" t="s">
        <v>6817</v>
      </c>
      <c r="L1807" s="60">
        <v>133</v>
      </c>
      <c r="M1807" s="49" t="s">
        <v>6728</v>
      </c>
      <c r="O1807" s="33"/>
    </row>
    <row r="1808" spans="1:15" ht="126" x14ac:dyDescent="0.15">
      <c r="A1808" s="166" t="s">
        <v>2479</v>
      </c>
      <c r="B1808" s="82" t="s">
        <v>5919</v>
      </c>
      <c r="C1808" s="70" t="s">
        <v>3636</v>
      </c>
      <c r="D1808" s="70" t="s">
        <v>3773</v>
      </c>
      <c r="E1808" s="70" t="s">
        <v>4725</v>
      </c>
      <c r="F1808" s="70" t="s">
        <v>5368</v>
      </c>
      <c r="G1808" s="70" t="s">
        <v>5369</v>
      </c>
      <c r="H1808" s="93"/>
      <c r="I1808" s="85">
        <f t="shared" si="67"/>
        <v>3.5051499783199058</v>
      </c>
      <c r="J1808" s="85">
        <v>3200</v>
      </c>
      <c r="K1808" s="131" t="s">
        <v>6485</v>
      </c>
      <c r="L1808" s="60" t="s">
        <v>6333</v>
      </c>
    </row>
    <row r="1809" spans="1:16" ht="42" x14ac:dyDescent="0.15">
      <c r="A1809" s="166" t="s">
        <v>2479</v>
      </c>
      <c r="B1809" s="93" t="s">
        <v>7366</v>
      </c>
      <c r="C1809" s="70" t="s">
        <v>3636</v>
      </c>
      <c r="D1809" s="70" t="s">
        <v>3773</v>
      </c>
      <c r="E1809" s="70" t="s">
        <v>4725</v>
      </c>
      <c r="F1809" s="70" t="s">
        <v>5516</v>
      </c>
      <c r="G1809" s="70" t="s">
        <v>5751</v>
      </c>
      <c r="H1809" s="93"/>
      <c r="I1809" s="85">
        <f t="shared" si="67"/>
        <v>2.7092699609758308</v>
      </c>
      <c r="J1809" s="85">
        <f>AVERAGE(570, (454*1))</f>
        <v>512</v>
      </c>
      <c r="K1809" s="131" t="s">
        <v>3177</v>
      </c>
      <c r="L1809" s="63" t="s">
        <v>1191</v>
      </c>
      <c r="M1809" s="33"/>
    </row>
    <row r="1810" spans="1:16" ht="16" x14ac:dyDescent="0.2">
      <c r="A1810" s="166" t="s">
        <v>2479</v>
      </c>
      <c r="B1810" s="93" t="s">
        <v>7244</v>
      </c>
      <c r="C1810" s="70" t="s">
        <v>3636</v>
      </c>
      <c r="D1810" s="70" t="s">
        <v>3773</v>
      </c>
      <c r="E1810" s="70" t="s">
        <v>4725</v>
      </c>
      <c r="F1810" s="70" t="s">
        <v>5516</v>
      </c>
      <c r="G1810" s="70" t="s">
        <v>5517</v>
      </c>
      <c r="H1810" s="93"/>
      <c r="I1810" s="85">
        <f t="shared" si="67"/>
        <v>2.8450980400142569</v>
      </c>
      <c r="J1810" s="85">
        <v>700</v>
      </c>
      <c r="K1810" s="131" t="s">
        <v>3177</v>
      </c>
      <c r="L1810" s="60">
        <v>119</v>
      </c>
      <c r="M1810" s="47"/>
    </row>
    <row r="1811" spans="1:16" ht="84" x14ac:dyDescent="0.15">
      <c r="A1811" s="166" t="s">
        <v>2479</v>
      </c>
      <c r="B1811" s="82" t="s">
        <v>2416</v>
      </c>
      <c r="C1811" s="70" t="s">
        <v>3636</v>
      </c>
      <c r="D1811" s="70" t="s">
        <v>3773</v>
      </c>
      <c r="E1811" s="70" t="s">
        <v>4725</v>
      </c>
      <c r="F1811" s="70" t="s">
        <v>5370</v>
      </c>
      <c r="G1811" s="70" t="s">
        <v>5376</v>
      </c>
      <c r="H1811" s="93"/>
      <c r="I1811" s="85">
        <f t="shared" si="67"/>
        <v>3.9542425094393248</v>
      </c>
      <c r="J1811" s="85">
        <f>AVERAGE(10000, 8000, 9000)</f>
        <v>9000</v>
      </c>
      <c r="K1811" s="131" t="s">
        <v>6485</v>
      </c>
      <c r="L1811" s="60" t="s">
        <v>6333</v>
      </c>
    </row>
    <row r="1812" spans="1:16" ht="28" x14ac:dyDescent="0.15">
      <c r="A1812" s="166" t="s">
        <v>2479</v>
      </c>
      <c r="B1812" s="93" t="s">
        <v>6650</v>
      </c>
      <c r="C1812" s="70" t="s">
        <v>3636</v>
      </c>
      <c r="D1812" s="70" t="s">
        <v>3773</v>
      </c>
      <c r="E1812" s="70" t="s">
        <v>4725</v>
      </c>
      <c r="F1812" s="70" t="s">
        <v>5370</v>
      </c>
      <c r="G1812" s="70" t="s">
        <v>5880</v>
      </c>
      <c r="H1812" s="93"/>
      <c r="I1812" s="85">
        <f t="shared" si="67"/>
        <v>3.9661417327390325</v>
      </c>
      <c r="J1812" s="85">
        <f>AVERAGE(10000, 8500)</f>
        <v>9250</v>
      </c>
      <c r="K1812" s="131" t="s">
        <v>3177</v>
      </c>
      <c r="L1812" s="60" t="s">
        <v>6332</v>
      </c>
      <c r="M1812" s="33"/>
    </row>
    <row r="1813" spans="1:16" ht="112" x14ac:dyDescent="0.15">
      <c r="A1813" s="166" t="s">
        <v>2479</v>
      </c>
      <c r="B1813" s="82" t="s">
        <v>2387</v>
      </c>
      <c r="C1813" s="70" t="s">
        <v>3636</v>
      </c>
      <c r="D1813" s="70" t="s">
        <v>3773</v>
      </c>
      <c r="E1813" s="70" t="s">
        <v>4725</v>
      </c>
      <c r="F1813" s="70" t="s">
        <v>5370</v>
      </c>
      <c r="G1813" s="70" t="s">
        <v>5375</v>
      </c>
      <c r="H1813" s="93"/>
      <c r="I1813" s="85">
        <f t="shared" si="67"/>
        <v>4</v>
      </c>
      <c r="J1813" s="85">
        <v>10000</v>
      </c>
      <c r="K1813" s="131" t="s">
        <v>6485</v>
      </c>
      <c r="L1813" s="63">
        <v>119</v>
      </c>
    </row>
    <row r="1814" spans="1:16" ht="28" x14ac:dyDescent="0.2">
      <c r="A1814" s="166" t="s">
        <v>2479</v>
      </c>
      <c r="B1814" s="93" t="s">
        <v>2418</v>
      </c>
      <c r="C1814" s="73" t="s">
        <v>3636</v>
      </c>
      <c r="D1814" s="73" t="s">
        <v>3773</v>
      </c>
      <c r="E1814" s="73" t="s">
        <v>4725</v>
      </c>
      <c r="F1814" s="73" t="s">
        <v>5370</v>
      </c>
      <c r="G1814" s="73" t="s">
        <v>5711</v>
      </c>
      <c r="H1814" s="108"/>
      <c r="I1814" s="85">
        <f t="shared" si="67"/>
        <v>4.107000000000002</v>
      </c>
      <c r="J1814" s="95">
        <v>12793.8130415753</v>
      </c>
      <c r="K1814" s="131" t="s">
        <v>7256</v>
      </c>
      <c r="L1814" s="60">
        <v>165</v>
      </c>
      <c r="M1814" s="47" t="s">
        <v>6809</v>
      </c>
    </row>
    <row r="1815" spans="1:16" ht="70" x14ac:dyDescent="0.15">
      <c r="A1815" s="166" t="s">
        <v>2479</v>
      </c>
      <c r="B1815" s="93" t="s">
        <v>4702</v>
      </c>
      <c r="C1815" s="73" t="s">
        <v>3636</v>
      </c>
      <c r="D1815" s="73" t="s">
        <v>3773</v>
      </c>
      <c r="E1815" s="70" t="s">
        <v>4725</v>
      </c>
      <c r="F1815" s="73" t="s">
        <v>5881</v>
      </c>
      <c r="G1815" s="73" t="s">
        <v>3926</v>
      </c>
      <c r="H1815" s="108"/>
      <c r="I1815" s="85">
        <f t="shared" si="67"/>
        <v>3.4742162640762553</v>
      </c>
      <c r="J1815" s="85">
        <f>AVERAGE(3500, 2200, 3000, 2150, 3630, 3400)</f>
        <v>2980</v>
      </c>
      <c r="K1815" s="131" t="s">
        <v>3177</v>
      </c>
      <c r="L1815" s="60" t="s">
        <v>6593</v>
      </c>
      <c r="M1815" s="33"/>
    </row>
    <row r="1816" spans="1:16" ht="14" x14ac:dyDescent="0.15">
      <c r="A1816" s="165" t="s">
        <v>2479</v>
      </c>
      <c r="B1816" s="93" t="s">
        <v>2179</v>
      </c>
      <c r="C1816" s="100" t="s">
        <v>3636</v>
      </c>
      <c r="D1816" s="61" t="s">
        <v>2548</v>
      </c>
      <c r="E1816" s="100" t="s">
        <v>1459</v>
      </c>
      <c r="F1816" s="100" t="s">
        <v>1460</v>
      </c>
      <c r="G1816" s="100" t="s">
        <v>1461</v>
      </c>
      <c r="H1816" s="177"/>
      <c r="I1816" s="85">
        <f t="shared" si="67"/>
        <v>0.3331112632753544</v>
      </c>
      <c r="J1816" s="101">
        <v>2.1533333333329998</v>
      </c>
      <c r="K1816" s="143"/>
      <c r="L1816" s="61">
        <v>153</v>
      </c>
      <c r="N1816" s="51"/>
      <c r="O1816" s="35"/>
    </row>
    <row r="1817" spans="1:16" ht="42" x14ac:dyDescent="0.15">
      <c r="A1817" s="165" t="s">
        <v>2479</v>
      </c>
      <c r="B1817" s="93" t="s">
        <v>1559</v>
      </c>
      <c r="C1817" s="100" t="s">
        <v>3636</v>
      </c>
      <c r="D1817" s="61" t="s">
        <v>2548</v>
      </c>
      <c r="E1817" s="100" t="s">
        <v>2687</v>
      </c>
      <c r="F1817" s="100" t="s">
        <v>1650</v>
      </c>
      <c r="G1817" s="100" t="s">
        <v>3310</v>
      </c>
      <c r="H1817" s="177"/>
      <c r="I1817" s="85">
        <f t="shared" si="67"/>
        <v>1.0280287236002572</v>
      </c>
      <c r="J1817" s="101">
        <v>10.666666666667</v>
      </c>
      <c r="K1817" s="143"/>
      <c r="L1817" s="61">
        <v>153</v>
      </c>
      <c r="M1817" s="50"/>
      <c r="N1817" s="35" t="s">
        <v>7627</v>
      </c>
    </row>
    <row r="1818" spans="1:16" ht="98" x14ac:dyDescent="0.15">
      <c r="A1818" s="165" t="s">
        <v>2479</v>
      </c>
      <c r="B1818" s="93" t="s">
        <v>1462</v>
      </c>
      <c r="C1818" s="100" t="s">
        <v>3636</v>
      </c>
      <c r="D1818" s="61" t="s">
        <v>2548</v>
      </c>
      <c r="E1818" s="100" t="s">
        <v>2687</v>
      </c>
      <c r="F1818" s="100" t="s">
        <v>2688</v>
      </c>
      <c r="G1818" s="100" t="s">
        <v>3866</v>
      </c>
      <c r="H1818" s="177"/>
      <c r="I1818" s="85">
        <f t="shared" si="67"/>
        <v>0.72970462131221425</v>
      </c>
      <c r="J1818" s="101">
        <v>5.3666666666670002</v>
      </c>
      <c r="K1818" s="143"/>
      <c r="L1818" s="61">
        <v>153</v>
      </c>
      <c r="M1818" s="50"/>
      <c r="N1818" s="35"/>
      <c r="O1818" s="35"/>
    </row>
    <row r="1819" spans="1:16" ht="98" x14ac:dyDescent="0.15">
      <c r="A1819" s="165" t="s">
        <v>2479</v>
      </c>
      <c r="B1819" s="93" t="s">
        <v>4681</v>
      </c>
      <c r="C1819" s="102" t="s">
        <v>3636</v>
      </c>
      <c r="D1819" s="62" t="s">
        <v>2548</v>
      </c>
      <c r="E1819" s="102" t="s">
        <v>2687</v>
      </c>
      <c r="F1819" s="102" t="s">
        <v>2961</v>
      </c>
      <c r="G1819" s="102" t="s">
        <v>2936</v>
      </c>
      <c r="H1819" s="175"/>
      <c r="I1819" s="85">
        <f t="shared" si="67"/>
        <v>1.6404814369704219</v>
      </c>
      <c r="J1819" s="104">
        <v>43.7</v>
      </c>
      <c r="K1819" s="143"/>
      <c r="L1819" s="61">
        <v>153</v>
      </c>
      <c r="M1819" s="50"/>
      <c r="O1819" s="51"/>
    </row>
    <row r="1820" spans="1:16" ht="70" x14ac:dyDescent="0.15">
      <c r="A1820" s="165" t="s">
        <v>2479</v>
      </c>
      <c r="B1820" s="93" t="s">
        <v>1334</v>
      </c>
      <c r="C1820" s="102" t="s">
        <v>3636</v>
      </c>
      <c r="D1820" s="62" t="s">
        <v>2548</v>
      </c>
      <c r="E1820" s="102" t="s">
        <v>2687</v>
      </c>
      <c r="F1820" s="102" t="s">
        <v>5971</v>
      </c>
      <c r="G1820" s="102" t="s">
        <v>1319</v>
      </c>
      <c r="H1820" s="175"/>
      <c r="I1820" s="85">
        <f t="shared" si="67"/>
        <v>1.4300750555519393</v>
      </c>
      <c r="J1820" s="104">
        <v>26.92</v>
      </c>
      <c r="K1820" s="143"/>
      <c r="L1820" s="61">
        <v>153</v>
      </c>
      <c r="M1820" s="35"/>
    </row>
    <row r="1821" spans="1:16" ht="56" x14ac:dyDescent="0.15">
      <c r="A1821" s="165" t="s">
        <v>2479</v>
      </c>
      <c r="B1821" s="93" t="s">
        <v>1400</v>
      </c>
      <c r="C1821" s="102" t="s">
        <v>3636</v>
      </c>
      <c r="D1821" s="62" t="s">
        <v>2548</v>
      </c>
      <c r="E1821" s="102" t="s">
        <v>2687</v>
      </c>
      <c r="F1821" s="102" t="s">
        <v>5971</v>
      </c>
      <c r="G1821" s="102" t="s">
        <v>1323</v>
      </c>
      <c r="H1821" s="175"/>
      <c r="I1821" s="85">
        <f t="shared" si="67"/>
        <v>1.436692597664049</v>
      </c>
      <c r="J1821" s="104">
        <v>27.333333333333002</v>
      </c>
      <c r="K1821" s="143"/>
      <c r="L1821" s="61">
        <v>153</v>
      </c>
      <c r="M1821" s="35"/>
      <c r="N1821" s="37" t="s">
        <v>7629</v>
      </c>
    </row>
    <row r="1822" spans="1:16" ht="112" x14ac:dyDescent="0.15">
      <c r="A1822" s="165" t="s">
        <v>2479</v>
      </c>
      <c r="B1822" s="93" t="s">
        <v>2044</v>
      </c>
      <c r="C1822" s="102" t="s">
        <v>3636</v>
      </c>
      <c r="D1822" s="62" t="s">
        <v>2548</v>
      </c>
      <c r="E1822" s="102" t="s">
        <v>2687</v>
      </c>
      <c r="F1822" s="102" t="s">
        <v>5971</v>
      </c>
      <c r="G1822" s="102" t="s">
        <v>2045</v>
      </c>
      <c r="H1822" s="175"/>
      <c r="I1822" s="85">
        <f t="shared" si="67"/>
        <v>1.4403842548328896</v>
      </c>
      <c r="J1822" s="104">
        <v>27.566666666667</v>
      </c>
      <c r="K1822" s="143"/>
      <c r="L1822" s="61">
        <v>153</v>
      </c>
      <c r="O1822" s="51"/>
      <c r="P1822" s="33"/>
    </row>
    <row r="1823" spans="1:16" ht="56" x14ac:dyDescent="0.15">
      <c r="A1823" s="165" t="s">
        <v>2479</v>
      </c>
      <c r="B1823" s="93" t="s">
        <v>4260</v>
      </c>
      <c r="C1823" s="102" t="s">
        <v>3636</v>
      </c>
      <c r="D1823" s="62" t="s">
        <v>2548</v>
      </c>
      <c r="E1823" s="102" t="s">
        <v>2687</v>
      </c>
      <c r="F1823" s="102" t="s">
        <v>5971</v>
      </c>
      <c r="G1823" s="102" t="s">
        <v>3854</v>
      </c>
      <c r="H1823" s="175"/>
      <c r="I1823" s="85">
        <f t="shared" si="67"/>
        <v>1.5331787019201453</v>
      </c>
      <c r="J1823" s="104">
        <v>34.133333333332999</v>
      </c>
      <c r="K1823" s="143"/>
      <c r="L1823" s="61">
        <v>153</v>
      </c>
      <c r="M1823" s="50"/>
      <c r="N1823" s="51" t="s">
        <v>7628</v>
      </c>
      <c r="O1823" s="51"/>
    </row>
    <row r="1824" spans="1:16" ht="28" x14ac:dyDescent="0.15">
      <c r="A1824" s="165" t="s">
        <v>2479</v>
      </c>
      <c r="B1824" s="93" t="s">
        <v>1571</v>
      </c>
      <c r="C1824" s="102" t="s">
        <v>3636</v>
      </c>
      <c r="D1824" s="62" t="s">
        <v>2548</v>
      </c>
      <c r="E1824" s="102" t="s">
        <v>2687</v>
      </c>
      <c r="F1824" s="102" t="s">
        <v>5971</v>
      </c>
      <c r="G1824" s="102" t="s">
        <v>1541</v>
      </c>
      <c r="H1824" s="175"/>
      <c r="I1824" s="85">
        <f t="shared" si="67"/>
        <v>1.5998830720736879</v>
      </c>
      <c r="J1824" s="104">
        <v>39.799999999999997</v>
      </c>
      <c r="K1824" s="143"/>
      <c r="L1824" s="61">
        <v>153</v>
      </c>
      <c r="M1824" s="50"/>
      <c r="N1824" s="51"/>
    </row>
    <row r="1825" spans="1:16" ht="70" x14ac:dyDescent="0.15">
      <c r="A1825" s="165" t="s">
        <v>2479</v>
      </c>
      <c r="B1825" s="93" t="s">
        <v>1408</v>
      </c>
      <c r="C1825" s="102" t="s">
        <v>3636</v>
      </c>
      <c r="D1825" s="62" t="s">
        <v>2548</v>
      </c>
      <c r="E1825" s="102" t="s">
        <v>1362</v>
      </c>
      <c r="F1825" s="102" t="s">
        <v>1409</v>
      </c>
      <c r="G1825" s="102" t="s">
        <v>1410</v>
      </c>
      <c r="H1825" s="175"/>
      <c r="I1825" s="85">
        <f t="shared" si="67"/>
        <v>1.3935752032695876</v>
      </c>
      <c r="J1825" s="104">
        <v>24.75</v>
      </c>
      <c r="K1825" s="143"/>
      <c r="L1825" s="61">
        <v>153</v>
      </c>
      <c r="M1825" s="50"/>
      <c r="N1825" s="51"/>
      <c r="O1825" s="51"/>
    </row>
    <row r="1826" spans="1:16" ht="42" x14ac:dyDescent="0.15">
      <c r="A1826" s="165" t="s">
        <v>2479</v>
      </c>
      <c r="B1826" s="93" t="s">
        <v>1549</v>
      </c>
      <c r="C1826" s="102" t="s">
        <v>3636</v>
      </c>
      <c r="D1826" s="62" t="s">
        <v>2548</v>
      </c>
      <c r="E1826" s="102" t="s">
        <v>1362</v>
      </c>
      <c r="F1826" s="102" t="s">
        <v>1409</v>
      </c>
      <c r="G1826" s="102" t="s">
        <v>1550</v>
      </c>
      <c r="H1826" s="175"/>
      <c r="I1826" s="85">
        <f t="shared" si="67"/>
        <v>1.658349676161617</v>
      </c>
      <c r="J1826" s="104">
        <v>45.535454545455003</v>
      </c>
      <c r="K1826" s="143"/>
      <c r="L1826" s="61">
        <v>153</v>
      </c>
      <c r="M1826" s="50"/>
      <c r="N1826" s="51"/>
    </row>
    <row r="1827" spans="1:16" ht="70" x14ac:dyDescent="0.15">
      <c r="A1827" s="165" t="s">
        <v>2479</v>
      </c>
      <c r="B1827" s="93" t="s">
        <v>1890</v>
      </c>
      <c r="C1827" s="100" t="s">
        <v>3636</v>
      </c>
      <c r="D1827" s="61" t="s">
        <v>2548</v>
      </c>
      <c r="E1827" s="100" t="s">
        <v>2421</v>
      </c>
      <c r="F1827" s="100" t="s">
        <v>5833</v>
      </c>
      <c r="G1827" s="100" t="s">
        <v>5297</v>
      </c>
      <c r="H1827" s="177"/>
      <c r="I1827" s="85">
        <f t="shared" si="67"/>
        <v>1.0529716716372919</v>
      </c>
      <c r="J1827" s="101">
        <v>11.297222222222</v>
      </c>
      <c r="K1827" s="143"/>
      <c r="L1827" s="61">
        <v>153</v>
      </c>
      <c r="M1827" s="50"/>
      <c r="N1827" s="51" t="s">
        <v>7572</v>
      </c>
    </row>
    <row r="1828" spans="1:16" ht="56" x14ac:dyDescent="0.15">
      <c r="A1828" s="165" t="s">
        <v>2479</v>
      </c>
      <c r="B1828" s="93" t="s">
        <v>1697</v>
      </c>
      <c r="C1828" s="102" t="s">
        <v>3636</v>
      </c>
      <c r="D1828" s="62" t="s">
        <v>2548</v>
      </c>
      <c r="E1828" s="100" t="s">
        <v>2421</v>
      </c>
      <c r="F1828" s="102" t="s">
        <v>5833</v>
      </c>
      <c r="G1828" s="102" t="s">
        <v>3983</v>
      </c>
      <c r="H1828" s="175"/>
      <c r="I1828" s="85">
        <f t="shared" si="67"/>
        <v>1.2966651902615312</v>
      </c>
      <c r="J1828" s="104">
        <v>19.8</v>
      </c>
      <c r="K1828" s="143"/>
      <c r="L1828" s="61">
        <v>153</v>
      </c>
      <c r="N1828" s="37" t="s">
        <v>7573</v>
      </c>
    </row>
    <row r="1829" spans="1:16" ht="56" x14ac:dyDescent="0.15">
      <c r="A1829" s="165" t="s">
        <v>2479</v>
      </c>
      <c r="B1829" s="93" t="s">
        <v>4583</v>
      </c>
      <c r="C1829" s="102" t="s">
        <v>3636</v>
      </c>
      <c r="D1829" s="62" t="s">
        <v>2548</v>
      </c>
      <c r="E1829" s="102" t="s">
        <v>2421</v>
      </c>
      <c r="F1829" s="102" t="s">
        <v>4258</v>
      </c>
      <c r="G1829" s="102" t="s">
        <v>7226</v>
      </c>
      <c r="H1829" s="175"/>
      <c r="I1829" s="85">
        <f t="shared" si="67"/>
        <v>1.6553305580093409</v>
      </c>
      <c r="J1829" s="104">
        <v>45.22</v>
      </c>
      <c r="K1829" s="143"/>
      <c r="L1829" s="61">
        <v>153</v>
      </c>
      <c r="N1829" s="37" t="s">
        <v>7574</v>
      </c>
    </row>
    <row r="1830" spans="1:16" ht="14" x14ac:dyDescent="0.15">
      <c r="A1830" s="165" t="s">
        <v>2479</v>
      </c>
      <c r="B1830" s="93" t="s">
        <v>2454</v>
      </c>
      <c r="C1830" s="100" t="s">
        <v>3636</v>
      </c>
      <c r="D1830" s="61" t="s">
        <v>2548</v>
      </c>
      <c r="E1830" s="100" t="s">
        <v>2421</v>
      </c>
      <c r="F1830" s="100" t="s">
        <v>1184</v>
      </c>
      <c r="G1830" s="100" t="s">
        <v>573</v>
      </c>
      <c r="H1830" s="177"/>
      <c r="I1830" s="103">
        <v>-999</v>
      </c>
      <c r="J1830" s="103">
        <v>-999</v>
      </c>
      <c r="K1830" s="141"/>
      <c r="L1830" s="61">
        <v>-999</v>
      </c>
      <c r="O1830" s="51"/>
      <c r="P1830" s="33"/>
    </row>
    <row r="1831" spans="1:16" ht="56" x14ac:dyDescent="0.15">
      <c r="A1831" s="165" t="s">
        <v>2479</v>
      </c>
      <c r="B1831" s="93" t="s">
        <v>4169</v>
      </c>
      <c r="C1831" s="102" t="s">
        <v>3636</v>
      </c>
      <c r="D1831" s="62" t="s">
        <v>2548</v>
      </c>
      <c r="E1831" s="102" t="s">
        <v>2421</v>
      </c>
      <c r="F1831" s="102" t="s">
        <v>2393</v>
      </c>
      <c r="G1831" s="102" t="s">
        <v>4170</v>
      </c>
      <c r="H1831" s="175"/>
      <c r="I1831" s="85">
        <f t="shared" ref="I1831:I1842" si="68">LOG(J1831)</f>
        <v>1.2248534211176516</v>
      </c>
      <c r="J1831" s="104">
        <v>16.782374999999998</v>
      </c>
      <c r="K1831" s="143"/>
      <c r="L1831" s="61">
        <v>153</v>
      </c>
      <c r="N1831" s="37" t="s">
        <v>7572</v>
      </c>
      <c r="P1831" s="33"/>
    </row>
    <row r="1832" spans="1:16" ht="70" x14ac:dyDescent="0.15">
      <c r="A1832" s="165" t="s">
        <v>2479</v>
      </c>
      <c r="B1832" s="93" t="s">
        <v>4171</v>
      </c>
      <c r="C1832" s="102" t="s">
        <v>3636</v>
      </c>
      <c r="D1832" s="62" t="s">
        <v>2548</v>
      </c>
      <c r="E1832" s="102" t="s">
        <v>2421</v>
      </c>
      <c r="F1832" s="102" t="s">
        <v>2393</v>
      </c>
      <c r="G1832" s="102" t="s">
        <v>1978</v>
      </c>
      <c r="H1832" s="175"/>
      <c r="I1832" s="85">
        <f t="shared" si="68"/>
        <v>1.4319938381303527</v>
      </c>
      <c r="J1832" s="104">
        <v>27.039200000000001</v>
      </c>
      <c r="K1832" s="143"/>
      <c r="L1832" s="61">
        <v>153</v>
      </c>
      <c r="N1832" s="37" t="s">
        <v>7571</v>
      </c>
    </row>
    <row r="1833" spans="1:16" ht="84" x14ac:dyDescent="0.15">
      <c r="A1833" s="165" t="s">
        <v>2479</v>
      </c>
      <c r="B1833" s="93" t="s">
        <v>1478</v>
      </c>
      <c r="C1833" s="100" t="s">
        <v>3636</v>
      </c>
      <c r="D1833" s="61" t="s">
        <v>2548</v>
      </c>
      <c r="E1833" s="100" t="s">
        <v>5973</v>
      </c>
      <c r="F1833" s="100" t="s">
        <v>5974</v>
      </c>
      <c r="G1833" s="100" t="s">
        <v>1401</v>
      </c>
      <c r="H1833" s="177"/>
      <c r="I1833" s="85">
        <f t="shared" si="68"/>
        <v>0.99171819413823881</v>
      </c>
      <c r="J1833" s="101">
        <v>9.8111111111109999</v>
      </c>
      <c r="K1833" s="143"/>
      <c r="L1833" s="61">
        <v>153</v>
      </c>
      <c r="N1833" s="37" t="s">
        <v>7630</v>
      </c>
    </row>
    <row r="1834" spans="1:16" ht="28" x14ac:dyDescent="0.15">
      <c r="A1834" s="165" t="s">
        <v>2479</v>
      </c>
      <c r="B1834" s="93" t="s">
        <v>601</v>
      </c>
      <c r="C1834" s="100" t="s">
        <v>3636</v>
      </c>
      <c r="D1834" s="61" t="s">
        <v>2548</v>
      </c>
      <c r="E1834" s="100" t="s">
        <v>5973</v>
      </c>
      <c r="F1834" s="100" t="s">
        <v>5974</v>
      </c>
      <c r="G1834" s="100" t="s">
        <v>602</v>
      </c>
      <c r="H1834" s="177"/>
      <c r="I1834" s="85">
        <f t="shared" si="68"/>
        <v>1.1583624920952498</v>
      </c>
      <c r="J1834" s="101">
        <v>14.4</v>
      </c>
      <c r="K1834" s="143"/>
      <c r="L1834" s="61">
        <v>153</v>
      </c>
    </row>
    <row r="1835" spans="1:16" ht="28" x14ac:dyDescent="0.15">
      <c r="A1835" s="165" t="s">
        <v>2479</v>
      </c>
      <c r="B1835" s="93" t="s">
        <v>4747</v>
      </c>
      <c r="C1835" s="102" t="s">
        <v>3636</v>
      </c>
      <c r="D1835" s="62" t="s">
        <v>2548</v>
      </c>
      <c r="E1835" s="100" t="s">
        <v>5975</v>
      </c>
      <c r="F1835" s="102" t="s">
        <v>4748</v>
      </c>
      <c r="G1835" s="102" t="s">
        <v>5873</v>
      </c>
      <c r="H1835" s="175"/>
      <c r="I1835" s="85">
        <f t="shared" si="68"/>
        <v>1.1760912590556813</v>
      </c>
      <c r="J1835" s="104">
        <v>15</v>
      </c>
      <c r="K1835" s="143"/>
      <c r="L1835" s="61">
        <v>153</v>
      </c>
    </row>
    <row r="1836" spans="1:16" ht="42" x14ac:dyDescent="0.15">
      <c r="A1836" s="165" t="s">
        <v>2479</v>
      </c>
      <c r="B1836" s="93" t="s">
        <v>4737</v>
      </c>
      <c r="C1836" s="100" t="s">
        <v>3636</v>
      </c>
      <c r="D1836" s="61" t="s">
        <v>2548</v>
      </c>
      <c r="E1836" s="100" t="s">
        <v>5975</v>
      </c>
      <c r="F1836" s="100" t="s">
        <v>4738</v>
      </c>
      <c r="G1836" s="100" t="s">
        <v>4730</v>
      </c>
      <c r="H1836" s="177"/>
      <c r="I1836" s="85">
        <f t="shared" si="68"/>
        <v>1.1530522750671088</v>
      </c>
      <c r="J1836" s="101">
        <v>14.225</v>
      </c>
      <c r="K1836" s="143"/>
      <c r="L1836" s="61">
        <v>153</v>
      </c>
    </row>
    <row r="1837" spans="1:16" ht="42" x14ac:dyDescent="0.15">
      <c r="A1837" s="165" t="s">
        <v>2479</v>
      </c>
      <c r="B1837" s="93" t="s">
        <v>4744</v>
      </c>
      <c r="C1837" s="102" t="s">
        <v>3636</v>
      </c>
      <c r="D1837" s="62" t="s">
        <v>2548</v>
      </c>
      <c r="E1837" s="100" t="s">
        <v>5975</v>
      </c>
      <c r="F1837" s="102" t="s">
        <v>4756</v>
      </c>
      <c r="G1837" s="102" t="s">
        <v>4597</v>
      </c>
      <c r="H1837" s="175"/>
      <c r="I1837" s="85">
        <f t="shared" si="68"/>
        <v>1.2463344173155151</v>
      </c>
      <c r="J1837" s="104">
        <v>17.633333333332999</v>
      </c>
      <c r="K1837" s="143"/>
      <c r="L1837" s="61">
        <v>153</v>
      </c>
    </row>
    <row r="1838" spans="1:16" ht="84" x14ac:dyDescent="0.15">
      <c r="A1838" s="165" t="s">
        <v>2479</v>
      </c>
      <c r="B1838" s="93" t="s">
        <v>1973</v>
      </c>
      <c r="C1838" s="102" t="s">
        <v>3636</v>
      </c>
      <c r="D1838" s="62" t="s">
        <v>2548</v>
      </c>
      <c r="E1838" s="102" t="s">
        <v>5975</v>
      </c>
      <c r="F1838" s="102" t="s">
        <v>1870</v>
      </c>
      <c r="G1838" s="102" t="s">
        <v>7271</v>
      </c>
      <c r="H1838" s="175"/>
      <c r="I1838" s="85">
        <f t="shared" si="68"/>
        <v>1.5017437296279945</v>
      </c>
      <c r="J1838" s="104">
        <v>31.75</v>
      </c>
      <c r="K1838" s="143"/>
      <c r="L1838" s="61">
        <v>153</v>
      </c>
    </row>
    <row r="1839" spans="1:16" ht="56" x14ac:dyDescent="0.15">
      <c r="A1839" s="165" t="s">
        <v>2479</v>
      </c>
      <c r="B1839" s="93" t="s">
        <v>595</v>
      </c>
      <c r="C1839" s="102" t="s">
        <v>3636</v>
      </c>
      <c r="D1839" s="62" t="s">
        <v>2548</v>
      </c>
      <c r="E1839" s="102" t="s">
        <v>5975</v>
      </c>
      <c r="F1839" s="102" t="s">
        <v>1870</v>
      </c>
      <c r="G1839" s="102" t="s">
        <v>6106</v>
      </c>
      <c r="H1839" s="175"/>
      <c r="I1839" s="85">
        <f t="shared" si="68"/>
        <v>1.6401058356857277</v>
      </c>
      <c r="J1839" s="104">
        <v>43.662222222221999</v>
      </c>
      <c r="K1839" s="143"/>
      <c r="L1839" s="61">
        <v>153</v>
      </c>
    </row>
    <row r="1840" spans="1:16" ht="56" x14ac:dyDescent="0.15">
      <c r="A1840" s="165" t="s">
        <v>2479</v>
      </c>
      <c r="B1840" s="93" t="s">
        <v>929</v>
      </c>
      <c r="C1840" s="102" t="s">
        <v>3636</v>
      </c>
      <c r="D1840" s="62" t="s">
        <v>2548</v>
      </c>
      <c r="E1840" s="102" t="s">
        <v>5975</v>
      </c>
      <c r="F1840" s="102" t="s">
        <v>1870</v>
      </c>
      <c r="G1840" s="102" t="s">
        <v>6198</v>
      </c>
      <c r="H1840" s="175"/>
      <c r="I1840" s="85">
        <f t="shared" si="68"/>
        <v>1.7385163087154019</v>
      </c>
      <c r="J1840" s="104">
        <v>54.766666666667</v>
      </c>
      <c r="K1840" s="143"/>
      <c r="L1840" s="61">
        <v>153</v>
      </c>
    </row>
    <row r="1841" spans="1:16" ht="56" x14ac:dyDescent="0.15">
      <c r="A1841" s="165" t="s">
        <v>2479</v>
      </c>
      <c r="B1841" s="82" t="s">
        <v>4554</v>
      </c>
      <c r="C1841" s="107" t="s">
        <v>3636</v>
      </c>
      <c r="D1841" s="62" t="s">
        <v>2548</v>
      </c>
      <c r="E1841" s="107" t="s">
        <v>5975</v>
      </c>
      <c r="F1841" s="107" t="s">
        <v>4401</v>
      </c>
      <c r="G1841" s="107" t="s">
        <v>4402</v>
      </c>
      <c r="H1841" s="179"/>
      <c r="I1841" s="85">
        <f t="shared" si="68"/>
        <v>2.4036523349113295</v>
      </c>
      <c r="J1841" s="104">
        <v>253.31</v>
      </c>
      <c r="K1841" s="144"/>
      <c r="L1841" s="61">
        <v>153</v>
      </c>
      <c r="N1841" s="37" t="s">
        <v>7510</v>
      </c>
    </row>
    <row r="1842" spans="1:16" ht="98" x14ac:dyDescent="0.15">
      <c r="A1842" s="165" t="s">
        <v>2479</v>
      </c>
      <c r="B1842" s="93" t="s">
        <v>4830</v>
      </c>
      <c r="C1842" s="102" t="s">
        <v>3636</v>
      </c>
      <c r="D1842" s="62" t="s">
        <v>2548</v>
      </c>
      <c r="E1842" s="102" t="s">
        <v>5975</v>
      </c>
      <c r="F1842" s="102" t="s">
        <v>4831</v>
      </c>
      <c r="G1842" s="102" t="s">
        <v>4687</v>
      </c>
      <c r="H1842" s="175"/>
      <c r="I1842" s="85">
        <f t="shared" si="68"/>
        <v>1.7538481150390031</v>
      </c>
      <c r="J1842" s="104">
        <v>56.734615384614997</v>
      </c>
      <c r="K1842" s="144"/>
      <c r="L1842" s="61">
        <v>153</v>
      </c>
    </row>
    <row r="1843" spans="1:16" ht="14" x14ac:dyDescent="0.15">
      <c r="A1843" s="165" t="s">
        <v>2479</v>
      </c>
      <c r="B1843" s="93" t="s">
        <v>2454</v>
      </c>
      <c r="C1843" s="102" t="s">
        <v>3636</v>
      </c>
      <c r="D1843" s="62" t="s">
        <v>2548</v>
      </c>
      <c r="E1843" s="100" t="s">
        <v>5975</v>
      </c>
      <c r="F1843" s="102" t="s">
        <v>724</v>
      </c>
      <c r="G1843" s="102" t="s">
        <v>2631</v>
      </c>
      <c r="H1843" s="175"/>
      <c r="I1843" s="98">
        <v>-999</v>
      </c>
      <c r="J1843" s="98">
        <v>-999</v>
      </c>
      <c r="K1843" s="135"/>
      <c r="L1843" s="61">
        <v>-999</v>
      </c>
    </row>
    <row r="1844" spans="1:16" ht="56" x14ac:dyDescent="0.15">
      <c r="A1844" s="165" t="s">
        <v>2479</v>
      </c>
      <c r="B1844" s="93" t="s">
        <v>2727</v>
      </c>
      <c r="C1844" s="100" t="s">
        <v>3636</v>
      </c>
      <c r="D1844" s="61" t="s">
        <v>2548</v>
      </c>
      <c r="E1844" s="100" t="s">
        <v>5975</v>
      </c>
      <c r="F1844" s="100" t="s">
        <v>1473</v>
      </c>
      <c r="G1844" s="100" t="s">
        <v>3989</v>
      </c>
      <c r="H1844" s="177"/>
      <c r="I1844" s="85">
        <f t="shared" ref="I1844:I1858" si="69">LOG(J1844)</f>
        <v>1.2001205912269823</v>
      </c>
      <c r="J1844" s="101">
        <v>15.853333333333</v>
      </c>
      <c r="K1844" s="144"/>
      <c r="L1844" s="61">
        <v>153</v>
      </c>
    </row>
    <row r="1845" spans="1:16" ht="28" x14ac:dyDescent="0.15">
      <c r="A1845" s="165" t="s">
        <v>2479</v>
      </c>
      <c r="B1845" s="93" t="s">
        <v>893</v>
      </c>
      <c r="C1845" s="102" t="s">
        <v>3636</v>
      </c>
      <c r="D1845" s="62" t="s">
        <v>2548</v>
      </c>
      <c r="E1845" s="100" t="s">
        <v>5975</v>
      </c>
      <c r="F1845" s="102" t="s">
        <v>1473</v>
      </c>
      <c r="G1845" s="102" t="s">
        <v>2794</v>
      </c>
      <c r="H1845" s="175"/>
      <c r="I1845" s="85">
        <f t="shared" si="69"/>
        <v>1.3450468246483485</v>
      </c>
      <c r="J1845" s="104">
        <v>22.133333333332999</v>
      </c>
      <c r="K1845" s="144"/>
      <c r="L1845" s="61">
        <v>153</v>
      </c>
    </row>
    <row r="1846" spans="1:16" ht="42" x14ac:dyDescent="0.15">
      <c r="A1846" s="165" t="s">
        <v>2479</v>
      </c>
      <c r="B1846" s="93" t="s">
        <v>2709</v>
      </c>
      <c r="C1846" s="102" t="s">
        <v>3636</v>
      </c>
      <c r="D1846" s="62" t="s">
        <v>2548</v>
      </c>
      <c r="E1846" s="102" t="s">
        <v>5975</v>
      </c>
      <c r="F1846" s="102" t="s">
        <v>2706</v>
      </c>
      <c r="G1846" s="102" t="s">
        <v>5622</v>
      </c>
      <c r="H1846" s="175"/>
      <c r="I1846" s="85">
        <f t="shared" si="69"/>
        <v>1.3921104650113196</v>
      </c>
      <c r="J1846" s="104">
        <v>24.666666666666998</v>
      </c>
      <c r="K1846" s="144"/>
      <c r="L1846" s="61">
        <v>153</v>
      </c>
    </row>
    <row r="1847" spans="1:16" ht="14" x14ac:dyDescent="0.15">
      <c r="A1847" s="165" t="s">
        <v>2479</v>
      </c>
      <c r="B1847" s="93" t="s">
        <v>2710</v>
      </c>
      <c r="C1847" s="102" t="s">
        <v>3636</v>
      </c>
      <c r="D1847" s="62" t="s">
        <v>2548</v>
      </c>
      <c r="E1847" s="102" t="s">
        <v>5975</v>
      </c>
      <c r="F1847" s="102" t="s">
        <v>2706</v>
      </c>
      <c r="G1847" s="102" t="s">
        <v>2716</v>
      </c>
      <c r="H1847" s="175"/>
      <c r="I1847" s="85">
        <f t="shared" si="69"/>
        <v>1.5132176000679389</v>
      </c>
      <c r="J1847" s="104">
        <v>32.6</v>
      </c>
      <c r="K1847" s="144"/>
      <c r="L1847" s="61">
        <v>153</v>
      </c>
    </row>
    <row r="1848" spans="1:16" ht="14" x14ac:dyDescent="0.15">
      <c r="A1848" s="165" t="s">
        <v>2479</v>
      </c>
      <c r="B1848" s="93" t="s">
        <v>525</v>
      </c>
      <c r="C1848" s="102" t="s">
        <v>3636</v>
      </c>
      <c r="D1848" s="62" t="s">
        <v>2548</v>
      </c>
      <c r="E1848" s="102" t="s">
        <v>5975</v>
      </c>
      <c r="F1848" s="102" t="s">
        <v>5976</v>
      </c>
      <c r="G1848" s="102" t="s">
        <v>526</v>
      </c>
      <c r="H1848" s="175"/>
      <c r="I1848" s="85">
        <f t="shared" si="69"/>
        <v>2.5006023505691761</v>
      </c>
      <c r="J1848" s="104">
        <v>316.66666666665998</v>
      </c>
      <c r="K1848" s="144"/>
      <c r="L1848" s="61">
        <v>153</v>
      </c>
    </row>
    <row r="1849" spans="1:16" ht="70" x14ac:dyDescent="0.15">
      <c r="A1849" s="165" t="s">
        <v>2479</v>
      </c>
      <c r="B1849" s="93" t="s">
        <v>807</v>
      </c>
      <c r="C1849" s="102" t="s">
        <v>3636</v>
      </c>
      <c r="D1849" s="62" t="s">
        <v>2548</v>
      </c>
      <c r="E1849" s="102" t="s">
        <v>5975</v>
      </c>
      <c r="F1849" s="102" t="s">
        <v>5976</v>
      </c>
      <c r="G1849" s="102" t="s">
        <v>2941</v>
      </c>
      <c r="H1849" s="175"/>
      <c r="I1849" s="85">
        <f t="shared" si="69"/>
        <v>2.633488654853184</v>
      </c>
      <c r="J1849" s="104">
        <v>430.02</v>
      </c>
      <c r="K1849" s="144"/>
      <c r="L1849" s="61">
        <v>153</v>
      </c>
    </row>
    <row r="1850" spans="1:16" ht="56" x14ac:dyDescent="0.15">
      <c r="A1850" s="165" t="s">
        <v>2479</v>
      </c>
      <c r="B1850" s="93" t="s">
        <v>632</v>
      </c>
      <c r="C1850" s="102" t="s">
        <v>3636</v>
      </c>
      <c r="D1850" s="62" t="s">
        <v>2548</v>
      </c>
      <c r="E1850" s="102" t="s">
        <v>5975</v>
      </c>
      <c r="F1850" s="102" t="s">
        <v>5976</v>
      </c>
      <c r="G1850" s="102" t="s">
        <v>4074</v>
      </c>
      <c r="H1850" s="175"/>
      <c r="I1850" s="85">
        <f t="shared" si="69"/>
        <v>2.9053486389805219</v>
      </c>
      <c r="J1850" s="104">
        <v>804.17142857142005</v>
      </c>
      <c r="K1850" s="144"/>
      <c r="L1850" s="61">
        <v>153</v>
      </c>
      <c r="P1850" s="33"/>
    </row>
    <row r="1851" spans="1:16" ht="70" x14ac:dyDescent="0.15">
      <c r="A1851" s="165" t="s">
        <v>2479</v>
      </c>
      <c r="B1851" s="93" t="s">
        <v>736</v>
      </c>
      <c r="C1851" s="102" t="s">
        <v>3636</v>
      </c>
      <c r="D1851" s="62" t="s">
        <v>2548</v>
      </c>
      <c r="E1851" s="102" t="s">
        <v>5975</v>
      </c>
      <c r="F1851" s="102" t="s">
        <v>5976</v>
      </c>
      <c r="G1851" s="102" t="s">
        <v>719</v>
      </c>
      <c r="H1851" s="175"/>
      <c r="I1851" s="85">
        <f t="shared" si="69"/>
        <v>3.0167200331782524</v>
      </c>
      <c r="J1851" s="104">
        <v>1039.25</v>
      </c>
      <c r="K1851" s="144"/>
      <c r="L1851" s="62">
        <v>153</v>
      </c>
      <c r="P1851" s="33"/>
    </row>
    <row r="1852" spans="1:16" ht="70" x14ac:dyDescent="0.15">
      <c r="A1852" s="165" t="s">
        <v>2479</v>
      </c>
      <c r="B1852" s="93" t="s">
        <v>2738</v>
      </c>
      <c r="C1852" s="102" t="s">
        <v>3636</v>
      </c>
      <c r="D1852" s="62" t="s">
        <v>2548</v>
      </c>
      <c r="E1852" s="102" t="s">
        <v>5975</v>
      </c>
      <c r="F1852" s="102" t="s">
        <v>2582</v>
      </c>
      <c r="G1852" s="102" t="s">
        <v>2792</v>
      </c>
      <c r="H1852" s="175"/>
      <c r="I1852" s="85">
        <f t="shared" si="69"/>
        <v>1.8972494391086494</v>
      </c>
      <c r="J1852" s="104">
        <v>78.931333333333001</v>
      </c>
      <c r="K1852" s="144"/>
      <c r="L1852" s="61">
        <v>153</v>
      </c>
    </row>
    <row r="1853" spans="1:16" ht="56" x14ac:dyDescent="0.15">
      <c r="A1853" s="165" t="s">
        <v>2479</v>
      </c>
      <c r="B1853" s="93" t="s">
        <v>669</v>
      </c>
      <c r="C1853" s="102" t="s">
        <v>3636</v>
      </c>
      <c r="D1853" s="62" t="s">
        <v>2548</v>
      </c>
      <c r="E1853" s="102" t="s">
        <v>5975</v>
      </c>
      <c r="F1853" s="102" t="s">
        <v>2582</v>
      </c>
      <c r="G1853" s="102" t="s">
        <v>670</v>
      </c>
      <c r="H1853" s="175"/>
      <c r="I1853" s="85">
        <f t="shared" si="69"/>
        <v>1.9872192299080049</v>
      </c>
      <c r="J1853" s="104">
        <v>97.1</v>
      </c>
      <c r="K1853" s="144"/>
      <c r="L1853" s="61">
        <v>153</v>
      </c>
    </row>
    <row r="1854" spans="1:16" ht="56" x14ac:dyDescent="0.15">
      <c r="A1854" s="165" t="s">
        <v>2479</v>
      </c>
      <c r="B1854" s="93" t="s">
        <v>680</v>
      </c>
      <c r="C1854" s="102" t="s">
        <v>3636</v>
      </c>
      <c r="D1854" s="62" t="s">
        <v>2548</v>
      </c>
      <c r="E1854" s="102" t="s">
        <v>5975</v>
      </c>
      <c r="F1854" s="102" t="s">
        <v>2582</v>
      </c>
      <c r="G1854" s="102" t="s">
        <v>1213</v>
      </c>
      <c r="H1854" s="175"/>
      <c r="I1854" s="85">
        <f t="shared" si="69"/>
        <v>2.1213570449860772</v>
      </c>
      <c r="J1854" s="104">
        <v>132.23823529411001</v>
      </c>
      <c r="K1854" s="144"/>
      <c r="L1854" s="61">
        <v>153</v>
      </c>
    </row>
    <row r="1855" spans="1:16" ht="14" x14ac:dyDescent="0.15">
      <c r="A1855" s="165" t="s">
        <v>2479</v>
      </c>
      <c r="B1855" s="93" t="s">
        <v>2755</v>
      </c>
      <c r="C1855" s="102" t="s">
        <v>3636</v>
      </c>
      <c r="D1855" s="62" t="s">
        <v>2548</v>
      </c>
      <c r="E1855" s="102" t="s">
        <v>5975</v>
      </c>
      <c r="F1855" s="102" t="s">
        <v>2756</v>
      </c>
      <c r="G1855" s="102" t="s">
        <v>6209</v>
      </c>
      <c r="H1855" s="175"/>
      <c r="I1855" s="85">
        <f t="shared" si="69"/>
        <v>1.4498639247181442</v>
      </c>
      <c r="J1855" s="104">
        <v>28.175000000000001</v>
      </c>
      <c r="K1855" s="144"/>
      <c r="L1855" s="61">
        <v>153</v>
      </c>
    </row>
    <row r="1856" spans="1:16" ht="84" x14ac:dyDescent="0.15">
      <c r="A1856" s="165" t="s">
        <v>2479</v>
      </c>
      <c r="B1856" s="93" t="s">
        <v>2698</v>
      </c>
      <c r="C1856" s="102" t="s">
        <v>3636</v>
      </c>
      <c r="D1856" s="62" t="s">
        <v>2548</v>
      </c>
      <c r="E1856" s="102" t="s">
        <v>1605</v>
      </c>
      <c r="F1856" s="102" t="s">
        <v>2603</v>
      </c>
      <c r="G1856" s="102" t="s">
        <v>2681</v>
      </c>
      <c r="H1856" s="175"/>
      <c r="I1856" s="85">
        <f t="shared" si="69"/>
        <v>1.0765621689608755</v>
      </c>
      <c r="J1856" s="104">
        <v>11.927849999999999</v>
      </c>
      <c r="K1856" s="144"/>
      <c r="L1856" s="61">
        <v>153</v>
      </c>
      <c r="N1856" s="37" t="s">
        <v>7637</v>
      </c>
    </row>
    <row r="1857" spans="1:16" ht="28" x14ac:dyDescent="0.15">
      <c r="A1857" s="165" t="s">
        <v>2479</v>
      </c>
      <c r="B1857" s="93" t="s">
        <v>515</v>
      </c>
      <c r="C1857" s="102" t="s">
        <v>3636</v>
      </c>
      <c r="D1857" s="62" t="s">
        <v>2548</v>
      </c>
      <c r="E1857" s="102" t="s">
        <v>1605</v>
      </c>
      <c r="F1857" s="102" t="s">
        <v>2808</v>
      </c>
      <c r="G1857" s="102" t="s">
        <v>6233</v>
      </c>
      <c r="H1857" s="175"/>
      <c r="I1857" s="85">
        <f t="shared" si="69"/>
        <v>0.69019608002851374</v>
      </c>
      <c r="J1857" s="104">
        <v>4.9000000000000004</v>
      </c>
      <c r="K1857" s="144"/>
      <c r="L1857" s="61">
        <v>153</v>
      </c>
    </row>
    <row r="1858" spans="1:16" ht="56" x14ac:dyDescent="0.15">
      <c r="A1858" s="165" t="s">
        <v>2479</v>
      </c>
      <c r="B1858" s="93" t="s">
        <v>4253</v>
      </c>
      <c r="C1858" s="102" t="s">
        <v>3636</v>
      </c>
      <c r="D1858" s="62" t="s">
        <v>2548</v>
      </c>
      <c r="E1858" s="102" t="s">
        <v>1605</v>
      </c>
      <c r="F1858" s="102" t="s">
        <v>1919</v>
      </c>
      <c r="G1858" s="102" t="s">
        <v>4234</v>
      </c>
      <c r="H1858" s="175"/>
      <c r="I1858" s="85">
        <f t="shared" si="69"/>
        <v>0.86923171973097624</v>
      </c>
      <c r="J1858" s="104">
        <v>7.4</v>
      </c>
      <c r="K1858" s="144"/>
      <c r="L1858" s="61">
        <v>153</v>
      </c>
    </row>
    <row r="1859" spans="1:16" ht="28" x14ac:dyDescent="0.15">
      <c r="A1859" s="165" t="s">
        <v>2479</v>
      </c>
      <c r="B1859" s="93" t="s">
        <v>592</v>
      </c>
      <c r="C1859" s="102" t="s">
        <v>3636</v>
      </c>
      <c r="D1859" s="62" t="s">
        <v>2548</v>
      </c>
      <c r="E1859" s="102" t="s">
        <v>1605</v>
      </c>
      <c r="F1859" s="102" t="s">
        <v>1641</v>
      </c>
      <c r="G1859" s="102" t="s">
        <v>1913</v>
      </c>
      <c r="H1859" s="175"/>
      <c r="I1859" s="98">
        <v>-999</v>
      </c>
      <c r="J1859" s="98">
        <v>-999</v>
      </c>
      <c r="K1859" s="135"/>
      <c r="L1859" s="61">
        <v>-999</v>
      </c>
    </row>
    <row r="1860" spans="1:16" ht="28" x14ac:dyDescent="0.15">
      <c r="A1860" s="165" t="s">
        <v>2479</v>
      </c>
      <c r="B1860" s="93" t="s">
        <v>964</v>
      </c>
      <c r="C1860" s="102" t="s">
        <v>3636</v>
      </c>
      <c r="D1860" s="62" t="s">
        <v>2548</v>
      </c>
      <c r="E1860" s="102" t="s">
        <v>1605</v>
      </c>
      <c r="F1860" s="102" t="s">
        <v>1641</v>
      </c>
      <c r="G1860" s="102" t="s">
        <v>965</v>
      </c>
      <c r="H1860" s="175"/>
      <c r="I1860" s="98">
        <v>-999</v>
      </c>
      <c r="J1860" s="98">
        <v>-999</v>
      </c>
      <c r="K1860" s="135"/>
      <c r="L1860" s="61">
        <v>-999</v>
      </c>
    </row>
    <row r="1861" spans="1:16" ht="14" x14ac:dyDescent="0.15">
      <c r="A1861" s="165" t="s">
        <v>2479</v>
      </c>
      <c r="B1861" s="93" t="s">
        <v>2454</v>
      </c>
      <c r="C1861" s="102" t="s">
        <v>3636</v>
      </c>
      <c r="D1861" s="62" t="s">
        <v>2548</v>
      </c>
      <c r="E1861" s="102" t="s">
        <v>1605</v>
      </c>
      <c r="F1861" s="102" t="s">
        <v>1641</v>
      </c>
      <c r="G1861" s="102" t="s">
        <v>966</v>
      </c>
      <c r="H1861" s="175"/>
      <c r="I1861" s="98">
        <v>-999</v>
      </c>
      <c r="J1861" s="98">
        <v>-999</v>
      </c>
      <c r="K1861" s="135"/>
      <c r="L1861" s="61">
        <v>-999</v>
      </c>
    </row>
    <row r="1862" spans="1:16" ht="14" x14ac:dyDescent="0.15">
      <c r="A1862" s="165" t="s">
        <v>2479</v>
      </c>
      <c r="B1862" s="93" t="s">
        <v>2179</v>
      </c>
      <c r="C1862" s="102" t="s">
        <v>3636</v>
      </c>
      <c r="D1862" s="62" t="s">
        <v>2548</v>
      </c>
      <c r="E1862" s="102" t="s">
        <v>1605</v>
      </c>
      <c r="F1862" s="102" t="s">
        <v>1641</v>
      </c>
      <c r="G1862" s="102" t="s">
        <v>638</v>
      </c>
      <c r="H1862" s="175"/>
      <c r="I1862" s="85">
        <f t="shared" ref="I1862:I1881" si="70">LOG(J1862)</f>
        <v>0.6020599913279624</v>
      </c>
      <c r="J1862" s="104">
        <v>4</v>
      </c>
      <c r="K1862" s="144"/>
      <c r="L1862" s="61">
        <v>153</v>
      </c>
    </row>
    <row r="1863" spans="1:16" ht="56" x14ac:dyDescent="0.15">
      <c r="A1863" s="165" t="s">
        <v>2479</v>
      </c>
      <c r="B1863" s="93" t="s">
        <v>467</v>
      </c>
      <c r="C1863" s="102" t="s">
        <v>3636</v>
      </c>
      <c r="D1863" s="62" t="s">
        <v>2548</v>
      </c>
      <c r="E1863" s="102" t="s">
        <v>1605</v>
      </c>
      <c r="F1863" s="102" t="s">
        <v>1641</v>
      </c>
      <c r="G1863" s="102" t="s">
        <v>6152</v>
      </c>
      <c r="H1863" s="175"/>
      <c r="I1863" s="85">
        <f t="shared" si="70"/>
        <v>0.60566411559675182</v>
      </c>
      <c r="J1863" s="104">
        <v>4.0333333333330001</v>
      </c>
      <c r="K1863" s="144"/>
      <c r="L1863" s="61">
        <v>153</v>
      </c>
    </row>
    <row r="1864" spans="1:16" ht="28" x14ac:dyDescent="0.15">
      <c r="A1864" s="165" t="s">
        <v>2479</v>
      </c>
      <c r="B1864" s="93" t="s">
        <v>527</v>
      </c>
      <c r="C1864" s="102" t="s">
        <v>3636</v>
      </c>
      <c r="D1864" s="62" t="s">
        <v>2548</v>
      </c>
      <c r="E1864" s="102" t="s">
        <v>1605</v>
      </c>
      <c r="F1864" s="102" t="s">
        <v>1641</v>
      </c>
      <c r="G1864" s="102" t="s">
        <v>3207</v>
      </c>
      <c r="H1864" s="175"/>
      <c r="I1864" s="85">
        <f t="shared" si="70"/>
        <v>0.62324929039790045</v>
      </c>
      <c r="J1864" s="104">
        <v>4.2</v>
      </c>
      <c r="K1864" s="144"/>
      <c r="L1864" s="61">
        <v>153</v>
      </c>
    </row>
    <row r="1865" spans="1:16" ht="98" x14ac:dyDescent="0.15">
      <c r="A1865" s="165" t="s">
        <v>2479</v>
      </c>
      <c r="B1865" s="82" t="s">
        <v>712</v>
      </c>
      <c r="C1865" s="107" t="s">
        <v>3636</v>
      </c>
      <c r="D1865" s="62" t="s">
        <v>2548</v>
      </c>
      <c r="E1865" s="107" t="s">
        <v>1605</v>
      </c>
      <c r="F1865" s="107" t="s">
        <v>1641</v>
      </c>
      <c r="G1865" s="107" t="s">
        <v>5748</v>
      </c>
      <c r="H1865" s="179"/>
      <c r="I1865" s="85">
        <f t="shared" si="70"/>
        <v>0.76566855475901408</v>
      </c>
      <c r="J1865" s="104">
        <v>5.83</v>
      </c>
      <c r="K1865" s="144"/>
      <c r="L1865" s="61">
        <v>153</v>
      </c>
    </row>
    <row r="1866" spans="1:16" ht="14" x14ac:dyDescent="0.15">
      <c r="A1866" s="165" t="s">
        <v>2479</v>
      </c>
      <c r="B1866" s="93" t="s">
        <v>676</v>
      </c>
      <c r="C1866" s="102" t="s">
        <v>3636</v>
      </c>
      <c r="D1866" s="62" t="s">
        <v>2548</v>
      </c>
      <c r="E1866" s="102" t="s">
        <v>1605</v>
      </c>
      <c r="F1866" s="102" t="s">
        <v>1641</v>
      </c>
      <c r="G1866" s="102" t="s">
        <v>677</v>
      </c>
      <c r="H1866" s="175"/>
      <c r="I1866" s="98">
        <f t="shared" si="70"/>
        <v>0.78175537465246892</v>
      </c>
      <c r="J1866" s="98">
        <f>AVERAGE(4.5, 7.6)</f>
        <v>6.05</v>
      </c>
      <c r="K1866" s="135"/>
      <c r="L1866" s="61">
        <v>257</v>
      </c>
    </row>
    <row r="1867" spans="1:16" ht="28" x14ac:dyDescent="0.15">
      <c r="A1867" s="165" t="s">
        <v>2479</v>
      </c>
      <c r="B1867" s="93" t="s">
        <v>550</v>
      </c>
      <c r="C1867" s="102" t="s">
        <v>3636</v>
      </c>
      <c r="D1867" s="62" t="s">
        <v>2548</v>
      </c>
      <c r="E1867" s="102" t="s">
        <v>1605</v>
      </c>
      <c r="F1867" s="102" t="s">
        <v>1641</v>
      </c>
      <c r="G1867" s="102" t="s">
        <v>551</v>
      </c>
      <c r="H1867" s="175"/>
      <c r="I1867" s="85">
        <f t="shared" si="70"/>
        <v>0.79239168949825389</v>
      </c>
      <c r="J1867" s="104">
        <v>6.2</v>
      </c>
      <c r="K1867" s="144"/>
      <c r="L1867" s="61">
        <v>153</v>
      </c>
      <c r="P1867" s="49"/>
    </row>
    <row r="1868" spans="1:16" ht="42" x14ac:dyDescent="0.15">
      <c r="A1868" s="165" t="s">
        <v>2479</v>
      </c>
      <c r="B1868" s="93" t="s">
        <v>464</v>
      </c>
      <c r="C1868" s="102" t="s">
        <v>3636</v>
      </c>
      <c r="D1868" s="62" t="s">
        <v>2548</v>
      </c>
      <c r="E1868" s="102" t="s">
        <v>1605</v>
      </c>
      <c r="F1868" s="102" t="s">
        <v>1641</v>
      </c>
      <c r="G1868" s="102" t="s">
        <v>3829</v>
      </c>
      <c r="H1868" s="175"/>
      <c r="I1868" s="85">
        <f t="shared" si="70"/>
        <v>0.88318808962241524</v>
      </c>
      <c r="J1868" s="104">
        <v>7.6416666666669997</v>
      </c>
      <c r="K1868" s="144"/>
      <c r="L1868" s="61">
        <v>153</v>
      </c>
    </row>
    <row r="1869" spans="1:16" ht="28" x14ac:dyDescent="0.15">
      <c r="A1869" s="165" t="s">
        <v>2479</v>
      </c>
      <c r="B1869" s="93" t="s">
        <v>862</v>
      </c>
      <c r="C1869" s="102" t="s">
        <v>3636</v>
      </c>
      <c r="D1869" s="62" t="s">
        <v>2548</v>
      </c>
      <c r="E1869" s="102" t="s">
        <v>1605</v>
      </c>
      <c r="F1869" s="102" t="s">
        <v>1641</v>
      </c>
      <c r="G1869" s="102" t="s">
        <v>6284</v>
      </c>
      <c r="H1869" s="175"/>
      <c r="I1869" s="85">
        <f t="shared" si="70"/>
        <v>0.92941892571429274</v>
      </c>
      <c r="J1869" s="104">
        <v>8.5</v>
      </c>
      <c r="K1869" s="144"/>
      <c r="L1869" s="61">
        <v>153</v>
      </c>
    </row>
    <row r="1870" spans="1:16" ht="42" x14ac:dyDescent="0.15">
      <c r="A1870" s="165" t="s">
        <v>2479</v>
      </c>
      <c r="B1870" s="93" t="s">
        <v>863</v>
      </c>
      <c r="C1870" s="102" t="s">
        <v>3636</v>
      </c>
      <c r="D1870" s="62" t="s">
        <v>2548</v>
      </c>
      <c r="E1870" s="102" t="s">
        <v>1605</v>
      </c>
      <c r="F1870" s="102" t="s">
        <v>1641</v>
      </c>
      <c r="G1870" s="102" t="s">
        <v>2839</v>
      </c>
      <c r="H1870" s="175"/>
      <c r="I1870" s="85">
        <f t="shared" si="70"/>
        <v>0.95182303531591195</v>
      </c>
      <c r="J1870" s="104">
        <v>8.9499999999999993</v>
      </c>
      <c r="K1870" s="144"/>
      <c r="L1870" s="61">
        <v>153</v>
      </c>
    </row>
    <row r="1871" spans="1:16" ht="70" x14ac:dyDescent="0.15">
      <c r="A1871" s="165" t="s">
        <v>2479</v>
      </c>
      <c r="B1871" s="93" t="s">
        <v>547</v>
      </c>
      <c r="C1871" s="102" t="s">
        <v>3636</v>
      </c>
      <c r="D1871" s="62" t="s">
        <v>2548</v>
      </c>
      <c r="E1871" s="102" t="s">
        <v>1605</v>
      </c>
      <c r="F1871" s="102" t="s">
        <v>1641</v>
      </c>
      <c r="G1871" s="102" t="s">
        <v>6270</v>
      </c>
      <c r="H1871" s="175"/>
      <c r="I1871" s="85">
        <f t="shared" si="70"/>
        <v>0.97530048268973135</v>
      </c>
      <c r="J1871" s="104">
        <v>9.4471428571429996</v>
      </c>
      <c r="K1871" s="144"/>
      <c r="L1871" s="61">
        <v>153</v>
      </c>
      <c r="N1871" s="37" t="s">
        <v>7636</v>
      </c>
    </row>
    <row r="1872" spans="1:16" ht="14" x14ac:dyDescent="0.15">
      <c r="A1872" s="165" t="s">
        <v>2479</v>
      </c>
      <c r="B1872" s="93" t="s">
        <v>1850</v>
      </c>
      <c r="C1872" s="102" t="s">
        <v>3636</v>
      </c>
      <c r="D1872" s="62" t="s">
        <v>2548</v>
      </c>
      <c r="E1872" s="102" t="s">
        <v>1605</v>
      </c>
      <c r="F1872" s="102" t="s">
        <v>1641</v>
      </c>
      <c r="G1872" s="102" t="s">
        <v>548</v>
      </c>
      <c r="H1872" s="175"/>
      <c r="I1872" s="85">
        <f t="shared" si="70"/>
        <v>0.98452731334379262</v>
      </c>
      <c r="J1872" s="101">
        <v>9.65</v>
      </c>
      <c r="K1872" s="144"/>
      <c r="L1872" s="61">
        <v>153</v>
      </c>
    </row>
    <row r="1873" spans="1:26" ht="14" x14ac:dyDescent="0.15">
      <c r="A1873" s="62" t="s">
        <v>2479</v>
      </c>
      <c r="B1873" s="93" t="s">
        <v>1002</v>
      </c>
      <c r="C1873" s="102" t="s">
        <v>3636</v>
      </c>
      <c r="D1873" s="62" t="s">
        <v>2548</v>
      </c>
      <c r="E1873" s="102" t="s">
        <v>1605</v>
      </c>
      <c r="F1873" s="102" t="s">
        <v>1641</v>
      </c>
      <c r="G1873" s="102" t="s">
        <v>2803</v>
      </c>
      <c r="H1873" s="175"/>
      <c r="I1873" s="85">
        <f t="shared" si="70"/>
        <v>1.0182248201061812</v>
      </c>
      <c r="J1873" s="104">
        <v>10.428571428571001</v>
      </c>
      <c r="K1873" s="144"/>
      <c r="L1873" s="61">
        <v>153</v>
      </c>
    </row>
    <row r="1874" spans="1:26" ht="98" x14ac:dyDescent="0.15">
      <c r="A1874" s="61" t="s">
        <v>2479</v>
      </c>
      <c r="B1874" s="93" t="s">
        <v>2646</v>
      </c>
      <c r="C1874" s="102" t="s">
        <v>3636</v>
      </c>
      <c r="D1874" s="62" t="s">
        <v>2548</v>
      </c>
      <c r="E1874" s="102" t="s">
        <v>1605</v>
      </c>
      <c r="F1874" s="102" t="s">
        <v>1641</v>
      </c>
      <c r="G1874" s="102" t="s">
        <v>5630</v>
      </c>
      <c r="H1874" s="175"/>
      <c r="I1874" s="85">
        <f t="shared" si="70"/>
        <v>1.2977605110991339</v>
      </c>
      <c r="J1874" s="104">
        <v>19.850000000000001</v>
      </c>
      <c r="K1874" s="144"/>
      <c r="L1874" s="61">
        <v>153</v>
      </c>
    </row>
    <row r="1875" spans="1:26" ht="14" x14ac:dyDescent="0.15">
      <c r="A1875" s="62" t="s">
        <v>2479</v>
      </c>
      <c r="B1875" s="93" t="s">
        <v>2179</v>
      </c>
      <c r="C1875" s="102" t="s">
        <v>3636</v>
      </c>
      <c r="D1875" s="62" t="s">
        <v>2548</v>
      </c>
      <c r="E1875" s="102" t="s">
        <v>1605</v>
      </c>
      <c r="F1875" s="102" t="s">
        <v>1641</v>
      </c>
      <c r="G1875" s="102" t="s">
        <v>2647</v>
      </c>
      <c r="H1875" s="175"/>
      <c r="I1875" s="85">
        <f t="shared" si="70"/>
        <v>1.4927603890268375</v>
      </c>
      <c r="J1875" s="104">
        <v>31.1</v>
      </c>
      <c r="K1875" s="144"/>
      <c r="L1875" s="61">
        <v>153</v>
      </c>
    </row>
    <row r="1876" spans="1:26" ht="56" x14ac:dyDescent="0.15">
      <c r="A1876" s="61" t="s">
        <v>2479</v>
      </c>
      <c r="B1876" s="93" t="s">
        <v>818</v>
      </c>
      <c r="C1876" s="102" t="s">
        <v>3636</v>
      </c>
      <c r="D1876" s="62" t="s">
        <v>2548</v>
      </c>
      <c r="E1876" s="102" t="s">
        <v>1605</v>
      </c>
      <c r="F1876" s="102" t="s">
        <v>1641</v>
      </c>
      <c r="G1876" s="102" t="s">
        <v>819</v>
      </c>
      <c r="H1876" s="175"/>
      <c r="I1876" s="85">
        <f t="shared" si="70"/>
        <v>1.5230958382525679</v>
      </c>
      <c r="J1876" s="104">
        <v>33.35</v>
      </c>
      <c r="K1876" s="144"/>
      <c r="L1876" s="61">
        <v>153</v>
      </c>
    </row>
    <row r="1877" spans="1:26" ht="28" x14ac:dyDescent="0.15">
      <c r="A1877" s="62" t="s">
        <v>2479</v>
      </c>
      <c r="B1877" s="93" t="s">
        <v>733</v>
      </c>
      <c r="C1877" s="102" t="s">
        <v>3636</v>
      </c>
      <c r="D1877" s="62" t="s">
        <v>2548</v>
      </c>
      <c r="E1877" s="102" t="s">
        <v>1605</v>
      </c>
      <c r="F1877" s="102" t="s">
        <v>1641</v>
      </c>
      <c r="G1877" s="102" t="s">
        <v>526</v>
      </c>
      <c r="H1877" s="175"/>
      <c r="I1877" s="85">
        <f t="shared" si="70"/>
        <v>1.6020599913279623</v>
      </c>
      <c r="J1877" s="104">
        <v>40</v>
      </c>
      <c r="K1877" s="144"/>
      <c r="L1877" s="61">
        <v>153</v>
      </c>
    </row>
    <row r="1878" spans="1:26" ht="84" x14ac:dyDescent="0.15">
      <c r="A1878" s="62" t="s">
        <v>2479</v>
      </c>
      <c r="B1878" s="93" t="s">
        <v>820</v>
      </c>
      <c r="C1878" s="102" t="s">
        <v>3636</v>
      </c>
      <c r="D1878" s="62" t="s">
        <v>2548</v>
      </c>
      <c r="E1878" s="102" t="s">
        <v>1605</v>
      </c>
      <c r="F1878" s="102" t="s">
        <v>1641</v>
      </c>
      <c r="G1878" s="102" t="s">
        <v>5329</v>
      </c>
      <c r="H1878" s="175"/>
      <c r="I1878" s="85">
        <f t="shared" si="70"/>
        <v>1.6411134007807826</v>
      </c>
      <c r="J1878" s="104">
        <v>43.763636363636003</v>
      </c>
      <c r="K1878" s="144"/>
      <c r="L1878" s="61">
        <v>153</v>
      </c>
    </row>
    <row r="1879" spans="1:26" ht="14" x14ac:dyDescent="0.15">
      <c r="A1879" s="62" t="s">
        <v>2479</v>
      </c>
      <c r="B1879" s="93" t="s">
        <v>821</v>
      </c>
      <c r="C1879" s="102" t="s">
        <v>3636</v>
      </c>
      <c r="D1879" s="62" t="s">
        <v>2548</v>
      </c>
      <c r="E1879" s="102" t="s">
        <v>1605</v>
      </c>
      <c r="F1879" s="102" t="s">
        <v>1641</v>
      </c>
      <c r="G1879" s="102" t="s">
        <v>1860</v>
      </c>
      <c r="H1879" s="175"/>
      <c r="I1879" s="85">
        <f t="shared" si="70"/>
        <v>1.7193312869837267</v>
      </c>
      <c r="J1879" s="104">
        <v>52.4</v>
      </c>
      <c r="K1879" s="144"/>
      <c r="L1879" s="61">
        <v>153</v>
      </c>
    </row>
    <row r="1880" spans="1:26" ht="56" x14ac:dyDescent="0.15">
      <c r="A1880" s="62" t="s">
        <v>2479</v>
      </c>
      <c r="B1880" s="93" t="s">
        <v>439</v>
      </c>
      <c r="C1880" s="102" t="s">
        <v>3636</v>
      </c>
      <c r="D1880" s="62" t="s">
        <v>2548</v>
      </c>
      <c r="E1880" s="102" t="s">
        <v>1605</v>
      </c>
      <c r="F1880" s="102" t="s">
        <v>1641</v>
      </c>
      <c r="G1880" s="102" t="s">
        <v>440</v>
      </c>
      <c r="H1880" s="175"/>
      <c r="I1880" s="85">
        <f t="shared" si="70"/>
        <v>1.7242758696007889</v>
      </c>
      <c r="J1880" s="104">
        <v>53</v>
      </c>
      <c r="K1880" s="144"/>
      <c r="L1880" s="61">
        <v>153</v>
      </c>
    </row>
    <row r="1881" spans="1:26" ht="14" x14ac:dyDescent="0.15">
      <c r="A1881" s="62" t="s">
        <v>2479</v>
      </c>
      <c r="B1881" s="93" t="s">
        <v>967</v>
      </c>
      <c r="C1881" s="102" t="s">
        <v>3636</v>
      </c>
      <c r="D1881" s="62" t="s">
        <v>2548</v>
      </c>
      <c r="E1881" s="102" t="s">
        <v>1605</v>
      </c>
      <c r="F1881" s="102" t="s">
        <v>968</v>
      </c>
      <c r="G1881" s="102" t="s">
        <v>1913</v>
      </c>
      <c r="H1881" s="175"/>
      <c r="I1881" s="98">
        <f t="shared" si="70"/>
        <v>0.75357570569657195</v>
      </c>
      <c r="J1881" s="98">
        <f>0.2*28.34952</f>
        <v>5.6699039999999998</v>
      </c>
      <c r="K1881" s="135"/>
      <c r="L1881" s="61">
        <v>215</v>
      </c>
    </row>
    <row r="1882" spans="1:26" ht="14" x14ac:dyDescent="0.15">
      <c r="A1882" s="62" t="s">
        <v>2479</v>
      </c>
      <c r="B1882" s="93" t="s">
        <v>997</v>
      </c>
      <c r="C1882" s="102" t="s">
        <v>3636</v>
      </c>
      <c r="D1882" s="62" t="s">
        <v>2548</v>
      </c>
      <c r="E1882" s="102" t="s">
        <v>1605</v>
      </c>
      <c r="F1882" s="102" t="s">
        <v>1310</v>
      </c>
      <c r="G1882" s="102" t="s">
        <v>998</v>
      </c>
      <c r="H1882" s="175"/>
      <c r="I1882" s="98">
        <v>-999</v>
      </c>
      <c r="J1882" s="98">
        <v>-999</v>
      </c>
      <c r="K1882" s="135"/>
      <c r="L1882" s="61">
        <v>-999</v>
      </c>
    </row>
    <row r="1883" spans="1:26" ht="14" x14ac:dyDescent="0.15">
      <c r="A1883" s="62" t="s">
        <v>2479</v>
      </c>
      <c r="B1883" s="93" t="s">
        <v>790</v>
      </c>
      <c r="C1883" s="102" t="s">
        <v>3636</v>
      </c>
      <c r="D1883" s="62" t="s">
        <v>2548</v>
      </c>
      <c r="E1883" s="102" t="s">
        <v>1605</v>
      </c>
      <c r="F1883" s="102" t="s">
        <v>1310</v>
      </c>
      <c r="G1883" s="102" t="s">
        <v>791</v>
      </c>
      <c r="H1883" s="175"/>
      <c r="I1883" s="98">
        <v>-999</v>
      </c>
      <c r="J1883" s="98">
        <v>-999</v>
      </c>
      <c r="K1883" s="135"/>
      <c r="L1883" s="61">
        <v>-999</v>
      </c>
    </row>
    <row r="1884" spans="1:26" ht="14" x14ac:dyDescent="0.15">
      <c r="A1884" s="62" t="s">
        <v>2479</v>
      </c>
      <c r="B1884" s="93" t="s">
        <v>1856</v>
      </c>
      <c r="C1884" s="102" t="s">
        <v>3636</v>
      </c>
      <c r="D1884" s="62" t="s">
        <v>2548</v>
      </c>
      <c r="E1884" s="102" t="s">
        <v>1605</v>
      </c>
      <c r="F1884" s="102" t="s">
        <v>1310</v>
      </c>
      <c r="G1884" s="102" t="s">
        <v>7869</v>
      </c>
      <c r="H1884" s="175"/>
      <c r="I1884" s="98">
        <v>-999</v>
      </c>
      <c r="J1884" s="98">
        <v>-999</v>
      </c>
      <c r="K1884" s="135"/>
      <c r="L1884" s="61">
        <v>-999</v>
      </c>
      <c r="Q1884" s="14"/>
      <c r="R1884" s="14"/>
    </row>
    <row r="1885" spans="1:26" ht="14" x14ac:dyDescent="0.15">
      <c r="A1885" s="62" t="s">
        <v>2479</v>
      </c>
      <c r="B1885" s="93" t="s">
        <v>2702</v>
      </c>
      <c r="C1885" s="102" t="s">
        <v>3636</v>
      </c>
      <c r="D1885" s="62" t="s">
        <v>2548</v>
      </c>
      <c r="E1885" s="102" t="s">
        <v>1605</v>
      </c>
      <c r="F1885" s="102" t="s">
        <v>1310</v>
      </c>
      <c r="G1885" s="102" t="s">
        <v>4501</v>
      </c>
      <c r="H1885" s="175"/>
      <c r="I1885" s="98">
        <v>-999</v>
      </c>
      <c r="J1885" s="98">
        <v>-999</v>
      </c>
      <c r="K1885" s="135"/>
      <c r="L1885" s="61">
        <v>-999</v>
      </c>
    </row>
    <row r="1886" spans="1:26" s="15" customFormat="1" ht="14" x14ac:dyDescent="0.15">
      <c r="A1886" s="62" t="s">
        <v>2479</v>
      </c>
      <c r="B1886" s="93" t="s">
        <v>2769</v>
      </c>
      <c r="C1886" s="102" t="s">
        <v>3636</v>
      </c>
      <c r="D1886" s="62" t="s">
        <v>2548</v>
      </c>
      <c r="E1886" s="102" t="s">
        <v>1605</v>
      </c>
      <c r="F1886" s="102" t="s">
        <v>1310</v>
      </c>
      <c r="G1886" s="102" t="s">
        <v>1963</v>
      </c>
      <c r="H1886" s="175"/>
      <c r="I1886" s="98">
        <v>-999</v>
      </c>
      <c r="J1886" s="98">
        <v>-999</v>
      </c>
      <c r="K1886" s="135"/>
      <c r="L1886" s="61">
        <v>-999</v>
      </c>
      <c r="M1886" s="49"/>
      <c r="N1886" s="37"/>
      <c r="O1886" s="37"/>
      <c r="P1886" s="37"/>
      <c r="Q1886" s="14"/>
      <c r="R1886" s="14"/>
      <c r="S1886" s="14"/>
      <c r="T1886" s="14"/>
      <c r="U1886" s="14"/>
      <c r="V1886" s="14"/>
      <c r="W1886" s="14"/>
      <c r="X1886" s="14"/>
      <c r="Y1886" s="14"/>
      <c r="Z1886" s="17"/>
    </row>
    <row r="1887" spans="1:26" ht="28" x14ac:dyDescent="0.15">
      <c r="A1887" s="165" t="s">
        <v>2479</v>
      </c>
      <c r="B1887" s="93" t="s">
        <v>2680</v>
      </c>
      <c r="C1887" s="102" t="s">
        <v>3636</v>
      </c>
      <c r="D1887" s="62" t="s">
        <v>2548</v>
      </c>
      <c r="E1887" s="102" t="s">
        <v>1605</v>
      </c>
      <c r="F1887" s="102" t="s">
        <v>1310</v>
      </c>
      <c r="G1887" s="102" t="s">
        <v>2896</v>
      </c>
      <c r="H1887" s="175"/>
      <c r="I1887" s="98">
        <v>-999</v>
      </c>
      <c r="J1887" s="98">
        <v>-999</v>
      </c>
      <c r="K1887" s="135"/>
      <c r="L1887" s="61">
        <v>-999</v>
      </c>
    </row>
    <row r="1888" spans="1:26" ht="70" x14ac:dyDescent="0.15">
      <c r="A1888" s="165" t="s">
        <v>2479</v>
      </c>
      <c r="B1888" s="93" t="s">
        <v>969</v>
      </c>
      <c r="C1888" s="102" t="s">
        <v>3636</v>
      </c>
      <c r="D1888" s="62" t="s">
        <v>2548</v>
      </c>
      <c r="E1888" s="102" t="s">
        <v>1605</v>
      </c>
      <c r="F1888" s="102" t="s">
        <v>1310</v>
      </c>
      <c r="G1888" s="102" t="s">
        <v>970</v>
      </c>
      <c r="H1888" s="175"/>
      <c r="I1888" s="85">
        <f t="shared" ref="I1888:I1920" si="71">LOG(J1888)</f>
        <v>0.67294997295450032</v>
      </c>
      <c r="J1888" s="104">
        <v>4.7092307692309996</v>
      </c>
      <c r="K1888" s="144"/>
      <c r="L1888" s="61">
        <v>153</v>
      </c>
      <c r="N1888" s="49" t="s">
        <v>7633</v>
      </c>
    </row>
    <row r="1889" spans="1:26" ht="14" x14ac:dyDescent="0.15">
      <c r="A1889" s="165" t="s">
        <v>2479</v>
      </c>
      <c r="B1889" s="93" t="s">
        <v>2179</v>
      </c>
      <c r="C1889" s="102" t="s">
        <v>3636</v>
      </c>
      <c r="D1889" s="62" t="s">
        <v>2548</v>
      </c>
      <c r="E1889" s="102" t="s">
        <v>1605</v>
      </c>
      <c r="F1889" s="102" t="s">
        <v>1310</v>
      </c>
      <c r="G1889" s="102" t="s">
        <v>917</v>
      </c>
      <c r="H1889" s="175"/>
      <c r="I1889" s="85">
        <f t="shared" si="71"/>
        <v>0.70070371714501933</v>
      </c>
      <c r="J1889" s="104">
        <v>5.0199999999999996</v>
      </c>
      <c r="K1889" s="144"/>
      <c r="L1889" s="61">
        <v>153</v>
      </c>
    </row>
    <row r="1890" spans="1:26" ht="70" x14ac:dyDescent="0.15">
      <c r="A1890" s="165" t="s">
        <v>2479</v>
      </c>
      <c r="B1890" s="93" t="s">
        <v>673</v>
      </c>
      <c r="C1890" s="102" t="s">
        <v>3636</v>
      </c>
      <c r="D1890" s="62" t="s">
        <v>2548</v>
      </c>
      <c r="E1890" s="102" t="s">
        <v>1605</v>
      </c>
      <c r="F1890" s="102" t="s">
        <v>1310</v>
      </c>
      <c r="G1890" s="102" t="s">
        <v>4291</v>
      </c>
      <c r="H1890" s="175"/>
      <c r="I1890" s="85">
        <f t="shared" si="71"/>
        <v>0.71180722904119109</v>
      </c>
      <c r="J1890" s="104">
        <v>5.15</v>
      </c>
      <c r="K1890" s="144"/>
      <c r="L1890" s="61">
        <v>153</v>
      </c>
    </row>
    <row r="1891" spans="1:26" ht="56" x14ac:dyDescent="0.15">
      <c r="A1891" s="165" t="s">
        <v>2479</v>
      </c>
      <c r="B1891" s="93" t="s">
        <v>2760</v>
      </c>
      <c r="C1891" s="102" t="s">
        <v>3636</v>
      </c>
      <c r="D1891" s="62" t="s">
        <v>2548</v>
      </c>
      <c r="E1891" s="102" t="s">
        <v>1605</v>
      </c>
      <c r="F1891" s="102" t="s">
        <v>1310</v>
      </c>
      <c r="G1891" s="102" t="s">
        <v>2083</v>
      </c>
      <c r="H1891" s="175"/>
      <c r="I1891" s="85">
        <f t="shared" si="71"/>
        <v>0.75587485567249146</v>
      </c>
      <c r="J1891" s="104">
        <v>5.7</v>
      </c>
      <c r="K1891" s="144"/>
      <c r="L1891" s="61">
        <v>153</v>
      </c>
    </row>
    <row r="1892" spans="1:26" ht="42" x14ac:dyDescent="0.15">
      <c r="A1892" s="165" t="s">
        <v>2479</v>
      </c>
      <c r="B1892" s="93" t="s">
        <v>2750</v>
      </c>
      <c r="C1892" s="102" t="s">
        <v>3636</v>
      </c>
      <c r="D1892" s="62" t="s">
        <v>2548</v>
      </c>
      <c r="E1892" s="102" t="s">
        <v>1605</v>
      </c>
      <c r="F1892" s="102" t="s">
        <v>1310</v>
      </c>
      <c r="G1892" s="102" t="s">
        <v>3959</v>
      </c>
      <c r="H1892" s="175"/>
      <c r="I1892" s="85">
        <f t="shared" si="71"/>
        <v>0.7888751157754168</v>
      </c>
      <c r="J1892" s="104">
        <v>6.15</v>
      </c>
      <c r="K1892" s="144"/>
      <c r="L1892" s="61">
        <v>153</v>
      </c>
    </row>
    <row r="1893" spans="1:26" ht="28" x14ac:dyDescent="0.15">
      <c r="A1893" s="165" t="s">
        <v>2479</v>
      </c>
      <c r="B1893" s="93" t="s">
        <v>2753</v>
      </c>
      <c r="C1893" s="102" t="s">
        <v>3636</v>
      </c>
      <c r="D1893" s="62" t="s">
        <v>2548</v>
      </c>
      <c r="E1893" s="102" t="s">
        <v>1605</v>
      </c>
      <c r="F1893" s="102" t="s">
        <v>1310</v>
      </c>
      <c r="G1893" s="102" t="s">
        <v>5157</v>
      </c>
      <c r="H1893" s="175"/>
      <c r="I1893" s="85">
        <f t="shared" si="71"/>
        <v>0.82607480270082645</v>
      </c>
      <c r="J1893" s="104">
        <v>6.7</v>
      </c>
      <c r="K1893" s="144"/>
      <c r="L1893" s="61">
        <v>153</v>
      </c>
    </row>
    <row r="1894" spans="1:26" ht="28" x14ac:dyDescent="0.15">
      <c r="A1894" s="165" t="s">
        <v>2479</v>
      </c>
      <c r="B1894" s="93" t="s">
        <v>2754</v>
      </c>
      <c r="C1894" s="102" t="s">
        <v>3636</v>
      </c>
      <c r="D1894" s="62" t="s">
        <v>2548</v>
      </c>
      <c r="E1894" s="102" t="s">
        <v>1605</v>
      </c>
      <c r="F1894" s="102" t="s">
        <v>1310</v>
      </c>
      <c r="G1894" s="102" t="s">
        <v>2670</v>
      </c>
      <c r="H1894" s="175"/>
      <c r="I1894" s="85">
        <f t="shared" si="71"/>
        <v>0.85125834871907524</v>
      </c>
      <c r="J1894" s="104">
        <v>7.1</v>
      </c>
      <c r="K1894" s="144"/>
      <c r="L1894" s="61">
        <v>153</v>
      </c>
    </row>
    <row r="1895" spans="1:26" s="15" customFormat="1" ht="28" x14ac:dyDescent="0.15">
      <c r="A1895" s="165" t="s">
        <v>2479</v>
      </c>
      <c r="B1895" s="93" t="s">
        <v>2575</v>
      </c>
      <c r="C1895" s="102" t="s">
        <v>3636</v>
      </c>
      <c r="D1895" s="62" t="s">
        <v>2548</v>
      </c>
      <c r="E1895" s="102" t="s">
        <v>1605</v>
      </c>
      <c r="F1895" s="102" t="s">
        <v>1310</v>
      </c>
      <c r="G1895" s="102" t="s">
        <v>2576</v>
      </c>
      <c r="H1895" s="175"/>
      <c r="I1895" s="85">
        <f t="shared" si="71"/>
        <v>0.85733249643126852</v>
      </c>
      <c r="J1895" s="104">
        <v>7.2</v>
      </c>
      <c r="K1895" s="144"/>
      <c r="L1895" s="61">
        <v>153</v>
      </c>
      <c r="M1895" s="49"/>
      <c r="N1895" s="37"/>
      <c r="O1895" s="37"/>
      <c r="P1895" s="37"/>
      <c r="Q1895" s="3"/>
      <c r="R1895" s="3"/>
      <c r="S1895" s="14"/>
      <c r="T1895" s="14"/>
      <c r="U1895" s="14"/>
      <c r="V1895" s="14"/>
      <c r="W1895" s="14"/>
      <c r="X1895" s="14"/>
      <c r="Y1895" s="14"/>
      <c r="Z1895" s="17"/>
    </row>
    <row r="1896" spans="1:26" ht="84" x14ac:dyDescent="0.15">
      <c r="A1896" s="165" t="s">
        <v>2479</v>
      </c>
      <c r="B1896" s="93" t="s">
        <v>925</v>
      </c>
      <c r="C1896" s="102" t="s">
        <v>3636</v>
      </c>
      <c r="D1896" s="62" t="s">
        <v>2548</v>
      </c>
      <c r="E1896" s="102" t="s">
        <v>1605</v>
      </c>
      <c r="F1896" s="102" t="s">
        <v>1310</v>
      </c>
      <c r="G1896" s="102" t="s">
        <v>926</v>
      </c>
      <c r="H1896" s="175"/>
      <c r="I1896" s="98">
        <f t="shared" si="71"/>
        <v>0.89762709129044149</v>
      </c>
      <c r="J1896" s="98">
        <f>AVERAGE(6.4, 9.4)</f>
        <v>7.9</v>
      </c>
      <c r="K1896" s="135"/>
      <c r="L1896" s="61">
        <v>257</v>
      </c>
    </row>
    <row r="1897" spans="1:26" ht="42" x14ac:dyDescent="0.15">
      <c r="A1897" s="165" t="s">
        <v>2479</v>
      </c>
      <c r="B1897" s="93" t="s">
        <v>777</v>
      </c>
      <c r="C1897" s="102" t="s">
        <v>3636</v>
      </c>
      <c r="D1897" s="62" t="s">
        <v>2548</v>
      </c>
      <c r="E1897" s="102" t="s">
        <v>1605</v>
      </c>
      <c r="F1897" s="102" t="s">
        <v>1310</v>
      </c>
      <c r="G1897" s="102" t="s">
        <v>778</v>
      </c>
      <c r="H1897" s="175"/>
      <c r="I1897" s="85">
        <f t="shared" si="71"/>
        <v>0.89762709129044149</v>
      </c>
      <c r="J1897" s="104">
        <v>7.9</v>
      </c>
      <c r="K1897" s="144"/>
      <c r="L1897" s="61">
        <v>153</v>
      </c>
    </row>
    <row r="1898" spans="1:26" ht="84" x14ac:dyDescent="0.15">
      <c r="A1898" s="165" t="s">
        <v>2479</v>
      </c>
      <c r="B1898" s="93" t="s">
        <v>538</v>
      </c>
      <c r="C1898" s="102" t="s">
        <v>3636</v>
      </c>
      <c r="D1898" s="62" t="s">
        <v>2548</v>
      </c>
      <c r="E1898" s="102" t="s">
        <v>1605</v>
      </c>
      <c r="F1898" s="102" t="s">
        <v>1310</v>
      </c>
      <c r="G1898" s="102" t="s">
        <v>539</v>
      </c>
      <c r="H1898" s="175"/>
      <c r="I1898" s="85">
        <f t="shared" si="71"/>
        <v>0.91115760873997664</v>
      </c>
      <c r="J1898" s="104">
        <v>8.15</v>
      </c>
      <c r="K1898" s="144"/>
      <c r="L1898" s="61">
        <v>153</v>
      </c>
      <c r="N1898" s="49" t="s">
        <v>7634</v>
      </c>
    </row>
    <row r="1899" spans="1:26" ht="14" x14ac:dyDescent="0.15">
      <c r="A1899" s="165" t="s">
        <v>2479</v>
      </c>
      <c r="B1899" s="93" t="s">
        <v>540</v>
      </c>
      <c r="C1899" s="102" t="s">
        <v>3636</v>
      </c>
      <c r="D1899" s="62" t="s">
        <v>2548</v>
      </c>
      <c r="E1899" s="102" t="s">
        <v>1605</v>
      </c>
      <c r="F1899" s="102" t="s">
        <v>1310</v>
      </c>
      <c r="G1899" s="102" t="s">
        <v>541</v>
      </c>
      <c r="H1899" s="175"/>
      <c r="I1899" s="85">
        <f t="shared" si="71"/>
        <v>0.91592721169711577</v>
      </c>
      <c r="J1899" s="104">
        <v>8.24</v>
      </c>
      <c r="K1899" s="144"/>
      <c r="L1899" s="61">
        <v>153</v>
      </c>
    </row>
    <row r="1900" spans="1:26" ht="28" x14ac:dyDescent="0.15">
      <c r="A1900" s="165" t="s">
        <v>2479</v>
      </c>
      <c r="B1900" s="93" t="s">
        <v>457</v>
      </c>
      <c r="C1900" s="102" t="s">
        <v>3636</v>
      </c>
      <c r="D1900" s="62" t="s">
        <v>2548</v>
      </c>
      <c r="E1900" s="102" t="s">
        <v>1605</v>
      </c>
      <c r="F1900" s="102" t="s">
        <v>1310</v>
      </c>
      <c r="G1900" s="102" t="s">
        <v>4669</v>
      </c>
      <c r="H1900" s="175"/>
      <c r="I1900" s="85">
        <f t="shared" si="71"/>
        <v>0.91881639036037954</v>
      </c>
      <c r="J1900" s="104">
        <v>8.2949999999999999</v>
      </c>
      <c r="K1900" s="144"/>
      <c r="L1900" s="61">
        <v>153</v>
      </c>
    </row>
    <row r="1901" spans="1:26" ht="28" x14ac:dyDescent="0.15">
      <c r="A1901" s="165" t="s">
        <v>2479</v>
      </c>
      <c r="B1901" s="93" t="s">
        <v>458</v>
      </c>
      <c r="C1901" s="102" t="s">
        <v>3636</v>
      </c>
      <c r="D1901" s="62" t="s">
        <v>2548</v>
      </c>
      <c r="E1901" s="102" t="s">
        <v>1605</v>
      </c>
      <c r="F1901" s="102" t="s">
        <v>1310</v>
      </c>
      <c r="G1901" s="102" t="s">
        <v>4360</v>
      </c>
      <c r="H1901" s="175"/>
      <c r="I1901" s="85">
        <f t="shared" si="71"/>
        <v>0.92941892571429274</v>
      </c>
      <c r="J1901" s="104">
        <v>8.5</v>
      </c>
      <c r="K1901" s="144"/>
      <c r="L1901" s="61">
        <v>153</v>
      </c>
    </row>
    <row r="1902" spans="1:26" ht="14" x14ac:dyDescent="0.15">
      <c r="A1902" s="165" t="s">
        <v>2479</v>
      </c>
      <c r="B1902" s="93" t="s">
        <v>1850</v>
      </c>
      <c r="C1902" s="102" t="s">
        <v>3636</v>
      </c>
      <c r="D1902" s="62" t="s">
        <v>2548</v>
      </c>
      <c r="E1902" s="102" t="s">
        <v>1605</v>
      </c>
      <c r="F1902" s="102" t="s">
        <v>1310</v>
      </c>
      <c r="G1902" s="102" t="s">
        <v>549</v>
      </c>
      <c r="H1902" s="175"/>
      <c r="I1902" s="85">
        <f t="shared" si="71"/>
        <v>0.94200805302231327</v>
      </c>
      <c r="J1902" s="104">
        <v>8.75</v>
      </c>
      <c r="K1902" s="144"/>
      <c r="L1902" s="61">
        <v>153</v>
      </c>
    </row>
    <row r="1903" spans="1:26" ht="28" x14ac:dyDescent="0.15">
      <c r="A1903" s="165" t="s">
        <v>2479</v>
      </c>
      <c r="B1903" s="93" t="s">
        <v>871</v>
      </c>
      <c r="C1903" s="102" t="s">
        <v>3636</v>
      </c>
      <c r="D1903" s="62" t="s">
        <v>2548</v>
      </c>
      <c r="E1903" s="102" t="s">
        <v>1605</v>
      </c>
      <c r="F1903" s="102" t="s">
        <v>1310</v>
      </c>
      <c r="G1903" s="102" t="s">
        <v>779</v>
      </c>
      <c r="H1903" s="175"/>
      <c r="I1903" s="85">
        <f t="shared" si="71"/>
        <v>0.98272338766854528</v>
      </c>
      <c r="J1903" s="104">
        <v>9.61</v>
      </c>
      <c r="K1903" s="144"/>
      <c r="L1903" s="61">
        <v>153</v>
      </c>
    </row>
    <row r="1904" spans="1:26" ht="154" x14ac:dyDescent="0.15">
      <c r="A1904" s="165" t="s">
        <v>2479</v>
      </c>
      <c r="B1904" s="93" t="s">
        <v>2704</v>
      </c>
      <c r="C1904" s="102" t="s">
        <v>3636</v>
      </c>
      <c r="D1904" s="62" t="s">
        <v>2548</v>
      </c>
      <c r="E1904" s="102" t="s">
        <v>1605</v>
      </c>
      <c r="F1904" s="102" t="s">
        <v>1310</v>
      </c>
      <c r="G1904" s="102" t="s">
        <v>2705</v>
      </c>
      <c r="H1904" s="175"/>
      <c r="I1904" s="85">
        <f t="shared" si="71"/>
        <v>0.98677173426624487</v>
      </c>
      <c r="J1904" s="104">
        <v>9.6999999999999993</v>
      </c>
      <c r="K1904" s="144"/>
      <c r="L1904" s="61">
        <v>153</v>
      </c>
      <c r="N1904" s="37" t="s">
        <v>7634</v>
      </c>
      <c r="Q1904" s="12"/>
      <c r="R1904" s="12"/>
    </row>
    <row r="1905" spans="1:15" ht="56" x14ac:dyDescent="0.15">
      <c r="A1905" s="165" t="s">
        <v>2479</v>
      </c>
      <c r="B1905" s="93" t="s">
        <v>2726</v>
      </c>
      <c r="C1905" s="102" t="s">
        <v>3636</v>
      </c>
      <c r="D1905" s="62" t="s">
        <v>2548</v>
      </c>
      <c r="E1905" s="102" t="s">
        <v>1605</v>
      </c>
      <c r="F1905" s="102" t="s">
        <v>1310</v>
      </c>
      <c r="G1905" s="102" t="s">
        <v>3489</v>
      </c>
      <c r="H1905" s="175"/>
      <c r="I1905" s="85">
        <f t="shared" si="71"/>
        <v>1.0702226334609581</v>
      </c>
      <c r="J1905" s="104">
        <v>11.755000000000001</v>
      </c>
      <c r="K1905" s="144"/>
      <c r="L1905" s="61">
        <v>153</v>
      </c>
    </row>
    <row r="1906" spans="1:15" ht="84" x14ac:dyDescent="0.15">
      <c r="A1906" s="165" t="s">
        <v>2479</v>
      </c>
      <c r="B1906" s="93" t="s">
        <v>899</v>
      </c>
      <c r="C1906" s="102" t="s">
        <v>3636</v>
      </c>
      <c r="D1906" s="62" t="s">
        <v>2548</v>
      </c>
      <c r="E1906" s="102" t="s">
        <v>1605</v>
      </c>
      <c r="F1906" s="102" t="s">
        <v>1310</v>
      </c>
      <c r="G1906" s="102" t="s">
        <v>979</v>
      </c>
      <c r="H1906" s="175"/>
      <c r="I1906" s="85">
        <f t="shared" si="71"/>
        <v>1.0706534506681724</v>
      </c>
      <c r="J1906" s="104">
        <v>11.766666666667</v>
      </c>
      <c r="K1906" s="144"/>
      <c r="L1906" s="61">
        <v>153</v>
      </c>
    </row>
    <row r="1907" spans="1:15" ht="28" x14ac:dyDescent="0.15">
      <c r="A1907" s="165" t="s">
        <v>2479</v>
      </c>
      <c r="B1907" s="93" t="s">
        <v>2732</v>
      </c>
      <c r="C1907" s="102" t="s">
        <v>3636</v>
      </c>
      <c r="D1907" s="62" t="s">
        <v>2548</v>
      </c>
      <c r="E1907" s="102" t="s">
        <v>1605</v>
      </c>
      <c r="F1907" s="102" t="s">
        <v>1310</v>
      </c>
      <c r="G1907" s="102" t="s">
        <v>2733</v>
      </c>
      <c r="H1907" s="175"/>
      <c r="I1907" s="85">
        <f t="shared" si="71"/>
        <v>1.0713910016213852</v>
      </c>
      <c r="J1907" s="104">
        <v>11.786666666666999</v>
      </c>
      <c r="K1907" s="144"/>
      <c r="L1907" s="61">
        <v>153</v>
      </c>
    </row>
    <row r="1908" spans="1:15" ht="112" x14ac:dyDescent="0.15">
      <c r="A1908" s="165" t="s">
        <v>2479</v>
      </c>
      <c r="B1908" s="93" t="s">
        <v>1091</v>
      </c>
      <c r="C1908" s="102" t="s">
        <v>3636</v>
      </c>
      <c r="D1908" s="62" t="s">
        <v>2548</v>
      </c>
      <c r="E1908" s="102" t="s">
        <v>1605</v>
      </c>
      <c r="F1908" s="102" t="s">
        <v>1310</v>
      </c>
      <c r="G1908" s="102" t="s">
        <v>1092</v>
      </c>
      <c r="H1908" s="175"/>
      <c r="I1908" s="85">
        <f t="shared" si="71"/>
        <v>1.0910804693473208</v>
      </c>
      <c r="J1908" s="104">
        <v>12.333333333333</v>
      </c>
      <c r="K1908" s="144"/>
      <c r="L1908" s="61">
        <v>153</v>
      </c>
      <c r="N1908" s="37" t="s">
        <v>7635</v>
      </c>
    </row>
    <row r="1909" spans="1:15" ht="70" x14ac:dyDescent="0.15">
      <c r="A1909" s="165" t="s">
        <v>2479</v>
      </c>
      <c r="B1909" s="93" t="s">
        <v>2712</v>
      </c>
      <c r="C1909" s="102" t="s">
        <v>3636</v>
      </c>
      <c r="D1909" s="62" t="s">
        <v>2548</v>
      </c>
      <c r="E1909" s="102" t="s">
        <v>1605</v>
      </c>
      <c r="F1909" s="102" t="s">
        <v>1310</v>
      </c>
      <c r="G1909" s="102" t="s">
        <v>7186</v>
      </c>
      <c r="H1909" s="175"/>
      <c r="I1909" s="85">
        <f t="shared" si="71"/>
        <v>1.146128035678238</v>
      </c>
      <c r="J1909" s="104">
        <v>14</v>
      </c>
      <c r="K1909" s="144"/>
      <c r="L1909" s="61">
        <v>153</v>
      </c>
    </row>
    <row r="1910" spans="1:15" ht="70" x14ac:dyDescent="0.15">
      <c r="A1910" s="165" t="s">
        <v>2479</v>
      </c>
      <c r="B1910" s="93" t="s">
        <v>730</v>
      </c>
      <c r="C1910" s="102" t="s">
        <v>3636</v>
      </c>
      <c r="D1910" s="62" t="s">
        <v>2548</v>
      </c>
      <c r="E1910" s="102" t="s">
        <v>1605</v>
      </c>
      <c r="F1910" s="102" t="s">
        <v>1310</v>
      </c>
      <c r="G1910" s="102" t="s">
        <v>731</v>
      </c>
      <c r="H1910" s="175"/>
      <c r="I1910" s="85">
        <f t="shared" si="71"/>
        <v>1.1702617153949575</v>
      </c>
      <c r="J1910" s="104">
        <v>14.8</v>
      </c>
      <c r="K1910" s="144"/>
      <c r="L1910" s="61">
        <v>153</v>
      </c>
    </row>
    <row r="1911" spans="1:15" ht="70" x14ac:dyDescent="0.15">
      <c r="A1911" s="165" t="s">
        <v>2479</v>
      </c>
      <c r="B1911" s="93" t="s">
        <v>668</v>
      </c>
      <c r="C1911" s="102" t="s">
        <v>3636</v>
      </c>
      <c r="D1911" s="62" t="s">
        <v>2548</v>
      </c>
      <c r="E1911" s="102" t="s">
        <v>1605</v>
      </c>
      <c r="F1911" s="102" t="s">
        <v>1310</v>
      </c>
      <c r="G1911" s="102" t="s">
        <v>581</v>
      </c>
      <c r="H1911" s="175"/>
      <c r="I1911" s="85">
        <f t="shared" si="71"/>
        <v>1.1946877475473396</v>
      </c>
      <c r="J1911" s="104">
        <v>15.65625</v>
      </c>
      <c r="K1911" s="144"/>
      <c r="L1911" s="61">
        <v>153</v>
      </c>
      <c r="N1911" s="37" t="s">
        <v>7632</v>
      </c>
    </row>
    <row r="1912" spans="1:15" ht="28" x14ac:dyDescent="0.15">
      <c r="A1912" s="165" t="s">
        <v>2479</v>
      </c>
      <c r="B1912" s="93" t="s">
        <v>2859</v>
      </c>
      <c r="C1912" s="102" t="s">
        <v>3636</v>
      </c>
      <c r="D1912" s="62" t="s">
        <v>2548</v>
      </c>
      <c r="E1912" s="102" t="s">
        <v>1605</v>
      </c>
      <c r="F1912" s="102" t="s">
        <v>1310</v>
      </c>
      <c r="G1912" s="102" t="s">
        <v>2860</v>
      </c>
      <c r="H1912" s="175"/>
      <c r="I1912" s="85">
        <f t="shared" si="71"/>
        <v>1.2944662261615929</v>
      </c>
      <c r="J1912" s="104">
        <v>19.7</v>
      </c>
      <c r="K1912" s="144"/>
      <c r="L1912" s="61">
        <v>153</v>
      </c>
    </row>
    <row r="1913" spans="1:15" ht="84" x14ac:dyDescent="0.15">
      <c r="A1913" s="165" t="s">
        <v>2479</v>
      </c>
      <c r="B1913" s="93" t="s">
        <v>1301</v>
      </c>
      <c r="C1913" s="102" t="s">
        <v>3636</v>
      </c>
      <c r="D1913" s="62" t="s">
        <v>2548</v>
      </c>
      <c r="E1913" s="102" t="s">
        <v>1605</v>
      </c>
      <c r="F1913" s="102" t="s">
        <v>1310</v>
      </c>
      <c r="G1913" s="102" t="s">
        <v>1019</v>
      </c>
      <c r="H1913" s="175"/>
      <c r="I1913" s="85">
        <f t="shared" si="71"/>
        <v>1.3234730964355814</v>
      </c>
      <c r="J1913" s="104">
        <v>21.060714285713999</v>
      </c>
      <c r="K1913" s="144"/>
      <c r="L1913" s="61">
        <v>153</v>
      </c>
      <c r="N1913" s="37" t="s">
        <v>7631</v>
      </c>
    </row>
    <row r="1914" spans="1:15" ht="84" x14ac:dyDescent="0.15">
      <c r="A1914" s="165" t="s">
        <v>2479</v>
      </c>
      <c r="B1914" s="93" t="s">
        <v>2818</v>
      </c>
      <c r="C1914" s="102" t="s">
        <v>3636</v>
      </c>
      <c r="D1914" s="62" t="s">
        <v>2548</v>
      </c>
      <c r="E1914" s="102" t="s">
        <v>1605</v>
      </c>
      <c r="F1914" s="102" t="s">
        <v>1310</v>
      </c>
      <c r="G1914" s="102" t="s">
        <v>971</v>
      </c>
      <c r="H1914" s="175"/>
      <c r="I1914" s="85">
        <f t="shared" si="71"/>
        <v>1.5301996982030821</v>
      </c>
      <c r="J1914" s="104">
        <v>33.9</v>
      </c>
      <c r="K1914" s="144"/>
      <c r="L1914" s="61">
        <v>153</v>
      </c>
    </row>
    <row r="1915" spans="1:15" ht="84" x14ac:dyDescent="0.15">
      <c r="A1915" s="165" t="s">
        <v>2479</v>
      </c>
      <c r="B1915" s="93" t="s">
        <v>628</v>
      </c>
      <c r="C1915" s="102" t="s">
        <v>3636</v>
      </c>
      <c r="D1915" s="62" t="s">
        <v>2548</v>
      </c>
      <c r="E1915" s="102" t="s">
        <v>1605</v>
      </c>
      <c r="F1915" s="102" t="s">
        <v>5614</v>
      </c>
      <c r="G1915" s="102" t="s">
        <v>5307</v>
      </c>
      <c r="H1915" s="175"/>
      <c r="I1915" s="85">
        <f t="shared" si="71"/>
        <v>1.099611590392529</v>
      </c>
      <c r="J1915" s="104">
        <v>12.577999999999999</v>
      </c>
      <c r="K1915" s="144"/>
      <c r="L1915" s="61">
        <v>153</v>
      </c>
      <c r="O1915" s="37" t="s">
        <v>7570</v>
      </c>
    </row>
    <row r="1916" spans="1:15" ht="42" x14ac:dyDescent="0.15">
      <c r="A1916" s="165" t="s">
        <v>2479</v>
      </c>
      <c r="B1916" s="93" t="s">
        <v>928</v>
      </c>
      <c r="C1916" s="102" t="s">
        <v>3636</v>
      </c>
      <c r="D1916" s="62" t="s">
        <v>2548</v>
      </c>
      <c r="E1916" s="102" t="s">
        <v>2772</v>
      </c>
      <c r="F1916" s="102" t="s">
        <v>2570</v>
      </c>
      <c r="G1916" s="102" t="s">
        <v>2571</v>
      </c>
      <c r="H1916" s="175"/>
      <c r="I1916" s="85">
        <f t="shared" si="71"/>
        <v>0.96094619573383144</v>
      </c>
      <c r="J1916" s="104">
        <v>9.14</v>
      </c>
      <c r="K1916" s="144"/>
      <c r="L1916" s="61">
        <v>153</v>
      </c>
      <c r="N1916" s="37" t="s">
        <v>7626</v>
      </c>
    </row>
    <row r="1917" spans="1:15" ht="42" x14ac:dyDescent="0.15">
      <c r="A1917" s="165" t="s">
        <v>2479</v>
      </c>
      <c r="B1917" s="93" t="s">
        <v>2573</v>
      </c>
      <c r="C1917" s="102" t="s">
        <v>3636</v>
      </c>
      <c r="D1917" s="62" t="s">
        <v>2548</v>
      </c>
      <c r="E1917" s="102" t="s">
        <v>2772</v>
      </c>
      <c r="F1917" s="102" t="s">
        <v>2570</v>
      </c>
      <c r="G1917" s="102" t="s">
        <v>2574</v>
      </c>
      <c r="H1917" s="175"/>
      <c r="I1917" s="85">
        <f t="shared" si="71"/>
        <v>1.1528995963937476</v>
      </c>
      <c r="J1917" s="104">
        <v>14.22</v>
      </c>
      <c r="K1917" s="144"/>
      <c r="L1917" s="61">
        <v>153</v>
      </c>
    </row>
    <row r="1918" spans="1:15" ht="28" x14ac:dyDescent="0.15">
      <c r="A1918" s="165" t="s">
        <v>2479</v>
      </c>
      <c r="B1918" s="93" t="s">
        <v>847</v>
      </c>
      <c r="C1918" s="102" t="s">
        <v>3636</v>
      </c>
      <c r="D1918" s="62" t="s">
        <v>2548</v>
      </c>
      <c r="E1918" s="102" t="s">
        <v>2772</v>
      </c>
      <c r="F1918" s="102" t="s">
        <v>2570</v>
      </c>
      <c r="G1918" s="102" t="s">
        <v>872</v>
      </c>
      <c r="H1918" s="175"/>
      <c r="I1918" s="85">
        <f t="shared" si="71"/>
        <v>1.4451174896936825</v>
      </c>
      <c r="J1918" s="104">
        <v>27.868749999999999</v>
      </c>
      <c r="K1918" s="144"/>
      <c r="L1918" s="61">
        <v>153</v>
      </c>
      <c r="N1918" s="49" t="s">
        <v>7625</v>
      </c>
    </row>
    <row r="1919" spans="1:15" ht="84" x14ac:dyDescent="0.15">
      <c r="A1919" s="165" t="s">
        <v>2479</v>
      </c>
      <c r="B1919" s="93" t="s">
        <v>972</v>
      </c>
      <c r="C1919" s="102" t="s">
        <v>3636</v>
      </c>
      <c r="D1919" s="62" t="s">
        <v>2548</v>
      </c>
      <c r="E1919" s="102" t="s">
        <v>5977</v>
      </c>
      <c r="F1919" s="102" t="s">
        <v>1146</v>
      </c>
      <c r="G1919" s="102" t="s">
        <v>1147</v>
      </c>
      <c r="H1919" s="175"/>
      <c r="I1919" s="85">
        <f t="shared" si="71"/>
        <v>0.90463827555478105</v>
      </c>
      <c r="J1919" s="104">
        <v>8.0285714285710004</v>
      </c>
      <c r="K1919" s="144"/>
      <c r="L1919" s="61">
        <v>153</v>
      </c>
    </row>
    <row r="1920" spans="1:15" ht="84" x14ac:dyDescent="0.15">
      <c r="A1920" s="165" t="s">
        <v>2479</v>
      </c>
      <c r="B1920" s="93" t="s">
        <v>1339</v>
      </c>
      <c r="C1920" s="102" t="s">
        <v>3636</v>
      </c>
      <c r="D1920" s="62" t="s">
        <v>2548</v>
      </c>
      <c r="E1920" s="102" t="s">
        <v>5977</v>
      </c>
      <c r="F1920" s="102" t="s">
        <v>1146</v>
      </c>
      <c r="G1920" s="102" t="s">
        <v>1340</v>
      </c>
      <c r="H1920" s="175"/>
      <c r="I1920" s="85">
        <f t="shared" si="71"/>
        <v>1.1775364999298621</v>
      </c>
      <c r="J1920" s="104">
        <v>15.05</v>
      </c>
      <c r="K1920" s="144"/>
      <c r="L1920" s="61">
        <v>153</v>
      </c>
      <c r="N1920" s="37" t="s">
        <v>7595</v>
      </c>
    </row>
    <row r="1921" spans="1:26" ht="14" x14ac:dyDescent="0.15">
      <c r="A1921" s="165" t="s">
        <v>2479</v>
      </c>
      <c r="B1921" s="93" t="s">
        <v>2512</v>
      </c>
      <c r="C1921" s="102" t="s">
        <v>3636</v>
      </c>
      <c r="D1921" s="62" t="s">
        <v>2548</v>
      </c>
      <c r="E1921" s="102" t="s">
        <v>5977</v>
      </c>
      <c r="F1921" s="102" t="s">
        <v>6037</v>
      </c>
      <c r="G1921" s="102" t="s">
        <v>774</v>
      </c>
      <c r="H1921" s="175"/>
      <c r="I1921" s="98">
        <v>-999</v>
      </c>
      <c r="J1921" s="98">
        <v>-999</v>
      </c>
      <c r="K1921" s="135"/>
      <c r="L1921" s="61">
        <v>-999</v>
      </c>
    </row>
    <row r="1922" spans="1:26" ht="28" x14ac:dyDescent="0.15">
      <c r="A1922" s="62" t="s">
        <v>2479</v>
      </c>
      <c r="B1922" s="93" t="s">
        <v>708</v>
      </c>
      <c r="C1922" s="102" t="s">
        <v>3636</v>
      </c>
      <c r="D1922" s="62" t="s">
        <v>2548</v>
      </c>
      <c r="E1922" s="102" t="s">
        <v>5977</v>
      </c>
      <c r="F1922" s="102" t="s">
        <v>6037</v>
      </c>
      <c r="G1922" s="102" t="s">
        <v>7772</v>
      </c>
      <c r="H1922" s="175"/>
      <c r="I1922" s="98">
        <v>-999</v>
      </c>
      <c r="J1922" s="98">
        <v>-999</v>
      </c>
      <c r="K1922" s="135"/>
      <c r="L1922" s="61">
        <v>-999</v>
      </c>
    </row>
    <row r="1923" spans="1:26" s="15" customFormat="1" ht="14" x14ac:dyDescent="0.15">
      <c r="A1923" s="165" t="s">
        <v>2479</v>
      </c>
      <c r="B1923" s="93" t="s">
        <v>709</v>
      </c>
      <c r="C1923" s="102" t="s">
        <v>3636</v>
      </c>
      <c r="D1923" s="62" t="s">
        <v>2548</v>
      </c>
      <c r="E1923" s="102" t="s">
        <v>5977</v>
      </c>
      <c r="F1923" s="102" t="s">
        <v>6037</v>
      </c>
      <c r="G1923" s="102" t="s">
        <v>4921</v>
      </c>
      <c r="H1923" s="175"/>
      <c r="I1923" s="98">
        <v>-999</v>
      </c>
      <c r="J1923" s="98">
        <v>-999</v>
      </c>
      <c r="K1923" s="135"/>
      <c r="L1923" s="61">
        <v>-999</v>
      </c>
      <c r="M1923" s="49"/>
      <c r="N1923" s="37"/>
      <c r="O1923" s="37"/>
      <c r="P1923" s="37"/>
      <c r="Q1923" s="3"/>
      <c r="R1923" s="3"/>
      <c r="S1923" s="14"/>
      <c r="T1923" s="14"/>
      <c r="U1923" s="14"/>
      <c r="V1923" s="14"/>
      <c r="W1923" s="14"/>
      <c r="X1923" s="14"/>
      <c r="Y1923" s="14"/>
      <c r="Z1923" s="17"/>
    </row>
    <row r="1924" spans="1:26" ht="28" x14ac:dyDescent="0.15">
      <c r="A1924" s="165" t="s">
        <v>2479</v>
      </c>
      <c r="B1924" s="93" t="s">
        <v>2721</v>
      </c>
      <c r="C1924" s="102" t="s">
        <v>3636</v>
      </c>
      <c r="D1924" s="62" t="s">
        <v>2548</v>
      </c>
      <c r="E1924" s="102" t="s">
        <v>5977</v>
      </c>
      <c r="F1924" s="102" t="s">
        <v>6037</v>
      </c>
      <c r="G1924" s="102" t="s">
        <v>4078</v>
      </c>
      <c r="H1924" s="175"/>
      <c r="I1924" s="85">
        <f t="shared" ref="I1924:I1931" si="72">LOG(J1924)</f>
        <v>0.77573177626025502</v>
      </c>
      <c r="J1924" s="104">
        <v>5.9666666666669999</v>
      </c>
      <c r="K1924" s="144"/>
      <c r="L1924" s="61">
        <v>153</v>
      </c>
    </row>
    <row r="1925" spans="1:26" ht="42" x14ac:dyDescent="0.15">
      <c r="A1925" s="165" t="s">
        <v>2479</v>
      </c>
      <c r="B1925" s="93" t="s">
        <v>1311</v>
      </c>
      <c r="C1925" s="102" t="s">
        <v>3636</v>
      </c>
      <c r="D1925" s="62" t="s">
        <v>2548</v>
      </c>
      <c r="E1925" s="102" t="s">
        <v>5977</v>
      </c>
      <c r="F1925" s="102" t="s">
        <v>6037</v>
      </c>
      <c r="G1925" s="102" t="s">
        <v>1312</v>
      </c>
      <c r="H1925" s="175"/>
      <c r="I1925" s="85">
        <f t="shared" si="72"/>
        <v>0.87794695162918823</v>
      </c>
      <c r="J1925" s="104">
        <v>7.55</v>
      </c>
      <c r="K1925" s="144"/>
      <c r="L1925" s="61">
        <v>153</v>
      </c>
    </row>
    <row r="1926" spans="1:26" ht="28" x14ac:dyDescent="0.15">
      <c r="A1926" s="165" t="s">
        <v>2479</v>
      </c>
      <c r="B1926" s="93" t="s">
        <v>878</v>
      </c>
      <c r="C1926" s="102" t="s">
        <v>3636</v>
      </c>
      <c r="D1926" s="62" t="s">
        <v>2548</v>
      </c>
      <c r="E1926" s="102" t="s">
        <v>5977</v>
      </c>
      <c r="F1926" s="102" t="s">
        <v>6037</v>
      </c>
      <c r="G1926" s="102" t="s">
        <v>4523</v>
      </c>
      <c r="H1926" s="175"/>
      <c r="I1926" s="85">
        <f t="shared" si="72"/>
        <v>0.89817648349767654</v>
      </c>
      <c r="J1926" s="104">
        <v>7.91</v>
      </c>
      <c r="K1926" s="144"/>
      <c r="L1926" s="61">
        <v>153</v>
      </c>
      <c r="N1926" s="37" t="s">
        <v>7584</v>
      </c>
    </row>
    <row r="1927" spans="1:26" ht="28" x14ac:dyDescent="0.15">
      <c r="A1927" s="165" t="s">
        <v>2479</v>
      </c>
      <c r="B1927" s="93" t="s">
        <v>1298</v>
      </c>
      <c r="C1927" s="100" t="s">
        <v>3636</v>
      </c>
      <c r="D1927" s="61" t="s">
        <v>2548</v>
      </c>
      <c r="E1927" s="102" t="s">
        <v>5977</v>
      </c>
      <c r="F1927" s="100" t="s">
        <v>6037</v>
      </c>
      <c r="G1927" s="100" t="s">
        <v>1299</v>
      </c>
      <c r="H1927" s="177"/>
      <c r="I1927" s="85">
        <f t="shared" si="72"/>
        <v>0.91803033678488011</v>
      </c>
      <c r="J1927" s="104">
        <v>8.2799999999999994</v>
      </c>
      <c r="K1927" s="144"/>
      <c r="L1927" s="61">
        <v>153</v>
      </c>
    </row>
    <row r="1928" spans="1:26" ht="140" x14ac:dyDescent="0.15">
      <c r="A1928" s="165" t="s">
        <v>2479</v>
      </c>
      <c r="B1928" s="93" t="s">
        <v>800</v>
      </c>
      <c r="C1928" s="102" t="s">
        <v>3636</v>
      </c>
      <c r="D1928" s="62" t="s">
        <v>2548</v>
      </c>
      <c r="E1928" s="102" t="s">
        <v>5977</v>
      </c>
      <c r="F1928" s="102" t="s">
        <v>6037</v>
      </c>
      <c r="G1928" s="102" t="s">
        <v>801</v>
      </c>
      <c r="H1928" s="175"/>
      <c r="I1928" s="85">
        <f t="shared" si="72"/>
        <v>1.0180760636457951</v>
      </c>
      <c r="J1928" s="104">
        <v>10.425000000000001</v>
      </c>
      <c r="K1928" s="144"/>
      <c r="L1928" s="61">
        <v>153</v>
      </c>
    </row>
    <row r="1929" spans="1:26" ht="28" x14ac:dyDescent="0.15">
      <c r="A1929" s="165" t="s">
        <v>2479</v>
      </c>
      <c r="B1929" s="93" t="s">
        <v>1005</v>
      </c>
      <c r="C1929" s="102" t="s">
        <v>3636</v>
      </c>
      <c r="D1929" s="62" t="s">
        <v>2548</v>
      </c>
      <c r="E1929" s="102" t="s">
        <v>5977</v>
      </c>
      <c r="F1929" s="102" t="s">
        <v>6037</v>
      </c>
      <c r="G1929" s="102" t="s">
        <v>4011</v>
      </c>
      <c r="H1929" s="175"/>
      <c r="I1929" s="85">
        <f t="shared" si="72"/>
        <v>1.1533066203053512</v>
      </c>
      <c r="J1929" s="104">
        <v>14.233333333333</v>
      </c>
      <c r="K1929" s="144"/>
      <c r="L1929" s="61">
        <v>153</v>
      </c>
      <c r="N1929" s="37" t="s">
        <v>7583</v>
      </c>
    </row>
    <row r="1930" spans="1:26" ht="14" x14ac:dyDescent="0.15">
      <c r="A1930" s="165" t="s">
        <v>2479</v>
      </c>
      <c r="B1930" s="93" t="s">
        <v>936</v>
      </c>
      <c r="C1930" s="102" t="s">
        <v>3636</v>
      </c>
      <c r="D1930" s="62" t="s">
        <v>2548</v>
      </c>
      <c r="E1930" s="102" t="s">
        <v>5977</v>
      </c>
      <c r="F1930" s="102" t="s">
        <v>6037</v>
      </c>
      <c r="G1930" s="102" t="s">
        <v>1102</v>
      </c>
      <c r="H1930" s="175"/>
      <c r="I1930" s="85">
        <f t="shared" si="72"/>
        <v>1.1760912590556813</v>
      </c>
      <c r="J1930" s="104">
        <v>15</v>
      </c>
      <c r="K1930" s="144"/>
      <c r="L1930" s="61">
        <v>153</v>
      </c>
    </row>
    <row r="1931" spans="1:26" ht="98" x14ac:dyDescent="0.15">
      <c r="A1931" s="165" t="s">
        <v>2479</v>
      </c>
      <c r="B1931" s="93" t="s">
        <v>942</v>
      </c>
      <c r="C1931" s="102" t="s">
        <v>3636</v>
      </c>
      <c r="D1931" s="62" t="s">
        <v>2548</v>
      </c>
      <c r="E1931" s="102" t="s">
        <v>5977</v>
      </c>
      <c r="F1931" s="102" t="s">
        <v>6037</v>
      </c>
      <c r="G1931" s="102" t="s">
        <v>943</v>
      </c>
      <c r="H1931" s="175"/>
      <c r="I1931" s="85">
        <f t="shared" si="72"/>
        <v>1.3590445615568982</v>
      </c>
      <c r="J1931" s="104">
        <v>22.858333333333</v>
      </c>
      <c r="K1931" s="144"/>
      <c r="L1931" s="61">
        <v>153</v>
      </c>
      <c r="N1931" s="37" t="s">
        <v>7582</v>
      </c>
    </row>
    <row r="1932" spans="1:26" ht="14" x14ac:dyDescent="0.15">
      <c r="A1932" s="165" t="s">
        <v>2479</v>
      </c>
      <c r="B1932" s="93" t="s">
        <v>2600</v>
      </c>
      <c r="C1932" s="102" t="s">
        <v>3636</v>
      </c>
      <c r="D1932" s="62" t="s">
        <v>2548</v>
      </c>
      <c r="E1932" s="102" t="s">
        <v>5977</v>
      </c>
      <c r="F1932" s="102" t="s">
        <v>2601</v>
      </c>
      <c r="G1932" s="102" t="s">
        <v>2602</v>
      </c>
      <c r="H1932" s="175"/>
      <c r="I1932" s="98">
        <v>-999</v>
      </c>
      <c r="J1932" s="98">
        <v>-999</v>
      </c>
      <c r="K1932" s="135"/>
      <c r="L1932" s="61">
        <v>-999</v>
      </c>
      <c r="N1932" s="37">
        <f>-7.1743 + 2.8436*LOG(90)</f>
        <v>-1.6172160001583356</v>
      </c>
    </row>
    <row r="1933" spans="1:26" ht="56" x14ac:dyDescent="0.15">
      <c r="A1933" s="165" t="s">
        <v>2479</v>
      </c>
      <c r="B1933" s="93" t="s">
        <v>767</v>
      </c>
      <c r="C1933" s="102" t="s">
        <v>3636</v>
      </c>
      <c r="D1933" s="62" t="s">
        <v>2548</v>
      </c>
      <c r="E1933" s="102" t="s">
        <v>5977</v>
      </c>
      <c r="F1933" s="102" t="s">
        <v>768</v>
      </c>
      <c r="G1933" s="102" t="s">
        <v>769</v>
      </c>
      <c r="H1933" s="175"/>
      <c r="I1933" s="85">
        <f>LOG(J1933)</f>
        <v>0.64713836606315045</v>
      </c>
      <c r="J1933" s="104">
        <v>4.4375</v>
      </c>
      <c r="K1933" s="144"/>
      <c r="L1933" s="61">
        <v>153</v>
      </c>
    </row>
    <row r="1934" spans="1:26" ht="42" x14ac:dyDescent="0.15">
      <c r="A1934" s="165" t="s">
        <v>2479</v>
      </c>
      <c r="B1934" s="93" t="s">
        <v>770</v>
      </c>
      <c r="C1934" s="102" t="s">
        <v>3636</v>
      </c>
      <c r="D1934" s="62" t="s">
        <v>2548</v>
      </c>
      <c r="E1934" s="102" t="s">
        <v>5977</v>
      </c>
      <c r="F1934" s="102" t="s">
        <v>771</v>
      </c>
      <c r="G1934" s="102" t="s">
        <v>848</v>
      </c>
      <c r="H1934" s="175"/>
      <c r="I1934" s="85">
        <f>LOG(J1934)</f>
        <v>1.13433651094868</v>
      </c>
      <c r="J1934" s="104">
        <v>13.625</v>
      </c>
      <c r="K1934" s="144"/>
      <c r="L1934" s="61">
        <v>153</v>
      </c>
    </row>
    <row r="1935" spans="1:26" ht="14" x14ac:dyDescent="0.15">
      <c r="A1935" s="165" t="s">
        <v>2479</v>
      </c>
      <c r="B1935" s="93" t="s">
        <v>1163</v>
      </c>
      <c r="C1935" s="102" t="s">
        <v>3636</v>
      </c>
      <c r="D1935" s="62" t="s">
        <v>2548</v>
      </c>
      <c r="E1935" s="102" t="s">
        <v>5977</v>
      </c>
      <c r="F1935" s="102" t="s">
        <v>623</v>
      </c>
      <c r="G1935" s="102" t="s">
        <v>5211</v>
      </c>
      <c r="H1935" s="175"/>
      <c r="I1935" s="98">
        <v>-999</v>
      </c>
      <c r="J1935" s="98">
        <v>-999</v>
      </c>
      <c r="K1935" s="135"/>
      <c r="L1935" s="61">
        <v>-999</v>
      </c>
    </row>
    <row r="1936" spans="1:26" ht="28" x14ac:dyDescent="0.15">
      <c r="A1936" s="165" t="s">
        <v>2479</v>
      </c>
      <c r="B1936" s="93" t="s">
        <v>622</v>
      </c>
      <c r="C1936" s="102" t="s">
        <v>3636</v>
      </c>
      <c r="D1936" s="62" t="s">
        <v>2548</v>
      </c>
      <c r="E1936" s="102" t="s">
        <v>5977</v>
      </c>
      <c r="F1936" s="102" t="s">
        <v>623</v>
      </c>
      <c r="G1936" s="102" t="s">
        <v>6209</v>
      </c>
      <c r="H1936" s="175"/>
      <c r="I1936" s="85">
        <f>LOG(J1936)</f>
        <v>0.83250891270623628</v>
      </c>
      <c r="J1936" s="104">
        <v>6.8</v>
      </c>
      <c r="K1936" s="144"/>
      <c r="L1936" s="61">
        <v>153</v>
      </c>
    </row>
    <row r="1937" spans="1:26" ht="56" x14ac:dyDescent="0.15">
      <c r="A1937" s="165" t="s">
        <v>2479</v>
      </c>
      <c r="B1937" s="93" t="s">
        <v>937</v>
      </c>
      <c r="C1937" s="102" t="s">
        <v>3636</v>
      </c>
      <c r="D1937" s="62" t="s">
        <v>2548</v>
      </c>
      <c r="E1937" s="102" t="s">
        <v>5977</v>
      </c>
      <c r="F1937" s="102" t="s">
        <v>623</v>
      </c>
      <c r="G1937" s="102" t="s">
        <v>869</v>
      </c>
      <c r="H1937" s="175"/>
      <c r="I1937" s="85">
        <f>LOG(J1937)</f>
        <v>1.2121876044039579</v>
      </c>
      <c r="J1937" s="104">
        <v>16.3</v>
      </c>
      <c r="K1937" s="144"/>
      <c r="L1937" s="61">
        <v>153</v>
      </c>
    </row>
    <row r="1938" spans="1:26" ht="14" x14ac:dyDescent="0.15">
      <c r="A1938" s="165" t="s">
        <v>2479</v>
      </c>
      <c r="B1938" s="93" t="s">
        <v>2694</v>
      </c>
      <c r="C1938" s="102" t="s">
        <v>3636</v>
      </c>
      <c r="D1938" s="62" t="s">
        <v>2548</v>
      </c>
      <c r="E1938" s="102" t="s">
        <v>5977</v>
      </c>
      <c r="F1938" s="102" t="s">
        <v>623</v>
      </c>
      <c r="G1938" s="102" t="s">
        <v>1061</v>
      </c>
      <c r="H1938" s="175"/>
      <c r="I1938" s="98">
        <f>LOG(J1938)</f>
        <v>1.4913616938342726</v>
      </c>
      <c r="J1938" s="98">
        <v>31</v>
      </c>
      <c r="K1938" s="135"/>
      <c r="L1938" s="61">
        <v>257</v>
      </c>
    </row>
    <row r="1939" spans="1:26" ht="28" x14ac:dyDescent="0.15">
      <c r="A1939" s="165" t="s">
        <v>2479</v>
      </c>
      <c r="B1939" s="93" t="s">
        <v>834</v>
      </c>
      <c r="C1939" s="102" t="s">
        <v>3636</v>
      </c>
      <c r="D1939" s="62" t="s">
        <v>2548</v>
      </c>
      <c r="E1939" s="102" t="s">
        <v>5977</v>
      </c>
      <c r="F1939" s="102" t="s">
        <v>835</v>
      </c>
      <c r="G1939" s="102" t="s">
        <v>1457</v>
      </c>
      <c r="H1939" s="175"/>
      <c r="I1939" s="85">
        <f>LOG(J1939)</f>
        <v>1.6919651027673603</v>
      </c>
      <c r="J1939" s="104">
        <v>49.2</v>
      </c>
      <c r="K1939" s="144"/>
      <c r="L1939" s="61">
        <v>153</v>
      </c>
    </row>
    <row r="1940" spans="1:26" ht="14" x14ac:dyDescent="0.15">
      <c r="A1940" s="165" t="s">
        <v>2479</v>
      </c>
      <c r="B1940" s="93" t="s">
        <v>5921</v>
      </c>
      <c r="C1940" s="100" t="s">
        <v>3636</v>
      </c>
      <c r="D1940" s="61" t="s">
        <v>2548</v>
      </c>
      <c r="E1940" s="100" t="s">
        <v>5977</v>
      </c>
      <c r="F1940" s="100" t="s">
        <v>1136</v>
      </c>
      <c r="G1940" s="100" t="s">
        <v>1212</v>
      </c>
      <c r="H1940" s="177"/>
      <c r="I1940" s="98">
        <v>-999</v>
      </c>
      <c r="J1940" s="103">
        <v>-999</v>
      </c>
      <c r="K1940" s="135"/>
      <c r="L1940" s="61">
        <v>-999</v>
      </c>
    </row>
    <row r="1941" spans="1:26" ht="28" x14ac:dyDescent="0.15">
      <c r="A1941" s="165" t="s">
        <v>2479</v>
      </c>
      <c r="B1941" s="93" t="s">
        <v>836</v>
      </c>
      <c r="C1941" s="102" t="s">
        <v>3636</v>
      </c>
      <c r="D1941" s="62" t="s">
        <v>2548</v>
      </c>
      <c r="E1941" s="100" t="s">
        <v>5977</v>
      </c>
      <c r="F1941" s="102" t="s">
        <v>1136</v>
      </c>
      <c r="G1941" s="102" t="s">
        <v>4937</v>
      </c>
      <c r="H1941" s="175"/>
      <c r="I1941" s="85">
        <f t="shared" ref="I1941:I1952" si="73">LOG(J1941)</f>
        <v>0.30749603791321289</v>
      </c>
      <c r="J1941" s="104">
        <v>2.0299999999999998</v>
      </c>
      <c r="K1941" s="144"/>
      <c r="L1941" s="61">
        <v>153</v>
      </c>
    </row>
    <row r="1942" spans="1:26" ht="28" x14ac:dyDescent="0.15">
      <c r="A1942" s="165" t="s">
        <v>2479</v>
      </c>
      <c r="B1942" s="93" t="s">
        <v>830</v>
      </c>
      <c r="C1942" s="102" t="s">
        <v>3636</v>
      </c>
      <c r="D1942" s="62" t="s">
        <v>2548</v>
      </c>
      <c r="E1942" s="102" t="s">
        <v>5977</v>
      </c>
      <c r="F1942" s="102" t="s">
        <v>1136</v>
      </c>
      <c r="G1942" s="102" t="s">
        <v>5305</v>
      </c>
      <c r="H1942" s="175"/>
      <c r="I1942" s="85">
        <f t="shared" si="73"/>
        <v>0.51719589794997434</v>
      </c>
      <c r="J1942" s="104">
        <v>3.29</v>
      </c>
      <c r="K1942" s="144"/>
      <c r="L1942" s="61">
        <v>153</v>
      </c>
    </row>
    <row r="1943" spans="1:26" ht="14" x14ac:dyDescent="0.15">
      <c r="A1943" s="165" t="s">
        <v>2479</v>
      </c>
      <c r="B1943" s="93" t="s">
        <v>900</v>
      </c>
      <c r="C1943" s="102" t="s">
        <v>3636</v>
      </c>
      <c r="D1943" s="62" t="s">
        <v>2548</v>
      </c>
      <c r="E1943" s="102" t="s">
        <v>5977</v>
      </c>
      <c r="F1943" s="102" t="s">
        <v>1136</v>
      </c>
      <c r="G1943" s="102" t="s">
        <v>512</v>
      </c>
      <c r="H1943" s="175"/>
      <c r="I1943" s="98">
        <f t="shared" si="73"/>
        <v>0.5502283530550941</v>
      </c>
      <c r="J1943" s="98">
        <f>AVERAGE(2.6, 4.5)</f>
        <v>3.55</v>
      </c>
      <c r="K1943" s="135"/>
      <c r="L1943" s="61">
        <v>257</v>
      </c>
    </row>
    <row r="1944" spans="1:26" s="15" customFormat="1" ht="28" x14ac:dyDescent="0.15">
      <c r="A1944" s="165" t="s">
        <v>2479</v>
      </c>
      <c r="B1944" s="93" t="s">
        <v>1354</v>
      </c>
      <c r="C1944" s="102" t="s">
        <v>3636</v>
      </c>
      <c r="D1944" s="62" t="s">
        <v>2548</v>
      </c>
      <c r="E1944" s="102" t="s">
        <v>5977</v>
      </c>
      <c r="F1944" s="102" t="s">
        <v>1136</v>
      </c>
      <c r="G1944" s="102" t="s">
        <v>2699</v>
      </c>
      <c r="H1944" s="175"/>
      <c r="I1944" s="85">
        <f t="shared" si="73"/>
        <v>0.61278385671973545</v>
      </c>
      <c r="J1944" s="104">
        <v>4.0999999999999996</v>
      </c>
      <c r="K1944" s="144"/>
      <c r="L1944" s="61">
        <v>153</v>
      </c>
      <c r="M1944" s="49"/>
      <c r="N1944" s="37"/>
      <c r="O1944" s="37"/>
      <c r="P1944" s="37"/>
      <c r="Q1944" s="3"/>
      <c r="R1944" s="3"/>
      <c r="S1944" s="14"/>
      <c r="T1944" s="14"/>
      <c r="U1944" s="14"/>
      <c r="V1944" s="14"/>
      <c r="W1944" s="14"/>
      <c r="X1944" s="14"/>
      <c r="Y1944" s="14"/>
      <c r="Z1944" s="17"/>
    </row>
    <row r="1945" spans="1:26" ht="70" x14ac:dyDescent="0.15">
      <c r="A1945" s="165" t="s">
        <v>2479</v>
      </c>
      <c r="B1945" s="93" t="s">
        <v>1032</v>
      </c>
      <c r="C1945" s="102" t="s">
        <v>3636</v>
      </c>
      <c r="D1945" s="62" t="s">
        <v>2548</v>
      </c>
      <c r="E1945" s="102" t="s">
        <v>5977</v>
      </c>
      <c r="F1945" s="102" t="s">
        <v>1136</v>
      </c>
      <c r="G1945" s="102" t="s">
        <v>5261</v>
      </c>
      <c r="H1945" s="175"/>
      <c r="I1945" s="85">
        <f t="shared" si="73"/>
        <v>0.65321251377534373</v>
      </c>
      <c r="J1945" s="104">
        <v>4.5</v>
      </c>
      <c r="K1945" s="144"/>
      <c r="L1945" s="61">
        <v>153</v>
      </c>
    </row>
    <row r="1946" spans="1:26" ht="112" x14ac:dyDescent="0.15">
      <c r="A1946" s="165" t="s">
        <v>2479</v>
      </c>
      <c r="B1946" s="93" t="s">
        <v>914</v>
      </c>
      <c r="C1946" s="102" t="s">
        <v>3636</v>
      </c>
      <c r="D1946" s="62" t="s">
        <v>2548</v>
      </c>
      <c r="E1946" s="102" t="s">
        <v>5977</v>
      </c>
      <c r="F1946" s="102" t="s">
        <v>1136</v>
      </c>
      <c r="G1946" s="102" t="s">
        <v>2574</v>
      </c>
      <c r="H1946" s="175"/>
      <c r="I1946" s="85">
        <f t="shared" si="73"/>
        <v>0.65609820201283187</v>
      </c>
      <c r="J1946" s="104">
        <v>4.53</v>
      </c>
      <c r="K1946" s="144"/>
      <c r="L1946" s="61">
        <v>153</v>
      </c>
    </row>
    <row r="1947" spans="1:26" ht="28" x14ac:dyDescent="0.15">
      <c r="A1947" s="165" t="s">
        <v>2479</v>
      </c>
      <c r="B1947" s="93" t="s">
        <v>2737</v>
      </c>
      <c r="C1947" s="102" t="s">
        <v>3636</v>
      </c>
      <c r="D1947" s="62" t="s">
        <v>2548</v>
      </c>
      <c r="E1947" s="102" t="s">
        <v>5977</v>
      </c>
      <c r="F1947" s="102" t="s">
        <v>1136</v>
      </c>
      <c r="G1947" s="102" t="s">
        <v>2849</v>
      </c>
      <c r="H1947" s="175"/>
      <c r="I1947" s="85">
        <f t="shared" si="73"/>
        <v>0.68349731767981137</v>
      </c>
      <c r="J1947" s="104">
        <v>4.8250000000000002</v>
      </c>
      <c r="K1947" s="144"/>
      <c r="L1947" s="61">
        <v>153</v>
      </c>
    </row>
    <row r="1948" spans="1:26" ht="42" x14ac:dyDescent="0.15">
      <c r="A1948" s="165" t="s">
        <v>2479</v>
      </c>
      <c r="B1948" s="93" t="s">
        <v>903</v>
      </c>
      <c r="C1948" s="102" t="s">
        <v>3636</v>
      </c>
      <c r="D1948" s="62" t="s">
        <v>2548</v>
      </c>
      <c r="E1948" s="102" t="s">
        <v>5977</v>
      </c>
      <c r="F1948" s="102" t="s">
        <v>1136</v>
      </c>
      <c r="G1948" s="102" t="s">
        <v>904</v>
      </c>
      <c r="H1948" s="175"/>
      <c r="I1948" s="85">
        <f t="shared" si="73"/>
        <v>1.0043213737826426</v>
      </c>
      <c r="J1948" s="104">
        <v>10.1</v>
      </c>
      <c r="K1948" s="144"/>
      <c r="L1948" s="61">
        <v>153</v>
      </c>
    </row>
    <row r="1949" spans="1:26" s="15" customFormat="1" ht="56" x14ac:dyDescent="0.15">
      <c r="A1949" s="165" t="s">
        <v>2479</v>
      </c>
      <c r="B1949" s="93" t="s">
        <v>932</v>
      </c>
      <c r="C1949" s="102" t="s">
        <v>3636</v>
      </c>
      <c r="D1949" s="62" t="s">
        <v>2548</v>
      </c>
      <c r="E1949" s="102" t="s">
        <v>5977</v>
      </c>
      <c r="F1949" s="102" t="s">
        <v>2593</v>
      </c>
      <c r="G1949" s="102" t="s">
        <v>4291</v>
      </c>
      <c r="H1949" s="175"/>
      <c r="I1949" s="85">
        <f t="shared" si="73"/>
        <v>0.93512923491568223</v>
      </c>
      <c r="J1949" s="104">
        <v>8.6125000000000007</v>
      </c>
      <c r="K1949" s="144"/>
      <c r="L1949" s="61">
        <v>153</v>
      </c>
      <c r="M1949" s="49"/>
      <c r="N1949" s="37"/>
      <c r="O1949" s="37"/>
      <c r="P1949" s="37"/>
      <c r="Q1949" s="3"/>
      <c r="R1949" s="3"/>
      <c r="S1949" s="14"/>
      <c r="T1949" s="14"/>
      <c r="U1949" s="14"/>
      <c r="V1949" s="14"/>
      <c r="W1949" s="14"/>
      <c r="X1949" s="14"/>
      <c r="Y1949" s="14"/>
      <c r="Z1949" s="17"/>
    </row>
    <row r="1950" spans="1:26" ht="70" x14ac:dyDescent="0.15">
      <c r="A1950" s="165" t="s">
        <v>2479</v>
      </c>
      <c r="B1950" s="93" t="s">
        <v>627</v>
      </c>
      <c r="C1950" s="102" t="s">
        <v>3636</v>
      </c>
      <c r="D1950" s="62" t="s">
        <v>2548</v>
      </c>
      <c r="E1950" s="102" t="s">
        <v>5977</v>
      </c>
      <c r="F1950" s="102" t="s">
        <v>2593</v>
      </c>
      <c r="G1950" s="102" t="s">
        <v>4664</v>
      </c>
      <c r="H1950" s="175"/>
      <c r="I1950" s="85">
        <f t="shared" si="73"/>
        <v>1.0307346169761551</v>
      </c>
      <c r="J1950" s="104">
        <v>10.733333333333</v>
      </c>
      <c r="K1950" s="144"/>
      <c r="L1950" s="61">
        <v>153</v>
      </c>
    </row>
    <row r="1951" spans="1:26" ht="126" x14ac:dyDescent="0.15">
      <c r="A1951" s="165" t="s">
        <v>2479</v>
      </c>
      <c r="B1951" s="93" t="s">
        <v>1003</v>
      </c>
      <c r="C1951" s="102" t="s">
        <v>3636</v>
      </c>
      <c r="D1951" s="62" t="s">
        <v>2548</v>
      </c>
      <c r="E1951" s="102" t="s">
        <v>5977</v>
      </c>
      <c r="F1951" s="102" t="s">
        <v>2593</v>
      </c>
      <c r="G1951" s="102" t="s">
        <v>1004</v>
      </c>
      <c r="H1951" s="175"/>
      <c r="I1951" s="85">
        <f t="shared" si="73"/>
        <v>1.0594624367970615</v>
      </c>
      <c r="J1951" s="104">
        <v>11.467333333333</v>
      </c>
      <c r="K1951" s="144"/>
      <c r="L1951" s="61">
        <v>153</v>
      </c>
      <c r="N1951" s="37" t="s">
        <v>7596</v>
      </c>
    </row>
    <row r="1952" spans="1:26" ht="42" x14ac:dyDescent="0.15">
      <c r="A1952" s="165" t="s">
        <v>2479</v>
      </c>
      <c r="B1952" s="93" t="s">
        <v>1100</v>
      </c>
      <c r="C1952" s="102" t="s">
        <v>3636</v>
      </c>
      <c r="D1952" s="62" t="s">
        <v>2548</v>
      </c>
      <c r="E1952" s="102" t="s">
        <v>5977</v>
      </c>
      <c r="F1952" s="102" t="s">
        <v>2593</v>
      </c>
      <c r="G1952" s="102" t="s">
        <v>1524</v>
      </c>
      <c r="H1952" s="175"/>
      <c r="I1952" s="85">
        <f t="shared" si="73"/>
        <v>1.1481911962420217</v>
      </c>
      <c r="J1952" s="104">
        <v>14.066666666667</v>
      </c>
      <c r="K1952" s="144"/>
      <c r="L1952" s="61">
        <v>153</v>
      </c>
    </row>
    <row r="1953" spans="1:18" ht="28" x14ac:dyDescent="0.15">
      <c r="A1953" s="165" t="s">
        <v>2479</v>
      </c>
      <c r="B1953" s="93" t="s">
        <v>1254</v>
      </c>
      <c r="C1953" s="102" t="s">
        <v>3636</v>
      </c>
      <c r="D1953" s="62" t="s">
        <v>2548</v>
      </c>
      <c r="E1953" s="102" t="s">
        <v>5977</v>
      </c>
      <c r="F1953" s="102" t="s">
        <v>1440</v>
      </c>
      <c r="G1953" s="102" t="s">
        <v>4679</v>
      </c>
      <c r="H1953" s="175"/>
      <c r="I1953" s="98">
        <v>-999</v>
      </c>
      <c r="J1953" s="98">
        <v>-999</v>
      </c>
      <c r="K1953" s="135"/>
      <c r="L1953" s="62">
        <v>-999</v>
      </c>
    </row>
    <row r="1954" spans="1:18" ht="14" x14ac:dyDescent="0.15">
      <c r="A1954" s="165" t="s">
        <v>2479</v>
      </c>
      <c r="B1954" s="93" t="s">
        <v>832</v>
      </c>
      <c r="C1954" s="102" t="s">
        <v>3636</v>
      </c>
      <c r="D1954" s="62" t="s">
        <v>2548</v>
      </c>
      <c r="E1954" s="102" t="s">
        <v>5977</v>
      </c>
      <c r="F1954" s="102" t="s">
        <v>1440</v>
      </c>
      <c r="G1954" s="102" t="s">
        <v>3911</v>
      </c>
      <c r="H1954" s="175"/>
      <c r="I1954" s="98">
        <v>-999</v>
      </c>
      <c r="J1954" s="98">
        <v>-999</v>
      </c>
      <c r="K1954" s="135"/>
      <c r="L1954" s="62">
        <v>-999</v>
      </c>
    </row>
    <row r="1955" spans="1:18" ht="14" x14ac:dyDescent="0.15">
      <c r="A1955" s="165" t="s">
        <v>2479</v>
      </c>
      <c r="B1955" s="93" t="s">
        <v>1160</v>
      </c>
      <c r="C1955" s="102" t="s">
        <v>3636</v>
      </c>
      <c r="D1955" s="62" t="s">
        <v>2548</v>
      </c>
      <c r="E1955" s="102" t="s">
        <v>5977</v>
      </c>
      <c r="F1955" s="102" t="s">
        <v>1440</v>
      </c>
      <c r="G1955" s="102" t="s">
        <v>839</v>
      </c>
      <c r="H1955" s="175"/>
      <c r="I1955" s="98">
        <v>-999</v>
      </c>
      <c r="J1955" s="98">
        <v>-999</v>
      </c>
      <c r="K1955" s="135"/>
      <c r="L1955" s="62">
        <v>-999</v>
      </c>
    </row>
    <row r="1956" spans="1:18" ht="14" x14ac:dyDescent="0.15">
      <c r="A1956" s="165" t="s">
        <v>2479</v>
      </c>
      <c r="B1956" s="93" t="s">
        <v>1856</v>
      </c>
      <c r="C1956" s="102" t="s">
        <v>3636</v>
      </c>
      <c r="D1956" s="62" t="s">
        <v>2548</v>
      </c>
      <c r="E1956" s="102" t="s">
        <v>5977</v>
      </c>
      <c r="F1956" s="102" t="s">
        <v>1440</v>
      </c>
      <c r="G1956" s="102" t="s">
        <v>840</v>
      </c>
      <c r="H1956" s="175"/>
      <c r="I1956" s="98">
        <v>-999</v>
      </c>
      <c r="J1956" s="98">
        <v>-999</v>
      </c>
      <c r="K1956" s="135"/>
      <c r="L1956" s="62">
        <v>-999</v>
      </c>
    </row>
    <row r="1957" spans="1:18" ht="28" x14ac:dyDescent="0.15">
      <c r="A1957" s="165" t="s">
        <v>2479</v>
      </c>
      <c r="B1957" s="93" t="s">
        <v>2766</v>
      </c>
      <c r="C1957" s="102" t="s">
        <v>3636</v>
      </c>
      <c r="D1957" s="62" t="s">
        <v>2548</v>
      </c>
      <c r="E1957" s="100" t="s">
        <v>5977</v>
      </c>
      <c r="F1957" s="102" t="s">
        <v>1440</v>
      </c>
      <c r="G1957" s="102" t="s">
        <v>2767</v>
      </c>
      <c r="H1957" s="175"/>
      <c r="I1957" s="98">
        <v>-999</v>
      </c>
      <c r="J1957" s="98">
        <v>-999</v>
      </c>
      <c r="K1957" s="135"/>
      <c r="L1957" s="62">
        <v>-999</v>
      </c>
    </row>
    <row r="1958" spans="1:18" ht="42" x14ac:dyDescent="0.15">
      <c r="A1958" s="165" t="s">
        <v>2479</v>
      </c>
      <c r="B1958" s="93" t="s">
        <v>2817</v>
      </c>
      <c r="C1958" s="102" t="s">
        <v>3636</v>
      </c>
      <c r="D1958" s="62" t="s">
        <v>2548</v>
      </c>
      <c r="E1958" s="102" t="s">
        <v>5977</v>
      </c>
      <c r="F1958" s="102" t="s">
        <v>1440</v>
      </c>
      <c r="G1958" s="102" t="s">
        <v>1145</v>
      </c>
      <c r="H1958" s="175"/>
      <c r="I1958" s="85">
        <f t="shared" ref="I1958:I1963" si="74">LOG(J1958)</f>
        <v>0.6020599913279624</v>
      </c>
      <c r="J1958" s="104">
        <v>4</v>
      </c>
      <c r="K1958" s="144"/>
      <c r="L1958" s="62">
        <v>153</v>
      </c>
      <c r="Q1958" s="14"/>
      <c r="R1958" s="14"/>
    </row>
    <row r="1959" spans="1:18" ht="28" x14ac:dyDescent="0.15">
      <c r="A1959" s="165" t="s">
        <v>2479</v>
      </c>
      <c r="B1959" s="93" t="s">
        <v>1060</v>
      </c>
      <c r="C1959" s="102" t="s">
        <v>3636</v>
      </c>
      <c r="D1959" s="62" t="s">
        <v>2548</v>
      </c>
      <c r="E1959" s="102" t="s">
        <v>5977</v>
      </c>
      <c r="F1959" s="102" t="s">
        <v>1440</v>
      </c>
      <c r="G1959" s="102" t="s">
        <v>912</v>
      </c>
      <c r="H1959" s="175"/>
      <c r="I1959" s="85">
        <f t="shared" si="74"/>
        <v>0.73639650227664244</v>
      </c>
      <c r="J1959" s="104">
        <v>5.45</v>
      </c>
      <c r="K1959" s="144"/>
      <c r="L1959" s="62">
        <v>153</v>
      </c>
    </row>
    <row r="1960" spans="1:18" ht="14" x14ac:dyDescent="0.15">
      <c r="A1960" s="165" t="s">
        <v>2479</v>
      </c>
      <c r="B1960" s="93" t="s">
        <v>913</v>
      </c>
      <c r="C1960" s="102" t="s">
        <v>3636</v>
      </c>
      <c r="D1960" s="62" t="s">
        <v>2548</v>
      </c>
      <c r="E1960" s="102" t="s">
        <v>5977</v>
      </c>
      <c r="F1960" s="102" t="s">
        <v>1440</v>
      </c>
      <c r="G1960" s="102" t="s">
        <v>1245</v>
      </c>
      <c r="H1960" s="175"/>
      <c r="I1960" s="85">
        <f t="shared" si="74"/>
        <v>0.87506126339170009</v>
      </c>
      <c r="J1960" s="104">
        <v>7.5</v>
      </c>
      <c r="K1960" s="144"/>
      <c r="L1960" s="62">
        <v>153</v>
      </c>
    </row>
    <row r="1961" spans="1:18" ht="140" x14ac:dyDescent="0.15">
      <c r="A1961" s="165" t="s">
        <v>2479</v>
      </c>
      <c r="B1961" s="93" t="s">
        <v>918</v>
      </c>
      <c r="C1961" s="102" t="s">
        <v>3636</v>
      </c>
      <c r="D1961" s="62" t="s">
        <v>2548</v>
      </c>
      <c r="E1961" s="100" t="s">
        <v>5977</v>
      </c>
      <c r="F1961" s="102" t="s">
        <v>1440</v>
      </c>
      <c r="G1961" s="102" t="s">
        <v>3864</v>
      </c>
      <c r="H1961" s="175"/>
      <c r="I1961" s="85">
        <f t="shared" si="74"/>
        <v>0.87794695162918823</v>
      </c>
      <c r="J1961" s="104">
        <v>7.55</v>
      </c>
      <c r="K1961" s="144"/>
      <c r="L1961" s="62">
        <v>153</v>
      </c>
    </row>
    <row r="1962" spans="1:18" ht="56" x14ac:dyDescent="0.15">
      <c r="A1962" s="165" t="s">
        <v>2479</v>
      </c>
      <c r="B1962" s="93" t="s">
        <v>1355</v>
      </c>
      <c r="C1962" s="100" t="s">
        <v>3636</v>
      </c>
      <c r="D1962" s="61" t="s">
        <v>2548</v>
      </c>
      <c r="E1962" s="102" t="s">
        <v>5977</v>
      </c>
      <c r="F1962" s="100" t="s">
        <v>1440</v>
      </c>
      <c r="G1962" s="100" t="s">
        <v>1356</v>
      </c>
      <c r="H1962" s="177"/>
      <c r="I1962" s="85">
        <f t="shared" si="74"/>
        <v>0.88081359228079137</v>
      </c>
      <c r="J1962" s="101">
        <v>7.6</v>
      </c>
      <c r="K1962" s="144"/>
      <c r="L1962" s="62">
        <v>153</v>
      </c>
      <c r="Q1962" s="14"/>
      <c r="R1962" s="14"/>
    </row>
    <row r="1963" spans="1:18" ht="70" x14ac:dyDescent="0.15">
      <c r="A1963" s="165" t="s">
        <v>2479</v>
      </c>
      <c r="B1963" s="93" t="s">
        <v>191</v>
      </c>
      <c r="C1963" s="102" t="s">
        <v>3636</v>
      </c>
      <c r="D1963" s="62" t="s">
        <v>2548</v>
      </c>
      <c r="E1963" s="102" t="s">
        <v>5977</v>
      </c>
      <c r="F1963" s="102" t="s">
        <v>1440</v>
      </c>
      <c r="G1963" s="102" t="s">
        <v>2204</v>
      </c>
      <c r="H1963" s="175"/>
      <c r="I1963" s="85">
        <f t="shared" si="74"/>
        <v>0.95724801957905015</v>
      </c>
      <c r="J1963" s="104">
        <v>9.0625</v>
      </c>
      <c r="K1963" s="144"/>
      <c r="L1963" s="62">
        <v>153</v>
      </c>
    </row>
    <row r="1964" spans="1:18" ht="14" x14ac:dyDescent="0.15">
      <c r="A1964" s="165" t="s">
        <v>2479</v>
      </c>
      <c r="B1964" s="93" t="s">
        <v>2885</v>
      </c>
      <c r="C1964" s="102" t="s">
        <v>3636</v>
      </c>
      <c r="D1964" s="62" t="s">
        <v>2548</v>
      </c>
      <c r="E1964" s="102" t="s">
        <v>5977</v>
      </c>
      <c r="F1964" s="102" t="s">
        <v>5978</v>
      </c>
      <c r="G1964" s="102" t="s">
        <v>2790</v>
      </c>
      <c r="H1964" s="175"/>
      <c r="I1964" s="98">
        <v>-999</v>
      </c>
      <c r="J1964" s="98">
        <v>-999</v>
      </c>
      <c r="K1964" s="135"/>
      <c r="L1964" s="62">
        <v>-999</v>
      </c>
    </row>
    <row r="1965" spans="1:18" ht="28" x14ac:dyDescent="0.15">
      <c r="A1965" s="165" t="s">
        <v>2479</v>
      </c>
      <c r="B1965" s="93" t="s">
        <v>793</v>
      </c>
      <c r="C1965" s="102" t="s">
        <v>3636</v>
      </c>
      <c r="D1965" s="62" t="s">
        <v>2548</v>
      </c>
      <c r="E1965" s="102" t="s">
        <v>5977</v>
      </c>
      <c r="F1965" s="102" t="s">
        <v>5978</v>
      </c>
      <c r="G1965" s="102" t="s">
        <v>794</v>
      </c>
      <c r="H1965" s="175"/>
      <c r="I1965" s="98">
        <v>-999</v>
      </c>
      <c r="J1965" s="98">
        <v>-999</v>
      </c>
      <c r="K1965" s="135"/>
      <c r="L1965" s="62">
        <v>-999</v>
      </c>
    </row>
    <row r="1966" spans="1:18" ht="70" x14ac:dyDescent="0.15">
      <c r="A1966" s="165" t="s">
        <v>2479</v>
      </c>
      <c r="B1966" s="93" t="s">
        <v>222</v>
      </c>
      <c r="C1966" s="102" t="s">
        <v>3636</v>
      </c>
      <c r="D1966" s="62" t="s">
        <v>2548</v>
      </c>
      <c r="E1966" s="102" t="s">
        <v>5977</v>
      </c>
      <c r="F1966" s="102" t="s">
        <v>5978</v>
      </c>
      <c r="G1966" s="102" t="s">
        <v>223</v>
      </c>
      <c r="H1966" s="175"/>
      <c r="I1966" s="98">
        <v>-999</v>
      </c>
      <c r="J1966" s="98">
        <v>-999</v>
      </c>
      <c r="K1966" s="135"/>
      <c r="L1966" s="62">
        <v>-999</v>
      </c>
    </row>
    <row r="1967" spans="1:18" ht="14" x14ac:dyDescent="0.15">
      <c r="A1967" s="165" t="s">
        <v>2479</v>
      </c>
      <c r="B1967" s="93" t="s">
        <v>1217</v>
      </c>
      <c r="C1967" s="102" t="s">
        <v>3636</v>
      </c>
      <c r="D1967" s="62" t="s">
        <v>2548</v>
      </c>
      <c r="E1967" s="102" t="s">
        <v>5977</v>
      </c>
      <c r="F1967" s="102" t="s">
        <v>5978</v>
      </c>
      <c r="G1967" s="102" t="s">
        <v>3627</v>
      </c>
      <c r="H1967" s="175"/>
      <c r="I1967" s="98">
        <v>-999</v>
      </c>
      <c r="J1967" s="98">
        <v>-999</v>
      </c>
      <c r="K1967" s="141"/>
      <c r="L1967" s="62">
        <v>-999</v>
      </c>
    </row>
    <row r="1968" spans="1:18" ht="28" x14ac:dyDescent="0.15">
      <c r="A1968" s="165" t="s">
        <v>2479</v>
      </c>
      <c r="B1968" s="93" t="s">
        <v>1022</v>
      </c>
      <c r="C1968" s="102" t="s">
        <v>3636</v>
      </c>
      <c r="D1968" s="62" t="s">
        <v>2548</v>
      </c>
      <c r="E1968" s="102" t="s">
        <v>5977</v>
      </c>
      <c r="F1968" s="102" t="s">
        <v>5978</v>
      </c>
      <c r="G1968" s="102" t="s">
        <v>1023</v>
      </c>
      <c r="H1968" s="175"/>
      <c r="I1968" s="98">
        <v>-999</v>
      </c>
      <c r="J1968" s="98">
        <v>-999</v>
      </c>
      <c r="K1968" s="135"/>
      <c r="L1968" s="62">
        <v>-999</v>
      </c>
    </row>
    <row r="1969" spans="1:14" ht="42" x14ac:dyDescent="0.15">
      <c r="A1969" s="165" t="s">
        <v>2479</v>
      </c>
      <c r="B1969" s="93" t="s">
        <v>1049</v>
      </c>
      <c r="C1969" s="102" t="s">
        <v>3636</v>
      </c>
      <c r="D1969" s="62" t="s">
        <v>2548</v>
      </c>
      <c r="E1969" s="102" t="s">
        <v>5977</v>
      </c>
      <c r="F1969" s="102" t="s">
        <v>5978</v>
      </c>
      <c r="G1969" s="102" t="s">
        <v>1050</v>
      </c>
      <c r="H1969" s="175"/>
      <c r="I1969" s="98">
        <v>-999</v>
      </c>
      <c r="J1969" s="98">
        <v>-999</v>
      </c>
      <c r="K1969" s="135"/>
      <c r="L1969" s="62">
        <v>-999</v>
      </c>
    </row>
    <row r="1970" spans="1:14" ht="28" x14ac:dyDescent="0.15">
      <c r="A1970" s="165" t="s">
        <v>2479</v>
      </c>
      <c r="B1970" s="93" t="s">
        <v>1148</v>
      </c>
      <c r="C1970" s="102" t="s">
        <v>3636</v>
      </c>
      <c r="D1970" s="62" t="s">
        <v>2548</v>
      </c>
      <c r="E1970" s="100" t="s">
        <v>5977</v>
      </c>
      <c r="F1970" s="102" t="s">
        <v>5978</v>
      </c>
      <c r="G1970" s="102" t="s">
        <v>1149</v>
      </c>
      <c r="H1970" s="175"/>
      <c r="I1970" s="98">
        <v>-999</v>
      </c>
      <c r="J1970" s="98">
        <v>-999</v>
      </c>
      <c r="K1970" s="135"/>
      <c r="L1970" s="62">
        <v>-999</v>
      </c>
    </row>
    <row r="1971" spans="1:14" ht="14" x14ac:dyDescent="0.15">
      <c r="A1971" s="165" t="s">
        <v>2479</v>
      </c>
      <c r="B1971" s="93" t="s">
        <v>804</v>
      </c>
      <c r="C1971" s="100" t="s">
        <v>3636</v>
      </c>
      <c r="D1971" s="61" t="s">
        <v>2548</v>
      </c>
      <c r="E1971" s="102" t="s">
        <v>5977</v>
      </c>
      <c r="F1971" s="100" t="s">
        <v>5978</v>
      </c>
      <c r="G1971" s="100" t="s">
        <v>805</v>
      </c>
      <c r="H1971" s="177"/>
      <c r="I1971" s="98">
        <v>-999</v>
      </c>
      <c r="J1971" s="98">
        <v>-999</v>
      </c>
      <c r="K1971" s="135"/>
      <c r="L1971" s="62">
        <v>-999</v>
      </c>
    </row>
    <row r="1972" spans="1:14" ht="42" x14ac:dyDescent="0.15">
      <c r="A1972" s="165" t="s">
        <v>2479</v>
      </c>
      <c r="B1972" s="93" t="s">
        <v>895</v>
      </c>
      <c r="C1972" s="102" t="s">
        <v>3636</v>
      </c>
      <c r="D1972" s="62" t="s">
        <v>2548</v>
      </c>
      <c r="E1972" s="102" t="s">
        <v>5977</v>
      </c>
      <c r="F1972" s="102" t="s">
        <v>5978</v>
      </c>
      <c r="G1972" s="102" t="s">
        <v>2693</v>
      </c>
      <c r="H1972" s="175"/>
      <c r="I1972" s="85">
        <f t="shared" ref="I1972:I1996" si="75">LOG(J1972)</f>
        <v>0.4705574852172742</v>
      </c>
      <c r="J1972" s="104">
        <v>2.9550000000000001</v>
      </c>
      <c r="K1972" s="144"/>
      <c r="L1972" s="62">
        <v>153</v>
      </c>
    </row>
    <row r="1973" spans="1:14" ht="14" x14ac:dyDescent="0.15">
      <c r="A1973" s="165" t="s">
        <v>2479</v>
      </c>
      <c r="B1973" s="93" t="s">
        <v>2678</v>
      </c>
      <c r="C1973" s="102" t="s">
        <v>3636</v>
      </c>
      <c r="D1973" s="62" t="s">
        <v>2548</v>
      </c>
      <c r="E1973" s="102" t="s">
        <v>5977</v>
      </c>
      <c r="F1973" s="102" t="s">
        <v>5978</v>
      </c>
      <c r="G1973" s="102" t="s">
        <v>2679</v>
      </c>
      <c r="H1973" s="175"/>
      <c r="I1973" s="85">
        <f t="shared" si="75"/>
        <v>0.51719589794997434</v>
      </c>
      <c r="J1973" s="104">
        <v>3.29</v>
      </c>
      <c r="K1973" s="144"/>
      <c r="L1973" s="62">
        <v>153</v>
      </c>
    </row>
    <row r="1974" spans="1:14" ht="28" x14ac:dyDescent="0.15">
      <c r="A1974" s="165" t="s">
        <v>2479</v>
      </c>
      <c r="B1974" s="93" t="s">
        <v>2895</v>
      </c>
      <c r="C1974" s="102" t="s">
        <v>3636</v>
      </c>
      <c r="D1974" s="62" t="s">
        <v>2548</v>
      </c>
      <c r="E1974" s="102" t="s">
        <v>5977</v>
      </c>
      <c r="F1974" s="102" t="s">
        <v>5978</v>
      </c>
      <c r="G1974" s="102" t="s">
        <v>548</v>
      </c>
      <c r="H1974" s="175"/>
      <c r="I1974" s="85">
        <f t="shared" si="75"/>
        <v>0.6020599913279624</v>
      </c>
      <c r="J1974" s="104">
        <v>4</v>
      </c>
      <c r="K1974" s="144"/>
      <c r="L1974" s="62">
        <v>153</v>
      </c>
    </row>
    <row r="1975" spans="1:14" ht="28" x14ac:dyDescent="0.15">
      <c r="A1975" s="165" t="s">
        <v>2479</v>
      </c>
      <c r="B1975" s="93" t="s">
        <v>1142</v>
      </c>
      <c r="C1975" s="102" t="s">
        <v>3636</v>
      </c>
      <c r="D1975" s="62" t="s">
        <v>2548</v>
      </c>
      <c r="E1975" s="102" t="s">
        <v>5977</v>
      </c>
      <c r="F1975" s="102" t="s">
        <v>5978</v>
      </c>
      <c r="G1975" s="102" t="s">
        <v>2684</v>
      </c>
      <c r="H1975" s="175"/>
      <c r="I1975" s="85">
        <f t="shared" si="75"/>
        <v>0.64998354364517763</v>
      </c>
      <c r="J1975" s="104">
        <v>4.4666666666669999</v>
      </c>
      <c r="K1975" s="144"/>
      <c r="L1975" s="62">
        <v>153</v>
      </c>
    </row>
    <row r="1976" spans="1:14" ht="56" x14ac:dyDescent="0.15">
      <c r="A1976" s="165" t="s">
        <v>2479</v>
      </c>
      <c r="B1976" s="93" t="s">
        <v>2855</v>
      </c>
      <c r="C1976" s="102" t="s">
        <v>3636</v>
      </c>
      <c r="D1976" s="62" t="s">
        <v>2548</v>
      </c>
      <c r="E1976" s="102" t="s">
        <v>5977</v>
      </c>
      <c r="F1976" s="102" t="s">
        <v>5978</v>
      </c>
      <c r="G1976" s="102" t="s">
        <v>5548</v>
      </c>
      <c r="H1976" s="175"/>
      <c r="I1976" s="85">
        <f t="shared" si="75"/>
        <v>0.69788290869480463</v>
      </c>
      <c r="J1976" s="104">
        <v>4.9874999999999998</v>
      </c>
      <c r="K1976" s="144"/>
      <c r="L1976" s="62">
        <v>153</v>
      </c>
    </row>
    <row r="1977" spans="1:14" ht="98" x14ac:dyDescent="0.15">
      <c r="A1977" s="165" t="s">
        <v>2479</v>
      </c>
      <c r="B1977" s="93" t="s">
        <v>1011</v>
      </c>
      <c r="C1977" s="102" t="s">
        <v>3636</v>
      </c>
      <c r="D1977" s="62" t="s">
        <v>2548</v>
      </c>
      <c r="E1977" s="102" t="s">
        <v>5977</v>
      </c>
      <c r="F1977" s="102" t="s">
        <v>5978</v>
      </c>
      <c r="G1977" s="102" t="s">
        <v>5310</v>
      </c>
      <c r="H1977" s="175"/>
      <c r="I1977" s="85">
        <f t="shared" si="75"/>
        <v>0.72427586960078905</v>
      </c>
      <c r="J1977" s="104">
        <v>5.3</v>
      </c>
      <c r="K1977" s="144"/>
      <c r="L1977" s="62">
        <v>153</v>
      </c>
    </row>
    <row r="1978" spans="1:14" ht="84" x14ac:dyDescent="0.15">
      <c r="A1978" s="165" t="s">
        <v>2479</v>
      </c>
      <c r="B1978" s="93" t="s">
        <v>888</v>
      </c>
      <c r="C1978" s="102" t="s">
        <v>3636</v>
      </c>
      <c r="D1978" s="62" t="s">
        <v>2548</v>
      </c>
      <c r="E1978" s="102" t="s">
        <v>5977</v>
      </c>
      <c r="F1978" s="102" t="s">
        <v>5978</v>
      </c>
      <c r="G1978" s="102" t="s">
        <v>5721</v>
      </c>
      <c r="H1978" s="175"/>
      <c r="I1978" s="85">
        <f t="shared" si="75"/>
        <v>0.77995705124690606</v>
      </c>
      <c r="J1978" s="104">
        <v>6.0250000000000004</v>
      </c>
      <c r="K1978" s="144"/>
      <c r="L1978" s="62">
        <v>153</v>
      </c>
    </row>
    <row r="1979" spans="1:14" ht="98" x14ac:dyDescent="0.15">
      <c r="A1979" s="165" t="s">
        <v>2479</v>
      </c>
      <c r="B1979" s="93" t="s">
        <v>2731</v>
      </c>
      <c r="C1979" s="102" t="s">
        <v>3636</v>
      </c>
      <c r="D1979" s="62" t="s">
        <v>2548</v>
      </c>
      <c r="E1979" s="102" t="s">
        <v>5977</v>
      </c>
      <c r="F1979" s="102" t="s">
        <v>5978</v>
      </c>
      <c r="G1979" s="102" t="s">
        <v>3404</v>
      </c>
      <c r="H1979" s="175"/>
      <c r="I1979" s="85">
        <f t="shared" si="75"/>
        <v>0.84509804001425681</v>
      </c>
      <c r="J1979" s="104">
        <v>7</v>
      </c>
      <c r="K1979" s="144"/>
      <c r="L1979" s="62">
        <v>153</v>
      </c>
    </row>
    <row r="1980" spans="1:14" ht="70" x14ac:dyDescent="0.15">
      <c r="A1980" s="165" t="s">
        <v>2479</v>
      </c>
      <c r="B1980" s="93" t="s">
        <v>2749</v>
      </c>
      <c r="C1980" s="102" t="s">
        <v>3636</v>
      </c>
      <c r="D1980" s="62" t="s">
        <v>2548</v>
      </c>
      <c r="E1980" s="102" t="s">
        <v>5977</v>
      </c>
      <c r="F1980" s="102" t="s">
        <v>5978</v>
      </c>
      <c r="G1980" s="102" t="s">
        <v>3696</v>
      </c>
      <c r="H1980" s="175"/>
      <c r="I1980" s="85">
        <f t="shared" si="75"/>
        <v>0.85356302283131313</v>
      </c>
      <c r="J1980" s="104">
        <v>7.137777777778</v>
      </c>
      <c r="K1980" s="144"/>
      <c r="L1980" s="62">
        <v>153</v>
      </c>
      <c r="N1980" s="37" t="s">
        <v>7580</v>
      </c>
    </row>
    <row r="1981" spans="1:14" ht="42" x14ac:dyDescent="0.15">
      <c r="A1981" s="165" t="s">
        <v>2479</v>
      </c>
      <c r="B1981" s="93" t="s">
        <v>950</v>
      </c>
      <c r="C1981" s="102" t="s">
        <v>3636</v>
      </c>
      <c r="D1981" s="62" t="s">
        <v>2548</v>
      </c>
      <c r="E1981" s="102" t="s">
        <v>5977</v>
      </c>
      <c r="F1981" s="102" t="s">
        <v>5978</v>
      </c>
      <c r="G1981" s="102" t="s">
        <v>951</v>
      </c>
      <c r="H1981" s="175"/>
      <c r="I1981" s="85">
        <f t="shared" si="75"/>
        <v>0.85733249643126852</v>
      </c>
      <c r="J1981" s="104">
        <v>7.2</v>
      </c>
      <c r="K1981" s="144"/>
      <c r="L1981" s="62">
        <v>153</v>
      </c>
    </row>
    <row r="1982" spans="1:14" ht="98" x14ac:dyDescent="0.15">
      <c r="A1982" s="165" t="s">
        <v>2479</v>
      </c>
      <c r="B1982" s="93" t="s">
        <v>879</v>
      </c>
      <c r="C1982" s="102" t="s">
        <v>3636</v>
      </c>
      <c r="D1982" s="62" t="s">
        <v>2548</v>
      </c>
      <c r="E1982" s="102" t="s">
        <v>5977</v>
      </c>
      <c r="F1982" s="102" t="s">
        <v>5978</v>
      </c>
      <c r="G1982" s="102" t="s">
        <v>880</v>
      </c>
      <c r="H1982" s="175"/>
      <c r="I1982" s="85">
        <f t="shared" si="75"/>
        <v>0.86949560842307416</v>
      </c>
      <c r="J1982" s="104">
        <v>7.4044977999999997</v>
      </c>
      <c r="K1982" s="144"/>
      <c r="L1982" s="62">
        <v>153</v>
      </c>
    </row>
    <row r="1983" spans="1:14" ht="56" x14ac:dyDescent="0.15">
      <c r="A1983" s="165" t="s">
        <v>2479</v>
      </c>
      <c r="B1983" s="93" t="s">
        <v>1207</v>
      </c>
      <c r="C1983" s="102" t="s">
        <v>3636</v>
      </c>
      <c r="D1983" s="62" t="s">
        <v>2548</v>
      </c>
      <c r="E1983" s="102" t="s">
        <v>5977</v>
      </c>
      <c r="F1983" s="102" t="s">
        <v>5978</v>
      </c>
      <c r="G1983" s="102" t="s">
        <v>1208</v>
      </c>
      <c r="H1983" s="175"/>
      <c r="I1983" s="85">
        <f t="shared" si="75"/>
        <v>0.87157293554587878</v>
      </c>
      <c r="J1983" s="104">
        <v>7.44</v>
      </c>
      <c r="K1983" s="143"/>
      <c r="L1983" s="61">
        <v>153</v>
      </c>
      <c r="N1983" s="37" t="s">
        <v>7579</v>
      </c>
    </row>
    <row r="1984" spans="1:14" ht="70" x14ac:dyDescent="0.15">
      <c r="A1984" s="165" t="s">
        <v>2479</v>
      </c>
      <c r="B1984" s="93" t="s">
        <v>2852</v>
      </c>
      <c r="C1984" s="102" t="s">
        <v>3636</v>
      </c>
      <c r="D1984" s="62" t="s">
        <v>2548</v>
      </c>
      <c r="E1984" s="102" t="s">
        <v>5977</v>
      </c>
      <c r="F1984" s="102" t="s">
        <v>5978</v>
      </c>
      <c r="G1984" s="102" t="s">
        <v>6283</v>
      </c>
      <c r="H1984" s="175"/>
      <c r="I1984" s="85">
        <f t="shared" si="75"/>
        <v>0.87794695162918823</v>
      </c>
      <c r="J1984" s="104">
        <v>7.55</v>
      </c>
      <c r="K1984" s="144"/>
      <c r="L1984" s="62">
        <v>153</v>
      </c>
    </row>
    <row r="1985" spans="1:15" ht="112" x14ac:dyDescent="0.15">
      <c r="A1985" s="165" t="s">
        <v>2479</v>
      </c>
      <c r="B1985" s="93" t="s">
        <v>984</v>
      </c>
      <c r="C1985" s="102" t="s">
        <v>3636</v>
      </c>
      <c r="D1985" s="62" t="s">
        <v>2548</v>
      </c>
      <c r="E1985" s="102" t="s">
        <v>5977</v>
      </c>
      <c r="F1985" s="102" t="s">
        <v>5978</v>
      </c>
      <c r="G1985" s="102" t="s">
        <v>4642</v>
      </c>
      <c r="H1985" s="175"/>
      <c r="I1985" s="85">
        <f t="shared" si="75"/>
        <v>0.88394519503427982</v>
      </c>
      <c r="J1985" s="104">
        <v>7.6550000000000002</v>
      </c>
      <c r="K1985" s="144"/>
      <c r="L1985" s="62">
        <v>153</v>
      </c>
      <c r="N1985" s="37" t="s">
        <v>7578</v>
      </c>
    </row>
    <row r="1986" spans="1:15" ht="42" x14ac:dyDescent="0.15">
      <c r="A1986" s="165" t="s">
        <v>2479</v>
      </c>
      <c r="B1986" s="93" t="s">
        <v>985</v>
      </c>
      <c r="C1986" s="102" t="s">
        <v>3636</v>
      </c>
      <c r="D1986" s="62" t="s">
        <v>2548</v>
      </c>
      <c r="E1986" s="102" t="s">
        <v>5977</v>
      </c>
      <c r="F1986" s="102" t="s">
        <v>5978</v>
      </c>
      <c r="G1986" s="102" t="s">
        <v>5271</v>
      </c>
      <c r="H1986" s="175"/>
      <c r="I1986" s="85">
        <f t="shared" si="75"/>
        <v>0.89129846226236964</v>
      </c>
      <c r="J1986" s="104">
        <v>7.7857142857139996</v>
      </c>
      <c r="K1986" s="144"/>
      <c r="L1986" s="62">
        <v>153</v>
      </c>
      <c r="O1986" s="37" t="s">
        <v>7581</v>
      </c>
    </row>
    <row r="1987" spans="1:15" ht="42" x14ac:dyDescent="0.15">
      <c r="A1987" s="165" t="s">
        <v>2479</v>
      </c>
      <c r="B1987" s="93" t="s">
        <v>2891</v>
      </c>
      <c r="C1987" s="102" t="s">
        <v>3636</v>
      </c>
      <c r="D1987" s="62" t="s">
        <v>2548</v>
      </c>
      <c r="E1987" s="102" t="s">
        <v>5977</v>
      </c>
      <c r="F1987" s="102" t="s">
        <v>5978</v>
      </c>
      <c r="G1987" s="102" t="s">
        <v>2892</v>
      </c>
      <c r="H1987" s="175"/>
      <c r="I1987" s="85">
        <f t="shared" si="75"/>
        <v>0.91907809237607396</v>
      </c>
      <c r="J1987" s="104">
        <v>8.3000000000000007</v>
      </c>
      <c r="K1987" s="144"/>
      <c r="L1987" s="62">
        <v>153</v>
      </c>
    </row>
    <row r="1988" spans="1:15" ht="28" x14ac:dyDescent="0.15">
      <c r="A1988" s="165" t="s">
        <v>2479</v>
      </c>
      <c r="B1988" s="93" t="s">
        <v>192</v>
      </c>
      <c r="C1988" s="102" t="s">
        <v>3636</v>
      </c>
      <c r="D1988" s="62" t="s">
        <v>2548</v>
      </c>
      <c r="E1988" s="102" t="s">
        <v>5977</v>
      </c>
      <c r="F1988" s="102" t="s">
        <v>5978</v>
      </c>
      <c r="G1988" s="102" t="s">
        <v>193</v>
      </c>
      <c r="H1988" s="175"/>
      <c r="I1988" s="85">
        <f t="shared" si="75"/>
        <v>0.92810310234210214</v>
      </c>
      <c r="J1988" s="104">
        <v>8.4742857142859993</v>
      </c>
      <c r="K1988" s="144"/>
      <c r="L1988" s="62">
        <v>153</v>
      </c>
    </row>
    <row r="1989" spans="1:15" ht="70" x14ac:dyDescent="0.15">
      <c r="A1989" s="165" t="s">
        <v>2479</v>
      </c>
      <c r="B1989" s="93" t="s">
        <v>1268</v>
      </c>
      <c r="C1989" s="102" t="s">
        <v>3636</v>
      </c>
      <c r="D1989" s="62" t="s">
        <v>2548</v>
      </c>
      <c r="E1989" s="102" t="s">
        <v>5977</v>
      </c>
      <c r="F1989" s="102" t="s">
        <v>5978</v>
      </c>
      <c r="G1989" s="102" t="s">
        <v>1269</v>
      </c>
      <c r="H1989" s="175"/>
      <c r="I1989" s="85">
        <f t="shared" si="75"/>
        <v>0.94200805302231327</v>
      </c>
      <c r="J1989" s="104">
        <v>8.75</v>
      </c>
      <c r="K1989" s="144"/>
      <c r="L1989" s="62">
        <v>153</v>
      </c>
    </row>
    <row r="1990" spans="1:15" ht="14" x14ac:dyDescent="0.15">
      <c r="A1990" s="165" t="s">
        <v>2479</v>
      </c>
      <c r="B1990" s="93" t="s">
        <v>1172</v>
      </c>
      <c r="C1990" s="102" t="s">
        <v>3636</v>
      </c>
      <c r="D1990" s="62" t="s">
        <v>2548</v>
      </c>
      <c r="E1990" s="102" t="s">
        <v>5977</v>
      </c>
      <c r="F1990" s="102" t="s">
        <v>5978</v>
      </c>
      <c r="G1990" s="102" t="s">
        <v>1173</v>
      </c>
      <c r="H1990" s="175"/>
      <c r="I1990" s="85">
        <f t="shared" si="75"/>
        <v>0.99122607569249488</v>
      </c>
      <c r="J1990" s="104">
        <v>9.8000000000000007</v>
      </c>
      <c r="K1990" s="144"/>
      <c r="L1990" s="62">
        <v>153</v>
      </c>
    </row>
    <row r="1991" spans="1:15" ht="98" x14ac:dyDescent="0.15">
      <c r="A1991" s="165" t="s">
        <v>2479</v>
      </c>
      <c r="B1991" s="93" t="s">
        <v>1174</v>
      </c>
      <c r="C1991" s="102" t="s">
        <v>3636</v>
      </c>
      <c r="D1991" s="62" t="s">
        <v>2548</v>
      </c>
      <c r="E1991" s="102" t="s">
        <v>5977</v>
      </c>
      <c r="F1991" s="102" t="s">
        <v>5978</v>
      </c>
      <c r="G1991" s="102" t="s">
        <v>6033</v>
      </c>
      <c r="H1991" s="175"/>
      <c r="I1991" s="85">
        <f t="shared" si="75"/>
        <v>1.0233553608264458</v>
      </c>
      <c r="J1991" s="104">
        <v>10.5525</v>
      </c>
      <c r="K1991" s="144"/>
      <c r="L1991" s="62">
        <v>153</v>
      </c>
    </row>
    <row r="1992" spans="1:15" ht="28" x14ac:dyDescent="0.15">
      <c r="A1992" s="165" t="s">
        <v>2479</v>
      </c>
      <c r="B1992" s="93" t="s">
        <v>1255</v>
      </c>
      <c r="C1992" s="102" t="s">
        <v>3636</v>
      </c>
      <c r="D1992" s="62" t="s">
        <v>2548</v>
      </c>
      <c r="E1992" s="102" t="s">
        <v>5977</v>
      </c>
      <c r="F1992" s="102" t="s">
        <v>5978</v>
      </c>
      <c r="G1992" s="102" t="s">
        <v>1256</v>
      </c>
      <c r="H1992" s="175"/>
      <c r="I1992" s="85">
        <f t="shared" si="75"/>
        <v>1.0413926851582251</v>
      </c>
      <c r="J1992" s="104">
        <v>11</v>
      </c>
      <c r="K1992" s="144"/>
      <c r="L1992" s="62">
        <v>153</v>
      </c>
    </row>
    <row r="1993" spans="1:15" ht="70" x14ac:dyDescent="0.15">
      <c r="A1993" s="165" t="s">
        <v>2479</v>
      </c>
      <c r="B1993" s="93" t="s">
        <v>1079</v>
      </c>
      <c r="C1993" s="102" t="s">
        <v>3636</v>
      </c>
      <c r="D1993" s="62" t="s">
        <v>2548</v>
      </c>
      <c r="E1993" s="102" t="s">
        <v>5977</v>
      </c>
      <c r="F1993" s="102" t="s">
        <v>5978</v>
      </c>
      <c r="G1993" s="102" t="s">
        <v>2787</v>
      </c>
      <c r="H1993" s="175"/>
      <c r="I1993" s="85">
        <f t="shared" si="75"/>
        <v>1.1502446018730599</v>
      </c>
      <c r="J1993" s="104">
        <v>14.133333333333001</v>
      </c>
      <c r="K1993" s="144"/>
      <c r="L1993" s="62">
        <v>153</v>
      </c>
    </row>
    <row r="1994" spans="1:15" ht="112" x14ac:dyDescent="0.15">
      <c r="A1994" s="165" t="s">
        <v>2479</v>
      </c>
      <c r="B1994" s="93" t="s">
        <v>147</v>
      </c>
      <c r="C1994" s="102" t="s">
        <v>3636</v>
      </c>
      <c r="D1994" s="62" t="s">
        <v>2548</v>
      </c>
      <c r="E1994" s="102" t="s">
        <v>5977</v>
      </c>
      <c r="F1994" s="102" t="s">
        <v>5978</v>
      </c>
      <c r="G1994" s="102" t="s">
        <v>148</v>
      </c>
      <c r="H1994" s="175"/>
      <c r="I1994" s="85">
        <f t="shared" si="75"/>
        <v>1.3515386418156639</v>
      </c>
      <c r="J1994" s="104">
        <v>22.466666666666999</v>
      </c>
      <c r="K1994" s="144"/>
      <c r="L1994" s="62">
        <v>153</v>
      </c>
      <c r="N1994" s="37" t="s">
        <v>7577</v>
      </c>
    </row>
    <row r="1995" spans="1:15" ht="70" x14ac:dyDescent="0.15">
      <c r="A1995" s="165" t="s">
        <v>2479</v>
      </c>
      <c r="B1995" s="93" t="s">
        <v>2785</v>
      </c>
      <c r="C1995" s="102" t="s">
        <v>3636</v>
      </c>
      <c r="D1995" s="62" t="s">
        <v>2548</v>
      </c>
      <c r="E1995" s="100" t="s">
        <v>5977</v>
      </c>
      <c r="F1995" s="102" t="s">
        <v>5978</v>
      </c>
      <c r="G1995" s="102" t="s">
        <v>2786</v>
      </c>
      <c r="H1995" s="175"/>
      <c r="I1995" s="85">
        <f t="shared" si="75"/>
        <v>1.3942181263802043</v>
      </c>
      <c r="J1995" s="104">
        <v>24.786666666666999</v>
      </c>
      <c r="K1995" s="144"/>
      <c r="L1995" s="62">
        <v>153</v>
      </c>
      <c r="N1995" s="37" t="s">
        <v>7576</v>
      </c>
    </row>
    <row r="1996" spans="1:15" ht="42" x14ac:dyDescent="0.15">
      <c r="A1996" s="165" t="s">
        <v>2479</v>
      </c>
      <c r="B1996" s="93" t="s">
        <v>1085</v>
      </c>
      <c r="C1996" s="100" t="s">
        <v>3636</v>
      </c>
      <c r="D1996" s="61" t="s">
        <v>2548</v>
      </c>
      <c r="E1996" s="100" t="s">
        <v>5977</v>
      </c>
      <c r="F1996" s="100" t="s">
        <v>5978</v>
      </c>
      <c r="G1996" s="100" t="s">
        <v>3855</v>
      </c>
      <c r="H1996" s="177"/>
      <c r="I1996" s="85">
        <f t="shared" si="75"/>
        <v>1.6232492903979006</v>
      </c>
      <c r="J1996" s="103">
        <v>42</v>
      </c>
      <c r="K1996" s="135"/>
      <c r="L1996" s="62">
        <v>60</v>
      </c>
    </row>
    <row r="1997" spans="1:15" ht="42" x14ac:dyDescent="0.15">
      <c r="A1997" s="165" t="s">
        <v>2479</v>
      </c>
      <c r="B1997" s="93" t="s">
        <v>930</v>
      </c>
      <c r="C1997" s="102" t="s">
        <v>3636</v>
      </c>
      <c r="D1997" s="62" t="s">
        <v>2548</v>
      </c>
      <c r="E1997" s="102" t="s">
        <v>5977</v>
      </c>
      <c r="F1997" s="102" t="s">
        <v>982</v>
      </c>
      <c r="G1997" s="102" t="s">
        <v>931</v>
      </c>
      <c r="H1997" s="175"/>
      <c r="I1997" s="98">
        <v>-999</v>
      </c>
      <c r="J1997" s="98">
        <v>-999</v>
      </c>
      <c r="K1997" s="135"/>
      <c r="L1997" s="62">
        <v>-999</v>
      </c>
    </row>
    <row r="1998" spans="1:15" ht="28" x14ac:dyDescent="0.15">
      <c r="A1998" s="165" t="s">
        <v>2479</v>
      </c>
      <c r="B1998" s="93" t="s">
        <v>1031</v>
      </c>
      <c r="C1998" s="102" t="s">
        <v>3636</v>
      </c>
      <c r="D1998" s="62" t="s">
        <v>2548</v>
      </c>
      <c r="E1998" s="102" t="s">
        <v>5977</v>
      </c>
      <c r="F1998" s="102" t="s">
        <v>982</v>
      </c>
      <c r="G1998" s="102" t="s">
        <v>3804</v>
      </c>
      <c r="H1998" s="175"/>
      <c r="I1998" s="98">
        <v>-999</v>
      </c>
      <c r="J1998" s="98">
        <v>-999</v>
      </c>
      <c r="K1998" s="135"/>
      <c r="L1998" s="62">
        <v>-999</v>
      </c>
    </row>
    <row r="1999" spans="1:15" ht="28" x14ac:dyDescent="0.15">
      <c r="A1999" s="165" t="s">
        <v>2479</v>
      </c>
      <c r="B1999" s="93" t="s">
        <v>981</v>
      </c>
      <c r="C1999" s="102" t="s">
        <v>3636</v>
      </c>
      <c r="D1999" s="62" t="s">
        <v>2548</v>
      </c>
      <c r="E1999" s="102" t="s">
        <v>5977</v>
      </c>
      <c r="F1999" s="102" t="s">
        <v>982</v>
      </c>
      <c r="G1999" s="102" t="s">
        <v>1053</v>
      </c>
      <c r="H1999" s="175"/>
      <c r="I1999" s="85">
        <f t="shared" ref="I1999:I2005" si="76">LOG(J1999)</f>
        <v>1.1231980750319988</v>
      </c>
      <c r="J1999" s="104">
        <v>13.28</v>
      </c>
      <c r="K1999" s="144"/>
      <c r="L1999" s="62">
        <v>153</v>
      </c>
    </row>
    <row r="2000" spans="1:15" ht="98" x14ac:dyDescent="0.15">
      <c r="A2000" s="165" t="s">
        <v>2479</v>
      </c>
      <c r="B2000" s="93" t="s">
        <v>1047</v>
      </c>
      <c r="C2000" s="102" t="s">
        <v>3636</v>
      </c>
      <c r="D2000" s="62" t="s">
        <v>2548</v>
      </c>
      <c r="E2000" s="102" t="s">
        <v>5977</v>
      </c>
      <c r="F2000" s="102" t="s">
        <v>982</v>
      </c>
      <c r="G2000" s="102" t="s">
        <v>1048</v>
      </c>
      <c r="H2000" s="175"/>
      <c r="I2000" s="85">
        <f t="shared" si="76"/>
        <v>1.4471580313422192</v>
      </c>
      <c r="J2000" s="104">
        <v>28</v>
      </c>
      <c r="K2000" s="144"/>
      <c r="L2000" s="62">
        <v>153</v>
      </c>
      <c r="N2000" s="37" t="s">
        <v>7575</v>
      </c>
    </row>
    <row r="2001" spans="1:26" ht="70" x14ac:dyDescent="0.15">
      <c r="A2001" s="165" t="s">
        <v>2479</v>
      </c>
      <c r="B2001" s="93" t="s">
        <v>1037</v>
      </c>
      <c r="C2001" s="102" t="s">
        <v>3636</v>
      </c>
      <c r="D2001" s="62" t="s">
        <v>2548</v>
      </c>
      <c r="E2001" s="102" t="s">
        <v>5977</v>
      </c>
      <c r="F2001" s="102" t="s">
        <v>982</v>
      </c>
      <c r="G2001" s="102" t="s">
        <v>2851</v>
      </c>
      <c r="H2001" s="175"/>
      <c r="I2001" s="85">
        <f t="shared" si="76"/>
        <v>1.6966475684169846</v>
      </c>
      <c r="J2001" s="104">
        <v>49.733333333333</v>
      </c>
      <c r="K2001" s="144"/>
      <c r="L2001" s="62">
        <v>153</v>
      </c>
    </row>
    <row r="2002" spans="1:26" ht="84" x14ac:dyDescent="0.15">
      <c r="A2002" s="165" t="s">
        <v>2479</v>
      </c>
      <c r="B2002" s="93" t="s">
        <v>173</v>
      </c>
      <c r="C2002" s="102" t="s">
        <v>3636</v>
      </c>
      <c r="D2002" s="62" t="s">
        <v>2548</v>
      </c>
      <c r="E2002" s="102" t="s">
        <v>5977</v>
      </c>
      <c r="F2002" s="102" t="s">
        <v>2748</v>
      </c>
      <c r="G2002" s="102" t="s">
        <v>1304</v>
      </c>
      <c r="H2002" s="175"/>
      <c r="I2002" s="85">
        <f t="shared" si="76"/>
        <v>0.70267666537355344</v>
      </c>
      <c r="J2002" s="104">
        <v>5.0428571428569997</v>
      </c>
      <c r="K2002" s="144"/>
      <c r="L2002" s="62">
        <v>153</v>
      </c>
      <c r="N2002" s="37" t="s">
        <v>7591</v>
      </c>
    </row>
    <row r="2003" spans="1:26" ht="42" x14ac:dyDescent="0.15">
      <c r="A2003" s="165" t="s">
        <v>2479</v>
      </c>
      <c r="B2003" s="93" t="s">
        <v>1116</v>
      </c>
      <c r="C2003" s="102" t="s">
        <v>3636</v>
      </c>
      <c r="D2003" s="62" t="s">
        <v>2548</v>
      </c>
      <c r="E2003" s="102" t="s">
        <v>5977</v>
      </c>
      <c r="F2003" s="102" t="s">
        <v>2937</v>
      </c>
      <c r="G2003" s="102" t="s">
        <v>6056</v>
      </c>
      <c r="H2003" s="175"/>
      <c r="I2003" s="85">
        <f t="shared" si="76"/>
        <v>1.0691128513871209</v>
      </c>
      <c r="J2003" s="104">
        <v>11.725</v>
      </c>
      <c r="K2003" s="144"/>
      <c r="L2003" s="62">
        <v>153</v>
      </c>
    </row>
    <row r="2004" spans="1:26" ht="70" x14ac:dyDescent="0.15">
      <c r="A2004" s="165" t="s">
        <v>2479</v>
      </c>
      <c r="B2004" s="93" t="s">
        <v>293</v>
      </c>
      <c r="C2004" s="102" t="s">
        <v>3636</v>
      </c>
      <c r="D2004" s="62" t="s">
        <v>2548</v>
      </c>
      <c r="E2004" s="102" t="s">
        <v>5977</v>
      </c>
      <c r="F2004" s="102" t="s">
        <v>294</v>
      </c>
      <c r="G2004" s="102" t="s">
        <v>295</v>
      </c>
      <c r="H2004" s="175"/>
      <c r="I2004" s="85">
        <f t="shared" si="76"/>
        <v>1.3762118502826728</v>
      </c>
      <c r="J2004" s="104">
        <v>23.78</v>
      </c>
      <c r="K2004" s="144"/>
      <c r="L2004" s="62">
        <v>153</v>
      </c>
      <c r="N2004" s="37" t="s">
        <v>7593</v>
      </c>
    </row>
    <row r="2005" spans="1:26" ht="84" x14ac:dyDescent="0.15">
      <c r="A2005" s="165" t="s">
        <v>2479</v>
      </c>
      <c r="B2005" s="93" t="s">
        <v>126</v>
      </c>
      <c r="C2005" s="102" t="s">
        <v>3636</v>
      </c>
      <c r="D2005" s="62" t="s">
        <v>2548</v>
      </c>
      <c r="E2005" s="102" t="s">
        <v>5977</v>
      </c>
      <c r="F2005" s="102" t="s">
        <v>2975</v>
      </c>
      <c r="G2005" s="102" t="s">
        <v>2577</v>
      </c>
      <c r="H2005" s="175"/>
      <c r="I2005" s="85">
        <f t="shared" si="76"/>
        <v>1.0644579892269184</v>
      </c>
      <c r="J2005" s="104">
        <v>11.6</v>
      </c>
      <c r="K2005" s="144"/>
      <c r="L2005" s="62">
        <v>153</v>
      </c>
    </row>
    <row r="2006" spans="1:26" ht="28" x14ac:dyDescent="0.15">
      <c r="A2006" s="165" t="s">
        <v>2479</v>
      </c>
      <c r="B2006" s="93" t="s">
        <v>1030</v>
      </c>
      <c r="C2006" s="102" t="s">
        <v>3636</v>
      </c>
      <c r="D2006" s="62" t="s">
        <v>2548</v>
      </c>
      <c r="E2006" s="102" t="s">
        <v>5977</v>
      </c>
      <c r="F2006" s="102" t="s">
        <v>2581</v>
      </c>
      <c r="G2006" s="102" t="s">
        <v>7186</v>
      </c>
      <c r="H2006" s="175"/>
      <c r="I2006" s="98">
        <v>-999</v>
      </c>
      <c r="J2006" s="98">
        <v>-999</v>
      </c>
      <c r="K2006" s="135"/>
      <c r="L2006" s="62">
        <v>-999</v>
      </c>
    </row>
    <row r="2007" spans="1:26" s="15" customFormat="1" ht="14" x14ac:dyDescent="0.15">
      <c r="A2007" s="165" t="s">
        <v>2479</v>
      </c>
      <c r="B2007" s="93" t="s">
        <v>2546</v>
      </c>
      <c r="C2007" s="100" t="s">
        <v>3636</v>
      </c>
      <c r="D2007" s="61" t="s">
        <v>2548</v>
      </c>
      <c r="E2007" s="100" t="s">
        <v>5977</v>
      </c>
      <c r="F2007" s="100" t="s">
        <v>2581</v>
      </c>
      <c r="G2007" s="100" t="s">
        <v>5290</v>
      </c>
      <c r="H2007" s="177"/>
      <c r="I2007" s="98">
        <v>-999</v>
      </c>
      <c r="J2007" s="103">
        <v>-999</v>
      </c>
      <c r="K2007" s="135"/>
      <c r="L2007" s="62">
        <v>-999</v>
      </c>
      <c r="M2007" s="49"/>
      <c r="N2007" s="37"/>
      <c r="O2007" s="37"/>
      <c r="P2007" s="37"/>
      <c r="Q2007" s="3"/>
      <c r="R2007" s="3"/>
      <c r="S2007" s="14"/>
      <c r="T2007" s="14"/>
      <c r="U2007" s="14"/>
      <c r="V2007" s="14"/>
      <c r="W2007" s="14"/>
      <c r="X2007" s="14"/>
      <c r="Y2007" s="14"/>
      <c r="Z2007" s="17"/>
    </row>
    <row r="2008" spans="1:26" ht="14" x14ac:dyDescent="0.15">
      <c r="A2008" s="165" t="s">
        <v>2479</v>
      </c>
      <c r="B2008" s="93" t="s">
        <v>1039</v>
      </c>
      <c r="C2008" s="102" t="s">
        <v>3636</v>
      </c>
      <c r="D2008" s="62" t="s">
        <v>2548</v>
      </c>
      <c r="E2008" s="102" t="s">
        <v>5977</v>
      </c>
      <c r="F2008" s="102" t="s">
        <v>2581</v>
      </c>
      <c r="G2008" s="102" t="s">
        <v>178</v>
      </c>
      <c r="H2008" s="175"/>
      <c r="I2008" s="98">
        <v>-999</v>
      </c>
      <c r="J2008" s="98">
        <v>-999</v>
      </c>
      <c r="K2008" s="135"/>
      <c r="L2008" s="62">
        <v>-999</v>
      </c>
    </row>
    <row r="2009" spans="1:26" ht="14" x14ac:dyDescent="0.15">
      <c r="A2009" s="168" t="s">
        <v>2479</v>
      </c>
      <c r="B2009" s="93" t="s">
        <v>180</v>
      </c>
      <c r="C2009" s="102" t="s">
        <v>3636</v>
      </c>
      <c r="D2009" s="62" t="s">
        <v>2548</v>
      </c>
      <c r="E2009" s="102" t="s">
        <v>5977</v>
      </c>
      <c r="F2009" s="102" t="s">
        <v>2581</v>
      </c>
      <c r="G2009" s="102" t="s">
        <v>3795</v>
      </c>
      <c r="H2009" s="175"/>
      <c r="I2009" s="98">
        <v>-999</v>
      </c>
      <c r="J2009" s="98">
        <v>-999</v>
      </c>
      <c r="K2009" s="135"/>
      <c r="L2009" s="62">
        <v>-999</v>
      </c>
    </row>
    <row r="2010" spans="1:26" ht="42" x14ac:dyDescent="0.15">
      <c r="A2010" s="168" t="s">
        <v>2479</v>
      </c>
      <c r="B2010" s="93" t="s">
        <v>1051</v>
      </c>
      <c r="C2010" s="102" t="s">
        <v>3636</v>
      </c>
      <c r="D2010" s="62" t="s">
        <v>2548</v>
      </c>
      <c r="E2010" s="102" t="s">
        <v>5977</v>
      </c>
      <c r="F2010" s="102" t="s">
        <v>2581</v>
      </c>
      <c r="G2010" s="102" t="s">
        <v>3959</v>
      </c>
      <c r="H2010" s="175"/>
      <c r="I2010" s="98">
        <v>-999</v>
      </c>
      <c r="J2010" s="98">
        <v>-999</v>
      </c>
      <c r="K2010" s="135"/>
      <c r="L2010" s="62">
        <v>-999</v>
      </c>
    </row>
    <row r="2011" spans="1:26" ht="28" x14ac:dyDescent="0.15">
      <c r="A2011" s="165" t="s">
        <v>2479</v>
      </c>
      <c r="B2011" s="93" t="s">
        <v>1236</v>
      </c>
      <c r="C2011" s="102" t="s">
        <v>3636</v>
      </c>
      <c r="D2011" s="62" t="s">
        <v>2548</v>
      </c>
      <c r="E2011" s="102" t="s">
        <v>5977</v>
      </c>
      <c r="F2011" s="102" t="s">
        <v>2581</v>
      </c>
      <c r="G2011" s="102" t="s">
        <v>1237</v>
      </c>
      <c r="H2011" s="175"/>
      <c r="I2011" s="98">
        <v>-999</v>
      </c>
      <c r="J2011" s="98">
        <v>-999</v>
      </c>
      <c r="K2011" s="135"/>
      <c r="L2011" s="62">
        <v>-999</v>
      </c>
    </row>
    <row r="2012" spans="1:26" ht="14" x14ac:dyDescent="0.15">
      <c r="A2012" s="165" t="s">
        <v>2479</v>
      </c>
      <c r="B2012" s="93" t="s">
        <v>2546</v>
      </c>
      <c r="C2012" s="102" t="s">
        <v>3636</v>
      </c>
      <c r="D2012" s="62" t="s">
        <v>2548</v>
      </c>
      <c r="E2012" s="102" t="s">
        <v>5977</v>
      </c>
      <c r="F2012" s="102" t="s">
        <v>2581</v>
      </c>
      <c r="G2012" s="102" t="s">
        <v>1238</v>
      </c>
      <c r="H2012" s="175"/>
      <c r="I2012" s="98">
        <v>-999</v>
      </c>
      <c r="J2012" s="98">
        <v>-999</v>
      </c>
      <c r="K2012" s="135"/>
      <c r="L2012" s="62">
        <v>-999</v>
      </c>
    </row>
    <row r="2013" spans="1:26" ht="14" x14ac:dyDescent="0.15">
      <c r="A2013" s="165" t="s">
        <v>2479</v>
      </c>
      <c r="B2013" s="93" t="s">
        <v>1202</v>
      </c>
      <c r="C2013" s="102" t="s">
        <v>3636</v>
      </c>
      <c r="D2013" s="62" t="s">
        <v>2548</v>
      </c>
      <c r="E2013" s="102" t="s">
        <v>5977</v>
      </c>
      <c r="F2013" s="102" t="s">
        <v>2581</v>
      </c>
      <c r="G2013" s="102" t="s">
        <v>1203</v>
      </c>
      <c r="H2013" s="175"/>
      <c r="I2013" s="98">
        <v>-999</v>
      </c>
      <c r="J2013" s="98">
        <v>-999</v>
      </c>
      <c r="K2013" s="135"/>
      <c r="L2013" s="62">
        <v>-999</v>
      </c>
    </row>
    <row r="2014" spans="1:26" ht="42" x14ac:dyDescent="0.15">
      <c r="A2014" s="165" t="s">
        <v>2479</v>
      </c>
      <c r="B2014" s="93" t="s">
        <v>842</v>
      </c>
      <c r="C2014" s="102" t="s">
        <v>3636</v>
      </c>
      <c r="D2014" s="62" t="s">
        <v>2548</v>
      </c>
      <c r="E2014" s="100" t="s">
        <v>5977</v>
      </c>
      <c r="F2014" s="102" t="s">
        <v>2581</v>
      </c>
      <c r="G2014" s="102" t="s">
        <v>923</v>
      </c>
      <c r="H2014" s="175"/>
      <c r="I2014" s="85">
        <f t="shared" ref="I2014:I2032" si="77">LOG(J2014)</f>
        <v>0.43136376415898736</v>
      </c>
      <c r="J2014" s="104">
        <v>2.7</v>
      </c>
      <c r="K2014" s="144"/>
      <c r="L2014" s="62">
        <v>153</v>
      </c>
      <c r="N2014" s="37" t="s">
        <v>7589</v>
      </c>
    </row>
    <row r="2015" spans="1:26" ht="14" x14ac:dyDescent="0.15">
      <c r="A2015" s="165" t="s">
        <v>2479</v>
      </c>
      <c r="B2015" s="93" t="s">
        <v>2596</v>
      </c>
      <c r="C2015" s="102" t="s">
        <v>3636</v>
      </c>
      <c r="D2015" s="62" t="s">
        <v>2548</v>
      </c>
      <c r="E2015" s="102" t="s">
        <v>5977</v>
      </c>
      <c r="F2015" s="102" t="s">
        <v>2581</v>
      </c>
      <c r="G2015" s="102" t="s">
        <v>924</v>
      </c>
      <c r="H2015" s="175"/>
      <c r="I2015" s="85">
        <f t="shared" si="77"/>
        <v>0.50105926221775143</v>
      </c>
      <c r="J2015" s="104">
        <v>3.17</v>
      </c>
      <c r="K2015" s="144"/>
      <c r="L2015" s="62">
        <v>153</v>
      </c>
      <c r="N2015" s="37" t="s">
        <v>7590</v>
      </c>
    </row>
    <row r="2016" spans="1:26" ht="56" x14ac:dyDescent="0.15">
      <c r="A2016" s="168" t="s">
        <v>2479</v>
      </c>
      <c r="B2016" s="93" t="s">
        <v>991</v>
      </c>
      <c r="C2016" s="102" t="s">
        <v>3636</v>
      </c>
      <c r="D2016" s="62" t="s">
        <v>2548</v>
      </c>
      <c r="E2016" s="102" t="s">
        <v>5977</v>
      </c>
      <c r="F2016" s="102" t="s">
        <v>2581</v>
      </c>
      <c r="G2016" s="102" t="s">
        <v>6422</v>
      </c>
      <c r="H2016" s="175"/>
      <c r="I2016" s="85">
        <f t="shared" si="77"/>
        <v>0.51851393987788741</v>
      </c>
      <c r="J2016" s="104">
        <v>3.3</v>
      </c>
      <c r="K2016" s="144"/>
      <c r="L2016" s="62">
        <v>153</v>
      </c>
    </row>
    <row r="2017" spans="1:14" ht="70" x14ac:dyDescent="0.15">
      <c r="A2017" s="165" t="s">
        <v>2479</v>
      </c>
      <c r="B2017" s="93" t="s">
        <v>2797</v>
      </c>
      <c r="C2017" s="102" t="s">
        <v>3636</v>
      </c>
      <c r="D2017" s="62" t="s">
        <v>2548</v>
      </c>
      <c r="E2017" s="102" t="s">
        <v>5977</v>
      </c>
      <c r="F2017" s="102" t="s">
        <v>2581</v>
      </c>
      <c r="G2017" s="102" t="s">
        <v>2798</v>
      </c>
      <c r="H2017" s="175"/>
      <c r="I2017" s="85">
        <f t="shared" si="77"/>
        <v>0.66275783168157409</v>
      </c>
      <c r="J2017" s="104">
        <v>4.5999999999999996</v>
      </c>
      <c r="K2017" s="144"/>
      <c r="L2017" s="62">
        <v>153</v>
      </c>
    </row>
    <row r="2018" spans="1:14" ht="84" x14ac:dyDescent="0.15">
      <c r="A2018" s="165" t="s">
        <v>2479</v>
      </c>
      <c r="B2018" s="82" t="s">
        <v>264</v>
      </c>
      <c r="C2018" s="107" t="s">
        <v>3636</v>
      </c>
      <c r="D2018" s="62" t="s">
        <v>2548</v>
      </c>
      <c r="E2018" s="107" t="s">
        <v>5977</v>
      </c>
      <c r="F2018" s="107" t="s">
        <v>2581</v>
      </c>
      <c r="G2018" s="107" t="s">
        <v>5077</v>
      </c>
      <c r="H2018" s="179"/>
      <c r="I2018" s="85">
        <f t="shared" si="77"/>
        <v>0.67209785793571752</v>
      </c>
      <c r="J2018" s="104">
        <v>4.7</v>
      </c>
      <c r="K2018" s="144"/>
      <c r="L2018" s="62">
        <v>153</v>
      </c>
    </row>
    <row r="2019" spans="1:14" ht="42" x14ac:dyDescent="0.15">
      <c r="A2019" s="165" t="s">
        <v>2479</v>
      </c>
      <c r="B2019" s="93" t="s">
        <v>204</v>
      </c>
      <c r="C2019" s="102" t="s">
        <v>3636</v>
      </c>
      <c r="D2019" s="62" t="s">
        <v>2548</v>
      </c>
      <c r="E2019" s="102" t="s">
        <v>5977</v>
      </c>
      <c r="F2019" s="102" t="s">
        <v>2581</v>
      </c>
      <c r="G2019" s="102" t="s">
        <v>205</v>
      </c>
      <c r="H2019" s="175"/>
      <c r="I2019" s="85">
        <f t="shared" si="77"/>
        <v>0.68124123737558717</v>
      </c>
      <c r="J2019" s="104">
        <v>4.8</v>
      </c>
      <c r="K2019" s="144"/>
      <c r="L2019" s="62">
        <v>153</v>
      </c>
    </row>
    <row r="2020" spans="1:14" ht="84" x14ac:dyDescent="0.15">
      <c r="A2020" s="165" t="s">
        <v>2479</v>
      </c>
      <c r="B2020" s="93" t="s">
        <v>203</v>
      </c>
      <c r="C2020" s="102" t="s">
        <v>3636</v>
      </c>
      <c r="D2020" s="62" t="s">
        <v>2548</v>
      </c>
      <c r="E2020" s="102" t="s">
        <v>5977</v>
      </c>
      <c r="F2020" s="102" t="s">
        <v>2581</v>
      </c>
      <c r="G2020" s="102" t="s">
        <v>7202</v>
      </c>
      <c r="H2020" s="175"/>
      <c r="I2020" s="85">
        <f t="shared" si="77"/>
        <v>0.72378393696532939</v>
      </c>
      <c r="J2020" s="104">
        <v>5.2939999999999996</v>
      </c>
      <c r="K2020" s="144"/>
      <c r="L2020" s="62">
        <v>153</v>
      </c>
    </row>
    <row r="2021" spans="1:14" ht="56" x14ac:dyDescent="0.15">
      <c r="A2021" s="165" t="s">
        <v>2479</v>
      </c>
      <c r="B2021" s="93" t="s">
        <v>1080</v>
      </c>
      <c r="C2021" s="102" t="s">
        <v>3636</v>
      </c>
      <c r="D2021" s="62" t="s">
        <v>2548</v>
      </c>
      <c r="E2021" s="102" t="s">
        <v>5977</v>
      </c>
      <c r="F2021" s="102" t="s">
        <v>2581</v>
      </c>
      <c r="G2021" s="102" t="s">
        <v>1081</v>
      </c>
      <c r="H2021" s="175"/>
      <c r="I2021" s="85">
        <f t="shared" si="77"/>
        <v>0.74390155048517881</v>
      </c>
      <c r="J2021" s="104">
        <v>5.5449999999999999</v>
      </c>
      <c r="K2021" s="144"/>
      <c r="L2021" s="62">
        <v>153</v>
      </c>
    </row>
    <row r="2022" spans="1:14" ht="98" x14ac:dyDescent="0.15">
      <c r="A2022" s="165" t="s">
        <v>2479</v>
      </c>
      <c r="B2022" s="93" t="s">
        <v>1786</v>
      </c>
      <c r="C2022" s="102" t="s">
        <v>3636</v>
      </c>
      <c r="D2022" s="62" t="s">
        <v>2548</v>
      </c>
      <c r="E2022" s="102" t="s">
        <v>5977</v>
      </c>
      <c r="F2022" s="102" t="s">
        <v>2581</v>
      </c>
      <c r="G2022" s="102" t="s">
        <v>1627</v>
      </c>
      <c r="H2022" s="175"/>
      <c r="I2022" s="85">
        <f t="shared" si="77"/>
        <v>0.75506456007526668</v>
      </c>
      <c r="J2022" s="104">
        <v>5.6893750000000001</v>
      </c>
      <c r="K2022" s="144"/>
      <c r="L2022" s="62">
        <v>153</v>
      </c>
      <c r="N2022" s="37" t="s">
        <v>7585</v>
      </c>
    </row>
    <row r="2023" spans="1:14" ht="70" x14ac:dyDescent="0.15">
      <c r="A2023" s="168" t="s">
        <v>2479</v>
      </c>
      <c r="B2023" s="93" t="s">
        <v>1158</v>
      </c>
      <c r="C2023" s="102" t="s">
        <v>3636</v>
      </c>
      <c r="D2023" s="62" t="s">
        <v>2548</v>
      </c>
      <c r="E2023" s="102" t="s">
        <v>5977</v>
      </c>
      <c r="F2023" s="102" t="s">
        <v>2581</v>
      </c>
      <c r="G2023" s="102" t="s">
        <v>4464</v>
      </c>
      <c r="H2023" s="175"/>
      <c r="I2023" s="85">
        <f t="shared" si="77"/>
        <v>0.77341901586724249</v>
      </c>
      <c r="J2023" s="104">
        <v>5.9349766666669996</v>
      </c>
      <c r="K2023" s="144"/>
      <c r="L2023" s="62">
        <v>153</v>
      </c>
      <c r="N2023" s="37" t="s">
        <v>7586</v>
      </c>
    </row>
    <row r="2024" spans="1:14" ht="126" x14ac:dyDescent="0.15">
      <c r="A2024" s="165" t="s">
        <v>2479</v>
      </c>
      <c r="B2024" s="93" t="s">
        <v>187</v>
      </c>
      <c r="C2024" s="102" t="s">
        <v>3636</v>
      </c>
      <c r="D2024" s="62" t="s">
        <v>2548</v>
      </c>
      <c r="E2024" s="102" t="s">
        <v>5977</v>
      </c>
      <c r="F2024" s="102" t="s">
        <v>2581</v>
      </c>
      <c r="G2024" s="102" t="s">
        <v>5493</v>
      </c>
      <c r="H2024" s="175"/>
      <c r="I2024" s="85">
        <f t="shared" si="77"/>
        <v>0.80311555489002706</v>
      </c>
      <c r="J2024" s="104">
        <v>6.3550000000000004</v>
      </c>
      <c r="K2024" s="144"/>
      <c r="L2024" s="62">
        <v>153</v>
      </c>
      <c r="N2024" s="37" t="s">
        <v>7588</v>
      </c>
    </row>
    <row r="2025" spans="1:14" ht="14" x14ac:dyDescent="0.15">
      <c r="A2025" s="165" t="s">
        <v>2479</v>
      </c>
      <c r="B2025" s="93" t="s">
        <v>188</v>
      </c>
      <c r="C2025" s="102" t="s">
        <v>3636</v>
      </c>
      <c r="D2025" s="62" t="s">
        <v>2548</v>
      </c>
      <c r="E2025" s="102" t="s">
        <v>5977</v>
      </c>
      <c r="F2025" s="102" t="s">
        <v>2581</v>
      </c>
      <c r="G2025" s="102" t="s">
        <v>189</v>
      </c>
      <c r="H2025" s="175"/>
      <c r="I2025" s="85">
        <f t="shared" si="77"/>
        <v>0.82607480270082645</v>
      </c>
      <c r="J2025" s="104">
        <v>6.7</v>
      </c>
      <c r="K2025" s="144"/>
      <c r="L2025" s="62">
        <v>153</v>
      </c>
    </row>
    <row r="2026" spans="1:14" ht="28" x14ac:dyDescent="0.15">
      <c r="A2026" s="165" t="s">
        <v>2479</v>
      </c>
      <c r="B2026" s="93" t="s">
        <v>253</v>
      </c>
      <c r="C2026" s="102" t="s">
        <v>3636</v>
      </c>
      <c r="D2026" s="62" t="s">
        <v>2548</v>
      </c>
      <c r="E2026" s="102" t="s">
        <v>5977</v>
      </c>
      <c r="F2026" s="102" t="s">
        <v>2581</v>
      </c>
      <c r="G2026" s="102" t="s">
        <v>254</v>
      </c>
      <c r="H2026" s="175"/>
      <c r="I2026" s="85">
        <f t="shared" si="77"/>
        <v>0.83674596564951209</v>
      </c>
      <c r="J2026" s="104">
        <v>6.8666666666670002</v>
      </c>
      <c r="K2026" s="144"/>
      <c r="L2026" s="62">
        <v>153</v>
      </c>
    </row>
    <row r="2027" spans="1:14" ht="56" x14ac:dyDescent="0.15">
      <c r="A2027" s="165" t="s">
        <v>2479</v>
      </c>
      <c r="B2027" s="93" t="s">
        <v>1215</v>
      </c>
      <c r="C2027" s="102" t="s">
        <v>3636</v>
      </c>
      <c r="D2027" s="62" t="s">
        <v>2548</v>
      </c>
      <c r="E2027" s="102" t="s">
        <v>5977</v>
      </c>
      <c r="F2027" s="102" t="s">
        <v>2581</v>
      </c>
      <c r="G2027" s="102" t="s">
        <v>4493</v>
      </c>
      <c r="H2027" s="175"/>
      <c r="I2027" s="85">
        <f t="shared" si="77"/>
        <v>0.83989684632847006</v>
      </c>
      <c r="J2027" s="104">
        <v>6.916666666667</v>
      </c>
      <c r="K2027" s="144"/>
      <c r="L2027" s="62">
        <v>153</v>
      </c>
      <c r="N2027" s="37" t="s">
        <v>7587</v>
      </c>
    </row>
    <row r="2028" spans="1:14" ht="42" x14ac:dyDescent="0.15">
      <c r="A2028" s="165" t="s">
        <v>2479</v>
      </c>
      <c r="B2028" s="93" t="s">
        <v>1026</v>
      </c>
      <c r="C2028" s="102" t="s">
        <v>3636</v>
      </c>
      <c r="D2028" s="62" t="s">
        <v>2548</v>
      </c>
      <c r="E2028" s="102" t="s">
        <v>5977</v>
      </c>
      <c r="F2028" s="102" t="s">
        <v>2581</v>
      </c>
      <c r="G2028" s="102" t="s">
        <v>1027</v>
      </c>
      <c r="H2028" s="175"/>
      <c r="I2028" s="85">
        <f t="shared" si="77"/>
        <v>0.86381834731839591</v>
      </c>
      <c r="J2028" s="104">
        <v>7.3083333333329996</v>
      </c>
      <c r="K2028" s="144"/>
      <c r="L2028" s="62">
        <v>153</v>
      </c>
    </row>
    <row r="2029" spans="1:14" ht="42" x14ac:dyDescent="0.15">
      <c r="A2029" s="165" t="s">
        <v>2479</v>
      </c>
      <c r="B2029" s="93" t="s">
        <v>802</v>
      </c>
      <c r="C2029" s="102" t="s">
        <v>3636</v>
      </c>
      <c r="D2029" s="62" t="s">
        <v>2548</v>
      </c>
      <c r="E2029" s="102" t="s">
        <v>5977</v>
      </c>
      <c r="F2029" s="102" t="s">
        <v>2581</v>
      </c>
      <c r="G2029" s="102" t="s">
        <v>803</v>
      </c>
      <c r="H2029" s="175"/>
      <c r="I2029" s="85">
        <f t="shared" si="77"/>
        <v>0.92363253317704841</v>
      </c>
      <c r="J2029" s="104">
        <v>8.3874999999999993</v>
      </c>
      <c r="K2029" s="144"/>
      <c r="L2029" s="62">
        <v>153</v>
      </c>
    </row>
    <row r="2030" spans="1:14" ht="28" x14ac:dyDescent="0.15">
      <c r="A2030" s="165" t="s">
        <v>2479</v>
      </c>
      <c r="B2030" s="93" t="s">
        <v>799</v>
      </c>
      <c r="C2030" s="102" t="s">
        <v>3636</v>
      </c>
      <c r="D2030" s="62" t="s">
        <v>2548</v>
      </c>
      <c r="E2030" s="102" t="s">
        <v>5977</v>
      </c>
      <c r="F2030" s="102" t="s">
        <v>2581</v>
      </c>
      <c r="G2030" s="102" t="s">
        <v>2850</v>
      </c>
      <c r="H2030" s="175"/>
      <c r="I2030" s="85">
        <f t="shared" si="77"/>
        <v>1.0170333392987803</v>
      </c>
      <c r="J2030" s="104">
        <v>10.4</v>
      </c>
      <c r="K2030" s="144"/>
      <c r="L2030" s="62">
        <v>153</v>
      </c>
    </row>
    <row r="2031" spans="1:14" ht="56" x14ac:dyDescent="0.15">
      <c r="A2031" s="165" t="s">
        <v>2479</v>
      </c>
      <c r="B2031" s="93" t="s">
        <v>217</v>
      </c>
      <c r="C2031" s="102" t="s">
        <v>3636</v>
      </c>
      <c r="D2031" s="62" t="s">
        <v>2548</v>
      </c>
      <c r="E2031" s="102" t="s">
        <v>5977</v>
      </c>
      <c r="F2031" s="102" t="s">
        <v>218</v>
      </c>
      <c r="G2031" s="102" t="s">
        <v>219</v>
      </c>
      <c r="H2031" s="175"/>
      <c r="I2031" s="85">
        <f t="shared" si="77"/>
        <v>0.86356076452624253</v>
      </c>
      <c r="J2031" s="104">
        <v>7.3040000000000003</v>
      </c>
      <c r="K2031" s="144"/>
      <c r="L2031" s="62">
        <v>153</v>
      </c>
      <c r="N2031" s="37" t="s">
        <v>7594</v>
      </c>
    </row>
    <row r="2032" spans="1:14" ht="42" x14ac:dyDescent="0.15">
      <c r="A2032" s="165" t="s">
        <v>2479</v>
      </c>
      <c r="B2032" s="93" t="s">
        <v>1106</v>
      </c>
      <c r="C2032" s="102" t="s">
        <v>3636</v>
      </c>
      <c r="D2032" s="62" t="s">
        <v>2548</v>
      </c>
      <c r="E2032" s="102" t="s">
        <v>5977</v>
      </c>
      <c r="F2032" s="102" t="s">
        <v>218</v>
      </c>
      <c r="G2032" s="102" t="s">
        <v>7117</v>
      </c>
      <c r="H2032" s="175"/>
      <c r="I2032" s="85">
        <f t="shared" si="77"/>
        <v>0.89392020586921617</v>
      </c>
      <c r="J2032" s="104">
        <v>7.8328571428569997</v>
      </c>
      <c r="K2032" s="144"/>
      <c r="L2032" s="62">
        <v>153</v>
      </c>
    </row>
    <row r="2033" spans="1:14" ht="14" x14ac:dyDescent="0.15">
      <c r="A2033" s="165" t="s">
        <v>2479</v>
      </c>
      <c r="B2033" s="93" t="s">
        <v>1265</v>
      </c>
      <c r="C2033" s="102" t="s">
        <v>3636</v>
      </c>
      <c r="D2033" s="62" t="s">
        <v>2548</v>
      </c>
      <c r="E2033" s="102" t="s">
        <v>5977</v>
      </c>
      <c r="F2033" s="102" t="s">
        <v>1007</v>
      </c>
      <c r="G2033" s="102" t="s">
        <v>5189</v>
      </c>
      <c r="H2033" s="175"/>
      <c r="I2033" s="98">
        <v>-999</v>
      </c>
      <c r="J2033" s="98">
        <v>-999</v>
      </c>
      <c r="K2033" s="135"/>
      <c r="L2033" s="62">
        <v>-999</v>
      </c>
    </row>
    <row r="2034" spans="1:14" ht="14" x14ac:dyDescent="0.15">
      <c r="A2034" s="165" t="s">
        <v>2479</v>
      </c>
      <c r="B2034" s="93" t="s">
        <v>989</v>
      </c>
      <c r="C2034" s="102" t="s">
        <v>3636</v>
      </c>
      <c r="D2034" s="62" t="s">
        <v>2548</v>
      </c>
      <c r="E2034" s="102" t="s">
        <v>5977</v>
      </c>
      <c r="F2034" s="102" t="s">
        <v>988</v>
      </c>
      <c r="G2034" s="102" t="s">
        <v>4642</v>
      </c>
      <c r="H2034" s="175"/>
      <c r="I2034" s="98">
        <v>-999</v>
      </c>
      <c r="J2034" s="98">
        <v>-999</v>
      </c>
      <c r="K2034" s="135"/>
      <c r="L2034" s="62">
        <v>-999</v>
      </c>
    </row>
    <row r="2035" spans="1:14" ht="42" x14ac:dyDescent="0.15">
      <c r="A2035" s="165" t="s">
        <v>2479</v>
      </c>
      <c r="B2035" s="93" t="s">
        <v>987</v>
      </c>
      <c r="C2035" s="102" t="s">
        <v>3636</v>
      </c>
      <c r="D2035" s="62" t="s">
        <v>2548</v>
      </c>
      <c r="E2035" s="102" t="s">
        <v>5977</v>
      </c>
      <c r="F2035" s="102" t="s">
        <v>988</v>
      </c>
      <c r="G2035" s="102" t="s">
        <v>4724</v>
      </c>
      <c r="H2035" s="175"/>
      <c r="I2035" s="85">
        <f t="shared" ref="I2035:I2046" si="78">LOG(J2035)</f>
        <v>1.3384564936046048</v>
      </c>
      <c r="J2035" s="104">
        <v>21.8</v>
      </c>
      <c r="K2035" s="144"/>
      <c r="L2035" s="62">
        <v>153</v>
      </c>
    </row>
    <row r="2036" spans="1:14" ht="56" x14ac:dyDescent="0.15">
      <c r="A2036" s="165" t="s">
        <v>2479</v>
      </c>
      <c r="B2036" s="93" t="s">
        <v>129</v>
      </c>
      <c r="C2036" s="102" t="s">
        <v>3636</v>
      </c>
      <c r="D2036" s="62" t="s">
        <v>2548</v>
      </c>
      <c r="E2036" s="102" t="s">
        <v>5977</v>
      </c>
      <c r="F2036" s="102" t="s">
        <v>6038</v>
      </c>
      <c r="G2036" s="102" t="s">
        <v>4464</v>
      </c>
      <c r="H2036" s="175"/>
      <c r="I2036" s="85">
        <f t="shared" si="78"/>
        <v>1.3610979671879697</v>
      </c>
      <c r="J2036" s="104">
        <v>22.966666666666999</v>
      </c>
      <c r="K2036" s="144"/>
      <c r="L2036" s="62">
        <v>153</v>
      </c>
    </row>
    <row r="2037" spans="1:14" ht="56" x14ac:dyDescent="0.15">
      <c r="A2037" s="165" t="s">
        <v>2479</v>
      </c>
      <c r="B2037" s="93" t="s">
        <v>882</v>
      </c>
      <c r="C2037" s="102" t="s">
        <v>3636</v>
      </c>
      <c r="D2037" s="62" t="s">
        <v>2548</v>
      </c>
      <c r="E2037" s="102" t="s">
        <v>5977</v>
      </c>
      <c r="F2037" s="102" t="s">
        <v>6038</v>
      </c>
      <c r="G2037" s="102" t="s">
        <v>883</v>
      </c>
      <c r="H2037" s="175"/>
      <c r="I2037" s="85">
        <f t="shared" si="78"/>
        <v>1.4001677994431969</v>
      </c>
      <c r="J2037" s="104">
        <v>25.128571428571</v>
      </c>
      <c r="K2037" s="144"/>
      <c r="L2037" s="62">
        <v>153</v>
      </c>
    </row>
    <row r="2038" spans="1:14" ht="42" x14ac:dyDescent="0.15">
      <c r="A2038" s="165" t="s">
        <v>2479</v>
      </c>
      <c r="B2038" s="93" t="s">
        <v>1126</v>
      </c>
      <c r="C2038" s="102" t="s">
        <v>3636</v>
      </c>
      <c r="D2038" s="62" t="s">
        <v>2548</v>
      </c>
      <c r="E2038" s="102" t="s">
        <v>5977</v>
      </c>
      <c r="F2038" s="102" t="s">
        <v>6038</v>
      </c>
      <c r="G2038" s="102" t="s">
        <v>206</v>
      </c>
      <c r="H2038" s="175"/>
      <c r="I2038" s="85">
        <f t="shared" si="78"/>
        <v>1.5385737338068557</v>
      </c>
      <c r="J2038" s="104">
        <v>34.56</v>
      </c>
      <c r="K2038" s="144"/>
      <c r="L2038" s="62">
        <v>153</v>
      </c>
    </row>
    <row r="2039" spans="1:14" ht="56" x14ac:dyDescent="0.15">
      <c r="A2039" s="165" t="s">
        <v>2479</v>
      </c>
      <c r="B2039" s="93" t="s">
        <v>153</v>
      </c>
      <c r="C2039" s="102" t="s">
        <v>3636</v>
      </c>
      <c r="D2039" s="62" t="s">
        <v>2548</v>
      </c>
      <c r="E2039" s="102" t="s">
        <v>5977</v>
      </c>
      <c r="F2039" s="102" t="s">
        <v>154</v>
      </c>
      <c r="G2039" s="102" t="s">
        <v>155</v>
      </c>
      <c r="H2039" s="175"/>
      <c r="I2039" s="85">
        <f t="shared" si="78"/>
        <v>0.55388302664387434</v>
      </c>
      <c r="J2039" s="104">
        <v>3.58</v>
      </c>
      <c r="K2039" s="144"/>
      <c r="L2039" s="62">
        <v>153</v>
      </c>
    </row>
    <row r="2040" spans="1:14" ht="28" x14ac:dyDescent="0.15">
      <c r="A2040" s="165" t="s">
        <v>2479</v>
      </c>
      <c r="B2040" s="93" t="s">
        <v>1008</v>
      </c>
      <c r="C2040" s="102" t="s">
        <v>3636</v>
      </c>
      <c r="D2040" s="62" t="s">
        <v>2548</v>
      </c>
      <c r="E2040" s="102" t="s">
        <v>5977</v>
      </c>
      <c r="F2040" s="102" t="s">
        <v>154</v>
      </c>
      <c r="G2040" s="102" t="s">
        <v>156</v>
      </c>
      <c r="H2040" s="175"/>
      <c r="I2040" s="85">
        <f t="shared" si="78"/>
        <v>0.8888656325602694</v>
      </c>
      <c r="J2040" s="104">
        <v>7.7422222222219998</v>
      </c>
      <c r="K2040" s="144"/>
      <c r="L2040" s="62">
        <v>153</v>
      </c>
    </row>
    <row r="2041" spans="1:14" ht="42" x14ac:dyDescent="0.15">
      <c r="A2041" s="165" t="s">
        <v>2479</v>
      </c>
      <c r="B2041" s="93" t="s">
        <v>1151</v>
      </c>
      <c r="C2041" s="102" t="s">
        <v>3636</v>
      </c>
      <c r="D2041" s="62" t="s">
        <v>2548</v>
      </c>
      <c r="E2041" s="102" t="s">
        <v>5977</v>
      </c>
      <c r="F2041" s="102" t="s">
        <v>1152</v>
      </c>
      <c r="G2041" s="102" t="s">
        <v>4375</v>
      </c>
      <c r="H2041" s="175"/>
      <c r="I2041" s="85">
        <f t="shared" si="78"/>
        <v>1.271841606536499</v>
      </c>
      <c r="J2041" s="104">
        <v>18.7</v>
      </c>
      <c r="K2041" s="144"/>
      <c r="L2041" s="62">
        <v>153</v>
      </c>
    </row>
    <row r="2042" spans="1:14" ht="42" x14ac:dyDescent="0.15">
      <c r="A2042" s="165" t="s">
        <v>2479</v>
      </c>
      <c r="B2042" s="93" t="s">
        <v>1056</v>
      </c>
      <c r="C2042" s="102" t="s">
        <v>3636</v>
      </c>
      <c r="D2042" s="62" t="s">
        <v>2548</v>
      </c>
      <c r="E2042" s="102" t="s">
        <v>5977</v>
      </c>
      <c r="F2042" s="102" t="s">
        <v>1152</v>
      </c>
      <c r="G2042" s="102" t="s">
        <v>4486</v>
      </c>
      <c r="H2042" s="175"/>
      <c r="I2042" s="85">
        <f t="shared" si="78"/>
        <v>1.3887227004751754</v>
      </c>
      <c r="J2042" s="104">
        <v>24.475000000000001</v>
      </c>
      <c r="K2042" s="144"/>
      <c r="L2042" s="62">
        <v>153</v>
      </c>
    </row>
    <row r="2043" spans="1:14" ht="14" x14ac:dyDescent="0.15">
      <c r="A2043" s="166" t="s">
        <v>2479</v>
      </c>
      <c r="B2043" s="82"/>
      <c r="C2043" s="70" t="s">
        <v>3636</v>
      </c>
      <c r="D2043" s="70" t="s">
        <v>3359</v>
      </c>
      <c r="E2043" s="70" t="s">
        <v>3360</v>
      </c>
      <c r="F2043" s="70" t="s">
        <v>5799</v>
      </c>
      <c r="G2043" s="70" t="s">
        <v>2924</v>
      </c>
      <c r="H2043" s="93"/>
      <c r="I2043" s="85">
        <f t="shared" si="78"/>
        <v>3</v>
      </c>
      <c r="J2043" s="85">
        <v>1000</v>
      </c>
      <c r="K2043" s="131" t="s">
        <v>6485</v>
      </c>
      <c r="L2043" s="60" t="s">
        <v>1307</v>
      </c>
    </row>
    <row r="2044" spans="1:14" ht="28" x14ac:dyDescent="0.15">
      <c r="A2044" s="166" t="s">
        <v>2479</v>
      </c>
      <c r="B2044" s="82"/>
      <c r="C2044" s="70" t="s">
        <v>3636</v>
      </c>
      <c r="D2044" s="70" t="s">
        <v>3359</v>
      </c>
      <c r="E2044" s="70" t="s">
        <v>3360</v>
      </c>
      <c r="F2044" s="70" t="s">
        <v>5799</v>
      </c>
      <c r="G2044" s="70" t="s">
        <v>4268</v>
      </c>
      <c r="H2044" s="93"/>
      <c r="I2044" s="85">
        <f t="shared" si="78"/>
        <v>3.0969100130080562</v>
      </c>
      <c r="J2044" s="85">
        <f>AVERAGE(1000, 1500)</f>
        <v>1250</v>
      </c>
      <c r="K2044" s="131" t="s">
        <v>1622</v>
      </c>
      <c r="L2044" s="60">
        <v>140</v>
      </c>
      <c r="M2044" s="49" t="s">
        <v>6728</v>
      </c>
    </row>
    <row r="2045" spans="1:14" ht="14" x14ac:dyDescent="0.15">
      <c r="A2045" s="166" t="s">
        <v>2479</v>
      </c>
      <c r="B2045" s="82"/>
      <c r="C2045" s="70" t="s">
        <v>3636</v>
      </c>
      <c r="D2045" s="70" t="s">
        <v>4289</v>
      </c>
      <c r="E2045" s="70" t="s">
        <v>4290</v>
      </c>
      <c r="F2045" s="70" t="s">
        <v>7011</v>
      </c>
      <c r="G2045" s="70" t="s">
        <v>4078</v>
      </c>
      <c r="H2045" s="93"/>
      <c r="I2045" s="85">
        <f t="shared" si="78"/>
        <v>3.4814400000000005</v>
      </c>
      <c r="J2045" s="85">
        <v>3029.9816614343204</v>
      </c>
      <c r="K2045" s="131" t="s">
        <v>3177</v>
      </c>
      <c r="L2045" s="60">
        <v>60</v>
      </c>
      <c r="N2045" s="37" t="s">
        <v>7324</v>
      </c>
    </row>
    <row r="2046" spans="1:14" ht="16" x14ac:dyDescent="0.2">
      <c r="A2046" s="166" t="s">
        <v>2479</v>
      </c>
      <c r="B2046" s="82"/>
      <c r="C2046" s="70" t="s">
        <v>3636</v>
      </c>
      <c r="D2046" s="70" t="s">
        <v>7012</v>
      </c>
      <c r="E2046" s="70" t="s">
        <v>6985</v>
      </c>
      <c r="F2046" s="70" t="s">
        <v>5817</v>
      </c>
      <c r="G2046" s="70" t="s">
        <v>5816</v>
      </c>
      <c r="H2046" s="93"/>
      <c r="I2046" s="85">
        <f t="shared" si="78"/>
        <v>2.9809119377768436</v>
      </c>
      <c r="J2046" s="85">
        <v>957</v>
      </c>
      <c r="K2046" s="131" t="s">
        <v>6485</v>
      </c>
      <c r="L2046" s="60">
        <v>68</v>
      </c>
      <c r="M2046" s="47"/>
    </row>
    <row r="2047" spans="1:14" ht="14" x14ac:dyDescent="0.15">
      <c r="A2047" s="166" t="s">
        <v>2479</v>
      </c>
      <c r="B2047" s="82"/>
      <c r="C2047" s="70" t="s">
        <v>3636</v>
      </c>
      <c r="D2047" s="70" t="s">
        <v>7012</v>
      </c>
      <c r="E2047" s="70" t="s">
        <v>6985</v>
      </c>
      <c r="F2047" s="70" t="s">
        <v>6210</v>
      </c>
      <c r="G2047" s="70" t="s">
        <v>7749</v>
      </c>
      <c r="H2047" s="93"/>
      <c r="I2047" s="85">
        <v>-999</v>
      </c>
      <c r="J2047" s="85">
        <v>-999</v>
      </c>
      <c r="K2047" s="131" t="s">
        <v>3177</v>
      </c>
      <c r="L2047" s="60">
        <v>-999</v>
      </c>
      <c r="M2047" s="33"/>
    </row>
    <row r="2048" spans="1:14" ht="14" x14ac:dyDescent="0.15">
      <c r="A2048" s="166" t="s">
        <v>2479</v>
      </c>
      <c r="B2048" s="82"/>
      <c r="C2048" s="70" t="s">
        <v>3636</v>
      </c>
      <c r="D2048" s="70" t="s">
        <v>7012</v>
      </c>
      <c r="E2048" s="70" t="s">
        <v>6985</v>
      </c>
      <c r="F2048" s="70" t="s">
        <v>6210</v>
      </c>
      <c r="G2048" s="70" t="s">
        <v>3388</v>
      </c>
      <c r="H2048" s="93"/>
      <c r="I2048" s="85">
        <f>LOG(J2048)</f>
        <v>2.8567288903828825</v>
      </c>
      <c r="J2048" s="85">
        <v>719</v>
      </c>
      <c r="K2048" s="131" t="s">
        <v>6485</v>
      </c>
      <c r="L2048" s="60">
        <v>68</v>
      </c>
    </row>
    <row r="2049" spans="1:14" ht="14" x14ac:dyDescent="0.15">
      <c r="A2049" s="166" t="s">
        <v>2479</v>
      </c>
      <c r="B2049" s="82"/>
      <c r="C2049" s="70" t="s">
        <v>3636</v>
      </c>
      <c r="D2049" s="70" t="s">
        <v>7012</v>
      </c>
      <c r="E2049" s="70" t="s">
        <v>6985</v>
      </c>
      <c r="F2049" s="70" t="s">
        <v>6210</v>
      </c>
      <c r="G2049" s="70" t="s">
        <v>7866</v>
      </c>
      <c r="H2049" s="93"/>
      <c r="I2049" s="85">
        <f>LOG(J2049)</f>
        <v>2.8870543780509568</v>
      </c>
      <c r="J2049" s="85">
        <v>771</v>
      </c>
      <c r="K2049" s="131" t="s">
        <v>6485</v>
      </c>
      <c r="L2049" s="60">
        <v>68</v>
      </c>
    </row>
    <row r="2050" spans="1:14" ht="14" x14ac:dyDescent="0.15">
      <c r="A2050" s="166" t="s">
        <v>2479</v>
      </c>
      <c r="B2050" s="93" t="s">
        <v>2418</v>
      </c>
      <c r="C2050" s="70" t="s">
        <v>3636</v>
      </c>
      <c r="D2050" s="70" t="s">
        <v>7012</v>
      </c>
      <c r="E2050" s="70" t="s">
        <v>6985</v>
      </c>
      <c r="F2050" s="70" t="s">
        <v>2023</v>
      </c>
      <c r="G2050" s="70" t="s">
        <v>3854</v>
      </c>
      <c r="H2050" s="93"/>
      <c r="I2050" s="85">
        <v>-999</v>
      </c>
      <c r="J2050" s="85">
        <v>-999</v>
      </c>
      <c r="K2050" s="131" t="s">
        <v>6630</v>
      </c>
      <c r="L2050" s="60">
        <v>-999</v>
      </c>
      <c r="M2050" s="33" t="s">
        <v>6728</v>
      </c>
    </row>
    <row r="2051" spans="1:14" ht="14" x14ac:dyDescent="0.15">
      <c r="A2051" s="166" t="s">
        <v>2479</v>
      </c>
      <c r="B2051" s="93" t="s">
        <v>1434</v>
      </c>
      <c r="C2051" s="70" t="s">
        <v>3636</v>
      </c>
      <c r="D2051" s="70" t="s">
        <v>7012</v>
      </c>
      <c r="E2051" s="70" t="s">
        <v>6985</v>
      </c>
      <c r="F2051" s="70" t="s">
        <v>2023</v>
      </c>
      <c r="G2051" s="70" t="s">
        <v>4058</v>
      </c>
      <c r="H2051" s="93"/>
      <c r="I2051" s="85">
        <f t="shared" ref="I2051:I2057" si="79">LOG(J2051)</f>
        <v>2.1492191126553797</v>
      </c>
      <c r="J2051" s="85">
        <v>141</v>
      </c>
      <c r="K2051" s="131" t="s">
        <v>3177</v>
      </c>
      <c r="L2051" s="60">
        <v>60</v>
      </c>
      <c r="M2051" s="52">
        <f>AVERAGE(J2050:J2052)</f>
        <v>-229</v>
      </c>
    </row>
    <row r="2052" spans="1:14" ht="16" x14ac:dyDescent="0.2">
      <c r="A2052" s="166" t="s">
        <v>2479</v>
      </c>
      <c r="B2052" s="82"/>
      <c r="C2052" s="70" t="s">
        <v>3636</v>
      </c>
      <c r="D2052" s="70" t="s">
        <v>7012</v>
      </c>
      <c r="E2052" s="70" t="s">
        <v>6985</v>
      </c>
      <c r="F2052" s="70" t="s">
        <v>2023</v>
      </c>
      <c r="G2052" s="70" t="s">
        <v>3415</v>
      </c>
      <c r="H2052" s="93"/>
      <c r="I2052" s="85">
        <f t="shared" si="79"/>
        <v>2.2329961103921536</v>
      </c>
      <c r="J2052" s="85">
        <v>171</v>
      </c>
      <c r="K2052" s="131" t="s">
        <v>6485</v>
      </c>
      <c r="L2052" s="60">
        <v>68</v>
      </c>
      <c r="M2052" s="47"/>
    </row>
    <row r="2053" spans="1:14" ht="14" x14ac:dyDescent="0.15">
      <c r="A2053" s="166" t="s">
        <v>2479</v>
      </c>
      <c r="B2053" s="82"/>
      <c r="C2053" s="70" t="s">
        <v>3636</v>
      </c>
      <c r="D2053" s="70" t="s">
        <v>7012</v>
      </c>
      <c r="E2053" s="70" t="s">
        <v>6985</v>
      </c>
      <c r="F2053" s="70" t="s">
        <v>2023</v>
      </c>
      <c r="G2053" s="70" t="s">
        <v>3301</v>
      </c>
      <c r="H2053" s="93"/>
      <c r="I2053" s="85">
        <f t="shared" si="79"/>
        <v>2.2741600000000002</v>
      </c>
      <c r="J2053" s="85">
        <v>188.00093102594275</v>
      </c>
      <c r="K2053" s="131" t="s">
        <v>3177</v>
      </c>
      <c r="L2053" s="60">
        <v>60</v>
      </c>
    </row>
    <row r="2054" spans="1:14" ht="14" x14ac:dyDescent="0.15">
      <c r="A2054" s="166" t="s">
        <v>2479</v>
      </c>
      <c r="B2054" s="82"/>
      <c r="C2054" s="70" t="s">
        <v>3636</v>
      </c>
      <c r="D2054" s="70" t="s">
        <v>7012</v>
      </c>
      <c r="E2054" s="70" t="s">
        <v>6985</v>
      </c>
      <c r="F2054" s="70" t="s">
        <v>2023</v>
      </c>
      <c r="G2054" s="70" t="s">
        <v>2024</v>
      </c>
      <c r="H2054" s="93"/>
      <c r="I2054" s="85">
        <f t="shared" si="79"/>
        <v>2.3283800000000001</v>
      </c>
      <c r="J2054" s="85">
        <v>213.00019449380778</v>
      </c>
      <c r="K2054" s="131" t="s">
        <v>3177</v>
      </c>
      <c r="L2054" s="60">
        <v>60</v>
      </c>
    </row>
    <row r="2055" spans="1:14" ht="16" x14ac:dyDescent="0.2">
      <c r="A2055" s="166" t="s">
        <v>2479</v>
      </c>
      <c r="B2055" s="82"/>
      <c r="C2055" s="70" t="s">
        <v>3636</v>
      </c>
      <c r="D2055" s="70" t="s">
        <v>7012</v>
      </c>
      <c r="E2055" s="70" t="s">
        <v>6985</v>
      </c>
      <c r="F2055" s="70" t="s">
        <v>2023</v>
      </c>
      <c r="G2055" s="70" t="s">
        <v>7117</v>
      </c>
      <c r="H2055" s="93"/>
      <c r="I2055" s="85">
        <f t="shared" si="79"/>
        <v>2.5340261060561349</v>
      </c>
      <c r="J2055" s="85">
        <v>342</v>
      </c>
      <c r="K2055" s="131" t="s">
        <v>6485</v>
      </c>
      <c r="L2055" s="60">
        <v>68</v>
      </c>
      <c r="M2055" s="47"/>
    </row>
    <row r="2056" spans="1:14" ht="14" x14ac:dyDescent="0.15">
      <c r="A2056" s="166" t="s">
        <v>2479</v>
      </c>
      <c r="B2056" s="82"/>
      <c r="C2056" s="70" t="s">
        <v>3636</v>
      </c>
      <c r="D2056" s="70" t="s">
        <v>7012</v>
      </c>
      <c r="E2056" s="70" t="s">
        <v>6985</v>
      </c>
      <c r="F2056" s="70" t="s">
        <v>7867</v>
      </c>
      <c r="G2056" s="70" t="s">
        <v>3231</v>
      </c>
      <c r="H2056" s="93"/>
      <c r="I2056" s="85">
        <f t="shared" si="79"/>
        <v>1.8061799739838871</v>
      </c>
      <c r="J2056" s="85">
        <v>64</v>
      </c>
      <c r="K2056" s="131" t="s">
        <v>6816</v>
      </c>
      <c r="L2056" s="60">
        <v>68</v>
      </c>
      <c r="M2056" s="49" t="s">
        <v>6809</v>
      </c>
    </row>
    <row r="2057" spans="1:14" ht="14" x14ac:dyDescent="0.15">
      <c r="A2057" s="166" t="s">
        <v>2479</v>
      </c>
      <c r="B2057" s="93" t="s">
        <v>3081</v>
      </c>
      <c r="C2057" s="70" t="s">
        <v>3636</v>
      </c>
      <c r="D2057" s="70" t="s">
        <v>7012</v>
      </c>
      <c r="E2057" s="70" t="s">
        <v>6985</v>
      </c>
      <c r="F2057" s="70" t="s">
        <v>7867</v>
      </c>
      <c r="G2057" s="70" t="s">
        <v>4784</v>
      </c>
      <c r="H2057" s="93"/>
      <c r="I2057" s="85">
        <f t="shared" si="79"/>
        <v>1.9389997854485523</v>
      </c>
      <c r="J2057" s="85">
        <v>86.896000000000001</v>
      </c>
      <c r="K2057" s="131" t="s">
        <v>209</v>
      </c>
      <c r="L2057" s="60" t="s">
        <v>1169</v>
      </c>
      <c r="M2057" s="49" t="s">
        <v>6392</v>
      </c>
      <c r="N2057" s="37">
        <f>-8.5857+3.4672*LOG(148)</f>
        <v>-1.0609685803826023</v>
      </c>
    </row>
    <row r="2058" spans="1:14" ht="28" x14ac:dyDescent="0.15">
      <c r="A2058" s="166" t="s">
        <v>2479</v>
      </c>
      <c r="B2058" s="82" t="s">
        <v>1902</v>
      </c>
      <c r="C2058" s="70" t="s">
        <v>3636</v>
      </c>
      <c r="D2058" s="70" t="s">
        <v>7012</v>
      </c>
      <c r="E2058" s="70" t="s">
        <v>6985</v>
      </c>
      <c r="F2058" s="70" t="s">
        <v>3632</v>
      </c>
      <c r="G2058" s="70" t="s">
        <v>3379</v>
      </c>
      <c r="H2058" s="93"/>
      <c r="I2058" s="85">
        <v>-999</v>
      </c>
      <c r="J2058" s="85">
        <v>-999</v>
      </c>
      <c r="K2058" s="131" t="s">
        <v>7875</v>
      </c>
      <c r="L2058" s="60">
        <v>-999</v>
      </c>
      <c r="M2058" s="33" t="s">
        <v>6728</v>
      </c>
    </row>
    <row r="2059" spans="1:14" ht="28" x14ac:dyDescent="0.15">
      <c r="A2059" s="166" t="s">
        <v>2479</v>
      </c>
      <c r="B2059" s="82" t="s">
        <v>5755</v>
      </c>
      <c r="C2059" s="70" t="s">
        <v>3636</v>
      </c>
      <c r="D2059" s="70" t="s">
        <v>7012</v>
      </c>
      <c r="E2059" s="70" t="s">
        <v>6985</v>
      </c>
      <c r="F2059" s="70" t="s">
        <v>3632</v>
      </c>
      <c r="G2059" s="70" t="s">
        <v>3378</v>
      </c>
      <c r="H2059" s="93"/>
      <c r="I2059" s="85">
        <f>LOG(J2059)</f>
        <v>2.5340261060561349</v>
      </c>
      <c r="J2059" s="85">
        <v>342</v>
      </c>
      <c r="K2059" s="131" t="s">
        <v>7598</v>
      </c>
      <c r="L2059" s="60" t="s">
        <v>7690</v>
      </c>
      <c r="M2059" s="33"/>
    </row>
    <row r="2060" spans="1:14" ht="14" x14ac:dyDescent="0.15">
      <c r="A2060" s="166" t="s">
        <v>2479</v>
      </c>
      <c r="B2060" s="82"/>
      <c r="C2060" s="70" t="s">
        <v>3636</v>
      </c>
      <c r="D2060" s="70" t="s">
        <v>7012</v>
      </c>
      <c r="E2060" s="70" t="s">
        <v>4722</v>
      </c>
      <c r="F2060" s="70" t="s">
        <v>7958</v>
      </c>
      <c r="G2060" s="70" t="s">
        <v>4668</v>
      </c>
      <c r="H2060" s="93"/>
      <c r="I2060" s="85">
        <f>LOG(J2060)</f>
        <v>1.3010299956639813</v>
      </c>
      <c r="J2060" s="85">
        <f>AVERAGE(15, 25)</f>
        <v>20</v>
      </c>
      <c r="K2060" s="131" t="s">
        <v>3177</v>
      </c>
      <c r="L2060" s="60">
        <v>140</v>
      </c>
      <c r="M2060" s="33"/>
      <c r="N2060" s="35"/>
    </row>
    <row r="2061" spans="1:14" ht="14" x14ac:dyDescent="0.15">
      <c r="A2061" s="166" t="s">
        <v>2479</v>
      </c>
      <c r="B2061" s="82"/>
      <c r="C2061" s="70" t="s">
        <v>3636</v>
      </c>
      <c r="D2061" s="70" t="s">
        <v>7012</v>
      </c>
      <c r="E2061" s="70" t="s">
        <v>4722</v>
      </c>
      <c r="F2061" s="70" t="s">
        <v>6575</v>
      </c>
      <c r="G2061" s="70" t="s">
        <v>6029</v>
      </c>
      <c r="H2061" s="93"/>
      <c r="I2061" s="85">
        <v>-999</v>
      </c>
      <c r="J2061" s="85">
        <v>-999</v>
      </c>
      <c r="K2061" s="131" t="s">
        <v>6630</v>
      </c>
      <c r="L2061" s="60">
        <v>-999</v>
      </c>
      <c r="M2061" s="33" t="s">
        <v>6392</v>
      </c>
    </row>
    <row r="2062" spans="1:14" ht="14" x14ac:dyDescent="0.15">
      <c r="A2062" s="166" t="s">
        <v>2479</v>
      </c>
      <c r="B2062" s="82"/>
      <c r="C2062" s="70" t="s">
        <v>3636</v>
      </c>
      <c r="D2062" s="70" t="s">
        <v>7012</v>
      </c>
      <c r="E2062" s="70" t="s">
        <v>4722</v>
      </c>
      <c r="F2062" s="70" t="s">
        <v>6575</v>
      </c>
      <c r="G2062" s="70" t="s">
        <v>6576</v>
      </c>
      <c r="H2062" s="93"/>
      <c r="I2062" s="85">
        <f>LOG(J2062)</f>
        <v>1.0969100130080565</v>
      </c>
      <c r="J2062" s="85">
        <f>AVERAGE(10, 15)</f>
        <v>12.5</v>
      </c>
      <c r="K2062" s="131" t="s">
        <v>3177</v>
      </c>
      <c r="L2062" s="60">
        <v>140</v>
      </c>
      <c r="M2062" s="33"/>
    </row>
    <row r="2063" spans="1:14" ht="14" x14ac:dyDescent="0.15">
      <c r="A2063" s="166" t="s">
        <v>2479</v>
      </c>
      <c r="B2063" s="82"/>
      <c r="C2063" s="70" t="s">
        <v>3636</v>
      </c>
      <c r="D2063" s="70" t="s">
        <v>7012</v>
      </c>
      <c r="E2063" s="70" t="s">
        <v>4722</v>
      </c>
      <c r="F2063" s="70" t="s">
        <v>6138</v>
      </c>
      <c r="G2063" s="70" t="s">
        <v>5438</v>
      </c>
      <c r="H2063" s="93"/>
      <c r="I2063" s="85">
        <f>LOG(J2063)</f>
        <v>1.4116197059632303</v>
      </c>
      <c r="J2063" s="85">
        <f>1000*0.0258</f>
        <v>25.8</v>
      </c>
      <c r="K2063" s="131" t="s">
        <v>3177</v>
      </c>
      <c r="L2063" s="60">
        <v>60</v>
      </c>
      <c r="M2063" s="33"/>
    </row>
    <row r="2064" spans="1:14" ht="14" x14ac:dyDescent="0.15">
      <c r="A2064" s="166" t="s">
        <v>2479</v>
      </c>
      <c r="B2064" s="82"/>
      <c r="C2064" s="70" t="s">
        <v>3636</v>
      </c>
      <c r="D2064" s="70" t="s">
        <v>7012</v>
      </c>
      <c r="E2064" s="70" t="s">
        <v>4722</v>
      </c>
      <c r="F2064" s="70" t="s">
        <v>6138</v>
      </c>
      <c r="G2064" s="70" t="s">
        <v>5436</v>
      </c>
      <c r="H2064" s="93"/>
      <c r="I2064" s="85">
        <f>LOG(J2064)</f>
        <v>1.5740312677277188</v>
      </c>
      <c r="J2064" s="85">
        <f>AVERAGE(30, 45)</f>
        <v>37.5</v>
      </c>
      <c r="K2064" s="131" t="s">
        <v>3177</v>
      </c>
      <c r="L2064" s="60">
        <v>140</v>
      </c>
      <c r="M2064" s="33"/>
    </row>
    <row r="2065" spans="1:15" ht="28" x14ac:dyDescent="0.15">
      <c r="A2065" s="166" t="s">
        <v>2479</v>
      </c>
      <c r="B2065" s="93" t="s">
        <v>5760</v>
      </c>
      <c r="C2065" s="70" t="s">
        <v>3636</v>
      </c>
      <c r="D2065" s="70" t="s">
        <v>7012</v>
      </c>
      <c r="E2065" s="70" t="s">
        <v>4722</v>
      </c>
      <c r="F2065" s="70" t="s">
        <v>6138</v>
      </c>
      <c r="G2065" s="70" t="s">
        <v>7364</v>
      </c>
      <c r="H2065" s="93"/>
      <c r="I2065" s="85">
        <f>LOG(J2065)</f>
        <v>1.7403626894942439</v>
      </c>
      <c r="J2065" s="85">
        <v>55</v>
      </c>
      <c r="K2065" s="131" t="s">
        <v>7875</v>
      </c>
      <c r="L2065" s="60">
        <v>119</v>
      </c>
      <c r="M2065" s="33" t="s">
        <v>6809</v>
      </c>
    </row>
    <row r="2066" spans="1:15" ht="28" x14ac:dyDescent="0.2">
      <c r="A2066" s="166" t="s">
        <v>2479</v>
      </c>
      <c r="B2066" s="82" t="s">
        <v>4880</v>
      </c>
      <c r="C2066" s="70" t="s">
        <v>3636</v>
      </c>
      <c r="D2066" s="70" t="s">
        <v>7012</v>
      </c>
      <c r="E2066" s="70" t="s">
        <v>4722</v>
      </c>
      <c r="F2066" s="70" t="s">
        <v>4865</v>
      </c>
      <c r="G2066" s="70" t="s">
        <v>5543</v>
      </c>
      <c r="H2066" s="93"/>
      <c r="I2066" s="85">
        <v>-999</v>
      </c>
      <c r="J2066" s="85">
        <v>-999</v>
      </c>
      <c r="K2066" s="131" t="s">
        <v>3177</v>
      </c>
      <c r="L2066" s="60">
        <v>-999</v>
      </c>
      <c r="M2066" s="47"/>
    </row>
    <row r="2067" spans="1:15" ht="14" x14ac:dyDescent="0.15">
      <c r="A2067" s="166" t="s">
        <v>2479</v>
      </c>
      <c r="B2067" s="82" t="s">
        <v>4881</v>
      </c>
      <c r="C2067" s="70" t="s">
        <v>3636</v>
      </c>
      <c r="D2067" s="70" t="s">
        <v>7012</v>
      </c>
      <c r="E2067" s="70" t="s">
        <v>4722</v>
      </c>
      <c r="F2067" s="70" t="s">
        <v>4865</v>
      </c>
      <c r="G2067" s="70" t="s">
        <v>5649</v>
      </c>
      <c r="H2067" s="93"/>
      <c r="I2067" s="85">
        <v>-999</v>
      </c>
      <c r="J2067" s="85">
        <v>-999</v>
      </c>
      <c r="K2067" s="131" t="s">
        <v>3177</v>
      </c>
      <c r="L2067" s="60">
        <v>-999</v>
      </c>
      <c r="M2067" s="33"/>
    </row>
    <row r="2068" spans="1:15" ht="28" x14ac:dyDescent="0.15">
      <c r="A2068" s="166" t="s">
        <v>2479</v>
      </c>
      <c r="B2068" s="93" t="s">
        <v>2596</v>
      </c>
      <c r="C2068" s="70" t="s">
        <v>3636</v>
      </c>
      <c r="D2068" s="70" t="s">
        <v>7012</v>
      </c>
      <c r="E2068" s="70" t="s">
        <v>4722</v>
      </c>
      <c r="F2068" s="70" t="s">
        <v>4865</v>
      </c>
      <c r="G2068" s="70" t="s">
        <v>5686</v>
      </c>
      <c r="H2068" s="93"/>
      <c r="I2068" s="85">
        <v>-999</v>
      </c>
      <c r="J2068" s="85">
        <v>-999</v>
      </c>
      <c r="K2068" s="131" t="s">
        <v>7875</v>
      </c>
      <c r="L2068" s="60">
        <v>-999</v>
      </c>
      <c r="M2068" s="33" t="s">
        <v>6809</v>
      </c>
    </row>
    <row r="2069" spans="1:15" ht="28" x14ac:dyDescent="0.15">
      <c r="A2069" s="166" t="s">
        <v>2479</v>
      </c>
      <c r="B2069" s="82" t="s">
        <v>1281</v>
      </c>
      <c r="C2069" s="70" t="s">
        <v>3636</v>
      </c>
      <c r="D2069" s="70" t="s">
        <v>7012</v>
      </c>
      <c r="E2069" s="70" t="s">
        <v>4722</v>
      </c>
      <c r="F2069" s="70" t="s">
        <v>4865</v>
      </c>
      <c r="G2069" s="70" t="s">
        <v>6792</v>
      </c>
      <c r="H2069" s="93"/>
      <c r="I2069" s="85">
        <v>-999</v>
      </c>
      <c r="J2069" s="85">
        <v>-999</v>
      </c>
      <c r="K2069" s="131" t="s">
        <v>7875</v>
      </c>
      <c r="L2069" s="60">
        <v>-999</v>
      </c>
      <c r="M2069" s="33" t="s">
        <v>6390</v>
      </c>
    </row>
    <row r="2070" spans="1:15" ht="16" x14ac:dyDescent="0.2">
      <c r="A2070" s="166" t="s">
        <v>2479</v>
      </c>
      <c r="B2070" s="82"/>
      <c r="C2070" s="70" t="s">
        <v>3636</v>
      </c>
      <c r="D2070" s="70" t="s">
        <v>7012</v>
      </c>
      <c r="E2070" s="70" t="s">
        <v>4722</v>
      </c>
      <c r="F2070" s="70" t="s">
        <v>4865</v>
      </c>
      <c r="G2070" s="70" t="s">
        <v>6338</v>
      </c>
      <c r="H2070" s="93"/>
      <c r="I2070" s="85">
        <v>-999</v>
      </c>
      <c r="J2070" s="85">
        <v>-999</v>
      </c>
      <c r="K2070" s="131" t="s">
        <v>3177</v>
      </c>
      <c r="L2070" s="60">
        <v>-999</v>
      </c>
      <c r="M2070" s="47"/>
    </row>
    <row r="2071" spans="1:15" ht="14" x14ac:dyDescent="0.15">
      <c r="A2071" s="166" t="s">
        <v>2479</v>
      </c>
      <c r="B2071" s="82"/>
      <c r="C2071" s="70" t="s">
        <v>3636</v>
      </c>
      <c r="D2071" s="70" t="s">
        <v>7012</v>
      </c>
      <c r="E2071" s="70" t="s">
        <v>4722</v>
      </c>
      <c r="F2071" s="70" t="s">
        <v>4865</v>
      </c>
      <c r="G2071" s="70" t="s">
        <v>7966</v>
      </c>
      <c r="H2071" s="93"/>
      <c r="I2071" s="85">
        <v>-999</v>
      </c>
      <c r="J2071" s="85">
        <v>-999</v>
      </c>
      <c r="K2071" s="131" t="s">
        <v>3177</v>
      </c>
      <c r="L2071" s="60">
        <v>-999</v>
      </c>
      <c r="M2071" s="33"/>
    </row>
    <row r="2072" spans="1:15" ht="16" x14ac:dyDescent="0.2">
      <c r="A2072" s="166" t="s">
        <v>2479</v>
      </c>
      <c r="B2072" s="82"/>
      <c r="C2072" s="70" t="s">
        <v>3636</v>
      </c>
      <c r="D2072" s="70" t="s">
        <v>7012</v>
      </c>
      <c r="E2072" s="70" t="s">
        <v>4722</v>
      </c>
      <c r="F2072" s="70" t="s">
        <v>4865</v>
      </c>
      <c r="G2072" s="70" t="s">
        <v>7949</v>
      </c>
      <c r="H2072" s="93"/>
      <c r="I2072" s="85">
        <v>-999</v>
      </c>
      <c r="J2072" s="85">
        <v>-999</v>
      </c>
      <c r="K2072" s="131" t="s">
        <v>3177</v>
      </c>
      <c r="L2072" s="60">
        <v>-999</v>
      </c>
      <c r="M2072" s="47"/>
      <c r="O2072" s="49"/>
    </row>
    <row r="2073" spans="1:15" ht="28" x14ac:dyDescent="0.2">
      <c r="A2073" s="166" t="s">
        <v>2479</v>
      </c>
      <c r="B2073" s="82"/>
      <c r="C2073" s="70" t="s">
        <v>3636</v>
      </c>
      <c r="D2073" s="70" t="s">
        <v>7012</v>
      </c>
      <c r="E2073" s="70" t="s">
        <v>4722</v>
      </c>
      <c r="F2073" s="70" t="s">
        <v>4865</v>
      </c>
      <c r="G2073" s="70" t="s">
        <v>4546</v>
      </c>
      <c r="H2073" s="93"/>
      <c r="I2073" s="85">
        <v>-999</v>
      </c>
      <c r="J2073" s="85">
        <v>-999</v>
      </c>
      <c r="K2073" s="141" t="s">
        <v>7875</v>
      </c>
      <c r="L2073" s="60">
        <v>-999</v>
      </c>
      <c r="M2073" s="47" t="s">
        <v>6390</v>
      </c>
      <c r="O2073" s="49"/>
    </row>
    <row r="2074" spans="1:15" ht="14" x14ac:dyDescent="0.15">
      <c r="A2074" s="166" t="s">
        <v>2479</v>
      </c>
      <c r="B2074" s="82"/>
      <c r="C2074" s="70" t="s">
        <v>3636</v>
      </c>
      <c r="D2074" s="70" t="s">
        <v>7012</v>
      </c>
      <c r="E2074" s="70" t="s">
        <v>4722</v>
      </c>
      <c r="F2074" s="70" t="s">
        <v>4865</v>
      </c>
      <c r="G2074" s="70" t="s">
        <v>5721</v>
      </c>
      <c r="H2074" s="93"/>
      <c r="I2074" s="85">
        <f t="shared" ref="I2074:I2089" si="80">LOG(J2074)</f>
        <v>0.69897000433601886</v>
      </c>
      <c r="J2074" s="85">
        <f>1000*0.005</f>
        <v>5</v>
      </c>
      <c r="K2074" s="131" t="s">
        <v>3177</v>
      </c>
      <c r="L2074" s="60">
        <v>60</v>
      </c>
      <c r="M2074" s="33"/>
    </row>
    <row r="2075" spans="1:15" x14ac:dyDescent="0.15">
      <c r="A2075" s="170" t="s">
        <v>2479</v>
      </c>
      <c r="B2075" s="82"/>
      <c r="C2075" s="81" t="s">
        <v>3636</v>
      </c>
      <c r="D2075" s="81" t="s">
        <v>7012</v>
      </c>
      <c r="E2075" s="81" t="s">
        <v>4722</v>
      </c>
      <c r="F2075" s="81" t="s">
        <v>4865</v>
      </c>
      <c r="G2075" s="81" t="s">
        <v>3497</v>
      </c>
      <c r="H2075" s="96"/>
      <c r="I2075" s="85">
        <f t="shared" si="80"/>
        <v>0.73037846858764299</v>
      </c>
      <c r="J2075" s="111">
        <v>5.375</v>
      </c>
      <c r="K2075" s="147"/>
      <c r="L2075" s="72" t="s">
        <v>5709</v>
      </c>
      <c r="M2075" s="31"/>
    </row>
    <row r="2076" spans="1:15" ht="16" x14ac:dyDescent="0.2">
      <c r="A2076" s="166" t="s">
        <v>2479</v>
      </c>
      <c r="B2076" s="93" t="s">
        <v>2367</v>
      </c>
      <c r="C2076" s="70" t="s">
        <v>3636</v>
      </c>
      <c r="D2076" s="70" t="s">
        <v>7012</v>
      </c>
      <c r="E2076" s="70" t="s">
        <v>4722</v>
      </c>
      <c r="F2076" s="70" t="s">
        <v>4865</v>
      </c>
      <c r="G2076" s="70" t="s">
        <v>3866</v>
      </c>
      <c r="H2076" s="93"/>
      <c r="I2076" s="85">
        <f t="shared" si="80"/>
        <v>0.81954393554186866</v>
      </c>
      <c r="J2076" s="85">
        <f>1000*0.0066</f>
        <v>6.6</v>
      </c>
      <c r="K2076" s="131" t="s">
        <v>3177</v>
      </c>
      <c r="L2076" s="60">
        <v>60</v>
      </c>
      <c r="M2076" s="47"/>
      <c r="N2076" s="48"/>
    </row>
    <row r="2077" spans="1:15" ht="14" x14ac:dyDescent="0.15">
      <c r="A2077" s="166" t="s">
        <v>2479</v>
      </c>
      <c r="B2077" s="82"/>
      <c r="C2077" s="70" t="s">
        <v>3636</v>
      </c>
      <c r="D2077" s="70" t="s">
        <v>7012</v>
      </c>
      <c r="E2077" s="70" t="s">
        <v>4722</v>
      </c>
      <c r="F2077" s="70" t="s">
        <v>4865</v>
      </c>
      <c r="G2077" s="70" t="s">
        <v>3746</v>
      </c>
      <c r="H2077" s="93"/>
      <c r="I2077" s="85">
        <f t="shared" si="80"/>
        <v>0.82656483289274052</v>
      </c>
      <c r="J2077" s="85">
        <v>6.7075641192729618</v>
      </c>
      <c r="K2077" s="131" t="s">
        <v>7564</v>
      </c>
      <c r="L2077" s="60" t="s">
        <v>7642</v>
      </c>
      <c r="M2077" s="33"/>
      <c r="N2077" s="37">
        <f>-6.3006+2.31171*LOG(61)</f>
        <v>-2.1734351671072591</v>
      </c>
      <c r="O2077" s="37">
        <f>10^N2077*1000</f>
        <v>6.7075641192729618</v>
      </c>
    </row>
    <row r="2078" spans="1:15" ht="14" x14ac:dyDescent="0.15">
      <c r="A2078" s="166" t="s">
        <v>2479</v>
      </c>
      <c r="B2078" s="93" t="s">
        <v>2203</v>
      </c>
      <c r="C2078" s="70" t="s">
        <v>3636</v>
      </c>
      <c r="D2078" s="70" t="s">
        <v>7012</v>
      </c>
      <c r="E2078" s="70" t="s">
        <v>4722</v>
      </c>
      <c r="F2078" s="70" t="s">
        <v>4865</v>
      </c>
      <c r="G2078" s="70" t="s">
        <v>5690</v>
      </c>
      <c r="H2078" s="93"/>
      <c r="I2078" s="85">
        <f t="shared" si="80"/>
        <v>0.93801909747621026</v>
      </c>
      <c r="J2078" s="85">
        <f>1000*0.00867</f>
        <v>8.67</v>
      </c>
      <c r="K2078" s="131" t="s">
        <v>3177</v>
      </c>
      <c r="L2078" s="60">
        <v>60</v>
      </c>
      <c r="M2078" s="33"/>
    </row>
    <row r="2079" spans="1:15" ht="14" x14ac:dyDescent="0.15">
      <c r="A2079" s="166" t="s">
        <v>2479</v>
      </c>
      <c r="B2079" s="82"/>
      <c r="C2079" s="70" t="s">
        <v>3636</v>
      </c>
      <c r="D2079" s="70" t="s">
        <v>7012</v>
      </c>
      <c r="E2079" s="70" t="s">
        <v>4722</v>
      </c>
      <c r="F2079" s="70" t="s">
        <v>4865</v>
      </c>
      <c r="G2079" s="70" t="s">
        <v>3510</v>
      </c>
      <c r="H2079" s="93"/>
      <c r="I2079" s="85">
        <f t="shared" si="80"/>
        <v>0.99211148778694969</v>
      </c>
      <c r="J2079" s="85">
        <v>9.82</v>
      </c>
      <c r="K2079" s="131" t="s">
        <v>6485</v>
      </c>
      <c r="L2079" s="60">
        <v>68</v>
      </c>
    </row>
    <row r="2080" spans="1:15" ht="14" x14ac:dyDescent="0.15">
      <c r="A2080" s="166" t="s">
        <v>2479</v>
      </c>
      <c r="B2080" s="82"/>
      <c r="C2080" s="70" t="s">
        <v>3636</v>
      </c>
      <c r="D2080" s="70" t="s">
        <v>7012</v>
      </c>
      <c r="E2080" s="70" t="s">
        <v>4722</v>
      </c>
      <c r="F2080" s="70" t="s">
        <v>4865</v>
      </c>
      <c r="G2080" s="70" t="s">
        <v>3764</v>
      </c>
      <c r="H2080" s="93"/>
      <c r="I2080" s="85">
        <f t="shared" si="80"/>
        <v>1</v>
      </c>
      <c r="J2080" s="85">
        <f>AVERAGE(6, 14)</f>
        <v>10</v>
      </c>
      <c r="K2080" s="131" t="s">
        <v>1419</v>
      </c>
      <c r="L2080" s="60">
        <v>111</v>
      </c>
      <c r="M2080" s="33"/>
    </row>
    <row r="2081" spans="1:16" ht="28" x14ac:dyDescent="0.15">
      <c r="A2081" s="166" t="s">
        <v>2479</v>
      </c>
      <c r="B2081" s="93" t="s">
        <v>2107</v>
      </c>
      <c r="C2081" s="70" t="s">
        <v>3636</v>
      </c>
      <c r="D2081" s="70" t="s">
        <v>7012</v>
      </c>
      <c r="E2081" s="70" t="s">
        <v>4722</v>
      </c>
      <c r="F2081" s="70" t="s">
        <v>4865</v>
      </c>
      <c r="G2081" s="70" t="s">
        <v>6127</v>
      </c>
      <c r="H2081" s="93"/>
      <c r="I2081" s="85">
        <f t="shared" si="80"/>
        <v>1.0043213737826426</v>
      </c>
      <c r="J2081" s="85">
        <f>1000*0.0101</f>
        <v>10.1</v>
      </c>
      <c r="K2081" s="141" t="s">
        <v>7875</v>
      </c>
      <c r="L2081" s="60">
        <v>60</v>
      </c>
      <c r="M2081" s="33" t="s">
        <v>6728</v>
      </c>
      <c r="P2081" s="33"/>
    </row>
    <row r="2082" spans="1:16" ht="14" x14ac:dyDescent="0.15">
      <c r="A2082" s="166" t="s">
        <v>2479</v>
      </c>
      <c r="B2082" s="82"/>
      <c r="C2082" s="70" t="s">
        <v>3636</v>
      </c>
      <c r="D2082" s="70" t="s">
        <v>7012</v>
      </c>
      <c r="E2082" s="70" t="s">
        <v>4722</v>
      </c>
      <c r="F2082" s="70" t="s">
        <v>4865</v>
      </c>
      <c r="G2082" s="70" t="s">
        <v>3069</v>
      </c>
      <c r="H2082" s="93"/>
      <c r="I2082" s="85">
        <f t="shared" si="80"/>
        <v>1.0791812460476249</v>
      </c>
      <c r="J2082" s="85">
        <v>12</v>
      </c>
      <c r="K2082" s="131" t="s">
        <v>6485</v>
      </c>
      <c r="L2082" s="60">
        <v>68</v>
      </c>
    </row>
    <row r="2083" spans="1:16" ht="17" x14ac:dyDescent="0.2">
      <c r="A2083" s="166" t="s">
        <v>2479</v>
      </c>
      <c r="B2083" s="82"/>
      <c r="C2083" s="70" t="s">
        <v>3636</v>
      </c>
      <c r="D2083" s="70" t="s">
        <v>7012</v>
      </c>
      <c r="E2083" s="70" t="s">
        <v>4722</v>
      </c>
      <c r="F2083" s="70" t="s">
        <v>4865</v>
      </c>
      <c r="G2083" s="70" t="s">
        <v>4912</v>
      </c>
      <c r="H2083" s="93"/>
      <c r="I2083" s="85">
        <f t="shared" si="80"/>
        <v>1.1542717759930952</v>
      </c>
      <c r="J2083" s="85">
        <f>AVERAGE(1000*0.0191, 1000*0.00943)</f>
        <v>14.264999999999999</v>
      </c>
      <c r="K2083" s="131" t="s">
        <v>3177</v>
      </c>
      <c r="L2083" s="60">
        <v>60</v>
      </c>
      <c r="M2083" s="47" t="s">
        <v>6727</v>
      </c>
    </row>
    <row r="2084" spans="1:16" ht="14" x14ac:dyDescent="0.15">
      <c r="A2084" s="166" t="s">
        <v>2479</v>
      </c>
      <c r="B2084" s="82"/>
      <c r="C2084" s="70" t="s">
        <v>3636</v>
      </c>
      <c r="D2084" s="70" t="s">
        <v>7012</v>
      </c>
      <c r="E2084" s="70" t="s">
        <v>4722</v>
      </c>
      <c r="F2084" s="70" t="s">
        <v>4865</v>
      </c>
      <c r="G2084" s="70" t="s">
        <v>5557</v>
      </c>
      <c r="H2084" s="93"/>
      <c r="I2084" s="85">
        <f t="shared" si="80"/>
        <v>1.1702617153949575</v>
      </c>
      <c r="J2084" s="85">
        <f>1000*0.0148</f>
        <v>14.8</v>
      </c>
      <c r="K2084" s="131" t="s">
        <v>3177</v>
      </c>
      <c r="L2084" s="60">
        <v>60</v>
      </c>
      <c r="M2084" s="33"/>
    </row>
    <row r="2085" spans="1:16" ht="16" x14ac:dyDescent="0.2">
      <c r="A2085" s="166" t="s">
        <v>2479</v>
      </c>
      <c r="B2085" s="82"/>
      <c r="C2085" s="70" t="s">
        <v>3636</v>
      </c>
      <c r="D2085" s="70" t="s">
        <v>7012</v>
      </c>
      <c r="E2085" s="70" t="s">
        <v>4722</v>
      </c>
      <c r="F2085" s="70" t="s">
        <v>4549</v>
      </c>
      <c r="G2085" s="70" t="s">
        <v>7423</v>
      </c>
      <c r="H2085" s="93"/>
      <c r="I2085" s="85">
        <f t="shared" si="80"/>
        <v>1.0413926851582251</v>
      </c>
      <c r="J2085" s="85">
        <f>AVERAGE(7, 15)</f>
        <v>11</v>
      </c>
      <c r="K2085" s="131" t="s">
        <v>3177</v>
      </c>
      <c r="L2085" s="60">
        <v>140</v>
      </c>
      <c r="M2085" s="47"/>
    </row>
    <row r="2086" spans="1:16" ht="28" x14ac:dyDescent="0.15">
      <c r="A2086" s="166" t="s">
        <v>2479</v>
      </c>
      <c r="B2086" s="93" t="s">
        <v>5023</v>
      </c>
      <c r="C2086" s="70" t="s">
        <v>3636</v>
      </c>
      <c r="D2086" s="70" t="s">
        <v>7012</v>
      </c>
      <c r="E2086" s="70" t="s">
        <v>4722</v>
      </c>
      <c r="F2086" s="70" t="s">
        <v>5144</v>
      </c>
      <c r="G2086" s="70" t="s">
        <v>1989</v>
      </c>
      <c r="H2086" s="93"/>
      <c r="I2086" s="85">
        <f t="shared" si="80"/>
        <v>1.5118833609788744</v>
      </c>
      <c r="J2086" s="85">
        <f>AVERAGE(25, 40)</f>
        <v>32.5</v>
      </c>
      <c r="K2086" s="131" t="s">
        <v>3177</v>
      </c>
      <c r="L2086" s="60">
        <v>140</v>
      </c>
      <c r="M2086" s="33"/>
    </row>
    <row r="2087" spans="1:16" ht="42" x14ac:dyDescent="0.15">
      <c r="A2087" s="166" t="s">
        <v>2479</v>
      </c>
      <c r="B2087" s="93" t="s">
        <v>4972</v>
      </c>
      <c r="C2087" s="70" t="s">
        <v>3636</v>
      </c>
      <c r="D2087" s="70" t="s">
        <v>7012</v>
      </c>
      <c r="E2087" s="70" t="s">
        <v>4722</v>
      </c>
      <c r="F2087" s="70" t="s">
        <v>7871</v>
      </c>
      <c r="G2087" s="70" t="s">
        <v>5494</v>
      </c>
      <c r="H2087" s="93"/>
      <c r="I2087" s="85">
        <f t="shared" si="80"/>
        <v>1.1090498088590319</v>
      </c>
      <c r="J2087" s="85">
        <v>12.854340768139449</v>
      </c>
      <c r="K2087" s="131" t="s">
        <v>7736</v>
      </c>
      <c r="L2087" s="60" t="s">
        <v>7737</v>
      </c>
      <c r="M2087" s="33">
        <f>-6.3006+2.3171*LOG(AVERAGE(80))</f>
        <v>-1.8909501911409681</v>
      </c>
      <c r="N2087" s="37">
        <f>(10^M2087)*1000</f>
        <v>12.854340768139449</v>
      </c>
    </row>
    <row r="2088" spans="1:16" ht="14" x14ac:dyDescent="0.15">
      <c r="A2088" s="166" t="s">
        <v>2479</v>
      </c>
      <c r="B2088" s="82"/>
      <c r="C2088" s="70" t="s">
        <v>3636</v>
      </c>
      <c r="D2088" s="70" t="s">
        <v>7012</v>
      </c>
      <c r="E2088" s="70" t="s">
        <v>4722</v>
      </c>
      <c r="F2088" s="70" t="s">
        <v>7871</v>
      </c>
      <c r="G2088" s="70" t="s">
        <v>7872</v>
      </c>
      <c r="H2088" s="93"/>
      <c r="I2088" s="85">
        <f t="shared" si="80"/>
        <v>1.1553360374650619</v>
      </c>
      <c r="J2088" s="85">
        <v>14.3</v>
      </c>
      <c r="K2088" s="131" t="s">
        <v>6485</v>
      </c>
      <c r="L2088" s="60">
        <v>68</v>
      </c>
      <c r="P2088" s="33"/>
    </row>
    <row r="2089" spans="1:16" ht="16" x14ac:dyDescent="0.2">
      <c r="A2089" s="166" t="s">
        <v>2479</v>
      </c>
      <c r="B2089" s="82"/>
      <c r="C2089" s="70" t="s">
        <v>3636</v>
      </c>
      <c r="D2089" s="70" t="s">
        <v>7012</v>
      </c>
      <c r="E2089" s="70" t="s">
        <v>4722</v>
      </c>
      <c r="F2089" s="70" t="s">
        <v>7871</v>
      </c>
      <c r="G2089" s="70" t="s">
        <v>3001</v>
      </c>
      <c r="H2089" s="93"/>
      <c r="I2089" s="85">
        <f t="shared" si="80"/>
        <v>1.2041199826559248</v>
      </c>
      <c r="J2089" s="85">
        <v>16</v>
      </c>
      <c r="K2089" s="131" t="s">
        <v>6485</v>
      </c>
      <c r="L2089" s="60">
        <v>68</v>
      </c>
      <c r="M2089" s="47"/>
    </row>
    <row r="2090" spans="1:16" ht="14" x14ac:dyDescent="0.15">
      <c r="A2090" s="170" t="s">
        <v>2479</v>
      </c>
      <c r="B2090" s="82" t="s">
        <v>4621</v>
      </c>
      <c r="C2090" s="70" t="s">
        <v>3636</v>
      </c>
      <c r="D2090" s="70" t="s">
        <v>7012</v>
      </c>
      <c r="E2090" s="70" t="s">
        <v>4722</v>
      </c>
      <c r="F2090" s="70" t="s">
        <v>6932</v>
      </c>
      <c r="G2090" s="70" t="s">
        <v>6570</v>
      </c>
      <c r="H2090" s="93"/>
      <c r="I2090" s="85">
        <v>-999</v>
      </c>
      <c r="J2090" s="85">
        <v>-999</v>
      </c>
      <c r="K2090" s="131" t="s">
        <v>3177</v>
      </c>
      <c r="L2090" s="60">
        <v>-999</v>
      </c>
      <c r="M2090" s="33"/>
    </row>
    <row r="2091" spans="1:16" ht="14" x14ac:dyDescent="0.15">
      <c r="A2091" s="166" t="s">
        <v>2479</v>
      </c>
      <c r="B2091" s="93" t="s">
        <v>2885</v>
      </c>
      <c r="C2091" s="70" t="s">
        <v>3636</v>
      </c>
      <c r="D2091" s="70" t="s">
        <v>7012</v>
      </c>
      <c r="E2091" s="70" t="s">
        <v>4722</v>
      </c>
      <c r="F2091" s="70" t="s">
        <v>6932</v>
      </c>
      <c r="G2091" s="70" t="s">
        <v>7939</v>
      </c>
      <c r="H2091" s="93"/>
      <c r="I2091" s="85">
        <v>-999</v>
      </c>
      <c r="J2091" s="85">
        <v>-999</v>
      </c>
      <c r="K2091" s="131" t="s">
        <v>3177</v>
      </c>
      <c r="L2091" s="60">
        <v>-999</v>
      </c>
      <c r="M2091" s="33"/>
    </row>
    <row r="2092" spans="1:16" ht="28" x14ac:dyDescent="0.15">
      <c r="A2092" s="166" t="s">
        <v>2479</v>
      </c>
      <c r="B2092" s="93" t="s">
        <v>1902</v>
      </c>
      <c r="C2092" s="70" t="s">
        <v>3636</v>
      </c>
      <c r="D2092" s="70" t="s">
        <v>7012</v>
      </c>
      <c r="E2092" s="70" t="s">
        <v>4722</v>
      </c>
      <c r="F2092" s="70" t="s">
        <v>6932</v>
      </c>
      <c r="G2092" s="70" t="s">
        <v>6125</v>
      </c>
      <c r="H2092" s="93"/>
      <c r="I2092" s="85">
        <v>-999</v>
      </c>
      <c r="J2092" s="85">
        <v>-999</v>
      </c>
      <c r="K2092" s="131" t="s">
        <v>7875</v>
      </c>
      <c r="L2092" s="60">
        <v>-999</v>
      </c>
      <c r="M2092" s="33" t="s">
        <v>6809</v>
      </c>
    </row>
    <row r="2093" spans="1:16" ht="28" x14ac:dyDescent="0.15">
      <c r="A2093" s="166" t="s">
        <v>2479</v>
      </c>
      <c r="B2093" s="93" t="s">
        <v>1902</v>
      </c>
      <c r="C2093" s="70" t="s">
        <v>3636</v>
      </c>
      <c r="D2093" s="70" t="s">
        <v>7012</v>
      </c>
      <c r="E2093" s="70" t="s">
        <v>4722</v>
      </c>
      <c r="F2093" s="70" t="s">
        <v>6932</v>
      </c>
      <c r="G2093" s="70" t="s">
        <v>6295</v>
      </c>
      <c r="H2093" s="93"/>
      <c r="I2093" s="85">
        <v>-999</v>
      </c>
      <c r="J2093" s="85">
        <v>-999</v>
      </c>
      <c r="K2093" s="131" t="s">
        <v>7875</v>
      </c>
      <c r="L2093" s="60">
        <v>-999</v>
      </c>
      <c r="M2093" s="33" t="s">
        <v>6390</v>
      </c>
    </row>
    <row r="2094" spans="1:16" ht="14" x14ac:dyDescent="0.15">
      <c r="A2094" s="166" t="s">
        <v>2479</v>
      </c>
      <c r="B2094" s="93" t="s">
        <v>4775</v>
      </c>
      <c r="C2094" s="70" t="s">
        <v>3636</v>
      </c>
      <c r="D2094" s="70" t="s">
        <v>7012</v>
      </c>
      <c r="E2094" s="70" t="s">
        <v>4722</v>
      </c>
      <c r="F2094" s="70" t="s">
        <v>6932</v>
      </c>
      <c r="G2094" s="70" t="s">
        <v>4917</v>
      </c>
      <c r="H2094" s="93"/>
      <c r="I2094" s="85">
        <v>-999</v>
      </c>
      <c r="J2094" s="85">
        <v>-999</v>
      </c>
      <c r="K2094" s="131" t="s">
        <v>6630</v>
      </c>
      <c r="L2094" s="60">
        <v>-999</v>
      </c>
      <c r="M2094" s="33" t="s">
        <v>6727</v>
      </c>
    </row>
    <row r="2095" spans="1:16" ht="28" x14ac:dyDescent="0.15">
      <c r="A2095" s="166" t="s">
        <v>2479</v>
      </c>
      <c r="B2095" s="93" t="s">
        <v>4645</v>
      </c>
      <c r="C2095" s="70" t="s">
        <v>3636</v>
      </c>
      <c r="D2095" s="70" t="s">
        <v>7012</v>
      </c>
      <c r="E2095" s="70" t="s">
        <v>4722</v>
      </c>
      <c r="F2095" s="70" t="s">
        <v>6932</v>
      </c>
      <c r="G2095" s="70" t="s">
        <v>7863</v>
      </c>
      <c r="H2095" s="93"/>
      <c r="I2095" s="85">
        <v>-999</v>
      </c>
      <c r="J2095" s="85">
        <v>-999</v>
      </c>
      <c r="K2095" s="131" t="s">
        <v>7875</v>
      </c>
      <c r="L2095" s="60">
        <v>-999</v>
      </c>
      <c r="M2095" s="33" t="s">
        <v>6809</v>
      </c>
    </row>
    <row r="2096" spans="1:16" ht="14" x14ac:dyDescent="0.15">
      <c r="A2096" s="166" t="s">
        <v>2479</v>
      </c>
      <c r="B2096" s="93" t="s">
        <v>4834</v>
      </c>
      <c r="C2096" s="70" t="s">
        <v>3636</v>
      </c>
      <c r="D2096" s="70" t="s">
        <v>7012</v>
      </c>
      <c r="E2096" s="70" t="s">
        <v>4722</v>
      </c>
      <c r="F2096" s="70" t="s">
        <v>6932</v>
      </c>
      <c r="G2096" s="70" t="s">
        <v>7797</v>
      </c>
      <c r="H2096" s="93"/>
      <c r="I2096" s="85">
        <v>-999</v>
      </c>
      <c r="J2096" s="85">
        <v>-999</v>
      </c>
      <c r="K2096" s="131" t="s">
        <v>3177</v>
      </c>
      <c r="L2096" s="60">
        <v>-999</v>
      </c>
      <c r="M2096" s="33"/>
    </row>
    <row r="2097" spans="1:14" ht="14" x14ac:dyDescent="0.15">
      <c r="A2097" s="166" t="s">
        <v>2479</v>
      </c>
      <c r="B2097" s="93" t="s">
        <v>2347</v>
      </c>
      <c r="C2097" s="70" t="s">
        <v>3636</v>
      </c>
      <c r="D2097" s="70" t="s">
        <v>7012</v>
      </c>
      <c r="E2097" s="70" t="s">
        <v>4722</v>
      </c>
      <c r="F2097" s="70" t="s">
        <v>6932</v>
      </c>
      <c r="G2097" s="70" t="s">
        <v>7028</v>
      </c>
      <c r="H2097" s="93"/>
      <c r="I2097" s="85">
        <v>-999</v>
      </c>
      <c r="J2097" s="85">
        <v>-999</v>
      </c>
      <c r="K2097" s="131" t="s">
        <v>3177</v>
      </c>
      <c r="L2097" s="60">
        <v>-999</v>
      </c>
      <c r="M2097" s="33"/>
    </row>
    <row r="2098" spans="1:14" ht="14" x14ac:dyDescent="0.15">
      <c r="A2098" s="166" t="s">
        <v>2479</v>
      </c>
      <c r="B2098" s="93" t="s">
        <v>4835</v>
      </c>
      <c r="C2098" s="70" t="s">
        <v>3636</v>
      </c>
      <c r="D2098" s="70" t="s">
        <v>7012</v>
      </c>
      <c r="E2098" s="70" t="s">
        <v>4722</v>
      </c>
      <c r="F2098" s="70" t="s">
        <v>6932</v>
      </c>
      <c r="G2098" s="70" t="s">
        <v>7442</v>
      </c>
      <c r="H2098" s="93"/>
      <c r="I2098" s="85">
        <v>-999</v>
      </c>
      <c r="J2098" s="85">
        <v>-999</v>
      </c>
      <c r="K2098" s="131" t="s">
        <v>3177</v>
      </c>
      <c r="L2098" s="60">
        <v>-999</v>
      </c>
      <c r="M2098" s="33"/>
    </row>
    <row r="2099" spans="1:14" ht="14" x14ac:dyDescent="0.15">
      <c r="A2099" s="166" t="s">
        <v>2479</v>
      </c>
      <c r="B2099" s="93" t="s">
        <v>7303</v>
      </c>
      <c r="C2099" s="70" t="s">
        <v>3636</v>
      </c>
      <c r="D2099" s="70" t="s">
        <v>7012</v>
      </c>
      <c r="E2099" s="70" t="s">
        <v>4722</v>
      </c>
      <c r="F2099" s="70" t="s">
        <v>6932</v>
      </c>
      <c r="G2099" s="61" t="s">
        <v>7446</v>
      </c>
      <c r="H2099" s="115"/>
      <c r="I2099" s="85">
        <v>-999</v>
      </c>
      <c r="J2099" s="85">
        <v>-999</v>
      </c>
      <c r="K2099" s="131" t="s">
        <v>3177</v>
      </c>
      <c r="L2099" s="60">
        <v>-999</v>
      </c>
      <c r="M2099" s="33"/>
    </row>
    <row r="2100" spans="1:14" ht="14" x14ac:dyDescent="0.15">
      <c r="A2100" s="166" t="s">
        <v>2479</v>
      </c>
      <c r="B2100" s="93" t="s">
        <v>5110</v>
      </c>
      <c r="C2100" s="70" t="s">
        <v>3636</v>
      </c>
      <c r="D2100" s="70" t="s">
        <v>7012</v>
      </c>
      <c r="E2100" s="70" t="s">
        <v>4722</v>
      </c>
      <c r="F2100" s="70" t="s">
        <v>6932</v>
      </c>
      <c r="G2100" s="70" t="s">
        <v>7702</v>
      </c>
      <c r="H2100" s="93"/>
      <c r="I2100" s="85">
        <v>-999</v>
      </c>
      <c r="J2100" s="85">
        <v>-999</v>
      </c>
      <c r="K2100" s="131" t="s">
        <v>3177</v>
      </c>
      <c r="L2100" s="60">
        <v>-999</v>
      </c>
      <c r="M2100" s="33"/>
    </row>
    <row r="2101" spans="1:14" ht="28" x14ac:dyDescent="0.15">
      <c r="A2101" s="166" t="s">
        <v>2479</v>
      </c>
      <c r="B2101" s="93" t="s">
        <v>4833</v>
      </c>
      <c r="C2101" s="70" t="s">
        <v>3636</v>
      </c>
      <c r="D2101" s="70" t="s">
        <v>7012</v>
      </c>
      <c r="E2101" s="70" t="s">
        <v>4722</v>
      </c>
      <c r="F2101" s="70" t="s">
        <v>6932</v>
      </c>
      <c r="G2101" s="70" t="s">
        <v>4907</v>
      </c>
      <c r="H2101" s="93"/>
      <c r="I2101" s="85">
        <v>-999</v>
      </c>
      <c r="J2101" s="85">
        <v>-999</v>
      </c>
      <c r="K2101" s="131" t="s">
        <v>3177</v>
      </c>
      <c r="L2101" s="60">
        <v>-999</v>
      </c>
      <c r="M2101" s="33"/>
    </row>
    <row r="2102" spans="1:14" ht="56" x14ac:dyDescent="0.15">
      <c r="A2102" s="166" t="s">
        <v>2479</v>
      </c>
      <c r="B2102" s="93" t="s">
        <v>4965</v>
      </c>
      <c r="C2102" s="70" t="s">
        <v>3636</v>
      </c>
      <c r="D2102" s="70" t="s">
        <v>7012</v>
      </c>
      <c r="E2102" s="70" t="s">
        <v>4722</v>
      </c>
      <c r="F2102" s="70" t="s">
        <v>6932</v>
      </c>
      <c r="G2102" s="70" t="s">
        <v>7796</v>
      </c>
      <c r="H2102" s="93"/>
      <c r="I2102" s="85">
        <f t="shared" ref="I2102:I2135" si="81">LOG(J2102)</f>
        <v>0.42732378635724722</v>
      </c>
      <c r="J2102" s="85">
        <f>AVERAGE(1.5, 4, 1.2, 4)</f>
        <v>2.6749999999999998</v>
      </c>
      <c r="K2102" s="131" t="s">
        <v>1350</v>
      </c>
      <c r="L2102" s="60" t="s">
        <v>6610</v>
      </c>
      <c r="M2102" s="33" t="s">
        <v>6382</v>
      </c>
    </row>
    <row r="2103" spans="1:14" ht="14" x14ac:dyDescent="0.15">
      <c r="A2103" s="166" t="s">
        <v>2479</v>
      </c>
      <c r="B2103" s="82"/>
      <c r="C2103" s="70" t="s">
        <v>3636</v>
      </c>
      <c r="D2103" s="70" t="s">
        <v>7012</v>
      </c>
      <c r="E2103" s="70" t="s">
        <v>4722</v>
      </c>
      <c r="F2103" s="70" t="s">
        <v>6932</v>
      </c>
      <c r="G2103" s="70" t="s">
        <v>3695</v>
      </c>
      <c r="H2103" s="93"/>
      <c r="I2103" s="85">
        <f t="shared" si="81"/>
        <v>0.65321251377534373</v>
      </c>
      <c r="J2103" s="85">
        <v>4.5</v>
      </c>
      <c r="K2103" s="131" t="s">
        <v>6485</v>
      </c>
      <c r="L2103" s="60">
        <v>68</v>
      </c>
    </row>
    <row r="2104" spans="1:14" ht="28" x14ac:dyDescent="0.15">
      <c r="A2104" s="166" t="s">
        <v>2479</v>
      </c>
      <c r="B2104" s="93" t="s">
        <v>5044</v>
      </c>
      <c r="C2104" s="70" t="s">
        <v>3636</v>
      </c>
      <c r="D2104" s="70" t="s">
        <v>7012</v>
      </c>
      <c r="E2104" s="70" t="s">
        <v>4722</v>
      </c>
      <c r="F2104" s="70" t="s">
        <v>6932</v>
      </c>
      <c r="G2104" s="70" t="s">
        <v>4918</v>
      </c>
      <c r="H2104" s="93"/>
      <c r="I2104" s="85">
        <f t="shared" si="81"/>
        <v>0.70416854832138809</v>
      </c>
      <c r="J2104" s="85">
        <v>5.0602100906061471</v>
      </c>
      <c r="K2104" s="131" t="s">
        <v>7552</v>
      </c>
      <c r="L2104" s="60" t="s">
        <v>7502</v>
      </c>
      <c r="M2104" s="33">
        <f>-6.3006+2.3171*LOG(AVERAGE(49,58))</f>
        <v>-2.2958314516786116</v>
      </c>
      <c r="N2104" s="37">
        <f>(10^M2104)*1000</f>
        <v>5.0602100906061471</v>
      </c>
    </row>
    <row r="2105" spans="1:14" ht="56" x14ac:dyDescent="0.15">
      <c r="A2105" s="166" t="s">
        <v>2479</v>
      </c>
      <c r="B2105" s="82" t="s">
        <v>5033</v>
      </c>
      <c r="C2105" s="70" t="s">
        <v>3636</v>
      </c>
      <c r="D2105" s="70" t="s">
        <v>7012</v>
      </c>
      <c r="E2105" s="70" t="s">
        <v>4722</v>
      </c>
      <c r="F2105" s="70" t="s">
        <v>6932</v>
      </c>
      <c r="G2105" s="70" t="s">
        <v>6573</v>
      </c>
      <c r="H2105" s="93"/>
      <c r="I2105" s="85">
        <f t="shared" si="81"/>
        <v>0.73037846858764299</v>
      </c>
      <c r="J2105" s="85">
        <f>AVERAGE(3.5, 7, 3, 8)</f>
        <v>5.375</v>
      </c>
      <c r="K2105" s="131" t="s">
        <v>1418</v>
      </c>
      <c r="L2105" s="60" t="s">
        <v>6610</v>
      </c>
      <c r="M2105" s="33" t="s">
        <v>6381</v>
      </c>
    </row>
    <row r="2106" spans="1:14" ht="14" x14ac:dyDescent="0.15">
      <c r="A2106" s="166" t="s">
        <v>2479</v>
      </c>
      <c r="B2106" s="93" t="s">
        <v>4901</v>
      </c>
      <c r="C2106" s="70" t="s">
        <v>3636</v>
      </c>
      <c r="D2106" s="70" t="s">
        <v>7012</v>
      </c>
      <c r="E2106" s="70" t="s">
        <v>4722</v>
      </c>
      <c r="F2106" s="70" t="s">
        <v>6932</v>
      </c>
      <c r="G2106" s="70" t="s">
        <v>6141</v>
      </c>
      <c r="H2106" s="93"/>
      <c r="I2106" s="85">
        <f t="shared" si="81"/>
        <v>0.7976137301530758</v>
      </c>
      <c r="J2106" s="85">
        <f>AVERAGE(6.3, 6.25)</f>
        <v>6.2750000000000004</v>
      </c>
      <c r="K2106" s="131" t="s">
        <v>7963</v>
      </c>
      <c r="L2106" s="60">
        <v>94</v>
      </c>
      <c r="M2106" s="33" t="s">
        <v>6380</v>
      </c>
    </row>
    <row r="2107" spans="1:14" ht="16" x14ac:dyDescent="0.2">
      <c r="A2107" s="166" t="s">
        <v>2479</v>
      </c>
      <c r="B2107" s="82" t="s">
        <v>6722</v>
      </c>
      <c r="C2107" s="70" t="s">
        <v>3636</v>
      </c>
      <c r="D2107" s="70" t="s">
        <v>7012</v>
      </c>
      <c r="E2107" s="70" t="s">
        <v>4722</v>
      </c>
      <c r="F2107" s="70" t="s">
        <v>6932</v>
      </c>
      <c r="G2107" s="70" t="s">
        <v>5182</v>
      </c>
      <c r="H2107" s="93"/>
      <c r="I2107" s="85">
        <f t="shared" si="81"/>
        <v>0.81954393554186866</v>
      </c>
      <c r="J2107" s="85">
        <f>1000*0.0066</f>
        <v>6.6</v>
      </c>
      <c r="K2107" s="131" t="s">
        <v>3177</v>
      </c>
      <c r="L2107" s="60">
        <v>60</v>
      </c>
      <c r="M2107" s="47"/>
    </row>
    <row r="2108" spans="1:14" ht="14" x14ac:dyDescent="0.15">
      <c r="A2108" s="166" t="s">
        <v>2479</v>
      </c>
      <c r="B2108" s="93" t="s">
        <v>5175</v>
      </c>
      <c r="C2108" s="70" t="s">
        <v>3636</v>
      </c>
      <c r="D2108" s="70" t="s">
        <v>7012</v>
      </c>
      <c r="E2108" s="70" t="s">
        <v>4722</v>
      </c>
      <c r="F2108" s="70" t="s">
        <v>6932</v>
      </c>
      <c r="G2108" s="70" t="s">
        <v>6296</v>
      </c>
      <c r="H2108" s="93"/>
      <c r="I2108" s="85">
        <f t="shared" si="81"/>
        <v>0.83186977428050168</v>
      </c>
      <c r="J2108" s="85">
        <f>1000*0.00679</f>
        <v>6.79</v>
      </c>
      <c r="K2108" s="131" t="s">
        <v>3177</v>
      </c>
      <c r="L2108" s="60">
        <v>60</v>
      </c>
      <c r="M2108" s="33"/>
    </row>
    <row r="2109" spans="1:14" ht="14" x14ac:dyDescent="0.15">
      <c r="A2109" s="166" t="s">
        <v>2479</v>
      </c>
      <c r="B2109" s="82"/>
      <c r="C2109" s="70" t="s">
        <v>3636</v>
      </c>
      <c r="D2109" s="70" t="s">
        <v>7012</v>
      </c>
      <c r="E2109" s="70" t="s">
        <v>4722</v>
      </c>
      <c r="F2109" s="70" t="s">
        <v>6932</v>
      </c>
      <c r="G2109" s="70" t="s">
        <v>2927</v>
      </c>
      <c r="H2109" s="93"/>
      <c r="I2109" s="85">
        <f t="shared" si="81"/>
        <v>0.89209460269048035</v>
      </c>
      <c r="J2109" s="85">
        <v>7.8</v>
      </c>
      <c r="K2109" s="131" t="s">
        <v>6485</v>
      </c>
      <c r="L2109" s="60">
        <v>-999</v>
      </c>
    </row>
    <row r="2110" spans="1:14" ht="14" x14ac:dyDescent="0.15">
      <c r="A2110" s="166" t="s">
        <v>2479</v>
      </c>
      <c r="B2110" s="82" t="s">
        <v>1902</v>
      </c>
      <c r="C2110" s="70" t="s">
        <v>3636</v>
      </c>
      <c r="D2110" s="70" t="s">
        <v>7012</v>
      </c>
      <c r="E2110" s="70" t="s">
        <v>4722</v>
      </c>
      <c r="F2110" s="70" t="s">
        <v>6932</v>
      </c>
      <c r="G2110" s="70" t="s">
        <v>5531</v>
      </c>
      <c r="H2110" s="93"/>
      <c r="I2110" s="85">
        <f t="shared" si="81"/>
        <v>0.9001015386771597</v>
      </c>
      <c r="J2110" s="94">
        <v>7.9451397152479997</v>
      </c>
      <c r="K2110" s="148" t="s">
        <v>7739</v>
      </c>
      <c r="L2110" s="60" t="s">
        <v>7738</v>
      </c>
      <c r="M2110" s="33">
        <f>-6.3006+2.3171*LOG(AVERAGE(65))</f>
        <v>-2.09989846132284</v>
      </c>
      <c r="N2110" s="37">
        <f>(10^M2110)*1000</f>
        <v>7.9451397152479997</v>
      </c>
    </row>
    <row r="2111" spans="1:14" ht="14" x14ac:dyDescent="0.15">
      <c r="A2111" s="166" t="s">
        <v>2479</v>
      </c>
      <c r="B2111" s="93" t="s">
        <v>7436</v>
      </c>
      <c r="C2111" s="70" t="s">
        <v>3636</v>
      </c>
      <c r="D2111" s="70" t="s">
        <v>7012</v>
      </c>
      <c r="E2111" s="70" t="s">
        <v>4722</v>
      </c>
      <c r="F2111" s="70" t="s">
        <v>6932</v>
      </c>
      <c r="G2111" s="70" t="s">
        <v>6578</v>
      </c>
      <c r="H2111" s="93"/>
      <c r="I2111" s="85">
        <f t="shared" si="81"/>
        <v>0.91381385238371671</v>
      </c>
      <c r="J2111" s="85">
        <v>8.1999999999999993</v>
      </c>
      <c r="K2111" s="131" t="s">
        <v>3177</v>
      </c>
      <c r="L2111" s="60">
        <v>180</v>
      </c>
      <c r="M2111" s="33"/>
    </row>
    <row r="2112" spans="1:14" ht="28" x14ac:dyDescent="0.15">
      <c r="A2112" s="166" t="s">
        <v>2479</v>
      </c>
      <c r="B2112" s="82"/>
      <c r="C2112" s="70" t="s">
        <v>3636</v>
      </c>
      <c r="D2112" s="70" t="s">
        <v>7012</v>
      </c>
      <c r="E2112" s="70" t="s">
        <v>4722</v>
      </c>
      <c r="F2112" s="70" t="s">
        <v>6932</v>
      </c>
      <c r="G2112" s="70" t="s">
        <v>7445</v>
      </c>
      <c r="H2112" s="93"/>
      <c r="I2112" s="85">
        <f t="shared" si="81"/>
        <v>0.91645394854992512</v>
      </c>
      <c r="J2112" s="85">
        <f>(16.5)/2</f>
        <v>8.25</v>
      </c>
      <c r="K2112" s="131" t="s">
        <v>3177</v>
      </c>
      <c r="L2112" s="60">
        <v>134</v>
      </c>
      <c r="M2112" s="33" t="s">
        <v>6379</v>
      </c>
      <c r="N2112" s="46"/>
    </row>
    <row r="2113" spans="1:16" ht="14" x14ac:dyDescent="0.15">
      <c r="A2113" s="166" t="s">
        <v>2479</v>
      </c>
      <c r="B2113" s="93" t="s">
        <v>7912</v>
      </c>
      <c r="C2113" s="70" t="s">
        <v>3636</v>
      </c>
      <c r="D2113" s="70" t="s">
        <v>7012</v>
      </c>
      <c r="E2113" s="70" t="s">
        <v>4722</v>
      </c>
      <c r="F2113" s="70" t="s">
        <v>6932</v>
      </c>
      <c r="G2113" s="70" t="s">
        <v>7443</v>
      </c>
      <c r="H2113" s="93"/>
      <c r="I2113" s="85">
        <f t="shared" si="81"/>
        <v>0.9601972281472938</v>
      </c>
      <c r="J2113" s="85">
        <v>9.1242510908621615</v>
      </c>
      <c r="K2113" s="131" t="s">
        <v>7734</v>
      </c>
      <c r="L2113" s="60" t="s">
        <v>7667</v>
      </c>
      <c r="M2113" s="33">
        <f>-6.3006+2.3171*LOG(AVERAGE(58,80))</f>
        <v>-2.0398027718527061</v>
      </c>
      <c r="N2113" s="37">
        <f>(10^M2113)*1000</f>
        <v>9.1242510908621615</v>
      </c>
    </row>
    <row r="2114" spans="1:16" ht="28" x14ac:dyDescent="0.15">
      <c r="A2114" s="166" t="s">
        <v>2479</v>
      </c>
      <c r="B2114" s="93" t="s">
        <v>1902</v>
      </c>
      <c r="C2114" s="70" t="s">
        <v>3636</v>
      </c>
      <c r="D2114" s="70" t="s">
        <v>7012</v>
      </c>
      <c r="E2114" s="70" t="s">
        <v>4722</v>
      </c>
      <c r="F2114" s="70" t="s">
        <v>6932</v>
      </c>
      <c r="G2114" s="70" t="s">
        <v>6577</v>
      </c>
      <c r="H2114" s="93"/>
      <c r="I2114" s="85">
        <f t="shared" si="81"/>
        <v>0.97467666851703427</v>
      </c>
      <c r="J2114" s="85">
        <v>9.4335828618402164</v>
      </c>
      <c r="K2114" s="131" t="s">
        <v>7875</v>
      </c>
      <c r="L2114" s="60" t="s">
        <v>7857</v>
      </c>
      <c r="M2114" s="33" t="s">
        <v>6728</v>
      </c>
      <c r="N2114" s="37" t="s">
        <v>7740</v>
      </c>
      <c r="O2114" s="33">
        <f>-6.3006+2.3171*LOG(AVERAGE(70))</f>
        <v>-2.0253233314829657</v>
      </c>
      <c r="P2114" s="37">
        <f>(10^O2114)*1000</f>
        <v>9.4335828618402164</v>
      </c>
    </row>
    <row r="2115" spans="1:16" ht="14" x14ac:dyDescent="0.15">
      <c r="A2115" s="166" t="s">
        <v>2479</v>
      </c>
      <c r="B2115" s="82"/>
      <c r="C2115" s="70" t="s">
        <v>3636</v>
      </c>
      <c r="D2115" s="70" t="s">
        <v>7012</v>
      </c>
      <c r="E2115" s="70" t="s">
        <v>4722</v>
      </c>
      <c r="F2115" s="70" t="s">
        <v>6932</v>
      </c>
      <c r="G2115" s="70" t="s">
        <v>5470</v>
      </c>
      <c r="H2115" s="93"/>
      <c r="I2115" s="85">
        <f t="shared" si="81"/>
        <v>0.98227123303956843</v>
      </c>
      <c r="J2115" s="85">
        <v>9.6</v>
      </c>
      <c r="K2115" s="131" t="s">
        <v>6485</v>
      </c>
      <c r="L2115" s="60">
        <v>68</v>
      </c>
    </row>
    <row r="2116" spans="1:16" ht="28" x14ac:dyDescent="0.15">
      <c r="A2116" s="166" t="s">
        <v>2479</v>
      </c>
      <c r="B2116" s="93" t="s">
        <v>4841</v>
      </c>
      <c r="C2116" s="70" t="s">
        <v>3636</v>
      </c>
      <c r="D2116" s="70" t="s">
        <v>7012</v>
      </c>
      <c r="E2116" s="70" t="s">
        <v>4722</v>
      </c>
      <c r="F2116" s="70" t="s">
        <v>6932</v>
      </c>
      <c r="G2116" s="70" t="s">
        <v>5308</v>
      </c>
      <c r="H2116" s="93"/>
      <c r="I2116" s="85">
        <f t="shared" si="81"/>
        <v>0.9956351945975499</v>
      </c>
      <c r="J2116" s="85">
        <f>1000*0.0099</f>
        <v>9.9</v>
      </c>
      <c r="K2116" s="131" t="s">
        <v>3177</v>
      </c>
      <c r="L2116" s="60">
        <v>60</v>
      </c>
      <c r="M2116" s="33"/>
    </row>
    <row r="2117" spans="1:16" ht="14" x14ac:dyDescent="0.15">
      <c r="A2117" s="166" t="s">
        <v>2479</v>
      </c>
      <c r="B2117" s="93" t="s">
        <v>7911</v>
      </c>
      <c r="C2117" s="73" t="s">
        <v>3636</v>
      </c>
      <c r="D2117" s="70" t="s">
        <v>7012</v>
      </c>
      <c r="E2117" s="70" t="s">
        <v>4722</v>
      </c>
      <c r="F2117" s="73" t="s">
        <v>6932</v>
      </c>
      <c r="G2117" s="73" t="s">
        <v>3263</v>
      </c>
      <c r="H2117" s="108"/>
      <c r="I2117" s="85">
        <f t="shared" si="81"/>
        <v>1</v>
      </c>
      <c r="J2117" s="95">
        <v>10</v>
      </c>
      <c r="K2117" s="131" t="s">
        <v>3177</v>
      </c>
      <c r="L2117" s="60" t="s">
        <v>7677</v>
      </c>
      <c r="M2117" s="33"/>
    </row>
    <row r="2118" spans="1:16" ht="14" x14ac:dyDescent="0.15">
      <c r="A2118" s="166" t="s">
        <v>2479</v>
      </c>
      <c r="B2118" s="82"/>
      <c r="C2118" s="70" t="s">
        <v>3636</v>
      </c>
      <c r="D2118" s="70" t="s">
        <v>7012</v>
      </c>
      <c r="E2118" s="70" t="s">
        <v>4722</v>
      </c>
      <c r="F2118" s="70" t="s">
        <v>6932</v>
      </c>
      <c r="G2118" s="70" t="s">
        <v>5821</v>
      </c>
      <c r="H2118" s="93"/>
      <c r="I2118" s="85">
        <f t="shared" si="81"/>
        <v>1</v>
      </c>
      <c r="J2118" s="85">
        <v>10</v>
      </c>
      <c r="K2118" s="131" t="s">
        <v>6485</v>
      </c>
      <c r="L2118" s="60">
        <v>68</v>
      </c>
    </row>
    <row r="2119" spans="1:16" ht="28" x14ac:dyDescent="0.15">
      <c r="A2119" s="166" t="s">
        <v>2479</v>
      </c>
      <c r="B2119" s="82"/>
      <c r="C2119" s="70" t="s">
        <v>3636</v>
      </c>
      <c r="D2119" s="70" t="s">
        <v>7012</v>
      </c>
      <c r="E2119" s="70" t="s">
        <v>4722</v>
      </c>
      <c r="F2119" s="70" t="s">
        <v>6932</v>
      </c>
      <c r="G2119" s="70" t="s">
        <v>7795</v>
      </c>
      <c r="H2119" s="93"/>
      <c r="I2119" s="85">
        <f t="shared" si="81"/>
        <v>1.0211892990699381</v>
      </c>
      <c r="J2119" s="85">
        <f>21/2</f>
        <v>10.5</v>
      </c>
      <c r="K2119" s="131" t="s">
        <v>3177</v>
      </c>
      <c r="L2119" s="60">
        <v>134</v>
      </c>
      <c r="M2119" s="33" t="s">
        <v>6481</v>
      </c>
      <c r="N2119" s="46"/>
    </row>
    <row r="2120" spans="1:16" ht="28" x14ac:dyDescent="0.15">
      <c r="A2120" s="166" t="s">
        <v>2479</v>
      </c>
      <c r="B2120" s="93" t="s">
        <v>1902</v>
      </c>
      <c r="C2120" s="70" t="s">
        <v>3636</v>
      </c>
      <c r="D2120" s="70" t="s">
        <v>7012</v>
      </c>
      <c r="E2120" s="70" t="s">
        <v>4722</v>
      </c>
      <c r="F2120" s="70" t="s">
        <v>7448</v>
      </c>
      <c r="G2120" s="70" t="s">
        <v>5351</v>
      </c>
      <c r="H2120" s="93"/>
      <c r="I2120" s="85">
        <f t="shared" si="81"/>
        <v>0.74036268949424389</v>
      </c>
      <c r="J2120" s="85">
        <v>5.5</v>
      </c>
      <c r="K2120" s="131" t="s">
        <v>7875</v>
      </c>
      <c r="L2120" s="60">
        <v>140</v>
      </c>
      <c r="M2120" s="33" t="s">
        <v>6809</v>
      </c>
    </row>
    <row r="2121" spans="1:16" ht="14" x14ac:dyDescent="0.15">
      <c r="A2121" s="166" t="s">
        <v>2479</v>
      </c>
      <c r="B2121" s="93" t="s">
        <v>1902</v>
      </c>
      <c r="C2121" s="70" t="s">
        <v>3636</v>
      </c>
      <c r="D2121" s="70" t="s">
        <v>7012</v>
      </c>
      <c r="E2121" s="70" t="s">
        <v>4722</v>
      </c>
      <c r="F2121" s="70" t="s">
        <v>7448</v>
      </c>
      <c r="G2121" s="70" t="s">
        <v>8032</v>
      </c>
      <c r="H2121" s="93"/>
      <c r="I2121" s="85">
        <f t="shared" si="81"/>
        <v>0.89209460269048035</v>
      </c>
      <c r="J2121" s="85">
        <v>7.8</v>
      </c>
      <c r="K2121" s="131" t="s">
        <v>3177</v>
      </c>
      <c r="L2121" s="60">
        <v>60</v>
      </c>
      <c r="M2121" s="33"/>
    </row>
    <row r="2122" spans="1:16" ht="28" x14ac:dyDescent="0.15">
      <c r="A2122" s="166" t="s">
        <v>2479</v>
      </c>
      <c r="B2122" s="93" t="s">
        <v>7376</v>
      </c>
      <c r="C2122" s="70" t="s">
        <v>3636</v>
      </c>
      <c r="D2122" s="70" t="s">
        <v>7012</v>
      </c>
      <c r="E2122" s="70" t="s">
        <v>4722</v>
      </c>
      <c r="F2122" s="70" t="s">
        <v>7448</v>
      </c>
      <c r="G2122" s="70" t="s">
        <v>4911</v>
      </c>
      <c r="H2122" s="93"/>
      <c r="I2122" s="85">
        <f t="shared" si="81"/>
        <v>0.91550536175437647</v>
      </c>
      <c r="J2122" s="85">
        <v>8.2319999999999993</v>
      </c>
      <c r="K2122" s="131" t="s">
        <v>281</v>
      </c>
      <c r="L2122" s="60" t="s">
        <v>1117</v>
      </c>
      <c r="M2122" s="33">
        <f>-6.3006+2.3171*LOG(66)</f>
        <v>-2.0845347469559359</v>
      </c>
      <c r="N2122" s="37">
        <f>(10^M2122)*1000</f>
        <v>8.2312397792947412</v>
      </c>
    </row>
    <row r="2123" spans="1:16" ht="14" x14ac:dyDescent="0.15">
      <c r="A2123" s="166" t="s">
        <v>2479</v>
      </c>
      <c r="B2123" s="93" t="s">
        <v>7044</v>
      </c>
      <c r="C2123" s="70" t="s">
        <v>3636</v>
      </c>
      <c r="D2123" s="70" t="s">
        <v>7012</v>
      </c>
      <c r="E2123" s="70" t="s">
        <v>4722</v>
      </c>
      <c r="F2123" s="70" t="s">
        <v>7448</v>
      </c>
      <c r="G2123" s="70" t="s">
        <v>2086</v>
      </c>
      <c r="H2123" s="93"/>
      <c r="I2123" s="85">
        <f t="shared" si="81"/>
        <v>0.96018527660461095</v>
      </c>
      <c r="J2123" s="85">
        <v>9.1240000000000006</v>
      </c>
      <c r="K2123" s="131" t="s">
        <v>289</v>
      </c>
      <c r="L2123" s="60" t="s">
        <v>290</v>
      </c>
      <c r="M2123" s="33">
        <f>-6.3006+2.3171*LOG(69)</f>
        <v>-2.0398027718527061</v>
      </c>
    </row>
    <row r="2124" spans="1:16" ht="28" x14ac:dyDescent="0.2">
      <c r="A2124" s="166" t="s">
        <v>2479</v>
      </c>
      <c r="B2124" s="93" t="s">
        <v>7319</v>
      </c>
      <c r="C2124" s="70" t="s">
        <v>3636</v>
      </c>
      <c r="D2124" s="70" t="s">
        <v>7012</v>
      </c>
      <c r="E2124" s="70" t="s">
        <v>4722</v>
      </c>
      <c r="F2124" s="70" t="s">
        <v>7448</v>
      </c>
      <c r="G2124" s="70" t="s">
        <v>5145</v>
      </c>
      <c r="H2124" s="93"/>
      <c r="I2124" s="85">
        <f t="shared" si="81"/>
        <v>1.0453229787866574</v>
      </c>
      <c r="J2124" s="85">
        <f>1000*0.0111</f>
        <v>11.1</v>
      </c>
      <c r="K2124" s="131" t="s">
        <v>3177</v>
      </c>
      <c r="L2124" s="60">
        <v>60</v>
      </c>
      <c r="M2124" s="47"/>
    </row>
    <row r="2125" spans="1:16" ht="28" x14ac:dyDescent="0.15">
      <c r="A2125" s="166" t="s">
        <v>2479</v>
      </c>
      <c r="B2125" s="93" t="s">
        <v>4950</v>
      </c>
      <c r="C2125" s="70" t="s">
        <v>3636</v>
      </c>
      <c r="D2125" s="70" t="s">
        <v>7012</v>
      </c>
      <c r="E2125" s="70" t="s">
        <v>4722</v>
      </c>
      <c r="F2125" s="70" t="s">
        <v>7448</v>
      </c>
      <c r="G2125" s="70" t="s">
        <v>3138</v>
      </c>
      <c r="H2125" s="93"/>
      <c r="I2125" s="85">
        <f t="shared" si="81"/>
        <v>1.1338581252033346</v>
      </c>
      <c r="J2125" s="85">
        <v>13.61</v>
      </c>
      <c r="K2125" s="131" t="s">
        <v>288</v>
      </c>
      <c r="L2125" s="60" t="s">
        <v>235</v>
      </c>
      <c r="M2125" s="33">
        <f>-6.3006+2.3171*LOG(82)</f>
        <v>-1.8661019226416906</v>
      </c>
    </row>
    <row r="2126" spans="1:16" ht="56" x14ac:dyDescent="0.15">
      <c r="A2126" s="166" t="s">
        <v>2479</v>
      </c>
      <c r="B2126" s="93" t="s">
        <v>7909</v>
      </c>
      <c r="C2126" s="70" t="s">
        <v>3636</v>
      </c>
      <c r="D2126" s="70" t="s">
        <v>7012</v>
      </c>
      <c r="E2126" s="70" t="s">
        <v>4722</v>
      </c>
      <c r="F2126" s="70" t="s">
        <v>7448</v>
      </c>
      <c r="G2126" s="70" t="s">
        <v>7090</v>
      </c>
      <c r="H2126" s="93"/>
      <c r="I2126" s="85">
        <f t="shared" si="81"/>
        <v>1.146128035678238</v>
      </c>
      <c r="J2126" s="85">
        <v>14</v>
      </c>
      <c r="K2126" s="131" t="s">
        <v>3177</v>
      </c>
      <c r="L2126" s="60">
        <v>140</v>
      </c>
      <c r="M2126" s="33"/>
    </row>
    <row r="2127" spans="1:16" ht="14" x14ac:dyDescent="0.15">
      <c r="A2127" s="166" t="s">
        <v>2479</v>
      </c>
      <c r="B2127" s="93" t="s">
        <v>1902</v>
      </c>
      <c r="C2127" s="70" t="s">
        <v>3636</v>
      </c>
      <c r="D2127" s="70" t="s">
        <v>7012</v>
      </c>
      <c r="E2127" s="70" t="s">
        <v>4722</v>
      </c>
      <c r="F2127" s="70" t="s">
        <v>7448</v>
      </c>
      <c r="G2127" s="70" t="s">
        <v>3986</v>
      </c>
      <c r="H2127" s="93"/>
      <c r="I2127" s="85">
        <f t="shared" si="81"/>
        <v>1.1583624920952498</v>
      </c>
      <c r="J2127" s="85">
        <f>1000*0.0144</f>
        <v>14.4</v>
      </c>
      <c r="K2127" s="131" t="s">
        <v>3177</v>
      </c>
      <c r="L2127" s="60">
        <v>60</v>
      </c>
      <c r="M2127" s="33"/>
      <c r="O2127" s="33"/>
    </row>
    <row r="2128" spans="1:16" ht="14" x14ac:dyDescent="0.15">
      <c r="A2128" s="166" t="s">
        <v>2479</v>
      </c>
      <c r="B2128" s="93" t="s">
        <v>1902</v>
      </c>
      <c r="C2128" s="70" t="s">
        <v>3636</v>
      </c>
      <c r="D2128" s="70" t="s">
        <v>7012</v>
      </c>
      <c r="E2128" s="70" t="s">
        <v>4722</v>
      </c>
      <c r="F2128" s="70" t="s">
        <v>7448</v>
      </c>
      <c r="G2128" s="70" t="s">
        <v>7450</v>
      </c>
      <c r="H2128" s="93"/>
      <c r="I2128" s="85">
        <f t="shared" si="81"/>
        <v>1.1818435879447726</v>
      </c>
      <c r="J2128" s="85">
        <f>1000*0.0152</f>
        <v>15.2</v>
      </c>
      <c r="K2128" s="131" t="s">
        <v>3177</v>
      </c>
      <c r="L2128" s="60">
        <v>60</v>
      </c>
      <c r="M2128" s="33"/>
    </row>
    <row r="2129" spans="1:14" ht="14" x14ac:dyDescent="0.15">
      <c r="A2129" s="166" t="s">
        <v>2479</v>
      </c>
      <c r="B2129" s="82"/>
      <c r="C2129" s="70" t="s">
        <v>3636</v>
      </c>
      <c r="D2129" s="70" t="s">
        <v>7012</v>
      </c>
      <c r="E2129" s="70" t="s">
        <v>4722</v>
      </c>
      <c r="F2129" s="70" t="s">
        <v>6902</v>
      </c>
      <c r="G2129" s="70" t="s">
        <v>6903</v>
      </c>
      <c r="H2129" s="93"/>
      <c r="I2129" s="85">
        <f t="shared" si="81"/>
        <v>0.37106786227173627</v>
      </c>
      <c r="J2129" s="85">
        <f>AVERAGE(1.75, 2.3, 3)</f>
        <v>2.35</v>
      </c>
      <c r="K2129" s="131" t="s">
        <v>3177</v>
      </c>
      <c r="L2129" s="60" t="s">
        <v>5709</v>
      </c>
      <c r="M2129" s="33"/>
    </row>
    <row r="2130" spans="1:14" ht="14" x14ac:dyDescent="0.15">
      <c r="A2130" s="166" t="s">
        <v>2479</v>
      </c>
      <c r="B2130" s="93" t="s">
        <v>8029</v>
      </c>
      <c r="C2130" s="70" t="s">
        <v>3636</v>
      </c>
      <c r="D2130" s="70" t="s">
        <v>7012</v>
      </c>
      <c r="E2130" s="70" t="s">
        <v>4722</v>
      </c>
      <c r="F2130" s="70" t="s">
        <v>6902</v>
      </c>
      <c r="G2130" s="70" t="s">
        <v>5157</v>
      </c>
      <c r="H2130" s="93"/>
      <c r="I2130" s="85">
        <f t="shared" si="81"/>
        <v>0.69897000433601886</v>
      </c>
      <c r="J2130" s="85">
        <v>5</v>
      </c>
      <c r="K2130" s="131" t="s">
        <v>6630</v>
      </c>
      <c r="L2130" s="60">
        <v>119</v>
      </c>
      <c r="M2130" s="33" t="s">
        <v>6727</v>
      </c>
    </row>
    <row r="2131" spans="1:14" ht="28" x14ac:dyDescent="0.15">
      <c r="A2131" s="166" t="s">
        <v>2479</v>
      </c>
      <c r="B2131" s="82" t="s">
        <v>2418</v>
      </c>
      <c r="C2131" s="70" t="s">
        <v>3636</v>
      </c>
      <c r="D2131" s="70" t="s">
        <v>7012</v>
      </c>
      <c r="E2131" s="70" t="s">
        <v>4722</v>
      </c>
      <c r="F2131" s="70" t="s">
        <v>6902</v>
      </c>
      <c r="G2131" s="70" t="s">
        <v>4452</v>
      </c>
      <c r="H2131" s="93"/>
      <c r="I2131" s="85">
        <f t="shared" si="81"/>
        <v>0.97451169273732841</v>
      </c>
      <c r="J2131" s="85">
        <f>1000*0.00943</f>
        <v>9.43</v>
      </c>
      <c r="K2131" s="131" t="s">
        <v>7875</v>
      </c>
      <c r="L2131" s="60">
        <v>60</v>
      </c>
      <c r="M2131" s="33" t="s">
        <v>6728</v>
      </c>
    </row>
    <row r="2132" spans="1:14" ht="28" x14ac:dyDescent="0.15">
      <c r="A2132" s="166" t="s">
        <v>2479</v>
      </c>
      <c r="B2132" s="93" t="s">
        <v>4620</v>
      </c>
      <c r="C2132" s="70" t="s">
        <v>3636</v>
      </c>
      <c r="D2132" s="70" t="s">
        <v>7012</v>
      </c>
      <c r="E2132" s="70" t="s">
        <v>4722</v>
      </c>
      <c r="F2132" s="70" t="s">
        <v>6902</v>
      </c>
      <c r="G2132" s="70" t="s">
        <v>6233</v>
      </c>
      <c r="H2132" s="93"/>
      <c r="I2132" s="85">
        <f t="shared" si="81"/>
        <v>0.97451169273732841</v>
      </c>
      <c r="J2132" s="85">
        <f>1000*0.00943</f>
        <v>9.43</v>
      </c>
      <c r="K2132" s="131" t="s">
        <v>3177</v>
      </c>
      <c r="L2132" s="60">
        <v>60</v>
      </c>
      <c r="M2132" s="33"/>
    </row>
    <row r="2133" spans="1:14" ht="28" x14ac:dyDescent="0.15">
      <c r="A2133" s="166" t="s">
        <v>2479</v>
      </c>
      <c r="B2133" s="93" t="s">
        <v>2418</v>
      </c>
      <c r="C2133" s="70" t="s">
        <v>3636</v>
      </c>
      <c r="D2133" s="70" t="s">
        <v>7012</v>
      </c>
      <c r="E2133" s="70" t="s">
        <v>4722</v>
      </c>
      <c r="F2133" s="70" t="s">
        <v>6902</v>
      </c>
      <c r="G2133" s="70" t="s">
        <v>3804</v>
      </c>
      <c r="H2133" s="93"/>
      <c r="I2133" s="85">
        <f t="shared" si="81"/>
        <v>1.255272505103306</v>
      </c>
      <c r="J2133" s="85">
        <f>1000*0.018</f>
        <v>18</v>
      </c>
      <c r="K2133" s="131" t="s">
        <v>7875</v>
      </c>
      <c r="L2133" s="60">
        <v>60</v>
      </c>
      <c r="M2133" s="33" t="s">
        <v>6728</v>
      </c>
      <c r="N2133" s="32" t="s">
        <v>1516</v>
      </c>
    </row>
    <row r="2134" spans="1:14" ht="84" x14ac:dyDescent="0.15">
      <c r="A2134" s="166" t="s">
        <v>2479</v>
      </c>
      <c r="B2134" s="93" t="s">
        <v>2604</v>
      </c>
      <c r="C2134" s="70" t="s">
        <v>3636</v>
      </c>
      <c r="D2134" s="70" t="s">
        <v>7012</v>
      </c>
      <c r="E2134" s="70" t="s">
        <v>4722</v>
      </c>
      <c r="F2134" s="70" t="s">
        <v>6902</v>
      </c>
      <c r="G2134" s="70" t="s">
        <v>4375</v>
      </c>
      <c r="H2134" s="93"/>
      <c r="I2134" s="85">
        <f t="shared" si="81"/>
        <v>1.8325089127062364</v>
      </c>
      <c r="J2134" s="85">
        <v>68</v>
      </c>
      <c r="K2134" s="131" t="s">
        <v>3177</v>
      </c>
      <c r="L2134" s="60">
        <v>75</v>
      </c>
    </row>
    <row r="2135" spans="1:14" ht="42" x14ac:dyDescent="0.15">
      <c r="A2135" s="166" t="s">
        <v>2479</v>
      </c>
      <c r="B2135" s="82"/>
      <c r="C2135" s="70" t="s">
        <v>3636</v>
      </c>
      <c r="D2135" s="70" t="s">
        <v>7012</v>
      </c>
      <c r="E2135" s="70" t="s">
        <v>2088</v>
      </c>
      <c r="F2135" s="70" t="s">
        <v>6502</v>
      </c>
      <c r="G2135" s="70" t="s">
        <v>6503</v>
      </c>
      <c r="H2135" s="93"/>
      <c r="I2135" s="85">
        <f t="shared" si="81"/>
        <v>2.5831987739686229</v>
      </c>
      <c r="J2135" s="85">
        <v>383</v>
      </c>
      <c r="K2135" s="131" t="s">
        <v>5964</v>
      </c>
      <c r="L2135" s="60">
        <v>68</v>
      </c>
      <c r="M2135" s="49" t="s">
        <v>6728</v>
      </c>
    </row>
    <row r="2136" spans="1:14" ht="16" x14ac:dyDescent="0.2">
      <c r="A2136" s="166" t="s">
        <v>2479</v>
      </c>
      <c r="B2136" s="82" t="s">
        <v>2110</v>
      </c>
      <c r="C2136" s="70" t="s">
        <v>3636</v>
      </c>
      <c r="D2136" s="70" t="s">
        <v>7012</v>
      </c>
      <c r="E2136" s="70" t="s">
        <v>2088</v>
      </c>
      <c r="F2136" s="70" t="s">
        <v>5354</v>
      </c>
      <c r="G2136" s="70" t="s">
        <v>6343</v>
      </c>
      <c r="H2136" s="93"/>
      <c r="I2136" s="85">
        <v>-999</v>
      </c>
      <c r="J2136" s="85">
        <v>-999</v>
      </c>
      <c r="K2136" s="131" t="s">
        <v>3177</v>
      </c>
      <c r="L2136" s="60">
        <v>-999</v>
      </c>
      <c r="M2136" s="47"/>
    </row>
    <row r="2137" spans="1:14" ht="28" x14ac:dyDescent="0.15">
      <c r="A2137" s="166" t="s">
        <v>2479</v>
      </c>
      <c r="B2137" s="93" t="s">
        <v>2262</v>
      </c>
      <c r="C2137" s="70" t="s">
        <v>3636</v>
      </c>
      <c r="D2137" s="70" t="s">
        <v>7012</v>
      </c>
      <c r="E2137" s="70" t="s">
        <v>2088</v>
      </c>
      <c r="F2137" s="70" t="s">
        <v>5354</v>
      </c>
      <c r="G2137" s="70" t="s">
        <v>4995</v>
      </c>
      <c r="H2137" s="93"/>
      <c r="I2137" s="85">
        <v>-999</v>
      </c>
      <c r="J2137" s="85">
        <v>-999</v>
      </c>
      <c r="K2137" s="131" t="s">
        <v>3177</v>
      </c>
      <c r="L2137" s="60">
        <v>-999</v>
      </c>
      <c r="M2137" s="33"/>
    </row>
    <row r="2138" spans="1:14" ht="14" x14ac:dyDescent="0.15">
      <c r="A2138" s="166" t="s">
        <v>2479</v>
      </c>
      <c r="B2138" s="93" t="s">
        <v>2465</v>
      </c>
      <c r="C2138" s="70" t="s">
        <v>3636</v>
      </c>
      <c r="D2138" s="70" t="s">
        <v>7012</v>
      </c>
      <c r="E2138" s="70" t="s">
        <v>2088</v>
      </c>
      <c r="F2138" s="70" t="s">
        <v>5354</v>
      </c>
      <c r="G2138" s="70" t="s">
        <v>2323</v>
      </c>
      <c r="H2138" s="93"/>
      <c r="I2138" s="85">
        <v>-999</v>
      </c>
      <c r="J2138" s="85">
        <v>-999</v>
      </c>
      <c r="K2138" s="131" t="s">
        <v>3177</v>
      </c>
      <c r="L2138" s="60">
        <v>-999</v>
      </c>
      <c r="M2138" s="33"/>
    </row>
    <row r="2139" spans="1:14" ht="28" x14ac:dyDescent="0.15">
      <c r="A2139" s="166" t="s">
        <v>2479</v>
      </c>
      <c r="B2139" s="93" t="s">
        <v>2110</v>
      </c>
      <c r="C2139" s="70" t="s">
        <v>3636</v>
      </c>
      <c r="D2139" s="70" t="s">
        <v>7012</v>
      </c>
      <c r="E2139" s="70" t="s">
        <v>2088</v>
      </c>
      <c r="F2139" s="70" t="s">
        <v>5354</v>
      </c>
      <c r="G2139" s="70" t="s">
        <v>2383</v>
      </c>
      <c r="H2139" s="93"/>
      <c r="I2139" s="85">
        <v>-999</v>
      </c>
      <c r="J2139" s="85">
        <v>-999</v>
      </c>
      <c r="K2139" s="131" t="s">
        <v>7875</v>
      </c>
      <c r="L2139" s="60">
        <v>-999</v>
      </c>
      <c r="M2139" s="33" t="s">
        <v>6809</v>
      </c>
    </row>
    <row r="2140" spans="1:14" ht="14" x14ac:dyDescent="0.15">
      <c r="A2140" s="166" t="s">
        <v>2479</v>
      </c>
      <c r="B2140" s="93" t="s">
        <v>2139</v>
      </c>
      <c r="C2140" s="70" t="s">
        <v>3636</v>
      </c>
      <c r="D2140" s="70" t="s">
        <v>7012</v>
      </c>
      <c r="E2140" s="70" t="s">
        <v>2088</v>
      </c>
      <c r="F2140" s="70" t="s">
        <v>5354</v>
      </c>
      <c r="G2140" s="70" t="s">
        <v>4996</v>
      </c>
      <c r="H2140" s="93"/>
      <c r="I2140" s="85">
        <f t="shared" ref="I2140:I2146" si="82">LOG(J2140)</f>
        <v>1.7815309910350243</v>
      </c>
      <c r="J2140" s="85">
        <f>AVERAGE(50, ((2.5/16)*454))</f>
        <v>60.46875</v>
      </c>
      <c r="K2140" s="131" t="s">
        <v>3177</v>
      </c>
      <c r="L2140" s="60" t="s">
        <v>1435</v>
      </c>
      <c r="M2140" s="33"/>
    </row>
    <row r="2141" spans="1:14" ht="28" x14ac:dyDescent="0.15">
      <c r="A2141" s="166" t="s">
        <v>2479</v>
      </c>
      <c r="B2141" s="93" t="s">
        <v>2301</v>
      </c>
      <c r="C2141" s="70" t="s">
        <v>3636</v>
      </c>
      <c r="D2141" s="70" t="s">
        <v>7012</v>
      </c>
      <c r="E2141" s="70" t="s">
        <v>2088</v>
      </c>
      <c r="F2141" s="70" t="s">
        <v>5352</v>
      </c>
      <c r="G2141" s="70" t="s">
        <v>5353</v>
      </c>
      <c r="H2141" s="93"/>
      <c r="I2141" s="85">
        <f t="shared" si="82"/>
        <v>1.7793559515220143</v>
      </c>
      <c r="J2141" s="85">
        <f>AVERAGE(35.5, 80, 65)</f>
        <v>60.166666666666664</v>
      </c>
      <c r="K2141" s="131" t="s">
        <v>6664</v>
      </c>
      <c r="L2141" s="60">
        <v>78</v>
      </c>
      <c r="M2141" s="33" t="s">
        <v>6528</v>
      </c>
    </row>
    <row r="2142" spans="1:14" ht="14" x14ac:dyDescent="0.15">
      <c r="A2142" s="166" t="s">
        <v>2479</v>
      </c>
      <c r="B2142" s="93" t="s">
        <v>2334</v>
      </c>
      <c r="C2142" s="70" t="s">
        <v>3636</v>
      </c>
      <c r="D2142" s="70" t="s">
        <v>7012</v>
      </c>
      <c r="E2142" s="70" t="s">
        <v>2088</v>
      </c>
      <c r="F2142" s="70" t="s">
        <v>4929</v>
      </c>
      <c r="G2142" s="70" t="s">
        <v>4519</v>
      </c>
      <c r="H2142" s="93"/>
      <c r="I2142" s="85">
        <f t="shared" si="82"/>
        <v>2.5171958979499744</v>
      </c>
      <c r="J2142" s="85">
        <f>AVERAGE(450, 319, 218)</f>
        <v>329</v>
      </c>
      <c r="K2142" s="131" t="s">
        <v>3177</v>
      </c>
      <c r="L2142" s="60" t="s">
        <v>7612</v>
      </c>
      <c r="M2142" s="33"/>
    </row>
    <row r="2143" spans="1:14" ht="14" x14ac:dyDescent="0.15">
      <c r="A2143" s="166" t="s">
        <v>2479</v>
      </c>
      <c r="B2143" s="93" t="s">
        <v>7827</v>
      </c>
      <c r="C2143" s="70" t="s">
        <v>3636</v>
      </c>
      <c r="D2143" s="70" t="s">
        <v>7012</v>
      </c>
      <c r="E2143" s="70" t="s">
        <v>2088</v>
      </c>
      <c r="F2143" s="70" t="s">
        <v>5356</v>
      </c>
      <c r="G2143" s="70" t="s">
        <v>2444</v>
      </c>
      <c r="H2143" s="93"/>
      <c r="I2143" s="85">
        <f t="shared" si="82"/>
        <v>1.6590029370008397</v>
      </c>
      <c r="J2143" s="85">
        <v>45.603999999999999</v>
      </c>
      <c r="K2143" s="131" t="s">
        <v>1118</v>
      </c>
      <c r="L2143" s="60" t="s">
        <v>6687</v>
      </c>
      <c r="M2143" s="33">
        <f>-8.5215+3.4845*LOG(115)</f>
        <v>-1.3409983752878389</v>
      </c>
    </row>
    <row r="2144" spans="1:14" ht="14" x14ac:dyDescent="0.15">
      <c r="A2144" s="166" t="s">
        <v>2479</v>
      </c>
      <c r="B2144" s="93" t="s">
        <v>1902</v>
      </c>
      <c r="C2144" s="70" t="s">
        <v>3636</v>
      </c>
      <c r="D2144" s="70" t="s">
        <v>7012</v>
      </c>
      <c r="E2144" s="70" t="s">
        <v>2088</v>
      </c>
      <c r="F2144" s="70" t="s">
        <v>5357</v>
      </c>
      <c r="G2144" s="70" t="s">
        <v>5358</v>
      </c>
      <c r="H2144" s="93"/>
      <c r="I2144" s="85">
        <f t="shared" si="82"/>
        <v>1.5639554649958127</v>
      </c>
      <c r="J2144" s="85">
        <v>36.64</v>
      </c>
      <c r="K2144" s="131" t="s">
        <v>1740</v>
      </c>
      <c r="L2144" s="60" t="s">
        <v>1638</v>
      </c>
      <c r="M2144" s="33">
        <f>-8.5215+3.4845*LOG(108)</f>
        <v>-1.4360349240057229</v>
      </c>
    </row>
    <row r="2145" spans="1:16" ht="14" x14ac:dyDescent="0.15">
      <c r="A2145" s="166" t="s">
        <v>2479</v>
      </c>
      <c r="B2145" s="108" t="s">
        <v>1902</v>
      </c>
      <c r="C2145" s="70" t="s">
        <v>3636</v>
      </c>
      <c r="D2145" s="70" t="s">
        <v>7012</v>
      </c>
      <c r="E2145" s="70" t="s">
        <v>2088</v>
      </c>
      <c r="F2145" s="70" t="s">
        <v>8004</v>
      </c>
      <c r="G2145" s="70" t="s">
        <v>6966</v>
      </c>
      <c r="H2145" s="93"/>
      <c r="I2145" s="85">
        <f t="shared" si="82"/>
        <v>1.9566965648946508</v>
      </c>
      <c r="J2145" s="85">
        <v>90.51</v>
      </c>
      <c r="K2145" s="131" t="s">
        <v>280</v>
      </c>
      <c r="L2145" s="60" t="s">
        <v>279</v>
      </c>
      <c r="M2145" s="33">
        <f>-8.5215 + 3.4845*LOG(140)</f>
        <v>-1.0433168596791784</v>
      </c>
      <c r="N2145" s="37" t="s">
        <v>277</v>
      </c>
    </row>
    <row r="2146" spans="1:16" ht="14" x14ac:dyDescent="0.15">
      <c r="A2146" s="166" t="s">
        <v>2479</v>
      </c>
      <c r="B2146" s="93" t="s">
        <v>6874</v>
      </c>
      <c r="C2146" s="70" t="s">
        <v>3636</v>
      </c>
      <c r="D2146" s="70" t="s">
        <v>7012</v>
      </c>
      <c r="E2146" s="70" t="s">
        <v>2088</v>
      </c>
      <c r="F2146" s="70" t="s">
        <v>5600</v>
      </c>
      <c r="G2146" s="70" t="s">
        <v>5601</v>
      </c>
      <c r="H2146" s="93"/>
      <c r="I2146" s="85">
        <f t="shared" si="82"/>
        <v>1.2880255353883627</v>
      </c>
      <c r="J2146" s="85">
        <v>19.41</v>
      </c>
      <c r="K2146" s="131" t="s">
        <v>1876</v>
      </c>
      <c r="L2146" s="60" t="s">
        <v>234</v>
      </c>
      <c r="M2146" s="33">
        <f>-8.5215 + 3.4845*LOG(90)</f>
        <v>-1.7119419758586716</v>
      </c>
      <c r="O2146" s="33"/>
    </row>
    <row r="2147" spans="1:16" ht="28" x14ac:dyDescent="0.15">
      <c r="A2147" s="166" t="s">
        <v>2479</v>
      </c>
      <c r="B2147" s="93" t="s">
        <v>6720</v>
      </c>
      <c r="C2147" s="70" t="s">
        <v>3636</v>
      </c>
      <c r="D2147" s="70" t="s">
        <v>7012</v>
      </c>
      <c r="E2147" s="73" t="s">
        <v>2088</v>
      </c>
      <c r="F2147" s="70" t="s">
        <v>5074</v>
      </c>
      <c r="G2147" s="70" t="s">
        <v>3521</v>
      </c>
      <c r="H2147" s="93"/>
      <c r="I2147" s="85">
        <v>-999</v>
      </c>
      <c r="J2147" s="85">
        <v>-999</v>
      </c>
      <c r="K2147" s="131" t="s">
        <v>3177</v>
      </c>
      <c r="L2147" s="60">
        <v>-999</v>
      </c>
      <c r="M2147" s="33"/>
    </row>
    <row r="2148" spans="1:16" ht="14" x14ac:dyDescent="0.15">
      <c r="A2148" s="166" t="s">
        <v>2479</v>
      </c>
      <c r="B2148" s="93" t="s">
        <v>2551</v>
      </c>
      <c r="C2148" s="70" t="s">
        <v>3636</v>
      </c>
      <c r="D2148" s="70" t="s">
        <v>7012</v>
      </c>
      <c r="E2148" s="70" t="s">
        <v>2088</v>
      </c>
      <c r="F2148" s="70" t="s">
        <v>5074</v>
      </c>
      <c r="G2148" s="70" t="s">
        <v>8003</v>
      </c>
      <c r="H2148" s="93"/>
      <c r="I2148" s="85">
        <v>-999</v>
      </c>
      <c r="J2148" s="85">
        <v>-999</v>
      </c>
      <c r="K2148" s="131" t="s">
        <v>6391</v>
      </c>
      <c r="L2148" s="60">
        <v>-999</v>
      </c>
      <c r="M2148" s="33" t="s">
        <v>6809</v>
      </c>
    </row>
    <row r="2149" spans="1:16" ht="14" x14ac:dyDescent="0.15">
      <c r="A2149" s="166" t="s">
        <v>2479</v>
      </c>
      <c r="B2149" s="93" t="s">
        <v>7297</v>
      </c>
      <c r="C2149" s="70" t="s">
        <v>3636</v>
      </c>
      <c r="D2149" s="70" t="s">
        <v>7012</v>
      </c>
      <c r="E2149" s="70" t="s">
        <v>2088</v>
      </c>
      <c r="F2149" s="70" t="s">
        <v>5074</v>
      </c>
      <c r="G2149" s="70" t="s">
        <v>4660</v>
      </c>
      <c r="H2149" s="93"/>
      <c r="I2149" s="85">
        <f t="shared" ref="I2149:I2155" si="83">LOG(J2149)</f>
        <v>1.7283537820212285</v>
      </c>
      <c r="J2149" s="85">
        <v>53.5</v>
      </c>
      <c r="K2149" s="131" t="s">
        <v>3177</v>
      </c>
      <c r="L2149" s="60">
        <v>181</v>
      </c>
      <c r="M2149" s="33"/>
      <c r="P2149" s="33"/>
    </row>
    <row r="2150" spans="1:16" ht="14" x14ac:dyDescent="0.15">
      <c r="A2150" s="166" t="s">
        <v>2479</v>
      </c>
      <c r="B2150" s="82"/>
      <c r="C2150" s="70" t="s">
        <v>3636</v>
      </c>
      <c r="D2150" s="70" t="s">
        <v>7012</v>
      </c>
      <c r="E2150" s="70" t="s">
        <v>2088</v>
      </c>
      <c r="F2150" s="70" t="s">
        <v>5074</v>
      </c>
      <c r="G2150" s="70" t="s">
        <v>5075</v>
      </c>
      <c r="H2150" s="93"/>
      <c r="I2150" s="85">
        <f t="shared" si="83"/>
        <v>1.8864907251724818</v>
      </c>
      <c r="J2150" s="85">
        <v>77</v>
      </c>
      <c r="K2150" s="131" t="s">
        <v>6485</v>
      </c>
      <c r="L2150" s="60">
        <v>68</v>
      </c>
    </row>
    <row r="2151" spans="1:16" ht="56" x14ac:dyDescent="0.15">
      <c r="A2151" s="166" t="s">
        <v>2479</v>
      </c>
      <c r="B2151" s="93" t="s">
        <v>6524</v>
      </c>
      <c r="C2151" s="70" t="s">
        <v>3636</v>
      </c>
      <c r="D2151" s="70" t="s">
        <v>7012</v>
      </c>
      <c r="E2151" s="70" t="s">
        <v>2088</v>
      </c>
      <c r="F2151" s="70" t="s">
        <v>5074</v>
      </c>
      <c r="G2151" s="70" t="s">
        <v>7946</v>
      </c>
      <c r="H2151" s="93"/>
      <c r="I2151" s="85">
        <f t="shared" si="83"/>
        <v>1.9294189257142926</v>
      </c>
      <c r="J2151" s="85">
        <v>85</v>
      </c>
      <c r="K2151" s="131" t="s">
        <v>7688</v>
      </c>
      <c r="L2151" s="60" t="s">
        <v>7689</v>
      </c>
      <c r="M2151" s="33"/>
    </row>
    <row r="2152" spans="1:16" ht="14" x14ac:dyDescent="0.15">
      <c r="A2152" s="166" t="s">
        <v>2479</v>
      </c>
      <c r="B2152" s="93" t="s">
        <v>6525</v>
      </c>
      <c r="C2152" s="70" t="s">
        <v>3636</v>
      </c>
      <c r="D2152" s="70" t="s">
        <v>7012</v>
      </c>
      <c r="E2152" s="70" t="s">
        <v>2088</v>
      </c>
      <c r="F2152" s="70" t="s">
        <v>5074</v>
      </c>
      <c r="G2152" s="70" t="s">
        <v>5411</v>
      </c>
      <c r="H2152" s="93"/>
      <c r="I2152" s="85">
        <f t="shared" si="83"/>
        <v>1.954242509439325</v>
      </c>
      <c r="J2152" s="85">
        <f>0.09*1000</f>
        <v>90</v>
      </c>
      <c r="K2152" s="131" t="s">
        <v>3177</v>
      </c>
      <c r="L2152" s="60" t="s">
        <v>7677</v>
      </c>
      <c r="M2152" s="33"/>
    </row>
    <row r="2153" spans="1:16" ht="16" x14ac:dyDescent="0.2">
      <c r="A2153" s="166" t="s">
        <v>2479</v>
      </c>
      <c r="B2153" s="93" t="s">
        <v>7296</v>
      </c>
      <c r="C2153" s="70" t="s">
        <v>3636</v>
      </c>
      <c r="D2153" s="70" t="s">
        <v>7012</v>
      </c>
      <c r="E2153" s="70" t="s">
        <v>2088</v>
      </c>
      <c r="F2153" s="70" t="s">
        <v>5074</v>
      </c>
      <c r="G2153" s="70" t="s">
        <v>5603</v>
      </c>
      <c r="H2153" s="93"/>
      <c r="I2153" s="85">
        <f t="shared" si="83"/>
        <v>1.954242509439325</v>
      </c>
      <c r="J2153" s="85">
        <v>90</v>
      </c>
      <c r="K2153" s="131" t="s">
        <v>3177</v>
      </c>
      <c r="L2153" s="60" t="s">
        <v>7677</v>
      </c>
      <c r="M2153" s="47"/>
    </row>
    <row r="2154" spans="1:16" ht="28" x14ac:dyDescent="0.15">
      <c r="A2154" s="166" t="s">
        <v>2479</v>
      </c>
      <c r="B2154" s="82"/>
      <c r="C2154" s="70" t="s">
        <v>3636</v>
      </c>
      <c r="D2154" s="70" t="s">
        <v>7012</v>
      </c>
      <c r="E2154" s="70" t="s">
        <v>2088</v>
      </c>
      <c r="F2154" s="70" t="s">
        <v>5074</v>
      </c>
      <c r="G2154" s="70" t="s">
        <v>5602</v>
      </c>
      <c r="H2154" s="93"/>
      <c r="I2154" s="85">
        <f t="shared" si="83"/>
        <v>1.9661417327390327</v>
      </c>
      <c r="J2154" s="85">
        <f>(65+120)/2</f>
        <v>92.5</v>
      </c>
      <c r="K2154" s="131" t="s">
        <v>3177</v>
      </c>
      <c r="L2154" s="60">
        <v>134</v>
      </c>
      <c r="M2154" s="33" t="s">
        <v>6636</v>
      </c>
      <c r="N2154" s="46"/>
    </row>
    <row r="2155" spans="1:16" ht="28" x14ac:dyDescent="0.15">
      <c r="A2155" s="166" t="s">
        <v>2479</v>
      </c>
      <c r="B2155" s="82"/>
      <c r="C2155" s="70" t="s">
        <v>3636</v>
      </c>
      <c r="D2155" s="70" t="s">
        <v>7012</v>
      </c>
      <c r="E2155" s="70" t="s">
        <v>2088</v>
      </c>
      <c r="F2155" s="70" t="s">
        <v>5074</v>
      </c>
      <c r="G2155" s="70" t="s">
        <v>5349</v>
      </c>
      <c r="H2155" s="93"/>
      <c r="I2155" s="85">
        <f t="shared" si="83"/>
        <v>1.9661417327390327</v>
      </c>
      <c r="J2155" s="85">
        <v>92.5</v>
      </c>
      <c r="K2155" s="131" t="s">
        <v>3177</v>
      </c>
      <c r="L2155" s="60">
        <v>134</v>
      </c>
      <c r="M2155" s="33" t="s">
        <v>6636</v>
      </c>
      <c r="N2155" s="46"/>
    </row>
    <row r="2156" spans="1:16" ht="16" x14ac:dyDescent="0.2">
      <c r="A2156" s="166" t="s">
        <v>2479</v>
      </c>
      <c r="B2156" s="93" t="s">
        <v>1902</v>
      </c>
      <c r="C2156" s="70" t="s">
        <v>3636</v>
      </c>
      <c r="D2156" s="70" t="s">
        <v>7012</v>
      </c>
      <c r="E2156" s="70" t="s">
        <v>2088</v>
      </c>
      <c r="F2156" s="70" t="s">
        <v>7957</v>
      </c>
      <c r="G2156" s="70" t="s">
        <v>4221</v>
      </c>
      <c r="H2156" s="93"/>
      <c r="I2156" s="85">
        <v>-999</v>
      </c>
      <c r="J2156" s="85">
        <v>-999</v>
      </c>
      <c r="K2156" s="131" t="s">
        <v>3177</v>
      </c>
      <c r="L2156" s="60">
        <v>-999</v>
      </c>
      <c r="M2156" s="33"/>
      <c r="N2156" s="48"/>
    </row>
    <row r="2157" spans="1:16" ht="14" x14ac:dyDescent="0.15">
      <c r="A2157" s="166" t="s">
        <v>2479</v>
      </c>
      <c r="B2157" s="93" t="s">
        <v>7472</v>
      </c>
      <c r="C2157" s="70" t="s">
        <v>3636</v>
      </c>
      <c r="D2157" s="70" t="s">
        <v>7012</v>
      </c>
      <c r="E2157" s="70" t="s">
        <v>2088</v>
      </c>
      <c r="F2157" s="70" t="s">
        <v>7957</v>
      </c>
      <c r="G2157" s="70" t="s">
        <v>3605</v>
      </c>
      <c r="H2157" s="93"/>
      <c r="I2157" s="85">
        <v>-999</v>
      </c>
      <c r="J2157" s="85">
        <v>-999</v>
      </c>
      <c r="K2157" s="131" t="s">
        <v>3177</v>
      </c>
      <c r="L2157" s="60">
        <v>-999</v>
      </c>
      <c r="M2157" s="33"/>
    </row>
    <row r="2158" spans="1:16" ht="14" x14ac:dyDescent="0.15">
      <c r="A2158" s="166" t="s">
        <v>2479</v>
      </c>
      <c r="B2158" s="93" t="s">
        <v>1902</v>
      </c>
      <c r="C2158" s="70" t="s">
        <v>3636</v>
      </c>
      <c r="D2158" s="70" t="s">
        <v>7012</v>
      </c>
      <c r="E2158" s="70" t="s">
        <v>2088</v>
      </c>
      <c r="F2158" s="70" t="s">
        <v>7957</v>
      </c>
      <c r="G2158" s="70" t="s">
        <v>7960</v>
      </c>
      <c r="H2158" s="93"/>
      <c r="I2158" s="85">
        <v>-999</v>
      </c>
      <c r="J2158" s="85">
        <v>-999</v>
      </c>
      <c r="K2158" s="131" t="s">
        <v>6630</v>
      </c>
      <c r="L2158" s="60">
        <v>-999</v>
      </c>
      <c r="M2158" s="33" t="s">
        <v>6390</v>
      </c>
    </row>
    <row r="2159" spans="1:16" ht="17" x14ac:dyDescent="0.2">
      <c r="A2159" s="166" t="s">
        <v>2479</v>
      </c>
      <c r="B2159" s="93" t="s">
        <v>1902</v>
      </c>
      <c r="C2159" s="70" t="s">
        <v>3636</v>
      </c>
      <c r="D2159" s="70" t="s">
        <v>7012</v>
      </c>
      <c r="E2159" s="70" t="s">
        <v>2088</v>
      </c>
      <c r="F2159" s="70" t="s">
        <v>7957</v>
      </c>
      <c r="G2159" s="70" t="s">
        <v>3276</v>
      </c>
      <c r="H2159" s="93"/>
      <c r="I2159" s="85">
        <f>LOG(J2159)</f>
        <v>1.2041199826559248</v>
      </c>
      <c r="J2159" s="85">
        <f>AVERAGE(12, 20)</f>
        <v>16</v>
      </c>
      <c r="K2159" s="131" t="s">
        <v>6816</v>
      </c>
      <c r="L2159" s="60">
        <v>140</v>
      </c>
      <c r="M2159" s="47" t="s">
        <v>6390</v>
      </c>
    </row>
    <row r="2160" spans="1:16" ht="28" x14ac:dyDescent="0.15">
      <c r="A2160" s="166" t="s">
        <v>2479</v>
      </c>
      <c r="B2160" s="82" t="s">
        <v>2418</v>
      </c>
      <c r="C2160" s="70" t="s">
        <v>3636</v>
      </c>
      <c r="D2160" s="70" t="s">
        <v>7077</v>
      </c>
      <c r="E2160" s="70" t="s">
        <v>7078</v>
      </c>
      <c r="F2160" s="70" t="s">
        <v>5274</v>
      </c>
      <c r="G2160" s="70" t="s">
        <v>3992</v>
      </c>
      <c r="H2160" s="93"/>
      <c r="I2160" s="85">
        <f>LOG(J2160)</f>
        <v>3.3974185423513479</v>
      </c>
      <c r="J2160" s="85">
        <f>454*5.5</f>
        <v>2497</v>
      </c>
      <c r="K2160" s="131" t="s">
        <v>7875</v>
      </c>
      <c r="L2160" s="60">
        <v>133</v>
      </c>
      <c r="M2160" s="33" t="s">
        <v>6390</v>
      </c>
    </row>
    <row r="2161" spans="1:16" ht="14" x14ac:dyDescent="0.15">
      <c r="A2161" s="166" t="s">
        <v>2479</v>
      </c>
      <c r="B2161" s="93" t="s">
        <v>2156</v>
      </c>
      <c r="C2161" s="70" t="s">
        <v>3636</v>
      </c>
      <c r="D2161" s="70" t="s">
        <v>7077</v>
      </c>
      <c r="E2161" s="70" t="s">
        <v>7078</v>
      </c>
      <c r="F2161" s="70" t="s">
        <v>7072</v>
      </c>
      <c r="G2161" s="70" t="s">
        <v>5528</v>
      </c>
      <c r="H2161" s="93"/>
      <c r="I2161" s="85">
        <v>-999</v>
      </c>
      <c r="J2161" s="85">
        <v>-999</v>
      </c>
      <c r="K2161" s="131" t="s">
        <v>6522</v>
      </c>
      <c r="L2161" s="60">
        <v>-999</v>
      </c>
      <c r="M2161" s="33" t="s">
        <v>6728</v>
      </c>
    </row>
    <row r="2162" spans="1:16" ht="14" x14ac:dyDescent="0.15">
      <c r="A2162" s="166" t="s">
        <v>2479</v>
      </c>
      <c r="B2162" s="93" t="s">
        <v>4570</v>
      </c>
      <c r="C2162" s="70" t="s">
        <v>3636</v>
      </c>
      <c r="D2162" s="70" t="s">
        <v>7077</v>
      </c>
      <c r="E2162" s="70" t="s">
        <v>7078</v>
      </c>
      <c r="F2162" s="70" t="s">
        <v>7072</v>
      </c>
      <c r="G2162" s="70" t="s">
        <v>5530</v>
      </c>
      <c r="H2162" s="93"/>
      <c r="I2162" s="85">
        <v>-999</v>
      </c>
      <c r="J2162" s="85">
        <v>-999</v>
      </c>
      <c r="K2162" s="131" t="s">
        <v>3177</v>
      </c>
      <c r="L2162" s="60">
        <v>-999</v>
      </c>
      <c r="M2162" s="33"/>
    </row>
    <row r="2163" spans="1:16" ht="14" x14ac:dyDescent="0.15">
      <c r="A2163" s="166" t="s">
        <v>2479</v>
      </c>
      <c r="B2163" s="93" t="s">
        <v>1902</v>
      </c>
      <c r="C2163" s="70" t="s">
        <v>3636</v>
      </c>
      <c r="D2163" s="70" t="s">
        <v>7077</v>
      </c>
      <c r="E2163" s="70" t="s">
        <v>7078</v>
      </c>
      <c r="F2163" s="70" t="s">
        <v>7072</v>
      </c>
      <c r="G2163" s="70" t="s">
        <v>8037</v>
      </c>
      <c r="H2163" s="93"/>
      <c r="I2163" s="85">
        <v>-999</v>
      </c>
      <c r="J2163" s="85">
        <v>-999</v>
      </c>
      <c r="K2163" s="131" t="s">
        <v>6817</v>
      </c>
      <c r="L2163" s="60">
        <v>-999</v>
      </c>
      <c r="M2163" s="33" t="s">
        <v>6392</v>
      </c>
    </row>
    <row r="2164" spans="1:16" ht="14" x14ac:dyDescent="0.15">
      <c r="A2164" s="166" t="s">
        <v>2479</v>
      </c>
      <c r="B2164" s="93" t="s">
        <v>1902</v>
      </c>
      <c r="C2164" s="70" t="s">
        <v>3636</v>
      </c>
      <c r="D2164" s="70" t="s">
        <v>7077</v>
      </c>
      <c r="E2164" s="70" t="s">
        <v>7078</v>
      </c>
      <c r="F2164" s="70" t="s">
        <v>7072</v>
      </c>
      <c r="G2164" s="70" t="s">
        <v>5529</v>
      </c>
      <c r="H2164" s="93"/>
      <c r="I2164" s="85">
        <f t="shared" ref="I2164:I2178" si="84">LOG(J2164)</f>
        <v>3.1643528557844371</v>
      </c>
      <c r="J2164" s="85">
        <f>1000*1.46</f>
        <v>1460</v>
      </c>
      <c r="K2164" s="131"/>
      <c r="L2164" s="60">
        <v>60</v>
      </c>
      <c r="M2164" s="33"/>
    </row>
    <row r="2165" spans="1:16" ht="14" x14ac:dyDescent="0.15">
      <c r="A2165" s="170" t="s">
        <v>2479</v>
      </c>
      <c r="B2165" s="93" t="s">
        <v>5785</v>
      </c>
      <c r="C2165" s="70" t="s">
        <v>3636</v>
      </c>
      <c r="D2165" s="70" t="s">
        <v>7077</v>
      </c>
      <c r="E2165" s="70" t="s">
        <v>7078</v>
      </c>
      <c r="F2165" s="70" t="s">
        <v>7072</v>
      </c>
      <c r="G2165" s="70" t="s">
        <v>4784</v>
      </c>
      <c r="H2165" s="93"/>
      <c r="I2165" s="85">
        <f t="shared" si="84"/>
        <v>3.1789769472931693</v>
      </c>
      <c r="J2165" s="85">
        <v>1510</v>
      </c>
      <c r="K2165" s="131" t="s">
        <v>3177</v>
      </c>
      <c r="L2165" s="60">
        <v>60</v>
      </c>
      <c r="M2165" s="33"/>
    </row>
    <row r="2166" spans="1:16" ht="28" x14ac:dyDescent="0.15">
      <c r="A2166" s="166" t="s">
        <v>2479</v>
      </c>
      <c r="B2166" s="93" t="s">
        <v>2108</v>
      </c>
      <c r="C2166" s="70" t="s">
        <v>3636</v>
      </c>
      <c r="D2166" s="70" t="s">
        <v>7077</v>
      </c>
      <c r="E2166" s="70" t="s">
        <v>7078</v>
      </c>
      <c r="F2166" s="70" t="s">
        <v>7072</v>
      </c>
      <c r="G2166" s="70" t="s">
        <v>5566</v>
      </c>
      <c r="H2166" s="93"/>
      <c r="I2166" s="85">
        <f t="shared" si="84"/>
        <v>3.2011238972073794</v>
      </c>
      <c r="J2166" s="85">
        <f>3.5*454</f>
        <v>1589</v>
      </c>
      <c r="K2166" s="131" t="s">
        <v>3177</v>
      </c>
      <c r="L2166" s="60">
        <v>133</v>
      </c>
      <c r="M2166" s="33"/>
    </row>
    <row r="2167" spans="1:16" ht="16" x14ac:dyDescent="0.2">
      <c r="A2167" s="166" t="s">
        <v>2479</v>
      </c>
      <c r="B2167" s="93" t="s">
        <v>2285</v>
      </c>
      <c r="C2167" s="70" t="s">
        <v>3636</v>
      </c>
      <c r="D2167" s="70" t="s">
        <v>7077</v>
      </c>
      <c r="E2167" s="70" t="s">
        <v>7078</v>
      </c>
      <c r="F2167" s="70" t="s">
        <v>7072</v>
      </c>
      <c r="G2167" s="70" t="s">
        <v>5562</v>
      </c>
      <c r="H2167" s="93"/>
      <c r="I2167" s="85">
        <f t="shared" si="84"/>
        <v>3.255272505103306</v>
      </c>
      <c r="J2167" s="85">
        <v>1800</v>
      </c>
      <c r="K2167" s="131" t="s">
        <v>3177</v>
      </c>
      <c r="L2167" s="60">
        <v>171</v>
      </c>
      <c r="M2167" s="47"/>
    </row>
    <row r="2168" spans="1:16" ht="14" x14ac:dyDescent="0.15">
      <c r="A2168" s="166" t="s">
        <v>2479</v>
      </c>
      <c r="B2168" s="82"/>
      <c r="C2168" s="70" t="s">
        <v>3636</v>
      </c>
      <c r="D2168" s="70" t="s">
        <v>7077</v>
      </c>
      <c r="E2168" s="70" t="s">
        <v>7078</v>
      </c>
      <c r="F2168" s="70" t="s">
        <v>7072</v>
      </c>
      <c r="G2168" s="70" t="s">
        <v>7073</v>
      </c>
      <c r="H2168" s="93"/>
      <c r="I2168" s="85">
        <f t="shared" si="84"/>
        <v>3.3222192947339191</v>
      </c>
      <c r="J2168" s="85">
        <v>2100</v>
      </c>
      <c r="K2168" s="131" t="s">
        <v>3177</v>
      </c>
      <c r="L2168" s="67">
        <v>75</v>
      </c>
    </row>
    <row r="2169" spans="1:16" ht="28" x14ac:dyDescent="0.15">
      <c r="A2169" s="166" t="s">
        <v>2479</v>
      </c>
      <c r="B2169" s="93" t="s">
        <v>5774</v>
      </c>
      <c r="C2169" s="70" t="s">
        <v>3636</v>
      </c>
      <c r="D2169" s="70" t="s">
        <v>7077</v>
      </c>
      <c r="E2169" s="70" t="s">
        <v>7078</v>
      </c>
      <c r="F2169" s="70" t="s">
        <v>7072</v>
      </c>
      <c r="G2169" s="70" t="s">
        <v>5564</v>
      </c>
      <c r="H2169" s="93"/>
      <c r="I2169" s="85">
        <f t="shared" si="84"/>
        <v>3.323252100171687</v>
      </c>
      <c r="J2169" s="85">
        <f>AVERAGE(1850, 2360)</f>
        <v>2105</v>
      </c>
      <c r="K2169" s="131" t="s">
        <v>3177</v>
      </c>
      <c r="L2169" s="60">
        <v>60</v>
      </c>
      <c r="M2169" s="33"/>
    </row>
    <row r="2170" spans="1:16" ht="14" x14ac:dyDescent="0.15">
      <c r="A2170" s="166" t="s">
        <v>2479</v>
      </c>
      <c r="B2170" s="93" t="s">
        <v>2302</v>
      </c>
      <c r="C2170" s="70" t="s">
        <v>3636</v>
      </c>
      <c r="D2170" s="70" t="s">
        <v>7077</v>
      </c>
      <c r="E2170" s="70" t="s">
        <v>7078</v>
      </c>
      <c r="F2170" s="70" t="s">
        <v>7072</v>
      </c>
      <c r="G2170" s="70" t="s">
        <v>5000</v>
      </c>
      <c r="H2170" s="93"/>
      <c r="I2170" s="85">
        <f t="shared" si="84"/>
        <v>3.4771212547196626</v>
      </c>
      <c r="J2170" s="85">
        <v>3000</v>
      </c>
      <c r="K2170" s="131" t="s">
        <v>3177</v>
      </c>
      <c r="L2170" s="60">
        <v>182</v>
      </c>
      <c r="M2170" s="33"/>
    </row>
    <row r="2171" spans="1:16" ht="16" x14ac:dyDescent="0.2">
      <c r="A2171" s="166" t="s">
        <v>2479</v>
      </c>
      <c r="B2171" s="93" t="s">
        <v>2286</v>
      </c>
      <c r="C2171" s="70" t="s">
        <v>3636</v>
      </c>
      <c r="D2171" s="70" t="s">
        <v>7077</v>
      </c>
      <c r="E2171" s="70" t="s">
        <v>7078</v>
      </c>
      <c r="F2171" s="70" t="s">
        <v>7072</v>
      </c>
      <c r="G2171" s="70" t="s">
        <v>5563</v>
      </c>
      <c r="H2171" s="93"/>
      <c r="I2171" s="85">
        <f t="shared" si="84"/>
        <v>3.4771212547196626</v>
      </c>
      <c r="J2171" s="85">
        <v>3000</v>
      </c>
      <c r="K2171" s="131" t="s">
        <v>3177</v>
      </c>
      <c r="L2171" s="60">
        <v>177</v>
      </c>
      <c r="M2171" s="47"/>
    </row>
    <row r="2172" spans="1:16" ht="16" x14ac:dyDescent="0.2">
      <c r="A2172" s="166" t="s">
        <v>2479</v>
      </c>
      <c r="B2172" s="82"/>
      <c r="C2172" s="70" t="s">
        <v>3636</v>
      </c>
      <c r="D2172" s="70" t="s">
        <v>7077</v>
      </c>
      <c r="E2172" s="70" t="s">
        <v>7078</v>
      </c>
      <c r="F2172" s="70" t="s">
        <v>7072</v>
      </c>
      <c r="G2172" s="70" t="s">
        <v>5623</v>
      </c>
      <c r="H2172" s="93"/>
      <c r="I2172" s="85">
        <f t="shared" si="84"/>
        <v>3.4840149626675627</v>
      </c>
      <c r="J2172" s="85">
        <v>3048</v>
      </c>
      <c r="K2172" s="131" t="s">
        <v>6485</v>
      </c>
      <c r="L2172" s="60">
        <v>68</v>
      </c>
      <c r="M2172" s="47"/>
      <c r="P2172" s="33"/>
    </row>
    <row r="2173" spans="1:16" ht="16" x14ac:dyDescent="0.2">
      <c r="A2173" s="166" t="s">
        <v>2479</v>
      </c>
      <c r="B2173" s="82"/>
      <c r="C2173" s="70" t="s">
        <v>3636</v>
      </c>
      <c r="D2173" s="70" t="s">
        <v>7077</v>
      </c>
      <c r="E2173" s="70" t="s">
        <v>7078</v>
      </c>
      <c r="F2173" s="70" t="s">
        <v>7072</v>
      </c>
      <c r="G2173" s="70" t="s">
        <v>7866</v>
      </c>
      <c r="H2173" s="93"/>
      <c r="I2173" s="85">
        <f t="shared" si="84"/>
        <v>3.5728716022004803</v>
      </c>
      <c r="J2173" s="85">
        <v>3740</v>
      </c>
      <c r="K2173" s="131" t="s">
        <v>6485</v>
      </c>
      <c r="L2173" s="60">
        <v>68</v>
      </c>
      <c r="M2173" s="47"/>
    </row>
    <row r="2174" spans="1:16" ht="14" x14ac:dyDescent="0.15">
      <c r="A2174" s="166" t="s">
        <v>2479</v>
      </c>
      <c r="B2174" s="82"/>
      <c r="C2174" s="70" t="s">
        <v>3636</v>
      </c>
      <c r="D2174" s="70" t="s">
        <v>7077</v>
      </c>
      <c r="E2174" s="70" t="s">
        <v>7078</v>
      </c>
      <c r="F2174" s="70" t="s">
        <v>7072</v>
      </c>
      <c r="G2174" s="70" t="s">
        <v>4078</v>
      </c>
      <c r="H2174" s="93"/>
      <c r="I2174" s="85">
        <f t="shared" si="84"/>
        <v>3.6031443726201822</v>
      </c>
      <c r="J2174" s="85">
        <f>AVERAGE(2500, 6500, 3030)</f>
        <v>4010</v>
      </c>
      <c r="K2174" s="131" t="s">
        <v>1392</v>
      </c>
      <c r="L2174" s="60" t="s">
        <v>7504</v>
      </c>
      <c r="M2174" s="33"/>
    </row>
    <row r="2175" spans="1:16" ht="28" x14ac:dyDescent="0.15">
      <c r="A2175" s="166" t="s">
        <v>2479</v>
      </c>
      <c r="B2175" s="93" t="s">
        <v>2156</v>
      </c>
      <c r="C2175" s="70" t="s">
        <v>3636</v>
      </c>
      <c r="D2175" s="70" t="s">
        <v>7077</v>
      </c>
      <c r="E2175" s="70" t="s">
        <v>7078</v>
      </c>
      <c r="F2175" s="70" t="s">
        <v>7072</v>
      </c>
      <c r="G2175" s="70" t="s">
        <v>7717</v>
      </c>
      <c r="H2175" s="93"/>
      <c r="I2175" s="85">
        <f t="shared" si="84"/>
        <v>3.6031443726201822</v>
      </c>
      <c r="J2175" s="85">
        <v>4010</v>
      </c>
      <c r="K2175" s="131" t="s">
        <v>7420</v>
      </c>
      <c r="L2175" s="60">
        <v>183</v>
      </c>
      <c r="M2175" s="33"/>
    </row>
    <row r="2176" spans="1:16" ht="14" x14ac:dyDescent="0.15">
      <c r="A2176" s="170" t="s">
        <v>2479</v>
      </c>
      <c r="B2176" s="82"/>
      <c r="C2176" s="81" t="s">
        <v>3636</v>
      </c>
      <c r="D2176" s="81" t="s">
        <v>7077</v>
      </c>
      <c r="E2176" s="81" t="s">
        <v>7078</v>
      </c>
      <c r="F2176" s="81" t="s">
        <v>7068</v>
      </c>
      <c r="G2176" s="81" t="s">
        <v>4028</v>
      </c>
      <c r="H2176" s="96"/>
      <c r="I2176" s="85">
        <f t="shared" si="84"/>
        <v>3.2471546148811266</v>
      </c>
      <c r="J2176" s="111">
        <f>AVERAGE(1300, 2200, 1800)</f>
        <v>1766.6666666666667</v>
      </c>
      <c r="K2176" s="139" t="s">
        <v>1397</v>
      </c>
      <c r="L2176" s="72" t="s">
        <v>7504</v>
      </c>
      <c r="M2176" s="31"/>
    </row>
    <row r="2177" spans="1:16" ht="14" x14ac:dyDescent="0.15">
      <c r="A2177" s="166" t="s">
        <v>2479</v>
      </c>
      <c r="B2177" s="93" t="s">
        <v>1902</v>
      </c>
      <c r="C2177" s="70" t="s">
        <v>3636</v>
      </c>
      <c r="D2177" s="70" t="s">
        <v>7077</v>
      </c>
      <c r="E2177" s="70" t="s">
        <v>7274</v>
      </c>
      <c r="F2177" s="70" t="s">
        <v>4057</v>
      </c>
      <c r="G2177" s="70" t="s">
        <v>7486</v>
      </c>
      <c r="H2177" s="93"/>
      <c r="I2177" s="85">
        <f t="shared" si="84"/>
        <v>1.8372727025023003</v>
      </c>
      <c r="J2177" s="85">
        <v>68.75</v>
      </c>
      <c r="K2177" s="131" t="s">
        <v>3177</v>
      </c>
      <c r="L2177" s="60" t="s">
        <v>124</v>
      </c>
      <c r="M2177" s="33"/>
      <c r="P2177" s="33"/>
    </row>
    <row r="2178" spans="1:16" ht="16" x14ac:dyDescent="0.2">
      <c r="A2178" s="166" t="s">
        <v>2479</v>
      </c>
      <c r="B2178" s="93" t="s">
        <v>6313</v>
      </c>
      <c r="C2178" s="70" t="s">
        <v>3636</v>
      </c>
      <c r="D2178" s="70" t="s">
        <v>7077</v>
      </c>
      <c r="E2178" s="70" t="s">
        <v>7274</v>
      </c>
      <c r="F2178" s="70" t="s">
        <v>4057</v>
      </c>
      <c r="G2178" s="70" t="s">
        <v>7489</v>
      </c>
      <c r="H2178" s="93"/>
      <c r="I2178" s="85">
        <f t="shared" si="84"/>
        <v>2.1188431794854949</v>
      </c>
      <c r="J2178" s="85">
        <f>AVERAGE(135.9, 128.2, 132.2, 129.6)</f>
        <v>131.47499999999999</v>
      </c>
      <c r="K2178" s="131" t="s">
        <v>3177</v>
      </c>
      <c r="L2178" s="60">
        <v>283</v>
      </c>
      <c r="M2178" s="47"/>
    </row>
    <row r="2179" spans="1:16" ht="14" x14ac:dyDescent="0.15">
      <c r="A2179" s="166" t="s">
        <v>2479</v>
      </c>
      <c r="B2179" s="93" t="s">
        <v>5786</v>
      </c>
      <c r="C2179" s="70" t="s">
        <v>3636</v>
      </c>
      <c r="D2179" s="70" t="s">
        <v>7077</v>
      </c>
      <c r="E2179" s="70" t="s">
        <v>7274</v>
      </c>
      <c r="F2179" s="70" t="s">
        <v>4057</v>
      </c>
      <c r="G2179" s="70" t="s">
        <v>7092</v>
      </c>
      <c r="H2179" s="93"/>
      <c r="I2179" s="85">
        <v>-999</v>
      </c>
      <c r="J2179" s="85">
        <v>-999</v>
      </c>
      <c r="K2179" s="131" t="s">
        <v>3177</v>
      </c>
      <c r="L2179" s="60">
        <v>-999</v>
      </c>
      <c r="M2179" s="33" t="s">
        <v>6392</v>
      </c>
    </row>
    <row r="2180" spans="1:16" ht="14" x14ac:dyDescent="0.15">
      <c r="A2180" s="166" t="s">
        <v>2479</v>
      </c>
      <c r="B2180" s="93" t="s">
        <v>1902</v>
      </c>
      <c r="C2180" s="70" t="s">
        <v>3636</v>
      </c>
      <c r="D2180" s="70" t="s">
        <v>7077</v>
      </c>
      <c r="E2180" s="70" t="s">
        <v>7274</v>
      </c>
      <c r="F2180" s="70" t="s">
        <v>4057</v>
      </c>
      <c r="G2180" s="70" t="s">
        <v>7491</v>
      </c>
      <c r="H2180" s="93"/>
      <c r="I2180" s="85">
        <v>-999</v>
      </c>
      <c r="J2180" s="85">
        <v>-999</v>
      </c>
      <c r="K2180" s="131" t="s">
        <v>3177</v>
      </c>
      <c r="L2180" s="60">
        <v>-999</v>
      </c>
      <c r="M2180" s="33" t="s">
        <v>6727</v>
      </c>
    </row>
    <row r="2181" spans="1:16" ht="16" x14ac:dyDescent="0.2">
      <c r="A2181" s="166" t="s">
        <v>2479</v>
      </c>
      <c r="B2181" s="93" t="s">
        <v>1902</v>
      </c>
      <c r="C2181" s="70" t="s">
        <v>3636</v>
      </c>
      <c r="D2181" s="70" t="s">
        <v>7077</v>
      </c>
      <c r="E2181" s="70" t="s">
        <v>7274</v>
      </c>
      <c r="F2181" s="70" t="s">
        <v>4057</v>
      </c>
      <c r="G2181" s="70" t="s">
        <v>7388</v>
      </c>
      <c r="H2181" s="93"/>
      <c r="I2181" s="85">
        <v>-999</v>
      </c>
      <c r="J2181" s="85">
        <v>-999</v>
      </c>
      <c r="K2181" s="131" t="s">
        <v>3177</v>
      </c>
      <c r="L2181" s="60">
        <v>-999</v>
      </c>
      <c r="M2181" s="47"/>
    </row>
    <row r="2182" spans="1:16" ht="14" x14ac:dyDescent="0.15">
      <c r="A2182" s="166" t="s">
        <v>2479</v>
      </c>
      <c r="B2182" s="93" t="s">
        <v>5787</v>
      </c>
      <c r="C2182" s="70" t="s">
        <v>3636</v>
      </c>
      <c r="D2182" s="70" t="s">
        <v>7077</v>
      </c>
      <c r="E2182" s="70" t="s">
        <v>7274</v>
      </c>
      <c r="F2182" s="70" t="s">
        <v>4057</v>
      </c>
      <c r="G2182" s="70" t="s">
        <v>5901</v>
      </c>
      <c r="H2182" s="93"/>
      <c r="I2182" s="85">
        <v>-999</v>
      </c>
      <c r="J2182" s="85">
        <v>-999</v>
      </c>
      <c r="K2182" s="131" t="s">
        <v>3177</v>
      </c>
      <c r="L2182" s="60">
        <v>-999</v>
      </c>
      <c r="M2182" s="33"/>
    </row>
    <row r="2183" spans="1:16" ht="14" x14ac:dyDescent="0.15">
      <c r="A2183" s="166" t="s">
        <v>2479</v>
      </c>
      <c r="B2183" s="93" t="s">
        <v>1902</v>
      </c>
      <c r="C2183" s="70" t="s">
        <v>3636</v>
      </c>
      <c r="D2183" s="70" t="s">
        <v>7077</v>
      </c>
      <c r="E2183" s="70" t="s">
        <v>7274</v>
      </c>
      <c r="F2183" s="70" t="s">
        <v>4057</v>
      </c>
      <c r="G2183" s="70" t="s">
        <v>7390</v>
      </c>
      <c r="H2183" s="93"/>
      <c r="I2183" s="85">
        <v>-999</v>
      </c>
      <c r="J2183" s="85">
        <v>-999</v>
      </c>
      <c r="K2183" s="131" t="s">
        <v>6816</v>
      </c>
      <c r="L2183" s="60">
        <v>-999</v>
      </c>
      <c r="M2183" s="33" t="s">
        <v>6728</v>
      </c>
    </row>
    <row r="2184" spans="1:16" ht="42" x14ac:dyDescent="0.2">
      <c r="A2184" s="166" t="s">
        <v>2479</v>
      </c>
      <c r="B2184" s="93" t="s">
        <v>1902</v>
      </c>
      <c r="C2184" s="70" t="s">
        <v>3636</v>
      </c>
      <c r="D2184" s="70" t="s">
        <v>7077</v>
      </c>
      <c r="E2184" s="70" t="s">
        <v>7274</v>
      </c>
      <c r="F2184" s="70" t="s">
        <v>4057</v>
      </c>
      <c r="G2184" s="70" t="s">
        <v>7391</v>
      </c>
      <c r="H2184" s="93"/>
      <c r="I2184" s="85">
        <v>-999</v>
      </c>
      <c r="J2184" s="85">
        <v>-999</v>
      </c>
      <c r="K2184" s="131" t="s">
        <v>1624</v>
      </c>
      <c r="L2184" s="60">
        <v>-999</v>
      </c>
      <c r="M2184" s="47" t="s">
        <v>6390</v>
      </c>
    </row>
    <row r="2185" spans="1:16" ht="14" x14ac:dyDescent="0.15">
      <c r="A2185" s="166" t="s">
        <v>2479</v>
      </c>
      <c r="B2185" s="93" t="s">
        <v>2308</v>
      </c>
      <c r="C2185" s="70" t="s">
        <v>3636</v>
      </c>
      <c r="D2185" s="70" t="s">
        <v>7077</v>
      </c>
      <c r="E2185" s="70" t="s">
        <v>7274</v>
      </c>
      <c r="F2185" s="70" t="s">
        <v>4057</v>
      </c>
      <c r="G2185" s="70" t="s">
        <v>4851</v>
      </c>
      <c r="H2185" s="93"/>
      <c r="I2185" s="85">
        <v>-999</v>
      </c>
      <c r="J2185" s="85">
        <v>-999</v>
      </c>
      <c r="K2185" s="131" t="s">
        <v>3177</v>
      </c>
      <c r="L2185" s="60">
        <v>-999</v>
      </c>
      <c r="M2185" s="33"/>
    </row>
    <row r="2186" spans="1:16" ht="14" x14ac:dyDescent="0.15">
      <c r="A2186" s="166" t="s">
        <v>2479</v>
      </c>
      <c r="B2186" s="93" t="s">
        <v>1902</v>
      </c>
      <c r="C2186" s="70" t="s">
        <v>3636</v>
      </c>
      <c r="D2186" s="70" t="s">
        <v>7077</v>
      </c>
      <c r="E2186" s="70" t="s">
        <v>7274</v>
      </c>
      <c r="F2186" s="70" t="s">
        <v>4057</v>
      </c>
      <c r="G2186" s="70" t="s">
        <v>5217</v>
      </c>
      <c r="H2186" s="93"/>
      <c r="I2186" s="85">
        <v>-999</v>
      </c>
      <c r="J2186" s="85">
        <v>-999</v>
      </c>
      <c r="K2186" s="131" t="s">
        <v>6666</v>
      </c>
      <c r="L2186" s="60">
        <v>-999</v>
      </c>
      <c r="M2186" s="33" t="s">
        <v>6727</v>
      </c>
    </row>
    <row r="2187" spans="1:16" ht="14" x14ac:dyDescent="0.15">
      <c r="A2187" s="166" t="s">
        <v>2479</v>
      </c>
      <c r="B2187" s="93" t="s">
        <v>2547</v>
      </c>
      <c r="C2187" s="70" t="s">
        <v>3636</v>
      </c>
      <c r="D2187" s="70" t="s">
        <v>7077</v>
      </c>
      <c r="E2187" s="70" t="s">
        <v>7274</v>
      </c>
      <c r="F2187" s="70" t="s">
        <v>4057</v>
      </c>
      <c r="G2187" s="70" t="s">
        <v>4930</v>
      </c>
      <c r="H2187" s="93"/>
      <c r="I2187" s="85">
        <v>-999</v>
      </c>
      <c r="J2187" s="85">
        <v>-999</v>
      </c>
      <c r="K2187" s="131" t="s">
        <v>3177</v>
      </c>
      <c r="L2187" s="60">
        <v>-999</v>
      </c>
      <c r="M2187" s="33"/>
    </row>
    <row r="2188" spans="1:16" ht="14" x14ac:dyDescent="0.15">
      <c r="A2188" s="166" t="s">
        <v>2479</v>
      </c>
      <c r="B2188" s="93" t="s">
        <v>5611</v>
      </c>
      <c r="C2188" s="70" t="s">
        <v>3636</v>
      </c>
      <c r="D2188" s="70" t="s">
        <v>7077</v>
      </c>
      <c r="E2188" s="70" t="s">
        <v>7274</v>
      </c>
      <c r="F2188" s="70" t="s">
        <v>4057</v>
      </c>
      <c r="G2188" s="70" t="s">
        <v>4625</v>
      </c>
      <c r="H2188" s="93"/>
      <c r="I2188" s="85">
        <v>-999</v>
      </c>
      <c r="J2188" s="85">
        <v>-999</v>
      </c>
      <c r="K2188" s="131" t="s">
        <v>3177</v>
      </c>
      <c r="L2188" s="60">
        <v>-999</v>
      </c>
      <c r="M2188" s="33"/>
    </row>
    <row r="2189" spans="1:16" ht="28" x14ac:dyDescent="0.15">
      <c r="A2189" s="166" t="s">
        <v>2479</v>
      </c>
      <c r="B2189" s="93" t="s">
        <v>2145</v>
      </c>
      <c r="C2189" s="70" t="s">
        <v>3636</v>
      </c>
      <c r="D2189" s="70" t="s">
        <v>7077</v>
      </c>
      <c r="E2189" s="70" t="s">
        <v>7274</v>
      </c>
      <c r="F2189" s="70" t="s">
        <v>4057</v>
      </c>
      <c r="G2189" s="70" t="s">
        <v>4626</v>
      </c>
      <c r="H2189" s="93"/>
      <c r="I2189" s="85">
        <v>-999</v>
      </c>
      <c r="J2189" s="85">
        <v>-999</v>
      </c>
      <c r="K2189" s="131" t="s">
        <v>3177</v>
      </c>
      <c r="L2189" s="60">
        <v>-999</v>
      </c>
      <c r="M2189" s="33"/>
    </row>
    <row r="2190" spans="1:16" ht="28" x14ac:dyDescent="0.15">
      <c r="A2190" s="166" t="s">
        <v>2479</v>
      </c>
      <c r="B2190" s="93" t="s">
        <v>2511</v>
      </c>
      <c r="C2190" s="73" t="s">
        <v>3636</v>
      </c>
      <c r="D2190" s="73" t="s">
        <v>7077</v>
      </c>
      <c r="E2190" s="70" t="s">
        <v>7274</v>
      </c>
      <c r="F2190" s="73" t="s">
        <v>4057</v>
      </c>
      <c r="G2190" s="73" t="s">
        <v>4669</v>
      </c>
      <c r="H2190" s="108"/>
      <c r="I2190" s="85">
        <v>-999</v>
      </c>
      <c r="J2190" s="95">
        <v>-999</v>
      </c>
      <c r="K2190" s="131" t="s">
        <v>6654</v>
      </c>
      <c r="L2190" s="60">
        <v>-999</v>
      </c>
      <c r="M2190" s="33" t="s">
        <v>6392</v>
      </c>
    </row>
    <row r="2191" spans="1:16" ht="14" x14ac:dyDescent="0.15">
      <c r="A2191" s="166" t="s">
        <v>2479</v>
      </c>
      <c r="B2191" s="93" t="s">
        <v>2299</v>
      </c>
      <c r="C2191" s="70" t="s">
        <v>3636</v>
      </c>
      <c r="D2191" s="70" t="s">
        <v>7077</v>
      </c>
      <c r="E2191" s="70" t="s">
        <v>7274</v>
      </c>
      <c r="F2191" s="70" t="s">
        <v>4057</v>
      </c>
      <c r="G2191" s="70" t="s">
        <v>4618</v>
      </c>
      <c r="H2191" s="93"/>
      <c r="I2191" s="85">
        <f t="shared" ref="I2191:I2222" si="85">LOG(J2191)</f>
        <v>1.919601023784111</v>
      </c>
      <c r="J2191" s="85">
        <v>83.1</v>
      </c>
      <c r="K2191" s="131" t="s">
        <v>3177</v>
      </c>
      <c r="L2191" s="60">
        <v>173</v>
      </c>
      <c r="M2191" s="33"/>
    </row>
    <row r="2192" spans="1:16" ht="14" x14ac:dyDescent="0.15">
      <c r="A2192" s="166" t="s">
        <v>2479</v>
      </c>
      <c r="B2192" s="93" t="s">
        <v>6314</v>
      </c>
      <c r="C2192" s="70" t="s">
        <v>3636</v>
      </c>
      <c r="D2192" s="70" t="s">
        <v>7077</v>
      </c>
      <c r="E2192" s="70" t="s">
        <v>7274</v>
      </c>
      <c r="F2192" s="70" t="s">
        <v>4057</v>
      </c>
      <c r="G2192" s="70" t="s">
        <v>7490</v>
      </c>
      <c r="H2192" s="93"/>
      <c r="I2192" s="85">
        <f t="shared" si="85"/>
        <v>2.0374264979406238</v>
      </c>
      <c r="J2192" s="85">
        <v>109</v>
      </c>
      <c r="K2192" s="131" t="s">
        <v>3177</v>
      </c>
      <c r="L2192" s="60">
        <v>173</v>
      </c>
      <c r="M2192" s="33"/>
    </row>
    <row r="2193" spans="1:13" ht="28" x14ac:dyDescent="0.15">
      <c r="A2193" s="166" t="s">
        <v>2479</v>
      </c>
      <c r="B2193" s="93" t="s">
        <v>5788</v>
      </c>
      <c r="C2193" s="70" t="s">
        <v>3636</v>
      </c>
      <c r="D2193" s="70" t="s">
        <v>7077</v>
      </c>
      <c r="E2193" s="70" t="s">
        <v>7274</v>
      </c>
      <c r="F2193" s="70" t="s">
        <v>4057</v>
      </c>
      <c r="G2193" s="70" t="s">
        <v>7389</v>
      </c>
      <c r="H2193" s="93"/>
      <c r="I2193" s="85">
        <f t="shared" si="85"/>
        <v>2.0791812460476247</v>
      </c>
      <c r="J2193" s="85">
        <v>120</v>
      </c>
      <c r="K2193" s="131" t="s">
        <v>3177</v>
      </c>
      <c r="L2193" s="60">
        <v>60</v>
      </c>
      <c r="M2193" s="33"/>
    </row>
    <row r="2194" spans="1:13" ht="14" x14ac:dyDescent="0.15">
      <c r="A2194" s="166" t="s">
        <v>2479</v>
      </c>
      <c r="B2194" s="93" t="s">
        <v>2186</v>
      </c>
      <c r="C2194" s="70" t="s">
        <v>3636</v>
      </c>
      <c r="D2194" s="70" t="s">
        <v>7077</v>
      </c>
      <c r="E2194" s="70" t="s">
        <v>7274</v>
      </c>
      <c r="F2194" s="70" t="s">
        <v>4057</v>
      </c>
      <c r="G2194" s="70" t="s">
        <v>7156</v>
      </c>
      <c r="H2194" s="93"/>
      <c r="I2194" s="85">
        <f t="shared" si="85"/>
        <v>2.153814864344529</v>
      </c>
      <c r="J2194" s="85">
        <f>AVERAGE(75, 210)</f>
        <v>142.5</v>
      </c>
      <c r="K2194" s="131" t="s">
        <v>6391</v>
      </c>
      <c r="L2194" s="60">
        <v>137</v>
      </c>
      <c r="M2194" s="33" t="s">
        <v>6728</v>
      </c>
    </row>
    <row r="2195" spans="1:13" ht="28" x14ac:dyDescent="0.15">
      <c r="A2195" s="166" t="s">
        <v>2479</v>
      </c>
      <c r="B2195" s="93" t="s">
        <v>5959</v>
      </c>
      <c r="C2195" s="70" t="s">
        <v>3636</v>
      </c>
      <c r="D2195" s="70" t="s">
        <v>7077</v>
      </c>
      <c r="E2195" s="70" t="s">
        <v>7274</v>
      </c>
      <c r="F2195" s="70" t="s">
        <v>4057</v>
      </c>
      <c r="G2195" s="70" t="s">
        <v>7485</v>
      </c>
      <c r="H2195" s="93"/>
      <c r="I2195" s="85">
        <f t="shared" si="85"/>
        <v>2.1760912590556813</v>
      </c>
      <c r="J2195" s="85">
        <f>AVERAGE(110, 190)</f>
        <v>150</v>
      </c>
      <c r="K2195" s="131" t="s">
        <v>3177</v>
      </c>
      <c r="L2195" s="60">
        <v>137</v>
      </c>
      <c r="M2195" s="33"/>
    </row>
    <row r="2196" spans="1:13" ht="14" x14ac:dyDescent="0.15">
      <c r="A2196" s="166" t="s">
        <v>2479</v>
      </c>
      <c r="B2196" s="93" t="s">
        <v>1902</v>
      </c>
      <c r="C2196" s="70" t="s">
        <v>3636</v>
      </c>
      <c r="D2196" s="70" t="s">
        <v>7077</v>
      </c>
      <c r="E2196" s="70" t="s">
        <v>7274</v>
      </c>
      <c r="F2196" s="70" t="s">
        <v>4057</v>
      </c>
      <c r="G2196" s="70" t="s">
        <v>6069</v>
      </c>
      <c r="H2196" s="93"/>
      <c r="I2196" s="85">
        <f t="shared" si="85"/>
        <v>2.2576785748691846</v>
      </c>
      <c r="J2196" s="85">
        <v>181</v>
      </c>
      <c r="K2196" s="131" t="s">
        <v>3177</v>
      </c>
      <c r="L2196" s="60">
        <v>173</v>
      </c>
      <c r="M2196" s="33"/>
    </row>
    <row r="2197" spans="1:13" ht="28" x14ac:dyDescent="0.15">
      <c r="A2197" s="166" t="s">
        <v>2479</v>
      </c>
      <c r="B2197" s="93" t="s">
        <v>2453</v>
      </c>
      <c r="C2197" s="70" t="s">
        <v>3636</v>
      </c>
      <c r="D2197" s="70" t="s">
        <v>7077</v>
      </c>
      <c r="E2197" s="70" t="s">
        <v>7274</v>
      </c>
      <c r="F2197" s="70" t="s">
        <v>4057</v>
      </c>
      <c r="G2197" s="70" t="s">
        <v>4265</v>
      </c>
      <c r="H2197" s="93"/>
      <c r="I2197" s="85">
        <f t="shared" si="85"/>
        <v>2.3979400086720375</v>
      </c>
      <c r="J2197" s="85">
        <v>250</v>
      </c>
      <c r="K2197" s="131" t="s">
        <v>3177</v>
      </c>
      <c r="L2197" s="60">
        <v>75</v>
      </c>
    </row>
    <row r="2198" spans="1:13" ht="56" x14ac:dyDescent="0.15">
      <c r="A2198" s="166" t="s">
        <v>2479</v>
      </c>
      <c r="B2198" s="93" t="s">
        <v>2636</v>
      </c>
      <c r="C2198" s="70" t="s">
        <v>3636</v>
      </c>
      <c r="D2198" s="70" t="s">
        <v>7077</v>
      </c>
      <c r="E2198" s="70" t="s">
        <v>7274</v>
      </c>
      <c r="F2198" s="70" t="s">
        <v>4057</v>
      </c>
      <c r="G2198" s="70" t="s">
        <v>3959</v>
      </c>
      <c r="H2198" s="93"/>
      <c r="I2198" s="85">
        <f t="shared" si="85"/>
        <v>2.4149733479708178</v>
      </c>
      <c r="J2198" s="85">
        <v>260</v>
      </c>
      <c r="K2198" s="131" t="s">
        <v>3177</v>
      </c>
      <c r="L2198" s="60">
        <v>117</v>
      </c>
      <c r="M2198" s="33"/>
    </row>
    <row r="2199" spans="1:13" ht="28" x14ac:dyDescent="0.15">
      <c r="A2199" s="166" t="s">
        <v>2479</v>
      </c>
      <c r="B2199" s="93" t="s">
        <v>2452</v>
      </c>
      <c r="C2199" s="70" t="s">
        <v>3636</v>
      </c>
      <c r="D2199" s="70" t="s">
        <v>7077</v>
      </c>
      <c r="E2199" s="70" t="s">
        <v>7274</v>
      </c>
      <c r="F2199" s="70" t="s">
        <v>4057</v>
      </c>
      <c r="G2199" s="70" t="s">
        <v>6231</v>
      </c>
      <c r="H2199" s="93"/>
      <c r="I2199" s="85">
        <f t="shared" si="85"/>
        <v>2.4149733479708178</v>
      </c>
      <c r="J2199" s="85">
        <v>260</v>
      </c>
      <c r="K2199" s="131" t="s">
        <v>3177</v>
      </c>
      <c r="L2199" s="60">
        <v>117</v>
      </c>
      <c r="M2199" s="33"/>
    </row>
    <row r="2200" spans="1:13" ht="14" x14ac:dyDescent="0.15">
      <c r="A2200" s="166" t="s">
        <v>2479</v>
      </c>
      <c r="B2200" s="82"/>
      <c r="C2200" s="70" t="s">
        <v>3636</v>
      </c>
      <c r="D2200" s="70" t="s">
        <v>6849</v>
      </c>
      <c r="E2200" s="70" t="s">
        <v>4293</v>
      </c>
      <c r="F2200" s="70" t="s">
        <v>5624</v>
      </c>
      <c r="G2200" s="70" t="s">
        <v>5625</v>
      </c>
      <c r="H2200" s="93"/>
      <c r="I2200" s="85">
        <f t="shared" si="85"/>
        <v>4.0060165395540377</v>
      </c>
      <c r="J2200" s="85">
        <f>AVERAGE(9979, 10300)</f>
        <v>10139.5</v>
      </c>
      <c r="K2200" s="131" t="s">
        <v>6485</v>
      </c>
      <c r="L2200" s="60">
        <v>215</v>
      </c>
    </row>
    <row r="2201" spans="1:13" ht="42" x14ac:dyDescent="0.15">
      <c r="A2201" s="166" t="s">
        <v>2479</v>
      </c>
      <c r="B2201" s="82"/>
      <c r="C2201" s="70" t="s">
        <v>3636</v>
      </c>
      <c r="D2201" s="70" t="s">
        <v>7007</v>
      </c>
      <c r="E2201" s="70" t="s">
        <v>2446</v>
      </c>
      <c r="F2201" s="70" t="s">
        <v>2447</v>
      </c>
      <c r="G2201" s="70" t="s">
        <v>4154</v>
      </c>
      <c r="H2201" s="93"/>
      <c r="I2201" s="85">
        <f t="shared" si="85"/>
        <v>5.3617278360175931</v>
      </c>
      <c r="J2201" s="85">
        <v>230000</v>
      </c>
      <c r="K2201" s="131" t="s">
        <v>1413</v>
      </c>
      <c r="L2201" s="60">
        <v>68</v>
      </c>
      <c r="M2201" s="49" t="s">
        <v>6728</v>
      </c>
    </row>
    <row r="2202" spans="1:13" ht="16" x14ac:dyDescent="0.2">
      <c r="A2202" s="166" t="s">
        <v>2479</v>
      </c>
      <c r="B2202" s="82"/>
      <c r="C2202" s="70" t="s">
        <v>3636</v>
      </c>
      <c r="D2202" s="70" t="s">
        <v>7007</v>
      </c>
      <c r="E2202" s="70" t="s">
        <v>2446</v>
      </c>
      <c r="F2202" s="70" t="s">
        <v>2447</v>
      </c>
      <c r="G2202" s="70" t="s">
        <v>4914</v>
      </c>
      <c r="H2202" s="93"/>
      <c r="I2202" s="85">
        <f t="shared" si="85"/>
        <v>5.3617278360175931</v>
      </c>
      <c r="J2202" s="85">
        <f>AVERAGE(200000, 260000)</f>
        <v>230000</v>
      </c>
      <c r="K2202" s="135"/>
      <c r="L2202" s="60" t="s">
        <v>6687</v>
      </c>
      <c r="M2202" s="47"/>
    </row>
    <row r="2203" spans="1:13" ht="14" x14ac:dyDescent="0.15">
      <c r="A2203" s="166" t="s">
        <v>2479</v>
      </c>
      <c r="B2203" s="82"/>
      <c r="C2203" s="70" t="s">
        <v>3636</v>
      </c>
      <c r="D2203" s="70" t="s">
        <v>7007</v>
      </c>
      <c r="E2203" s="70" t="s">
        <v>2446</v>
      </c>
      <c r="F2203" s="70" t="s">
        <v>2447</v>
      </c>
      <c r="G2203" s="70" t="s">
        <v>5792</v>
      </c>
      <c r="H2203" s="93"/>
      <c r="I2203" s="85">
        <f t="shared" si="85"/>
        <v>5.4393326938302629</v>
      </c>
      <c r="J2203" s="85">
        <v>275000</v>
      </c>
      <c r="K2203" s="131" t="s">
        <v>6485</v>
      </c>
      <c r="L2203" s="60">
        <v>68</v>
      </c>
    </row>
    <row r="2204" spans="1:13" ht="17" x14ac:dyDescent="0.2">
      <c r="A2204" s="166" t="s">
        <v>2479</v>
      </c>
      <c r="B2204" s="82"/>
      <c r="C2204" s="70" t="s">
        <v>3636</v>
      </c>
      <c r="D2204" s="70" t="s">
        <v>7007</v>
      </c>
      <c r="E2204" s="70" t="s">
        <v>2406</v>
      </c>
      <c r="F2204" s="70" t="s">
        <v>6235</v>
      </c>
      <c r="G2204" s="70" t="s">
        <v>5945</v>
      </c>
      <c r="H2204" s="93"/>
      <c r="I2204" s="85">
        <f t="shared" si="85"/>
        <v>6.1026624561851541</v>
      </c>
      <c r="J2204" s="85">
        <v>1266667</v>
      </c>
      <c r="K2204" s="131" t="s">
        <v>6817</v>
      </c>
      <c r="L2204" s="60">
        <v>68</v>
      </c>
      <c r="M2204" s="47" t="s">
        <v>6809</v>
      </c>
    </row>
    <row r="2205" spans="1:13" ht="14" x14ac:dyDescent="0.15">
      <c r="A2205" s="166" t="s">
        <v>2479</v>
      </c>
      <c r="B2205" s="82"/>
      <c r="C2205" s="70" t="s">
        <v>3636</v>
      </c>
      <c r="D2205" s="70" t="s">
        <v>7007</v>
      </c>
      <c r="E2205" s="70" t="s">
        <v>2406</v>
      </c>
      <c r="F2205" s="70" t="s">
        <v>5412</v>
      </c>
      <c r="G2205" s="70" t="s">
        <v>5413</v>
      </c>
      <c r="H2205" s="93"/>
      <c r="I2205" s="85">
        <f t="shared" si="85"/>
        <v>6.2047527770627129</v>
      </c>
      <c r="J2205" s="85">
        <v>1602333</v>
      </c>
      <c r="K2205" s="131" t="s">
        <v>6817</v>
      </c>
      <c r="L2205" s="60">
        <v>68</v>
      </c>
      <c r="M2205" s="49" t="s">
        <v>6390</v>
      </c>
    </row>
    <row r="2206" spans="1:13" ht="14" x14ac:dyDescent="0.15">
      <c r="A2206" s="166" t="s">
        <v>2479</v>
      </c>
      <c r="B2206" s="82"/>
      <c r="C2206" s="70" t="s">
        <v>3636</v>
      </c>
      <c r="D2206" s="70" t="s">
        <v>7007</v>
      </c>
      <c r="E2206" s="70" t="s">
        <v>2406</v>
      </c>
      <c r="F2206" s="70" t="s">
        <v>5412</v>
      </c>
      <c r="G2206" s="70" t="s">
        <v>5076</v>
      </c>
      <c r="H2206" s="93"/>
      <c r="I2206" s="85">
        <f t="shared" si="85"/>
        <v>6.2430380486862944</v>
      </c>
      <c r="J2206" s="85">
        <v>1750000</v>
      </c>
      <c r="K2206" s="131" t="s">
        <v>6817</v>
      </c>
      <c r="L2206" s="60">
        <v>68</v>
      </c>
      <c r="M2206" s="49" t="s">
        <v>6809</v>
      </c>
    </row>
    <row r="2207" spans="1:13" ht="28" x14ac:dyDescent="0.15">
      <c r="A2207" s="166" t="s">
        <v>2479</v>
      </c>
      <c r="B2207" s="82"/>
      <c r="C2207" s="70" t="s">
        <v>3636</v>
      </c>
      <c r="D2207" s="70" t="s">
        <v>7007</v>
      </c>
      <c r="E2207" s="70" t="s">
        <v>6890</v>
      </c>
      <c r="F2207" s="70" t="s">
        <v>6891</v>
      </c>
      <c r="G2207" s="70" t="s">
        <v>5041</v>
      </c>
      <c r="H2207" s="93"/>
      <c r="I2207" s="85">
        <f t="shared" si="85"/>
        <v>5.4716583590181607</v>
      </c>
      <c r="J2207" s="85">
        <v>296250</v>
      </c>
      <c r="K2207" s="131" t="s">
        <v>4515</v>
      </c>
      <c r="L2207" s="60">
        <v>68</v>
      </c>
      <c r="M2207" s="49" t="s">
        <v>6390</v>
      </c>
    </row>
    <row r="2208" spans="1:13" ht="17" x14ac:dyDescent="0.2">
      <c r="A2208" s="166" t="s">
        <v>2479</v>
      </c>
      <c r="B2208" s="82"/>
      <c r="C2208" s="70" t="s">
        <v>3636</v>
      </c>
      <c r="D2208" s="70" t="s">
        <v>4638</v>
      </c>
      <c r="E2208" s="70" t="s">
        <v>4639</v>
      </c>
      <c r="F2208" s="70" t="s">
        <v>4862</v>
      </c>
      <c r="G2208" s="70" t="s">
        <v>4321</v>
      </c>
      <c r="H2208" s="93"/>
      <c r="I2208" s="85">
        <f t="shared" si="85"/>
        <v>3.5910646070264991</v>
      </c>
      <c r="J2208" s="85">
        <v>3900</v>
      </c>
      <c r="K2208" s="131" t="s">
        <v>6485</v>
      </c>
      <c r="L2208" s="60">
        <v>68</v>
      </c>
      <c r="M2208" s="47" t="s">
        <v>6392</v>
      </c>
    </row>
    <row r="2209" spans="1:13" ht="42" x14ac:dyDescent="0.15">
      <c r="A2209" s="166" t="s">
        <v>2479</v>
      </c>
      <c r="B2209" s="93" t="s">
        <v>2599</v>
      </c>
      <c r="C2209" s="70" t="s">
        <v>3636</v>
      </c>
      <c r="D2209" s="70" t="s">
        <v>4638</v>
      </c>
      <c r="E2209" s="70" t="s">
        <v>4639</v>
      </c>
      <c r="F2209" s="70" t="s">
        <v>4862</v>
      </c>
      <c r="G2209" s="70" t="s">
        <v>4993</v>
      </c>
      <c r="H2209" s="93"/>
      <c r="I2209" s="85">
        <f t="shared" si="85"/>
        <v>3.6697816152085365</v>
      </c>
      <c r="J2209" s="85">
        <f>AVERAGE(2350, 7000)</f>
        <v>4675</v>
      </c>
      <c r="K2209" s="131" t="s">
        <v>6686</v>
      </c>
      <c r="L2209" s="60">
        <v>87</v>
      </c>
      <c r="M2209" s="49" t="s">
        <v>6392</v>
      </c>
    </row>
    <row r="2210" spans="1:13" ht="14" x14ac:dyDescent="0.15">
      <c r="A2210" s="166" t="s">
        <v>2479</v>
      </c>
      <c r="B2210" s="82"/>
      <c r="C2210" s="70" t="s">
        <v>3636</v>
      </c>
      <c r="D2210" s="70" t="s">
        <v>4638</v>
      </c>
      <c r="E2210" s="70" t="s">
        <v>4639</v>
      </c>
      <c r="F2210" s="70" t="s">
        <v>4862</v>
      </c>
      <c r="G2210" s="70" t="s">
        <v>5424</v>
      </c>
      <c r="H2210" s="93"/>
      <c r="I2210" s="85">
        <f t="shared" si="85"/>
        <v>3.7118072290411912</v>
      </c>
      <c r="J2210" s="85">
        <v>5150</v>
      </c>
      <c r="K2210" s="131" t="s">
        <v>6485</v>
      </c>
      <c r="L2210" s="60">
        <v>68</v>
      </c>
      <c r="M2210" s="49" t="s">
        <v>6392</v>
      </c>
    </row>
    <row r="2211" spans="1:13" ht="14" x14ac:dyDescent="0.15">
      <c r="A2211" s="166" t="s">
        <v>2479</v>
      </c>
      <c r="B2211" s="82"/>
      <c r="C2211" s="70" t="s">
        <v>3636</v>
      </c>
      <c r="D2211" s="70" t="s">
        <v>6983</v>
      </c>
      <c r="E2211" s="70" t="s">
        <v>6059</v>
      </c>
      <c r="F2211" s="70" t="s">
        <v>7752</v>
      </c>
      <c r="G2211" s="70" t="s">
        <v>5426</v>
      </c>
      <c r="H2211" s="93"/>
      <c r="I2211" s="85">
        <f t="shared" si="85"/>
        <v>3.5096057046115563</v>
      </c>
      <c r="J2211" s="85">
        <v>3233</v>
      </c>
      <c r="K2211" s="131" t="s">
        <v>6817</v>
      </c>
      <c r="L2211" s="60">
        <v>68</v>
      </c>
      <c r="M2211" s="49" t="s">
        <v>6392</v>
      </c>
    </row>
    <row r="2212" spans="1:13" ht="14" x14ac:dyDescent="0.15">
      <c r="A2212" s="166" t="s">
        <v>2479</v>
      </c>
      <c r="B2212" s="82"/>
      <c r="C2212" s="70" t="s">
        <v>3636</v>
      </c>
      <c r="D2212" s="70" t="s">
        <v>6983</v>
      </c>
      <c r="E2212" s="70" t="s">
        <v>6059</v>
      </c>
      <c r="F2212" s="70" t="s">
        <v>7752</v>
      </c>
      <c r="G2212" s="70" t="s">
        <v>5430</v>
      </c>
      <c r="H2212" s="93"/>
      <c r="I2212" s="85">
        <f t="shared" si="85"/>
        <v>3.5670263661590602</v>
      </c>
      <c r="J2212" s="85">
        <v>3690</v>
      </c>
      <c r="K2212" s="131" t="s">
        <v>6485</v>
      </c>
      <c r="L2212" s="60">
        <v>68</v>
      </c>
    </row>
    <row r="2213" spans="1:13" ht="14" x14ac:dyDescent="0.15">
      <c r="A2213" s="166" t="s">
        <v>2479</v>
      </c>
      <c r="B2213" s="82"/>
      <c r="C2213" s="70" t="s">
        <v>3636</v>
      </c>
      <c r="D2213" s="70" t="s">
        <v>6983</v>
      </c>
      <c r="E2213" s="70" t="s">
        <v>6059</v>
      </c>
      <c r="F2213" s="70" t="s">
        <v>7752</v>
      </c>
      <c r="G2213" s="70" t="s">
        <v>5427</v>
      </c>
      <c r="H2213" s="93"/>
      <c r="I2213" s="85">
        <f t="shared" si="85"/>
        <v>3.5697249492261589</v>
      </c>
      <c r="J2213" s="85">
        <v>3713</v>
      </c>
      <c r="K2213" s="131" t="s">
        <v>6817</v>
      </c>
      <c r="L2213" s="60">
        <v>68</v>
      </c>
      <c r="M2213" s="49" t="s">
        <v>6392</v>
      </c>
    </row>
    <row r="2214" spans="1:13" ht="14" x14ac:dyDescent="0.15">
      <c r="A2214" s="166" t="s">
        <v>2479</v>
      </c>
      <c r="B2214" s="82"/>
      <c r="C2214" s="70" t="s">
        <v>3636</v>
      </c>
      <c r="D2214" s="70" t="s">
        <v>6983</v>
      </c>
      <c r="E2214" s="70" t="s">
        <v>6059</v>
      </c>
      <c r="F2214" s="70" t="s">
        <v>7752</v>
      </c>
      <c r="G2214" s="70" t="s">
        <v>5414</v>
      </c>
      <c r="H2214" s="93"/>
      <c r="I2214" s="85">
        <f t="shared" si="85"/>
        <v>3.6766936096248664</v>
      </c>
      <c r="J2214" s="85">
        <v>4750</v>
      </c>
      <c r="K2214" s="131" t="s">
        <v>6817</v>
      </c>
      <c r="L2214" s="60">
        <v>68</v>
      </c>
      <c r="M2214" s="49" t="s">
        <v>6390</v>
      </c>
    </row>
    <row r="2215" spans="1:13" ht="14" x14ac:dyDescent="0.15">
      <c r="A2215" s="166" t="s">
        <v>2479</v>
      </c>
      <c r="B2215" s="82"/>
      <c r="C2215" s="70" t="s">
        <v>3636</v>
      </c>
      <c r="D2215" s="70" t="s">
        <v>6983</v>
      </c>
      <c r="E2215" s="70" t="s">
        <v>6059</v>
      </c>
      <c r="F2215" s="70" t="s">
        <v>7752</v>
      </c>
      <c r="G2215" s="70" t="s">
        <v>5425</v>
      </c>
      <c r="H2215" s="93"/>
      <c r="I2215" s="85">
        <f t="shared" si="85"/>
        <v>3.6989700043360187</v>
      </c>
      <c r="J2215" s="85">
        <v>5000</v>
      </c>
      <c r="K2215" s="131" t="s">
        <v>6391</v>
      </c>
      <c r="L2215" s="60" t="s">
        <v>1307</v>
      </c>
      <c r="M2215" s="49" t="s">
        <v>6728</v>
      </c>
    </row>
    <row r="2216" spans="1:13" ht="17" x14ac:dyDescent="0.2">
      <c r="A2216" s="166" t="s">
        <v>2479</v>
      </c>
      <c r="B2216" s="82"/>
      <c r="C2216" s="70" t="s">
        <v>3636</v>
      </c>
      <c r="D2216" s="70" t="s">
        <v>6983</v>
      </c>
      <c r="E2216" s="70" t="s">
        <v>6059</v>
      </c>
      <c r="F2216" s="70" t="s">
        <v>7752</v>
      </c>
      <c r="G2216" s="70" t="s">
        <v>5428</v>
      </c>
      <c r="H2216" s="93"/>
      <c r="I2216" s="85">
        <f t="shared" si="85"/>
        <v>3.784831178124469</v>
      </c>
      <c r="J2216" s="85">
        <v>6093</v>
      </c>
      <c r="K2216" s="131" t="s">
        <v>6817</v>
      </c>
      <c r="L2216" s="60">
        <v>68</v>
      </c>
      <c r="M2216" s="47" t="s">
        <v>6728</v>
      </c>
    </row>
    <row r="2217" spans="1:13" ht="28" x14ac:dyDescent="0.2">
      <c r="A2217" s="166" t="s">
        <v>2479</v>
      </c>
      <c r="B2217" s="93" t="s">
        <v>2542</v>
      </c>
      <c r="C2217" s="70" t="s">
        <v>3636</v>
      </c>
      <c r="D2217" s="70" t="s">
        <v>6983</v>
      </c>
      <c r="E2217" s="70" t="s">
        <v>6059</v>
      </c>
      <c r="F2217" s="70" t="s">
        <v>7752</v>
      </c>
      <c r="G2217" s="70" t="s">
        <v>5713</v>
      </c>
      <c r="H2217" s="93"/>
      <c r="I2217" s="85">
        <f t="shared" si="85"/>
        <v>4.0791812460476251</v>
      </c>
      <c r="J2217" s="85">
        <v>12000</v>
      </c>
      <c r="K2217" s="131" t="s">
        <v>6654</v>
      </c>
      <c r="L2217" s="60">
        <v>115</v>
      </c>
      <c r="M2217" s="47" t="s">
        <v>6728</v>
      </c>
    </row>
    <row r="2218" spans="1:13" ht="14" x14ac:dyDescent="0.15">
      <c r="A2218" s="166" t="s">
        <v>2479</v>
      </c>
      <c r="B2218" s="93" t="s">
        <v>2649</v>
      </c>
      <c r="C2218" s="70" t="s">
        <v>3636</v>
      </c>
      <c r="D2218" s="70" t="s">
        <v>6983</v>
      </c>
      <c r="E2218" s="70" t="s">
        <v>6059</v>
      </c>
      <c r="F2218" s="70" t="s">
        <v>7752</v>
      </c>
      <c r="G2218" s="70" t="s">
        <v>4618</v>
      </c>
      <c r="H2218" s="93"/>
      <c r="I2218" s="85">
        <f t="shared" si="85"/>
        <v>4.0791812460476251</v>
      </c>
      <c r="J2218" s="85">
        <v>12000</v>
      </c>
      <c r="K2218" s="131" t="s">
        <v>6391</v>
      </c>
      <c r="L2218" s="60">
        <v>139</v>
      </c>
      <c r="M2218" s="49" t="s">
        <v>6392</v>
      </c>
    </row>
    <row r="2219" spans="1:13" ht="28" x14ac:dyDescent="0.15">
      <c r="A2219" s="166" t="s">
        <v>2479</v>
      </c>
      <c r="B2219" s="82"/>
      <c r="C2219" s="70" t="s">
        <v>3636</v>
      </c>
      <c r="D2219" s="70" t="s">
        <v>6983</v>
      </c>
      <c r="E2219" s="70" t="s">
        <v>6059</v>
      </c>
      <c r="F2219" s="70" t="s">
        <v>6109</v>
      </c>
      <c r="G2219" s="70" t="s">
        <v>6110</v>
      </c>
      <c r="H2219" s="93"/>
      <c r="I2219" s="85">
        <f t="shared" si="85"/>
        <v>4.3273599999999997</v>
      </c>
      <c r="J2219" s="85">
        <v>21250.052140469656</v>
      </c>
      <c r="K2219" s="131" t="s">
        <v>6654</v>
      </c>
      <c r="L2219" s="60">
        <v>65</v>
      </c>
      <c r="M2219" s="49" t="s">
        <v>6392</v>
      </c>
    </row>
    <row r="2220" spans="1:13" ht="14" x14ac:dyDescent="0.15">
      <c r="A2220" s="166" t="s">
        <v>2479</v>
      </c>
      <c r="B2220" s="93" t="s">
        <v>1558</v>
      </c>
      <c r="C2220" s="70" t="s">
        <v>3636</v>
      </c>
      <c r="D2220" s="70" t="s">
        <v>6983</v>
      </c>
      <c r="E2220" s="70" t="s">
        <v>6059</v>
      </c>
      <c r="F2220" s="70" t="s">
        <v>5212</v>
      </c>
      <c r="G2220" s="70" t="s">
        <v>5214</v>
      </c>
      <c r="H2220" s="93"/>
      <c r="I2220" s="85">
        <f t="shared" si="85"/>
        <v>3.7993405494535817</v>
      </c>
      <c r="J2220" s="85">
        <v>6300</v>
      </c>
      <c r="K2220" s="131" t="s">
        <v>6485</v>
      </c>
      <c r="L2220" s="60">
        <v>118</v>
      </c>
      <c r="M2220" s="33"/>
    </row>
    <row r="2221" spans="1:13" ht="14" x14ac:dyDescent="0.15">
      <c r="A2221" s="166" t="s">
        <v>2479</v>
      </c>
      <c r="B2221" s="93" t="s">
        <v>7234</v>
      </c>
      <c r="C2221" s="70" t="s">
        <v>3636</v>
      </c>
      <c r="D2221" s="70" t="s">
        <v>6983</v>
      </c>
      <c r="E2221" s="70" t="s">
        <v>6059</v>
      </c>
      <c r="F2221" s="70" t="s">
        <v>5212</v>
      </c>
      <c r="G2221" s="70" t="s">
        <v>5202</v>
      </c>
      <c r="H2221" s="93"/>
      <c r="I2221" s="85">
        <f t="shared" si="85"/>
        <v>3.8450980400142569</v>
      </c>
      <c r="J2221" s="85">
        <f>AVERAGE(5900, 8100)</f>
        <v>7000</v>
      </c>
      <c r="K2221" s="131" t="s">
        <v>3177</v>
      </c>
      <c r="L2221" s="60">
        <v>141</v>
      </c>
      <c r="M2221" s="33"/>
    </row>
    <row r="2222" spans="1:13" ht="42" x14ac:dyDescent="0.15">
      <c r="A2222" s="166" t="s">
        <v>2479</v>
      </c>
      <c r="B2222" s="93" t="s">
        <v>7017</v>
      </c>
      <c r="C2222" s="70" t="s">
        <v>3636</v>
      </c>
      <c r="D2222" s="70" t="s">
        <v>6983</v>
      </c>
      <c r="E2222" s="70" t="s">
        <v>6059</v>
      </c>
      <c r="F2222" s="70" t="s">
        <v>4538</v>
      </c>
      <c r="G2222" s="70" t="s">
        <v>5114</v>
      </c>
      <c r="H2222" s="93"/>
      <c r="I2222" s="85">
        <f t="shared" si="85"/>
        <v>3.916453948549925</v>
      </c>
      <c r="J2222" s="85">
        <f>AVERAGE(8000, 8500)</f>
        <v>8250</v>
      </c>
      <c r="K2222" s="131" t="s">
        <v>1603</v>
      </c>
      <c r="L2222" s="60">
        <v>148</v>
      </c>
      <c r="M2222" s="49" t="s">
        <v>6809</v>
      </c>
    </row>
    <row r="2223" spans="1:13" ht="14" x14ac:dyDescent="0.15">
      <c r="A2223" s="166" t="s">
        <v>2479</v>
      </c>
      <c r="B2223" s="93" t="s">
        <v>6698</v>
      </c>
      <c r="C2223" s="70" t="s">
        <v>3636</v>
      </c>
      <c r="D2223" s="70" t="s">
        <v>6983</v>
      </c>
      <c r="E2223" s="70" t="s">
        <v>6059</v>
      </c>
      <c r="F2223" s="70" t="s">
        <v>4538</v>
      </c>
      <c r="G2223" s="70" t="s">
        <v>7440</v>
      </c>
      <c r="H2223" s="93"/>
      <c r="I2223" s="85">
        <f t="shared" ref="I2223:I2249" si="86">LOG(J2223)</f>
        <v>3.9196010237841108</v>
      </c>
      <c r="J2223" s="85">
        <f>AVERAGE(8180, 8440)</f>
        <v>8310</v>
      </c>
      <c r="K2223" s="131" t="s">
        <v>3177</v>
      </c>
      <c r="L2223" s="60">
        <v>148</v>
      </c>
      <c r="M2223" s="33" t="s">
        <v>6390</v>
      </c>
    </row>
    <row r="2224" spans="1:13" ht="14" x14ac:dyDescent="0.15">
      <c r="A2224" s="166" t="s">
        <v>2479</v>
      </c>
      <c r="B2224" s="93" t="s">
        <v>1902</v>
      </c>
      <c r="C2224" s="70" t="s">
        <v>3636</v>
      </c>
      <c r="D2224" s="70" t="s">
        <v>6983</v>
      </c>
      <c r="E2224" s="70" t="s">
        <v>6059</v>
      </c>
      <c r="F2224" s="70" t="s">
        <v>4538</v>
      </c>
      <c r="G2224" s="70" t="s">
        <v>3362</v>
      </c>
      <c r="H2224" s="93"/>
      <c r="I2224" s="85">
        <f t="shared" si="86"/>
        <v>3.9982593384236988</v>
      </c>
      <c r="J2224" s="85">
        <v>9960</v>
      </c>
      <c r="K2224" s="131" t="s">
        <v>6817</v>
      </c>
      <c r="L2224" s="60">
        <v>148</v>
      </c>
      <c r="M2224" s="49" t="s">
        <v>6390</v>
      </c>
    </row>
    <row r="2225" spans="1:16" ht="17" x14ac:dyDescent="0.2">
      <c r="A2225" s="166" t="s">
        <v>2479</v>
      </c>
      <c r="B2225" s="93" t="s">
        <v>1902</v>
      </c>
      <c r="C2225" s="70" t="s">
        <v>3636</v>
      </c>
      <c r="D2225" s="70" t="s">
        <v>6983</v>
      </c>
      <c r="E2225" s="70" t="s">
        <v>6059</v>
      </c>
      <c r="F2225" s="70" t="s">
        <v>4538</v>
      </c>
      <c r="G2225" s="70" t="s">
        <v>7441</v>
      </c>
      <c r="H2225" s="93"/>
      <c r="I2225" s="85">
        <f t="shared" si="86"/>
        <v>4.1461280356782382</v>
      </c>
      <c r="J2225" s="85">
        <f>AVERAGE(18000, 10000)</f>
        <v>14000</v>
      </c>
      <c r="K2225" s="131" t="s">
        <v>6391</v>
      </c>
      <c r="L2225" s="60">
        <v>139</v>
      </c>
      <c r="M2225" s="47" t="s">
        <v>6728</v>
      </c>
    </row>
    <row r="2226" spans="1:16" ht="14" x14ac:dyDescent="0.15">
      <c r="A2226" s="166" t="s">
        <v>2479</v>
      </c>
      <c r="B2226" s="93" t="s">
        <v>1902</v>
      </c>
      <c r="C2226" s="70" t="s">
        <v>3636</v>
      </c>
      <c r="D2226" s="70" t="s">
        <v>6983</v>
      </c>
      <c r="E2226" s="70" t="s">
        <v>6059</v>
      </c>
      <c r="F2226" s="70" t="s">
        <v>4538</v>
      </c>
      <c r="G2226" s="70" t="s">
        <v>5115</v>
      </c>
      <c r="H2226" s="93"/>
      <c r="I2226" s="85">
        <f t="shared" si="86"/>
        <v>4.2170000000000005</v>
      </c>
      <c r="J2226" s="95">
        <v>16481.623915255099</v>
      </c>
      <c r="K2226" s="131" t="s">
        <v>6391</v>
      </c>
      <c r="L2226" s="60">
        <v>165</v>
      </c>
      <c r="M2226" s="49" t="s">
        <v>6390</v>
      </c>
    </row>
    <row r="2227" spans="1:16" ht="14" x14ac:dyDescent="0.15">
      <c r="A2227" s="166" t="s">
        <v>2479</v>
      </c>
      <c r="B2227" s="82"/>
      <c r="C2227" s="70" t="s">
        <v>3636</v>
      </c>
      <c r="D2227" s="70" t="s">
        <v>6983</v>
      </c>
      <c r="E2227" s="70" t="s">
        <v>6059</v>
      </c>
      <c r="F2227" s="70" t="s">
        <v>4919</v>
      </c>
      <c r="G2227" s="70" t="s">
        <v>4541</v>
      </c>
      <c r="H2227" s="93"/>
      <c r="I2227" s="85">
        <f t="shared" si="86"/>
        <v>4.1613680022349753</v>
      </c>
      <c r="J2227" s="85">
        <v>14500</v>
      </c>
      <c r="K2227" s="131" t="s">
        <v>6391</v>
      </c>
      <c r="L2227" s="60">
        <v>68</v>
      </c>
      <c r="M2227" s="49" t="s">
        <v>6392</v>
      </c>
      <c r="P2227" s="33"/>
    </row>
    <row r="2228" spans="1:16" ht="14" x14ac:dyDescent="0.15">
      <c r="A2228" s="166" t="s">
        <v>2479</v>
      </c>
      <c r="B2228" s="82"/>
      <c r="C2228" s="70" t="s">
        <v>3636</v>
      </c>
      <c r="D2228" s="70" t="s">
        <v>6983</v>
      </c>
      <c r="E2228" s="70" t="s">
        <v>6059</v>
      </c>
      <c r="F2228" s="70" t="s">
        <v>4542</v>
      </c>
      <c r="G2228" s="70" t="s">
        <v>7275</v>
      </c>
      <c r="H2228" s="93"/>
      <c r="I2228" s="85">
        <f t="shared" si="86"/>
        <v>3.8075350280688531</v>
      </c>
      <c r="J2228" s="85">
        <v>6420</v>
      </c>
      <c r="K2228" s="131" t="s">
        <v>6485</v>
      </c>
      <c r="L2228" s="60">
        <v>68</v>
      </c>
    </row>
    <row r="2229" spans="1:16" ht="14" x14ac:dyDescent="0.15">
      <c r="A2229" s="166" t="s">
        <v>2479</v>
      </c>
      <c r="B2229" s="93" t="s">
        <v>7521</v>
      </c>
      <c r="C2229" s="70" t="s">
        <v>3636</v>
      </c>
      <c r="D2229" s="70" t="s">
        <v>6983</v>
      </c>
      <c r="E2229" s="70" t="s">
        <v>6059</v>
      </c>
      <c r="F2229" s="70" t="s">
        <v>4542</v>
      </c>
      <c r="G2229" s="70" t="s">
        <v>5045</v>
      </c>
      <c r="H2229" s="93"/>
      <c r="I2229" s="85">
        <f t="shared" si="86"/>
        <v>3.8648076290261471</v>
      </c>
      <c r="J2229" s="85">
        <f>AVERAGE(7300, 7350)</f>
        <v>7325</v>
      </c>
      <c r="K2229" s="131" t="s">
        <v>6391</v>
      </c>
      <c r="L2229" s="60">
        <v>148</v>
      </c>
      <c r="M2229" s="33" t="s">
        <v>6728</v>
      </c>
    </row>
    <row r="2230" spans="1:16" ht="14" x14ac:dyDescent="0.15">
      <c r="A2230" s="166" t="s">
        <v>2479</v>
      </c>
      <c r="B2230" s="82"/>
      <c r="C2230" s="70" t="s">
        <v>3636</v>
      </c>
      <c r="D2230" s="70" t="s">
        <v>6983</v>
      </c>
      <c r="E2230" s="70" t="s">
        <v>6059</v>
      </c>
      <c r="F2230" s="70" t="s">
        <v>4542</v>
      </c>
      <c r="G2230" s="70" t="s">
        <v>3611</v>
      </c>
      <c r="H2230" s="93"/>
      <c r="I2230" s="85">
        <f t="shared" si="86"/>
        <v>3.9216864754836021</v>
      </c>
      <c r="J2230" s="85">
        <f>AVERAGE(8100, 8600)</f>
        <v>8350</v>
      </c>
      <c r="K2230" s="131" t="s">
        <v>5707</v>
      </c>
      <c r="L2230" s="60">
        <v>74</v>
      </c>
    </row>
    <row r="2231" spans="1:16" ht="28" x14ac:dyDescent="0.15">
      <c r="A2231" s="166" t="s">
        <v>2479</v>
      </c>
      <c r="B2231" s="93" t="s">
        <v>7437</v>
      </c>
      <c r="C2231" s="70" t="s">
        <v>3636</v>
      </c>
      <c r="D2231" s="70" t="s">
        <v>6983</v>
      </c>
      <c r="E2231" s="70" t="s">
        <v>6059</v>
      </c>
      <c r="F2231" s="70" t="s">
        <v>4542</v>
      </c>
      <c r="G2231" s="70" t="s">
        <v>5046</v>
      </c>
      <c r="H2231" s="93"/>
      <c r="I2231" s="85">
        <f t="shared" si="86"/>
        <v>3.9216864754836021</v>
      </c>
      <c r="J2231" s="85">
        <f>AVERAGE(8100, 8600)</f>
        <v>8350</v>
      </c>
      <c r="K2231" s="131" t="s">
        <v>6816</v>
      </c>
      <c r="L2231" s="60">
        <v>74</v>
      </c>
      <c r="M2231" s="33" t="s">
        <v>6390</v>
      </c>
      <c r="N2231" s="32" t="s">
        <v>5710</v>
      </c>
    </row>
    <row r="2232" spans="1:16" ht="28" x14ac:dyDescent="0.15">
      <c r="A2232" s="166" t="s">
        <v>2479</v>
      </c>
      <c r="B2232" s="93" t="s">
        <v>7438</v>
      </c>
      <c r="C2232" s="70" t="s">
        <v>3636</v>
      </c>
      <c r="D2232" s="70" t="s">
        <v>6983</v>
      </c>
      <c r="E2232" s="70" t="s">
        <v>6059</v>
      </c>
      <c r="F2232" s="70" t="s">
        <v>4542</v>
      </c>
      <c r="G2232" s="70" t="s">
        <v>6544</v>
      </c>
      <c r="H2232" s="93"/>
      <c r="I2232" s="85">
        <f t="shared" si="86"/>
        <v>3.9242792860618816</v>
      </c>
      <c r="J2232" s="85">
        <f>AVERAGE(6300, 10500)</f>
        <v>8400</v>
      </c>
      <c r="K2232" s="131" t="s">
        <v>3177</v>
      </c>
      <c r="L2232" s="60">
        <v>148</v>
      </c>
      <c r="M2232" s="33"/>
    </row>
    <row r="2233" spans="1:16" ht="14" x14ac:dyDescent="0.15">
      <c r="A2233" s="166" t="s">
        <v>2479</v>
      </c>
      <c r="B2233" s="82"/>
      <c r="C2233" s="70" t="s">
        <v>3636</v>
      </c>
      <c r="D2233" s="70" t="s">
        <v>6983</v>
      </c>
      <c r="E2233" s="70" t="s">
        <v>6059</v>
      </c>
      <c r="F2233" s="70" t="s">
        <v>4542</v>
      </c>
      <c r="G2233" s="70" t="s">
        <v>5642</v>
      </c>
      <c r="H2233" s="93"/>
      <c r="I2233" s="85">
        <f t="shared" si="86"/>
        <v>4.0588054866759071</v>
      </c>
      <c r="J2233" s="85">
        <v>11450</v>
      </c>
      <c r="K2233" s="131" t="s">
        <v>6391</v>
      </c>
      <c r="L2233" s="60">
        <v>-999</v>
      </c>
      <c r="M2233" s="33" t="s">
        <v>6390</v>
      </c>
    </row>
    <row r="2234" spans="1:16" ht="28" x14ac:dyDescent="0.15">
      <c r="A2234" s="166" t="s">
        <v>2479</v>
      </c>
      <c r="B2234" s="82"/>
      <c r="C2234" s="70" t="s">
        <v>3636</v>
      </c>
      <c r="D2234" s="70" t="s">
        <v>6983</v>
      </c>
      <c r="E2234" s="70" t="s">
        <v>6059</v>
      </c>
      <c r="F2234" s="70" t="s">
        <v>4542</v>
      </c>
      <c r="G2234" s="70" t="s">
        <v>5641</v>
      </c>
      <c r="H2234" s="93"/>
      <c r="I2234" s="85">
        <f t="shared" si="86"/>
        <v>4.1271047983648073</v>
      </c>
      <c r="J2234" s="85">
        <f>AVERAGE(12000, 14800)</f>
        <v>13400</v>
      </c>
      <c r="K2234" s="131" t="s">
        <v>6853</v>
      </c>
      <c r="L2234" s="60">
        <v>74</v>
      </c>
      <c r="M2234" s="33" t="s">
        <v>6728</v>
      </c>
      <c r="N2234" s="32" t="s">
        <v>2888</v>
      </c>
    </row>
    <row r="2235" spans="1:16" ht="14" x14ac:dyDescent="0.15">
      <c r="A2235" s="166" t="s">
        <v>2479</v>
      </c>
      <c r="B2235" s="82"/>
      <c r="C2235" s="70" t="s">
        <v>3636</v>
      </c>
      <c r="D2235" s="70" t="s">
        <v>6983</v>
      </c>
      <c r="E2235" s="70" t="s">
        <v>3385</v>
      </c>
      <c r="F2235" s="70" t="s">
        <v>5392</v>
      </c>
      <c r="G2235" s="70" t="s">
        <v>5395</v>
      </c>
      <c r="H2235" s="93"/>
      <c r="I2235" s="85">
        <f t="shared" si="86"/>
        <v>3.689486448364248</v>
      </c>
      <c r="J2235" s="85">
        <v>4892</v>
      </c>
      <c r="K2235" s="131" t="s">
        <v>6391</v>
      </c>
      <c r="L2235" s="60">
        <v>68</v>
      </c>
      <c r="M2235" s="49" t="s">
        <v>6392</v>
      </c>
    </row>
    <row r="2236" spans="1:16" ht="14" x14ac:dyDescent="0.15">
      <c r="A2236" s="166" t="s">
        <v>2479</v>
      </c>
      <c r="B2236" s="93" t="s">
        <v>2977</v>
      </c>
      <c r="C2236" s="70" t="s">
        <v>3636</v>
      </c>
      <c r="D2236" s="70" t="s">
        <v>6983</v>
      </c>
      <c r="E2236" s="70" t="s">
        <v>3385</v>
      </c>
      <c r="F2236" s="70" t="s">
        <v>5392</v>
      </c>
      <c r="G2236" s="70" t="s">
        <v>5642</v>
      </c>
      <c r="H2236" s="93"/>
      <c r="I2236" s="85">
        <f t="shared" si="86"/>
        <v>3.7355988996981799</v>
      </c>
      <c r="J2236" s="85">
        <v>5440</v>
      </c>
      <c r="K2236" s="131" t="s">
        <v>6630</v>
      </c>
      <c r="L2236" s="60">
        <v>148</v>
      </c>
      <c r="M2236" s="49" t="s">
        <v>6392</v>
      </c>
    </row>
    <row r="2237" spans="1:16" ht="14" x14ac:dyDescent="0.15">
      <c r="A2237" s="166" t="s">
        <v>2479</v>
      </c>
      <c r="B2237" s="82"/>
      <c r="C2237" s="70" t="s">
        <v>3636</v>
      </c>
      <c r="D2237" s="70" t="s">
        <v>6983</v>
      </c>
      <c r="E2237" s="70" t="s">
        <v>3385</v>
      </c>
      <c r="F2237" s="70" t="s">
        <v>5392</v>
      </c>
      <c r="G2237" s="70" t="s">
        <v>4218</v>
      </c>
      <c r="H2237" s="93"/>
      <c r="I2237" s="85">
        <f t="shared" si="86"/>
        <v>3.7520484478194387</v>
      </c>
      <c r="J2237" s="85">
        <v>5650</v>
      </c>
      <c r="K2237" s="131" t="s">
        <v>6391</v>
      </c>
      <c r="L2237" s="60">
        <v>68</v>
      </c>
      <c r="M2237" s="49" t="s">
        <v>6392</v>
      </c>
    </row>
    <row r="2238" spans="1:16" ht="28" x14ac:dyDescent="0.15">
      <c r="A2238" s="166" t="s">
        <v>2479</v>
      </c>
      <c r="B2238" s="93" t="s">
        <v>4867</v>
      </c>
      <c r="C2238" s="70" t="s">
        <v>3636</v>
      </c>
      <c r="D2238" s="70" t="s">
        <v>6983</v>
      </c>
      <c r="E2238" s="70" t="s">
        <v>3385</v>
      </c>
      <c r="F2238" s="70" t="s">
        <v>5392</v>
      </c>
      <c r="G2238" s="70" t="s">
        <v>3388</v>
      </c>
      <c r="H2238" s="93"/>
      <c r="I2238" s="85">
        <f t="shared" si="86"/>
        <v>3.7558748556724915</v>
      </c>
      <c r="J2238" s="85">
        <f>AVERAGE(5800, 5600)</f>
        <v>5700</v>
      </c>
      <c r="K2238" s="131" t="s">
        <v>6391</v>
      </c>
      <c r="L2238" s="60">
        <v>74</v>
      </c>
      <c r="M2238" s="49" t="s">
        <v>6390</v>
      </c>
      <c r="N2238" s="32" t="s">
        <v>2206</v>
      </c>
    </row>
    <row r="2239" spans="1:16" ht="17" x14ac:dyDescent="0.2">
      <c r="A2239" s="166" t="s">
        <v>2479</v>
      </c>
      <c r="B2239" s="82"/>
      <c r="C2239" s="70" t="s">
        <v>3636</v>
      </c>
      <c r="D2239" s="70" t="s">
        <v>6983</v>
      </c>
      <c r="E2239" s="70" t="s">
        <v>3385</v>
      </c>
      <c r="F2239" s="70" t="s">
        <v>5392</v>
      </c>
      <c r="G2239" s="70" t="s">
        <v>6887</v>
      </c>
      <c r="H2239" s="93"/>
      <c r="I2239" s="85">
        <f t="shared" si="86"/>
        <v>3.8129133566428557</v>
      </c>
      <c r="J2239" s="85">
        <v>6500</v>
      </c>
      <c r="K2239" s="131" t="s">
        <v>6391</v>
      </c>
      <c r="L2239" s="60">
        <v>68</v>
      </c>
      <c r="M2239" s="47" t="s">
        <v>6809</v>
      </c>
    </row>
    <row r="2240" spans="1:16" ht="28" x14ac:dyDescent="0.15">
      <c r="A2240" s="166" t="s">
        <v>2479</v>
      </c>
      <c r="B2240" s="82"/>
      <c r="C2240" s="70" t="s">
        <v>3636</v>
      </c>
      <c r="D2240" s="70" t="s">
        <v>6983</v>
      </c>
      <c r="E2240" s="70" t="s">
        <v>3385</v>
      </c>
      <c r="F2240" s="70" t="s">
        <v>5392</v>
      </c>
      <c r="G2240" s="70" t="s">
        <v>5393</v>
      </c>
      <c r="H2240" s="93"/>
      <c r="I2240" s="85">
        <f t="shared" si="86"/>
        <v>3.8260748027008264</v>
      </c>
      <c r="J2240" s="85">
        <f>AVERAGE(6500, 6900)</f>
        <v>6700</v>
      </c>
      <c r="K2240" s="131" t="s">
        <v>6391</v>
      </c>
      <c r="L2240" s="60">
        <v>74</v>
      </c>
      <c r="M2240" s="49" t="s">
        <v>6390</v>
      </c>
      <c r="N2240" s="32" t="s">
        <v>2890</v>
      </c>
    </row>
    <row r="2241" spans="1:13" ht="28" x14ac:dyDescent="0.15">
      <c r="A2241" s="166" t="s">
        <v>2479</v>
      </c>
      <c r="B2241" s="93" t="s">
        <v>5929</v>
      </c>
      <c r="C2241" s="70" t="s">
        <v>3636</v>
      </c>
      <c r="D2241" s="70" t="s">
        <v>6983</v>
      </c>
      <c r="E2241" s="70" t="s">
        <v>3385</v>
      </c>
      <c r="F2241" s="70" t="s">
        <v>5392</v>
      </c>
      <c r="G2241" s="70" t="s">
        <v>4903</v>
      </c>
      <c r="H2241" s="93"/>
      <c r="I2241" s="85">
        <f t="shared" si="86"/>
        <v>3.8573324964312685</v>
      </c>
      <c r="J2241" s="85">
        <f>AVERAGE(7000, 7400)</f>
        <v>7200</v>
      </c>
      <c r="K2241" s="131" t="s">
        <v>6522</v>
      </c>
      <c r="L2241" s="60" t="s">
        <v>7619</v>
      </c>
      <c r="M2241" s="33" t="s">
        <v>6728</v>
      </c>
    </row>
    <row r="2242" spans="1:13" ht="28" x14ac:dyDescent="0.2">
      <c r="A2242" s="166" t="s">
        <v>2479</v>
      </c>
      <c r="B2242" s="93" t="s">
        <v>2976</v>
      </c>
      <c r="C2242" s="70" t="s">
        <v>3636</v>
      </c>
      <c r="D2242" s="70" t="s">
        <v>6983</v>
      </c>
      <c r="E2242" s="70" t="s">
        <v>3385</v>
      </c>
      <c r="F2242" s="70" t="s">
        <v>5392</v>
      </c>
      <c r="G2242" s="70" t="s">
        <v>3435</v>
      </c>
      <c r="H2242" s="93"/>
      <c r="I2242" s="85">
        <f t="shared" si="86"/>
        <v>3.8645110810583918</v>
      </c>
      <c r="J2242" s="85">
        <v>7320</v>
      </c>
      <c r="K2242" s="131" t="s">
        <v>6522</v>
      </c>
      <c r="L2242" s="60">
        <v>148</v>
      </c>
      <c r="M2242" s="47" t="s">
        <v>6727</v>
      </c>
    </row>
    <row r="2243" spans="1:13" ht="14" x14ac:dyDescent="0.15">
      <c r="A2243" s="166" t="s">
        <v>2479</v>
      </c>
      <c r="B2243" s="82"/>
      <c r="C2243" s="70" t="s">
        <v>3636</v>
      </c>
      <c r="D2243" s="70" t="s">
        <v>6983</v>
      </c>
      <c r="E2243" s="70" t="s">
        <v>3385</v>
      </c>
      <c r="F2243" s="70" t="s">
        <v>5392</v>
      </c>
      <c r="G2243" s="70" t="s">
        <v>5397</v>
      </c>
      <c r="H2243" s="93"/>
      <c r="I2243" s="85">
        <f t="shared" si="86"/>
        <v>4</v>
      </c>
      <c r="J2243" s="85">
        <v>10000</v>
      </c>
      <c r="K2243" s="131" t="s">
        <v>6391</v>
      </c>
      <c r="L2243" s="60">
        <v>68</v>
      </c>
      <c r="M2243" s="49" t="s">
        <v>6392</v>
      </c>
    </row>
    <row r="2244" spans="1:13" ht="14" x14ac:dyDescent="0.15">
      <c r="A2244" s="166" t="s">
        <v>2479</v>
      </c>
      <c r="B2244" s="82" t="s">
        <v>6409</v>
      </c>
      <c r="C2244" s="70" t="s">
        <v>3636</v>
      </c>
      <c r="D2244" s="70" t="s">
        <v>6983</v>
      </c>
      <c r="E2244" s="70" t="s">
        <v>3052</v>
      </c>
      <c r="F2244" s="70" t="s">
        <v>5798</v>
      </c>
      <c r="G2244" s="70" t="s">
        <v>5047</v>
      </c>
      <c r="H2244" s="93"/>
      <c r="I2244" s="85">
        <f t="shared" si="86"/>
        <v>2.3344537511509307</v>
      </c>
      <c r="J2244" s="85">
        <v>216</v>
      </c>
      <c r="K2244" s="131" t="s">
        <v>6391</v>
      </c>
      <c r="L2244" s="60">
        <v>68</v>
      </c>
      <c r="M2244" s="49" t="s">
        <v>6728</v>
      </c>
    </row>
    <row r="2245" spans="1:13" ht="14" x14ac:dyDescent="0.15">
      <c r="A2245" s="166" t="s">
        <v>2479</v>
      </c>
      <c r="B2245" s="82"/>
      <c r="C2245" s="70" t="s">
        <v>3636</v>
      </c>
      <c r="D2245" s="70" t="s">
        <v>6983</v>
      </c>
      <c r="E2245" s="70" t="s">
        <v>3052</v>
      </c>
      <c r="F2245" s="70" t="s">
        <v>5081</v>
      </c>
      <c r="G2245" s="70" t="s">
        <v>6967</v>
      </c>
      <c r="H2245" s="93"/>
      <c r="I2245" s="85">
        <f t="shared" si="86"/>
        <v>2.9542425094393248</v>
      </c>
      <c r="J2245" s="85">
        <v>900</v>
      </c>
      <c r="K2245" s="131" t="s">
        <v>6485</v>
      </c>
      <c r="L2245" s="60">
        <v>68</v>
      </c>
    </row>
    <row r="2246" spans="1:13" ht="14" x14ac:dyDescent="0.15">
      <c r="A2246" s="166" t="s">
        <v>2479</v>
      </c>
      <c r="B2246" s="82"/>
      <c r="C2246" s="70" t="s">
        <v>3636</v>
      </c>
      <c r="D2246" s="70" t="s">
        <v>6983</v>
      </c>
      <c r="E2246" s="70" t="s">
        <v>3052</v>
      </c>
      <c r="F2246" s="70" t="s">
        <v>5081</v>
      </c>
      <c r="G2246" s="70" t="s">
        <v>5674</v>
      </c>
      <c r="H2246" s="93"/>
      <c r="I2246" s="85">
        <f t="shared" si="86"/>
        <v>3.0744507189545911</v>
      </c>
      <c r="J2246" s="85">
        <v>1187</v>
      </c>
      <c r="K2246" s="131" t="s">
        <v>6485</v>
      </c>
      <c r="L2246" s="60">
        <v>68</v>
      </c>
    </row>
    <row r="2247" spans="1:13" ht="14" x14ac:dyDescent="0.15">
      <c r="A2247" s="166" t="s">
        <v>2479</v>
      </c>
      <c r="B2247" s="82"/>
      <c r="C2247" s="70" t="s">
        <v>3636</v>
      </c>
      <c r="D2247" s="70" t="s">
        <v>6983</v>
      </c>
      <c r="E2247" s="70" t="s">
        <v>3394</v>
      </c>
      <c r="F2247" s="70" t="s">
        <v>5679</v>
      </c>
      <c r="G2247" s="70" t="s">
        <v>5680</v>
      </c>
      <c r="H2247" s="93"/>
      <c r="I2247" s="85">
        <f t="shared" si="86"/>
        <v>1.8920946026904804</v>
      </c>
      <c r="J2247" s="85">
        <v>78</v>
      </c>
      <c r="K2247" s="131" t="s">
        <v>6485</v>
      </c>
      <c r="L2247" s="60">
        <v>68</v>
      </c>
    </row>
    <row r="2248" spans="1:13" ht="14" x14ac:dyDescent="0.15">
      <c r="A2248" s="166" t="s">
        <v>2479</v>
      </c>
      <c r="B2248" s="82"/>
      <c r="C2248" s="70" t="s">
        <v>3636</v>
      </c>
      <c r="D2248" s="70" t="s">
        <v>3902</v>
      </c>
      <c r="E2248" s="70" t="s">
        <v>3432</v>
      </c>
      <c r="F2248" s="70" t="s">
        <v>5262</v>
      </c>
      <c r="G2248" s="70" t="s">
        <v>3249</v>
      </c>
      <c r="H2248" s="93"/>
      <c r="I2248" s="85">
        <f t="shared" si="86"/>
        <v>6.4345689040341991</v>
      </c>
      <c r="J2248" s="85">
        <v>2720000</v>
      </c>
      <c r="K2248" s="131" t="s">
        <v>6485</v>
      </c>
      <c r="L2248" s="60">
        <v>68</v>
      </c>
      <c r="M2248" s="33" t="s">
        <v>6390</v>
      </c>
    </row>
    <row r="2249" spans="1:13" ht="28" x14ac:dyDescent="0.15">
      <c r="A2249" s="166" t="s">
        <v>2479</v>
      </c>
      <c r="B2249" s="82"/>
      <c r="C2249" s="70" t="s">
        <v>3636</v>
      </c>
      <c r="D2249" s="70" t="s">
        <v>3437</v>
      </c>
      <c r="E2249" s="70" t="s">
        <v>6262</v>
      </c>
      <c r="F2249" s="70" t="s">
        <v>6263</v>
      </c>
      <c r="G2249" s="70" t="s">
        <v>5474</v>
      </c>
      <c r="H2249" s="93"/>
      <c r="I2249" s="85">
        <f t="shared" si="86"/>
        <v>4.2787536009528289</v>
      </c>
      <c r="J2249" s="85">
        <v>19000</v>
      </c>
      <c r="K2249" s="131" t="s">
        <v>1424</v>
      </c>
      <c r="L2249" s="60">
        <v>68</v>
      </c>
      <c r="M2249" s="49" t="s">
        <v>6725</v>
      </c>
    </row>
    <row r="2250" spans="1:13" ht="14" x14ac:dyDescent="0.15">
      <c r="A2250" s="166" t="s">
        <v>2479</v>
      </c>
      <c r="B2250" s="82"/>
      <c r="C2250" s="70" t="s">
        <v>3636</v>
      </c>
      <c r="D2250" s="70" t="s">
        <v>3437</v>
      </c>
      <c r="E2250" s="70" t="s">
        <v>5992</v>
      </c>
      <c r="F2250" s="70" t="s">
        <v>5007</v>
      </c>
      <c r="G2250" s="70" t="s">
        <v>6369</v>
      </c>
      <c r="H2250" s="93"/>
      <c r="I2250" s="85">
        <v>-999</v>
      </c>
      <c r="J2250" s="95">
        <v>-999</v>
      </c>
      <c r="K2250" s="131" t="s">
        <v>3177</v>
      </c>
      <c r="L2250" s="60">
        <v>-999</v>
      </c>
      <c r="M2250" s="33"/>
    </row>
    <row r="2251" spans="1:13" ht="14" x14ac:dyDescent="0.15">
      <c r="A2251" s="166" t="s">
        <v>2479</v>
      </c>
      <c r="B2251" s="82"/>
      <c r="C2251" s="73" t="s">
        <v>3636</v>
      </c>
      <c r="D2251" s="73" t="s">
        <v>3437</v>
      </c>
      <c r="E2251" s="73" t="s">
        <v>5992</v>
      </c>
      <c r="F2251" s="73" t="s">
        <v>5007</v>
      </c>
      <c r="G2251" s="73" t="s">
        <v>6167</v>
      </c>
      <c r="H2251" s="108"/>
      <c r="I2251" s="85">
        <v>-999</v>
      </c>
      <c r="J2251" s="95">
        <v>-999</v>
      </c>
      <c r="K2251" s="131" t="s">
        <v>6630</v>
      </c>
      <c r="L2251" s="60">
        <v>-999</v>
      </c>
      <c r="M2251" s="33" t="s">
        <v>6392</v>
      </c>
    </row>
    <row r="2252" spans="1:13" ht="28" x14ac:dyDescent="0.15">
      <c r="A2252" s="166" t="s">
        <v>2479</v>
      </c>
      <c r="B2252" s="82"/>
      <c r="C2252" s="73" t="s">
        <v>3636</v>
      </c>
      <c r="D2252" s="73" t="s">
        <v>3437</v>
      </c>
      <c r="E2252" s="73" t="s">
        <v>5992</v>
      </c>
      <c r="F2252" s="73" t="s">
        <v>5007</v>
      </c>
      <c r="G2252" s="73" t="s">
        <v>2952</v>
      </c>
      <c r="H2252" s="108"/>
      <c r="I2252" s="85">
        <v>-999</v>
      </c>
      <c r="J2252" s="95">
        <v>-999</v>
      </c>
      <c r="K2252" s="131" t="s">
        <v>7875</v>
      </c>
      <c r="L2252" s="60">
        <v>-999</v>
      </c>
      <c r="M2252" s="33" t="s">
        <v>6809</v>
      </c>
    </row>
    <row r="2253" spans="1:13" ht="14" x14ac:dyDescent="0.15">
      <c r="A2253" s="166" t="s">
        <v>2479</v>
      </c>
      <c r="B2253" s="82"/>
      <c r="C2253" s="70" t="s">
        <v>3636</v>
      </c>
      <c r="D2253" s="70" t="s">
        <v>3437</v>
      </c>
      <c r="E2253" s="70" t="s">
        <v>5992</v>
      </c>
      <c r="F2253" s="70" t="s">
        <v>5007</v>
      </c>
      <c r="G2253" s="70" t="s">
        <v>7858</v>
      </c>
      <c r="H2253" s="93"/>
      <c r="I2253" s="85">
        <v>-999</v>
      </c>
      <c r="J2253" s="85">
        <v>-999</v>
      </c>
      <c r="K2253" s="131" t="s">
        <v>3177</v>
      </c>
      <c r="L2253" s="60">
        <v>-999</v>
      </c>
      <c r="M2253" s="33"/>
    </row>
    <row r="2254" spans="1:13" ht="14" x14ac:dyDescent="0.15">
      <c r="A2254" s="166" t="s">
        <v>2479</v>
      </c>
      <c r="B2254" s="82"/>
      <c r="C2254" s="70" t="s">
        <v>3636</v>
      </c>
      <c r="D2254" s="70" t="s">
        <v>3437</v>
      </c>
      <c r="E2254" s="70" t="s">
        <v>5992</v>
      </c>
      <c r="F2254" s="70" t="s">
        <v>5007</v>
      </c>
      <c r="G2254" s="70" t="s">
        <v>5828</v>
      </c>
      <c r="H2254" s="93"/>
      <c r="I2254" s="85">
        <f t="shared" ref="I2254:I2259" si="87">LOG(J2254)</f>
        <v>1.7708520116421442</v>
      </c>
      <c r="J2254" s="85">
        <v>59</v>
      </c>
      <c r="K2254" s="131" t="s">
        <v>6485</v>
      </c>
      <c r="L2254" s="60">
        <v>68</v>
      </c>
    </row>
    <row r="2255" spans="1:13" ht="14" x14ac:dyDescent="0.15">
      <c r="A2255" s="166" t="s">
        <v>2479</v>
      </c>
      <c r="B2255" s="82"/>
      <c r="C2255" s="70" t="s">
        <v>3636</v>
      </c>
      <c r="D2255" s="70" t="s">
        <v>3437</v>
      </c>
      <c r="E2255" s="70" t="s">
        <v>5992</v>
      </c>
      <c r="F2255" s="70" t="s">
        <v>5007</v>
      </c>
      <c r="G2255" s="70" t="s">
        <v>6201</v>
      </c>
      <c r="H2255" s="93"/>
      <c r="I2255" s="85">
        <f t="shared" si="87"/>
        <v>1.8836614351536176</v>
      </c>
      <c r="J2255" s="85">
        <f>1000*0.0765</f>
        <v>76.5</v>
      </c>
      <c r="K2255" s="131" t="s">
        <v>3177</v>
      </c>
      <c r="L2255" s="60">
        <v>60</v>
      </c>
      <c r="M2255" s="33"/>
    </row>
    <row r="2256" spans="1:13" ht="14" x14ac:dyDescent="0.15">
      <c r="A2256" s="166" t="s">
        <v>2479</v>
      </c>
      <c r="B2256" s="82"/>
      <c r="C2256" s="70" t="s">
        <v>3636</v>
      </c>
      <c r="D2256" s="70" t="s">
        <v>3437</v>
      </c>
      <c r="E2256" s="70" t="s">
        <v>5992</v>
      </c>
      <c r="F2256" s="70" t="s">
        <v>5007</v>
      </c>
      <c r="G2256" s="70" t="s">
        <v>7949</v>
      </c>
      <c r="H2256" s="93"/>
      <c r="I2256" s="85">
        <f t="shared" si="87"/>
        <v>1.9890046156985368</v>
      </c>
      <c r="J2256" s="85">
        <v>97.5</v>
      </c>
      <c r="K2256" s="131" t="s">
        <v>3177</v>
      </c>
      <c r="L2256" s="60">
        <v>173</v>
      </c>
      <c r="M2256" s="33"/>
    </row>
    <row r="2257" spans="1:15" ht="14" x14ac:dyDescent="0.15">
      <c r="A2257" s="166" t="s">
        <v>2479</v>
      </c>
      <c r="B2257" s="82"/>
      <c r="C2257" s="70" t="s">
        <v>3636</v>
      </c>
      <c r="D2257" s="70" t="s">
        <v>3437</v>
      </c>
      <c r="E2257" s="70" t="s">
        <v>5992</v>
      </c>
      <c r="F2257" s="70" t="s">
        <v>5007</v>
      </c>
      <c r="G2257" s="70" t="s">
        <v>5453</v>
      </c>
      <c r="H2257" s="93"/>
      <c r="I2257" s="85">
        <f t="shared" si="87"/>
        <v>2.2013971243204513</v>
      </c>
      <c r="J2257" s="85">
        <f>1000*0.159</f>
        <v>159</v>
      </c>
      <c r="K2257" s="131" t="s">
        <v>3177</v>
      </c>
      <c r="L2257" s="60">
        <v>60</v>
      </c>
      <c r="M2257" s="33"/>
    </row>
    <row r="2258" spans="1:15" ht="14" x14ac:dyDescent="0.15">
      <c r="A2258" s="166" t="s">
        <v>2479</v>
      </c>
      <c r="B2258" s="82"/>
      <c r="C2258" s="70" t="s">
        <v>3636</v>
      </c>
      <c r="D2258" s="70" t="s">
        <v>3437</v>
      </c>
      <c r="E2258" s="70" t="s">
        <v>5992</v>
      </c>
      <c r="F2258" s="70" t="s">
        <v>5007</v>
      </c>
      <c r="G2258" s="70" t="s">
        <v>5062</v>
      </c>
      <c r="H2258" s="93"/>
      <c r="I2258" s="85">
        <f t="shared" si="87"/>
        <v>2.3654879848908998</v>
      </c>
      <c r="J2258" s="85">
        <v>232</v>
      </c>
      <c r="K2258" s="131" t="s">
        <v>6630</v>
      </c>
      <c r="L2258" s="60">
        <v>-999</v>
      </c>
      <c r="M2258" s="49" t="s">
        <v>6392</v>
      </c>
    </row>
    <row r="2259" spans="1:15" ht="14" x14ac:dyDescent="0.15">
      <c r="A2259" s="166" t="s">
        <v>2479</v>
      </c>
      <c r="B2259" s="82"/>
      <c r="C2259" s="70" t="s">
        <v>3636</v>
      </c>
      <c r="D2259" s="70" t="s">
        <v>3437</v>
      </c>
      <c r="E2259" s="70" t="s">
        <v>5992</v>
      </c>
      <c r="F2259" s="70" t="s">
        <v>5007</v>
      </c>
      <c r="G2259" s="70" t="s">
        <v>5644</v>
      </c>
      <c r="H2259" s="93"/>
      <c r="I2259" s="85">
        <f t="shared" si="87"/>
        <v>2.5440680443502757</v>
      </c>
      <c r="J2259" s="85">
        <f>AVERAGE(280, 420)</f>
        <v>350</v>
      </c>
      <c r="K2259" s="131" t="s">
        <v>3177</v>
      </c>
      <c r="L2259" s="60" t="s">
        <v>6687</v>
      </c>
      <c r="M2259" s="33"/>
    </row>
    <row r="2260" spans="1:15" ht="14" x14ac:dyDescent="0.15">
      <c r="A2260" s="166" t="s">
        <v>2479</v>
      </c>
      <c r="B2260" s="82"/>
      <c r="C2260" s="73" t="s">
        <v>3636</v>
      </c>
      <c r="D2260" s="73" t="s">
        <v>3437</v>
      </c>
      <c r="E2260" s="70" t="s">
        <v>5992</v>
      </c>
      <c r="F2260" s="73" t="s">
        <v>8022</v>
      </c>
      <c r="G2260" s="73" t="s">
        <v>8023</v>
      </c>
      <c r="H2260" s="108"/>
      <c r="I2260" s="85">
        <v>-999</v>
      </c>
      <c r="J2260" s="95">
        <v>-999</v>
      </c>
      <c r="K2260" s="131" t="s">
        <v>3177</v>
      </c>
      <c r="L2260" s="60">
        <v>-999</v>
      </c>
      <c r="M2260" s="33"/>
    </row>
    <row r="2261" spans="1:15" ht="14" x14ac:dyDescent="0.15">
      <c r="A2261" s="166" t="s">
        <v>2479</v>
      </c>
      <c r="B2261" s="82"/>
      <c r="C2261" s="73" t="s">
        <v>3636</v>
      </c>
      <c r="D2261" s="73" t="s">
        <v>3437</v>
      </c>
      <c r="E2261" s="73" t="s">
        <v>5992</v>
      </c>
      <c r="F2261" s="73" t="s">
        <v>5815</v>
      </c>
      <c r="G2261" s="73" t="s">
        <v>5294</v>
      </c>
      <c r="H2261" s="108"/>
      <c r="I2261" s="85">
        <f>LOG(J2261)</f>
        <v>0.93449845124356767</v>
      </c>
      <c r="J2261" s="95">
        <v>8.6</v>
      </c>
      <c r="K2261" s="131" t="s">
        <v>6391</v>
      </c>
      <c r="L2261" s="60">
        <v>173</v>
      </c>
      <c r="M2261" s="33" t="s">
        <v>6728</v>
      </c>
    </row>
    <row r="2262" spans="1:15" ht="14" x14ac:dyDescent="0.15">
      <c r="A2262" s="166" t="s">
        <v>2479</v>
      </c>
      <c r="B2262" s="82"/>
      <c r="C2262" s="70" t="s">
        <v>3636</v>
      </c>
      <c r="D2262" s="70" t="s">
        <v>3437</v>
      </c>
      <c r="E2262" s="70" t="s">
        <v>5992</v>
      </c>
      <c r="F2262" s="70" t="s">
        <v>5063</v>
      </c>
      <c r="G2262" s="70" t="s">
        <v>5064</v>
      </c>
      <c r="H2262" s="93"/>
      <c r="I2262" s="85">
        <f>LOG(J2262)</f>
        <v>1.9327273673015293</v>
      </c>
      <c r="J2262" s="85">
        <f>AVERAGE(82.3, 89)</f>
        <v>85.65</v>
      </c>
      <c r="K2262" s="131" t="s">
        <v>6485</v>
      </c>
      <c r="L2262" s="60" t="s">
        <v>1875</v>
      </c>
    </row>
    <row r="2263" spans="1:15" ht="28" x14ac:dyDescent="0.15">
      <c r="A2263" s="166" t="s">
        <v>2479</v>
      </c>
      <c r="B2263" s="93" t="s">
        <v>1902</v>
      </c>
      <c r="C2263" s="70" t="s">
        <v>3636</v>
      </c>
      <c r="D2263" s="70" t="s">
        <v>3437</v>
      </c>
      <c r="E2263" s="70" t="s">
        <v>5992</v>
      </c>
      <c r="F2263" s="70" t="s">
        <v>5826</v>
      </c>
      <c r="G2263" s="70" t="s">
        <v>6227</v>
      </c>
      <c r="H2263" s="93"/>
      <c r="I2263" s="85">
        <f>LOG(J2263)</f>
        <v>1.5128977563206458</v>
      </c>
      <c r="J2263" s="85">
        <v>32.576000000000001</v>
      </c>
      <c r="K2263" s="131" t="s">
        <v>6391</v>
      </c>
      <c r="L2263" s="60" t="s">
        <v>1155</v>
      </c>
      <c r="M2263" s="33" t="s">
        <v>6728</v>
      </c>
      <c r="N2263" s="37" t="s">
        <v>1725</v>
      </c>
      <c r="O2263" s="37">
        <f>-7.1743+2.8436*LOG(100)</f>
        <v>-1.4870999999999999</v>
      </c>
    </row>
    <row r="2264" spans="1:15" ht="14" x14ac:dyDescent="0.15">
      <c r="A2264" s="166" t="s">
        <v>2479</v>
      </c>
      <c r="B2264" s="82"/>
      <c r="C2264" s="73" t="s">
        <v>3636</v>
      </c>
      <c r="D2264" s="73" t="s">
        <v>3437</v>
      </c>
      <c r="E2264" s="73" t="s">
        <v>5992</v>
      </c>
      <c r="F2264" s="73" t="s">
        <v>3160</v>
      </c>
      <c r="G2264" s="73" t="s">
        <v>7865</v>
      </c>
      <c r="H2264" s="108"/>
      <c r="I2264" s="85">
        <f>LOG(J2264)</f>
        <v>1.7075701760979363</v>
      </c>
      <c r="J2264" s="95">
        <v>51</v>
      </c>
      <c r="K2264" s="131" t="s">
        <v>3177</v>
      </c>
      <c r="L2264" s="60" t="s">
        <v>7689</v>
      </c>
      <c r="M2264" s="33"/>
    </row>
    <row r="2265" spans="1:15" ht="28" x14ac:dyDescent="0.15">
      <c r="A2265" s="166" t="s">
        <v>2479</v>
      </c>
      <c r="B2265" s="82" t="s">
        <v>5758</v>
      </c>
      <c r="C2265" s="73" t="s">
        <v>3636</v>
      </c>
      <c r="D2265" s="73" t="s">
        <v>3437</v>
      </c>
      <c r="E2265" s="73" t="s">
        <v>5992</v>
      </c>
      <c r="F2265" s="73" t="s">
        <v>6499</v>
      </c>
      <c r="G2265" s="73" t="s">
        <v>6823</v>
      </c>
      <c r="H2265" s="108"/>
      <c r="I2265" s="85">
        <f>LOG(J2265)</f>
        <v>1.3827372657613304</v>
      </c>
      <c r="J2265" s="95">
        <v>24.14</v>
      </c>
      <c r="K2265" s="131" t="s">
        <v>6592</v>
      </c>
      <c r="L2265" s="60" t="s">
        <v>1155</v>
      </c>
      <c r="M2265" s="33" t="s">
        <v>6390</v>
      </c>
      <c r="N2265" s="37" t="s">
        <v>1153</v>
      </c>
    </row>
    <row r="2266" spans="1:15" ht="14" x14ac:dyDescent="0.15">
      <c r="A2266" s="166" t="s">
        <v>2479</v>
      </c>
      <c r="B2266" s="82"/>
      <c r="C2266" s="70" t="s">
        <v>3636</v>
      </c>
      <c r="D2266" s="70" t="s">
        <v>3437</v>
      </c>
      <c r="E2266" s="70" t="s">
        <v>5992</v>
      </c>
      <c r="F2266" s="70" t="s">
        <v>5993</v>
      </c>
      <c r="G2266" s="70" t="s">
        <v>6506</v>
      </c>
      <c r="H2266" s="93"/>
      <c r="I2266" s="85">
        <v>-999</v>
      </c>
      <c r="J2266" s="85">
        <v>-999</v>
      </c>
      <c r="K2266" s="131" t="s">
        <v>3177</v>
      </c>
      <c r="L2266" s="60">
        <v>-999</v>
      </c>
      <c r="M2266" s="33"/>
    </row>
    <row r="2267" spans="1:15" ht="14" x14ac:dyDescent="0.15">
      <c r="A2267" s="166" t="s">
        <v>2479</v>
      </c>
      <c r="B2267" s="93" t="s">
        <v>5757</v>
      </c>
      <c r="C2267" s="70" t="s">
        <v>3636</v>
      </c>
      <c r="D2267" s="70" t="s">
        <v>3437</v>
      </c>
      <c r="E2267" s="70" t="s">
        <v>5992</v>
      </c>
      <c r="F2267" s="70" t="s">
        <v>5993</v>
      </c>
      <c r="G2267" s="70" t="s">
        <v>6209</v>
      </c>
      <c r="H2267" s="93"/>
      <c r="I2267" s="85">
        <f>LOG(J2267)</f>
        <v>1.7379873263334307</v>
      </c>
      <c r="J2267" s="85">
        <f>1000*0.0547</f>
        <v>54.699999999999996</v>
      </c>
      <c r="K2267" s="131" t="s">
        <v>3177</v>
      </c>
      <c r="L2267" s="60">
        <v>60</v>
      </c>
      <c r="M2267" s="33"/>
    </row>
    <row r="2268" spans="1:15" ht="17" x14ac:dyDescent="0.2">
      <c r="A2268" s="166" t="s">
        <v>2479</v>
      </c>
      <c r="B2268" s="82"/>
      <c r="C2268" s="70" t="s">
        <v>3636</v>
      </c>
      <c r="D2268" s="70" t="s">
        <v>3437</v>
      </c>
      <c r="E2268" s="70" t="s">
        <v>5992</v>
      </c>
      <c r="F2268" s="70" t="s">
        <v>5993</v>
      </c>
      <c r="G2268" s="70" t="s">
        <v>5994</v>
      </c>
      <c r="H2268" s="93"/>
      <c r="I2268" s="85">
        <f>LOG(J2268)</f>
        <v>1.7524332158008897</v>
      </c>
      <c r="J2268" s="85">
        <f>AVERAGE(70.0003159130897, 55, 50.8, 50.4)</f>
        <v>56.550078978272424</v>
      </c>
      <c r="K2268" s="131" t="s">
        <v>3177</v>
      </c>
      <c r="L2268" s="60" t="s">
        <v>6394</v>
      </c>
      <c r="N2268" s="48" t="s">
        <v>7326</v>
      </c>
    </row>
    <row r="2269" spans="1:15" ht="14" x14ac:dyDescent="0.15">
      <c r="A2269" s="166" t="s">
        <v>2479</v>
      </c>
      <c r="B2269" s="82"/>
      <c r="C2269" s="70" t="s">
        <v>3636</v>
      </c>
      <c r="D2269" s="70" t="s">
        <v>3437</v>
      </c>
      <c r="E2269" s="70" t="s">
        <v>5992</v>
      </c>
      <c r="F2269" s="70" t="s">
        <v>5993</v>
      </c>
      <c r="G2269" s="70" t="s">
        <v>3624</v>
      </c>
      <c r="H2269" s="93"/>
      <c r="I2269" s="85">
        <f>LOG(J2269)</f>
        <v>2.1398799999999998</v>
      </c>
      <c r="J2269" s="85">
        <v>138.00029030247268</v>
      </c>
      <c r="K2269" s="131" t="s">
        <v>6677</v>
      </c>
      <c r="L2269" s="60">
        <v>60</v>
      </c>
      <c r="M2269" s="49" t="s">
        <v>6392</v>
      </c>
    </row>
    <row r="2270" spans="1:15" ht="28" x14ac:dyDescent="0.15">
      <c r="A2270" s="166" t="s">
        <v>2479</v>
      </c>
      <c r="B2270" s="93" t="s">
        <v>7826</v>
      </c>
      <c r="C2270" s="70" t="s">
        <v>3636</v>
      </c>
      <c r="D2270" s="70" t="s">
        <v>3437</v>
      </c>
      <c r="E2270" s="70" t="s">
        <v>5992</v>
      </c>
      <c r="F2270" s="70" t="s">
        <v>6504</v>
      </c>
      <c r="G2270" s="70" t="s">
        <v>5648</v>
      </c>
      <c r="H2270" s="93"/>
      <c r="I2270" s="85">
        <f>LOG(J2270)</f>
        <v>2.0374806960109462</v>
      </c>
      <c r="J2270" s="99">
        <v>109.01360357671456</v>
      </c>
      <c r="K2270" s="131" t="s">
        <v>232</v>
      </c>
      <c r="L2270" s="60" t="s">
        <v>233</v>
      </c>
      <c r="M2270" s="33">
        <f>-7.1743 + 2.836*LOG(155)</f>
        <v>-0.96251930398905383</v>
      </c>
      <c r="N2270" s="37">
        <f>1000*10^M2270</f>
        <v>109.01360357671456</v>
      </c>
    </row>
    <row r="2271" spans="1:15" ht="14" x14ac:dyDescent="0.15">
      <c r="A2271" s="166" t="s">
        <v>2479</v>
      </c>
      <c r="B2271" s="93" t="s">
        <v>6852</v>
      </c>
      <c r="C2271" s="70" t="s">
        <v>3636</v>
      </c>
      <c r="D2271" s="70" t="s">
        <v>3437</v>
      </c>
      <c r="E2271" s="70" t="s">
        <v>5992</v>
      </c>
      <c r="F2271" s="70" t="s">
        <v>7854</v>
      </c>
      <c r="G2271" s="70" t="s">
        <v>5460</v>
      </c>
      <c r="H2271" s="93"/>
      <c r="I2271" s="85">
        <v>-999</v>
      </c>
      <c r="J2271" s="85">
        <v>-999</v>
      </c>
      <c r="K2271" s="131" t="s">
        <v>3177</v>
      </c>
      <c r="L2271" s="60">
        <v>-999</v>
      </c>
      <c r="M2271" s="33"/>
    </row>
    <row r="2272" spans="1:15" ht="17" x14ac:dyDescent="0.2">
      <c r="A2272" s="166" t="s">
        <v>2479</v>
      </c>
      <c r="B2272" s="93" t="s">
        <v>6852</v>
      </c>
      <c r="C2272" s="73" t="s">
        <v>3636</v>
      </c>
      <c r="D2272" s="73" t="s">
        <v>3437</v>
      </c>
      <c r="E2272" s="73" t="s">
        <v>5992</v>
      </c>
      <c r="F2272" s="73" t="s">
        <v>7854</v>
      </c>
      <c r="G2272" s="73" t="s">
        <v>5814</v>
      </c>
      <c r="H2272" s="108"/>
      <c r="I2272" s="85">
        <v>-999</v>
      </c>
      <c r="J2272" s="95">
        <v>-999</v>
      </c>
      <c r="K2272" s="131" t="s">
        <v>6630</v>
      </c>
      <c r="L2272" s="60">
        <v>-999</v>
      </c>
      <c r="M2272" s="47" t="s">
        <v>6392</v>
      </c>
    </row>
    <row r="2273" spans="1:28" ht="28" x14ac:dyDescent="0.15">
      <c r="A2273" s="166" t="s">
        <v>2479</v>
      </c>
      <c r="B2273" s="93" t="s">
        <v>7240</v>
      </c>
      <c r="C2273" s="70" t="s">
        <v>3636</v>
      </c>
      <c r="D2273" s="70" t="s">
        <v>3437</v>
      </c>
      <c r="E2273" s="70" t="s">
        <v>5992</v>
      </c>
      <c r="F2273" s="70" t="s">
        <v>7854</v>
      </c>
      <c r="G2273" s="70" t="s">
        <v>3334</v>
      </c>
      <c r="H2273" s="93"/>
      <c r="I2273" s="85">
        <f>LOG(J2273)</f>
        <v>1.7160033436347992</v>
      </c>
      <c r="J2273" s="85">
        <v>52</v>
      </c>
      <c r="K2273" s="131" t="s">
        <v>3177</v>
      </c>
      <c r="L2273" s="60">
        <v>75</v>
      </c>
    </row>
    <row r="2274" spans="1:28" ht="28" x14ac:dyDescent="0.15">
      <c r="A2274" s="166" t="s">
        <v>2479</v>
      </c>
      <c r="B2274" s="82" t="s">
        <v>7975</v>
      </c>
      <c r="C2274" s="70" t="s">
        <v>3636</v>
      </c>
      <c r="D2274" s="70" t="s">
        <v>3437</v>
      </c>
      <c r="E2274" s="70" t="s">
        <v>5992</v>
      </c>
      <c r="F2274" s="70" t="s">
        <v>5811</v>
      </c>
      <c r="G2274" s="70" t="s">
        <v>4002</v>
      </c>
      <c r="H2274" s="93"/>
      <c r="I2274" s="85">
        <v>-999</v>
      </c>
      <c r="J2274" s="85">
        <v>-999</v>
      </c>
      <c r="K2274" s="131" t="s">
        <v>6391</v>
      </c>
      <c r="L2274" s="60">
        <v>-999</v>
      </c>
      <c r="M2274" s="33" t="s">
        <v>6728</v>
      </c>
    </row>
    <row r="2275" spans="1:28" ht="14" x14ac:dyDescent="0.15">
      <c r="A2275" s="166" t="s">
        <v>2479</v>
      </c>
      <c r="B2275" s="82" t="s">
        <v>7816</v>
      </c>
      <c r="C2275" s="70" t="s">
        <v>3636</v>
      </c>
      <c r="D2275" s="70" t="s">
        <v>3437</v>
      </c>
      <c r="E2275" s="70" t="s">
        <v>5992</v>
      </c>
      <c r="F2275" s="70" t="s">
        <v>5811</v>
      </c>
      <c r="G2275" s="70" t="s">
        <v>7862</v>
      </c>
      <c r="H2275" s="93"/>
      <c r="I2275" s="85">
        <v>-999</v>
      </c>
      <c r="J2275" s="85">
        <v>-999</v>
      </c>
      <c r="K2275" s="131" t="s">
        <v>6630</v>
      </c>
      <c r="L2275" s="60">
        <v>-999</v>
      </c>
      <c r="M2275" s="33" t="s">
        <v>6392</v>
      </c>
    </row>
    <row r="2276" spans="1:28" ht="14" x14ac:dyDescent="0.15">
      <c r="A2276" s="166" t="s">
        <v>2479</v>
      </c>
      <c r="B2276" s="93" t="s">
        <v>7817</v>
      </c>
      <c r="C2276" s="73" t="s">
        <v>3636</v>
      </c>
      <c r="D2276" s="73" t="s">
        <v>3437</v>
      </c>
      <c r="E2276" s="73" t="s">
        <v>5992</v>
      </c>
      <c r="F2276" s="73" t="s">
        <v>5811</v>
      </c>
      <c r="G2276" s="73" t="s">
        <v>7863</v>
      </c>
      <c r="H2276" s="108"/>
      <c r="I2276" s="85">
        <v>-999</v>
      </c>
      <c r="J2276" s="95">
        <v>-999</v>
      </c>
      <c r="K2276" s="131" t="s">
        <v>6630</v>
      </c>
      <c r="L2276" s="60">
        <v>-999</v>
      </c>
      <c r="M2276" s="33" t="s">
        <v>6392</v>
      </c>
    </row>
    <row r="2277" spans="1:28" ht="28" x14ac:dyDescent="0.15">
      <c r="A2277" s="166" t="s">
        <v>2479</v>
      </c>
      <c r="B2277" s="93" t="s">
        <v>7968</v>
      </c>
      <c r="C2277" s="70" t="s">
        <v>3636</v>
      </c>
      <c r="D2277" s="70" t="s">
        <v>3437</v>
      </c>
      <c r="E2277" s="70" t="s">
        <v>5992</v>
      </c>
      <c r="F2277" s="70" t="s">
        <v>5811</v>
      </c>
      <c r="G2277" s="70" t="s">
        <v>5189</v>
      </c>
      <c r="H2277" s="93"/>
      <c r="I2277" s="85">
        <v>-999</v>
      </c>
      <c r="J2277" s="85">
        <v>-999</v>
      </c>
      <c r="K2277" s="134" t="s">
        <v>3177</v>
      </c>
      <c r="L2277" s="63">
        <v>-999</v>
      </c>
      <c r="M2277" s="33"/>
    </row>
    <row r="2278" spans="1:28" ht="14" x14ac:dyDescent="0.15">
      <c r="A2278" s="166" t="s">
        <v>2479</v>
      </c>
      <c r="B2278" s="93" t="s">
        <v>7829</v>
      </c>
      <c r="C2278" s="70" t="s">
        <v>3636</v>
      </c>
      <c r="D2278" s="70" t="s">
        <v>3437</v>
      </c>
      <c r="E2278" s="70" t="s">
        <v>5992</v>
      </c>
      <c r="F2278" s="70" t="s">
        <v>5811</v>
      </c>
      <c r="G2278" s="70" t="s">
        <v>4669</v>
      </c>
      <c r="H2278" s="93"/>
      <c r="I2278" s="85">
        <v>-999</v>
      </c>
      <c r="J2278" s="85">
        <v>-999</v>
      </c>
      <c r="K2278" s="131" t="s">
        <v>6630</v>
      </c>
      <c r="L2278" s="60">
        <v>-999</v>
      </c>
      <c r="M2278" s="33" t="s">
        <v>6727</v>
      </c>
    </row>
    <row r="2279" spans="1:28" ht="14" x14ac:dyDescent="0.15">
      <c r="A2279" s="166" t="s">
        <v>2479</v>
      </c>
      <c r="B2279" s="93" t="s">
        <v>7972</v>
      </c>
      <c r="C2279" s="70" t="s">
        <v>3636</v>
      </c>
      <c r="D2279" s="70" t="s">
        <v>3437</v>
      </c>
      <c r="E2279" s="70" t="s">
        <v>5992</v>
      </c>
      <c r="F2279" s="70" t="s">
        <v>5811</v>
      </c>
      <c r="G2279" s="70" t="s">
        <v>6208</v>
      </c>
      <c r="H2279" s="93"/>
      <c r="I2279" s="85">
        <f>LOG(J2279)</f>
        <v>0.59328606702045728</v>
      </c>
      <c r="J2279" s="85">
        <f>1000*0.00392</f>
        <v>3.92</v>
      </c>
      <c r="K2279" s="131" t="s">
        <v>3177</v>
      </c>
      <c r="L2279" s="60">
        <f>60</f>
        <v>60</v>
      </c>
      <c r="M2279" s="33"/>
    </row>
    <row r="2280" spans="1:28" ht="14" x14ac:dyDescent="0.15">
      <c r="A2280" s="166" t="s">
        <v>2479</v>
      </c>
      <c r="B2280" s="93" t="s">
        <v>7823</v>
      </c>
      <c r="C2280" s="70" t="s">
        <v>3636</v>
      </c>
      <c r="D2280" s="70" t="s">
        <v>3437</v>
      </c>
      <c r="E2280" s="70" t="s">
        <v>5992</v>
      </c>
      <c r="F2280" s="70" t="s">
        <v>5061</v>
      </c>
      <c r="G2280" s="70" t="s">
        <v>5649</v>
      </c>
      <c r="H2280" s="93"/>
      <c r="I2280" s="85">
        <v>-999</v>
      </c>
      <c r="J2280" s="85">
        <v>-999</v>
      </c>
      <c r="K2280" s="131" t="s">
        <v>6391</v>
      </c>
      <c r="L2280" s="60">
        <v>-999</v>
      </c>
      <c r="M2280" s="49" t="s">
        <v>6809</v>
      </c>
    </row>
    <row r="2281" spans="1:28" ht="14" x14ac:dyDescent="0.15">
      <c r="A2281" s="166" t="s">
        <v>2479</v>
      </c>
      <c r="B2281" s="93" t="s">
        <v>1902</v>
      </c>
      <c r="C2281" s="70" t="s">
        <v>3636</v>
      </c>
      <c r="D2281" s="70" t="s">
        <v>3437</v>
      </c>
      <c r="E2281" s="73" t="s">
        <v>5992</v>
      </c>
      <c r="F2281" s="70" t="s">
        <v>5061</v>
      </c>
      <c r="G2281" s="70" t="s">
        <v>7940</v>
      </c>
      <c r="H2281" s="93"/>
      <c r="I2281" s="85">
        <v>-999</v>
      </c>
      <c r="J2281" s="85">
        <v>-999</v>
      </c>
      <c r="K2281" s="131" t="s">
        <v>6391</v>
      </c>
      <c r="L2281" s="60">
        <v>-999</v>
      </c>
      <c r="M2281" s="33" t="s">
        <v>6390</v>
      </c>
    </row>
    <row r="2282" spans="1:28" ht="14" x14ac:dyDescent="0.15">
      <c r="A2282" s="166" t="s">
        <v>2479</v>
      </c>
      <c r="B2282" s="93" t="s">
        <v>2308</v>
      </c>
      <c r="C2282" s="70" t="s">
        <v>3636</v>
      </c>
      <c r="D2282" s="70" t="s">
        <v>3437</v>
      </c>
      <c r="E2282" s="73" t="s">
        <v>5992</v>
      </c>
      <c r="F2282" s="70" t="s">
        <v>5061</v>
      </c>
      <c r="G2282" s="70" t="s">
        <v>3388</v>
      </c>
      <c r="H2282" s="93"/>
      <c r="I2282" s="85">
        <v>-999</v>
      </c>
      <c r="J2282" s="85">
        <v>-999</v>
      </c>
      <c r="K2282" s="131" t="s">
        <v>3177</v>
      </c>
      <c r="L2282" s="60">
        <v>-999</v>
      </c>
      <c r="M2282" s="33"/>
    </row>
    <row r="2283" spans="1:28" ht="17" x14ac:dyDescent="0.2">
      <c r="A2283" s="166" t="s">
        <v>2479</v>
      </c>
      <c r="B2283" s="93" t="s">
        <v>7825</v>
      </c>
      <c r="C2283" s="70" t="s">
        <v>3636</v>
      </c>
      <c r="D2283" s="70" t="s">
        <v>3437</v>
      </c>
      <c r="E2283" s="70" t="s">
        <v>5992</v>
      </c>
      <c r="F2283" s="70" t="s">
        <v>5061</v>
      </c>
      <c r="G2283" s="70" t="s">
        <v>5621</v>
      </c>
      <c r="H2283" s="93"/>
      <c r="I2283" s="85">
        <v>-999</v>
      </c>
      <c r="J2283" s="85">
        <v>-999</v>
      </c>
      <c r="K2283" s="131" t="s">
        <v>6630</v>
      </c>
      <c r="L2283" s="60">
        <v>-999</v>
      </c>
      <c r="M2283" s="47" t="s">
        <v>6727</v>
      </c>
    </row>
    <row r="2284" spans="1:28" ht="14" x14ac:dyDescent="0.15">
      <c r="A2284" s="166" t="s">
        <v>2479</v>
      </c>
      <c r="B2284" s="93" t="s">
        <v>2885</v>
      </c>
      <c r="C2284" s="70" t="s">
        <v>3636</v>
      </c>
      <c r="D2284" s="70" t="s">
        <v>3437</v>
      </c>
      <c r="E2284" s="70" t="s">
        <v>5992</v>
      </c>
      <c r="F2284" s="70" t="s">
        <v>5061</v>
      </c>
      <c r="G2284" s="70" t="s">
        <v>6228</v>
      </c>
      <c r="H2284" s="93"/>
      <c r="I2284" s="85">
        <v>-999</v>
      </c>
      <c r="J2284" s="85">
        <v>-999</v>
      </c>
      <c r="K2284" s="131" t="s">
        <v>6630</v>
      </c>
      <c r="L2284" s="60">
        <v>-999</v>
      </c>
      <c r="M2284" s="33" t="s">
        <v>6727</v>
      </c>
    </row>
    <row r="2285" spans="1:28" ht="14" x14ac:dyDescent="0.15">
      <c r="A2285" s="166" t="s">
        <v>2479</v>
      </c>
      <c r="B2285" s="93" t="s">
        <v>6852</v>
      </c>
      <c r="C2285" s="70" t="s">
        <v>3636</v>
      </c>
      <c r="D2285" s="70" t="s">
        <v>3437</v>
      </c>
      <c r="E2285" s="70" t="s">
        <v>5992</v>
      </c>
      <c r="F2285" s="70" t="s">
        <v>5061</v>
      </c>
      <c r="G2285" s="70" t="s">
        <v>5647</v>
      </c>
      <c r="H2285" s="93"/>
      <c r="I2285" s="85">
        <v>-999</v>
      </c>
      <c r="J2285" s="85">
        <v>-999</v>
      </c>
      <c r="K2285" s="131" t="s">
        <v>6630</v>
      </c>
      <c r="L2285" s="60">
        <v>-999</v>
      </c>
      <c r="M2285" s="49" t="s">
        <v>6727</v>
      </c>
    </row>
    <row r="2286" spans="1:28" ht="14" x14ac:dyDescent="0.15">
      <c r="A2286" s="166" t="s">
        <v>2479</v>
      </c>
      <c r="B2286" s="93" t="s">
        <v>2885</v>
      </c>
      <c r="C2286" s="70" t="s">
        <v>3636</v>
      </c>
      <c r="D2286" s="70" t="s">
        <v>3437</v>
      </c>
      <c r="E2286" s="70" t="s">
        <v>5992</v>
      </c>
      <c r="F2286" s="70" t="s">
        <v>5061</v>
      </c>
      <c r="G2286" s="70" t="s">
        <v>5453</v>
      </c>
      <c r="H2286" s="93"/>
      <c r="I2286" s="85">
        <v>-999</v>
      </c>
      <c r="J2286" s="85">
        <v>-999</v>
      </c>
      <c r="K2286" s="131" t="s">
        <v>3177</v>
      </c>
      <c r="L2286" s="60">
        <v>-999</v>
      </c>
      <c r="M2286" s="33"/>
    </row>
    <row r="2287" spans="1:28" ht="14" x14ac:dyDescent="0.15">
      <c r="A2287" s="166" t="s">
        <v>2479</v>
      </c>
      <c r="B2287" s="93" t="s">
        <v>7307</v>
      </c>
      <c r="C2287" s="70" t="s">
        <v>3636</v>
      </c>
      <c r="D2287" s="70" t="s">
        <v>3437</v>
      </c>
      <c r="E2287" s="70" t="s">
        <v>5992</v>
      </c>
      <c r="F2287" s="70" t="s">
        <v>5061</v>
      </c>
      <c r="G2287" s="70" t="s">
        <v>5654</v>
      </c>
      <c r="H2287" s="93"/>
      <c r="I2287" s="85">
        <v>-999</v>
      </c>
      <c r="J2287" s="85">
        <v>-999</v>
      </c>
      <c r="K2287" s="131" t="s">
        <v>3177</v>
      </c>
      <c r="L2287" s="60">
        <v>-999</v>
      </c>
      <c r="M2287" s="33"/>
      <c r="Z2287" s="3"/>
      <c r="AA2287" s="3"/>
      <c r="AB2287" s="4"/>
    </row>
    <row r="2288" spans="1:28" ht="14" x14ac:dyDescent="0.15">
      <c r="A2288" s="166" t="s">
        <v>2479</v>
      </c>
      <c r="B2288" s="82"/>
      <c r="C2288" s="70" t="s">
        <v>3636</v>
      </c>
      <c r="D2288" s="70" t="s">
        <v>3437</v>
      </c>
      <c r="E2288" s="70" t="s">
        <v>5992</v>
      </c>
      <c r="F2288" s="70" t="s">
        <v>5061</v>
      </c>
      <c r="G2288" s="70" t="s">
        <v>5276</v>
      </c>
      <c r="H2288" s="93"/>
      <c r="I2288" s="85">
        <f>LOG(J2288)</f>
        <v>0.90308998699194354</v>
      </c>
      <c r="J2288" s="85">
        <v>8</v>
      </c>
      <c r="K2288" s="131" t="s">
        <v>6630</v>
      </c>
      <c r="L2288" s="60">
        <v>75</v>
      </c>
      <c r="M2288" s="49" t="s">
        <v>6392</v>
      </c>
      <c r="Z2288" s="3"/>
      <c r="AA2288" s="3"/>
      <c r="AB2288" s="4"/>
    </row>
    <row r="2289" spans="1:28" ht="14" x14ac:dyDescent="0.15">
      <c r="A2289" s="166" t="s">
        <v>2479</v>
      </c>
      <c r="B2289" s="93" t="s">
        <v>2885</v>
      </c>
      <c r="C2289" s="70" t="s">
        <v>3636</v>
      </c>
      <c r="D2289" s="70" t="s">
        <v>3437</v>
      </c>
      <c r="E2289" s="70" t="s">
        <v>5992</v>
      </c>
      <c r="F2289" s="70" t="s">
        <v>5061</v>
      </c>
      <c r="G2289" s="70" t="s">
        <v>5411</v>
      </c>
      <c r="H2289" s="93"/>
      <c r="I2289" s="85">
        <f>LOG(J2289)</f>
        <v>1</v>
      </c>
      <c r="J2289" s="85">
        <v>10</v>
      </c>
      <c r="K2289" s="131" t="s">
        <v>3177</v>
      </c>
      <c r="L2289" s="60" t="s">
        <v>7677</v>
      </c>
      <c r="M2289" s="33"/>
      <c r="Z2289" s="3"/>
      <c r="AA2289" s="3"/>
      <c r="AB2289" s="4"/>
    </row>
    <row r="2290" spans="1:28" ht="14" x14ac:dyDescent="0.15">
      <c r="A2290" s="166" t="s">
        <v>2479</v>
      </c>
      <c r="B2290" s="82"/>
      <c r="C2290" s="70" t="s">
        <v>3636</v>
      </c>
      <c r="D2290" s="70" t="s">
        <v>3437</v>
      </c>
      <c r="E2290" s="70" t="s">
        <v>5992</v>
      </c>
      <c r="F2290" s="70" t="s">
        <v>5061</v>
      </c>
      <c r="G2290" s="70" t="s">
        <v>4856</v>
      </c>
      <c r="H2290" s="93"/>
      <c r="I2290" s="85">
        <f>LOG(J2290)</f>
        <v>1</v>
      </c>
      <c r="J2290" s="85">
        <v>10</v>
      </c>
      <c r="K2290" s="131" t="s">
        <v>6485</v>
      </c>
      <c r="L2290" s="60">
        <v>-999</v>
      </c>
      <c r="Z2290" s="3"/>
      <c r="AA2290" s="3"/>
      <c r="AB2290" s="4"/>
    </row>
    <row r="2291" spans="1:28" ht="14" x14ac:dyDescent="0.15">
      <c r="A2291" s="166" t="s">
        <v>2479</v>
      </c>
      <c r="B2291" s="93" t="s">
        <v>2885</v>
      </c>
      <c r="C2291" s="70" t="s">
        <v>3636</v>
      </c>
      <c r="D2291" s="70" t="s">
        <v>3437</v>
      </c>
      <c r="E2291" s="70" t="s">
        <v>5992</v>
      </c>
      <c r="F2291" s="70" t="s">
        <v>5061</v>
      </c>
      <c r="G2291" s="70" t="s">
        <v>5652</v>
      </c>
      <c r="H2291" s="93"/>
      <c r="I2291" s="85">
        <f>LOG(J2291)</f>
        <v>1.0128372247051722</v>
      </c>
      <c r="J2291" s="85">
        <v>10.3</v>
      </c>
      <c r="K2291" s="131" t="s">
        <v>3177</v>
      </c>
      <c r="L2291" s="60">
        <v>197</v>
      </c>
      <c r="M2291" s="33"/>
      <c r="Z2291" s="3"/>
      <c r="AA2291" s="3"/>
      <c r="AB2291" s="4"/>
    </row>
    <row r="2292" spans="1:28" ht="42" x14ac:dyDescent="0.2">
      <c r="A2292" s="166" t="s">
        <v>2479</v>
      </c>
      <c r="B2292" s="93" t="s">
        <v>7306</v>
      </c>
      <c r="C2292" s="70" t="s">
        <v>3636</v>
      </c>
      <c r="D2292" s="70" t="s">
        <v>3437</v>
      </c>
      <c r="E2292" s="70" t="s">
        <v>5992</v>
      </c>
      <c r="F2292" s="70" t="s">
        <v>5061</v>
      </c>
      <c r="G2292" s="70" t="s">
        <v>5653</v>
      </c>
      <c r="H2292" s="93"/>
      <c r="I2292" s="85">
        <f>LOG(J2292)</f>
        <v>1.070037866607755</v>
      </c>
      <c r="J2292" s="85">
        <f>AVERAGE(9.5, 14)</f>
        <v>11.75</v>
      </c>
      <c r="K2292" s="131" t="s">
        <v>6630</v>
      </c>
      <c r="L2292" s="60" t="s">
        <v>6610</v>
      </c>
      <c r="M2292" s="47" t="s">
        <v>6392</v>
      </c>
      <c r="N2292" s="32" t="s">
        <v>1420</v>
      </c>
      <c r="Z2292" s="3"/>
      <c r="AA2292" s="3"/>
      <c r="AB2292" s="4"/>
    </row>
    <row r="2293" spans="1:28" ht="14" x14ac:dyDescent="0.15">
      <c r="A2293" s="166" t="s">
        <v>2479</v>
      </c>
      <c r="B2293" s="93" t="s">
        <v>7817</v>
      </c>
      <c r="C2293" s="70" t="s">
        <v>3636</v>
      </c>
      <c r="D2293" s="70" t="s">
        <v>3437</v>
      </c>
      <c r="E2293" s="70" t="s">
        <v>5992</v>
      </c>
      <c r="F2293" s="70" t="s">
        <v>6507</v>
      </c>
      <c r="G2293" s="70" t="s">
        <v>3395</v>
      </c>
      <c r="H2293" s="93"/>
      <c r="I2293" s="85">
        <v>-999</v>
      </c>
      <c r="J2293" s="85">
        <v>-999</v>
      </c>
      <c r="K2293" s="131" t="s">
        <v>3177</v>
      </c>
      <c r="L2293" s="60">
        <v>-999</v>
      </c>
      <c r="M2293" s="33"/>
      <c r="Z2293" s="3"/>
      <c r="AA2293" s="3"/>
      <c r="AB2293" s="4"/>
    </row>
    <row r="2294" spans="1:28" ht="14" x14ac:dyDescent="0.15">
      <c r="A2294" s="166" t="s">
        <v>2479</v>
      </c>
      <c r="B2294" s="93" t="s">
        <v>7817</v>
      </c>
      <c r="C2294" s="70" t="s">
        <v>3636</v>
      </c>
      <c r="D2294" s="70" t="s">
        <v>3437</v>
      </c>
      <c r="E2294" s="70" t="s">
        <v>5992</v>
      </c>
      <c r="F2294" s="70" t="s">
        <v>6507</v>
      </c>
      <c r="G2294" s="70" t="s">
        <v>5321</v>
      </c>
      <c r="H2294" s="93"/>
      <c r="I2294" s="85">
        <v>-999</v>
      </c>
      <c r="J2294" s="85">
        <v>-999</v>
      </c>
      <c r="K2294" s="131" t="s">
        <v>3177</v>
      </c>
      <c r="L2294" s="60">
        <v>-999</v>
      </c>
      <c r="M2294" s="33"/>
      <c r="Z2294" s="3"/>
      <c r="AA2294" s="3"/>
      <c r="AB2294" s="4"/>
    </row>
    <row r="2295" spans="1:28" ht="42" x14ac:dyDescent="0.15">
      <c r="A2295" s="166" t="s">
        <v>2479</v>
      </c>
      <c r="B2295" s="93" t="s">
        <v>4859</v>
      </c>
      <c r="C2295" s="70" t="s">
        <v>3636</v>
      </c>
      <c r="D2295" s="70" t="s">
        <v>3437</v>
      </c>
      <c r="E2295" s="70" t="s">
        <v>5992</v>
      </c>
      <c r="F2295" s="70" t="s">
        <v>6507</v>
      </c>
      <c r="G2295" s="70" t="s">
        <v>6498</v>
      </c>
      <c r="H2295" s="93"/>
      <c r="I2295" s="85">
        <f t="shared" ref="I2295:I2301" si="88">LOG(J2295)</f>
        <v>1.7403626894942439</v>
      </c>
      <c r="J2295" s="114">
        <v>55</v>
      </c>
      <c r="K2295" s="131" t="s">
        <v>3177</v>
      </c>
      <c r="L2295" s="60" t="s">
        <v>7671</v>
      </c>
      <c r="M2295" s="33"/>
      <c r="Z2295" s="3"/>
      <c r="AA2295" s="3"/>
      <c r="AB2295" s="4"/>
    </row>
    <row r="2296" spans="1:28" ht="14" x14ac:dyDescent="0.15">
      <c r="A2296" s="166" t="s">
        <v>2479</v>
      </c>
      <c r="B2296" s="82"/>
      <c r="C2296" s="70" t="s">
        <v>3636</v>
      </c>
      <c r="D2296" s="70" t="s">
        <v>3437</v>
      </c>
      <c r="E2296" s="70" t="s">
        <v>3826</v>
      </c>
      <c r="F2296" s="70" t="s">
        <v>2847</v>
      </c>
      <c r="G2296" s="70" t="s">
        <v>4223</v>
      </c>
      <c r="H2296" s="93"/>
      <c r="I2296" s="85">
        <f t="shared" si="88"/>
        <v>1.9292145037373938</v>
      </c>
      <c r="J2296" s="85">
        <v>84.96</v>
      </c>
      <c r="K2296" s="131" t="s">
        <v>6485</v>
      </c>
      <c r="L2296" s="60">
        <v>68</v>
      </c>
      <c r="Z2296" s="3"/>
      <c r="AA2296" s="3"/>
      <c r="AB2296" s="4"/>
    </row>
    <row r="2297" spans="1:28" ht="14" x14ac:dyDescent="0.15">
      <c r="A2297" s="166" t="s">
        <v>2479</v>
      </c>
      <c r="B2297" s="82"/>
      <c r="C2297" s="70" t="s">
        <v>3636</v>
      </c>
      <c r="D2297" s="70" t="s">
        <v>3437</v>
      </c>
      <c r="E2297" s="70" t="s">
        <v>6973</v>
      </c>
      <c r="F2297" s="70" t="s">
        <v>6974</v>
      </c>
      <c r="G2297" s="70" t="s">
        <v>2250</v>
      </c>
      <c r="H2297" s="93"/>
      <c r="I2297" s="85">
        <f t="shared" si="88"/>
        <v>3.3010299956639813</v>
      </c>
      <c r="J2297" s="85">
        <v>2000</v>
      </c>
      <c r="K2297" s="131" t="s">
        <v>3177</v>
      </c>
      <c r="L2297" s="60">
        <v>119</v>
      </c>
      <c r="M2297" s="33"/>
      <c r="Z2297" s="3"/>
      <c r="AA2297" s="3"/>
      <c r="AB2297" s="4"/>
    </row>
    <row r="2298" spans="1:28" ht="14" x14ac:dyDescent="0.15">
      <c r="A2298" s="166" t="s">
        <v>2479</v>
      </c>
      <c r="B2298" s="82"/>
      <c r="C2298" s="70" t="s">
        <v>3636</v>
      </c>
      <c r="D2298" s="70" t="s">
        <v>3437</v>
      </c>
      <c r="E2298" s="70" t="s">
        <v>6973</v>
      </c>
      <c r="F2298" s="70" t="s">
        <v>6976</v>
      </c>
      <c r="G2298" s="70" t="s">
        <v>5296</v>
      </c>
      <c r="H2298" s="93"/>
      <c r="I2298" s="85">
        <f t="shared" si="88"/>
        <v>3.9030899869919438</v>
      </c>
      <c r="J2298" s="85">
        <v>8000</v>
      </c>
      <c r="K2298" s="131" t="s">
        <v>6485</v>
      </c>
      <c r="L2298" s="60" t="s">
        <v>1307</v>
      </c>
      <c r="Z2298" s="3"/>
      <c r="AA2298" s="3"/>
      <c r="AB2298" s="4"/>
    </row>
    <row r="2299" spans="1:28" ht="14" x14ac:dyDescent="0.15">
      <c r="A2299" s="166" t="s">
        <v>2479</v>
      </c>
      <c r="B2299" s="96"/>
      <c r="C2299" s="70" t="s">
        <v>3636</v>
      </c>
      <c r="D2299" s="70" t="s">
        <v>3437</v>
      </c>
      <c r="E2299" s="70" t="s">
        <v>6973</v>
      </c>
      <c r="F2299" s="70" t="s">
        <v>6976</v>
      </c>
      <c r="G2299" s="70" t="s">
        <v>2354</v>
      </c>
      <c r="H2299" s="93"/>
      <c r="I2299" s="85">
        <f t="shared" si="88"/>
        <v>4.0969100130080562</v>
      </c>
      <c r="J2299" s="85">
        <f>AVERAGE(10000, 15000)</f>
        <v>12500</v>
      </c>
      <c r="K2299" s="131" t="s">
        <v>1607</v>
      </c>
      <c r="L2299" s="60">
        <v>111</v>
      </c>
      <c r="M2299" s="33" t="s">
        <v>6392</v>
      </c>
      <c r="Z2299" s="3"/>
      <c r="AA2299" s="3"/>
      <c r="AB2299" s="4"/>
    </row>
    <row r="2300" spans="1:28" ht="14" x14ac:dyDescent="0.15">
      <c r="A2300" s="166" t="s">
        <v>2479</v>
      </c>
      <c r="B2300" s="82"/>
      <c r="C2300" s="70" t="s">
        <v>3636</v>
      </c>
      <c r="D2300" s="70" t="s">
        <v>3437</v>
      </c>
      <c r="E2300" s="70" t="s">
        <v>6973</v>
      </c>
      <c r="F2300" s="70" t="s">
        <v>6976</v>
      </c>
      <c r="G2300" s="70" t="s">
        <v>3926</v>
      </c>
      <c r="H2300" s="93"/>
      <c r="I2300" s="85">
        <f t="shared" si="88"/>
        <v>4.1658376246901279</v>
      </c>
      <c r="J2300" s="85">
        <v>14650</v>
      </c>
      <c r="K2300" s="131" t="s">
        <v>6485</v>
      </c>
      <c r="L2300" s="60">
        <v>68</v>
      </c>
      <c r="Z2300" s="3"/>
      <c r="AA2300" s="3"/>
      <c r="AB2300" s="4"/>
    </row>
    <row r="2301" spans="1:28" ht="14" x14ac:dyDescent="0.15">
      <c r="A2301" s="170" t="s">
        <v>2479</v>
      </c>
      <c r="B2301" s="82" t="s">
        <v>2932</v>
      </c>
      <c r="C2301" s="83" t="s">
        <v>3636</v>
      </c>
      <c r="D2301" s="83" t="s">
        <v>3437</v>
      </c>
      <c r="E2301" s="83" t="s">
        <v>6973</v>
      </c>
      <c r="F2301" s="83" t="s">
        <v>7310</v>
      </c>
      <c r="G2301" s="83" t="s">
        <v>7311</v>
      </c>
      <c r="H2301" s="82"/>
      <c r="I2301" s="85">
        <f t="shared" si="88"/>
        <v>3.1931245983544616</v>
      </c>
      <c r="J2301" s="84">
        <f>AVERAGE(1000, 1525, 2155)</f>
        <v>1560</v>
      </c>
      <c r="K2301" s="136"/>
      <c r="L2301" s="69" t="s">
        <v>1393</v>
      </c>
      <c r="M2301" s="31"/>
      <c r="Z2301" s="3"/>
      <c r="AA2301" s="3"/>
      <c r="AB2301" s="4"/>
    </row>
    <row r="2302" spans="1:28" ht="17" x14ac:dyDescent="0.2">
      <c r="A2302" s="166" t="s">
        <v>2479</v>
      </c>
      <c r="B2302" s="82" t="s">
        <v>2455</v>
      </c>
      <c r="C2302" s="70" t="s">
        <v>3636</v>
      </c>
      <c r="D2302" s="70" t="s">
        <v>3437</v>
      </c>
      <c r="E2302" s="73" t="s">
        <v>3457</v>
      </c>
      <c r="F2302" s="70" t="s">
        <v>3458</v>
      </c>
      <c r="G2302" s="70" t="s">
        <v>2911</v>
      </c>
      <c r="H2302" s="93"/>
      <c r="I2302" s="85">
        <v>-999</v>
      </c>
      <c r="J2302" s="85">
        <v>-999</v>
      </c>
      <c r="K2302" s="131" t="s">
        <v>6630</v>
      </c>
      <c r="L2302" s="60">
        <v>-999</v>
      </c>
      <c r="M2302" s="47" t="s">
        <v>6809</v>
      </c>
      <c r="Z2302" s="3"/>
      <c r="AA2302" s="3"/>
      <c r="AB2302" s="4"/>
    </row>
    <row r="2303" spans="1:28" ht="14" x14ac:dyDescent="0.15">
      <c r="A2303" s="166" t="s">
        <v>2479</v>
      </c>
      <c r="B2303" s="82"/>
      <c r="C2303" s="70" t="s">
        <v>3636</v>
      </c>
      <c r="D2303" s="70" t="s">
        <v>3437</v>
      </c>
      <c r="E2303" s="70" t="s">
        <v>3457</v>
      </c>
      <c r="F2303" s="70" t="s">
        <v>3458</v>
      </c>
      <c r="G2303" s="70" t="s">
        <v>3008</v>
      </c>
      <c r="H2303" s="93"/>
      <c r="I2303" s="85">
        <f>LOG(J2303)</f>
        <v>1.6967930741872248</v>
      </c>
      <c r="J2303" s="85">
        <f>AVERAGE(62.499997503987, 37)</f>
        <v>49.749998751993502</v>
      </c>
      <c r="K2303" s="131" t="s">
        <v>3177</v>
      </c>
      <c r="L2303" s="60" t="s">
        <v>6394</v>
      </c>
      <c r="N2303" s="49" t="s">
        <v>7336</v>
      </c>
      <c r="Z2303" s="3"/>
      <c r="AA2303" s="3"/>
      <c r="AB2303" s="4"/>
    </row>
    <row r="2304" spans="1:28" ht="14" x14ac:dyDescent="0.15">
      <c r="A2304" s="166" t="s">
        <v>2479</v>
      </c>
      <c r="B2304" s="82"/>
      <c r="C2304" s="70" t="s">
        <v>3636</v>
      </c>
      <c r="D2304" s="70" t="s">
        <v>3437</v>
      </c>
      <c r="E2304" s="70" t="s">
        <v>3457</v>
      </c>
      <c r="F2304" s="70" t="s">
        <v>3458</v>
      </c>
      <c r="G2304" s="70" t="s">
        <v>3006</v>
      </c>
      <c r="H2304" s="93"/>
      <c r="I2304" s="85">
        <f>LOG(J2304)</f>
        <v>1.8211858826088454</v>
      </c>
      <c r="J2304" s="85">
        <f>AVERAGE(40, 85, 50, 90)</f>
        <v>66.25</v>
      </c>
      <c r="K2304" s="131" t="s">
        <v>1286</v>
      </c>
      <c r="L2304" s="60" t="s">
        <v>1377</v>
      </c>
      <c r="M2304" s="33"/>
      <c r="N2304" s="37" t="s">
        <v>7335</v>
      </c>
      <c r="Z2304" s="3"/>
      <c r="AA2304" s="3"/>
      <c r="AB2304" s="4"/>
    </row>
    <row r="2305" spans="1:28" ht="140" x14ac:dyDescent="0.15">
      <c r="A2305" s="166" t="s">
        <v>2479</v>
      </c>
      <c r="B2305" s="82"/>
      <c r="C2305" s="70" t="s">
        <v>3636</v>
      </c>
      <c r="D2305" s="70" t="s">
        <v>3437</v>
      </c>
      <c r="E2305" s="70" t="s">
        <v>3457</v>
      </c>
      <c r="F2305" s="70" t="s">
        <v>6093</v>
      </c>
      <c r="G2305" s="70" t="s">
        <v>3799</v>
      </c>
      <c r="H2305" s="93"/>
      <c r="I2305" s="85">
        <f>LOG(J2305)</f>
        <v>1.6797239315844965</v>
      </c>
      <c r="J2305" s="85">
        <v>47.832593772589071</v>
      </c>
      <c r="K2305" s="131" t="s">
        <v>7558</v>
      </c>
      <c r="L2305" s="60">
        <v>-999</v>
      </c>
      <c r="M2305" s="33">
        <f>-6.8244+2.671*(LOG(115))</f>
        <v>-1.3202760684155033</v>
      </c>
      <c r="N2305" s="37" t="s">
        <v>277</v>
      </c>
      <c r="Z2305" s="3"/>
      <c r="AA2305" s="3"/>
      <c r="AB2305" s="4"/>
    </row>
    <row r="2306" spans="1:28" ht="14" x14ac:dyDescent="0.15">
      <c r="A2306" s="166" t="s">
        <v>2479</v>
      </c>
      <c r="B2306" s="82"/>
      <c r="C2306" s="70" t="s">
        <v>3636</v>
      </c>
      <c r="D2306" s="70" t="s">
        <v>3437</v>
      </c>
      <c r="E2306" s="70" t="s">
        <v>3457</v>
      </c>
      <c r="F2306" s="70" t="s">
        <v>6093</v>
      </c>
      <c r="G2306" s="70" t="s">
        <v>6094</v>
      </c>
      <c r="H2306" s="93"/>
      <c r="I2306" s="85">
        <f>LOG(J2306)</f>
        <v>2.0628000167609422</v>
      </c>
      <c r="J2306" s="85">
        <v>115.55800000000001</v>
      </c>
      <c r="K2306" s="131" t="s">
        <v>1782</v>
      </c>
      <c r="L2306" s="60" t="s">
        <v>1154</v>
      </c>
      <c r="M2306" s="33">
        <f>-6.8244+2.671*(LOG(160))</f>
        <v>-0.93719552632602543</v>
      </c>
      <c r="N2306" s="37" t="s">
        <v>277</v>
      </c>
      <c r="Z2306" s="3"/>
      <c r="AA2306" s="3"/>
      <c r="AB2306" s="4"/>
    </row>
    <row r="2307" spans="1:28" ht="14" x14ac:dyDescent="0.15">
      <c r="A2307" s="166" t="s">
        <v>2479</v>
      </c>
      <c r="B2307" s="82"/>
      <c r="C2307" s="70" t="s">
        <v>3636</v>
      </c>
      <c r="D2307" s="70" t="s">
        <v>3437</v>
      </c>
      <c r="E2307" s="70" t="s">
        <v>3457</v>
      </c>
      <c r="F2307" s="70" t="s">
        <v>5650</v>
      </c>
      <c r="G2307" s="70" t="s">
        <v>6831</v>
      </c>
      <c r="H2307" s="93"/>
      <c r="I2307" s="85">
        <v>-999</v>
      </c>
      <c r="J2307" s="85">
        <v>-999</v>
      </c>
      <c r="K2307" s="131" t="s">
        <v>6630</v>
      </c>
      <c r="L2307" s="60">
        <v>-999</v>
      </c>
      <c r="M2307" s="33" t="s">
        <v>6392</v>
      </c>
      <c r="Z2307" s="3"/>
      <c r="AA2307" s="3"/>
      <c r="AB2307" s="4"/>
    </row>
    <row r="2308" spans="1:28" ht="14" x14ac:dyDescent="0.15">
      <c r="A2308" s="166" t="s">
        <v>2479</v>
      </c>
      <c r="B2308" s="82"/>
      <c r="C2308" s="70" t="s">
        <v>3636</v>
      </c>
      <c r="D2308" s="70" t="s">
        <v>3437</v>
      </c>
      <c r="E2308" s="70" t="s">
        <v>3457</v>
      </c>
      <c r="F2308" s="70" t="s">
        <v>5650</v>
      </c>
      <c r="G2308" s="70" t="s">
        <v>6229</v>
      </c>
      <c r="H2308" s="93"/>
      <c r="I2308" s="85">
        <v>-999</v>
      </c>
      <c r="J2308" s="85">
        <v>-999</v>
      </c>
      <c r="K2308" s="131" t="s">
        <v>3177</v>
      </c>
      <c r="L2308" s="60">
        <v>-999</v>
      </c>
      <c r="M2308" s="33"/>
      <c r="Z2308" s="3"/>
      <c r="AA2308" s="3"/>
      <c r="AB2308" s="4"/>
    </row>
    <row r="2309" spans="1:28" ht="14" x14ac:dyDescent="0.15">
      <c r="A2309" s="166" t="s">
        <v>2479</v>
      </c>
      <c r="B2309" s="82"/>
      <c r="C2309" s="70" t="s">
        <v>3636</v>
      </c>
      <c r="D2309" s="70" t="s">
        <v>3437</v>
      </c>
      <c r="E2309" s="70" t="s">
        <v>3457</v>
      </c>
      <c r="F2309" s="70" t="s">
        <v>5650</v>
      </c>
      <c r="G2309" s="70" t="s">
        <v>7278</v>
      </c>
      <c r="H2309" s="93"/>
      <c r="I2309" s="85">
        <v>-999</v>
      </c>
      <c r="J2309" s="85">
        <v>-999</v>
      </c>
      <c r="K2309" s="131" t="s">
        <v>3177</v>
      </c>
      <c r="L2309" s="60">
        <v>-999</v>
      </c>
      <c r="M2309" s="33"/>
      <c r="Z2309" s="3"/>
      <c r="AA2309" s="3"/>
      <c r="AB2309" s="4"/>
    </row>
    <row r="2310" spans="1:28" ht="14" x14ac:dyDescent="0.15">
      <c r="A2310" s="166" t="s">
        <v>2479</v>
      </c>
      <c r="B2310" s="82" t="s">
        <v>2418</v>
      </c>
      <c r="C2310" s="73" t="s">
        <v>3636</v>
      </c>
      <c r="D2310" s="73" t="s">
        <v>3437</v>
      </c>
      <c r="E2310" s="73" t="s">
        <v>3457</v>
      </c>
      <c r="F2310" s="73" t="s">
        <v>5650</v>
      </c>
      <c r="G2310" s="73" t="s">
        <v>6230</v>
      </c>
      <c r="H2310" s="108"/>
      <c r="I2310" s="85">
        <v>-999</v>
      </c>
      <c r="J2310" s="95">
        <v>-999</v>
      </c>
      <c r="K2310" s="131" t="s">
        <v>6630</v>
      </c>
      <c r="L2310" s="60">
        <v>-999</v>
      </c>
      <c r="M2310" s="33" t="s">
        <v>6728</v>
      </c>
      <c r="Z2310" s="3"/>
      <c r="AA2310" s="3"/>
      <c r="AB2310" s="4"/>
    </row>
    <row r="2311" spans="1:28" ht="14" x14ac:dyDescent="0.15">
      <c r="A2311" s="166" t="s">
        <v>2479</v>
      </c>
      <c r="B2311" s="82"/>
      <c r="C2311" s="70" t="s">
        <v>3636</v>
      </c>
      <c r="D2311" s="70" t="s">
        <v>3437</v>
      </c>
      <c r="E2311" s="70" t="s">
        <v>3457</v>
      </c>
      <c r="F2311" s="70" t="s">
        <v>5650</v>
      </c>
      <c r="G2311" s="70" t="s">
        <v>6232</v>
      </c>
      <c r="H2311" s="93"/>
      <c r="I2311" s="85">
        <v>-999</v>
      </c>
      <c r="J2311" s="85">
        <v>-999</v>
      </c>
      <c r="K2311" s="131" t="s">
        <v>3177</v>
      </c>
      <c r="L2311" s="60">
        <v>-999</v>
      </c>
      <c r="M2311" s="33"/>
      <c r="O2311" s="35"/>
      <c r="Z2311" s="3"/>
      <c r="AA2311" s="3"/>
      <c r="AB2311" s="4"/>
    </row>
    <row r="2312" spans="1:28" ht="14" x14ac:dyDescent="0.15">
      <c r="A2312" s="166" t="s">
        <v>2479</v>
      </c>
      <c r="B2312" s="82" t="s">
        <v>2418</v>
      </c>
      <c r="C2312" s="70" t="s">
        <v>3636</v>
      </c>
      <c r="D2312" s="70" t="s">
        <v>3437</v>
      </c>
      <c r="E2312" s="70" t="s">
        <v>3457</v>
      </c>
      <c r="F2312" s="70" t="s">
        <v>5650</v>
      </c>
      <c r="G2312" s="70" t="s">
        <v>6234</v>
      </c>
      <c r="H2312" s="93"/>
      <c r="I2312" s="85">
        <v>-999</v>
      </c>
      <c r="J2312" s="85">
        <v>-999</v>
      </c>
      <c r="K2312" s="131" t="s">
        <v>3177</v>
      </c>
      <c r="L2312" s="60">
        <v>-999</v>
      </c>
      <c r="M2312" s="33"/>
      <c r="Z2312" s="3"/>
      <c r="AA2312" s="3"/>
      <c r="AB2312" s="4"/>
    </row>
    <row r="2313" spans="1:28" ht="14" x14ac:dyDescent="0.15">
      <c r="A2313" s="166" t="s">
        <v>2479</v>
      </c>
      <c r="B2313" s="82"/>
      <c r="C2313" s="70" t="s">
        <v>3636</v>
      </c>
      <c r="D2313" s="70" t="s">
        <v>3437</v>
      </c>
      <c r="E2313" s="70" t="s">
        <v>3457</v>
      </c>
      <c r="F2313" s="70" t="s">
        <v>5650</v>
      </c>
      <c r="G2313" s="70" t="s">
        <v>2966</v>
      </c>
      <c r="H2313" s="93"/>
      <c r="I2313" s="85">
        <v>-999</v>
      </c>
      <c r="J2313" s="85">
        <v>-999</v>
      </c>
      <c r="K2313" s="131" t="s">
        <v>3177</v>
      </c>
      <c r="L2313" s="60">
        <v>-999</v>
      </c>
      <c r="M2313" s="33"/>
      <c r="Z2313" s="3"/>
      <c r="AA2313" s="3"/>
      <c r="AB2313" s="4"/>
    </row>
    <row r="2314" spans="1:28" ht="14" x14ac:dyDescent="0.15">
      <c r="A2314" s="166" t="s">
        <v>2479</v>
      </c>
      <c r="B2314" s="82"/>
      <c r="C2314" s="70" t="s">
        <v>3636</v>
      </c>
      <c r="D2314" s="70" t="s">
        <v>3437</v>
      </c>
      <c r="E2314" s="70" t="s">
        <v>3457</v>
      </c>
      <c r="F2314" s="70" t="s">
        <v>5650</v>
      </c>
      <c r="G2314" s="70" t="s">
        <v>6233</v>
      </c>
      <c r="H2314" s="93"/>
      <c r="I2314" s="85">
        <f>LOG(J2314)</f>
        <v>1.4388059569774534</v>
      </c>
      <c r="J2314" s="85">
        <f>AVERAGE(26.5, 34, 21.9)</f>
        <v>27.466666666666669</v>
      </c>
      <c r="K2314" s="131" t="s">
        <v>6335</v>
      </c>
      <c r="L2314" s="60" t="s">
        <v>275</v>
      </c>
      <c r="Z2314" s="3"/>
      <c r="AA2314" s="3"/>
      <c r="AB2314" s="4"/>
    </row>
    <row r="2315" spans="1:28" ht="14" x14ac:dyDescent="0.15">
      <c r="A2315" s="166" t="s">
        <v>2479</v>
      </c>
      <c r="B2315" s="82"/>
      <c r="C2315" s="70" t="s">
        <v>3636</v>
      </c>
      <c r="D2315" s="70" t="s">
        <v>3437</v>
      </c>
      <c r="E2315" s="70" t="s">
        <v>3457</v>
      </c>
      <c r="F2315" s="70" t="s">
        <v>5650</v>
      </c>
      <c r="G2315" s="70" t="s">
        <v>3959</v>
      </c>
      <c r="H2315" s="93"/>
      <c r="I2315" s="85">
        <f>LOG(J2315)</f>
        <v>1.5563025007672873</v>
      </c>
      <c r="J2315" s="85">
        <f>1000*0.036</f>
        <v>36</v>
      </c>
      <c r="K2315" s="131" t="s">
        <v>3177</v>
      </c>
      <c r="L2315" s="60">
        <v>60</v>
      </c>
      <c r="M2315" s="33"/>
      <c r="Z2315" s="3"/>
      <c r="AA2315" s="3"/>
      <c r="AB2315" s="4"/>
    </row>
    <row r="2316" spans="1:28" ht="14" x14ac:dyDescent="0.15">
      <c r="A2316" s="166" t="s">
        <v>2479</v>
      </c>
      <c r="B2316" s="82" t="s">
        <v>2418</v>
      </c>
      <c r="C2316" s="70" t="s">
        <v>3636</v>
      </c>
      <c r="D2316" s="70" t="s">
        <v>3437</v>
      </c>
      <c r="E2316" s="70" t="s">
        <v>3457</v>
      </c>
      <c r="F2316" s="70" t="s">
        <v>5650</v>
      </c>
      <c r="G2316" s="70" t="s">
        <v>6231</v>
      </c>
      <c r="H2316" s="93"/>
      <c r="I2316" s="85">
        <f>LOG(J2316)</f>
        <v>1.568201724066995</v>
      </c>
      <c r="J2316" s="85">
        <v>37</v>
      </c>
      <c r="K2316" s="131" t="s">
        <v>6630</v>
      </c>
      <c r="L2316" s="60">
        <v>117</v>
      </c>
      <c r="M2316" s="33" t="s">
        <v>6392</v>
      </c>
      <c r="Z2316" s="3"/>
      <c r="AA2316" s="3"/>
      <c r="AB2316" s="4"/>
    </row>
    <row r="2317" spans="1:28" ht="14" x14ac:dyDescent="0.15">
      <c r="A2317" s="166" t="s">
        <v>2479</v>
      </c>
      <c r="B2317" s="82"/>
      <c r="C2317" s="70" t="s">
        <v>3636</v>
      </c>
      <c r="D2317" s="70" t="s">
        <v>3437</v>
      </c>
      <c r="E2317" s="70" t="s">
        <v>3457</v>
      </c>
      <c r="F2317" s="70" t="s">
        <v>5650</v>
      </c>
      <c r="G2317" s="70" t="s">
        <v>5651</v>
      </c>
      <c r="H2317" s="93"/>
      <c r="I2317" s="85">
        <f>LOG(J2317)</f>
        <v>1.5763413502057928</v>
      </c>
      <c r="J2317" s="85">
        <v>37.700000000000003</v>
      </c>
      <c r="K2317" s="131" t="s">
        <v>6485</v>
      </c>
      <c r="L2317" s="60">
        <v>68</v>
      </c>
      <c r="Z2317" s="3"/>
      <c r="AA2317" s="3"/>
      <c r="AB2317" s="4"/>
    </row>
    <row r="2318" spans="1:28" ht="14" x14ac:dyDescent="0.15">
      <c r="A2318" s="166" t="s">
        <v>2479</v>
      </c>
      <c r="B2318" s="82"/>
      <c r="C2318" s="70" t="s">
        <v>3636</v>
      </c>
      <c r="D2318" s="70" t="s">
        <v>3437</v>
      </c>
      <c r="E2318" s="70" t="s">
        <v>3457</v>
      </c>
      <c r="F2318" s="70" t="s">
        <v>5650</v>
      </c>
      <c r="G2318" s="70" t="s">
        <v>5071</v>
      </c>
      <c r="H2318" s="93"/>
      <c r="I2318" s="85">
        <f>LOG(J2318)</f>
        <v>1.6989700043360187</v>
      </c>
      <c r="J2318" s="85">
        <v>50</v>
      </c>
      <c r="K2318" s="131" t="s">
        <v>6485</v>
      </c>
      <c r="L2318" s="60">
        <v>68</v>
      </c>
      <c r="Z2318" s="3"/>
      <c r="AA2318" s="3"/>
      <c r="AB2318" s="4"/>
    </row>
    <row r="2319" spans="1:28" ht="14" x14ac:dyDescent="0.15">
      <c r="A2319" s="166" t="s">
        <v>2479</v>
      </c>
      <c r="B2319" s="82"/>
      <c r="C2319" s="70" t="s">
        <v>3636</v>
      </c>
      <c r="D2319" s="70" t="s">
        <v>3437</v>
      </c>
      <c r="E2319" s="70" t="s">
        <v>3457</v>
      </c>
      <c r="F2319" s="70" t="s">
        <v>5072</v>
      </c>
      <c r="G2319" s="70" t="s">
        <v>6019</v>
      </c>
      <c r="H2319" s="93"/>
      <c r="I2319" s="85">
        <v>-999</v>
      </c>
      <c r="J2319" s="85">
        <v>-999</v>
      </c>
      <c r="K2319" s="131" t="s">
        <v>3177</v>
      </c>
      <c r="L2319" s="60">
        <v>-999</v>
      </c>
      <c r="M2319" s="33"/>
      <c r="Z2319" s="3"/>
      <c r="AA2319" s="3"/>
      <c r="AB2319" s="4"/>
    </row>
    <row r="2320" spans="1:28" ht="14" x14ac:dyDescent="0.15">
      <c r="A2320" s="166" t="s">
        <v>2479</v>
      </c>
      <c r="B2320" s="82"/>
      <c r="C2320" s="70" t="s">
        <v>3636</v>
      </c>
      <c r="D2320" s="70" t="s">
        <v>3437</v>
      </c>
      <c r="E2320" s="70" t="s">
        <v>3457</v>
      </c>
      <c r="F2320" s="70" t="s">
        <v>5072</v>
      </c>
      <c r="G2320" s="70" t="s">
        <v>6164</v>
      </c>
      <c r="H2320" s="93"/>
      <c r="I2320" s="85">
        <v>-999</v>
      </c>
      <c r="J2320" s="85">
        <v>-999</v>
      </c>
      <c r="K2320" s="131" t="s">
        <v>6630</v>
      </c>
      <c r="L2320" s="60">
        <v>-999</v>
      </c>
      <c r="M2320" s="33" t="s">
        <v>6727</v>
      </c>
      <c r="Z2320" s="3"/>
      <c r="AA2320" s="3"/>
      <c r="AB2320" s="4"/>
    </row>
    <row r="2321" spans="1:28" ht="14" x14ac:dyDescent="0.15">
      <c r="A2321" s="166" t="s">
        <v>2479</v>
      </c>
      <c r="B2321" s="82"/>
      <c r="C2321" s="70" t="s">
        <v>3636</v>
      </c>
      <c r="D2321" s="70" t="s">
        <v>3437</v>
      </c>
      <c r="E2321" s="70" t="s">
        <v>3457</v>
      </c>
      <c r="F2321" s="70" t="s">
        <v>5072</v>
      </c>
      <c r="G2321" s="70" t="s">
        <v>6025</v>
      </c>
      <c r="H2321" s="93"/>
      <c r="I2321" s="85">
        <v>-999</v>
      </c>
      <c r="J2321" s="95">
        <v>-999</v>
      </c>
      <c r="K2321" s="131" t="s">
        <v>3177</v>
      </c>
      <c r="L2321" s="60">
        <v>-999</v>
      </c>
      <c r="M2321" s="33"/>
      <c r="Z2321" s="3"/>
      <c r="AA2321" s="3"/>
      <c r="AB2321" s="4"/>
    </row>
    <row r="2322" spans="1:28" ht="14" x14ac:dyDescent="0.15">
      <c r="A2322" s="166" t="s">
        <v>2479</v>
      </c>
      <c r="B2322" s="82" t="s">
        <v>2418</v>
      </c>
      <c r="C2322" s="73" t="s">
        <v>3636</v>
      </c>
      <c r="D2322" s="73" t="s">
        <v>3437</v>
      </c>
      <c r="E2322" s="70" t="s">
        <v>3457</v>
      </c>
      <c r="F2322" s="73" t="s">
        <v>5072</v>
      </c>
      <c r="G2322" s="73" t="s">
        <v>6026</v>
      </c>
      <c r="H2322" s="108"/>
      <c r="I2322" s="85">
        <v>-999</v>
      </c>
      <c r="J2322" s="95">
        <v>-999</v>
      </c>
      <c r="K2322" s="131" t="s">
        <v>3177</v>
      </c>
      <c r="L2322" s="60">
        <v>-999</v>
      </c>
      <c r="M2322" s="33"/>
      <c r="Z2322" s="3"/>
      <c r="AA2322" s="3"/>
      <c r="AB2322" s="4"/>
    </row>
    <row r="2323" spans="1:28" ht="14" x14ac:dyDescent="0.15">
      <c r="A2323" s="166" t="s">
        <v>2479</v>
      </c>
      <c r="B2323" s="82"/>
      <c r="C2323" s="73" t="s">
        <v>3636</v>
      </c>
      <c r="D2323" s="73" t="s">
        <v>3437</v>
      </c>
      <c r="E2323" s="70" t="s">
        <v>3457</v>
      </c>
      <c r="F2323" s="73" t="s">
        <v>5072</v>
      </c>
      <c r="G2323" s="73" t="s">
        <v>6029</v>
      </c>
      <c r="H2323" s="108"/>
      <c r="I2323" s="85">
        <v>-999</v>
      </c>
      <c r="J2323" s="95">
        <v>-999</v>
      </c>
      <c r="K2323" s="131" t="s">
        <v>3177</v>
      </c>
      <c r="L2323" s="60">
        <v>-999</v>
      </c>
      <c r="M2323" s="33"/>
      <c r="Z2323" s="3"/>
      <c r="AA2323" s="3"/>
      <c r="AB2323" s="4"/>
    </row>
    <row r="2324" spans="1:28" ht="14" x14ac:dyDescent="0.15">
      <c r="A2324" s="166" t="s">
        <v>2479</v>
      </c>
      <c r="B2324" s="82"/>
      <c r="C2324" s="70" t="s">
        <v>3636</v>
      </c>
      <c r="D2324" s="70" t="s">
        <v>3437</v>
      </c>
      <c r="E2324" s="70" t="s">
        <v>3457</v>
      </c>
      <c r="F2324" s="70" t="s">
        <v>5072</v>
      </c>
      <c r="G2324" s="70" t="s">
        <v>6028</v>
      </c>
      <c r="H2324" s="93"/>
      <c r="I2324" s="85">
        <f t="shared" ref="I2324:I2346" si="89">LOG(J2324)</f>
        <v>1.2329961103921538</v>
      </c>
      <c r="J2324" s="85">
        <f>AVERAGE(19, 15.2)</f>
        <v>17.100000000000001</v>
      </c>
      <c r="K2324" s="131" t="s">
        <v>3177</v>
      </c>
      <c r="L2324" s="60" t="s">
        <v>1629</v>
      </c>
      <c r="M2324" s="33"/>
      <c r="Z2324" s="3"/>
      <c r="AA2324" s="3"/>
      <c r="AB2324" s="4"/>
    </row>
    <row r="2325" spans="1:28" ht="14" x14ac:dyDescent="0.15">
      <c r="A2325" s="166" t="s">
        <v>2479</v>
      </c>
      <c r="B2325" s="82"/>
      <c r="C2325" s="70" t="s">
        <v>3636</v>
      </c>
      <c r="D2325" s="70" t="s">
        <v>3437</v>
      </c>
      <c r="E2325" s="70" t="s">
        <v>3457</v>
      </c>
      <c r="F2325" s="70" t="s">
        <v>5072</v>
      </c>
      <c r="G2325" s="70" t="s">
        <v>6049</v>
      </c>
      <c r="H2325" s="93"/>
      <c r="I2325" s="85">
        <f t="shared" si="89"/>
        <v>1.3159703454569178</v>
      </c>
      <c r="J2325" s="85">
        <v>20.7</v>
      </c>
      <c r="K2325" s="131" t="s">
        <v>6630</v>
      </c>
      <c r="L2325" s="60">
        <v>-999</v>
      </c>
      <c r="M2325" s="49" t="s">
        <v>6390</v>
      </c>
      <c r="Z2325" s="3"/>
      <c r="AA2325" s="3"/>
      <c r="AB2325" s="4"/>
    </row>
    <row r="2326" spans="1:28" ht="14" x14ac:dyDescent="0.15">
      <c r="A2326" s="166" t="s">
        <v>2479</v>
      </c>
      <c r="B2326" s="82"/>
      <c r="C2326" s="70" t="s">
        <v>3636</v>
      </c>
      <c r="D2326" s="70" t="s">
        <v>3437</v>
      </c>
      <c r="E2326" s="70" t="s">
        <v>3457</v>
      </c>
      <c r="F2326" s="70" t="s">
        <v>5072</v>
      </c>
      <c r="G2326" s="70" t="s">
        <v>6021</v>
      </c>
      <c r="H2326" s="93"/>
      <c r="I2326" s="85">
        <f t="shared" si="89"/>
        <v>1.3473300153169503</v>
      </c>
      <c r="J2326" s="85">
        <f>AVERAGE(1000*0.0236, 1000*0.0209)</f>
        <v>22.25</v>
      </c>
      <c r="K2326" s="131" t="s">
        <v>3177</v>
      </c>
      <c r="L2326" s="60">
        <v>60</v>
      </c>
      <c r="M2326" s="33"/>
      <c r="Z2326" s="3"/>
      <c r="AA2326" s="3"/>
      <c r="AB2326" s="4"/>
    </row>
    <row r="2327" spans="1:28" ht="14" x14ac:dyDescent="0.15">
      <c r="A2327" s="166" t="s">
        <v>2479</v>
      </c>
      <c r="B2327" s="82"/>
      <c r="C2327" s="70" t="s">
        <v>3636</v>
      </c>
      <c r="D2327" s="70" t="s">
        <v>3437</v>
      </c>
      <c r="E2327" s="70" t="s">
        <v>3457</v>
      </c>
      <c r="F2327" s="70" t="s">
        <v>5072</v>
      </c>
      <c r="G2327" s="70" t="s">
        <v>5073</v>
      </c>
      <c r="H2327" s="93"/>
      <c r="I2327" s="85">
        <f t="shared" si="89"/>
        <v>1.3673559210260189</v>
      </c>
      <c r="J2327" s="85">
        <f>AVERAGE(21.5, 25.1)</f>
        <v>23.3</v>
      </c>
      <c r="K2327" s="131" t="s">
        <v>6485</v>
      </c>
      <c r="L2327" s="60" t="s">
        <v>1875</v>
      </c>
      <c r="Z2327" s="3"/>
      <c r="AA2327" s="3"/>
      <c r="AB2327" s="4"/>
    </row>
    <row r="2328" spans="1:28" ht="14" x14ac:dyDescent="0.15">
      <c r="A2328" s="166" t="s">
        <v>2479</v>
      </c>
      <c r="B2328" s="82"/>
      <c r="C2328" s="70" t="s">
        <v>3636</v>
      </c>
      <c r="D2328" s="70" t="s">
        <v>3437</v>
      </c>
      <c r="E2328" s="70" t="s">
        <v>3457</v>
      </c>
      <c r="F2328" s="70" t="s">
        <v>5072</v>
      </c>
      <c r="G2328" s="70" t="s">
        <v>6398</v>
      </c>
      <c r="H2328" s="93"/>
      <c r="I2328" s="85">
        <f t="shared" si="89"/>
        <v>1.4265112613645752</v>
      </c>
      <c r="J2328" s="85">
        <v>26.7</v>
      </c>
      <c r="K2328" s="131" t="s">
        <v>6485</v>
      </c>
      <c r="L2328" s="60">
        <v>68</v>
      </c>
      <c r="Z2328" s="3"/>
      <c r="AA2328" s="3"/>
      <c r="AB2328" s="4"/>
    </row>
    <row r="2329" spans="1:28" ht="17" x14ac:dyDescent="0.2">
      <c r="A2329" s="166" t="s">
        <v>2479</v>
      </c>
      <c r="B2329" s="93" t="s">
        <v>5853</v>
      </c>
      <c r="C2329" s="70" t="s">
        <v>3636</v>
      </c>
      <c r="D2329" s="70" t="s">
        <v>3437</v>
      </c>
      <c r="E2329" s="73" t="s">
        <v>3457</v>
      </c>
      <c r="F2329" s="70" t="s">
        <v>5072</v>
      </c>
      <c r="G2329" s="70" t="s">
        <v>6017</v>
      </c>
      <c r="H2329" s="93"/>
      <c r="I2329" s="85">
        <f t="shared" si="89"/>
        <v>1.4480102730394759</v>
      </c>
      <c r="J2329" s="85">
        <f>AVERAGE(25.03, 31.08)</f>
        <v>28.055</v>
      </c>
      <c r="K2329" s="131" t="s">
        <v>6630</v>
      </c>
      <c r="L2329" s="60">
        <v>199</v>
      </c>
      <c r="M2329" s="47" t="s">
        <v>6727</v>
      </c>
      <c r="Z2329" s="3"/>
      <c r="AA2329" s="3"/>
      <c r="AB2329" s="4"/>
    </row>
    <row r="2330" spans="1:28" ht="14" x14ac:dyDescent="0.15">
      <c r="A2330" s="166" t="s">
        <v>2479</v>
      </c>
      <c r="B2330" s="82"/>
      <c r="C2330" s="73" t="s">
        <v>3636</v>
      </c>
      <c r="D2330" s="73" t="s">
        <v>3437</v>
      </c>
      <c r="E2330" s="70" t="s">
        <v>3457</v>
      </c>
      <c r="F2330" s="73" t="s">
        <v>5072</v>
      </c>
      <c r="G2330" s="73" t="s">
        <v>6162</v>
      </c>
      <c r="H2330" s="108"/>
      <c r="I2330" s="85">
        <f t="shared" si="89"/>
        <v>1.4771212547196624</v>
      </c>
      <c r="J2330" s="95">
        <v>30</v>
      </c>
      <c r="K2330" s="131" t="s">
        <v>3177</v>
      </c>
      <c r="L2330" s="60" t="s">
        <v>7677</v>
      </c>
      <c r="M2330" s="33"/>
      <c r="Z2330" s="3"/>
      <c r="AA2330" s="3"/>
      <c r="AB2330" s="4"/>
    </row>
    <row r="2331" spans="1:28" ht="14" x14ac:dyDescent="0.15">
      <c r="A2331" s="166" t="s">
        <v>2479</v>
      </c>
      <c r="B2331" s="82"/>
      <c r="C2331" s="70" t="s">
        <v>3636</v>
      </c>
      <c r="D2331" s="70" t="s">
        <v>3437</v>
      </c>
      <c r="E2331" s="70" t="s">
        <v>3457</v>
      </c>
      <c r="F2331" s="70" t="s">
        <v>5072</v>
      </c>
      <c r="G2331" s="70" t="s">
        <v>6020</v>
      </c>
      <c r="H2331" s="93"/>
      <c r="I2331" s="85">
        <f t="shared" si="89"/>
        <v>1.5171958979499742</v>
      </c>
      <c r="J2331" s="85">
        <f>1000*0.0329</f>
        <v>32.9</v>
      </c>
      <c r="K2331" s="131" t="s">
        <v>3177</v>
      </c>
      <c r="L2331" s="60">
        <v>60</v>
      </c>
      <c r="M2331" s="33"/>
      <c r="Z2331" s="3"/>
      <c r="AA2331" s="3"/>
      <c r="AB2331" s="4"/>
    </row>
    <row r="2332" spans="1:28" ht="14" x14ac:dyDescent="0.15">
      <c r="A2332" s="166" t="s">
        <v>2479</v>
      </c>
      <c r="B2332" s="82"/>
      <c r="C2332" s="70" t="s">
        <v>3636</v>
      </c>
      <c r="D2332" s="70" t="s">
        <v>3437</v>
      </c>
      <c r="E2332" s="70" t="s">
        <v>3457</v>
      </c>
      <c r="F2332" s="70" t="s">
        <v>5072</v>
      </c>
      <c r="G2332" s="70" t="s">
        <v>6024</v>
      </c>
      <c r="H2332" s="93"/>
      <c r="I2332" s="85">
        <f t="shared" si="89"/>
        <v>1.5171958979499742</v>
      </c>
      <c r="J2332" s="85">
        <f>1000*0.0329</f>
        <v>32.9</v>
      </c>
      <c r="K2332" s="131" t="s">
        <v>3177</v>
      </c>
      <c r="L2332" s="60">
        <v>60</v>
      </c>
      <c r="M2332" s="33"/>
      <c r="Z2332" s="3"/>
      <c r="AA2332" s="3"/>
      <c r="AB2332" s="4"/>
    </row>
    <row r="2333" spans="1:28" ht="14" x14ac:dyDescent="0.15">
      <c r="A2333" s="166" t="s">
        <v>2479</v>
      </c>
      <c r="B2333" s="82"/>
      <c r="C2333" s="70" t="s">
        <v>3636</v>
      </c>
      <c r="D2333" s="70" t="s">
        <v>3437</v>
      </c>
      <c r="E2333" s="70" t="s">
        <v>3457</v>
      </c>
      <c r="F2333" s="70" t="s">
        <v>5072</v>
      </c>
      <c r="G2333" s="70" t="s">
        <v>6165</v>
      </c>
      <c r="H2333" s="93"/>
      <c r="I2333" s="85">
        <f t="shared" si="89"/>
        <v>1.546542663478131</v>
      </c>
      <c r="J2333" s="85">
        <f>1000*0.0352</f>
        <v>35.200000000000003</v>
      </c>
      <c r="K2333" s="131" t="s">
        <v>3177</v>
      </c>
      <c r="L2333" s="60">
        <v>60</v>
      </c>
      <c r="M2333" s="33"/>
      <c r="Z2333" s="3"/>
      <c r="AA2333" s="3"/>
      <c r="AB2333" s="4"/>
    </row>
    <row r="2334" spans="1:28" ht="14" x14ac:dyDescent="0.15">
      <c r="A2334" s="166" t="s">
        <v>2479</v>
      </c>
      <c r="B2334" s="82"/>
      <c r="C2334" s="70" t="s">
        <v>3636</v>
      </c>
      <c r="D2334" s="70" t="s">
        <v>3437</v>
      </c>
      <c r="E2334" s="70" t="s">
        <v>3457</v>
      </c>
      <c r="F2334" s="70" t="s">
        <v>5072</v>
      </c>
      <c r="G2334" s="70" t="s">
        <v>5549</v>
      </c>
      <c r="H2334" s="93"/>
      <c r="I2334" s="85">
        <f t="shared" si="89"/>
        <v>1.5954962218255742</v>
      </c>
      <c r="J2334" s="85">
        <v>39.4</v>
      </c>
      <c r="K2334" s="131"/>
      <c r="L2334" s="60">
        <v>117</v>
      </c>
      <c r="N2334" s="37" t="s">
        <v>7328</v>
      </c>
      <c r="Z2334" s="3"/>
      <c r="AA2334" s="3"/>
      <c r="AB2334" s="4"/>
    </row>
    <row r="2335" spans="1:28" ht="14" x14ac:dyDescent="0.15">
      <c r="A2335" s="166" t="s">
        <v>2479</v>
      </c>
      <c r="B2335" s="82"/>
      <c r="C2335" s="73" t="s">
        <v>3636</v>
      </c>
      <c r="D2335" s="73" t="s">
        <v>3437</v>
      </c>
      <c r="E2335" s="70" t="s">
        <v>3457</v>
      </c>
      <c r="F2335" s="73" t="s">
        <v>5072</v>
      </c>
      <c r="G2335" s="73" t="s">
        <v>6163</v>
      </c>
      <c r="H2335" s="108"/>
      <c r="I2335" s="85">
        <f t="shared" si="89"/>
        <v>1.6009728956867482</v>
      </c>
      <c r="J2335" s="85">
        <f>1000*0.0399</f>
        <v>39.9</v>
      </c>
      <c r="K2335" s="131" t="s">
        <v>3177</v>
      </c>
      <c r="L2335" s="60">
        <v>60</v>
      </c>
      <c r="M2335" s="33"/>
      <c r="Z2335" s="3"/>
      <c r="AA2335" s="3"/>
      <c r="AB2335" s="4"/>
    </row>
    <row r="2336" spans="1:28" ht="14" x14ac:dyDescent="0.15">
      <c r="A2336" s="166" t="s">
        <v>2479</v>
      </c>
      <c r="B2336" s="82"/>
      <c r="C2336" s="70" t="s">
        <v>3636</v>
      </c>
      <c r="D2336" s="70" t="s">
        <v>3437</v>
      </c>
      <c r="E2336" s="70" t="s">
        <v>3457</v>
      </c>
      <c r="F2336" s="70" t="s">
        <v>5072</v>
      </c>
      <c r="G2336" s="70" t="s">
        <v>5548</v>
      </c>
      <c r="H2336" s="93"/>
      <c r="I2336" s="85">
        <f t="shared" si="89"/>
        <v>1.658964842664435</v>
      </c>
      <c r="J2336" s="85">
        <v>45.6</v>
      </c>
      <c r="K2336" s="131" t="s">
        <v>6485</v>
      </c>
      <c r="L2336" s="60">
        <v>68</v>
      </c>
      <c r="N2336" s="37" t="s">
        <v>7327</v>
      </c>
      <c r="Z2336" s="3"/>
      <c r="AA2336" s="3"/>
      <c r="AB2336" s="4"/>
    </row>
    <row r="2337" spans="1:28" ht="14" x14ac:dyDescent="0.15">
      <c r="A2337" s="166" t="s">
        <v>2479</v>
      </c>
      <c r="B2337" s="82" t="s">
        <v>7329</v>
      </c>
      <c r="C2337" s="70" t="s">
        <v>3636</v>
      </c>
      <c r="D2337" s="70" t="s">
        <v>3437</v>
      </c>
      <c r="E2337" s="70" t="s">
        <v>3457</v>
      </c>
      <c r="F2337" s="70" t="s">
        <v>6082</v>
      </c>
      <c r="G2337" s="70" t="s">
        <v>4711</v>
      </c>
      <c r="H2337" s="93"/>
      <c r="I2337" s="85">
        <f t="shared" si="89"/>
        <v>2.0289777052087778</v>
      </c>
      <c r="J2337" s="85">
        <f>AVERAGE(75,138.8)</f>
        <v>106.9</v>
      </c>
      <c r="K2337" s="131" t="s">
        <v>3177</v>
      </c>
      <c r="L2337" s="60" t="s">
        <v>1487</v>
      </c>
      <c r="N2337" s="37" t="s">
        <v>7330</v>
      </c>
      <c r="Z2337" s="3"/>
      <c r="AA2337" s="3"/>
      <c r="AB2337" s="4"/>
    </row>
    <row r="2338" spans="1:28" ht="14" x14ac:dyDescent="0.15">
      <c r="A2338" s="166" t="s">
        <v>2479</v>
      </c>
      <c r="B2338" s="82"/>
      <c r="C2338" s="70" t="s">
        <v>3636</v>
      </c>
      <c r="D2338" s="70" t="s">
        <v>3437</v>
      </c>
      <c r="E2338" s="70" t="s">
        <v>3457</v>
      </c>
      <c r="F2338" s="70" t="s">
        <v>5550</v>
      </c>
      <c r="G2338" s="70" t="s">
        <v>4637</v>
      </c>
      <c r="H2338" s="93"/>
      <c r="I2338" s="85">
        <f t="shared" si="89"/>
        <v>2.0791812460476247</v>
      </c>
      <c r="J2338" s="85">
        <v>120</v>
      </c>
      <c r="K2338" s="131" t="s">
        <v>6485</v>
      </c>
      <c r="L2338" s="60">
        <v>68</v>
      </c>
      <c r="Z2338" s="3"/>
      <c r="AA2338" s="3"/>
      <c r="AB2338" s="4"/>
    </row>
    <row r="2339" spans="1:28" ht="14" x14ac:dyDescent="0.15">
      <c r="A2339" s="166" t="s">
        <v>2479</v>
      </c>
      <c r="B2339" s="82" t="s">
        <v>5853</v>
      </c>
      <c r="C2339" s="70" t="s">
        <v>3636</v>
      </c>
      <c r="D2339" s="70" t="s">
        <v>3437</v>
      </c>
      <c r="E2339" s="70" t="s">
        <v>3457</v>
      </c>
      <c r="F2339" s="70" t="s">
        <v>5550</v>
      </c>
      <c r="G2339" s="70" t="s">
        <v>4016</v>
      </c>
      <c r="H2339" s="93"/>
      <c r="I2339" s="85">
        <f t="shared" si="89"/>
        <v>2.3424226808222062</v>
      </c>
      <c r="J2339" s="85">
        <f>(165+275)/2</f>
        <v>220</v>
      </c>
      <c r="K2339" s="131" t="s">
        <v>6630</v>
      </c>
      <c r="L2339" s="60">
        <v>134</v>
      </c>
      <c r="M2339" s="49" t="s">
        <v>6392</v>
      </c>
      <c r="N2339" s="33" t="s">
        <v>7611</v>
      </c>
      <c r="Z2339" s="3"/>
      <c r="AA2339" s="3"/>
      <c r="AB2339" s="4"/>
    </row>
    <row r="2340" spans="1:28" ht="14" x14ac:dyDescent="0.15">
      <c r="A2340" s="166" t="s">
        <v>2479</v>
      </c>
      <c r="B2340" s="82"/>
      <c r="C2340" s="70" t="s">
        <v>3636</v>
      </c>
      <c r="D2340" s="70" t="s">
        <v>3437</v>
      </c>
      <c r="E2340" s="70" t="s">
        <v>3457</v>
      </c>
      <c r="F2340" s="70" t="s">
        <v>5546</v>
      </c>
      <c r="G2340" s="70" t="s">
        <v>5957</v>
      </c>
      <c r="H2340" s="93"/>
      <c r="I2340" s="85">
        <f t="shared" si="89"/>
        <v>2.1760912590556813</v>
      </c>
      <c r="J2340" s="85">
        <v>150</v>
      </c>
      <c r="K2340" s="131" t="s">
        <v>6485</v>
      </c>
      <c r="L2340" s="60">
        <v>68</v>
      </c>
      <c r="Z2340" s="3"/>
      <c r="AA2340" s="3"/>
      <c r="AB2340" s="4"/>
    </row>
    <row r="2341" spans="1:28" ht="14" x14ac:dyDescent="0.15">
      <c r="A2341" s="166" t="s">
        <v>2479</v>
      </c>
      <c r="B2341" s="82"/>
      <c r="C2341" s="70" t="s">
        <v>3636</v>
      </c>
      <c r="D2341" s="70" t="s">
        <v>3437</v>
      </c>
      <c r="E2341" s="70" t="s">
        <v>3457</v>
      </c>
      <c r="F2341" s="70" t="s">
        <v>5546</v>
      </c>
      <c r="G2341" s="70" t="s">
        <v>5167</v>
      </c>
      <c r="H2341" s="93"/>
      <c r="I2341" s="85">
        <f t="shared" si="89"/>
        <v>2.2988530764097068</v>
      </c>
      <c r="J2341" s="85">
        <v>199</v>
      </c>
      <c r="K2341" s="131" t="s">
        <v>3177</v>
      </c>
      <c r="L2341" s="60">
        <v>60</v>
      </c>
      <c r="M2341" s="33"/>
      <c r="Z2341" s="3"/>
      <c r="AA2341" s="3"/>
      <c r="AB2341" s="4"/>
    </row>
    <row r="2342" spans="1:28" ht="14" x14ac:dyDescent="0.15">
      <c r="A2342" s="166" t="s">
        <v>2479</v>
      </c>
      <c r="B2342" s="82"/>
      <c r="C2342" s="70" t="s">
        <v>3636</v>
      </c>
      <c r="D2342" s="70" t="s">
        <v>3437</v>
      </c>
      <c r="E2342" s="70" t="s">
        <v>3457</v>
      </c>
      <c r="F2342" s="70" t="s">
        <v>5546</v>
      </c>
      <c r="G2342" s="70" t="s">
        <v>3926</v>
      </c>
      <c r="H2342" s="93"/>
      <c r="I2342" s="85">
        <f t="shared" si="89"/>
        <v>2.6989700043360187</v>
      </c>
      <c r="J2342" s="85">
        <v>500</v>
      </c>
      <c r="K2342" s="131" t="s">
        <v>3177</v>
      </c>
      <c r="L2342" s="60">
        <v>119</v>
      </c>
      <c r="M2342" s="33"/>
      <c r="Z2342" s="3"/>
      <c r="AA2342" s="3"/>
      <c r="AB2342" s="4"/>
    </row>
    <row r="2343" spans="1:28" ht="14" x14ac:dyDescent="0.15">
      <c r="A2343" s="166" t="s">
        <v>2479</v>
      </c>
      <c r="B2343" s="82"/>
      <c r="C2343" s="70" t="s">
        <v>3636</v>
      </c>
      <c r="D2343" s="70" t="s">
        <v>3437</v>
      </c>
      <c r="E2343" s="70" t="s">
        <v>3457</v>
      </c>
      <c r="F2343" s="70" t="s">
        <v>5163</v>
      </c>
      <c r="G2343" s="70" t="s">
        <v>7724</v>
      </c>
      <c r="H2343" s="93"/>
      <c r="I2343" s="85">
        <f t="shared" si="89"/>
        <v>2.0644579892269186</v>
      </c>
      <c r="J2343" s="85">
        <v>116</v>
      </c>
      <c r="K2343" s="131" t="s">
        <v>3177</v>
      </c>
      <c r="L2343" s="60">
        <v>60</v>
      </c>
      <c r="M2343" s="33"/>
      <c r="Z2343" s="3"/>
      <c r="AA2343" s="3"/>
      <c r="AB2343" s="4"/>
    </row>
    <row r="2344" spans="1:28" ht="14" x14ac:dyDescent="0.15">
      <c r="A2344" s="166" t="s">
        <v>2479</v>
      </c>
      <c r="B2344" s="82"/>
      <c r="C2344" s="70" t="s">
        <v>3636</v>
      </c>
      <c r="D2344" s="70" t="s">
        <v>3437</v>
      </c>
      <c r="E2344" s="70" t="s">
        <v>3457</v>
      </c>
      <c r="F2344" s="70" t="s">
        <v>5163</v>
      </c>
      <c r="G2344" s="70" t="s">
        <v>6303</v>
      </c>
      <c r="H2344" s="93"/>
      <c r="I2344" s="85">
        <f t="shared" si="89"/>
        <v>2.3710678622717363</v>
      </c>
      <c r="J2344" s="85">
        <v>235</v>
      </c>
      <c r="K2344" s="131" t="s">
        <v>3177</v>
      </c>
      <c r="L2344" s="60">
        <v>60</v>
      </c>
      <c r="M2344" s="33"/>
      <c r="Z2344" s="3"/>
      <c r="AA2344" s="3"/>
      <c r="AB2344" s="4"/>
    </row>
    <row r="2345" spans="1:28" ht="14" x14ac:dyDescent="0.15">
      <c r="A2345" s="166" t="s">
        <v>2479</v>
      </c>
      <c r="B2345" s="82"/>
      <c r="C2345" s="73" t="s">
        <v>3636</v>
      </c>
      <c r="D2345" s="73" t="s">
        <v>3437</v>
      </c>
      <c r="E2345" s="70" t="s">
        <v>3457</v>
      </c>
      <c r="F2345" s="73" t="s">
        <v>5163</v>
      </c>
      <c r="G2345" s="73" t="s">
        <v>7725</v>
      </c>
      <c r="H2345" s="108"/>
      <c r="I2345" s="85">
        <f t="shared" si="89"/>
        <v>2.4082399653118496</v>
      </c>
      <c r="J2345" s="95">
        <v>256</v>
      </c>
      <c r="K2345" s="131" t="s">
        <v>3177</v>
      </c>
      <c r="L2345" s="60">
        <v>60</v>
      </c>
      <c r="M2345" s="33"/>
      <c r="Z2345" s="3"/>
      <c r="AA2345" s="3"/>
      <c r="AB2345" s="4"/>
    </row>
    <row r="2346" spans="1:28" ht="14" x14ac:dyDescent="0.15">
      <c r="A2346" s="166" t="s">
        <v>2479</v>
      </c>
      <c r="B2346" s="82"/>
      <c r="C2346" s="70" t="s">
        <v>3636</v>
      </c>
      <c r="D2346" s="70" t="s">
        <v>3437</v>
      </c>
      <c r="E2346" s="70" t="s">
        <v>3457</v>
      </c>
      <c r="F2346" s="70" t="s">
        <v>5163</v>
      </c>
      <c r="G2346" s="70" t="s">
        <v>5363</v>
      </c>
      <c r="H2346" s="93"/>
      <c r="I2346" s="85">
        <f t="shared" si="89"/>
        <v>2.4771212547196626</v>
      </c>
      <c r="J2346" s="85">
        <v>300</v>
      </c>
      <c r="K2346" s="131" t="s">
        <v>3177</v>
      </c>
      <c r="L2346" s="60">
        <v>119</v>
      </c>
      <c r="M2346" s="33"/>
      <c r="Z2346" s="3"/>
      <c r="AA2346" s="3"/>
      <c r="AB2346" s="4"/>
    </row>
    <row r="2347" spans="1:28" ht="14" x14ac:dyDescent="0.15">
      <c r="A2347" s="166" t="s">
        <v>2479</v>
      </c>
      <c r="B2347" s="82"/>
      <c r="C2347" s="73" t="s">
        <v>3636</v>
      </c>
      <c r="D2347" s="73" t="s">
        <v>3437</v>
      </c>
      <c r="E2347" s="70" t="s">
        <v>3457</v>
      </c>
      <c r="F2347" s="73" t="s">
        <v>2968</v>
      </c>
      <c r="G2347" s="73" t="s">
        <v>6236</v>
      </c>
      <c r="H2347" s="108"/>
      <c r="I2347" s="85">
        <v>-999</v>
      </c>
      <c r="J2347" s="95">
        <v>-999</v>
      </c>
      <c r="K2347" s="131" t="s">
        <v>3177</v>
      </c>
      <c r="L2347" s="60">
        <v>-999</v>
      </c>
      <c r="M2347" s="33"/>
      <c r="Z2347" s="3"/>
      <c r="AA2347" s="3"/>
      <c r="AB2347" s="4"/>
    </row>
    <row r="2348" spans="1:28" ht="14" x14ac:dyDescent="0.15">
      <c r="A2348" s="166" t="s">
        <v>2479</v>
      </c>
      <c r="B2348" s="82"/>
      <c r="C2348" s="70" t="s">
        <v>3636</v>
      </c>
      <c r="D2348" s="70" t="s">
        <v>3437</v>
      </c>
      <c r="E2348" s="70" t="s">
        <v>3457</v>
      </c>
      <c r="F2348" s="70" t="s">
        <v>2968</v>
      </c>
      <c r="G2348" s="70" t="s">
        <v>6512</v>
      </c>
      <c r="H2348" s="93"/>
      <c r="I2348" s="85">
        <v>-999</v>
      </c>
      <c r="J2348" s="85">
        <v>-999</v>
      </c>
      <c r="K2348" s="131" t="s">
        <v>6630</v>
      </c>
      <c r="L2348" s="60">
        <v>-999</v>
      </c>
      <c r="M2348" s="33" t="s">
        <v>6392</v>
      </c>
      <c r="Z2348" s="3"/>
      <c r="AA2348" s="3"/>
      <c r="AB2348" s="4"/>
    </row>
    <row r="2349" spans="1:28" ht="14" x14ac:dyDescent="0.15">
      <c r="A2349" s="166" t="s">
        <v>2479</v>
      </c>
      <c r="B2349" s="82"/>
      <c r="C2349" s="70" t="s">
        <v>3636</v>
      </c>
      <c r="D2349" s="70" t="s">
        <v>3437</v>
      </c>
      <c r="E2349" s="70" t="s">
        <v>3457</v>
      </c>
      <c r="F2349" s="70" t="s">
        <v>3704</v>
      </c>
      <c r="G2349" s="70" t="s">
        <v>5718</v>
      </c>
      <c r="H2349" s="93"/>
      <c r="I2349" s="85">
        <v>-999</v>
      </c>
      <c r="J2349" s="85">
        <v>-999</v>
      </c>
      <c r="K2349" s="131" t="s">
        <v>3177</v>
      </c>
      <c r="L2349" s="60">
        <v>-999</v>
      </c>
      <c r="M2349" s="33"/>
      <c r="Z2349" s="3"/>
      <c r="AA2349" s="3"/>
      <c r="AB2349" s="4"/>
    </row>
    <row r="2350" spans="1:28" ht="14" x14ac:dyDescent="0.15">
      <c r="A2350" s="166" t="s">
        <v>2479</v>
      </c>
      <c r="B2350" s="82"/>
      <c r="C2350" s="73" t="s">
        <v>3636</v>
      </c>
      <c r="D2350" s="73" t="s">
        <v>3437</v>
      </c>
      <c r="E2350" s="70" t="s">
        <v>3457</v>
      </c>
      <c r="F2350" s="73" t="s">
        <v>5958</v>
      </c>
      <c r="G2350" s="73" t="s">
        <v>6090</v>
      </c>
      <c r="H2350" s="108"/>
      <c r="I2350" s="85">
        <v>-999</v>
      </c>
      <c r="J2350" s="95">
        <v>-999</v>
      </c>
      <c r="K2350" s="131" t="s">
        <v>3177</v>
      </c>
      <c r="L2350" s="60">
        <v>-999</v>
      </c>
      <c r="M2350" s="33"/>
      <c r="Z2350" s="3"/>
      <c r="AA2350" s="3"/>
      <c r="AB2350" s="4"/>
    </row>
    <row r="2351" spans="1:28" ht="14" x14ac:dyDescent="0.15">
      <c r="A2351" s="166" t="s">
        <v>2479</v>
      </c>
      <c r="B2351" s="96"/>
      <c r="C2351" s="73" t="s">
        <v>3636</v>
      </c>
      <c r="D2351" s="73" t="s">
        <v>3437</v>
      </c>
      <c r="E2351" s="73" t="s">
        <v>3457</v>
      </c>
      <c r="F2351" s="73" t="s">
        <v>5958</v>
      </c>
      <c r="G2351" s="73" t="s">
        <v>6201</v>
      </c>
      <c r="H2351" s="108"/>
      <c r="I2351" s="85">
        <v>-999</v>
      </c>
      <c r="J2351" s="95">
        <v>-999</v>
      </c>
      <c r="K2351" s="131" t="s">
        <v>6630</v>
      </c>
      <c r="L2351" s="60">
        <v>-999</v>
      </c>
      <c r="M2351" s="33" t="s">
        <v>6390</v>
      </c>
      <c r="Z2351" s="3"/>
      <c r="AA2351" s="3"/>
      <c r="AB2351" s="4"/>
    </row>
    <row r="2352" spans="1:28" ht="14" x14ac:dyDescent="0.15">
      <c r="A2352" s="166" t="s">
        <v>2479</v>
      </c>
      <c r="B2352" s="82"/>
      <c r="C2352" s="73" t="s">
        <v>3636</v>
      </c>
      <c r="D2352" s="73" t="s">
        <v>3437</v>
      </c>
      <c r="E2352" s="73" t="s">
        <v>3457</v>
      </c>
      <c r="F2352" s="73" t="s">
        <v>5958</v>
      </c>
      <c r="G2352" s="73" t="s">
        <v>6091</v>
      </c>
      <c r="H2352" s="108"/>
      <c r="I2352" s="85">
        <v>-999</v>
      </c>
      <c r="J2352" s="95">
        <v>-999</v>
      </c>
      <c r="K2352" s="131" t="s">
        <v>6630</v>
      </c>
      <c r="L2352" s="60">
        <v>-999</v>
      </c>
      <c r="M2352" s="33" t="s">
        <v>6392</v>
      </c>
      <c r="Z2352" s="3"/>
      <c r="AA2352" s="3"/>
      <c r="AB2352" s="4"/>
    </row>
    <row r="2353" spans="1:28" ht="16" x14ac:dyDescent="0.2">
      <c r="A2353" s="166" t="s">
        <v>2479</v>
      </c>
      <c r="B2353" s="82"/>
      <c r="C2353" s="73" t="s">
        <v>3636</v>
      </c>
      <c r="D2353" s="73" t="s">
        <v>3437</v>
      </c>
      <c r="E2353" s="73" t="s">
        <v>3457</v>
      </c>
      <c r="F2353" s="73" t="s">
        <v>5958</v>
      </c>
      <c r="G2353" s="73" t="s">
        <v>6092</v>
      </c>
      <c r="H2353" s="108"/>
      <c r="I2353" s="85">
        <v>-999</v>
      </c>
      <c r="J2353" s="95">
        <v>-999</v>
      </c>
      <c r="K2353" s="131" t="s">
        <v>6630</v>
      </c>
      <c r="L2353" s="60">
        <v>-999</v>
      </c>
      <c r="M2353" s="33" t="s">
        <v>6392</v>
      </c>
      <c r="N2353" s="48"/>
      <c r="O2353" s="33"/>
      <c r="Z2353" s="3"/>
      <c r="AA2353" s="3"/>
      <c r="AB2353" s="4"/>
    </row>
    <row r="2354" spans="1:28" ht="70" x14ac:dyDescent="0.15">
      <c r="A2354" s="166" t="s">
        <v>2479</v>
      </c>
      <c r="B2354" s="82"/>
      <c r="C2354" s="73" t="s">
        <v>3636</v>
      </c>
      <c r="D2354" s="73" t="s">
        <v>3437</v>
      </c>
      <c r="E2354" s="73" t="s">
        <v>3457</v>
      </c>
      <c r="F2354" s="73" t="s">
        <v>5958</v>
      </c>
      <c r="G2354" s="73" t="s">
        <v>7227</v>
      </c>
      <c r="H2354" s="108"/>
      <c r="I2354" s="85">
        <f>LOG(J2354)</f>
        <v>1.2304489213782739</v>
      </c>
      <c r="J2354" s="95">
        <v>17</v>
      </c>
      <c r="K2354" s="131" t="s">
        <v>6630</v>
      </c>
      <c r="L2354" s="60">
        <v>184</v>
      </c>
      <c r="M2354" s="33" t="s">
        <v>6392</v>
      </c>
      <c r="N2354" s="37" t="s">
        <v>7672</v>
      </c>
      <c r="Z2354" s="3"/>
      <c r="AA2354" s="3"/>
      <c r="AB2354" s="4"/>
    </row>
    <row r="2355" spans="1:28" ht="14" x14ac:dyDescent="0.15">
      <c r="A2355" s="166" t="s">
        <v>2479</v>
      </c>
      <c r="B2355" s="82"/>
      <c r="C2355" s="70" t="s">
        <v>3636</v>
      </c>
      <c r="D2355" s="70" t="s">
        <v>3437</v>
      </c>
      <c r="E2355" s="70" t="s">
        <v>3457</v>
      </c>
      <c r="F2355" s="70" t="s">
        <v>5958</v>
      </c>
      <c r="G2355" s="70" t="s">
        <v>5134</v>
      </c>
      <c r="H2355" s="93"/>
      <c r="I2355" s="85">
        <f>LOG(J2355)</f>
        <v>1.3096301674258988</v>
      </c>
      <c r="J2355" s="85">
        <v>20.399999999999999</v>
      </c>
      <c r="K2355" s="131" t="s">
        <v>6485</v>
      </c>
      <c r="L2355" s="60" t="s">
        <v>1306</v>
      </c>
      <c r="Z2355" s="3"/>
      <c r="AA2355" s="3"/>
      <c r="AB2355" s="4"/>
    </row>
    <row r="2356" spans="1:28" ht="14" x14ac:dyDescent="0.15">
      <c r="A2356" s="166" t="s">
        <v>2479</v>
      </c>
      <c r="B2356" s="82"/>
      <c r="C2356" s="70" t="s">
        <v>3636</v>
      </c>
      <c r="D2356" s="70" t="s">
        <v>3437</v>
      </c>
      <c r="E2356" s="70" t="s">
        <v>3457</v>
      </c>
      <c r="F2356" s="70" t="s">
        <v>5660</v>
      </c>
      <c r="G2356" s="70" t="s">
        <v>3004</v>
      </c>
      <c r="H2356" s="93"/>
      <c r="I2356" s="85">
        <f>LOG(J2356)</f>
        <v>2.8129133566428557</v>
      </c>
      <c r="J2356" s="85">
        <v>650</v>
      </c>
      <c r="K2356" s="131" t="s">
        <v>6485</v>
      </c>
      <c r="L2356" s="60">
        <v>68</v>
      </c>
      <c r="Z2356" s="3"/>
      <c r="AA2356" s="3"/>
      <c r="AB2356" s="4"/>
    </row>
    <row r="2357" spans="1:28" ht="14" x14ac:dyDescent="0.15">
      <c r="A2357" s="166" t="s">
        <v>2479</v>
      </c>
      <c r="B2357" s="82"/>
      <c r="C2357" s="70" t="s">
        <v>3636</v>
      </c>
      <c r="D2357" s="70" t="s">
        <v>3437</v>
      </c>
      <c r="E2357" s="70" t="s">
        <v>3457</v>
      </c>
      <c r="F2357" s="70" t="s">
        <v>6096</v>
      </c>
      <c r="G2357" s="70" t="s">
        <v>6016</v>
      </c>
      <c r="H2357" s="93"/>
      <c r="I2357" s="85">
        <v>-999</v>
      </c>
      <c r="J2357" s="85">
        <v>-999</v>
      </c>
      <c r="K2357" s="131" t="s">
        <v>3177</v>
      </c>
      <c r="L2357" s="60">
        <v>-999</v>
      </c>
      <c r="M2357" s="33"/>
      <c r="Z2357" s="3"/>
      <c r="AA2357" s="3"/>
      <c r="AB2357" s="4"/>
    </row>
    <row r="2358" spans="1:28" ht="17" x14ac:dyDescent="0.2">
      <c r="A2358" s="166" t="s">
        <v>2479</v>
      </c>
      <c r="B2358" s="82"/>
      <c r="C2358" s="70" t="s">
        <v>3636</v>
      </c>
      <c r="D2358" s="70" t="s">
        <v>3437</v>
      </c>
      <c r="E2358" s="70" t="s">
        <v>3457</v>
      </c>
      <c r="F2358" s="70" t="s">
        <v>5795</v>
      </c>
      <c r="G2358" s="70" t="s">
        <v>3625</v>
      </c>
      <c r="H2358" s="93"/>
      <c r="I2358" s="85">
        <f t="shared" ref="I2358:I2369" si="90">LOG(J2358)</f>
        <v>1.7323937598229686</v>
      </c>
      <c r="J2358" s="85">
        <v>54</v>
      </c>
      <c r="K2358" s="131" t="s">
        <v>6485</v>
      </c>
      <c r="L2358" s="60">
        <v>68</v>
      </c>
      <c r="M2358" s="49" t="s">
        <v>6392</v>
      </c>
      <c r="N2358" s="48" t="s">
        <v>7354</v>
      </c>
      <c r="Z2358" s="3"/>
      <c r="AA2358" s="3"/>
      <c r="AB2358" s="4"/>
    </row>
    <row r="2359" spans="1:28" ht="14" x14ac:dyDescent="0.15">
      <c r="A2359" s="166" t="s">
        <v>2479</v>
      </c>
      <c r="B2359" s="93" t="s">
        <v>2284</v>
      </c>
      <c r="C2359" s="73" t="s">
        <v>3636</v>
      </c>
      <c r="D2359" s="73" t="s">
        <v>3437</v>
      </c>
      <c r="E2359" s="73" t="s">
        <v>3457</v>
      </c>
      <c r="F2359" s="73" t="s">
        <v>5795</v>
      </c>
      <c r="G2359" s="73" t="s">
        <v>6513</v>
      </c>
      <c r="H2359" s="108"/>
      <c r="I2359" s="85">
        <f t="shared" si="90"/>
        <v>1.9708116108725178</v>
      </c>
      <c r="J2359" s="95">
        <f>0.0935*1000</f>
        <v>93.5</v>
      </c>
      <c r="K2359" s="131" t="s">
        <v>6816</v>
      </c>
      <c r="L2359" s="60" t="s">
        <v>7677</v>
      </c>
      <c r="M2359" s="33" t="s">
        <v>6392</v>
      </c>
      <c r="Z2359" s="3"/>
      <c r="AA2359" s="3"/>
      <c r="AB2359" s="4"/>
    </row>
    <row r="2360" spans="1:28" ht="14" x14ac:dyDescent="0.15">
      <c r="A2360" s="166" t="s">
        <v>2479</v>
      </c>
      <c r="B2360" s="93" t="s">
        <v>2284</v>
      </c>
      <c r="C2360" s="73" t="s">
        <v>3636</v>
      </c>
      <c r="D2360" s="73" t="s">
        <v>3437</v>
      </c>
      <c r="E2360" s="73" t="s">
        <v>3457</v>
      </c>
      <c r="F2360" s="73" t="s">
        <v>5795</v>
      </c>
      <c r="G2360" s="73" t="s">
        <v>4483</v>
      </c>
      <c r="H2360" s="108"/>
      <c r="I2360" s="85">
        <f t="shared" si="90"/>
        <v>1.9708116108725178</v>
      </c>
      <c r="J2360" s="95">
        <f>0.0935*1000</f>
        <v>93.5</v>
      </c>
      <c r="K2360" s="131" t="s">
        <v>6816</v>
      </c>
      <c r="L2360" s="60" t="s">
        <v>7677</v>
      </c>
      <c r="M2360" s="49" t="s">
        <v>6392</v>
      </c>
      <c r="Z2360" s="3"/>
      <c r="AA2360" s="3"/>
      <c r="AB2360" s="4"/>
    </row>
    <row r="2361" spans="1:28" ht="28" x14ac:dyDescent="0.2">
      <c r="A2361" s="166" t="s">
        <v>2479</v>
      </c>
      <c r="B2361" s="93" t="s">
        <v>2151</v>
      </c>
      <c r="C2361" s="73" t="s">
        <v>3636</v>
      </c>
      <c r="D2361" s="73" t="s">
        <v>3437</v>
      </c>
      <c r="E2361" s="70" t="s">
        <v>3457</v>
      </c>
      <c r="F2361" s="73" t="s">
        <v>5385</v>
      </c>
      <c r="G2361" s="73" t="s">
        <v>5386</v>
      </c>
      <c r="H2361" s="108"/>
      <c r="I2361" s="85">
        <f t="shared" si="90"/>
        <v>1.890979596989689</v>
      </c>
      <c r="J2361" s="85">
        <v>77.8</v>
      </c>
      <c r="K2361" s="131" t="s">
        <v>3177</v>
      </c>
      <c r="L2361" s="60">
        <v>60</v>
      </c>
      <c r="M2361" s="47"/>
      <c r="Z2361" s="3"/>
      <c r="AA2361" s="3"/>
      <c r="AB2361" s="4"/>
    </row>
    <row r="2362" spans="1:28" ht="14" x14ac:dyDescent="0.15">
      <c r="A2362" s="166" t="s">
        <v>2479</v>
      </c>
      <c r="B2362" s="82"/>
      <c r="C2362" s="70" t="s">
        <v>3636</v>
      </c>
      <c r="D2362" s="70" t="s">
        <v>3437</v>
      </c>
      <c r="E2362" s="70" t="s">
        <v>3457</v>
      </c>
      <c r="F2362" s="70" t="s">
        <v>5796</v>
      </c>
      <c r="G2362" s="70" t="s">
        <v>6998</v>
      </c>
      <c r="H2362" s="93"/>
      <c r="I2362" s="85">
        <f t="shared" si="90"/>
        <v>1.3979400086720377</v>
      </c>
      <c r="J2362" s="85">
        <v>25</v>
      </c>
      <c r="K2362" s="131" t="s">
        <v>6485</v>
      </c>
      <c r="L2362" s="60">
        <v>68</v>
      </c>
      <c r="Z2362" s="3"/>
      <c r="AA2362" s="3"/>
      <c r="AB2362" s="4"/>
    </row>
    <row r="2363" spans="1:28" ht="14" x14ac:dyDescent="0.15">
      <c r="A2363" s="166" t="s">
        <v>2479</v>
      </c>
      <c r="B2363" s="82"/>
      <c r="C2363" s="70" t="s">
        <v>3636</v>
      </c>
      <c r="D2363" s="70" t="s">
        <v>3437</v>
      </c>
      <c r="E2363" s="70" t="s">
        <v>3457</v>
      </c>
      <c r="F2363" s="70" t="s">
        <v>4039</v>
      </c>
      <c r="G2363" s="70" t="s">
        <v>5942</v>
      </c>
      <c r="H2363" s="93"/>
      <c r="I2363" s="85">
        <f t="shared" si="90"/>
        <v>1.3263358609287514</v>
      </c>
      <c r="J2363" s="85">
        <v>21.2</v>
      </c>
      <c r="K2363" s="131" t="s">
        <v>6485</v>
      </c>
      <c r="L2363" s="60">
        <v>68</v>
      </c>
      <c r="Z2363" s="3"/>
      <c r="AA2363" s="3"/>
      <c r="AB2363" s="4"/>
    </row>
    <row r="2364" spans="1:28" ht="14" x14ac:dyDescent="0.15">
      <c r="A2364" s="166" t="s">
        <v>2479</v>
      </c>
      <c r="B2364" s="82"/>
      <c r="C2364" s="70" t="s">
        <v>3636</v>
      </c>
      <c r="D2364" s="70" t="s">
        <v>3437</v>
      </c>
      <c r="E2364" s="70" t="s">
        <v>3457</v>
      </c>
      <c r="F2364" s="70" t="s">
        <v>4039</v>
      </c>
      <c r="G2364" s="70" t="s">
        <v>4226</v>
      </c>
      <c r="H2364" s="93"/>
      <c r="I2364" s="85">
        <f t="shared" si="90"/>
        <v>1.4393326938302626</v>
      </c>
      <c r="J2364" s="85">
        <f>AVERAGE(15, 40)</f>
        <v>27.5</v>
      </c>
      <c r="K2364" s="131" t="s">
        <v>5704</v>
      </c>
      <c r="L2364" s="69">
        <v>111</v>
      </c>
      <c r="M2364" s="33"/>
      <c r="Z2364" s="3"/>
      <c r="AA2364" s="3"/>
      <c r="AB2364" s="4"/>
    </row>
    <row r="2365" spans="1:28" ht="14" x14ac:dyDescent="0.15">
      <c r="A2365" s="166" t="s">
        <v>2479</v>
      </c>
      <c r="B2365" s="82"/>
      <c r="C2365" s="70" t="s">
        <v>3636</v>
      </c>
      <c r="D2365" s="70" t="s">
        <v>3437</v>
      </c>
      <c r="E2365" s="70" t="s">
        <v>3457</v>
      </c>
      <c r="F2365" s="70" t="s">
        <v>4039</v>
      </c>
      <c r="G2365" s="70" t="s">
        <v>3319</v>
      </c>
      <c r="H2365" s="93"/>
      <c r="I2365" s="85">
        <f t="shared" si="90"/>
        <v>1.505149978319906</v>
      </c>
      <c r="J2365" s="85">
        <f>AVERAGE(1000*0.024, 1000*0.04)</f>
        <v>32</v>
      </c>
      <c r="K2365" s="131" t="s">
        <v>3177</v>
      </c>
      <c r="L2365" s="60">
        <v>60</v>
      </c>
      <c r="M2365" s="33"/>
      <c r="Z2365" s="3"/>
      <c r="AA2365" s="3"/>
      <c r="AB2365" s="4"/>
    </row>
    <row r="2366" spans="1:28" ht="16" x14ac:dyDescent="0.2">
      <c r="A2366" s="166" t="s">
        <v>2479</v>
      </c>
      <c r="B2366" s="82"/>
      <c r="C2366" s="70" t="s">
        <v>3636</v>
      </c>
      <c r="D2366" s="70" t="s">
        <v>3437</v>
      </c>
      <c r="E2366" s="70" t="s">
        <v>3457</v>
      </c>
      <c r="F2366" s="70" t="s">
        <v>4039</v>
      </c>
      <c r="G2366" s="70" t="s">
        <v>5943</v>
      </c>
      <c r="H2366" s="93"/>
      <c r="I2366" s="85">
        <f t="shared" si="90"/>
        <v>1.568201724066995</v>
      </c>
      <c r="J2366" s="85">
        <v>37</v>
      </c>
      <c r="K2366" s="131" t="s">
        <v>6485</v>
      </c>
      <c r="L2366" s="60">
        <v>68</v>
      </c>
      <c r="N2366" s="48"/>
      <c r="Z2366" s="3"/>
      <c r="AA2366" s="3"/>
      <c r="AB2366" s="4"/>
    </row>
    <row r="2367" spans="1:28" ht="14" x14ac:dyDescent="0.15">
      <c r="A2367" s="166" t="s">
        <v>2479</v>
      </c>
      <c r="B2367" s="93" t="s">
        <v>2418</v>
      </c>
      <c r="C2367" s="70" t="s">
        <v>3636</v>
      </c>
      <c r="D2367" s="70" t="s">
        <v>3437</v>
      </c>
      <c r="E2367" s="70" t="s">
        <v>3457</v>
      </c>
      <c r="F2367" s="70" t="s">
        <v>3111</v>
      </c>
      <c r="G2367" s="70" t="s">
        <v>3112</v>
      </c>
      <c r="H2367" s="93"/>
      <c r="I2367" s="85">
        <f t="shared" si="90"/>
        <v>1.7767011839884108</v>
      </c>
      <c r="J2367" s="85">
        <f>1000*0.0598</f>
        <v>59.8</v>
      </c>
      <c r="K2367" s="131" t="s">
        <v>3177</v>
      </c>
      <c r="L2367" s="60">
        <v>60</v>
      </c>
      <c r="M2367" s="33"/>
      <c r="Z2367" s="3"/>
      <c r="AA2367" s="3"/>
      <c r="AB2367" s="4"/>
    </row>
    <row r="2368" spans="1:28" ht="14" x14ac:dyDescent="0.15">
      <c r="A2368" s="166" t="s">
        <v>2479</v>
      </c>
      <c r="B2368" s="93" t="s">
        <v>2418</v>
      </c>
      <c r="C2368" s="73" t="s">
        <v>3636</v>
      </c>
      <c r="D2368" s="73" t="s">
        <v>3437</v>
      </c>
      <c r="E2368" s="73" t="s">
        <v>3457</v>
      </c>
      <c r="F2368" s="73" t="s">
        <v>3111</v>
      </c>
      <c r="G2368" s="73" t="s">
        <v>2950</v>
      </c>
      <c r="H2368" s="108"/>
      <c r="I2368" s="85">
        <f t="shared" si="90"/>
        <v>1.887054378050957</v>
      </c>
      <c r="J2368" s="85">
        <f>1000*0.0771</f>
        <v>77.100000000000009</v>
      </c>
      <c r="K2368" s="131" t="s">
        <v>6816</v>
      </c>
      <c r="L2368" s="60">
        <v>60</v>
      </c>
      <c r="M2368" s="33" t="s">
        <v>6728</v>
      </c>
      <c r="Z2368" s="3"/>
      <c r="AA2368" s="3"/>
      <c r="AB2368" s="4"/>
    </row>
    <row r="2369" spans="1:28" ht="16" x14ac:dyDescent="0.2">
      <c r="A2369" s="166" t="s">
        <v>2479</v>
      </c>
      <c r="B2369" s="93" t="s">
        <v>2418</v>
      </c>
      <c r="C2369" s="70" t="s">
        <v>3636</v>
      </c>
      <c r="D2369" s="70" t="s">
        <v>3437</v>
      </c>
      <c r="E2369" s="70" t="s">
        <v>3457</v>
      </c>
      <c r="F2369" s="70" t="s">
        <v>3111</v>
      </c>
      <c r="G2369" s="70" t="s">
        <v>6209</v>
      </c>
      <c r="H2369" s="93"/>
      <c r="I2369" s="85">
        <f t="shared" si="90"/>
        <v>2.1492191126553797</v>
      </c>
      <c r="J2369" s="85">
        <f>1000*0.141</f>
        <v>141</v>
      </c>
      <c r="K2369" s="131" t="s">
        <v>3177</v>
      </c>
      <c r="L2369" s="60">
        <v>60</v>
      </c>
      <c r="M2369" s="47"/>
      <c r="Z2369" s="3"/>
      <c r="AA2369" s="3"/>
      <c r="AB2369" s="4"/>
    </row>
    <row r="2370" spans="1:28" ht="14" x14ac:dyDescent="0.15">
      <c r="A2370" s="166" t="s">
        <v>2479</v>
      </c>
      <c r="B2370" s="93" t="s">
        <v>2418</v>
      </c>
      <c r="C2370" s="70" t="s">
        <v>3636</v>
      </c>
      <c r="D2370" s="70" t="s">
        <v>3437</v>
      </c>
      <c r="E2370" s="70" t="s">
        <v>3457</v>
      </c>
      <c r="F2370" s="70" t="s">
        <v>5944</v>
      </c>
      <c r="G2370" s="70" t="s">
        <v>5183</v>
      </c>
      <c r="H2370" s="93"/>
      <c r="I2370" s="85">
        <v>-999</v>
      </c>
      <c r="J2370" s="85">
        <v>-999</v>
      </c>
      <c r="K2370" s="131" t="s">
        <v>3177</v>
      </c>
      <c r="L2370" s="60">
        <v>-999</v>
      </c>
      <c r="M2370" s="33"/>
      <c r="Z2370" s="3"/>
      <c r="AA2370" s="3"/>
      <c r="AB2370" s="4"/>
    </row>
    <row r="2371" spans="1:28" ht="14" x14ac:dyDescent="0.15">
      <c r="A2371" s="166" t="s">
        <v>2479</v>
      </c>
      <c r="B2371" s="93" t="s">
        <v>2152</v>
      </c>
      <c r="C2371" s="73" t="s">
        <v>3636</v>
      </c>
      <c r="D2371" s="73" t="s">
        <v>3437</v>
      </c>
      <c r="E2371" s="70" t="s">
        <v>3457</v>
      </c>
      <c r="F2371" s="73" t="s">
        <v>5944</v>
      </c>
      <c r="G2371" s="73" t="s">
        <v>6095</v>
      </c>
      <c r="H2371" s="108"/>
      <c r="I2371" s="85">
        <v>-999</v>
      </c>
      <c r="J2371" s="95">
        <v>-999</v>
      </c>
      <c r="K2371" s="131" t="s">
        <v>3177</v>
      </c>
      <c r="L2371" s="60">
        <v>-999</v>
      </c>
      <c r="M2371" s="33"/>
      <c r="Z2371" s="3"/>
      <c r="AA2371" s="3"/>
      <c r="AB2371" s="4"/>
    </row>
    <row r="2372" spans="1:28" ht="14" x14ac:dyDescent="0.15">
      <c r="A2372" s="166" t="s">
        <v>2479</v>
      </c>
      <c r="B2372" s="82"/>
      <c r="C2372" s="73" t="s">
        <v>3636</v>
      </c>
      <c r="D2372" s="73" t="s">
        <v>3437</v>
      </c>
      <c r="E2372" s="70" t="s">
        <v>3457</v>
      </c>
      <c r="F2372" s="73" t="s">
        <v>5944</v>
      </c>
      <c r="G2372" s="73" t="s">
        <v>7977</v>
      </c>
      <c r="H2372" s="108"/>
      <c r="I2372" s="85">
        <v>-999</v>
      </c>
      <c r="J2372" s="95">
        <v>-999</v>
      </c>
      <c r="K2372" s="131" t="s">
        <v>3177</v>
      </c>
      <c r="L2372" s="60">
        <v>-999</v>
      </c>
      <c r="M2372" s="33"/>
      <c r="Z2372" s="3"/>
      <c r="AA2372" s="3"/>
      <c r="AB2372" s="4"/>
    </row>
    <row r="2373" spans="1:28" ht="14" x14ac:dyDescent="0.15">
      <c r="A2373" s="166" t="s">
        <v>2479</v>
      </c>
      <c r="B2373" s="82"/>
      <c r="C2373" s="70" t="s">
        <v>3636</v>
      </c>
      <c r="D2373" s="70" t="s">
        <v>3437</v>
      </c>
      <c r="E2373" s="70" t="s">
        <v>3457</v>
      </c>
      <c r="F2373" s="70" t="s">
        <v>5944</v>
      </c>
      <c r="G2373" s="70" t="s">
        <v>3116</v>
      </c>
      <c r="H2373" s="93"/>
      <c r="I2373" s="85">
        <f>LOG(J2373)</f>
        <v>1.3443922736851108</v>
      </c>
      <c r="J2373" s="85">
        <v>22.1</v>
      </c>
      <c r="K2373" s="131" t="s">
        <v>3177</v>
      </c>
      <c r="L2373" s="60">
        <v>173</v>
      </c>
      <c r="M2373" s="33"/>
      <c r="Z2373" s="3"/>
      <c r="AA2373" s="3"/>
      <c r="AB2373" s="4"/>
    </row>
    <row r="2374" spans="1:28" ht="14" x14ac:dyDescent="0.15">
      <c r="A2374" s="166" t="s">
        <v>2479</v>
      </c>
      <c r="B2374" s="82"/>
      <c r="C2374" s="70" t="s">
        <v>3636</v>
      </c>
      <c r="D2374" s="70" t="s">
        <v>3437</v>
      </c>
      <c r="E2374" s="70" t="s">
        <v>3457</v>
      </c>
      <c r="F2374" s="70" t="s">
        <v>5944</v>
      </c>
      <c r="G2374" s="70" t="s">
        <v>6261</v>
      </c>
      <c r="H2374" s="93"/>
      <c r="I2374" s="85">
        <f>LOG(J2374)</f>
        <v>1.3588862044058692</v>
      </c>
      <c r="J2374" s="85">
        <f>AVERAGE(20.9, 24.8)</f>
        <v>22.85</v>
      </c>
      <c r="K2374" s="131" t="s">
        <v>7684</v>
      </c>
      <c r="L2374" s="60" t="s">
        <v>1200</v>
      </c>
      <c r="M2374" s="33"/>
      <c r="Z2374" s="3"/>
      <c r="AA2374" s="3"/>
      <c r="AB2374" s="4"/>
    </row>
    <row r="2375" spans="1:28" ht="14" x14ac:dyDescent="0.15">
      <c r="A2375" s="166" t="s">
        <v>2479</v>
      </c>
      <c r="B2375" s="82"/>
      <c r="C2375" s="70" t="s">
        <v>3636</v>
      </c>
      <c r="D2375" s="70" t="s">
        <v>3437</v>
      </c>
      <c r="E2375" s="70" t="s">
        <v>3457</v>
      </c>
      <c r="F2375" s="70" t="s">
        <v>5944</v>
      </c>
      <c r="G2375" s="70" t="s">
        <v>4854</v>
      </c>
      <c r="H2375" s="93"/>
      <c r="I2375" s="85">
        <f>LOG(J2375)</f>
        <v>1.5854607295085006</v>
      </c>
      <c r="J2375" s="85">
        <v>38.5</v>
      </c>
      <c r="K2375" s="131" t="s">
        <v>6630</v>
      </c>
      <c r="L2375" s="60">
        <v>173</v>
      </c>
      <c r="M2375" s="49" t="s">
        <v>6392</v>
      </c>
      <c r="N2375" s="37" t="s">
        <v>7338</v>
      </c>
      <c r="Z2375" s="3"/>
      <c r="AA2375" s="3"/>
      <c r="AB2375" s="4"/>
    </row>
    <row r="2376" spans="1:28" ht="14" x14ac:dyDescent="0.15">
      <c r="A2376" s="166" t="s">
        <v>2479</v>
      </c>
      <c r="B2376" s="82"/>
      <c r="C2376" s="70" t="s">
        <v>3636</v>
      </c>
      <c r="D2376" s="70" t="s">
        <v>3437</v>
      </c>
      <c r="E2376" s="70" t="s">
        <v>3457</v>
      </c>
      <c r="F2376" s="70" t="s">
        <v>7918</v>
      </c>
      <c r="G2376" s="70" t="s">
        <v>5281</v>
      </c>
      <c r="H2376" s="93"/>
      <c r="I2376" s="85">
        <f>LOG(J2376)</f>
        <v>2.7075701760979363</v>
      </c>
      <c r="J2376" s="85">
        <v>510</v>
      </c>
      <c r="K2376" s="131" t="s">
        <v>6485</v>
      </c>
      <c r="L2376" s="60">
        <v>68</v>
      </c>
      <c r="Z2376" s="3"/>
      <c r="AA2376" s="3"/>
      <c r="AB2376" s="4"/>
    </row>
    <row r="2377" spans="1:28" ht="14" x14ac:dyDescent="0.15">
      <c r="A2377" s="166" t="s">
        <v>2479</v>
      </c>
      <c r="B2377" s="82"/>
      <c r="C2377" s="70" t="s">
        <v>3636</v>
      </c>
      <c r="D2377" s="70" t="s">
        <v>3437</v>
      </c>
      <c r="E2377" s="70" t="s">
        <v>3457</v>
      </c>
      <c r="F2377" s="70" t="s">
        <v>2957</v>
      </c>
      <c r="G2377" s="70" t="s">
        <v>6489</v>
      </c>
      <c r="H2377" s="93"/>
      <c r="I2377" s="85">
        <v>-999</v>
      </c>
      <c r="J2377" s="85">
        <v>-999</v>
      </c>
      <c r="K2377" s="131" t="s">
        <v>7600</v>
      </c>
      <c r="L2377" s="60">
        <v>-999</v>
      </c>
      <c r="M2377" s="33"/>
      <c r="Z2377" s="3"/>
      <c r="AA2377" s="3"/>
      <c r="AB2377" s="4"/>
    </row>
    <row r="2378" spans="1:28" ht="14" x14ac:dyDescent="0.15">
      <c r="A2378" s="166" t="s">
        <v>2479</v>
      </c>
      <c r="B2378" s="82"/>
      <c r="C2378" s="70" t="s">
        <v>3636</v>
      </c>
      <c r="D2378" s="70" t="s">
        <v>3437</v>
      </c>
      <c r="E2378" s="70" t="s">
        <v>3457</v>
      </c>
      <c r="F2378" s="70" t="s">
        <v>4227</v>
      </c>
      <c r="G2378" s="70" t="s">
        <v>5282</v>
      </c>
      <c r="H2378" s="93"/>
      <c r="I2378" s="85">
        <f>LOG(J2378)</f>
        <v>1.6720978579357175</v>
      </c>
      <c r="J2378" s="85">
        <v>47</v>
      </c>
      <c r="K2378" s="131" t="s">
        <v>6485</v>
      </c>
      <c r="L2378" s="60">
        <v>-999</v>
      </c>
      <c r="Z2378" s="3"/>
      <c r="AA2378" s="3"/>
      <c r="AB2378" s="4"/>
    </row>
    <row r="2379" spans="1:28" ht="14" x14ac:dyDescent="0.15">
      <c r="A2379" s="166" t="s">
        <v>2479</v>
      </c>
      <c r="B2379" s="82"/>
      <c r="C2379" s="70" t="s">
        <v>3636</v>
      </c>
      <c r="D2379" s="70" t="s">
        <v>3437</v>
      </c>
      <c r="E2379" s="70" t="s">
        <v>3457</v>
      </c>
      <c r="F2379" s="70" t="s">
        <v>4227</v>
      </c>
      <c r="G2379" s="70" t="s">
        <v>3531</v>
      </c>
      <c r="H2379" s="93"/>
      <c r="I2379" s="85">
        <f>LOG(J2379)</f>
        <v>1.9294189257142926</v>
      </c>
      <c r="J2379" s="85">
        <v>85</v>
      </c>
      <c r="K2379" s="131" t="s">
        <v>6485</v>
      </c>
      <c r="L2379" s="60">
        <v>68</v>
      </c>
      <c r="Z2379" s="3"/>
      <c r="AA2379" s="3"/>
      <c r="AB2379" s="4"/>
    </row>
    <row r="2380" spans="1:28" ht="14" x14ac:dyDescent="0.15">
      <c r="A2380" s="166" t="s">
        <v>2479</v>
      </c>
      <c r="B2380" s="82"/>
      <c r="C2380" s="70" t="s">
        <v>3636</v>
      </c>
      <c r="D2380" s="70" t="s">
        <v>3437</v>
      </c>
      <c r="E2380" s="70" t="s">
        <v>3457</v>
      </c>
      <c r="F2380" s="70" t="s">
        <v>5283</v>
      </c>
      <c r="G2380" s="70" t="s">
        <v>5487</v>
      </c>
      <c r="H2380" s="93"/>
      <c r="I2380" s="85">
        <f>LOG(J2380)</f>
        <v>1.7481880270062005</v>
      </c>
      <c r="J2380" s="85">
        <v>56</v>
      </c>
      <c r="K2380" s="131" t="s">
        <v>6816</v>
      </c>
      <c r="L2380" s="60">
        <v>68</v>
      </c>
      <c r="M2380" s="49" t="s">
        <v>6392</v>
      </c>
      <c r="Z2380" s="3"/>
      <c r="AA2380" s="3"/>
      <c r="AB2380" s="4"/>
    </row>
    <row r="2381" spans="1:28" ht="16" x14ac:dyDescent="0.2">
      <c r="A2381" s="166" t="s">
        <v>2479</v>
      </c>
      <c r="B2381" s="93" t="s">
        <v>2066</v>
      </c>
      <c r="C2381" s="70" t="s">
        <v>3636</v>
      </c>
      <c r="D2381" s="70" t="s">
        <v>3437</v>
      </c>
      <c r="E2381" s="73" t="s">
        <v>3457</v>
      </c>
      <c r="F2381" s="70" t="s">
        <v>8025</v>
      </c>
      <c r="G2381" s="70" t="s">
        <v>8026</v>
      </c>
      <c r="H2381" s="93"/>
      <c r="I2381" s="85">
        <v>-999</v>
      </c>
      <c r="J2381" s="85">
        <v>-999</v>
      </c>
      <c r="K2381" s="131" t="s">
        <v>6630</v>
      </c>
      <c r="L2381" s="60">
        <v>-999</v>
      </c>
      <c r="M2381" s="49" t="s">
        <v>6392</v>
      </c>
      <c r="N2381" s="48"/>
      <c r="Z2381" s="3"/>
      <c r="AA2381" s="3"/>
      <c r="AB2381" s="4"/>
    </row>
    <row r="2382" spans="1:28" ht="14" x14ac:dyDescent="0.15">
      <c r="A2382" s="166" t="s">
        <v>2479</v>
      </c>
      <c r="B2382" s="93" t="s">
        <v>2067</v>
      </c>
      <c r="C2382" s="70" t="s">
        <v>3636</v>
      </c>
      <c r="D2382" s="70" t="s">
        <v>3437</v>
      </c>
      <c r="E2382" s="70" t="s">
        <v>3457</v>
      </c>
      <c r="F2382" s="70" t="s">
        <v>5946</v>
      </c>
      <c r="G2382" s="70" t="s">
        <v>5947</v>
      </c>
      <c r="H2382" s="93"/>
      <c r="I2382" s="85">
        <v>-999</v>
      </c>
      <c r="J2382" s="85">
        <v>-999</v>
      </c>
      <c r="K2382" s="131" t="s">
        <v>6391</v>
      </c>
      <c r="L2382" s="60">
        <v>-999</v>
      </c>
      <c r="M2382" s="33" t="s">
        <v>6390</v>
      </c>
      <c r="Z2382" s="3"/>
      <c r="AA2382" s="3"/>
      <c r="AB2382" s="4"/>
    </row>
    <row r="2383" spans="1:28" ht="14" x14ac:dyDescent="0.15">
      <c r="A2383" s="166" t="s">
        <v>2479</v>
      </c>
      <c r="B2383" s="82"/>
      <c r="C2383" s="70" t="s">
        <v>3636</v>
      </c>
      <c r="D2383" s="70" t="s">
        <v>3437</v>
      </c>
      <c r="E2383" s="70" t="s">
        <v>3457</v>
      </c>
      <c r="F2383" s="70" t="s">
        <v>5946</v>
      </c>
      <c r="G2383" s="70" t="s">
        <v>3819</v>
      </c>
      <c r="H2383" s="93"/>
      <c r="I2383" s="85">
        <v>-999</v>
      </c>
      <c r="J2383" s="85">
        <v>-999</v>
      </c>
      <c r="K2383" s="131" t="s">
        <v>3177</v>
      </c>
      <c r="L2383" s="60">
        <v>-999</v>
      </c>
      <c r="M2383" s="33"/>
      <c r="Z2383" s="3"/>
      <c r="AA2383" s="3"/>
      <c r="AB2383" s="4"/>
    </row>
    <row r="2384" spans="1:28" ht="16" x14ac:dyDescent="0.2">
      <c r="A2384" s="166" t="s">
        <v>2479</v>
      </c>
      <c r="B2384" s="82"/>
      <c r="C2384" s="70" t="s">
        <v>3636</v>
      </c>
      <c r="D2384" s="70" t="s">
        <v>3437</v>
      </c>
      <c r="E2384" s="70" t="s">
        <v>3457</v>
      </c>
      <c r="F2384" s="70" t="s">
        <v>5946</v>
      </c>
      <c r="G2384" s="70" t="s">
        <v>3172</v>
      </c>
      <c r="H2384" s="93"/>
      <c r="I2384" s="85">
        <f>LOG(J2384)</f>
        <v>1.6020599913279623</v>
      </c>
      <c r="J2384" s="85">
        <v>40</v>
      </c>
      <c r="K2384" s="131" t="s">
        <v>3177</v>
      </c>
      <c r="L2384" s="60">
        <v>75</v>
      </c>
      <c r="N2384" s="48"/>
      <c r="Z2384" s="3"/>
      <c r="AA2384" s="3"/>
      <c r="AB2384" s="4"/>
    </row>
    <row r="2385" spans="1:28" ht="14" x14ac:dyDescent="0.15">
      <c r="A2385" s="166" t="s">
        <v>2479</v>
      </c>
      <c r="B2385" s="82"/>
      <c r="C2385" s="70" t="s">
        <v>3636</v>
      </c>
      <c r="D2385" s="70" t="s">
        <v>3437</v>
      </c>
      <c r="E2385" s="70" t="s">
        <v>3457</v>
      </c>
      <c r="F2385" s="70" t="s">
        <v>5946</v>
      </c>
      <c r="G2385" s="70" t="s">
        <v>6363</v>
      </c>
      <c r="H2385" s="93"/>
      <c r="I2385" s="85">
        <f>LOG(J2385)</f>
        <v>1.9030899869919435</v>
      </c>
      <c r="J2385" s="85">
        <f>AVERAGE(50, 110)</f>
        <v>80</v>
      </c>
      <c r="K2385" s="131" t="s">
        <v>3177</v>
      </c>
      <c r="L2385" s="60">
        <v>138</v>
      </c>
      <c r="M2385" s="33"/>
      <c r="Z2385" s="3"/>
      <c r="AA2385" s="3"/>
      <c r="AB2385" s="4"/>
    </row>
    <row r="2386" spans="1:28" ht="14" x14ac:dyDescent="0.15">
      <c r="A2386" s="166" t="s">
        <v>2479</v>
      </c>
      <c r="B2386" s="93" t="s">
        <v>2510</v>
      </c>
      <c r="C2386" s="70" t="s">
        <v>3636</v>
      </c>
      <c r="D2386" s="70" t="s">
        <v>3437</v>
      </c>
      <c r="E2386" s="70" t="s">
        <v>3457</v>
      </c>
      <c r="F2386" s="70" t="s">
        <v>5946</v>
      </c>
      <c r="G2386" s="70" t="s">
        <v>3171</v>
      </c>
      <c r="H2386" s="93"/>
      <c r="I2386" s="85">
        <f>LOG(J2386)</f>
        <v>2.0693442899654215</v>
      </c>
      <c r="J2386" s="85">
        <f>AVERAGE(64, 70,  68,  76, 131, 137, 136, 144, 121, 128, 128, 123, 141, 133, 138, 139)</f>
        <v>117.3125</v>
      </c>
      <c r="K2386" s="131" t="s">
        <v>3177</v>
      </c>
      <c r="L2386" s="60">
        <v>176</v>
      </c>
      <c r="M2386" s="33"/>
      <c r="Z2386" s="3"/>
      <c r="AA2386" s="3"/>
      <c r="AB2386" s="4"/>
    </row>
    <row r="2387" spans="1:28" ht="14" x14ac:dyDescent="0.15">
      <c r="A2387" s="166" t="s">
        <v>2479</v>
      </c>
      <c r="B2387" s="82" t="s">
        <v>2511</v>
      </c>
      <c r="C2387" s="70" t="s">
        <v>3636</v>
      </c>
      <c r="D2387" s="70" t="s">
        <v>3437</v>
      </c>
      <c r="E2387" s="70" t="s">
        <v>3457</v>
      </c>
      <c r="F2387" s="70" t="s">
        <v>5488</v>
      </c>
      <c r="G2387" s="70" t="s">
        <v>5718</v>
      </c>
      <c r="H2387" s="93"/>
      <c r="I2387" s="85">
        <v>-999</v>
      </c>
      <c r="J2387" s="85">
        <v>-999</v>
      </c>
      <c r="K2387" s="131" t="s">
        <v>3177</v>
      </c>
      <c r="L2387" s="60">
        <v>-999</v>
      </c>
      <c r="M2387" s="33"/>
      <c r="Z2387" s="3"/>
      <c r="AA2387" s="3"/>
      <c r="AB2387" s="4"/>
    </row>
    <row r="2388" spans="1:28" ht="16" x14ac:dyDescent="0.2">
      <c r="A2388" s="166" t="s">
        <v>2479</v>
      </c>
      <c r="B2388" s="82"/>
      <c r="C2388" s="70" t="s">
        <v>3636</v>
      </c>
      <c r="D2388" s="70" t="s">
        <v>3437</v>
      </c>
      <c r="E2388" s="70" t="s">
        <v>3457</v>
      </c>
      <c r="F2388" s="70" t="s">
        <v>5488</v>
      </c>
      <c r="G2388" s="70" t="s">
        <v>5489</v>
      </c>
      <c r="H2388" s="93"/>
      <c r="I2388" s="85">
        <f>LOG(J2388)</f>
        <v>1.414973347970818</v>
      </c>
      <c r="J2388" s="85">
        <v>26</v>
      </c>
      <c r="K2388" s="131" t="s">
        <v>6630</v>
      </c>
      <c r="L2388" s="60">
        <v>75</v>
      </c>
      <c r="M2388" s="49" t="s">
        <v>6392</v>
      </c>
      <c r="N2388" s="48"/>
      <c r="Z2388" s="3"/>
      <c r="AA2388" s="3"/>
      <c r="AB2388" s="4"/>
    </row>
    <row r="2389" spans="1:28" ht="16" x14ac:dyDescent="0.2">
      <c r="A2389" s="166" t="s">
        <v>2479</v>
      </c>
      <c r="B2389" s="93" t="s">
        <v>2512</v>
      </c>
      <c r="C2389" s="70" t="s">
        <v>3636</v>
      </c>
      <c r="D2389" s="70" t="s">
        <v>3437</v>
      </c>
      <c r="E2389" s="70" t="s">
        <v>3457</v>
      </c>
      <c r="F2389" s="70" t="s">
        <v>3820</v>
      </c>
      <c r="G2389" s="70" t="s">
        <v>3365</v>
      </c>
      <c r="H2389" s="93"/>
      <c r="I2389" s="85">
        <v>-999</v>
      </c>
      <c r="J2389" s="85">
        <v>-999</v>
      </c>
      <c r="K2389" s="131" t="s">
        <v>3177</v>
      </c>
      <c r="L2389" s="60">
        <v>-999</v>
      </c>
      <c r="M2389" s="47"/>
      <c r="Z2389" s="3"/>
      <c r="AA2389" s="3"/>
      <c r="AB2389" s="4"/>
    </row>
    <row r="2390" spans="1:28" ht="14" x14ac:dyDescent="0.15">
      <c r="A2390" s="166" t="s">
        <v>2479</v>
      </c>
      <c r="B2390" s="93" t="s">
        <v>1902</v>
      </c>
      <c r="C2390" s="70" t="s">
        <v>3636</v>
      </c>
      <c r="D2390" s="70" t="s">
        <v>3437</v>
      </c>
      <c r="E2390" s="70" t="s">
        <v>3457</v>
      </c>
      <c r="F2390" s="70" t="s">
        <v>3820</v>
      </c>
      <c r="G2390" s="70" t="s">
        <v>3809</v>
      </c>
      <c r="H2390" s="93"/>
      <c r="I2390" s="85">
        <v>-999</v>
      </c>
      <c r="J2390" s="85">
        <v>-999</v>
      </c>
      <c r="K2390" s="131" t="s">
        <v>3177</v>
      </c>
      <c r="L2390" s="60">
        <v>-999</v>
      </c>
      <c r="M2390" s="33"/>
      <c r="Z2390" s="3"/>
      <c r="AA2390" s="3"/>
      <c r="AB2390" s="4"/>
    </row>
    <row r="2391" spans="1:28" ht="14" x14ac:dyDescent="0.15">
      <c r="A2391" s="166" t="s">
        <v>2479</v>
      </c>
      <c r="B2391" s="93" t="s">
        <v>1902</v>
      </c>
      <c r="C2391" s="70" t="s">
        <v>3636</v>
      </c>
      <c r="D2391" s="70" t="s">
        <v>3437</v>
      </c>
      <c r="E2391" s="70" t="s">
        <v>3457</v>
      </c>
      <c r="F2391" s="70" t="s">
        <v>3820</v>
      </c>
      <c r="G2391" s="70" t="s">
        <v>4107</v>
      </c>
      <c r="H2391" s="93"/>
      <c r="I2391" s="85">
        <f t="shared" ref="I2391:I2397" si="91">LOG(J2391)</f>
        <v>1.3424226808222062</v>
      </c>
      <c r="J2391" s="85">
        <f>1000*0.022</f>
        <v>22</v>
      </c>
      <c r="K2391" s="131" t="s">
        <v>3177</v>
      </c>
      <c r="L2391" s="60">
        <v>60</v>
      </c>
      <c r="M2391" s="33"/>
      <c r="Z2391" s="3"/>
      <c r="AA2391" s="3"/>
      <c r="AB2391" s="4"/>
    </row>
    <row r="2392" spans="1:28" ht="14" x14ac:dyDescent="0.15">
      <c r="A2392" s="166" t="s">
        <v>2479</v>
      </c>
      <c r="B2392" s="93" t="s">
        <v>1902</v>
      </c>
      <c r="C2392" s="70" t="s">
        <v>3636</v>
      </c>
      <c r="D2392" s="70" t="s">
        <v>3437</v>
      </c>
      <c r="E2392" s="70" t="s">
        <v>3457</v>
      </c>
      <c r="F2392" s="70" t="s">
        <v>3820</v>
      </c>
      <c r="G2392" s="70" t="s">
        <v>3036</v>
      </c>
      <c r="H2392" s="93"/>
      <c r="I2392" s="85">
        <f t="shared" si="91"/>
        <v>1.4265112613645752</v>
      </c>
      <c r="J2392" s="85">
        <f>1000*0.0267</f>
        <v>26.700000000000003</v>
      </c>
      <c r="K2392" s="148"/>
      <c r="L2392" s="60">
        <v>60</v>
      </c>
      <c r="M2392" s="33"/>
      <c r="Z2392" s="3"/>
      <c r="AA2392" s="3"/>
      <c r="AB2392" s="4"/>
    </row>
    <row r="2393" spans="1:28" ht="14" x14ac:dyDescent="0.15">
      <c r="A2393" s="166" t="s">
        <v>2479</v>
      </c>
      <c r="B2393" s="93" t="s">
        <v>1902</v>
      </c>
      <c r="C2393" s="70" t="s">
        <v>3636</v>
      </c>
      <c r="D2393" s="70" t="s">
        <v>3437</v>
      </c>
      <c r="E2393" s="70" t="s">
        <v>3457</v>
      </c>
      <c r="F2393" s="70" t="s">
        <v>3820</v>
      </c>
      <c r="G2393" s="70" t="s">
        <v>4106</v>
      </c>
      <c r="H2393" s="93"/>
      <c r="I2393" s="85">
        <f t="shared" si="91"/>
        <v>1.4265112613645752</v>
      </c>
      <c r="J2393" s="85">
        <f>1000*0.0267</f>
        <v>26.700000000000003</v>
      </c>
      <c r="K2393" s="131" t="s">
        <v>3177</v>
      </c>
      <c r="L2393" s="60">
        <v>60</v>
      </c>
      <c r="M2393" s="33"/>
      <c r="Z2393" s="3"/>
      <c r="AA2393" s="3"/>
      <c r="AB2393" s="4"/>
    </row>
    <row r="2394" spans="1:28" ht="14" x14ac:dyDescent="0.15">
      <c r="A2394" s="170" t="s">
        <v>2479</v>
      </c>
      <c r="B2394" s="82"/>
      <c r="C2394" s="70" t="s">
        <v>3636</v>
      </c>
      <c r="D2394" s="70" t="s">
        <v>3437</v>
      </c>
      <c r="E2394" s="70" t="s">
        <v>3457</v>
      </c>
      <c r="F2394" s="70" t="s">
        <v>3820</v>
      </c>
      <c r="G2394" s="70" t="s">
        <v>6542</v>
      </c>
      <c r="H2394" s="93"/>
      <c r="I2394" s="85">
        <f t="shared" si="91"/>
        <v>1.4313637641589874</v>
      </c>
      <c r="J2394" s="85">
        <v>27</v>
      </c>
      <c r="K2394" s="131" t="s">
        <v>3177</v>
      </c>
      <c r="L2394" s="60" t="s">
        <v>6687</v>
      </c>
      <c r="M2394" s="33"/>
      <c r="Z2394" s="3"/>
      <c r="AA2394" s="3"/>
      <c r="AB2394" s="4"/>
    </row>
    <row r="2395" spans="1:28" ht="14" x14ac:dyDescent="0.15">
      <c r="A2395" s="166" t="s">
        <v>2479</v>
      </c>
      <c r="B2395" s="93" t="s">
        <v>1902</v>
      </c>
      <c r="C2395" s="70" t="s">
        <v>3636</v>
      </c>
      <c r="D2395" s="70" t="s">
        <v>3437</v>
      </c>
      <c r="E2395" s="70" t="s">
        <v>3457</v>
      </c>
      <c r="F2395" s="70" t="s">
        <v>3820</v>
      </c>
      <c r="G2395" s="70" t="s">
        <v>3856</v>
      </c>
      <c r="H2395" s="93"/>
      <c r="I2395" s="85">
        <f t="shared" si="91"/>
        <v>1.4885507165004443</v>
      </c>
      <c r="J2395" s="85">
        <f>1000*0.0308</f>
        <v>30.8</v>
      </c>
      <c r="K2395" s="131" t="s">
        <v>3177</v>
      </c>
      <c r="L2395" s="60">
        <v>60</v>
      </c>
      <c r="M2395" s="33"/>
      <c r="Z2395" s="3"/>
      <c r="AA2395" s="3"/>
      <c r="AB2395" s="4"/>
    </row>
    <row r="2396" spans="1:28" ht="14" x14ac:dyDescent="0.15">
      <c r="A2396" s="166" t="s">
        <v>2479</v>
      </c>
      <c r="B2396" s="93" t="s">
        <v>1902</v>
      </c>
      <c r="C2396" s="70" t="s">
        <v>3636</v>
      </c>
      <c r="D2396" s="70" t="s">
        <v>3437</v>
      </c>
      <c r="E2396" s="70" t="s">
        <v>3457</v>
      </c>
      <c r="F2396" s="70" t="s">
        <v>3820</v>
      </c>
      <c r="G2396" s="70" t="s">
        <v>3364</v>
      </c>
      <c r="H2396" s="93"/>
      <c r="I2396" s="85">
        <f t="shared" si="91"/>
        <v>1.6283889300503116</v>
      </c>
      <c r="J2396" s="85">
        <f>1000*0.0425</f>
        <v>42.5</v>
      </c>
      <c r="K2396" s="131" t="s">
        <v>3177</v>
      </c>
      <c r="L2396" s="60">
        <v>60</v>
      </c>
      <c r="M2396" s="33"/>
      <c r="Z2396" s="3"/>
      <c r="AA2396" s="3"/>
      <c r="AB2396" s="4"/>
    </row>
    <row r="2397" spans="1:28" ht="16" x14ac:dyDescent="0.2">
      <c r="A2397" s="166" t="s">
        <v>2479</v>
      </c>
      <c r="B2397" s="82" t="s">
        <v>2511</v>
      </c>
      <c r="C2397" s="70" t="s">
        <v>3636</v>
      </c>
      <c r="D2397" s="70" t="s">
        <v>3437</v>
      </c>
      <c r="E2397" s="70" t="s">
        <v>3457</v>
      </c>
      <c r="F2397" s="70" t="s">
        <v>3820</v>
      </c>
      <c r="G2397" s="70" t="s">
        <v>3855</v>
      </c>
      <c r="H2397" s="93"/>
      <c r="I2397" s="85">
        <f t="shared" si="91"/>
        <v>1.6560982020128319</v>
      </c>
      <c r="J2397" s="85">
        <f>AVERAGE(1000*0.0507, 1000*0.0399)</f>
        <v>45.3</v>
      </c>
      <c r="K2397" s="148">
        <f>AVERAGE(J2397:J2403)</f>
        <v>-121.95712629800273</v>
      </c>
      <c r="L2397" s="60">
        <v>60</v>
      </c>
      <c r="M2397" s="47"/>
      <c r="Z2397" s="3"/>
      <c r="AA2397" s="3"/>
      <c r="AB2397" s="4"/>
    </row>
    <row r="2398" spans="1:28" ht="16" x14ac:dyDescent="0.2">
      <c r="A2398" s="166" t="s">
        <v>2479</v>
      </c>
      <c r="B2398" s="93" t="s">
        <v>2429</v>
      </c>
      <c r="C2398" s="70" t="s">
        <v>3636</v>
      </c>
      <c r="D2398" s="70" t="s">
        <v>3437</v>
      </c>
      <c r="E2398" s="73" t="s">
        <v>3457</v>
      </c>
      <c r="F2398" s="70" t="s">
        <v>4593</v>
      </c>
      <c r="G2398" s="70" t="s">
        <v>5526</v>
      </c>
      <c r="H2398" s="93"/>
      <c r="I2398" s="85">
        <v>-999</v>
      </c>
      <c r="J2398" s="85">
        <v>-999</v>
      </c>
      <c r="K2398" s="131" t="s">
        <v>3177</v>
      </c>
      <c r="L2398" s="60">
        <v>-999</v>
      </c>
      <c r="M2398" s="47"/>
      <c r="Z2398" s="3"/>
      <c r="AA2398" s="3"/>
      <c r="AB2398" s="4"/>
    </row>
    <row r="2399" spans="1:28" ht="14" x14ac:dyDescent="0.15">
      <c r="A2399" s="166" t="s">
        <v>2479</v>
      </c>
      <c r="B2399" s="82"/>
      <c r="C2399" s="70" t="s">
        <v>3636</v>
      </c>
      <c r="D2399" s="70" t="s">
        <v>3437</v>
      </c>
      <c r="E2399" s="70" t="s">
        <v>3457</v>
      </c>
      <c r="F2399" s="70" t="s">
        <v>4593</v>
      </c>
      <c r="G2399" s="70" t="s">
        <v>3445</v>
      </c>
      <c r="H2399" s="93"/>
      <c r="I2399" s="85">
        <f>LOG(J2399)</f>
        <v>0.90309000000000006</v>
      </c>
      <c r="J2399" s="85">
        <v>8.0000002396172594</v>
      </c>
      <c r="K2399" s="131" t="s">
        <v>3177</v>
      </c>
      <c r="L2399" s="60">
        <v>60</v>
      </c>
      <c r="N2399" s="35" t="s">
        <v>7341</v>
      </c>
      <c r="Z2399" s="3"/>
      <c r="AA2399" s="3"/>
      <c r="AB2399" s="4"/>
    </row>
    <row r="2400" spans="1:28" ht="14" x14ac:dyDescent="0.15">
      <c r="A2400" s="166" t="s">
        <v>2479</v>
      </c>
      <c r="B2400" s="93" t="s">
        <v>2551</v>
      </c>
      <c r="C2400" s="73" t="s">
        <v>3636</v>
      </c>
      <c r="D2400" s="73" t="s">
        <v>3437</v>
      </c>
      <c r="E2400" s="73" t="s">
        <v>3457</v>
      </c>
      <c r="F2400" s="73" t="s">
        <v>4593</v>
      </c>
      <c r="G2400" s="73" t="s">
        <v>6285</v>
      </c>
      <c r="H2400" s="108"/>
      <c r="I2400" s="85">
        <f>LOG(J2400)</f>
        <v>1.3010299956639813</v>
      </c>
      <c r="J2400" s="85">
        <f>1000*0.02</f>
        <v>20</v>
      </c>
      <c r="K2400" s="131" t="s">
        <v>3177</v>
      </c>
      <c r="L2400" s="60">
        <v>60</v>
      </c>
      <c r="M2400" s="33"/>
      <c r="N2400" s="37" t="s">
        <v>7344</v>
      </c>
      <c r="Z2400" s="3"/>
      <c r="AA2400" s="3"/>
      <c r="AB2400" s="4"/>
    </row>
    <row r="2401" spans="1:28" ht="14" x14ac:dyDescent="0.15">
      <c r="A2401" s="166" t="s">
        <v>2479</v>
      </c>
      <c r="B2401" s="82"/>
      <c r="C2401" s="70" t="s">
        <v>3636</v>
      </c>
      <c r="D2401" s="70" t="s">
        <v>3437</v>
      </c>
      <c r="E2401" s="70" t="s">
        <v>3457</v>
      </c>
      <c r="F2401" s="70" t="s">
        <v>4593</v>
      </c>
      <c r="G2401" s="70" t="s">
        <v>4121</v>
      </c>
      <c r="H2401" s="93"/>
      <c r="I2401" s="85">
        <f>LOG(J2401)</f>
        <v>1.3710700000000002</v>
      </c>
      <c r="J2401" s="85">
        <v>23.500115674363677</v>
      </c>
      <c r="K2401" s="131" t="s">
        <v>3177</v>
      </c>
      <c r="L2401" s="60">
        <v>64</v>
      </c>
      <c r="N2401" s="37" t="s">
        <v>7343</v>
      </c>
      <c r="Z2401" s="3"/>
      <c r="AA2401" s="3"/>
      <c r="AB2401" s="4"/>
    </row>
    <row r="2402" spans="1:28" ht="14" x14ac:dyDescent="0.15">
      <c r="A2402" s="166" t="s">
        <v>2479</v>
      </c>
      <c r="B2402" s="93" t="s">
        <v>2347</v>
      </c>
      <c r="C2402" s="70" t="s">
        <v>3636</v>
      </c>
      <c r="D2402" s="70" t="s">
        <v>3437</v>
      </c>
      <c r="E2402" s="70" t="s">
        <v>3457</v>
      </c>
      <c r="F2402" s="70" t="s">
        <v>4593</v>
      </c>
      <c r="G2402" s="70" t="s">
        <v>6281</v>
      </c>
      <c r="H2402" s="93"/>
      <c r="I2402" s="85">
        <f>LOG(J2402)</f>
        <v>1.3802112417116059</v>
      </c>
      <c r="J2402" s="85">
        <v>24</v>
      </c>
      <c r="K2402" s="131" t="s">
        <v>3177</v>
      </c>
      <c r="L2402" s="60">
        <v>117</v>
      </c>
      <c r="M2402" s="33"/>
      <c r="Z2402" s="3"/>
      <c r="AA2402" s="3"/>
      <c r="AB2402" s="4"/>
    </row>
    <row r="2403" spans="1:28" ht="14" x14ac:dyDescent="0.15">
      <c r="A2403" s="166" t="s">
        <v>2479</v>
      </c>
      <c r="B2403" s="82"/>
      <c r="C2403" s="70" t="s">
        <v>3636</v>
      </c>
      <c r="D2403" s="70" t="s">
        <v>3437</v>
      </c>
      <c r="E2403" s="70" t="s">
        <v>3457</v>
      </c>
      <c r="F2403" s="70" t="s">
        <v>4593</v>
      </c>
      <c r="G2403" s="70" t="s">
        <v>5490</v>
      </c>
      <c r="H2403" s="93"/>
      <c r="I2403" s="85">
        <f>LOG(J2403)</f>
        <v>1.3891660843645324</v>
      </c>
      <c r="J2403" s="85">
        <v>24.5</v>
      </c>
      <c r="K2403" s="131" t="s">
        <v>6630</v>
      </c>
      <c r="L2403" s="60">
        <v>217</v>
      </c>
      <c r="M2403" s="33" t="s">
        <v>6728</v>
      </c>
      <c r="N2403" s="32"/>
      <c r="Z2403" s="3"/>
      <c r="AA2403" s="3"/>
      <c r="AB2403" s="4"/>
    </row>
    <row r="2404" spans="1:28" ht="14" x14ac:dyDescent="0.15">
      <c r="A2404" s="165" t="s">
        <v>2479</v>
      </c>
      <c r="B2404" s="115"/>
      <c r="C2404" s="61" t="s">
        <v>3636</v>
      </c>
      <c r="D2404" s="61" t="s">
        <v>3437</v>
      </c>
      <c r="E2404" s="61" t="s">
        <v>3457</v>
      </c>
      <c r="F2404" s="61" t="s">
        <v>4593</v>
      </c>
      <c r="G2404" s="61" t="s">
        <v>2085</v>
      </c>
      <c r="H2404" s="115"/>
      <c r="I2404" s="103">
        <v>1.4065399999999999</v>
      </c>
      <c r="J2404" s="103">
        <v>25.499989405656553</v>
      </c>
      <c r="K2404" s="141"/>
      <c r="L2404" s="67">
        <v>60</v>
      </c>
      <c r="M2404" s="35"/>
      <c r="N2404" s="35" t="s">
        <v>7342</v>
      </c>
      <c r="O2404" s="35"/>
      <c r="Z2404" s="3"/>
      <c r="AA2404" s="3"/>
      <c r="AB2404" s="4"/>
    </row>
    <row r="2405" spans="1:28" ht="14" x14ac:dyDescent="0.15">
      <c r="A2405" s="166" t="s">
        <v>2479</v>
      </c>
      <c r="B2405" s="93" t="s">
        <v>2274</v>
      </c>
      <c r="C2405" s="70" t="s">
        <v>3636</v>
      </c>
      <c r="D2405" s="70" t="s">
        <v>3437</v>
      </c>
      <c r="E2405" s="70" t="s">
        <v>3457</v>
      </c>
      <c r="F2405" s="70" t="s">
        <v>4593</v>
      </c>
      <c r="G2405" s="70" t="s">
        <v>7928</v>
      </c>
      <c r="H2405" s="93"/>
      <c r="I2405" s="85">
        <f t="shared" ref="I2405:I2414" si="92">LOG(J2405)</f>
        <v>1.4471580313422192</v>
      </c>
      <c r="J2405" s="85">
        <v>28</v>
      </c>
      <c r="K2405" s="131" t="s">
        <v>3177</v>
      </c>
      <c r="L2405" s="60">
        <v>117</v>
      </c>
      <c r="M2405" s="33"/>
      <c r="N2405" s="37" t="s">
        <v>7345</v>
      </c>
      <c r="Z2405" s="3"/>
      <c r="AA2405" s="3"/>
      <c r="AB2405" s="4"/>
    </row>
    <row r="2406" spans="1:28" ht="14" x14ac:dyDescent="0.15">
      <c r="A2406" s="166" t="s">
        <v>2479</v>
      </c>
      <c r="B2406" s="93" t="s">
        <v>3056</v>
      </c>
      <c r="C2406" s="73" t="s">
        <v>3636</v>
      </c>
      <c r="D2406" s="73" t="s">
        <v>3437</v>
      </c>
      <c r="E2406" s="73" t="s">
        <v>3457</v>
      </c>
      <c r="F2406" s="73" t="s">
        <v>4593</v>
      </c>
      <c r="G2406" s="73" t="s">
        <v>6290</v>
      </c>
      <c r="H2406" s="108"/>
      <c r="I2406" s="85">
        <f t="shared" si="92"/>
        <v>1.4983105537896004</v>
      </c>
      <c r="J2406" s="85">
        <f>1000*0.0315</f>
        <v>31.5</v>
      </c>
      <c r="K2406" s="131" t="s">
        <v>6630</v>
      </c>
      <c r="L2406" s="60">
        <v>60</v>
      </c>
      <c r="M2406" s="33" t="s">
        <v>6392</v>
      </c>
      <c r="N2406" s="37" t="s">
        <v>7339</v>
      </c>
      <c r="Z2406" s="3"/>
      <c r="AA2406" s="3"/>
      <c r="AB2406" s="4"/>
    </row>
    <row r="2407" spans="1:28" ht="14" x14ac:dyDescent="0.15">
      <c r="A2407" s="166" t="s">
        <v>2479</v>
      </c>
      <c r="B2407" s="93" t="s">
        <v>2221</v>
      </c>
      <c r="C2407" s="70" t="s">
        <v>3636</v>
      </c>
      <c r="D2407" s="70" t="s">
        <v>3437</v>
      </c>
      <c r="E2407" s="70" t="s">
        <v>3457</v>
      </c>
      <c r="F2407" s="70" t="s">
        <v>4593</v>
      </c>
      <c r="G2407" s="70" t="s">
        <v>6279</v>
      </c>
      <c r="H2407" s="93"/>
      <c r="I2407" s="85">
        <f t="shared" si="92"/>
        <v>1.568201724066995</v>
      </c>
      <c r="J2407" s="85">
        <f>1000*0.037</f>
        <v>37</v>
      </c>
      <c r="K2407" s="131" t="s">
        <v>3177</v>
      </c>
      <c r="L2407" s="60">
        <v>60</v>
      </c>
      <c r="M2407" s="33"/>
      <c r="N2407" s="37" t="s">
        <v>7340</v>
      </c>
      <c r="Z2407" s="3"/>
      <c r="AA2407" s="3"/>
      <c r="AB2407" s="4"/>
    </row>
    <row r="2408" spans="1:28" ht="14" x14ac:dyDescent="0.15">
      <c r="A2408" s="166" t="s">
        <v>2479</v>
      </c>
      <c r="B2408" s="82"/>
      <c r="C2408" s="70" t="s">
        <v>3636</v>
      </c>
      <c r="D2408" s="70" t="s">
        <v>3437</v>
      </c>
      <c r="E2408" s="70" t="s">
        <v>3457</v>
      </c>
      <c r="F2408" s="70" t="s">
        <v>8024</v>
      </c>
      <c r="G2408" s="70" t="s">
        <v>5806</v>
      </c>
      <c r="H2408" s="93"/>
      <c r="I2408" s="85">
        <f t="shared" si="92"/>
        <v>1.7539658658651602</v>
      </c>
      <c r="J2408" s="85">
        <f>454*(2/16)</f>
        <v>56.75</v>
      </c>
      <c r="K2408" s="131" t="s">
        <v>3177</v>
      </c>
      <c r="L2408" s="60">
        <v>132</v>
      </c>
      <c r="M2408" s="33"/>
      <c r="Z2408" s="3"/>
      <c r="AA2408" s="3"/>
      <c r="AB2408" s="4"/>
    </row>
    <row r="2409" spans="1:28" ht="14" x14ac:dyDescent="0.15">
      <c r="A2409" s="166" t="s">
        <v>2479</v>
      </c>
      <c r="B2409" s="93" t="s">
        <v>5870</v>
      </c>
      <c r="C2409" s="73" t="s">
        <v>3636</v>
      </c>
      <c r="D2409" s="73" t="s">
        <v>3437</v>
      </c>
      <c r="E2409" s="73" t="s">
        <v>3457</v>
      </c>
      <c r="F2409" s="73" t="s">
        <v>8018</v>
      </c>
      <c r="G2409" s="73" t="s">
        <v>8019</v>
      </c>
      <c r="H2409" s="108"/>
      <c r="I2409" s="85">
        <f t="shared" si="92"/>
        <v>1.7708520116421442</v>
      </c>
      <c r="J2409" s="95">
        <f>AVERAGE(41, 77)</f>
        <v>59</v>
      </c>
      <c r="K2409" s="131" t="s">
        <v>3177</v>
      </c>
      <c r="L2409" s="60" t="s">
        <v>6687</v>
      </c>
      <c r="M2409" s="33"/>
      <c r="Z2409" s="3"/>
      <c r="AA2409" s="3"/>
      <c r="AB2409" s="4"/>
    </row>
    <row r="2410" spans="1:28" ht="14" x14ac:dyDescent="0.15">
      <c r="A2410" s="166" t="s">
        <v>2479</v>
      </c>
      <c r="B2410" s="93" t="s">
        <v>3063</v>
      </c>
      <c r="C2410" s="70" t="s">
        <v>3636</v>
      </c>
      <c r="D2410" s="70" t="s">
        <v>3437</v>
      </c>
      <c r="E2410" s="70" t="s">
        <v>3457</v>
      </c>
      <c r="F2410" s="70" t="s">
        <v>5810</v>
      </c>
      <c r="G2410" s="70" t="s">
        <v>3398</v>
      </c>
      <c r="H2410" s="93"/>
      <c r="I2410" s="85">
        <f t="shared" si="92"/>
        <v>1.8082109729242219</v>
      </c>
      <c r="J2410" s="85">
        <f>1000*0.0643</f>
        <v>64.3</v>
      </c>
      <c r="K2410" s="131" t="s">
        <v>6391</v>
      </c>
      <c r="L2410" s="60">
        <v>60</v>
      </c>
      <c r="M2410" s="33" t="s">
        <v>6392</v>
      </c>
      <c r="Z2410" s="3"/>
      <c r="AA2410" s="3"/>
      <c r="AB2410" s="4"/>
    </row>
    <row r="2411" spans="1:28" ht="28" x14ac:dyDescent="0.15">
      <c r="A2411" s="166" t="s">
        <v>2479</v>
      </c>
      <c r="B2411" s="93" t="s">
        <v>5776</v>
      </c>
      <c r="C2411" s="70" t="s">
        <v>3636</v>
      </c>
      <c r="D2411" s="70" t="s">
        <v>3437</v>
      </c>
      <c r="E2411" s="70" t="s">
        <v>3457</v>
      </c>
      <c r="F2411" s="70" t="s">
        <v>5810</v>
      </c>
      <c r="G2411" s="70" t="s">
        <v>3116</v>
      </c>
      <c r="H2411" s="93"/>
      <c r="I2411" s="85">
        <f t="shared" si="92"/>
        <v>1.8450980400142569</v>
      </c>
      <c r="J2411" s="85">
        <v>70</v>
      </c>
      <c r="K2411" s="131" t="s">
        <v>6391</v>
      </c>
      <c r="L2411" s="60">
        <v>119</v>
      </c>
      <c r="M2411" s="33" t="s">
        <v>6392</v>
      </c>
      <c r="Z2411" s="3"/>
      <c r="AA2411" s="3"/>
      <c r="AB2411" s="4"/>
    </row>
    <row r="2412" spans="1:28" ht="16" x14ac:dyDescent="0.2">
      <c r="A2412" s="166" t="s">
        <v>2479</v>
      </c>
      <c r="B2412" s="93" t="s">
        <v>2943</v>
      </c>
      <c r="C2412" s="70" t="s">
        <v>3636</v>
      </c>
      <c r="D2412" s="70" t="s">
        <v>3437</v>
      </c>
      <c r="E2412" s="70" t="s">
        <v>3457</v>
      </c>
      <c r="F2412" s="70" t="s">
        <v>2835</v>
      </c>
      <c r="G2412" s="70" t="s">
        <v>2840</v>
      </c>
      <c r="H2412" s="93"/>
      <c r="I2412" s="85">
        <f t="shared" si="92"/>
        <v>1.3473300153169503</v>
      </c>
      <c r="J2412" s="85">
        <f>AVERAGE(21.5, 23)</f>
        <v>22.25</v>
      </c>
      <c r="K2412" s="131" t="s">
        <v>3177</v>
      </c>
      <c r="L2412" s="60">
        <v>117</v>
      </c>
      <c r="M2412" s="47"/>
      <c r="Z2412" s="3"/>
      <c r="AA2412" s="3"/>
      <c r="AB2412" s="4"/>
    </row>
    <row r="2413" spans="1:28" ht="14" x14ac:dyDescent="0.15">
      <c r="A2413" s="166" t="s">
        <v>2479</v>
      </c>
      <c r="B2413" s="93" t="s">
        <v>2944</v>
      </c>
      <c r="C2413" s="70" t="s">
        <v>3636</v>
      </c>
      <c r="D2413" s="70" t="s">
        <v>3437</v>
      </c>
      <c r="E2413" s="70" t="s">
        <v>3457</v>
      </c>
      <c r="F2413" s="70" t="s">
        <v>2835</v>
      </c>
      <c r="G2413" s="70" t="s">
        <v>2841</v>
      </c>
      <c r="H2413" s="93"/>
      <c r="I2413" s="85">
        <f t="shared" si="92"/>
        <v>1.7209857441537391</v>
      </c>
      <c r="J2413" s="85">
        <v>52.6</v>
      </c>
      <c r="K2413" s="131" t="s">
        <v>3177</v>
      </c>
      <c r="L2413" s="60">
        <v>117</v>
      </c>
      <c r="M2413" s="33"/>
      <c r="Z2413" s="3"/>
      <c r="AA2413" s="3"/>
      <c r="AB2413" s="4"/>
    </row>
    <row r="2414" spans="1:28" ht="28" x14ac:dyDescent="0.15">
      <c r="A2414" s="166" t="s">
        <v>2479</v>
      </c>
      <c r="B2414" s="82" t="s">
        <v>4463</v>
      </c>
      <c r="C2414" s="73" t="s">
        <v>3636</v>
      </c>
      <c r="D2414" s="73" t="s">
        <v>3437</v>
      </c>
      <c r="E2414" s="73" t="s">
        <v>3457</v>
      </c>
      <c r="F2414" s="73" t="s">
        <v>2842</v>
      </c>
      <c r="G2414" s="73" t="s">
        <v>2843</v>
      </c>
      <c r="H2414" s="108"/>
      <c r="I2414" s="85">
        <f t="shared" si="92"/>
        <v>1.3074960379132128</v>
      </c>
      <c r="J2414" s="85">
        <f>1000*0.0203</f>
        <v>20.299999999999997</v>
      </c>
      <c r="K2414" s="131" t="s">
        <v>3177</v>
      </c>
      <c r="L2414" s="60">
        <v>60</v>
      </c>
      <c r="M2414" s="33"/>
      <c r="Q2414" s="6"/>
      <c r="R2414" s="6"/>
      <c r="Z2414" s="3"/>
      <c r="AA2414" s="3"/>
      <c r="AB2414" s="4"/>
    </row>
    <row r="2415" spans="1:28" ht="28" x14ac:dyDescent="0.15">
      <c r="A2415" s="166" t="s">
        <v>2479</v>
      </c>
      <c r="B2415" s="93" t="s">
        <v>4462</v>
      </c>
      <c r="C2415" s="70" t="s">
        <v>3636</v>
      </c>
      <c r="D2415" s="70" t="s">
        <v>3437</v>
      </c>
      <c r="E2415" s="70" t="s">
        <v>3457</v>
      </c>
      <c r="F2415" s="70" t="s">
        <v>6061</v>
      </c>
      <c r="G2415" s="70" t="s">
        <v>7748</v>
      </c>
      <c r="H2415" s="93"/>
      <c r="I2415" s="85">
        <v>-999</v>
      </c>
      <c r="J2415" s="85">
        <v>-999</v>
      </c>
      <c r="K2415" s="131" t="s">
        <v>3177</v>
      </c>
      <c r="L2415" s="60">
        <v>-999</v>
      </c>
      <c r="M2415" s="33"/>
      <c r="Q2415" s="6"/>
      <c r="R2415" s="6"/>
      <c r="Z2415" s="3"/>
      <c r="AA2415" s="3"/>
      <c r="AB2415" s="4"/>
    </row>
    <row r="2416" spans="1:28" ht="14" x14ac:dyDescent="0.15">
      <c r="A2416" s="166" t="s">
        <v>2479</v>
      </c>
      <c r="B2416" s="93" t="s">
        <v>1902</v>
      </c>
      <c r="C2416" s="70" t="s">
        <v>3636</v>
      </c>
      <c r="D2416" s="70" t="s">
        <v>3437</v>
      </c>
      <c r="E2416" s="70" t="s">
        <v>3457</v>
      </c>
      <c r="F2416" s="70" t="s">
        <v>6061</v>
      </c>
      <c r="G2416" s="70" t="s">
        <v>4664</v>
      </c>
      <c r="H2416" s="93"/>
      <c r="I2416" s="85">
        <f>LOG(J2416)</f>
        <v>1.6283889300503116</v>
      </c>
      <c r="J2416" s="85">
        <v>42.5</v>
      </c>
      <c r="K2416" s="131" t="s">
        <v>6816</v>
      </c>
      <c r="L2416" s="60">
        <v>186</v>
      </c>
      <c r="M2416" s="33" t="s">
        <v>6392</v>
      </c>
      <c r="Q2416" s="6"/>
      <c r="R2416" s="6"/>
      <c r="Z2416" s="3"/>
      <c r="AA2416" s="3"/>
      <c r="AB2416" s="4"/>
    </row>
    <row r="2417" spans="1:28" ht="14" x14ac:dyDescent="0.15">
      <c r="A2417" s="166" t="s">
        <v>2479</v>
      </c>
      <c r="B2417" s="93" t="s">
        <v>4461</v>
      </c>
      <c r="C2417" s="73" t="s">
        <v>3636</v>
      </c>
      <c r="D2417" s="73" t="s">
        <v>3437</v>
      </c>
      <c r="E2417" s="73" t="s">
        <v>3457</v>
      </c>
      <c r="F2417" s="73" t="s">
        <v>6061</v>
      </c>
      <c r="G2417" s="73" t="s">
        <v>6062</v>
      </c>
      <c r="H2417" s="108"/>
      <c r="I2417" s="85">
        <f>LOG(J2417)</f>
        <v>1.9722954286111396</v>
      </c>
      <c r="J2417" s="95">
        <v>93.82</v>
      </c>
      <c r="K2417" s="131" t="s">
        <v>7622</v>
      </c>
      <c r="L2417" s="60" t="s">
        <v>1750</v>
      </c>
      <c r="M2417" s="33">
        <f>-6.82444 + 2.671*LOG(148)</f>
        <v>-1.0276709581800691</v>
      </c>
      <c r="N2417" s="37" t="s">
        <v>277</v>
      </c>
      <c r="Q2417" s="6"/>
      <c r="R2417" s="6"/>
      <c r="Z2417" s="3"/>
      <c r="AA2417" s="3"/>
      <c r="AB2417" s="4"/>
    </row>
    <row r="2418" spans="1:28" ht="14" x14ac:dyDescent="0.15">
      <c r="A2418" s="166" t="s">
        <v>2479</v>
      </c>
      <c r="B2418" s="93" t="s">
        <v>2195</v>
      </c>
      <c r="C2418" s="70" t="s">
        <v>3636</v>
      </c>
      <c r="D2418" s="70" t="s">
        <v>3437</v>
      </c>
      <c r="E2418" s="73" t="s">
        <v>3457</v>
      </c>
      <c r="F2418" s="70" t="s">
        <v>6828</v>
      </c>
      <c r="G2418" s="70" t="s">
        <v>7749</v>
      </c>
      <c r="H2418" s="93"/>
      <c r="I2418" s="85">
        <v>-999</v>
      </c>
      <c r="J2418" s="85">
        <v>-999</v>
      </c>
      <c r="K2418" s="131" t="s">
        <v>3177</v>
      </c>
      <c r="L2418" s="60">
        <v>-999</v>
      </c>
      <c r="M2418" s="33"/>
      <c r="Q2418" s="6"/>
      <c r="R2418" s="6"/>
      <c r="Z2418" s="3"/>
      <c r="AA2418" s="3"/>
      <c r="AB2418" s="4"/>
    </row>
    <row r="2419" spans="1:28" ht="14" x14ac:dyDescent="0.15">
      <c r="A2419" s="166" t="s">
        <v>2479</v>
      </c>
      <c r="B2419" s="82"/>
      <c r="C2419" s="70" t="s">
        <v>3636</v>
      </c>
      <c r="D2419" s="70" t="s">
        <v>3437</v>
      </c>
      <c r="E2419" s="70" t="s">
        <v>3457</v>
      </c>
      <c r="F2419" s="70" t="s">
        <v>6828</v>
      </c>
      <c r="G2419" s="70" t="s">
        <v>8046</v>
      </c>
      <c r="H2419" s="93"/>
      <c r="I2419" s="85">
        <f t="shared" ref="I2419:I2429" si="93">LOG(J2419)</f>
        <v>1.6766936096248666</v>
      </c>
      <c r="J2419" s="85">
        <v>47.5</v>
      </c>
      <c r="K2419" s="131" t="s">
        <v>6485</v>
      </c>
      <c r="L2419" s="60">
        <v>68</v>
      </c>
      <c r="Q2419" s="6"/>
      <c r="R2419" s="6"/>
      <c r="Z2419" s="3"/>
      <c r="AA2419" s="3"/>
      <c r="AB2419" s="4"/>
    </row>
    <row r="2420" spans="1:28" ht="14" x14ac:dyDescent="0.15">
      <c r="A2420" s="166" t="s">
        <v>2479</v>
      </c>
      <c r="B2420" s="82"/>
      <c r="C2420" s="70" t="s">
        <v>3636</v>
      </c>
      <c r="D2420" s="70" t="s">
        <v>3437</v>
      </c>
      <c r="E2420" s="70" t="s">
        <v>3457</v>
      </c>
      <c r="F2420" s="70" t="s">
        <v>6828</v>
      </c>
      <c r="G2420" s="70" t="s">
        <v>6829</v>
      </c>
      <c r="H2420" s="93"/>
      <c r="I2420" s="85">
        <f t="shared" si="93"/>
        <v>1.7182200000000003</v>
      </c>
      <c r="J2420" s="85">
        <v>52.266088560600423</v>
      </c>
      <c r="K2420" s="131" t="s">
        <v>3177</v>
      </c>
      <c r="L2420" s="60">
        <v>60</v>
      </c>
      <c r="Q2420" s="6"/>
      <c r="R2420" s="6"/>
      <c r="Z2420" s="3"/>
      <c r="AA2420" s="3"/>
      <c r="AB2420" s="4"/>
    </row>
    <row r="2421" spans="1:28" ht="14" x14ac:dyDescent="0.15">
      <c r="A2421" s="166" t="s">
        <v>2479</v>
      </c>
      <c r="B2421" s="93" t="s">
        <v>2509</v>
      </c>
      <c r="C2421" s="70" t="s">
        <v>3636</v>
      </c>
      <c r="D2421" s="70" t="s">
        <v>3437</v>
      </c>
      <c r="E2421" s="70" t="s">
        <v>3457</v>
      </c>
      <c r="F2421" s="70" t="s">
        <v>6247</v>
      </c>
      <c r="G2421" s="70" t="s">
        <v>6016</v>
      </c>
      <c r="H2421" s="93"/>
      <c r="I2421" s="85">
        <f t="shared" si="93"/>
        <v>2.0791812460476247</v>
      </c>
      <c r="J2421" s="85">
        <v>120</v>
      </c>
      <c r="K2421" s="131" t="s">
        <v>3177</v>
      </c>
      <c r="L2421" s="60">
        <v>119</v>
      </c>
      <c r="M2421" s="33"/>
      <c r="Q2421" s="6"/>
      <c r="R2421" s="6"/>
      <c r="Z2421" s="3"/>
      <c r="AA2421" s="3"/>
      <c r="AB2421" s="4"/>
    </row>
    <row r="2422" spans="1:28" ht="14" x14ac:dyDescent="0.15">
      <c r="A2422" s="166" t="s">
        <v>2479</v>
      </c>
      <c r="B2422" s="93" t="s">
        <v>2179</v>
      </c>
      <c r="C2422" s="70" t="s">
        <v>3636</v>
      </c>
      <c r="D2422" s="70" t="s">
        <v>3437</v>
      </c>
      <c r="E2422" s="70" t="s">
        <v>3457</v>
      </c>
      <c r="F2422" s="70" t="s">
        <v>6248</v>
      </c>
      <c r="G2422" s="70" t="s">
        <v>6249</v>
      </c>
      <c r="H2422" s="93"/>
      <c r="I2422" s="85">
        <f t="shared" si="93"/>
        <v>2.3404441148401185</v>
      </c>
      <c r="J2422" s="85">
        <f>1000*0.219</f>
        <v>219</v>
      </c>
      <c r="K2422" s="131" t="s">
        <v>6630</v>
      </c>
      <c r="L2422" s="60">
        <v>60</v>
      </c>
      <c r="M2422" s="33" t="s">
        <v>6390</v>
      </c>
      <c r="Q2422" s="6"/>
      <c r="R2422" s="6"/>
      <c r="Z2422" s="3"/>
      <c r="AA2422" s="3"/>
      <c r="AB2422" s="4"/>
    </row>
    <row r="2423" spans="1:28" ht="42" x14ac:dyDescent="0.15">
      <c r="A2423" s="166" t="s">
        <v>2479</v>
      </c>
      <c r="B2423" s="93" t="s">
        <v>1965</v>
      </c>
      <c r="C2423" s="70" t="s">
        <v>3636</v>
      </c>
      <c r="D2423" s="70" t="s">
        <v>3437</v>
      </c>
      <c r="E2423" s="70" t="s">
        <v>3457</v>
      </c>
      <c r="F2423" s="70" t="s">
        <v>6248</v>
      </c>
      <c r="G2423" s="70" t="s">
        <v>3879</v>
      </c>
      <c r="H2423" s="93"/>
      <c r="I2423" s="85">
        <f t="shared" si="93"/>
        <v>2.4771212547196626</v>
      </c>
      <c r="J2423" s="85">
        <v>300</v>
      </c>
      <c r="K2423" s="131" t="s">
        <v>3177</v>
      </c>
      <c r="L2423" s="60">
        <v>119</v>
      </c>
      <c r="M2423" s="33"/>
      <c r="Q2423" s="2"/>
      <c r="R2423" s="2"/>
      <c r="Z2423" s="3"/>
      <c r="AA2423" s="3"/>
      <c r="AB2423" s="4"/>
    </row>
    <row r="2424" spans="1:28" ht="42" x14ac:dyDescent="0.2">
      <c r="A2424" s="166" t="s">
        <v>2479</v>
      </c>
      <c r="B2424" s="93" t="s">
        <v>2506</v>
      </c>
      <c r="C2424" s="70" t="s">
        <v>3636</v>
      </c>
      <c r="D2424" s="70" t="s">
        <v>3437</v>
      </c>
      <c r="E2424" s="70" t="s">
        <v>3457</v>
      </c>
      <c r="F2424" s="70" t="s">
        <v>6248</v>
      </c>
      <c r="G2424" s="70" t="s">
        <v>3207</v>
      </c>
      <c r="H2424" s="93"/>
      <c r="I2424" s="85">
        <f t="shared" si="93"/>
        <v>2.53655844257153</v>
      </c>
      <c r="J2424" s="85">
        <f>AVERAGE(250, 532, 250)</f>
        <v>344</v>
      </c>
      <c r="K2424" s="131" t="s">
        <v>3177</v>
      </c>
      <c r="L2424" s="70" t="s">
        <v>1474</v>
      </c>
      <c r="M2424" s="47"/>
      <c r="Q2424"/>
      <c r="R2424"/>
      <c r="Z2424" s="3"/>
      <c r="AA2424" s="3"/>
      <c r="AB2424" s="4"/>
    </row>
    <row r="2425" spans="1:28" x14ac:dyDescent="0.15">
      <c r="A2425" s="166" t="s">
        <v>2479</v>
      </c>
      <c r="B2425" s="82"/>
      <c r="C2425" s="70" t="s">
        <v>3636</v>
      </c>
      <c r="D2425" s="70" t="s">
        <v>3437</v>
      </c>
      <c r="E2425" s="70" t="s">
        <v>3457</v>
      </c>
      <c r="F2425" s="70" t="s">
        <v>8047</v>
      </c>
      <c r="G2425" s="70" t="s">
        <v>5305</v>
      </c>
      <c r="H2425" s="93"/>
      <c r="I2425" s="85">
        <f t="shared" si="93"/>
        <v>1.7350663496842953</v>
      </c>
      <c r="J2425" s="85">
        <f>AVERAGE(30, 83, 50)</f>
        <v>54.333333333333336</v>
      </c>
      <c r="K2425" s="131"/>
      <c r="L2425" s="60" t="s">
        <v>1474</v>
      </c>
      <c r="Z2425" s="3"/>
      <c r="AA2425" s="3"/>
      <c r="AB2425" s="4"/>
    </row>
    <row r="2426" spans="1:28" ht="16" x14ac:dyDescent="0.2">
      <c r="A2426" s="166" t="s">
        <v>2479</v>
      </c>
      <c r="B2426" s="93" t="s">
        <v>2509</v>
      </c>
      <c r="C2426" s="70" t="s">
        <v>3636</v>
      </c>
      <c r="D2426" s="70" t="s">
        <v>3437</v>
      </c>
      <c r="E2426" s="70" t="s">
        <v>3457</v>
      </c>
      <c r="F2426" s="70" t="s">
        <v>8047</v>
      </c>
      <c r="G2426" s="70" t="s">
        <v>7747</v>
      </c>
      <c r="H2426" s="93"/>
      <c r="I2426" s="85">
        <f t="shared" si="93"/>
        <v>1.954242509439325</v>
      </c>
      <c r="J2426" s="85">
        <v>90</v>
      </c>
      <c r="K2426" s="131" t="s">
        <v>3177</v>
      </c>
      <c r="L2426" s="60">
        <v>119</v>
      </c>
      <c r="M2426" s="47"/>
      <c r="Z2426" s="3"/>
      <c r="AA2426" s="3"/>
      <c r="AB2426" s="4"/>
    </row>
    <row r="2427" spans="1:28" ht="42" x14ac:dyDescent="0.15">
      <c r="A2427" s="166" t="s">
        <v>2479</v>
      </c>
      <c r="B2427" s="93" t="s">
        <v>1322</v>
      </c>
      <c r="C2427" s="70" t="s">
        <v>3636</v>
      </c>
      <c r="D2427" s="70" t="s">
        <v>3437</v>
      </c>
      <c r="E2427" s="70" t="s">
        <v>3457</v>
      </c>
      <c r="F2427" s="70" t="s">
        <v>8047</v>
      </c>
      <c r="G2427" s="70" t="s">
        <v>5485</v>
      </c>
      <c r="H2427" s="93"/>
      <c r="I2427" s="85">
        <f t="shared" si="93"/>
        <v>2.1430668708113068</v>
      </c>
      <c r="J2427" s="85">
        <f>AVERAGE(138.7, 125.8, 165, 143.8, 120.8, 140)</f>
        <v>139.01666666666665</v>
      </c>
      <c r="K2427" s="131" t="s">
        <v>3177</v>
      </c>
      <c r="L2427" s="60">
        <v>123</v>
      </c>
      <c r="M2427" s="33"/>
      <c r="Z2427" s="3"/>
      <c r="AA2427" s="3"/>
      <c r="AB2427" s="4"/>
    </row>
    <row r="2428" spans="1:28" ht="14" x14ac:dyDescent="0.15">
      <c r="A2428" s="166" t="s">
        <v>2479</v>
      </c>
      <c r="B2428" s="93" t="s">
        <v>2595</v>
      </c>
      <c r="C2428" s="70" t="s">
        <v>3636</v>
      </c>
      <c r="D2428" s="70" t="s">
        <v>3437</v>
      </c>
      <c r="E2428" s="73" t="s">
        <v>3457</v>
      </c>
      <c r="F2428" s="70" t="s">
        <v>8047</v>
      </c>
      <c r="G2428" s="70" t="s">
        <v>5843</v>
      </c>
      <c r="H2428" s="93"/>
      <c r="I2428" s="85">
        <f t="shared" si="93"/>
        <v>2.167317334748176</v>
      </c>
      <c r="J2428" s="85">
        <f>1000*0.147</f>
        <v>147</v>
      </c>
      <c r="K2428" s="131" t="s">
        <v>3177</v>
      </c>
      <c r="L2428" s="60">
        <v>60</v>
      </c>
      <c r="M2428" s="33"/>
      <c r="Z2428" s="3"/>
      <c r="AA2428" s="3"/>
      <c r="AB2428" s="4"/>
    </row>
    <row r="2429" spans="1:28" ht="14" x14ac:dyDescent="0.15">
      <c r="A2429" s="166" t="s">
        <v>2479</v>
      </c>
      <c r="B2429" s="93" t="s">
        <v>2884</v>
      </c>
      <c r="C2429" s="70" t="s">
        <v>3636</v>
      </c>
      <c r="D2429" s="70" t="s">
        <v>3437</v>
      </c>
      <c r="E2429" s="70" t="s">
        <v>3457</v>
      </c>
      <c r="F2429" s="70" t="s">
        <v>8047</v>
      </c>
      <c r="G2429" s="70" t="s">
        <v>5484</v>
      </c>
      <c r="H2429" s="93"/>
      <c r="I2429" s="85">
        <f t="shared" si="93"/>
        <v>2.1760912590556813</v>
      </c>
      <c r="J2429" s="85">
        <v>150</v>
      </c>
      <c r="K2429" s="131" t="s">
        <v>3177</v>
      </c>
      <c r="L2429" s="70">
        <v>119</v>
      </c>
      <c r="M2429" s="33"/>
      <c r="Z2429" s="3"/>
      <c r="AA2429" s="3"/>
      <c r="AB2429" s="4"/>
    </row>
    <row r="2430" spans="1:28" ht="14" x14ac:dyDescent="0.15">
      <c r="A2430" s="166" t="s">
        <v>2479</v>
      </c>
      <c r="B2430" s="93" t="s">
        <v>5752</v>
      </c>
      <c r="C2430" s="70" t="s">
        <v>3636</v>
      </c>
      <c r="D2430" s="70" t="s">
        <v>3437</v>
      </c>
      <c r="E2430" s="70" t="s">
        <v>3457</v>
      </c>
      <c r="F2430" s="70" t="s">
        <v>6564</v>
      </c>
      <c r="G2430" s="70" t="s">
        <v>5902</v>
      </c>
      <c r="H2430" s="93"/>
      <c r="I2430" s="85">
        <v>-999</v>
      </c>
      <c r="J2430" s="85">
        <v>-999</v>
      </c>
      <c r="K2430" s="131" t="s">
        <v>3177</v>
      </c>
      <c r="L2430" s="60">
        <v>-999</v>
      </c>
      <c r="M2430" s="33" t="s">
        <v>6390</v>
      </c>
      <c r="Z2430" s="3"/>
      <c r="AA2430" s="3"/>
      <c r="AB2430" s="4"/>
    </row>
    <row r="2431" spans="1:28" ht="17" x14ac:dyDescent="0.2">
      <c r="A2431" s="166" t="s">
        <v>2479</v>
      </c>
      <c r="B2431" s="93" t="s">
        <v>1902</v>
      </c>
      <c r="C2431" s="73" t="s">
        <v>3636</v>
      </c>
      <c r="D2431" s="73" t="s">
        <v>3437</v>
      </c>
      <c r="E2431" s="73" t="s">
        <v>3457</v>
      </c>
      <c r="F2431" s="73" t="s">
        <v>6564</v>
      </c>
      <c r="G2431" s="73" t="s">
        <v>7944</v>
      </c>
      <c r="H2431" s="108"/>
      <c r="I2431" s="85">
        <v>-999</v>
      </c>
      <c r="J2431" s="95">
        <v>-999</v>
      </c>
      <c r="K2431" s="131" t="s">
        <v>3177</v>
      </c>
      <c r="L2431" s="60">
        <v>-999</v>
      </c>
      <c r="M2431" s="47" t="s">
        <v>6809</v>
      </c>
      <c r="Z2431" s="3"/>
      <c r="AA2431" s="3"/>
      <c r="AB2431" s="4"/>
    </row>
    <row r="2432" spans="1:28" ht="14" x14ac:dyDescent="0.15">
      <c r="A2432" s="166" t="s">
        <v>2479</v>
      </c>
      <c r="B2432" s="93" t="s">
        <v>4881</v>
      </c>
      <c r="C2432" s="70" t="s">
        <v>3636</v>
      </c>
      <c r="D2432" s="70" t="s">
        <v>3437</v>
      </c>
      <c r="E2432" s="70" t="s">
        <v>3457</v>
      </c>
      <c r="F2432" s="70" t="s">
        <v>6564</v>
      </c>
      <c r="G2432" s="70" t="s">
        <v>4276</v>
      </c>
      <c r="H2432" s="93"/>
      <c r="I2432" s="85">
        <v>-999</v>
      </c>
      <c r="J2432" s="85">
        <v>-999</v>
      </c>
      <c r="K2432" s="131" t="s">
        <v>3177</v>
      </c>
      <c r="L2432" s="60">
        <v>-999</v>
      </c>
      <c r="M2432" s="33" t="s">
        <v>6390</v>
      </c>
      <c r="Z2432" s="3"/>
      <c r="AA2432" s="3"/>
      <c r="AB2432" s="4"/>
    </row>
    <row r="2433" spans="1:28" ht="16" x14ac:dyDescent="0.2">
      <c r="A2433" s="166" t="s">
        <v>2479</v>
      </c>
      <c r="B2433" s="82"/>
      <c r="C2433" s="70" t="s">
        <v>3636</v>
      </c>
      <c r="D2433" s="70" t="s">
        <v>3437</v>
      </c>
      <c r="E2433" s="70" t="s">
        <v>3457</v>
      </c>
      <c r="F2433" s="70" t="s">
        <v>6564</v>
      </c>
      <c r="G2433" s="70" t="s">
        <v>5308</v>
      </c>
      <c r="H2433" s="93"/>
      <c r="I2433" s="85">
        <f t="shared" ref="I2433:I2444" si="94">LOG(J2433)</f>
        <v>1.7267272090265722</v>
      </c>
      <c r="J2433" s="85">
        <v>53.3</v>
      </c>
      <c r="K2433" s="131" t="s">
        <v>6485</v>
      </c>
      <c r="L2433" s="60">
        <v>68</v>
      </c>
      <c r="N2433" s="48"/>
      <c r="Z2433" s="3"/>
      <c r="AA2433" s="3"/>
      <c r="AB2433" s="4"/>
    </row>
    <row r="2434" spans="1:28" ht="28" x14ac:dyDescent="0.15">
      <c r="A2434" s="166" t="s">
        <v>2479</v>
      </c>
      <c r="B2434" s="93" t="s">
        <v>2553</v>
      </c>
      <c r="C2434" s="70" t="s">
        <v>3636</v>
      </c>
      <c r="D2434" s="70" t="s">
        <v>3437</v>
      </c>
      <c r="E2434" s="70" t="s">
        <v>3457</v>
      </c>
      <c r="F2434" s="70" t="s">
        <v>6564</v>
      </c>
      <c r="G2434" s="70" t="s">
        <v>3518</v>
      </c>
      <c r="H2434" s="93"/>
      <c r="I2434" s="85">
        <f t="shared" si="94"/>
        <v>1.7930916001765802</v>
      </c>
      <c r="J2434" s="85">
        <v>62.1</v>
      </c>
      <c r="K2434" s="131" t="s">
        <v>3177</v>
      </c>
      <c r="L2434" s="60">
        <v>173</v>
      </c>
      <c r="M2434" s="33"/>
      <c r="Z2434" s="3"/>
      <c r="AA2434" s="3"/>
      <c r="AB2434" s="4"/>
    </row>
    <row r="2435" spans="1:28" ht="14" x14ac:dyDescent="0.15">
      <c r="A2435" s="166" t="s">
        <v>2479</v>
      </c>
      <c r="B2435" s="82"/>
      <c r="C2435" s="70" t="s">
        <v>3636</v>
      </c>
      <c r="D2435" s="70" t="s">
        <v>3437</v>
      </c>
      <c r="E2435" s="70" t="s">
        <v>3457</v>
      </c>
      <c r="F2435" s="70" t="s">
        <v>6564</v>
      </c>
      <c r="G2435" s="70" t="s">
        <v>5306</v>
      </c>
      <c r="H2435" s="93"/>
      <c r="I2435" s="85">
        <f t="shared" si="94"/>
        <v>1.8450980400142569</v>
      </c>
      <c r="J2435" s="85">
        <v>70</v>
      </c>
      <c r="K2435" s="131" t="s">
        <v>6485</v>
      </c>
      <c r="L2435" s="60" t="s">
        <v>1306</v>
      </c>
      <c r="Z2435" s="3"/>
      <c r="AA2435" s="3"/>
      <c r="AB2435" s="4"/>
    </row>
    <row r="2436" spans="1:28" ht="14" x14ac:dyDescent="0.15">
      <c r="A2436" s="166" t="s">
        <v>2479</v>
      </c>
      <c r="B2436" s="82"/>
      <c r="C2436" s="70" t="s">
        <v>3636</v>
      </c>
      <c r="D2436" s="70" t="s">
        <v>3437</v>
      </c>
      <c r="E2436" s="70" t="s">
        <v>3457</v>
      </c>
      <c r="F2436" s="70" t="s">
        <v>6564</v>
      </c>
      <c r="G2436" s="70" t="s">
        <v>6565</v>
      </c>
      <c r="H2436" s="93"/>
      <c r="I2436" s="85">
        <f t="shared" si="94"/>
        <v>1.9029270960172628</v>
      </c>
      <c r="J2436" s="85">
        <f>AVERAGE(35.25, 83.3, 85.2, 76, 120.1)</f>
        <v>79.97</v>
      </c>
      <c r="K2436" s="131" t="s">
        <v>3177</v>
      </c>
      <c r="L2436" s="60" t="s">
        <v>6340</v>
      </c>
      <c r="N2436" s="37" t="s">
        <v>7351</v>
      </c>
      <c r="Z2436" s="3"/>
      <c r="AA2436" s="3"/>
      <c r="AB2436" s="4"/>
    </row>
    <row r="2437" spans="1:28" ht="28" x14ac:dyDescent="0.15">
      <c r="A2437" s="166" t="s">
        <v>2479</v>
      </c>
      <c r="B2437" s="93" t="s">
        <v>1475</v>
      </c>
      <c r="C2437" s="70" t="s">
        <v>3636</v>
      </c>
      <c r="D2437" s="70" t="s">
        <v>3437</v>
      </c>
      <c r="E2437" s="70" t="s">
        <v>3457</v>
      </c>
      <c r="F2437" s="70" t="s">
        <v>6564</v>
      </c>
      <c r="G2437" s="70" t="s">
        <v>3746</v>
      </c>
      <c r="H2437" s="93"/>
      <c r="I2437" s="85">
        <f t="shared" si="94"/>
        <v>1.9161642499025191</v>
      </c>
      <c r="J2437" s="85">
        <v>82.444986248235026</v>
      </c>
      <c r="K2437" s="131" t="s">
        <v>7643</v>
      </c>
      <c r="L2437" s="60" t="s">
        <v>7565</v>
      </c>
      <c r="M2437" s="33" t="s">
        <v>6390</v>
      </c>
      <c r="N2437" s="37">
        <f>-6.8244+2.671*LOG(141)</f>
        <v>-1.0838357500974807</v>
      </c>
      <c r="O2437" s="37">
        <f>10^N2437*1000</f>
        <v>82.444986248235026</v>
      </c>
      <c r="Z2437" s="3"/>
      <c r="AA2437" s="3"/>
      <c r="AB2437" s="4"/>
    </row>
    <row r="2438" spans="1:28" ht="14" x14ac:dyDescent="0.15">
      <c r="A2438" s="166" t="s">
        <v>2479</v>
      </c>
      <c r="B2438" s="82"/>
      <c r="C2438" s="70" t="s">
        <v>3636</v>
      </c>
      <c r="D2438" s="70" t="s">
        <v>3437</v>
      </c>
      <c r="E2438" s="70" t="s">
        <v>3457</v>
      </c>
      <c r="F2438" s="70" t="s">
        <v>6564</v>
      </c>
      <c r="G2438" s="70" t="s">
        <v>6566</v>
      </c>
      <c r="H2438" s="93"/>
      <c r="I2438" s="85">
        <f t="shared" si="94"/>
        <v>1.9606293081007256</v>
      </c>
      <c r="J2438" s="85">
        <f>AVERAGE(100, 90, 84)</f>
        <v>91.333333333333329</v>
      </c>
      <c r="K2438" s="131" t="s">
        <v>3177</v>
      </c>
      <c r="L2438" s="60" t="s">
        <v>6587</v>
      </c>
      <c r="N2438" s="37" t="s">
        <v>7350</v>
      </c>
      <c r="Z2438" s="3"/>
      <c r="AA2438" s="3"/>
      <c r="AB2438" s="4"/>
    </row>
    <row r="2439" spans="1:28" ht="14" x14ac:dyDescent="0.15">
      <c r="A2439" s="166" t="s">
        <v>2479</v>
      </c>
      <c r="B2439" s="82"/>
      <c r="C2439" s="70" t="s">
        <v>3636</v>
      </c>
      <c r="D2439" s="70" t="s">
        <v>3437</v>
      </c>
      <c r="E2439" s="70" t="s">
        <v>3457</v>
      </c>
      <c r="F2439" s="70" t="s">
        <v>6564</v>
      </c>
      <c r="G2439" s="70" t="s">
        <v>5307</v>
      </c>
      <c r="H2439" s="93"/>
      <c r="I2439" s="85">
        <f t="shared" si="94"/>
        <v>2</v>
      </c>
      <c r="J2439" s="85">
        <v>100</v>
      </c>
      <c r="K2439" s="131" t="s">
        <v>6485</v>
      </c>
      <c r="L2439" s="60" t="s">
        <v>1306</v>
      </c>
      <c r="N2439" s="37" t="s">
        <v>7348</v>
      </c>
      <c r="Z2439" s="3"/>
      <c r="AA2439" s="3"/>
      <c r="AB2439" s="4"/>
    </row>
    <row r="2440" spans="1:28" ht="14" x14ac:dyDescent="0.15">
      <c r="A2440" s="166" t="s">
        <v>2479</v>
      </c>
      <c r="B2440" s="93" t="s">
        <v>2274</v>
      </c>
      <c r="C2440" s="70" t="s">
        <v>3636</v>
      </c>
      <c r="D2440" s="70" t="s">
        <v>3437</v>
      </c>
      <c r="E2440" s="70" t="s">
        <v>3457</v>
      </c>
      <c r="F2440" s="70" t="s">
        <v>6564</v>
      </c>
      <c r="G2440" s="70" t="s">
        <v>6304</v>
      </c>
      <c r="H2440" s="93"/>
      <c r="I2440" s="85">
        <f t="shared" si="94"/>
        <v>2.0211892990699383</v>
      </c>
      <c r="J2440" s="85">
        <f>AVERAGE(1000*0.06, 1000*0.15)</f>
        <v>105</v>
      </c>
      <c r="K2440" s="131" t="s">
        <v>3177</v>
      </c>
      <c r="L2440" s="60">
        <v>60</v>
      </c>
      <c r="M2440" s="33"/>
      <c r="N2440" s="37" t="s">
        <v>7349</v>
      </c>
      <c r="Z2440" s="3"/>
      <c r="AA2440" s="3"/>
      <c r="AB2440" s="4"/>
    </row>
    <row r="2441" spans="1:28" ht="14" x14ac:dyDescent="0.15">
      <c r="A2441" s="166" t="s">
        <v>2479</v>
      </c>
      <c r="B2441" s="82"/>
      <c r="C2441" s="70" t="s">
        <v>3636</v>
      </c>
      <c r="D2441" s="70" t="s">
        <v>3437</v>
      </c>
      <c r="E2441" s="70" t="s">
        <v>3457</v>
      </c>
      <c r="F2441" s="70" t="s">
        <v>6564</v>
      </c>
      <c r="G2441" s="70" t="s">
        <v>3490</v>
      </c>
      <c r="H2441" s="93"/>
      <c r="I2441" s="85">
        <f t="shared" si="94"/>
        <v>2.0791812460476247</v>
      </c>
      <c r="J2441" s="85">
        <v>120</v>
      </c>
      <c r="K2441" s="131" t="s">
        <v>3177</v>
      </c>
      <c r="L2441" s="60">
        <v>187</v>
      </c>
      <c r="M2441" s="33"/>
      <c r="Z2441" s="3"/>
      <c r="AA2441" s="3"/>
      <c r="AB2441" s="4"/>
    </row>
    <row r="2442" spans="1:28" ht="14" x14ac:dyDescent="0.15">
      <c r="A2442" s="166" t="s">
        <v>2479</v>
      </c>
      <c r="B2442" s="93" t="s">
        <v>5927</v>
      </c>
      <c r="C2442" s="73" t="s">
        <v>3636</v>
      </c>
      <c r="D2442" s="73" t="s">
        <v>3437</v>
      </c>
      <c r="E2442" s="73" t="s">
        <v>3457</v>
      </c>
      <c r="F2442" s="73" t="s">
        <v>6564</v>
      </c>
      <c r="G2442" s="73" t="s">
        <v>1963</v>
      </c>
      <c r="H2442" s="108"/>
      <c r="I2442" s="85">
        <f t="shared" si="94"/>
        <v>2.0977777345392834</v>
      </c>
      <c r="J2442" s="95">
        <f>AVERAGE(1000*0.127, 123.5)</f>
        <v>125.25</v>
      </c>
      <c r="K2442" s="131">
        <f>AVERAGE(1000*0.095, 1000*0.152)</f>
        <v>123.5</v>
      </c>
      <c r="L2442" s="60">
        <v>60</v>
      </c>
      <c r="M2442" s="33"/>
      <c r="N2442" s="37" t="s">
        <v>7347</v>
      </c>
      <c r="Z2442" s="3"/>
      <c r="AA2442" s="3"/>
      <c r="AB2442" s="4"/>
    </row>
    <row r="2443" spans="1:28" ht="14" x14ac:dyDescent="0.15">
      <c r="A2443" s="166" t="s">
        <v>2479</v>
      </c>
      <c r="B2443" s="93" t="s">
        <v>2274</v>
      </c>
      <c r="C2443" s="70" t="s">
        <v>3636</v>
      </c>
      <c r="D2443" s="70" t="s">
        <v>3437</v>
      </c>
      <c r="E2443" s="70" t="s">
        <v>3457</v>
      </c>
      <c r="F2443" s="70" t="s">
        <v>6564</v>
      </c>
      <c r="G2443" s="70" t="s">
        <v>7858</v>
      </c>
      <c r="H2443" s="93"/>
      <c r="I2443" s="85">
        <f t="shared" si="94"/>
        <v>2.1760912590556813</v>
      </c>
      <c r="J2443" s="85">
        <f>AVERAGE(1000*0.1, 1000*0.2)</f>
        <v>150</v>
      </c>
      <c r="K2443" s="131" t="s">
        <v>3177</v>
      </c>
      <c r="L2443" s="60">
        <v>60</v>
      </c>
      <c r="M2443" s="33"/>
      <c r="Z2443" s="3"/>
      <c r="AA2443" s="3"/>
      <c r="AB2443" s="4"/>
    </row>
    <row r="2444" spans="1:28" ht="14" x14ac:dyDescent="0.15">
      <c r="A2444" s="166" t="s">
        <v>2479</v>
      </c>
      <c r="B2444" s="93" t="s">
        <v>5928</v>
      </c>
      <c r="C2444" s="70" t="s">
        <v>3636</v>
      </c>
      <c r="D2444" s="70" t="s">
        <v>3437</v>
      </c>
      <c r="E2444" s="70" t="s">
        <v>3457</v>
      </c>
      <c r="F2444" s="70" t="s">
        <v>6564</v>
      </c>
      <c r="G2444" s="70" t="s">
        <v>3519</v>
      </c>
      <c r="H2444" s="93"/>
      <c r="I2444" s="85">
        <f t="shared" si="94"/>
        <v>2.3010299956639813</v>
      </c>
      <c r="J2444" s="85">
        <f>AVERAGE(1000*0.125, 1000*0.275)</f>
        <v>200</v>
      </c>
      <c r="K2444" s="131" t="s">
        <v>3177</v>
      </c>
      <c r="L2444" s="60">
        <v>60</v>
      </c>
      <c r="M2444" s="33" t="s">
        <v>6390</v>
      </c>
      <c r="N2444" s="37" t="s">
        <v>7352</v>
      </c>
      <c r="Z2444" s="3"/>
      <c r="AA2444" s="3"/>
      <c r="AB2444" s="4"/>
    </row>
    <row r="2445" spans="1:28" ht="14" x14ac:dyDescent="0.15">
      <c r="A2445" s="166" t="s">
        <v>2479</v>
      </c>
      <c r="B2445" s="93" t="s">
        <v>2885</v>
      </c>
      <c r="C2445" s="70" t="s">
        <v>3636</v>
      </c>
      <c r="D2445" s="70" t="s">
        <v>3437</v>
      </c>
      <c r="E2445" s="70" t="s">
        <v>3457</v>
      </c>
      <c r="F2445" s="70" t="s">
        <v>5309</v>
      </c>
      <c r="G2445" s="70" t="s">
        <v>3263</v>
      </c>
      <c r="H2445" s="93"/>
      <c r="I2445" s="85">
        <v>-999</v>
      </c>
      <c r="J2445" s="85">
        <v>-999</v>
      </c>
      <c r="K2445" s="131" t="s">
        <v>3177</v>
      </c>
      <c r="L2445" s="60">
        <v>-999</v>
      </c>
      <c r="M2445" s="33"/>
      <c r="Z2445" s="3"/>
      <c r="AA2445" s="3"/>
      <c r="AB2445" s="4"/>
    </row>
    <row r="2446" spans="1:28" ht="14" x14ac:dyDescent="0.15">
      <c r="A2446" s="166" t="s">
        <v>2479</v>
      </c>
      <c r="B2446" s="93" t="s">
        <v>5610</v>
      </c>
      <c r="C2446" s="70" t="s">
        <v>3636</v>
      </c>
      <c r="D2446" s="70" t="s">
        <v>3437</v>
      </c>
      <c r="E2446" s="70" t="s">
        <v>3457</v>
      </c>
      <c r="F2446" s="70" t="s">
        <v>5309</v>
      </c>
      <c r="G2446" s="70" t="s">
        <v>3262</v>
      </c>
      <c r="H2446" s="93"/>
      <c r="I2446" s="85">
        <f>LOG(J2446)</f>
        <v>1.9890046156985368</v>
      </c>
      <c r="J2446" s="85">
        <f>195/2</f>
        <v>97.5</v>
      </c>
      <c r="K2446" s="134" t="s">
        <v>7700</v>
      </c>
      <c r="L2446" s="60">
        <v>134</v>
      </c>
      <c r="M2446" s="49" t="s">
        <v>6728</v>
      </c>
      <c r="N2446" s="46"/>
      <c r="Z2446" s="3"/>
      <c r="AA2446" s="3"/>
      <c r="AB2446" s="4"/>
    </row>
    <row r="2447" spans="1:28" ht="14" x14ac:dyDescent="0.15">
      <c r="A2447" s="166" t="s">
        <v>2479</v>
      </c>
      <c r="B2447" s="82"/>
      <c r="C2447" s="70" t="s">
        <v>3636</v>
      </c>
      <c r="D2447" s="70" t="s">
        <v>3437</v>
      </c>
      <c r="E2447" s="70" t="s">
        <v>3457</v>
      </c>
      <c r="F2447" s="70" t="s">
        <v>5309</v>
      </c>
      <c r="G2447" s="70" t="s">
        <v>2242</v>
      </c>
      <c r="H2447" s="93"/>
      <c r="I2447" s="85">
        <f>LOG(J2447)</f>
        <v>2.0211892990699383</v>
      </c>
      <c r="J2447" s="85">
        <v>105</v>
      </c>
      <c r="K2447" s="131" t="s">
        <v>6485</v>
      </c>
      <c r="L2447" s="60">
        <v>68</v>
      </c>
      <c r="M2447" s="49" t="s">
        <v>6390</v>
      </c>
      <c r="Z2447" s="3"/>
      <c r="AA2447" s="3"/>
      <c r="AB2447" s="4"/>
    </row>
    <row r="2448" spans="1:28" ht="14" x14ac:dyDescent="0.15">
      <c r="A2448" s="166" t="s">
        <v>2479</v>
      </c>
      <c r="B2448" s="82"/>
      <c r="C2448" s="70" t="s">
        <v>3636</v>
      </c>
      <c r="D2448" s="70" t="s">
        <v>3437</v>
      </c>
      <c r="E2448" s="70" t="s">
        <v>3457</v>
      </c>
      <c r="F2448" s="70" t="s">
        <v>5309</v>
      </c>
      <c r="G2448" s="70" t="s">
        <v>5310</v>
      </c>
      <c r="H2448" s="93"/>
      <c r="I2448" s="85">
        <f>LOG(J2448)</f>
        <v>2.2966651902615309</v>
      </c>
      <c r="J2448" s="85">
        <v>198</v>
      </c>
      <c r="K2448" s="131" t="s">
        <v>6485</v>
      </c>
      <c r="L2448" s="60">
        <v>68</v>
      </c>
      <c r="Z2448" s="3"/>
      <c r="AA2448" s="3"/>
      <c r="AB2448" s="4"/>
    </row>
    <row r="2449" spans="1:28" ht="16" x14ac:dyDescent="0.2">
      <c r="A2449" s="166" t="s">
        <v>2479</v>
      </c>
      <c r="B2449" s="82"/>
      <c r="C2449" s="70" t="s">
        <v>3636</v>
      </c>
      <c r="D2449" s="70" t="s">
        <v>3437</v>
      </c>
      <c r="E2449" s="70" t="s">
        <v>3457</v>
      </c>
      <c r="F2449" s="70" t="s">
        <v>5545</v>
      </c>
      <c r="G2449" s="70" t="s">
        <v>3695</v>
      </c>
      <c r="H2449" s="93"/>
      <c r="I2449" s="85">
        <f>LOG(J2449)</f>
        <v>0.77815125038364363</v>
      </c>
      <c r="J2449" s="85">
        <v>6</v>
      </c>
      <c r="K2449" s="131" t="s">
        <v>6485</v>
      </c>
      <c r="L2449" s="60">
        <v>68</v>
      </c>
      <c r="M2449" s="33" t="s">
        <v>6392</v>
      </c>
      <c r="N2449" s="48"/>
      <c r="O2449" s="33"/>
      <c r="Z2449" s="3"/>
      <c r="AA2449" s="3"/>
      <c r="AB2449" s="4"/>
    </row>
    <row r="2450" spans="1:28" ht="14" x14ac:dyDescent="0.15">
      <c r="A2450" s="166" t="s">
        <v>2479</v>
      </c>
      <c r="B2450" s="93" t="s">
        <v>2885</v>
      </c>
      <c r="C2450" s="70" t="s">
        <v>3636</v>
      </c>
      <c r="D2450" s="70" t="s">
        <v>3437</v>
      </c>
      <c r="E2450" s="70" t="s">
        <v>3457</v>
      </c>
      <c r="F2450" s="70" t="s">
        <v>4046</v>
      </c>
      <c r="G2450" s="70" t="s">
        <v>2827</v>
      </c>
      <c r="H2450" s="93"/>
      <c r="I2450" s="85">
        <v>-999</v>
      </c>
      <c r="J2450" s="85">
        <v>-999</v>
      </c>
      <c r="K2450" s="131" t="s">
        <v>3177</v>
      </c>
      <c r="L2450" s="60">
        <v>-999</v>
      </c>
      <c r="M2450" s="33" t="s">
        <v>6809</v>
      </c>
      <c r="Z2450" s="3"/>
      <c r="AA2450" s="3"/>
      <c r="AB2450" s="4"/>
    </row>
    <row r="2451" spans="1:28" ht="14" x14ac:dyDescent="0.15">
      <c r="A2451" s="166" t="s">
        <v>2479</v>
      </c>
      <c r="B2451" s="93" t="s">
        <v>2159</v>
      </c>
      <c r="C2451" s="70" t="s">
        <v>3636</v>
      </c>
      <c r="D2451" s="70" t="s">
        <v>3437</v>
      </c>
      <c r="E2451" s="70" t="s">
        <v>3457</v>
      </c>
      <c r="F2451" s="70" t="s">
        <v>4046</v>
      </c>
      <c r="G2451" s="70" t="s">
        <v>7920</v>
      </c>
      <c r="H2451" s="93"/>
      <c r="I2451" s="85">
        <v>-999</v>
      </c>
      <c r="J2451" s="85">
        <v>-999</v>
      </c>
      <c r="K2451" s="131" t="s">
        <v>3177</v>
      </c>
      <c r="L2451" s="60">
        <v>-999</v>
      </c>
      <c r="M2451" s="33" t="s">
        <v>6392</v>
      </c>
      <c r="Z2451" s="3"/>
      <c r="AA2451" s="3"/>
      <c r="AB2451" s="4"/>
    </row>
    <row r="2452" spans="1:28" ht="28" x14ac:dyDescent="0.2">
      <c r="A2452" s="166" t="s">
        <v>2479</v>
      </c>
      <c r="B2452" s="93" t="s">
        <v>2278</v>
      </c>
      <c r="C2452" s="70" t="s">
        <v>3636</v>
      </c>
      <c r="D2452" s="70" t="s">
        <v>3437</v>
      </c>
      <c r="E2452" s="70" t="s">
        <v>3457</v>
      </c>
      <c r="F2452" s="70" t="s">
        <v>4046</v>
      </c>
      <c r="G2452" s="70" t="s">
        <v>7922</v>
      </c>
      <c r="H2452" s="93"/>
      <c r="I2452" s="85">
        <v>-999</v>
      </c>
      <c r="J2452" s="85">
        <v>-999</v>
      </c>
      <c r="K2452" s="131" t="s">
        <v>3177</v>
      </c>
      <c r="L2452" s="60">
        <v>-999</v>
      </c>
      <c r="M2452" s="33"/>
      <c r="N2452" s="48"/>
      <c r="Z2452" s="3"/>
      <c r="AA2452" s="3"/>
      <c r="AB2452" s="4"/>
    </row>
    <row r="2453" spans="1:28" ht="14" x14ac:dyDescent="0.15">
      <c r="A2453" s="166" t="s">
        <v>2479</v>
      </c>
      <c r="B2453" s="93" t="s">
        <v>2195</v>
      </c>
      <c r="C2453" s="70" t="s">
        <v>3636</v>
      </c>
      <c r="D2453" s="70" t="s">
        <v>3437</v>
      </c>
      <c r="E2453" s="70" t="s">
        <v>3457</v>
      </c>
      <c r="F2453" s="70" t="s">
        <v>4046</v>
      </c>
      <c r="G2453" s="70" t="s">
        <v>6068</v>
      </c>
      <c r="H2453" s="93"/>
      <c r="I2453" s="85">
        <v>-999</v>
      </c>
      <c r="J2453" s="85">
        <v>-999</v>
      </c>
      <c r="K2453" s="131" t="s">
        <v>3177</v>
      </c>
      <c r="L2453" s="60">
        <v>-999</v>
      </c>
      <c r="M2453" s="33"/>
      <c r="Z2453" s="3"/>
      <c r="AA2453" s="3"/>
      <c r="AB2453" s="4"/>
    </row>
    <row r="2454" spans="1:28" ht="14" x14ac:dyDescent="0.15">
      <c r="A2454" s="166" t="s">
        <v>2479</v>
      </c>
      <c r="B2454" s="93" t="s">
        <v>2274</v>
      </c>
      <c r="C2454" s="70" t="s">
        <v>3636</v>
      </c>
      <c r="D2454" s="70" t="s">
        <v>3437</v>
      </c>
      <c r="E2454" s="70" t="s">
        <v>3457</v>
      </c>
      <c r="F2454" s="70" t="s">
        <v>4046</v>
      </c>
      <c r="G2454" s="70" t="s">
        <v>7889</v>
      </c>
      <c r="H2454" s="93"/>
      <c r="I2454" s="85">
        <v>-999</v>
      </c>
      <c r="J2454" s="85">
        <v>-999</v>
      </c>
      <c r="K2454" s="131" t="s">
        <v>3177</v>
      </c>
      <c r="L2454" s="60">
        <v>-999</v>
      </c>
      <c r="M2454" s="33"/>
      <c r="Z2454" s="3"/>
      <c r="AA2454" s="3"/>
      <c r="AB2454" s="4"/>
    </row>
    <row r="2455" spans="1:28" ht="14" x14ac:dyDescent="0.15">
      <c r="A2455" s="166" t="s">
        <v>2479</v>
      </c>
      <c r="B2455" s="93" t="s">
        <v>2267</v>
      </c>
      <c r="C2455" s="70" t="s">
        <v>3636</v>
      </c>
      <c r="D2455" s="70" t="s">
        <v>3437</v>
      </c>
      <c r="E2455" s="70" t="s">
        <v>3457</v>
      </c>
      <c r="F2455" s="70" t="s">
        <v>4046</v>
      </c>
      <c r="G2455" s="70" t="s">
        <v>7890</v>
      </c>
      <c r="H2455" s="93"/>
      <c r="I2455" s="85">
        <v>-999</v>
      </c>
      <c r="J2455" s="85">
        <v>-999</v>
      </c>
      <c r="K2455" s="131" t="s">
        <v>3177</v>
      </c>
      <c r="L2455" s="60">
        <v>-999</v>
      </c>
      <c r="M2455" s="33"/>
      <c r="Z2455" s="3"/>
      <c r="AA2455" s="3"/>
      <c r="AB2455" s="4"/>
    </row>
    <row r="2456" spans="1:28" ht="14" x14ac:dyDescent="0.15">
      <c r="A2456" s="166" t="s">
        <v>2479</v>
      </c>
      <c r="B2456" s="93" t="s">
        <v>2551</v>
      </c>
      <c r="C2456" s="70" t="s">
        <v>3636</v>
      </c>
      <c r="D2456" s="70" t="s">
        <v>3437</v>
      </c>
      <c r="E2456" s="70" t="s">
        <v>3457</v>
      </c>
      <c r="F2456" s="70" t="s">
        <v>4046</v>
      </c>
      <c r="G2456" s="70" t="s">
        <v>7892</v>
      </c>
      <c r="H2456" s="93"/>
      <c r="I2456" s="85">
        <v>-999</v>
      </c>
      <c r="J2456" s="85">
        <v>-999</v>
      </c>
      <c r="K2456" s="131" t="s">
        <v>3177</v>
      </c>
      <c r="L2456" s="60">
        <v>-999</v>
      </c>
      <c r="M2456" s="33" t="s">
        <v>6390</v>
      </c>
      <c r="Z2456" s="3"/>
      <c r="AA2456" s="3"/>
      <c r="AB2456" s="4"/>
    </row>
    <row r="2457" spans="1:28" ht="28" x14ac:dyDescent="0.15">
      <c r="A2457" s="166" t="s">
        <v>2479</v>
      </c>
      <c r="B2457" s="93" t="s">
        <v>5969</v>
      </c>
      <c r="C2457" s="70" t="s">
        <v>3636</v>
      </c>
      <c r="D2457" s="70" t="s">
        <v>3437</v>
      </c>
      <c r="E2457" s="73" t="s">
        <v>3457</v>
      </c>
      <c r="F2457" s="70" t="s">
        <v>4046</v>
      </c>
      <c r="G2457" s="70" t="s">
        <v>7893</v>
      </c>
      <c r="H2457" s="93"/>
      <c r="I2457" s="85">
        <v>-999</v>
      </c>
      <c r="J2457" s="85">
        <v>-999</v>
      </c>
      <c r="K2457" s="131" t="s">
        <v>3177</v>
      </c>
      <c r="L2457" s="60">
        <v>-999</v>
      </c>
      <c r="M2457" s="33"/>
      <c r="Z2457" s="3"/>
      <c r="AA2457" s="3"/>
      <c r="AB2457" s="4"/>
    </row>
    <row r="2458" spans="1:28" ht="28" x14ac:dyDescent="0.15">
      <c r="A2458" s="166" t="s">
        <v>2479</v>
      </c>
      <c r="B2458" s="93" t="s">
        <v>5970</v>
      </c>
      <c r="C2458" s="70" t="s">
        <v>3636</v>
      </c>
      <c r="D2458" s="70" t="s">
        <v>3437</v>
      </c>
      <c r="E2458" s="70" t="s">
        <v>3457</v>
      </c>
      <c r="F2458" s="70" t="s">
        <v>4046</v>
      </c>
      <c r="G2458" s="70" t="s">
        <v>6545</v>
      </c>
      <c r="H2458" s="93"/>
      <c r="I2458" s="85">
        <v>-999</v>
      </c>
      <c r="J2458" s="85">
        <v>-999</v>
      </c>
      <c r="K2458" s="131" t="s">
        <v>3177</v>
      </c>
      <c r="L2458" s="60">
        <v>-999</v>
      </c>
      <c r="M2458" s="33"/>
      <c r="Z2458" s="3"/>
      <c r="AA2458" s="3"/>
      <c r="AB2458" s="4"/>
    </row>
    <row r="2459" spans="1:28" ht="16" x14ac:dyDescent="0.2">
      <c r="A2459" s="166" t="s">
        <v>2479</v>
      </c>
      <c r="B2459" s="93" t="s">
        <v>1902</v>
      </c>
      <c r="C2459" s="70" t="s">
        <v>3636</v>
      </c>
      <c r="D2459" s="70" t="s">
        <v>3437</v>
      </c>
      <c r="E2459" s="70" t="s">
        <v>3457</v>
      </c>
      <c r="F2459" s="70" t="s">
        <v>4046</v>
      </c>
      <c r="G2459" s="70" t="s">
        <v>7894</v>
      </c>
      <c r="H2459" s="93"/>
      <c r="I2459" s="85">
        <v>-999</v>
      </c>
      <c r="J2459" s="85">
        <v>-999</v>
      </c>
      <c r="K2459" s="131" t="s">
        <v>3177</v>
      </c>
      <c r="L2459" s="60">
        <v>-999</v>
      </c>
      <c r="M2459" s="47"/>
      <c r="Z2459" s="3"/>
      <c r="AA2459" s="3"/>
      <c r="AB2459" s="4"/>
    </row>
    <row r="2460" spans="1:28" ht="16" x14ac:dyDescent="0.2">
      <c r="A2460" s="166" t="s">
        <v>2479</v>
      </c>
      <c r="B2460" s="93" t="s">
        <v>2301</v>
      </c>
      <c r="C2460" s="70" t="s">
        <v>3636</v>
      </c>
      <c r="D2460" s="70" t="s">
        <v>3437</v>
      </c>
      <c r="E2460" s="70" t="s">
        <v>3457</v>
      </c>
      <c r="F2460" s="70" t="s">
        <v>4046</v>
      </c>
      <c r="G2460" s="70" t="s">
        <v>5284</v>
      </c>
      <c r="H2460" s="93"/>
      <c r="I2460" s="85">
        <v>-999</v>
      </c>
      <c r="J2460" s="85">
        <v>-999</v>
      </c>
      <c r="K2460" s="131" t="s">
        <v>3177</v>
      </c>
      <c r="L2460" s="60">
        <v>-999</v>
      </c>
      <c r="M2460" s="47"/>
      <c r="Z2460" s="3"/>
      <c r="AA2460" s="3"/>
      <c r="AB2460" s="4"/>
    </row>
    <row r="2461" spans="1:28" ht="14" x14ac:dyDescent="0.15">
      <c r="A2461" s="166" t="s">
        <v>2479</v>
      </c>
      <c r="B2461" s="93" t="s">
        <v>2211</v>
      </c>
      <c r="C2461" s="70" t="s">
        <v>3636</v>
      </c>
      <c r="D2461" s="70" t="s">
        <v>3437</v>
      </c>
      <c r="E2461" s="73" t="s">
        <v>3457</v>
      </c>
      <c r="F2461" s="70" t="s">
        <v>4046</v>
      </c>
      <c r="G2461" s="70" t="s">
        <v>5255</v>
      </c>
      <c r="H2461" s="93"/>
      <c r="I2461" s="85">
        <v>-999</v>
      </c>
      <c r="J2461" s="85">
        <v>-999</v>
      </c>
      <c r="K2461" s="131" t="s">
        <v>3177</v>
      </c>
      <c r="L2461" s="60">
        <v>-999</v>
      </c>
      <c r="M2461" s="33"/>
      <c r="Z2461" s="3"/>
      <c r="AA2461" s="3"/>
      <c r="AB2461" s="4"/>
    </row>
    <row r="2462" spans="1:28" ht="14" x14ac:dyDescent="0.15">
      <c r="A2462" s="166" t="s">
        <v>2479</v>
      </c>
      <c r="B2462" s="93" t="s">
        <v>2195</v>
      </c>
      <c r="C2462" s="70" t="s">
        <v>3636</v>
      </c>
      <c r="D2462" s="70" t="s">
        <v>3437</v>
      </c>
      <c r="E2462" s="70" t="s">
        <v>3457</v>
      </c>
      <c r="F2462" s="70" t="s">
        <v>4046</v>
      </c>
      <c r="G2462" s="70" t="s">
        <v>7766</v>
      </c>
      <c r="H2462" s="93"/>
      <c r="I2462" s="85">
        <v>-999</v>
      </c>
      <c r="J2462" s="85">
        <v>-999</v>
      </c>
      <c r="K2462" s="131" t="s">
        <v>3177</v>
      </c>
      <c r="L2462" s="60">
        <v>-999</v>
      </c>
      <c r="M2462" s="33"/>
      <c r="Z2462" s="3"/>
      <c r="AA2462" s="3"/>
      <c r="AB2462" s="4"/>
    </row>
    <row r="2463" spans="1:28" ht="14" x14ac:dyDescent="0.15">
      <c r="A2463" s="166" t="s">
        <v>2479</v>
      </c>
      <c r="B2463" s="93" t="s">
        <v>2885</v>
      </c>
      <c r="C2463" s="70" t="s">
        <v>3636</v>
      </c>
      <c r="D2463" s="70" t="s">
        <v>3437</v>
      </c>
      <c r="E2463" s="70" t="s">
        <v>3457</v>
      </c>
      <c r="F2463" s="70" t="s">
        <v>4046</v>
      </c>
      <c r="G2463" s="70" t="s">
        <v>5695</v>
      </c>
      <c r="H2463" s="93"/>
      <c r="I2463" s="85">
        <v>-999</v>
      </c>
      <c r="J2463" s="85">
        <v>-999</v>
      </c>
      <c r="K2463" s="131" t="s">
        <v>3177</v>
      </c>
      <c r="L2463" s="60">
        <v>-999</v>
      </c>
      <c r="M2463" s="33" t="s">
        <v>6809</v>
      </c>
      <c r="Z2463" s="3"/>
      <c r="AA2463" s="3"/>
      <c r="AB2463" s="4"/>
    </row>
    <row r="2464" spans="1:28" ht="14" x14ac:dyDescent="0.15">
      <c r="A2464" s="166" t="s">
        <v>2479</v>
      </c>
      <c r="B2464" s="93" t="s">
        <v>2885</v>
      </c>
      <c r="C2464" s="73" t="s">
        <v>3636</v>
      </c>
      <c r="D2464" s="73" t="s">
        <v>3437</v>
      </c>
      <c r="E2464" s="73" t="s">
        <v>3457</v>
      </c>
      <c r="F2464" s="73" t="s">
        <v>4046</v>
      </c>
      <c r="G2464" s="73" t="s">
        <v>5697</v>
      </c>
      <c r="H2464" s="108"/>
      <c r="I2464" s="85">
        <v>-999</v>
      </c>
      <c r="J2464" s="95">
        <v>-999</v>
      </c>
      <c r="K2464" s="131" t="s">
        <v>3177</v>
      </c>
      <c r="L2464" s="60">
        <v>-999</v>
      </c>
      <c r="M2464" s="33" t="s">
        <v>6392</v>
      </c>
      <c r="Z2464" s="3"/>
      <c r="AA2464" s="3"/>
      <c r="AB2464" s="4"/>
    </row>
    <row r="2465" spans="1:28" ht="14" x14ac:dyDescent="0.15">
      <c r="A2465" s="166" t="s">
        <v>2479</v>
      </c>
      <c r="B2465" s="93" t="s">
        <v>2211</v>
      </c>
      <c r="C2465" s="73" t="s">
        <v>3636</v>
      </c>
      <c r="D2465" s="73" t="s">
        <v>3437</v>
      </c>
      <c r="E2465" s="73" t="s">
        <v>3457</v>
      </c>
      <c r="F2465" s="73" t="s">
        <v>4046</v>
      </c>
      <c r="G2465" s="73" t="s">
        <v>7275</v>
      </c>
      <c r="H2465" s="108"/>
      <c r="I2465" s="85">
        <v>-999</v>
      </c>
      <c r="J2465" s="95">
        <v>-999</v>
      </c>
      <c r="K2465" s="131" t="s">
        <v>3177</v>
      </c>
      <c r="L2465" s="60">
        <v>-999</v>
      </c>
      <c r="M2465" s="33"/>
      <c r="Z2465" s="3"/>
      <c r="AA2465" s="3"/>
      <c r="AB2465" s="4"/>
    </row>
    <row r="2466" spans="1:28" ht="14" x14ac:dyDescent="0.15">
      <c r="A2466" s="166" t="s">
        <v>2479</v>
      </c>
      <c r="B2466" s="93" t="s">
        <v>2296</v>
      </c>
      <c r="C2466" s="70" t="s">
        <v>3636</v>
      </c>
      <c r="D2466" s="70" t="s">
        <v>3437</v>
      </c>
      <c r="E2466" s="70" t="s">
        <v>3457</v>
      </c>
      <c r="F2466" s="70" t="s">
        <v>4046</v>
      </c>
      <c r="G2466" s="70" t="s">
        <v>5494</v>
      </c>
      <c r="H2466" s="93"/>
      <c r="I2466" s="85">
        <v>-999</v>
      </c>
      <c r="J2466" s="85">
        <v>-999</v>
      </c>
      <c r="K2466" s="131" t="s">
        <v>3177</v>
      </c>
      <c r="L2466" s="60">
        <v>-999</v>
      </c>
      <c r="M2466" s="33"/>
      <c r="Z2466" s="3"/>
      <c r="AA2466" s="3"/>
      <c r="AB2466" s="4"/>
    </row>
    <row r="2467" spans="1:28" ht="28" x14ac:dyDescent="0.15">
      <c r="A2467" s="166" t="s">
        <v>2479</v>
      </c>
      <c r="B2467" s="93" t="s">
        <v>2297</v>
      </c>
      <c r="C2467" s="70" t="s">
        <v>3636</v>
      </c>
      <c r="D2467" s="70" t="s">
        <v>3437</v>
      </c>
      <c r="E2467" s="70" t="s">
        <v>3457</v>
      </c>
      <c r="F2467" s="70" t="s">
        <v>4046</v>
      </c>
      <c r="G2467" s="70" t="s">
        <v>5495</v>
      </c>
      <c r="H2467" s="93"/>
      <c r="I2467" s="85">
        <v>-999</v>
      </c>
      <c r="J2467" s="85">
        <v>-999</v>
      </c>
      <c r="K2467" s="131" t="s">
        <v>3177</v>
      </c>
      <c r="L2467" s="60">
        <v>-999</v>
      </c>
      <c r="M2467" s="33"/>
      <c r="Z2467" s="3"/>
      <c r="AA2467" s="3"/>
      <c r="AB2467" s="4"/>
    </row>
    <row r="2468" spans="1:28" ht="28" x14ac:dyDescent="0.15">
      <c r="A2468" s="166" t="s">
        <v>2479</v>
      </c>
      <c r="B2468" s="93" t="s">
        <v>2544</v>
      </c>
      <c r="C2468" s="70" t="s">
        <v>3636</v>
      </c>
      <c r="D2468" s="70" t="s">
        <v>3437</v>
      </c>
      <c r="E2468" s="70" t="s">
        <v>3457</v>
      </c>
      <c r="F2468" s="70" t="s">
        <v>4046</v>
      </c>
      <c r="G2468" s="70" t="s">
        <v>4669</v>
      </c>
      <c r="H2468" s="93"/>
      <c r="I2468" s="85">
        <v>-999</v>
      </c>
      <c r="J2468" s="85">
        <v>-999</v>
      </c>
      <c r="K2468" s="131" t="s">
        <v>3177</v>
      </c>
      <c r="L2468" s="60">
        <v>-999</v>
      </c>
      <c r="M2468" s="33" t="s">
        <v>6392</v>
      </c>
      <c r="Z2468" s="3"/>
      <c r="AA2468" s="3"/>
      <c r="AB2468" s="4"/>
    </row>
    <row r="2469" spans="1:28" ht="28" x14ac:dyDescent="0.15">
      <c r="A2469" s="166" t="s">
        <v>2479</v>
      </c>
      <c r="B2469" s="93" t="s">
        <v>2545</v>
      </c>
      <c r="C2469" s="73" t="s">
        <v>3636</v>
      </c>
      <c r="D2469" s="73" t="s">
        <v>3437</v>
      </c>
      <c r="E2469" s="73" t="s">
        <v>3457</v>
      </c>
      <c r="F2469" s="73" t="s">
        <v>4046</v>
      </c>
      <c r="G2469" s="73" t="s">
        <v>5497</v>
      </c>
      <c r="H2469" s="108"/>
      <c r="I2469" s="85">
        <v>-999</v>
      </c>
      <c r="J2469" s="95">
        <v>-999</v>
      </c>
      <c r="K2469" s="131" t="s">
        <v>3177</v>
      </c>
      <c r="L2469" s="60">
        <v>-999</v>
      </c>
      <c r="M2469" s="33"/>
      <c r="Z2469" s="3"/>
      <c r="AA2469" s="3"/>
      <c r="AB2469" s="4"/>
    </row>
    <row r="2470" spans="1:28" ht="14" x14ac:dyDescent="0.15">
      <c r="A2470" s="166" t="s">
        <v>2479</v>
      </c>
      <c r="B2470" s="93" t="s">
        <v>2885</v>
      </c>
      <c r="C2470" s="70" t="s">
        <v>3636</v>
      </c>
      <c r="D2470" s="70" t="s">
        <v>3437</v>
      </c>
      <c r="E2470" s="70" t="s">
        <v>3457</v>
      </c>
      <c r="F2470" s="70" t="s">
        <v>4046</v>
      </c>
      <c r="G2470" s="70" t="s">
        <v>3024</v>
      </c>
      <c r="H2470" s="93"/>
      <c r="I2470" s="85">
        <f t="shared" ref="I2470:I2506" si="95">LOG(J2470)</f>
        <v>1.1136091510730279</v>
      </c>
      <c r="J2470" s="85">
        <v>12.99</v>
      </c>
      <c r="K2470" s="131" t="s">
        <v>3177</v>
      </c>
      <c r="L2470" s="60">
        <v>188</v>
      </c>
      <c r="M2470" s="33"/>
      <c r="Z2470" s="3"/>
      <c r="AA2470" s="3"/>
      <c r="AB2470" s="4"/>
    </row>
    <row r="2471" spans="1:28" ht="16" x14ac:dyDescent="0.2">
      <c r="A2471" s="166" t="s">
        <v>2479</v>
      </c>
      <c r="B2471" s="93" t="s">
        <v>5759</v>
      </c>
      <c r="C2471" s="73" t="s">
        <v>3636</v>
      </c>
      <c r="D2471" s="73" t="s">
        <v>3437</v>
      </c>
      <c r="E2471" s="73" t="s">
        <v>3457</v>
      </c>
      <c r="F2471" s="73" t="s">
        <v>4046</v>
      </c>
      <c r="G2471" s="73" t="s">
        <v>5285</v>
      </c>
      <c r="H2471" s="108"/>
      <c r="I2471" s="85">
        <f t="shared" si="95"/>
        <v>1.2600713879850747</v>
      </c>
      <c r="J2471" s="95">
        <v>18.2</v>
      </c>
      <c r="K2471" s="131" t="s">
        <v>3177</v>
      </c>
      <c r="L2471" s="60">
        <v>189</v>
      </c>
      <c r="M2471" s="47"/>
      <c r="Z2471" s="3"/>
      <c r="AA2471" s="3"/>
      <c r="AB2471" s="4"/>
    </row>
    <row r="2472" spans="1:28" ht="14" x14ac:dyDescent="0.15">
      <c r="A2472" s="166" t="s">
        <v>2479</v>
      </c>
      <c r="B2472" s="82"/>
      <c r="C2472" s="70" t="s">
        <v>3636</v>
      </c>
      <c r="D2472" s="70" t="s">
        <v>3437</v>
      </c>
      <c r="E2472" s="70" t="s">
        <v>3457</v>
      </c>
      <c r="F2472" s="70" t="s">
        <v>4046</v>
      </c>
      <c r="G2472" s="70" t="s">
        <v>5845</v>
      </c>
      <c r="H2472" s="93"/>
      <c r="I2472" s="85">
        <f t="shared" si="95"/>
        <v>1.2900346113625181</v>
      </c>
      <c r="J2472" s="85">
        <v>19.5</v>
      </c>
      <c r="K2472" s="131" t="s">
        <v>6485</v>
      </c>
      <c r="L2472" s="60">
        <v>68</v>
      </c>
      <c r="Z2472" s="3"/>
      <c r="AA2472" s="3"/>
      <c r="AB2472" s="4"/>
    </row>
    <row r="2473" spans="1:28" ht="28" x14ac:dyDescent="0.15">
      <c r="A2473" s="166" t="s">
        <v>2479</v>
      </c>
      <c r="B2473" s="93" t="s">
        <v>2294</v>
      </c>
      <c r="C2473" s="70" t="s">
        <v>3636</v>
      </c>
      <c r="D2473" s="70" t="s">
        <v>3437</v>
      </c>
      <c r="E2473" s="70" t="s">
        <v>3457</v>
      </c>
      <c r="F2473" s="70" t="s">
        <v>4046</v>
      </c>
      <c r="G2473" s="70" t="s">
        <v>5493</v>
      </c>
      <c r="H2473" s="93"/>
      <c r="I2473" s="85">
        <f t="shared" si="95"/>
        <v>1.3010299956639813</v>
      </c>
      <c r="J2473" s="85">
        <v>20</v>
      </c>
      <c r="K2473" s="131" t="s">
        <v>3177</v>
      </c>
      <c r="L2473" s="60">
        <v>134</v>
      </c>
      <c r="M2473" s="33" t="s">
        <v>6479</v>
      </c>
      <c r="N2473" s="46"/>
      <c r="Z2473" s="3"/>
      <c r="AA2473" s="3"/>
      <c r="AB2473" s="4"/>
    </row>
    <row r="2474" spans="1:28" ht="14" x14ac:dyDescent="0.15">
      <c r="A2474" s="166" t="s">
        <v>2479</v>
      </c>
      <c r="B2474" s="93" t="s">
        <v>2301</v>
      </c>
      <c r="C2474" s="70" t="s">
        <v>3636</v>
      </c>
      <c r="D2474" s="70" t="s">
        <v>3437</v>
      </c>
      <c r="E2474" s="70" t="s">
        <v>3457</v>
      </c>
      <c r="F2474" s="70" t="s">
        <v>4046</v>
      </c>
      <c r="G2474" s="70" t="s">
        <v>2826</v>
      </c>
      <c r="H2474" s="93"/>
      <c r="I2474" s="85">
        <f t="shared" si="95"/>
        <v>1.3617278360175928</v>
      </c>
      <c r="J2474" s="85">
        <v>23</v>
      </c>
      <c r="K2474" s="131" t="s">
        <v>3177</v>
      </c>
      <c r="L2474" s="60">
        <v>134</v>
      </c>
      <c r="M2474" s="33" t="s">
        <v>6533</v>
      </c>
      <c r="N2474" s="46"/>
      <c r="Z2474" s="3"/>
      <c r="AA2474" s="3"/>
      <c r="AB2474" s="4"/>
    </row>
    <row r="2475" spans="1:28" ht="28" x14ac:dyDescent="0.15">
      <c r="A2475" s="166" t="s">
        <v>2479</v>
      </c>
      <c r="B2475" s="93" t="s">
        <v>2292</v>
      </c>
      <c r="C2475" s="70" t="s">
        <v>3636</v>
      </c>
      <c r="D2475" s="70" t="s">
        <v>3437</v>
      </c>
      <c r="E2475" s="70" t="s">
        <v>3457</v>
      </c>
      <c r="F2475" s="70" t="s">
        <v>4046</v>
      </c>
      <c r="G2475" s="70" t="s">
        <v>5696</v>
      </c>
      <c r="H2475" s="93"/>
      <c r="I2475" s="85">
        <f t="shared" si="95"/>
        <v>1.3648635498704516</v>
      </c>
      <c r="J2475" s="85">
        <f>AVERAGE(14, 32.5, 23)</f>
        <v>23.166666666666668</v>
      </c>
      <c r="K2475" s="131" t="s">
        <v>3177</v>
      </c>
      <c r="L2475" s="60" t="s">
        <v>6611</v>
      </c>
      <c r="M2475" s="33"/>
      <c r="Z2475" s="3"/>
      <c r="AA2475" s="3"/>
      <c r="AB2475" s="4"/>
    </row>
    <row r="2476" spans="1:28" ht="14" x14ac:dyDescent="0.15">
      <c r="A2476" s="166" t="s">
        <v>2479</v>
      </c>
      <c r="B2476" s="93" t="s">
        <v>2211</v>
      </c>
      <c r="C2476" s="73" t="s">
        <v>3636</v>
      </c>
      <c r="D2476" s="73" t="s">
        <v>3437</v>
      </c>
      <c r="E2476" s="73" t="s">
        <v>3457</v>
      </c>
      <c r="F2476" s="70" t="s">
        <v>4046</v>
      </c>
      <c r="G2476" s="70" t="s">
        <v>7767</v>
      </c>
      <c r="H2476" s="93"/>
      <c r="I2476" s="85">
        <f t="shared" si="95"/>
        <v>1.4393326938302626</v>
      </c>
      <c r="J2476" s="85">
        <f>1000*AVERAGE(0.025, 0.03)</f>
        <v>27.5</v>
      </c>
      <c r="K2476" s="131" t="s">
        <v>3177</v>
      </c>
      <c r="L2476" s="60">
        <v>60</v>
      </c>
      <c r="M2476" s="33"/>
      <c r="Z2476" s="3"/>
      <c r="AA2476" s="3"/>
      <c r="AB2476" s="4"/>
    </row>
    <row r="2477" spans="1:28" ht="16" x14ac:dyDescent="0.2">
      <c r="A2477" s="166" t="s">
        <v>2479</v>
      </c>
      <c r="B2477" s="82"/>
      <c r="C2477" s="70" t="s">
        <v>3636</v>
      </c>
      <c r="D2477" s="70" t="s">
        <v>3437</v>
      </c>
      <c r="E2477" s="70" t="s">
        <v>3457</v>
      </c>
      <c r="F2477" s="70" t="s">
        <v>4046</v>
      </c>
      <c r="G2477" s="70" t="s">
        <v>5540</v>
      </c>
      <c r="H2477" s="93"/>
      <c r="I2477" s="85">
        <f t="shared" si="95"/>
        <v>1.4471580313422192</v>
      </c>
      <c r="J2477" s="85">
        <v>28</v>
      </c>
      <c r="K2477" s="131" t="s">
        <v>6485</v>
      </c>
      <c r="L2477" s="60">
        <v>68</v>
      </c>
      <c r="N2477" s="48"/>
      <c r="Z2477" s="3"/>
      <c r="AA2477" s="3"/>
      <c r="AB2477" s="4"/>
    </row>
    <row r="2478" spans="1:28" ht="14" x14ac:dyDescent="0.15">
      <c r="A2478" s="166" t="s">
        <v>2479</v>
      </c>
      <c r="B2478" s="82"/>
      <c r="C2478" s="70" t="s">
        <v>3636</v>
      </c>
      <c r="D2478" s="70" t="s">
        <v>3437</v>
      </c>
      <c r="E2478" s="70" t="s">
        <v>3457</v>
      </c>
      <c r="F2478" s="70" t="s">
        <v>4046</v>
      </c>
      <c r="G2478" s="70" t="s">
        <v>3790</v>
      </c>
      <c r="H2478" s="93"/>
      <c r="I2478" s="85">
        <f t="shared" si="95"/>
        <v>1.5626892994286878</v>
      </c>
      <c r="J2478" s="85">
        <f>AVERAGE(24, 62, 23.6)</f>
        <v>36.533333333333331</v>
      </c>
      <c r="K2478" s="131" t="s">
        <v>2882</v>
      </c>
      <c r="L2478" s="60" t="s">
        <v>276</v>
      </c>
      <c r="M2478" s="33"/>
      <c r="Z2478" s="3"/>
      <c r="AA2478" s="3"/>
      <c r="AB2478" s="4"/>
    </row>
    <row r="2479" spans="1:28" ht="14" x14ac:dyDescent="0.15">
      <c r="A2479" s="166" t="s">
        <v>2479</v>
      </c>
      <c r="B2479" s="82"/>
      <c r="C2479" s="70" t="s">
        <v>3636</v>
      </c>
      <c r="D2479" s="70" t="s">
        <v>3437</v>
      </c>
      <c r="E2479" s="70" t="s">
        <v>3457</v>
      </c>
      <c r="F2479" s="70" t="s">
        <v>4046</v>
      </c>
      <c r="G2479" s="70" t="s">
        <v>5698</v>
      </c>
      <c r="H2479" s="93"/>
      <c r="I2479" s="85">
        <f t="shared" si="95"/>
        <v>1.5693739096150459</v>
      </c>
      <c r="J2479" s="85">
        <f>AVERAGE(35.5,38.1,37.7)</f>
        <v>37.1</v>
      </c>
      <c r="K2479" s="131" t="s">
        <v>3177</v>
      </c>
      <c r="L2479" s="60" t="s">
        <v>141</v>
      </c>
      <c r="M2479" s="33" t="s">
        <v>6532</v>
      </c>
      <c r="N2479" s="46"/>
      <c r="Z2479" s="3"/>
      <c r="AA2479" s="3"/>
      <c r="AB2479" s="4"/>
    </row>
    <row r="2480" spans="1:28" ht="28" x14ac:dyDescent="0.15">
      <c r="A2480" s="166" t="s">
        <v>2479</v>
      </c>
      <c r="B2480" s="93" t="s">
        <v>2543</v>
      </c>
      <c r="C2480" s="70" t="s">
        <v>3636</v>
      </c>
      <c r="D2480" s="70" t="s">
        <v>3437</v>
      </c>
      <c r="E2480" s="70" t="s">
        <v>3457</v>
      </c>
      <c r="F2480" s="70" t="s">
        <v>4046</v>
      </c>
      <c r="G2480" s="70" t="s">
        <v>5496</v>
      </c>
      <c r="H2480" s="93"/>
      <c r="I2480" s="85">
        <f t="shared" si="95"/>
        <v>1.6020599913279623</v>
      </c>
      <c r="J2480" s="85">
        <v>40</v>
      </c>
      <c r="K2480" s="131" t="s">
        <v>3177</v>
      </c>
      <c r="L2480" s="60" t="s">
        <v>7677</v>
      </c>
      <c r="M2480" s="33" t="s">
        <v>6392</v>
      </c>
      <c r="Z2480" s="3"/>
      <c r="AA2480" s="3"/>
      <c r="AB2480" s="4"/>
    </row>
    <row r="2481" spans="1:28" x14ac:dyDescent="0.15">
      <c r="A2481" s="166" t="s">
        <v>2479</v>
      </c>
      <c r="B2481" s="82"/>
      <c r="C2481" s="70" t="s">
        <v>3636</v>
      </c>
      <c r="D2481" s="70" t="s">
        <v>3437</v>
      </c>
      <c r="E2481" s="70" t="s">
        <v>3457</v>
      </c>
      <c r="F2481" s="70" t="s">
        <v>4046</v>
      </c>
      <c r="G2481" s="70" t="s">
        <v>5539</v>
      </c>
      <c r="H2481" s="93"/>
      <c r="I2481" s="85">
        <f t="shared" si="95"/>
        <v>1.6283889300503116</v>
      </c>
      <c r="J2481" s="85">
        <f>AVERAGE(30, 55)</f>
        <v>42.5</v>
      </c>
      <c r="K2481" s="131"/>
      <c r="L2481" s="60">
        <v>114</v>
      </c>
      <c r="Z2481" s="3"/>
      <c r="AA2481" s="3"/>
      <c r="AB2481" s="4"/>
    </row>
    <row r="2482" spans="1:28" ht="28" x14ac:dyDescent="0.2">
      <c r="A2482" s="166" t="s">
        <v>2479</v>
      </c>
      <c r="B2482" s="93" t="s">
        <v>6310</v>
      </c>
      <c r="C2482" s="73" t="s">
        <v>3636</v>
      </c>
      <c r="D2482" s="73" t="s">
        <v>3437</v>
      </c>
      <c r="E2482" s="73" t="s">
        <v>3457</v>
      </c>
      <c r="F2482" s="73" t="s">
        <v>4046</v>
      </c>
      <c r="G2482" s="73" t="s">
        <v>7891</v>
      </c>
      <c r="H2482" s="108"/>
      <c r="I2482" s="85">
        <f t="shared" si="95"/>
        <v>1.6490613385520545</v>
      </c>
      <c r="J2482" s="95">
        <v>44.571919609922375</v>
      </c>
      <c r="K2482" s="131" t="s">
        <v>7566</v>
      </c>
      <c r="L2482" s="60" t="s">
        <v>7565</v>
      </c>
      <c r="M2482" s="47"/>
      <c r="N2482" s="37">
        <f>-6.8244+2.671*LOG(112)</f>
        <v>-1.3509386614479455</v>
      </c>
      <c r="O2482" s="37">
        <f>10^N2482*1000</f>
        <v>44.571919609922375</v>
      </c>
      <c r="Z2482" s="3"/>
      <c r="AA2482" s="3"/>
      <c r="AB2482" s="4"/>
    </row>
    <row r="2483" spans="1:28" ht="14" x14ac:dyDescent="0.15">
      <c r="A2483" s="166" t="s">
        <v>2479</v>
      </c>
      <c r="B2483" s="82"/>
      <c r="C2483" s="70" t="s">
        <v>3636</v>
      </c>
      <c r="D2483" s="70" t="s">
        <v>3437</v>
      </c>
      <c r="E2483" s="70" t="s">
        <v>3457</v>
      </c>
      <c r="F2483" s="70" t="s">
        <v>4046</v>
      </c>
      <c r="G2483" s="70" t="s">
        <v>6067</v>
      </c>
      <c r="H2483" s="93"/>
      <c r="I2483" s="85">
        <f t="shared" si="95"/>
        <v>1.6766936096248666</v>
      </c>
      <c r="J2483" s="85">
        <f>1000*(AVERAGE(0.035, 0.06))</f>
        <v>47.5</v>
      </c>
      <c r="K2483" s="131" t="s">
        <v>3177</v>
      </c>
      <c r="L2483" s="60">
        <v>60</v>
      </c>
      <c r="M2483" s="33"/>
      <c r="Z2483" s="3"/>
      <c r="AA2483" s="3"/>
      <c r="AB2483" s="4"/>
    </row>
    <row r="2484" spans="1:28" ht="14" x14ac:dyDescent="0.15">
      <c r="A2484" s="166" t="s">
        <v>2479</v>
      </c>
      <c r="B2484" s="82"/>
      <c r="C2484" s="70" t="s">
        <v>3636</v>
      </c>
      <c r="D2484" s="70" t="s">
        <v>3437</v>
      </c>
      <c r="E2484" s="70" t="s">
        <v>3457</v>
      </c>
      <c r="F2484" s="70" t="s">
        <v>4046</v>
      </c>
      <c r="G2484" s="70" t="s">
        <v>5259</v>
      </c>
      <c r="H2484" s="93"/>
      <c r="I2484" s="85">
        <f t="shared" si="95"/>
        <v>1.6812412373755872</v>
      </c>
      <c r="J2484" s="85">
        <v>48</v>
      </c>
      <c r="K2484" s="131" t="s">
        <v>6485</v>
      </c>
      <c r="L2484" s="60">
        <v>68</v>
      </c>
      <c r="N2484" s="37" t="s">
        <v>7355</v>
      </c>
      <c r="Z2484" s="3"/>
      <c r="AA2484" s="3"/>
      <c r="AB2484" s="4"/>
    </row>
    <row r="2485" spans="1:28" ht="28" x14ac:dyDescent="0.15">
      <c r="A2485" s="166" t="s">
        <v>2479</v>
      </c>
      <c r="B2485" s="93" t="s">
        <v>2279</v>
      </c>
      <c r="C2485" s="70" t="s">
        <v>3636</v>
      </c>
      <c r="D2485" s="70" t="s">
        <v>3437</v>
      </c>
      <c r="E2485" s="70" t="s">
        <v>3457</v>
      </c>
      <c r="F2485" s="70" t="s">
        <v>4046</v>
      </c>
      <c r="G2485" s="70" t="s">
        <v>3714</v>
      </c>
      <c r="H2485" s="93"/>
      <c r="I2485" s="85">
        <f t="shared" si="95"/>
        <v>1.6989700043360187</v>
      </c>
      <c r="J2485" s="85">
        <f>AVERAGE(32, 68)</f>
        <v>50</v>
      </c>
      <c r="K2485" s="131" t="s">
        <v>2883</v>
      </c>
      <c r="L2485" s="60" t="s">
        <v>6610</v>
      </c>
      <c r="M2485" s="33" t="s">
        <v>6392</v>
      </c>
      <c r="Z2485" s="3"/>
      <c r="AA2485" s="3"/>
      <c r="AB2485" s="4"/>
    </row>
    <row r="2486" spans="1:28" ht="28" x14ac:dyDescent="0.15">
      <c r="A2486" s="166" t="s">
        <v>2479</v>
      </c>
      <c r="B2486" s="93" t="s">
        <v>2158</v>
      </c>
      <c r="C2486" s="70" t="s">
        <v>3636</v>
      </c>
      <c r="D2486" s="70" t="s">
        <v>3437</v>
      </c>
      <c r="E2486" s="70" t="s">
        <v>3457</v>
      </c>
      <c r="F2486" s="70" t="s">
        <v>4046</v>
      </c>
      <c r="G2486" s="70" t="s">
        <v>6066</v>
      </c>
      <c r="H2486" s="93"/>
      <c r="I2486" s="85">
        <f t="shared" si="95"/>
        <v>1.7201593034059568</v>
      </c>
      <c r="J2486" s="85">
        <f>(40+65)/2</f>
        <v>52.5</v>
      </c>
      <c r="K2486" s="134" t="s">
        <v>6530</v>
      </c>
      <c r="L2486" s="60">
        <v>134</v>
      </c>
      <c r="M2486" s="49" t="s">
        <v>6392</v>
      </c>
      <c r="N2486" s="46"/>
      <c r="Z2486" s="3"/>
      <c r="AA2486" s="3"/>
      <c r="AB2486" s="4"/>
    </row>
    <row r="2487" spans="1:28" ht="14" x14ac:dyDescent="0.15">
      <c r="A2487" s="166" t="s">
        <v>2479</v>
      </c>
      <c r="B2487" s="93" t="s">
        <v>6315</v>
      </c>
      <c r="C2487" s="73" t="s">
        <v>3636</v>
      </c>
      <c r="D2487" s="73" t="s">
        <v>3437</v>
      </c>
      <c r="E2487" s="73" t="s">
        <v>3457</v>
      </c>
      <c r="F2487" s="73" t="s">
        <v>4046</v>
      </c>
      <c r="G2487" s="73" t="s">
        <v>7921</v>
      </c>
      <c r="H2487" s="108"/>
      <c r="I2487" s="85">
        <f t="shared" si="95"/>
        <v>1.7993405494535817</v>
      </c>
      <c r="J2487" s="85">
        <f>1000*0.063</f>
        <v>63</v>
      </c>
      <c r="K2487" s="131" t="s">
        <v>3177</v>
      </c>
      <c r="L2487" s="60">
        <v>60</v>
      </c>
      <c r="M2487" s="33"/>
      <c r="Z2487" s="3"/>
      <c r="AA2487" s="3"/>
      <c r="AB2487" s="4"/>
    </row>
    <row r="2488" spans="1:28" ht="14" x14ac:dyDescent="0.15">
      <c r="A2488" s="166" t="s">
        <v>2479</v>
      </c>
      <c r="B2488" s="93" t="s">
        <v>2540</v>
      </c>
      <c r="C2488" s="70" t="s">
        <v>3636</v>
      </c>
      <c r="D2488" s="70" t="s">
        <v>3437</v>
      </c>
      <c r="E2488" s="70" t="s">
        <v>3457</v>
      </c>
      <c r="F2488" s="70" t="s">
        <v>5846</v>
      </c>
      <c r="G2488" s="70" t="s">
        <v>6281</v>
      </c>
      <c r="H2488" s="93"/>
      <c r="I2488" s="85">
        <f t="shared" si="95"/>
        <v>1.4885507165004443</v>
      </c>
      <c r="J2488" s="85">
        <f>1000*0.0308</f>
        <v>30.8</v>
      </c>
      <c r="K2488" s="131" t="s">
        <v>3177</v>
      </c>
      <c r="L2488" s="60">
        <v>60</v>
      </c>
      <c r="M2488" s="33"/>
      <c r="Z2488" s="3"/>
      <c r="AA2488" s="3"/>
      <c r="AB2488" s="4"/>
    </row>
    <row r="2489" spans="1:28" ht="14" x14ac:dyDescent="0.15">
      <c r="A2489" s="166" t="s">
        <v>2479</v>
      </c>
      <c r="B2489" s="82"/>
      <c r="C2489" s="70" t="s">
        <v>3636</v>
      </c>
      <c r="D2489" s="70" t="s">
        <v>3437</v>
      </c>
      <c r="E2489" s="70" t="s">
        <v>3457</v>
      </c>
      <c r="F2489" s="70" t="s">
        <v>5846</v>
      </c>
      <c r="G2489" s="70" t="s">
        <v>5264</v>
      </c>
      <c r="H2489" s="93"/>
      <c r="I2489" s="85">
        <f t="shared" si="95"/>
        <v>1.8450980400142569</v>
      </c>
      <c r="J2489" s="85">
        <v>70</v>
      </c>
      <c r="K2489" s="131" t="s">
        <v>6485</v>
      </c>
      <c r="L2489" s="60">
        <v>68</v>
      </c>
      <c r="Z2489" s="3"/>
      <c r="AA2489" s="3"/>
      <c r="AB2489" s="4"/>
    </row>
    <row r="2490" spans="1:28" ht="16" x14ac:dyDescent="0.2">
      <c r="A2490" s="166" t="s">
        <v>2479</v>
      </c>
      <c r="B2490" s="93" t="s">
        <v>2546</v>
      </c>
      <c r="C2490" s="70" t="s">
        <v>3636</v>
      </c>
      <c r="D2490" s="70" t="s">
        <v>3437</v>
      </c>
      <c r="E2490" s="70" t="s">
        <v>3457</v>
      </c>
      <c r="F2490" s="70" t="s">
        <v>5846</v>
      </c>
      <c r="G2490" s="70" t="s">
        <v>5663</v>
      </c>
      <c r="H2490" s="93"/>
      <c r="I2490" s="85">
        <f t="shared" si="95"/>
        <v>1.968482948553935</v>
      </c>
      <c r="J2490" s="85">
        <f>1000*0.093</f>
        <v>93</v>
      </c>
      <c r="K2490" s="131" t="s">
        <v>3177</v>
      </c>
      <c r="L2490" s="60">
        <v>60</v>
      </c>
      <c r="M2490" s="47"/>
      <c r="Z2490" s="3"/>
      <c r="AA2490" s="3"/>
      <c r="AB2490" s="4"/>
    </row>
    <row r="2491" spans="1:28" ht="14" x14ac:dyDescent="0.15">
      <c r="A2491" s="166" t="s">
        <v>2479</v>
      </c>
      <c r="B2491" s="93" t="s">
        <v>2418</v>
      </c>
      <c r="C2491" s="70" t="s">
        <v>3636</v>
      </c>
      <c r="D2491" s="70" t="s">
        <v>3437</v>
      </c>
      <c r="E2491" s="73" t="s">
        <v>3457</v>
      </c>
      <c r="F2491" s="70" t="s">
        <v>5846</v>
      </c>
      <c r="G2491" s="70" t="s">
        <v>5664</v>
      </c>
      <c r="H2491" s="93"/>
      <c r="I2491" s="85">
        <f t="shared" si="95"/>
        <v>2.167317334748176</v>
      </c>
      <c r="J2491" s="85">
        <f>1000*0.147</f>
        <v>147</v>
      </c>
      <c r="K2491" s="131" t="s">
        <v>6630</v>
      </c>
      <c r="L2491" s="60">
        <v>60</v>
      </c>
      <c r="M2491" s="33" t="s">
        <v>6390</v>
      </c>
      <c r="Z2491" s="3"/>
      <c r="AA2491" s="3"/>
      <c r="AB2491" s="4"/>
    </row>
    <row r="2492" spans="1:28" ht="28" x14ac:dyDescent="0.15">
      <c r="A2492" s="166" t="s">
        <v>2479</v>
      </c>
      <c r="B2492" s="93" t="s">
        <v>2414</v>
      </c>
      <c r="C2492" s="70" t="s">
        <v>3636</v>
      </c>
      <c r="D2492" s="70" t="s">
        <v>3437</v>
      </c>
      <c r="E2492" s="70" t="s">
        <v>3457</v>
      </c>
      <c r="F2492" s="70" t="s">
        <v>6292</v>
      </c>
      <c r="G2492" s="70" t="s">
        <v>6254</v>
      </c>
      <c r="H2492" s="93"/>
      <c r="I2492" s="85">
        <f t="shared" si="95"/>
        <v>0.95424250943932487</v>
      </c>
      <c r="J2492" s="85">
        <f>AVERAGE(7, 11)</f>
        <v>9</v>
      </c>
      <c r="K2492" s="131" t="s">
        <v>3177</v>
      </c>
      <c r="L2492" s="60" t="s">
        <v>7697</v>
      </c>
      <c r="M2492" s="33"/>
      <c r="Z2492" s="3"/>
      <c r="AA2492" s="3"/>
      <c r="AB2492" s="4"/>
    </row>
    <row r="2493" spans="1:28" ht="56" x14ac:dyDescent="0.15">
      <c r="A2493" s="166" t="s">
        <v>2479</v>
      </c>
      <c r="B2493" s="93" t="s">
        <v>2149</v>
      </c>
      <c r="C2493" s="70" t="s">
        <v>3636</v>
      </c>
      <c r="D2493" s="70" t="s">
        <v>3437</v>
      </c>
      <c r="E2493" s="70" t="s">
        <v>3457</v>
      </c>
      <c r="F2493" s="70" t="s">
        <v>6292</v>
      </c>
      <c r="G2493" s="70" t="s">
        <v>5837</v>
      </c>
      <c r="H2493" s="93"/>
      <c r="I2493" s="85">
        <f t="shared" si="95"/>
        <v>1.0511525224473812</v>
      </c>
      <c r="J2493" s="85">
        <f>1000*AVERAGE(0.011, 0.011, 0.011, 0.012)</f>
        <v>11.25</v>
      </c>
      <c r="K2493" s="131" t="s">
        <v>3177</v>
      </c>
      <c r="L2493" s="60">
        <v>60</v>
      </c>
      <c r="M2493" s="33"/>
      <c r="Z2493" s="3"/>
      <c r="AA2493" s="3"/>
      <c r="AB2493" s="4"/>
    </row>
    <row r="2494" spans="1:28" ht="16" x14ac:dyDescent="0.2">
      <c r="A2494" s="166" t="s">
        <v>2479</v>
      </c>
      <c r="B2494" s="93" t="s">
        <v>5783</v>
      </c>
      <c r="C2494" s="73" t="s">
        <v>3636</v>
      </c>
      <c r="D2494" s="73" t="s">
        <v>3437</v>
      </c>
      <c r="E2494" s="73" t="s">
        <v>3457</v>
      </c>
      <c r="F2494" s="73" t="s">
        <v>6292</v>
      </c>
      <c r="G2494" s="73" t="s">
        <v>6150</v>
      </c>
      <c r="H2494" s="108"/>
      <c r="I2494" s="85">
        <f t="shared" si="95"/>
        <v>1.0899051114393981</v>
      </c>
      <c r="J2494" s="85">
        <f>1000*0.0123</f>
        <v>12.3</v>
      </c>
      <c r="K2494" s="131" t="s">
        <v>3177</v>
      </c>
      <c r="L2494" s="60">
        <v>60</v>
      </c>
      <c r="M2494" s="33"/>
      <c r="N2494" s="48"/>
      <c r="Z2494" s="3"/>
      <c r="AA2494" s="3"/>
      <c r="AB2494" s="4"/>
    </row>
    <row r="2495" spans="1:28" ht="28" x14ac:dyDescent="0.15">
      <c r="A2495" s="166" t="s">
        <v>2479</v>
      </c>
      <c r="B2495" s="93" t="s">
        <v>2640</v>
      </c>
      <c r="C2495" s="70" t="s">
        <v>3636</v>
      </c>
      <c r="D2495" s="70" t="s">
        <v>3437</v>
      </c>
      <c r="E2495" s="70" t="s">
        <v>3457</v>
      </c>
      <c r="F2495" s="70" t="s">
        <v>6292</v>
      </c>
      <c r="G2495" s="70" t="s">
        <v>7886</v>
      </c>
      <c r="H2495" s="93"/>
      <c r="I2495" s="85">
        <f t="shared" si="95"/>
        <v>1.0969100130080565</v>
      </c>
      <c r="J2495" s="85">
        <f>AVERAGE(10, 15)</f>
        <v>12.5</v>
      </c>
      <c r="K2495" s="131" t="s">
        <v>3177</v>
      </c>
      <c r="L2495" s="60">
        <v>117</v>
      </c>
      <c r="M2495" s="33"/>
      <c r="Z2495" s="3"/>
      <c r="AA2495" s="3"/>
      <c r="AB2495" s="4"/>
    </row>
    <row r="2496" spans="1:28" ht="14" x14ac:dyDescent="0.15">
      <c r="A2496" s="166" t="s">
        <v>2479</v>
      </c>
      <c r="B2496" s="82"/>
      <c r="C2496" s="70" t="s">
        <v>3636</v>
      </c>
      <c r="D2496" s="70" t="s">
        <v>3437</v>
      </c>
      <c r="E2496" s="70" t="s">
        <v>3457</v>
      </c>
      <c r="F2496" s="70" t="s">
        <v>6292</v>
      </c>
      <c r="G2496" s="70" t="s">
        <v>5266</v>
      </c>
      <c r="H2496" s="93"/>
      <c r="I2496" s="85">
        <f t="shared" si="95"/>
        <v>1.1072099696478683</v>
      </c>
      <c r="J2496" s="85">
        <v>12.8</v>
      </c>
      <c r="K2496" s="131" t="s">
        <v>6485</v>
      </c>
      <c r="L2496" s="60">
        <v>68</v>
      </c>
      <c r="Z2496" s="3"/>
      <c r="AA2496" s="3"/>
      <c r="AB2496" s="4"/>
    </row>
    <row r="2497" spans="1:28" ht="42" x14ac:dyDescent="0.15">
      <c r="A2497" s="166" t="s">
        <v>2479</v>
      </c>
      <c r="B2497" s="93" t="s">
        <v>2723</v>
      </c>
      <c r="C2497" s="70" t="s">
        <v>3636</v>
      </c>
      <c r="D2497" s="70" t="s">
        <v>3437</v>
      </c>
      <c r="E2497" s="70" t="s">
        <v>3457</v>
      </c>
      <c r="F2497" s="70" t="s">
        <v>6292</v>
      </c>
      <c r="G2497" s="70" t="s">
        <v>3020</v>
      </c>
      <c r="H2497" s="93"/>
      <c r="I2497" s="85">
        <f t="shared" si="95"/>
        <v>1.146128035678238</v>
      </c>
      <c r="J2497" s="85">
        <v>14</v>
      </c>
      <c r="K2497" s="131" t="s">
        <v>3177</v>
      </c>
      <c r="L2497" s="60">
        <v>188</v>
      </c>
      <c r="M2497" s="33" t="s">
        <v>6392</v>
      </c>
      <c r="Z2497" s="3"/>
      <c r="AA2497" s="3"/>
      <c r="AB2497" s="4"/>
    </row>
    <row r="2498" spans="1:28" ht="42" x14ac:dyDescent="0.15">
      <c r="A2498" s="166" t="s">
        <v>2479</v>
      </c>
      <c r="B2498" s="93" t="s">
        <v>5877</v>
      </c>
      <c r="C2498" s="73" t="s">
        <v>3636</v>
      </c>
      <c r="D2498" s="73" t="s">
        <v>3437</v>
      </c>
      <c r="E2498" s="73" t="s">
        <v>3457</v>
      </c>
      <c r="F2498" s="73" t="s">
        <v>6292</v>
      </c>
      <c r="G2498" s="73" t="s">
        <v>6374</v>
      </c>
      <c r="H2498" s="108"/>
      <c r="I2498" s="85">
        <f t="shared" si="95"/>
        <v>1.1760912590556813</v>
      </c>
      <c r="J2498" s="95">
        <v>15</v>
      </c>
      <c r="K2498" s="131" t="s">
        <v>3177</v>
      </c>
      <c r="L2498" s="60">
        <v>190</v>
      </c>
      <c r="M2498" s="33"/>
      <c r="N2498" s="37" t="s">
        <v>7334</v>
      </c>
      <c r="Z2498" s="3"/>
      <c r="AA2498" s="3"/>
      <c r="AB2498" s="4"/>
    </row>
    <row r="2499" spans="1:28" ht="14" x14ac:dyDescent="0.15">
      <c r="A2499" s="170" t="s">
        <v>2479</v>
      </c>
      <c r="B2499" s="82"/>
      <c r="C2499" s="83" t="s">
        <v>3636</v>
      </c>
      <c r="D2499" s="83" t="s">
        <v>3437</v>
      </c>
      <c r="E2499" s="83" t="s">
        <v>3457</v>
      </c>
      <c r="F2499" s="83" t="s">
        <v>6292</v>
      </c>
      <c r="G2499" s="83" t="s">
        <v>4126</v>
      </c>
      <c r="H2499" s="82"/>
      <c r="I2499" s="85">
        <f t="shared" si="95"/>
        <v>1.1760912590556813</v>
      </c>
      <c r="J2499" s="84">
        <f>AVERAGE(10, 24, 7, 19)</f>
        <v>15</v>
      </c>
      <c r="K2499" s="139" t="s">
        <v>1422</v>
      </c>
      <c r="L2499" s="72" t="s">
        <v>5709</v>
      </c>
      <c r="M2499" s="31"/>
      <c r="N2499" s="37" t="s">
        <v>7333</v>
      </c>
      <c r="Z2499" s="3"/>
      <c r="AA2499" s="3"/>
      <c r="AB2499" s="4"/>
    </row>
    <row r="2500" spans="1:28" ht="42" x14ac:dyDescent="0.15">
      <c r="A2500" s="166" t="s">
        <v>2479</v>
      </c>
      <c r="B2500" s="93" t="s">
        <v>2271</v>
      </c>
      <c r="C2500" s="70" t="s">
        <v>3636</v>
      </c>
      <c r="D2500" s="70" t="s">
        <v>3437</v>
      </c>
      <c r="E2500" s="70" t="s">
        <v>3457</v>
      </c>
      <c r="F2500" s="70" t="s">
        <v>6292</v>
      </c>
      <c r="G2500" s="70" t="s">
        <v>7513</v>
      </c>
      <c r="H2500" s="93"/>
      <c r="I2500" s="85">
        <f t="shared" si="95"/>
        <v>1.2479732663618066</v>
      </c>
      <c r="J2500" s="85">
        <f>1000*AVERAGE(0.0196, 0.0146, 0.0146, 0.022)</f>
        <v>17.7</v>
      </c>
      <c r="K2500" s="131" t="s">
        <v>3177</v>
      </c>
      <c r="L2500" s="60">
        <v>60</v>
      </c>
      <c r="M2500" s="33"/>
      <c r="Z2500" s="3"/>
      <c r="AA2500" s="3"/>
      <c r="AB2500" s="4"/>
    </row>
    <row r="2501" spans="1:28" ht="42" x14ac:dyDescent="0.15">
      <c r="A2501" s="166" t="s">
        <v>2479</v>
      </c>
      <c r="B2501" s="93" t="s">
        <v>2264</v>
      </c>
      <c r="C2501" s="73" t="s">
        <v>3636</v>
      </c>
      <c r="D2501" s="73" t="s">
        <v>3437</v>
      </c>
      <c r="E2501" s="73" t="s">
        <v>3457</v>
      </c>
      <c r="F2501" s="73" t="s">
        <v>6292</v>
      </c>
      <c r="G2501" s="73" t="s">
        <v>5953</v>
      </c>
      <c r="H2501" s="108"/>
      <c r="I2501" s="85">
        <f t="shared" si="95"/>
        <v>1.3110471164215052</v>
      </c>
      <c r="J2501" s="85">
        <f>1000*AVERAGE(0.0151, 0.0233, 0.023)</f>
        <v>20.466666666666669</v>
      </c>
      <c r="K2501" s="131" t="s">
        <v>3177</v>
      </c>
      <c r="L2501" s="60">
        <v>60</v>
      </c>
      <c r="M2501" s="33"/>
      <c r="Z2501" s="3"/>
      <c r="AA2501" s="3"/>
      <c r="AB2501" s="4"/>
    </row>
    <row r="2502" spans="1:28" ht="28" x14ac:dyDescent="0.15">
      <c r="A2502" s="166" t="s">
        <v>2479</v>
      </c>
      <c r="B2502" s="93" t="s">
        <v>5784</v>
      </c>
      <c r="C2502" s="70" t="s">
        <v>3636</v>
      </c>
      <c r="D2502" s="70" t="s">
        <v>3437</v>
      </c>
      <c r="E2502" s="70" t="s">
        <v>3457</v>
      </c>
      <c r="F2502" s="70" t="s">
        <v>6292</v>
      </c>
      <c r="G2502" s="70" t="s">
        <v>4616</v>
      </c>
      <c r="H2502" s="93"/>
      <c r="I2502" s="85">
        <f t="shared" si="95"/>
        <v>1.3304137733491908</v>
      </c>
      <c r="J2502" s="85">
        <f>1000*0.0214</f>
        <v>21.4</v>
      </c>
      <c r="K2502" s="131" t="s">
        <v>3177</v>
      </c>
      <c r="L2502" s="60">
        <v>60</v>
      </c>
      <c r="M2502" s="33"/>
      <c r="Z2502" s="3"/>
      <c r="AA2502" s="3"/>
      <c r="AB2502" s="4"/>
    </row>
    <row r="2503" spans="1:28" ht="14" x14ac:dyDescent="0.15">
      <c r="A2503" s="166" t="s">
        <v>2479</v>
      </c>
      <c r="B2503" s="93" t="s">
        <v>2454</v>
      </c>
      <c r="C2503" s="70" t="s">
        <v>3636</v>
      </c>
      <c r="D2503" s="70" t="s">
        <v>3437</v>
      </c>
      <c r="E2503" s="70" t="s">
        <v>3457</v>
      </c>
      <c r="F2503" s="70" t="s">
        <v>6292</v>
      </c>
      <c r="G2503" s="70" t="s">
        <v>6279</v>
      </c>
      <c r="H2503" s="93"/>
      <c r="I2503" s="85">
        <f t="shared" si="95"/>
        <v>1.3594560201209867</v>
      </c>
      <c r="J2503" s="85">
        <v>22.88</v>
      </c>
      <c r="K2503" s="131" t="s">
        <v>6391</v>
      </c>
      <c r="L2503" s="60">
        <v>179</v>
      </c>
      <c r="M2503" s="33" t="s">
        <v>6390</v>
      </c>
      <c r="Z2503" s="3"/>
      <c r="AA2503" s="3"/>
      <c r="AB2503" s="4"/>
    </row>
    <row r="2504" spans="1:28" ht="16" x14ac:dyDescent="0.2">
      <c r="A2504" s="166" t="s">
        <v>2479</v>
      </c>
      <c r="B2504" s="93" t="s">
        <v>5783</v>
      </c>
      <c r="C2504" s="70" t="s">
        <v>3636</v>
      </c>
      <c r="D2504" s="70" t="s">
        <v>3437</v>
      </c>
      <c r="E2504" s="70" t="s">
        <v>3457</v>
      </c>
      <c r="F2504" s="70" t="s">
        <v>6292</v>
      </c>
      <c r="G2504" s="70" t="s">
        <v>4615</v>
      </c>
      <c r="H2504" s="93"/>
      <c r="I2504" s="85">
        <f t="shared" si="95"/>
        <v>1.4014005407815442</v>
      </c>
      <c r="J2504" s="85">
        <f>1000*AVERAGE(0.018, 0.0294, 0.0282)</f>
        <v>25.2</v>
      </c>
      <c r="K2504" s="131" t="s">
        <v>3177</v>
      </c>
      <c r="L2504" s="60">
        <v>60</v>
      </c>
      <c r="M2504" s="33"/>
      <c r="N2504" s="48"/>
      <c r="Z2504" s="3"/>
      <c r="AA2504" s="3"/>
      <c r="AB2504" s="4"/>
    </row>
    <row r="2505" spans="1:28" ht="28" x14ac:dyDescent="0.15">
      <c r="A2505" s="166" t="s">
        <v>2479</v>
      </c>
      <c r="B2505" s="93" t="s">
        <v>5782</v>
      </c>
      <c r="C2505" s="73" t="s">
        <v>3636</v>
      </c>
      <c r="D2505" s="73" t="s">
        <v>3437</v>
      </c>
      <c r="E2505" s="73" t="s">
        <v>3457</v>
      </c>
      <c r="F2505" s="73" t="s">
        <v>6292</v>
      </c>
      <c r="G2505" s="73" t="s">
        <v>4614</v>
      </c>
      <c r="H2505" s="108"/>
      <c r="I2505" s="85">
        <f t="shared" si="95"/>
        <v>1.4104960456160738</v>
      </c>
      <c r="J2505" s="85">
        <f>1000*AVERAGE(0.0264, 0.0228, 0.028)</f>
        <v>25.733333333333334</v>
      </c>
      <c r="K2505" s="131" t="s">
        <v>3177</v>
      </c>
      <c r="L2505" s="60">
        <v>60</v>
      </c>
      <c r="M2505" s="33"/>
      <c r="Z2505" s="3"/>
      <c r="AA2505" s="3"/>
      <c r="AB2505" s="4"/>
    </row>
    <row r="2506" spans="1:28" ht="28" x14ac:dyDescent="0.15">
      <c r="A2506" s="166" t="s">
        <v>2479</v>
      </c>
      <c r="B2506" s="93" t="s">
        <v>2959</v>
      </c>
      <c r="C2506" s="70" t="s">
        <v>3636</v>
      </c>
      <c r="D2506" s="70" t="s">
        <v>3437</v>
      </c>
      <c r="E2506" s="70" t="s">
        <v>3457</v>
      </c>
      <c r="F2506" s="70" t="s">
        <v>6292</v>
      </c>
      <c r="G2506" s="70" t="s">
        <v>3250</v>
      </c>
      <c r="H2506" s="93"/>
      <c r="I2506" s="85">
        <f t="shared" si="95"/>
        <v>1.5390760987927767</v>
      </c>
      <c r="J2506" s="85">
        <f>1000*AVERAGE(0.034, 0.0352)</f>
        <v>34.600000000000009</v>
      </c>
      <c r="K2506" s="131" t="s">
        <v>3177</v>
      </c>
      <c r="L2506" s="60">
        <v>60</v>
      </c>
      <c r="M2506" s="33"/>
      <c r="Z2506" s="3"/>
      <c r="AA2506" s="3"/>
      <c r="AB2506" s="4"/>
    </row>
    <row r="2507" spans="1:28" ht="14" x14ac:dyDescent="0.15">
      <c r="A2507" s="166" t="s">
        <v>2479</v>
      </c>
      <c r="B2507" s="93" t="s">
        <v>2185</v>
      </c>
      <c r="C2507" s="70" t="s">
        <v>3636</v>
      </c>
      <c r="D2507" s="70" t="s">
        <v>3437</v>
      </c>
      <c r="E2507" s="70" t="s">
        <v>3457</v>
      </c>
      <c r="F2507" s="70" t="s">
        <v>4129</v>
      </c>
      <c r="G2507" s="70" t="s">
        <v>6404</v>
      </c>
      <c r="H2507" s="93"/>
      <c r="I2507" s="85">
        <v>-999</v>
      </c>
      <c r="J2507" s="85">
        <v>-999</v>
      </c>
      <c r="K2507" s="131" t="s">
        <v>3177</v>
      </c>
      <c r="L2507" s="60">
        <v>-999</v>
      </c>
      <c r="M2507" s="33"/>
      <c r="Z2507" s="3"/>
      <c r="AA2507" s="3"/>
      <c r="AB2507" s="4"/>
    </row>
    <row r="2508" spans="1:28" ht="17" x14ac:dyDescent="0.2">
      <c r="A2508" s="166" t="s">
        <v>2479</v>
      </c>
      <c r="B2508" s="82"/>
      <c r="C2508" s="70" t="s">
        <v>3636</v>
      </c>
      <c r="D2508" s="70" t="s">
        <v>3437</v>
      </c>
      <c r="E2508" s="70" t="s">
        <v>3457</v>
      </c>
      <c r="F2508" s="70" t="s">
        <v>5267</v>
      </c>
      <c r="G2508" s="70" t="s">
        <v>5316</v>
      </c>
      <c r="H2508" s="93"/>
      <c r="I2508" s="85">
        <f>LOG(J2508)</f>
        <v>1.3979400086720377</v>
      </c>
      <c r="J2508" s="85">
        <v>25</v>
      </c>
      <c r="K2508" s="131" t="s">
        <v>6391</v>
      </c>
      <c r="L2508" s="60">
        <v>68</v>
      </c>
      <c r="M2508" s="47" t="s">
        <v>6725</v>
      </c>
      <c r="Z2508" s="3"/>
      <c r="AA2508" s="3"/>
      <c r="AB2508" s="4"/>
    </row>
    <row r="2509" spans="1:28" ht="14" x14ac:dyDescent="0.15">
      <c r="A2509" s="166" t="s">
        <v>2479</v>
      </c>
      <c r="B2509" s="93" t="s">
        <v>4461</v>
      </c>
      <c r="C2509" s="70" t="s">
        <v>3636</v>
      </c>
      <c r="D2509" s="70" t="s">
        <v>3437</v>
      </c>
      <c r="E2509" s="70" t="s">
        <v>3457</v>
      </c>
      <c r="F2509" s="70" t="s">
        <v>5984</v>
      </c>
      <c r="G2509" s="70" t="s">
        <v>6137</v>
      </c>
      <c r="H2509" s="93"/>
      <c r="I2509" s="85">
        <v>-999</v>
      </c>
      <c r="J2509" s="85">
        <v>-999</v>
      </c>
      <c r="K2509" s="131" t="s">
        <v>3177</v>
      </c>
      <c r="L2509" s="60">
        <v>-999</v>
      </c>
      <c r="M2509" s="33"/>
      <c r="Z2509" s="3"/>
      <c r="AA2509" s="3"/>
      <c r="AB2509" s="4"/>
    </row>
    <row r="2510" spans="1:28" s="15" customFormat="1" ht="17" x14ac:dyDescent="0.2">
      <c r="A2510" s="166" t="s">
        <v>2479</v>
      </c>
      <c r="B2510" s="93" t="s">
        <v>4461</v>
      </c>
      <c r="C2510" s="70" t="s">
        <v>3636</v>
      </c>
      <c r="D2510" s="70" t="s">
        <v>3437</v>
      </c>
      <c r="E2510" s="70" t="s">
        <v>3457</v>
      </c>
      <c r="F2510" s="70" t="s">
        <v>5984</v>
      </c>
      <c r="G2510" s="70" t="s">
        <v>6572</v>
      </c>
      <c r="H2510" s="93"/>
      <c r="I2510" s="85">
        <v>-999</v>
      </c>
      <c r="J2510" s="85">
        <v>-999</v>
      </c>
      <c r="K2510" s="131" t="s">
        <v>3177</v>
      </c>
      <c r="L2510" s="60">
        <v>-999</v>
      </c>
      <c r="M2510" s="47" t="s">
        <v>6392</v>
      </c>
      <c r="N2510" s="37"/>
      <c r="O2510" s="37"/>
      <c r="P2510" s="37"/>
      <c r="Q2510" s="3"/>
      <c r="R2510" s="3"/>
      <c r="S2510" s="14"/>
      <c r="T2510" s="14"/>
      <c r="U2510" s="14"/>
      <c r="V2510" s="14"/>
      <c r="W2510" s="14"/>
      <c r="X2510" s="14"/>
      <c r="Y2510" s="14"/>
      <c r="Z2510" s="14"/>
      <c r="AA2510" s="14"/>
      <c r="AB2510" s="17"/>
    </row>
    <row r="2511" spans="1:28" ht="28" x14ac:dyDescent="0.15">
      <c r="A2511" s="166" t="s">
        <v>2479</v>
      </c>
      <c r="B2511" s="93" t="s">
        <v>2187</v>
      </c>
      <c r="C2511" s="70" t="s">
        <v>3636</v>
      </c>
      <c r="D2511" s="70" t="s">
        <v>3437</v>
      </c>
      <c r="E2511" s="70" t="s">
        <v>3457</v>
      </c>
      <c r="F2511" s="70" t="s">
        <v>5984</v>
      </c>
      <c r="G2511" s="70" t="s">
        <v>3963</v>
      </c>
      <c r="H2511" s="93"/>
      <c r="I2511" s="85">
        <v>-999</v>
      </c>
      <c r="J2511" s="85">
        <v>-999</v>
      </c>
      <c r="K2511" s="131" t="s">
        <v>3177</v>
      </c>
      <c r="L2511" s="60">
        <v>-999</v>
      </c>
      <c r="M2511" s="33"/>
      <c r="Z2511" s="3"/>
      <c r="AA2511" s="3"/>
      <c r="AB2511" s="4"/>
    </row>
    <row r="2512" spans="1:28" ht="16" x14ac:dyDescent="0.2">
      <c r="A2512" s="166" t="s">
        <v>2479</v>
      </c>
      <c r="B2512" s="93" t="s">
        <v>2186</v>
      </c>
      <c r="C2512" s="70" t="s">
        <v>3636</v>
      </c>
      <c r="D2512" s="70" t="s">
        <v>3437</v>
      </c>
      <c r="E2512" s="73" t="s">
        <v>3457</v>
      </c>
      <c r="F2512" s="70" t="s">
        <v>5984</v>
      </c>
      <c r="G2512" s="70" t="s">
        <v>3962</v>
      </c>
      <c r="H2512" s="93"/>
      <c r="I2512" s="85">
        <f t="shared" ref="I2512:I2517" si="96">LOG(J2512)</f>
        <v>2.3521825181113627</v>
      </c>
      <c r="J2512" s="85">
        <f>AVERAGE(160, 290)</f>
        <v>225</v>
      </c>
      <c r="K2512" s="131" t="s">
        <v>3177</v>
      </c>
      <c r="L2512" s="60">
        <v>138</v>
      </c>
      <c r="M2512" s="33"/>
      <c r="N2512" s="48"/>
      <c r="Z2512" s="3"/>
      <c r="AA2512" s="3"/>
      <c r="AB2512" s="4"/>
    </row>
    <row r="2513" spans="1:28" ht="42" x14ac:dyDescent="0.2">
      <c r="A2513" s="166" t="s">
        <v>2479</v>
      </c>
      <c r="B2513" s="93" t="s">
        <v>1902</v>
      </c>
      <c r="C2513" s="70" t="s">
        <v>3636</v>
      </c>
      <c r="D2513" s="70" t="s">
        <v>3437</v>
      </c>
      <c r="E2513" s="70" t="s">
        <v>3457</v>
      </c>
      <c r="F2513" s="70" t="s">
        <v>5984</v>
      </c>
      <c r="G2513" s="70" t="s">
        <v>3996</v>
      </c>
      <c r="H2513" s="93"/>
      <c r="I2513" s="85">
        <f t="shared" si="96"/>
        <v>2.3802112417116059</v>
      </c>
      <c r="J2513" s="85">
        <f>1000*0.24</f>
        <v>240</v>
      </c>
      <c r="K2513" s="131" t="s">
        <v>7691</v>
      </c>
      <c r="L2513" s="60">
        <v>60</v>
      </c>
      <c r="M2513" s="47" t="s">
        <v>6392</v>
      </c>
      <c r="Z2513" s="3"/>
      <c r="AA2513" s="3"/>
      <c r="AB2513" s="4"/>
    </row>
    <row r="2514" spans="1:28" ht="14" x14ac:dyDescent="0.15">
      <c r="A2514" s="166" t="s">
        <v>2479</v>
      </c>
      <c r="B2514" s="93" t="s">
        <v>1902</v>
      </c>
      <c r="C2514" s="70" t="s">
        <v>3636</v>
      </c>
      <c r="D2514" s="70" t="s">
        <v>3437</v>
      </c>
      <c r="E2514" s="70" t="s">
        <v>3457</v>
      </c>
      <c r="F2514" s="70" t="s">
        <v>5984</v>
      </c>
      <c r="G2514" s="70" t="s">
        <v>3961</v>
      </c>
      <c r="H2514" s="93"/>
      <c r="I2514" s="85">
        <f t="shared" si="96"/>
        <v>2.3891660843645326</v>
      </c>
      <c r="J2514" s="85">
        <f>AVERAGE(220, 270)</f>
        <v>245</v>
      </c>
      <c r="K2514" s="131" t="s">
        <v>3177</v>
      </c>
      <c r="L2514" s="60">
        <v>167</v>
      </c>
      <c r="M2514" s="33" t="s">
        <v>6728</v>
      </c>
      <c r="Z2514" s="3"/>
      <c r="AA2514" s="3"/>
      <c r="AB2514" s="4"/>
    </row>
    <row r="2515" spans="1:28" ht="42" x14ac:dyDescent="0.15">
      <c r="A2515" s="166" t="s">
        <v>2479</v>
      </c>
      <c r="B2515" s="93" t="s">
        <v>1902</v>
      </c>
      <c r="C2515" s="70" t="s">
        <v>3636</v>
      </c>
      <c r="D2515" s="70" t="s">
        <v>3437</v>
      </c>
      <c r="E2515" s="70" t="s">
        <v>3457</v>
      </c>
      <c r="F2515" s="70" t="s">
        <v>5984</v>
      </c>
      <c r="G2515" s="70" t="s">
        <v>3986</v>
      </c>
      <c r="H2515" s="93"/>
      <c r="I2515" s="85">
        <f t="shared" si="96"/>
        <v>2.5786392099680722</v>
      </c>
      <c r="J2515" s="85">
        <f>1000*0.379</f>
        <v>379</v>
      </c>
      <c r="K2515" s="131" t="s">
        <v>7549</v>
      </c>
      <c r="L2515" s="60">
        <v>60</v>
      </c>
      <c r="M2515" s="33" t="s">
        <v>6392</v>
      </c>
      <c r="Z2515" s="3"/>
      <c r="AA2515" s="3"/>
      <c r="AB2515" s="4"/>
    </row>
    <row r="2516" spans="1:28" ht="14" x14ac:dyDescent="0.15">
      <c r="A2516" s="166" t="s">
        <v>2479</v>
      </c>
      <c r="B2516" s="93" t="s">
        <v>2188</v>
      </c>
      <c r="C2516" s="70" t="s">
        <v>3636</v>
      </c>
      <c r="D2516" s="70" t="s">
        <v>3437</v>
      </c>
      <c r="E2516" s="70" t="s">
        <v>3457</v>
      </c>
      <c r="F2516" s="70" t="s">
        <v>3252</v>
      </c>
      <c r="G2516" s="70" t="s">
        <v>4761</v>
      </c>
      <c r="H2516" s="93"/>
      <c r="I2516" s="85">
        <f t="shared" si="96"/>
        <v>2.2455126678141499</v>
      </c>
      <c r="J2516" s="85">
        <v>176</v>
      </c>
      <c r="K2516" s="131" t="s">
        <v>3177</v>
      </c>
      <c r="L2516" s="60">
        <v>60</v>
      </c>
      <c r="M2516" s="33"/>
    </row>
    <row r="2517" spans="1:28" ht="14" x14ac:dyDescent="0.15">
      <c r="A2517" s="166" t="s">
        <v>2479</v>
      </c>
      <c r="B2517" s="82"/>
      <c r="C2517" s="70" t="s">
        <v>3636</v>
      </c>
      <c r="D2517" s="70" t="s">
        <v>3437</v>
      </c>
      <c r="E2517" s="70" t="s">
        <v>3457</v>
      </c>
      <c r="F2517" s="70" t="s">
        <v>3252</v>
      </c>
      <c r="G2517" s="70" t="s">
        <v>3510</v>
      </c>
      <c r="H2517" s="93"/>
      <c r="I2517" s="85">
        <f t="shared" si="96"/>
        <v>2.2504200023088941</v>
      </c>
      <c r="J2517" s="85">
        <v>178</v>
      </c>
      <c r="K2517" s="131" t="s">
        <v>6485</v>
      </c>
      <c r="L2517" s="60">
        <v>68</v>
      </c>
      <c r="M2517" s="49" t="s">
        <v>6728</v>
      </c>
      <c r="N2517" s="37" t="s">
        <v>7583</v>
      </c>
    </row>
    <row r="2518" spans="1:28" ht="14" x14ac:dyDescent="0.15">
      <c r="A2518" s="166" t="s">
        <v>2479</v>
      </c>
      <c r="B2518" s="93" t="s">
        <v>7424</v>
      </c>
      <c r="C2518" s="70" t="s">
        <v>3636</v>
      </c>
      <c r="D2518" s="70" t="s">
        <v>3437</v>
      </c>
      <c r="E2518" s="70" t="s">
        <v>3457</v>
      </c>
      <c r="F2518" s="70" t="s">
        <v>4156</v>
      </c>
      <c r="G2518" s="70" t="s">
        <v>5949</v>
      </c>
      <c r="H2518" s="93"/>
      <c r="I2518" s="85">
        <v>-999</v>
      </c>
      <c r="J2518" s="85">
        <v>-999</v>
      </c>
      <c r="K2518" s="131" t="s">
        <v>3177</v>
      </c>
      <c r="L2518" s="60">
        <v>-999</v>
      </c>
      <c r="M2518" s="33" t="s">
        <v>6392</v>
      </c>
    </row>
    <row r="2519" spans="1:28" ht="17" x14ac:dyDescent="0.2">
      <c r="A2519" s="166" t="s">
        <v>2479</v>
      </c>
      <c r="B2519" s="82"/>
      <c r="C2519" s="70" t="s">
        <v>3636</v>
      </c>
      <c r="D2519" s="70" t="s">
        <v>3437</v>
      </c>
      <c r="E2519" s="70" t="s">
        <v>3457</v>
      </c>
      <c r="F2519" s="70" t="s">
        <v>4156</v>
      </c>
      <c r="G2519" s="70" t="s">
        <v>3926</v>
      </c>
      <c r="H2519" s="93"/>
      <c r="I2519" s="85">
        <f t="shared" ref="I2519:I2537" si="97">LOG(J2519)</f>
        <v>2.2496059543069098</v>
      </c>
      <c r="J2519" s="85">
        <f>AVERAGE(112, 177, 244)</f>
        <v>177.66666666666666</v>
      </c>
      <c r="K2519" s="131" t="s">
        <v>3177</v>
      </c>
      <c r="L2519" s="60" t="s">
        <v>6742</v>
      </c>
      <c r="M2519" s="33"/>
      <c r="N2519" s="48" t="s">
        <v>7337</v>
      </c>
    </row>
    <row r="2520" spans="1:28" ht="14" x14ac:dyDescent="0.15">
      <c r="A2520" s="166" t="s">
        <v>2479</v>
      </c>
      <c r="B2520" s="93" t="s">
        <v>4553</v>
      </c>
      <c r="C2520" s="70" t="s">
        <v>3636</v>
      </c>
      <c r="D2520" s="70" t="s">
        <v>3437</v>
      </c>
      <c r="E2520" s="70" t="s">
        <v>3457</v>
      </c>
      <c r="F2520" s="70" t="s">
        <v>5317</v>
      </c>
      <c r="G2520" s="70" t="s">
        <v>4104</v>
      </c>
      <c r="H2520" s="93"/>
      <c r="I2520" s="85">
        <f t="shared" si="97"/>
        <v>1.72916478969277</v>
      </c>
      <c r="J2520" s="85">
        <f>1000*0.0536</f>
        <v>53.6</v>
      </c>
      <c r="K2520" s="131" t="s">
        <v>3177</v>
      </c>
      <c r="L2520" s="60">
        <v>60</v>
      </c>
      <c r="M2520" s="33"/>
    </row>
    <row r="2521" spans="1:28" ht="14" x14ac:dyDescent="0.15">
      <c r="A2521" s="166" t="s">
        <v>2479</v>
      </c>
      <c r="B2521" s="93" t="s">
        <v>2179</v>
      </c>
      <c r="C2521" s="70" t="s">
        <v>3636</v>
      </c>
      <c r="D2521" s="70" t="s">
        <v>3437</v>
      </c>
      <c r="E2521" s="70" t="s">
        <v>3457</v>
      </c>
      <c r="F2521" s="70" t="s">
        <v>5317</v>
      </c>
      <c r="G2521" s="70" t="s">
        <v>2970</v>
      </c>
      <c r="H2521" s="93"/>
      <c r="I2521" s="85">
        <f t="shared" si="97"/>
        <v>1.7853298350107671</v>
      </c>
      <c r="J2521" s="85">
        <f>1000*0.061</f>
        <v>61</v>
      </c>
      <c r="K2521" s="131" t="s">
        <v>3177</v>
      </c>
      <c r="L2521" s="60">
        <v>60</v>
      </c>
      <c r="M2521" s="33" t="s">
        <v>6392</v>
      </c>
    </row>
    <row r="2522" spans="1:28" ht="14" x14ac:dyDescent="0.15">
      <c r="A2522" s="166" t="s">
        <v>2479</v>
      </c>
      <c r="B2522" s="93" t="s">
        <v>7246</v>
      </c>
      <c r="C2522" s="70" t="s">
        <v>3636</v>
      </c>
      <c r="D2522" s="70" t="s">
        <v>3437</v>
      </c>
      <c r="E2522" s="70" t="s">
        <v>3457</v>
      </c>
      <c r="F2522" s="70" t="s">
        <v>5317</v>
      </c>
      <c r="G2522" s="70" t="s">
        <v>4101</v>
      </c>
      <c r="H2522" s="93"/>
      <c r="I2522" s="85">
        <f t="shared" si="97"/>
        <v>1.8129133566428555</v>
      </c>
      <c r="J2522" s="85">
        <f>1000*0.065</f>
        <v>65</v>
      </c>
      <c r="K2522" s="131" t="s">
        <v>3177</v>
      </c>
      <c r="L2522" s="60">
        <v>60</v>
      </c>
      <c r="M2522" s="33"/>
    </row>
    <row r="2523" spans="1:28" ht="14" x14ac:dyDescent="0.15">
      <c r="A2523" s="166" t="s">
        <v>2479</v>
      </c>
      <c r="B2523" s="82"/>
      <c r="C2523" s="70" t="s">
        <v>3636</v>
      </c>
      <c r="D2523" s="70" t="s">
        <v>3437</v>
      </c>
      <c r="E2523" s="70" t="s">
        <v>3457</v>
      </c>
      <c r="F2523" s="70" t="s">
        <v>5317</v>
      </c>
      <c r="G2523" s="70" t="s">
        <v>5318</v>
      </c>
      <c r="H2523" s="93"/>
      <c r="I2523" s="85">
        <f t="shared" si="97"/>
        <v>1.8221680793680175</v>
      </c>
      <c r="J2523" s="85">
        <v>66.400000000000006</v>
      </c>
      <c r="K2523" s="131" t="s">
        <v>6485</v>
      </c>
      <c r="L2523" s="60">
        <v>68</v>
      </c>
    </row>
    <row r="2524" spans="1:28" ht="28" x14ac:dyDescent="0.15">
      <c r="A2524" s="166" t="s">
        <v>2479</v>
      </c>
      <c r="B2524" s="93" t="s">
        <v>4848</v>
      </c>
      <c r="C2524" s="70" t="s">
        <v>3636</v>
      </c>
      <c r="D2524" s="70" t="s">
        <v>3437</v>
      </c>
      <c r="E2524" s="70" t="s">
        <v>3457</v>
      </c>
      <c r="F2524" s="70" t="s">
        <v>5317</v>
      </c>
      <c r="G2524" s="70" t="s">
        <v>2971</v>
      </c>
      <c r="H2524" s="93"/>
      <c r="I2524" s="85">
        <f t="shared" si="97"/>
        <v>1.8438554226231612</v>
      </c>
      <c r="J2524" s="85">
        <f>1000*0.0698</f>
        <v>69.8</v>
      </c>
      <c r="K2524" s="131" t="s">
        <v>3177</v>
      </c>
      <c r="L2524" s="60">
        <v>60</v>
      </c>
      <c r="M2524" s="33"/>
    </row>
    <row r="2525" spans="1:28" ht="56" x14ac:dyDescent="0.15">
      <c r="A2525" s="166" t="s">
        <v>2479</v>
      </c>
      <c r="B2525" s="93" t="s">
        <v>5125</v>
      </c>
      <c r="C2525" s="70" t="s">
        <v>3636</v>
      </c>
      <c r="D2525" s="70" t="s">
        <v>3437</v>
      </c>
      <c r="E2525" s="70" t="s">
        <v>3457</v>
      </c>
      <c r="F2525" s="70" t="s">
        <v>5317</v>
      </c>
      <c r="G2525" s="70" t="s">
        <v>3188</v>
      </c>
      <c r="H2525" s="93"/>
      <c r="I2525" s="85">
        <f t="shared" si="97"/>
        <v>1.9011630606434409</v>
      </c>
      <c r="J2525" s="85">
        <f>AVERAGE(60, 108, ((2.5/16)*454))</f>
        <v>79.645833333333329</v>
      </c>
      <c r="K2525" s="131" t="s">
        <v>3177</v>
      </c>
      <c r="L2525" s="60" t="s">
        <v>1543</v>
      </c>
      <c r="M2525" s="33"/>
    </row>
    <row r="2526" spans="1:28" ht="14" x14ac:dyDescent="0.15">
      <c r="A2526" s="166" t="s">
        <v>2479</v>
      </c>
      <c r="B2526" s="93" t="s">
        <v>4840</v>
      </c>
      <c r="C2526" s="70" t="s">
        <v>3636</v>
      </c>
      <c r="D2526" s="70" t="s">
        <v>3437</v>
      </c>
      <c r="E2526" s="70" t="s">
        <v>3457</v>
      </c>
      <c r="F2526" s="70" t="s">
        <v>5317</v>
      </c>
      <c r="G2526" s="70" t="s">
        <v>3377</v>
      </c>
      <c r="H2526" s="93"/>
      <c r="I2526" s="85">
        <f t="shared" si="97"/>
        <v>1.9382694834629113</v>
      </c>
      <c r="J2526" s="85">
        <f>1000*AVERAGE(0.0935, 0.08)</f>
        <v>86.75</v>
      </c>
      <c r="K2526" s="131"/>
      <c r="L2526" s="60">
        <v>60</v>
      </c>
      <c r="M2526" s="33"/>
    </row>
    <row r="2527" spans="1:28" ht="16" x14ac:dyDescent="0.2">
      <c r="A2527" s="166" t="s">
        <v>2479</v>
      </c>
      <c r="B2527" s="93" t="s">
        <v>6856</v>
      </c>
      <c r="C2527" s="73" t="s">
        <v>3636</v>
      </c>
      <c r="D2527" s="73" t="s">
        <v>3437</v>
      </c>
      <c r="E2527" s="73" t="s">
        <v>3457</v>
      </c>
      <c r="F2527" s="73" t="s">
        <v>5317</v>
      </c>
      <c r="G2527" s="73" t="s">
        <v>3368</v>
      </c>
      <c r="H2527" s="108"/>
      <c r="I2527" s="85">
        <f t="shared" si="97"/>
        <v>1.9881128402683519</v>
      </c>
      <c r="J2527" s="85">
        <f>1000*0.0973</f>
        <v>97.3</v>
      </c>
      <c r="K2527" s="131" t="s">
        <v>3177</v>
      </c>
      <c r="L2527" s="60">
        <v>60</v>
      </c>
      <c r="M2527" s="33"/>
      <c r="N2527" s="48"/>
    </row>
    <row r="2528" spans="1:28" ht="14" x14ac:dyDescent="0.15">
      <c r="A2528" s="166" t="s">
        <v>2479</v>
      </c>
      <c r="B2528" s="93" t="s">
        <v>4839</v>
      </c>
      <c r="C2528" s="70" t="s">
        <v>3636</v>
      </c>
      <c r="D2528" s="70" t="s">
        <v>3437</v>
      </c>
      <c r="E2528" s="70" t="s">
        <v>3457</v>
      </c>
      <c r="F2528" s="70" t="s">
        <v>5317</v>
      </c>
      <c r="G2528" s="70" t="s">
        <v>3376</v>
      </c>
      <c r="H2528" s="93"/>
      <c r="I2528" s="85">
        <f t="shared" si="97"/>
        <v>2</v>
      </c>
      <c r="J2528" s="85">
        <v>100</v>
      </c>
      <c r="K2528" s="131" t="s">
        <v>3177</v>
      </c>
      <c r="L2528" s="60">
        <v>119</v>
      </c>
      <c r="M2528" s="33"/>
    </row>
    <row r="2529" spans="1:14" ht="14" x14ac:dyDescent="0.15">
      <c r="A2529" s="166" t="s">
        <v>2479</v>
      </c>
      <c r="B2529" s="93" t="s">
        <v>1902</v>
      </c>
      <c r="C2529" s="70" t="s">
        <v>3636</v>
      </c>
      <c r="D2529" s="70" t="s">
        <v>3437</v>
      </c>
      <c r="E2529" s="70" t="s">
        <v>3457</v>
      </c>
      <c r="F2529" s="70" t="s">
        <v>5317</v>
      </c>
      <c r="G2529" s="70" t="s">
        <v>4105</v>
      </c>
      <c r="H2529" s="93"/>
      <c r="I2529" s="85">
        <f t="shared" si="97"/>
        <v>2.0086001717619175</v>
      </c>
      <c r="J2529" s="85">
        <f>1000*0.102</f>
        <v>102</v>
      </c>
      <c r="K2529" s="131" t="s">
        <v>3177</v>
      </c>
      <c r="L2529" s="60">
        <v>60</v>
      </c>
      <c r="M2529" s="33"/>
    </row>
    <row r="2530" spans="1:14" ht="14" x14ac:dyDescent="0.15">
      <c r="A2530" s="166" t="s">
        <v>2479</v>
      </c>
      <c r="B2530" s="93" t="s">
        <v>7039</v>
      </c>
      <c r="C2530" s="70" t="s">
        <v>3636</v>
      </c>
      <c r="D2530" s="70" t="s">
        <v>3437</v>
      </c>
      <c r="E2530" s="70" t="s">
        <v>3457</v>
      </c>
      <c r="F2530" s="70" t="s">
        <v>5317</v>
      </c>
      <c r="G2530" s="70" t="s">
        <v>5838</v>
      </c>
      <c r="H2530" s="93"/>
      <c r="I2530" s="85">
        <f t="shared" si="97"/>
        <v>2.012837224705172</v>
      </c>
      <c r="J2530" s="85">
        <v>103</v>
      </c>
      <c r="K2530" s="131" t="s">
        <v>3177</v>
      </c>
      <c r="L2530" s="60">
        <v>60</v>
      </c>
      <c r="M2530" s="33"/>
    </row>
    <row r="2531" spans="1:14" ht="14" x14ac:dyDescent="0.15">
      <c r="A2531" s="166" t="s">
        <v>2479</v>
      </c>
      <c r="B2531" s="93" t="s">
        <v>6855</v>
      </c>
      <c r="C2531" s="70" t="s">
        <v>3636</v>
      </c>
      <c r="D2531" s="70" t="s">
        <v>3437</v>
      </c>
      <c r="E2531" s="70" t="s">
        <v>3457</v>
      </c>
      <c r="F2531" s="70" t="s">
        <v>5317</v>
      </c>
      <c r="G2531" s="70" t="s">
        <v>4221</v>
      </c>
      <c r="H2531" s="93"/>
      <c r="I2531" s="85">
        <f t="shared" si="97"/>
        <v>2.167317334748176</v>
      </c>
      <c r="J2531" s="85">
        <v>147</v>
      </c>
      <c r="K2531" s="131" t="s">
        <v>3177</v>
      </c>
      <c r="L2531" s="60">
        <v>60</v>
      </c>
      <c r="M2531" s="33"/>
    </row>
    <row r="2532" spans="1:14" ht="14" x14ac:dyDescent="0.15">
      <c r="A2532" s="166" t="s">
        <v>2479</v>
      </c>
      <c r="B2532" s="82"/>
      <c r="C2532" s="70" t="s">
        <v>3636</v>
      </c>
      <c r="D2532" s="70" t="s">
        <v>3437</v>
      </c>
      <c r="E2532" s="70" t="s">
        <v>3457</v>
      </c>
      <c r="F2532" s="70" t="s">
        <v>3189</v>
      </c>
      <c r="G2532" s="70" t="s">
        <v>3190</v>
      </c>
      <c r="H2532" s="93"/>
      <c r="I2532" s="85">
        <f t="shared" si="97"/>
        <v>3.0606978403536118</v>
      </c>
      <c r="J2532" s="85">
        <f>AVERAGE(600, 1700)</f>
        <v>1150</v>
      </c>
      <c r="K2532" s="131" t="s">
        <v>2934</v>
      </c>
      <c r="L2532" s="60">
        <v>111</v>
      </c>
      <c r="M2532" s="33"/>
    </row>
    <row r="2533" spans="1:14" ht="28" x14ac:dyDescent="0.15">
      <c r="A2533" s="166" t="s">
        <v>2479</v>
      </c>
      <c r="B2533" s="82" t="s">
        <v>7430</v>
      </c>
      <c r="C2533" s="70" t="s">
        <v>3636</v>
      </c>
      <c r="D2533" s="70" t="s">
        <v>3437</v>
      </c>
      <c r="E2533" s="73" t="s">
        <v>3457</v>
      </c>
      <c r="F2533" s="70" t="s">
        <v>5320</v>
      </c>
      <c r="G2533" s="70" t="s">
        <v>3264</v>
      </c>
      <c r="H2533" s="93"/>
      <c r="I2533" s="85">
        <f t="shared" si="97"/>
        <v>1.2730012720637376</v>
      </c>
      <c r="J2533" s="85">
        <v>18.75</v>
      </c>
      <c r="K2533" s="131" t="s">
        <v>7670</v>
      </c>
      <c r="L2533" s="60" t="s">
        <v>7678</v>
      </c>
      <c r="M2533" s="33">
        <f>-6.8244+2.671*LOG(81)</f>
        <v>-1.726836514575127</v>
      </c>
    </row>
    <row r="2534" spans="1:14" ht="14" x14ac:dyDescent="0.15">
      <c r="A2534" s="166" t="s">
        <v>2479</v>
      </c>
      <c r="B2534" s="82"/>
      <c r="C2534" s="70" t="s">
        <v>3636</v>
      </c>
      <c r="D2534" s="70" t="s">
        <v>3437</v>
      </c>
      <c r="E2534" s="70" t="s">
        <v>3457</v>
      </c>
      <c r="F2534" s="70" t="s">
        <v>5320</v>
      </c>
      <c r="G2534" s="70" t="s">
        <v>3184</v>
      </c>
      <c r="H2534" s="93"/>
      <c r="I2534" s="85">
        <f t="shared" si="97"/>
        <v>1.3692158574101427</v>
      </c>
      <c r="J2534" s="85">
        <v>23.4</v>
      </c>
      <c r="K2534" s="131" t="s">
        <v>6485</v>
      </c>
      <c r="L2534" s="60">
        <v>68</v>
      </c>
    </row>
    <row r="2535" spans="1:14" x14ac:dyDescent="0.15">
      <c r="A2535" s="166" t="s">
        <v>2479</v>
      </c>
      <c r="B2535" s="82"/>
      <c r="C2535" s="70" t="s">
        <v>3636</v>
      </c>
      <c r="D2535" s="70" t="s">
        <v>3437</v>
      </c>
      <c r="E2535" s="70" t="s">
        <v>3457</v>
      </c>
      <c r="F2535" s="70" t="s">
        <v>5320</v>
      </c>
      <c r="G2535" s="70" t="s">
        <v>5321</v>
      </c>
      <c r="H2535" s="93"/>
      <c r="I2535" s="85">
        <f t="shared" si="97"/>
        <v>1.5282737771670438</v>
      </c>
      <c r="J2535" s="85">
        <f>AVERAGE(35, 45, 25, 30 )</f>
        <v>33.75</v>
      </c>
      <c r="K2535" s="131"/>
      <c r="L2535" s="60">
        <v>175</v>
      </c>
    </row>
    <row r="2536" spans="1:14" ht="14" x14ac:dyDescent="0.15">
      <c r="A2536" s="166" t="s">
        <v>2479</v>
      </c>
      <c r="B2536" s="82" t="s">
        <v>4840</v>
      </c>
      <c r="C2536" s="70" t="s">
        <v>3636</v>
      </c>
      <c r="D2536" s="70" t="s">
        <v>3437</v>
      </c>
      <c r="E2536" s="70" t="s">
        <v>3457</v>
      </c>
      <c r="F2536" s="70" t="s">
        <v>5632</v>
      </c>
      <c r="G2536" s="70" t="s">
        <v>7064</v>
      </c>
      <c r="H2536" s="93"/>
      <c r="I2536" s="85">
        <f t="shared" si="97"/>
        <v>2.0253058652647704</v>
      </c>
      <c r="J2536" s="85">
        <f>1000*AVERAGE(0.102, 0.104, 0.112)</f>
        <v>106</v>
      </c>
      <c r="K2536" s="131" t="s">
        <v>3177</v>
      </c>
      <c r="L2536" s="60">
        <v>60</v>
      </c>
      <c r="M2536" s="33"/>
    </row>
    <row r="2537" spans="1:14" ht="16" x14ac:dyDescent="0.2">
      <c r="A2537" s="166" t="s">
        <v>2479</v>
      </c>
      <c r="B2537" s="93" t="s">
        <v>2418</v>
      </c>
      <c r="C2537" s="70" t="s">
        <v>3636</v>
      </c>
      <c r="D2537" s="70" t="s">
        <v>3437</v>
      </c>
      <c r="E2537" s="73" t="s">
        <v>3457</v>
      </c>
      <c r="F2537" s="70" t="s">
        <v>5142</v>
      </c>
      <c r="G2537" s="70" t="s">
        <v>4214</v>
      </c>
      <c r="H2537" s="93"/>
      <c r="I2537" s="85">
        <f t="shared" si="97"/>
        <v>1.8750612633917001</v>
      </c>
      <c r="J2537" s="85">
        <v>75</v>
      </c>
      <c r="K2537" s="131" t="s">
        <v>3177</v>
      </c>
      <c r="L2537" s="60" t="s">
        <v>6687</v>
      </c>
      <c r="M2537" s="33"/>
      <c r="N2537" s="48"/>
    </row>
    <row r="2538" spans="1:14" ht="14" x14ac:dyDescent="0.15">
      <c r="A2538" s="166" t="s">
        <v>2479</v>
      </c>
      <c r="B2538" s="93" t="s">
        <v>1902</v>
      </c>
      <c r="C2538" s="70" t="s">
        <v>3636</v>
      </c>
      <c r="D2538" s="70" t="s">
        <v>3437</v>
      </c>
      <c r="E2538" s="73" t="s">
        <v>3457</v>
      </c>
      <c r="F2538" s="70" t="s">
        <v>5500</v>
      </c>
      <c r="G2538" s="70" t="s">
        <v>5501</v>
      </c>
      <c r="H2538" s="93"/>
      <c r="I2538" s="85">
        <v>-999</v>
      </c>
      <c r="J2538" s="85">
        <v>-999</v>
      </c>
      <c r="K2538" s="131" t="s">
        <v>3177</v>
      </c>
      <c r="L2538" s="60">
        <v>-999</v>
      </c>
      <c r="M2538" s="49" t="s">
        <v>6392</v>
      </c>
    </row>
    <row r="2539" spans="1:14" ht="14" x14ac:dyDescent="0.15">
      <c r="A2539" s="166" t="s">
        <v>2479</v>
      </c>
      <c r="B2539" s="93" t="s">
        <v>7241</v>
      </c>
      <c r="C2539" s="70" t="s">
        <v>3636</v>
      </c>
      <c r="D2539" s="70" t="s">
        <v>3437</v>
      </c>
      <c r="E2539" s="70" t="s">
        <v>3457</v>
      </c>
      <c r="F2539" s="70" t="s">
        <v>5723</v>
      </c>
      <c r="G2539" s="70" t="s">
        <v>6449</v>
      </c>
      <c r="H2539" s="93"/>
      <c r="I2539" s="85">
        <f t="shared" ref="I2539:I2558" si="98">LOG(J2539)</f>
        <v>1.8750612633917001</v>
      </c>
      <c r="J2539" s="85">
        <f>AVERAGE(60, 90)</f>
        <v>75</v>
      </c>
      <c r="K2539" s="131" t="s">
        <v>3177</v>
      </c>
      <c r="L2539" s="60">
        <v>138</v>
      </c>
      <c r="M2539" s="33"/>
    </row>
    <row r="2540" spans="1:14" ht="14" x14ac:dyDescent="0.15">
      <c r="A2540" s="166" t="s">
        <v>2479</v>
      </c>
      <c r="B2540" s="82"/>
      <c r="C2540" s="70" t="s">
        <v>3636</v>
      </c>
      <c r="D2540" s="70" t="s">
        <v>3437</v>
      </c>
      <c r="E2540" s="70" t="s">
        <v>3457</v>
      </c>
      <c r="F2540" s="70" t="s">
        <v>6157</v>
      </c>
      <c r="G2540" s="70" t="s">
        <v>6158</v>
      </c>
      <c r="H2540" s="93"/>
      <c r="I2540" s="85">
        <f t="shared" si="98"/>
        <v>2.174859011514084</v>
      </c>
      <c r="J2540" s="85">
        <f>AVERAGE(212, 141.8, 130, 114.5)</f>
        <v>149.57499999999999</v>
      </c>
      <c r="K2540" s="131" t="s">
        <v>3177</v>
      </c>
      <c r="L2540" s="60" t="s">
        <v>6838</v>
      </c>
    </row>
    <row r="2541" spans="1:14" ht="14" x14ac:dyDescent="0.15">
      <c r="A2541" s="166" t="s">
        <v>2479</v>
      </c>
      <c r="B2541" s="82"/>
      <c r="C2541" s="70" t="s">
        <v>3636</v>
      </c>
      <c r="D2541" s="70" t="s">
        <v>3437</v>
      </c>
      <c r="E2541" s="70" t="s">
        <v>3457</v>
      </c>
      <c r="F2541" s="70" t="s">
        <v>7374</v>
      </c>
      <c r="G2541" s="70" t="s">
        <v>7257</v>
      </c>
      <c r="H2541" s="93"/>
      <c r="I2541" s="85">
        <f t="shared" si="98"/>
        <v>1.6020599913279623</v>
      </c>
      <c r="J2541" s="85">
        <v>40</v>
      </c>
      <c r="K2541" s="131" t="s">
        <v>3177</v>
      </c>
      <c r="L2541" s="60">
        <v>119</v>
      </c>
      <c r="M2541" s="33"/>
    </row>
    <row r="2542" spans="1:14" ht="28" x14ac:dyDescent="0.15">
      <c r="A2542" s="166" t="s">
        <v>2479</v>
      </c>
      <c r="B2542" s="93" t="s">
        <v>4763</v>
      </c>
      <c r="C2542" s="70" t="s">
        <v>3636</v>
      </c>
      <c r="D2542" s="70" t="s">
        <v>3437</v>
      </c>
      <c r="E2542" s="70" t="s">
        <v>3457</v>
      </c>
      <c r="F2542" s="70" t="s">
        <v>7374</v>
      </c>
      <c r="G2542" s="70" t="s">
        <v>5052</v>
      </c>
      <c r="H2542" s="93"/>
      <c r="I2542" s="85">
        <f t="shared" si="98"/>
        <v>1.8864907251724818</v>
      </c>
      <c r="J2542" s="85">
        <f>1000*0.077</f>
        <v>77</v>
      </c>
      <c r="K2542" s="131" t="s">
        <v>3177</v>
      </c>
      <c r="L2542" s="60">
        <v>60</v>
      </c>
      <c r="M2542" s="33"/>
    </row>
    <row r="2543" spans="1:14" ht="14" x14ac:dyDescent="0.15">
      <c r="A2543" s="166" t="s">
        <v>2479</v>
      </c>
      <c r="B2543" s="93" t="s">
        <v>6878</v>
      </c>
      <c r="C2543" s="70" t="s">
        <v>3636</v>
      </c>
      <c r="D2543" s="70" t="s">
        <v>3437</v>
      </c>
      <c r="E2543" s="70" t="s">
        <v>3457</v>
      </c>
      <c r="F2543" s="70" t="s">
        <v>7374</v>
      </c>
      <c r="G2543" s="70" t="s">
        <v>4987</v>
      </c>
      <c r="H2543" s="93"/>
      <c r="I2543" s="85">
        <f t="shared" si="98"/>
        <v>1.9395192526186185</v>
      </c>
      <c r="J2543" s="85">
        <f>AVERAGE(92, 82)</f>
        <v>87</v>
      </c>
      <c r="K2543" s="131" t="s">
        <v>3177</v>
      </c>
      <c r="L2543" s="60">
        <v>123</v>
      </c>
      <c r="M2543" s="33"/>
    </row>
    <row r="2544" spans="1:14" ht="16" x14ac:dyDescent="0.2">
      <c r="A2544" s="166" t="s">
        <v>2479</v>
      </c>
      <c r="B2544" s="93" t="s">
        <v>4773</v>
      </c>
      <c r="C2544" s="70" t="s">
        <v>3636</v>
      </c>
      <c r="D2544" s="70" t="s">
        <v>3437</v>
      </c>
      <c r="E2544" s="70" t="s">
        <v>3457</v>
      </c>
      <c r="F2544" s="70" t="s">
        <v>7374</v>
      </c>
      <c r="G2544" s="70" t="s">
        <v>4501</v>
      </c>
      <c r="H2544" s="93"/>
      <c r="I2544" s="85">
        <f t="shared" si="98"/>
        <v>1.968482948553935</v>
      </c>
      <c r="J2544" s="85">
        <f>1000*0.093</f>
        <v>93</v>
      </c>
      <c r="K2544" s="131" t="s">
        <v>3177</v>
      </c>
      <c r="L2544" s="60">
        <v>60</v>
      </c>
      <c r="M2544" s="33"/>
      <c r="N2544" s="48"/>
    </row>
    <row r="2545" spans="1:14" ht="14" x14ac:dyDescent="0.15">
      <c r="A2545" s="166" t="s">
        <v>2479</v>
      </c>
      <c r="B2545" s="93" t="s">
        <v>2418</v>
      </c>
      <c r="C2545" s="70" t="s">
        <v>3636</v>
      </c>
      <c r="D2545" s="70" t="s">
        <v>3437</v>
      </c>
      <c r="E2545" s="70" t="s">
        <v>3457</v>
      </c>
      <c r="F2545" s="70" t="s">
        <v>7374</v>
      </c>
      <c r="G2545" s="70" t="s">
        <v>4997</v>
      </c>
      <c r="H2545" s="93"/>
      <c r="I2545" s="85">
        <f t="shared" si="98"/>
        <v>2.0791812460476247</v>
      </c>
      <c r="J2545" s="85">
        <f>1000*0.12</f>
        <v>120</v>
      </c>
      <c r="K2545" s="131" t="s">
        <v>6630</v>
      </c>
      <c r="L2545" s="67">
        <v>60</v>
      </c>
      <c r="M2545" s="33" t="s">
        <v>6728</v>
      </c>
    </row>
    <row r="2546" spans="1:14" ht="14" x14ac:dyDescent="0.15">
      <c r="A2546" s="166" t="s">
        <v>2479</v>
      </c>
      <c r="B2546" s="82"/>
      <c r="C2546" s="70" t="s">
        <v>3636</v>
      </c>
      <c r="D2546" s="70" t="s">
        <v>3437</v>
      </c>
      <c r="E2546" s="73" t="s">
        <v>3457</v>
      </c>
      <c r="F2546" s="70" t="s">
        <v>7374</v>
      </c>
      <c r="G2546" s="70" t="s">
        <v>5323</v>
      </c>
      <c r="H2546" s="93"/>
      <c r="I2546" s="85">
        <f t="shared" si="98"/>
        <v>2.1055101847699738</v>
      </c>
      <c r="J2546" s="85">
        <v>127.5</v>
      </c>
      <c r="K2546" s="131" t="s">
        <v>6485</v>
      </c>
      <c r="L2546" s="60">
        <v>68</v>
      </c>
    </row>
    <row r="2547" spans="1:14" ht="42" x14ac:dyDescent="0.15">
      <c r="A2547" s="166" t="s">
        <v>2479</v>
      </c>
      <c r="B2547" s="93" t="s">
        <v>5216</v>
      </c>
      <c r="C2547" s="73" t="s">
        <v>3636</v>
      </c>
      <c r="D2547" s="73" t="s">
        <v>3437</v>
      </c>
      <c r="E2547" s="70" t="s">
        <v>3457</v>
      </c>
      <c r="F2547" s="73" t="s">
        <v>7374</v>
      </c>
      <c r="G2547" s="73" t="s">
        <v>4999</v>
      </c>
      <c r="H2547" s="93"/>
      <c r="I2547" s="85">
        <f t="shared" si="98"/>
        <v>2.1105897102992488</v>
      </c>
      <c r="J2547" s="85">
        <v>129</v>
      </c>
      <c r="K2547" s="131" t="s">
        <v>3177</v>
      </c>
      <c r="L2547" s="60" t="s">
        <v>7697</v>
      </c>
      <c r="M2547" s="33" t="s">
        <v>6728</v>
      </c>
    </row>
    <row r="2548" spans="1:14" ht="28" x14ac:dyDescent="0.15">
      <c r="A2548" s="166" t="s">
        <v>2479</v>
      </c>
      <c r="B2548" s="93" t="s">
        <v>7038</v>
      </c>
      <c r="C2548" s="70" t="s">
        <v>3636</v>
      </c>
      <c r="D2548" s="70" t="s">
        <v>3437</v>
      </c>
      <c r="E2548" s="70" t="s">
        <v>3457</v>
      </c>
      <c r="F2548" s="70" t="s">
        <v>7374</v>
      </c>
      <c r="G2548" s="70" t="s">
        <v>7453</v>
      </c>
      <c r="H2548" s="93"/>
      <c r="I2548" s="85">
        <f t="shared" si="98"/>
        <v>2.1222158782728267</v>
      </c>
      <c r="J2548" s="85">
        <f>AVERAGE(85, 180)</f>
        <v>132.5</v>
      </c>
      <c r="K2548" s="131" t="s">
        <v>3177</v>
      </c>
      <c r="L2548" s="60">
        <v>118</v>
      </c>
      <c r="M2548" s="33"/>
    </row>
    <row r="2549" spans="1:14" ht="42" x14ac:dyDescent="0.15">
      <c r="A2549" s="166" t="s">
        <v>2479</v>
      </c>
      <c r="B2549" s="93" t="s">
        <v>4765</v>
      </c>
      <c r="C2549" s="70" t="s">
        <v>3636</v>
      </c>
      <c r="D2549" s="70" t="s">
        <v>3437</v>
      </c>
      <c r="E2549" s="70" t="s">
        <v>3457</v>
      </c>
      <c r="F2549" s="70" t="s">
        <v>7374</v>
      </c>
      <c r="G2549" s="70" t="s">
        <v>3845</v>
      </c>
      <c r="H2549" s="93"/>
      <c r="I2549" s="85">
        <f t="shared" si="98"/>
        <v>2.1254812657005941</v>
      </c>
      <c r="J2549" s="85">
        <f>1000*AVERAGE(0.145, 0.122)</f>
        <v>133.5</v>
      </c>
      <c r="K2549" s="131" t="s">
        <v>3177</v>
      </c>
      <c r="L2549" s="60">
        <v>60</v>
      </c>
      <c r="M2549" s="33"/>
    </row>
    <row r="2550" spans="1:14" ht="42" x14ac:dyDescent="0.15">
      <c r="A2550" s="166" t="s">
        <v>2479</v>
      </c>
      <c r="B2550" s="93" t="s">
        <v>6872</v>
      </c>
      <c r="C2550" s="70" t="s">
        <v>3636</v>
      </c>
      <c r="D2550" s="70" t="s">
        <v>3437</v>
      </c>
      <c r="E2550" s="70" t="s">
        <v>3457</v>
      </c>
      <c r="F2550" s="70" t="s">
        <v>7374</v>
      </c>
      <c r="G2550" s="70" t="s">
        <v>4535</v>
      </c>
      <c r="H2550" s="93"/>
      <c r="I2550" s="85">
        <f t="shared" si="98"/>
        <v>2.1335389083702174</v>
      </c>
      <c r="J2550" s="85">
        <f>1000*0.136</f>
        <v>136</v>
      </c>
      <c r="K2550" s="131" t="s">
        <v>3177</v>
      </c>
      <c r="L2550" s="60">
        <v>60</v>
      </c>
      <c r="M2550" s="33"/>
    </row>
    <row r="2551" spans="1:14" ht="14" x14ac:dyDescent="0.15">
      <c r="A2551" s="166" t="s">
        <v>2479</v>
      </c>
      <c r="B2551" s="82"/>
      <c r="C2551" s="70" t="s">
        <v>3636</v>
      </c>
      <c r="D2551" s="70" t="s">
        <v>3437</v>
      </c>
      <c r="E2551" s="70" t="s">
        <v>3457</v>
      </c>
      <c r="F2551" s="70" t="s">
        <v>7374</v>
      </c>
      <c r="G2551" s="70" t="s">
        <v>3842</v>
      </c>
      <c r="H2551" s="93"/>
      <c r="I2551" s="85">
        <f t="shared" si="98"/>
        <v>2.2510295385239032</v>
      </c>
      <c r="J2551" s="85">
        <f>AVERAGE(145, 215, 130, 223)</f>
        <v>178.25</v>
      </c>
      <c r="K2551" s="131" t="s">
        <v>1523</v>
      </c>
      <c r="L2551" s="60" t="s">
        <v>5709</v>
      </c>
      <c r="M2551" s="33"/>
      <c r="N2551" s="37" t="s">
        <v>7332</v>
      </c>
    </row>
    <row r="2552" spans="1:14" ht="16" x14ac:dyDescent="0.2">
      <c r="A2552" s="166" t="s">
        <v>2479</v>
      </c>
      <c r="B2552" s="93" t="s">
        <v>7234</v>
      </c>
      <c r="C2552" s="70" t="s">
        <v>3636</v>
      </c>
      <c r="D2552" s="70" t="s">
        <v>3437</v>
      </c>
      <c r="E2552" s="70" t="s">
        <v>3457</v>
      </c>
      <c r="F2552" s="70" t="s">
        <v>7374</v>
      </c>
      <c r="G2552" s="70" t="s">
        <v>4969</v>
      </c>
      <c r="H2552" s="93"/>
      <c r="I2552" s="85">
        <f t="shared" si="98"/>
        <v>2.2955670999624789</v>
      </c>
      <c r="J2552" s="85">
        <f>AVERAGE(145, 250)</f>
        <v>197.5</v>
      </c>
      <c r="K2552" s="131" t="s">
        <v>3177</v>
      </c>
      <c r="L2552" s="60">
        <v>142</v>
      </c>
      <c r="M2552" s="47"/>
    </row>
    <row r="2553" spans="1:14" ht="14" x14ac:dyDescent="0.15">
      <c r="A2553" s="166" t="s">
        <v>2479</v>
      </c>
      <c r="B2553" s="82"/>
      <c r="C2553" s="70" t="s">
        <v>3636</v>
      </c>
      <c r="D2553" s="70" t="s">
        <v>3437</v>
      </c>
      <c r="E2553" s="70" t="s">
        <v>3457</v>
      </c>
      <c r="F2553" s="70" t="s">
        <v>7374</v>
      </c>
      <c r="G2553" s="70" t="s">
        <v>3834</v>
      </c>
      <c r="H2553" s="93"/>
      <c r="I2553" s="85">
        <f t="shared" si="98"/>
        <v>2.5522422283567021</v>
      </c>
      <c r="J2553" s="85">
        <f>AVERAGE(275, 520, 176.6, 455)</f>
        <v>356.65</v>
      </c>
      <c r="K2553" s="131" t="s">
        <v>4237</v>
      </c>
      <c r="L2553" s="60" t="s">
        <v>5709</v>
      </c>
      <c r="M2553" s="33"/>
      <c r="N2553" s="37" t="s">
        <v>7331</v>
      </c>
    </row>
    <row r="2554" spans="1:14" ht="42" x14ac:dyDescent="0.15">
      <c r="A2554" s="166" t="s">
        <v>2479</v>
      </c>
      <c r="B2554" s="93" t="s">
        <v>7488</v>
      </c>
      <c r="C2554" s="70" t="s">
        <v>3636</v>
      </c>
      <c r="D2554" s="70" t="s">
        <v>3437</v>
      </c>
      <c r="E2554" s="70" t="s">
        <v>3457</v>
      </c>
      <c r="F2554" s="70" t="s">
        <v>5034</v>
      </c>
      <c r="G2554" s="70" t="s">
        <v>5945</v>
      </c>
      <c r="H2554" s="93"/>
      <c r="I2554" s="85">
        <f t="shared" si="98"/>
        <v>2.3979400086720375</v>
      </c>
      <c r="J2554" s="85">
        <v>250</v>
      </c>
      <c r="K2554" s="131" t="s">
        <v>3177</v>
      </c>
      <c r="L2554" s="60">
        <v>119</v>
      </c>
      <c r="M2554" s="33"/>
    </row>
    <row r="2555" spans="1:14" ht="14" x14ac:dyDescent="0.15">
      <c r="A2555" s="166" t="s">
        <v>2479</v>
      </c>
      <c r="B2555" s="93" t="s">
        <v>7487</v>
      </c>
      <c r="C2555" s="70" t="s">
        <v>3636</v>
      </c>
      <c r="D2555" s="70" t="s">
        <v>3437</v>
      </c>
      <c r="E2555" s="70" t="s">
        <v>3457</v>
      </c>
      <c r="F2555" s="70" t="s">
        <v>5034</v>
      </c>
      <c r="G2555" s="70" t="s">
        <v>4784</v>
      </c>
      <c r="H2555" s="93"/>
      <c r="I2555" s="85">
        <f t="shared" si="98"/>
        <v>2.9370161074648142</v>
      </c>
      <c r="J2555" s="85">
        <f>1000*0.865</f>
        <v>865</v>
      </c>
      <c r="K2555" s="134" t="s">
        <v>3177</v>
      </c>
      <c r="L2555" s="67">
        <v>60</v>
      </c>
      <c r="M2555" s="33"/>
    </row>
    <row r="2556" spans="1:14" ht="42" x14ac:dyDescent="0.2">
      <c r="A2556" s="166" t="s">
        <v>2479</v>
      </c>
      <c r="B2556" s="93" t="s">
        <v>7397</v>
      </c>
      <c r="C2556" s="70" t="s">
        <v>3636</v>
      </c>
      <c r="D2556" s="70" t="s">
        <v>3437</v>
      </c>
      <c r="E2556" s="70" t="s">
        <v>3457</v>
      </c>
      <c r="F2556" s="70" t="s">
        <v>5034</v>
      </c>
      <c r="G2556" s="70" t="s">
        <v>5035</v>
      </c>
      <c r="H2556" s="93"/>
      <c r="I2556" s="85">
        <f t="shared" si="98"/>
        <v>3.3891660843645326</v>
      </c>
      <c r="J2556" s="85">
        <f>AVERAGE(2150, 2750)</f>
        <v>2450</v>
      </c>
      <c r="K2556" s="131" t="s">
        <v>3177</v>
      </c>
      <c r="L2556" s="60">
        <v>120</v>
      </c>
      <c r="M2556" s="33"/>
      <c r="N2556" s="48"/>
    </row>
    <row r="2557" spans="1:14" ht="42" x14ac:dyDescent="0.15">
      <c r="A2557" s="166" t="s">
        <v>2479</v>
      </c>
      <c r="B2557" s="93" t="s">
        <v>5030</v>
      </c>
      <c r="C2557" s="70" t="s">
        <v>3636</v>
      </c>
      <c r="D2557" s="70" t="s">
        <v>3437</v>
      </c>
      <c r="E2557" s="70" t="s">
        <v>3457</v>
      </c>
      <c r="F2557" s="70" t="s">
        <v>3487</v>
      </c>
      <c r="G2557" s="70" t="s">
        <v>4200</v>
      </c>
      <c r="H2557" s="93"/>
      <c r="I2557" s="85">
        <f t="shared" si="98"/>
        <v>2.1583624920952498</v>
      </c>
      <c r="J2557" s="85">
        <f>1000*AVERAGE(0.143, 0.145)</f>
        <v>144</v>
      </c>
      <c r="K2557" s="131">
        <f>AVERAGE(0.11, 0.18)</f>
        <v>0.14499999999999999</v>
      </c>
      <c r="L2557" s="60">
        <v>60</v>
      </c>
      <c r="M2557" s="33"/>
    </row>
    <row r="2558" spans="1:14" ht="14" x14ac:dyDescent="0.15">
      <c r="A2558" s="166" t="s">
        <v>2479</v>
      </c>
      <c r="B2558" s="82"/>
      <c r="C2558" s="70" t="s">
        <v>3636</v>
      </c>
      <c r="D2558" s="70" t="s">
        <v>3437</v>
      </c>
      <c r="E2558" s="70" t="s">
        <v>3457</v>
      </c>
      <c r="F2558" s="70" t="s">
        <v>3132</v>
      </c>
      <c r="G2558" s="70" t="s">
        <v>3133</v>
      </c>
      <c r="H2558" s="93"/>
      <c r="I2558" s="85">
        <f t="shared" si="98"/>
        <v>1.7423300000000002</v>
      </c>
      <c r="J2558" s="85">
        <v>55.249709644247517</v>
      </c>
      <c r="K2558" s="131" t="s">
        <v>3177</v>
      </c>
      <c r="L2558" s="60">
        <v>64</v>
      </c>
      <c r="N2558" s="37" t="s">
        <v>7353</v>
      </c>
    </row>
    <row r="2559" spans="1:14" ht="14" x14ac:dyDescent="0.15">
      <c r="A2559" s="166" t="s">
        <v>2479</v>
      </c>
      <c r="B2559" s="82" t="s">
        <v>2186</v>
      </c>
      <c r="C2559" s="70" t="s">
        <v>3636</v>
      </c>
      <c r="D2559" s="70" t="s">
        <v>3437</v>
      </c>
      <c r="E2559" s="70" t="s">
        <v>3457</v>
      </c>
      <c r="F2559" s="70" t="s">
        <v>6942</v>
      </c>
      <c r="G2559" s="70" t="s">
        <v>4074</v>
      </c>
      <c r="H2559" s="93"/>
      <c r="I2559" s="85">
        <v>-999</v>
      </c>
      <c r="J2559" s="85">
        <v>-999</v>
      </c>
      <c r="K2559" s="131" t="s">
        <v>3177</v>
      </c>
      <c r="L2559" s="60">
        <v>-999</v>
      </c>
      <c r="M2559" s="33" t="s">
        <v>6728</v>
      </c>
    </row>
    <row r="2560" spans="1:14" ht="14" x14ac:dyDescent="0.15">
      <c r="A2560" s="166" t="s">
        <v>2479</v>
      </c>
      <c r="B2560" s="82" t="s">
        <v>7043</v>
      </c>
      <c r="C2560" s="70" t="s">
        <v>3636</v>
      </c>
      <c r="D2560" s="70" t="s">
        <v>3437</v>
      </c>
      <c r="E2560" s="70" t="s">
        <v>3457</v>
      </c>
      <c r="F2560" s="70" t="s">
        <v>6942</v>
      </c>
      <c r="G2560" s="70" t="s">
        <v>6188</v>
      </c>
      <c r="H2560" s="93"/>
      <c r="I2560" s="85">
        <v>-999</v>
      </c>
      <c r="J2560" s="85">
        <v>-999</v>
      </c>
      <c r="K2560" s="131" t="s">
        <v>3177</v>
      </c>
      <c r="L2560" s="60">
        <v>-999</v>
      </c>
      <c r="M2560" s="33" t="s">
        <v>6728</v>
      </c>
    </row>
    <row r="2561" spans="1:14" ht="28" x14ac:dyDescent="0.15">
      <c r="A2561" s="166" t="s">
        <v>2479</v>
      </c>
      <c r="B2561" s="93" t="s">
        <v>7248</v>
      </c>
      <c r="C2561" s="70" t="s">
        <v>3636</v>
      </c>
      <c r="D2561" s="70" t="s">
        <v>3437</v>
      </c>
      <c r="E2561" s="70" t="s">
        <v>3457</v>
      </c>
      <c r="F2561" s="70" t="s">
        <v>6942</v>
      </c>
      <c r="G2561" s="70" t="s">
        <v>6191</v>
      </c>
      <c r="H2561" s="93"/>
      <c r="I2561" s="85">
        <v>-999</v>
      </c>
      <c r="J2561" s="85">
        <v>-999</v>
      </c>
      <c r="K2561" s="131" t="s">
        <v>3177</v>
      </c>
      <c r="L2561" s="60">
        <v>-999</v>
      </c>
      <c r="M2561" s="33"/>
    </row>
    <row r="2562" spans="1:14" ht="14" x14ac:dyDescent="0.15">
      <c r="A2562" s="166" t="s">
        <v>2479</v>
      </c>
      <c r="B2562" s="93" t="s">
        <v>7249</v>
      </c>
      <c r="C2562" s="70" t="s">
        <v>3636</v>
      </c>
      <c r="D2562" s="70" t="s">
        <v>3437</v>
      </c>
      <c r="E2562" s="70" t="s">
        <v>3457</v>
      </c>
      <c r="F2562" s="70" t="s">
        <v>6942</v>
      </c>
      <c r="G2562" s="70" t="s">
        <v>6190</v>
      </c>
      <c r="H2562" s="93"/>
      <c r="I2562" s="85">
        <f>LOG(J2562)</f>
        <v>2.6720978579357175</v>
      </c>
      <c r="J2562" s="85">
        <f>AVERAGE(370, 570)</f>
        <v>470</v>
      </c>
      <c r="K2562" s="131" t="s">
        <v>1190</v>
      </c>
      <c r="L2562" s="60" t="s">
        <v>6610</v>
      </c>
      <c r="M2562" s="33" t="s">
        <v>6728</v>
      </c>
    </row>
    <row r="2563" spans="1:14" ht="14" x14ac:dyDescent="0.15">
      <c r="A2563" s="166" t="s">
        <v>2479</v>
      </c>
      <c r="B2563" s="82" t="s">
        <v>7042</v>
      </c>
      <c r="C2563" s="70" t="s">
        <v>3636</v>
      </c>
      <c r="D2563" s="70" t="s">
        <v>3437</v>
      </c>
      <c r="E2563" s="70" t="s">
        <v>3457</v>
      </c>
      <c r="F2563" s="70" t="s">
        <v>6942</v>
      </c>
      <c r="G2563" s="70" t="s">
        <v>5336</v>
      </c>
      <c r="H2563" s="93"/>
      <c r="I2563" s="85">
        <f>LOG(J2563)</f>
        <v>2.716003343634799</v>
      </c>
      <c r="J2563" s="85">
        <f>1000*AVERAGE(0.38, 0.66)</f>
        <v>520</v>
      </c>
      <c r="K2563" s="131" t="s">
        <v>3177</v>
      </c>
      <c r="L2563" s="60">
        <v>60</v>
      </c>
      <c r="M2563" s="33" t="s">
        <v>6728</v>
      </c>
    </row>
    <row r="2564" spans="1:14" ht="14" x14ac:dyDescent="0.15">
      <c r="A2564" s="166" t="s">
        <v>2479</v>
      </c>
      <c r="B2564" s="82"/>
      <c r="C2564" s="70" t="s">
        <v>3636</v>
      </c>
      <c r="D2564" s="70" t="s">
        <v>3437</v>
      </c>
      <c r="E2564" s="70" t="s">
        <v>3457</v>
      </c>
      <c r="F2564" s="70" t="s">
        <v>5693</v>
      </c>
      <c r="G2564" s="70" t="s">
        <v>5396</v>
      </c>
      <c r="H2564" s="93"/>
      <c r="I2564" s="85">
        <f>LOG(J2564)</f>
        <v>2.5237464668115646</v>
      </c>
      <c r="J2564" s="85">
        <v>334</v>
      </c>
      <c r="K2564" s="131" t="s">
        <v>6485</v>
      </c>
      <c r="L2564" s="60">
        <v>68</v>
      </c>
    </row>
    <row r="2565" spans="1:14" ht="14" x14ac:dyDescent="0.15">
      <c r="A2565" s="166" t="s">
        <v>2479</v>
      </c>
      <c r="B2565" s="82"/>
      <c r="C2565" s="70" t="s">
        <v>3636</v>
      </c>
      <c r="D2565" s="70" t="s">
        <v>3437</v>
      </c>
      <c r="E2565" s="70" t="s">
        <v>3457</v>
      </c>
      <c r="F2565" s="70" t="s">
        <v>3309</v>
      </c>
      <c r="G2565" s="70" t="s">
        <v>3926</v>
      </c>
      <c r="H2565" s="93"/>
      <c r="I2565" s="85">
        <f>LOG(J2565)</f>
        <v>2.2174839442139063</v>
      </c>
      <c r="J2565" s="85">
        <v>165</v>
      </c>
      <c r="K2565" s="131" t="s">
        <v>6485</v>
      </c>
      <c r="L2565" s="60">
        <v>68</v>
      </c>
      <c r="N2565" s="37" t="s">
        <v>7346</v>
      </c>
    </row>
    <row r="2566" spans="1:14" ht="42" x14ac:dyDescent="0.2">
      <c r="A2566" s="166" t="s">
        <v>2479</v>
      </c>
      <c r="B2566" s="93" t="s">
        <v>7045</v>
      </c>
      <c r="C2566" s="70" t="s">
        <v>3636</v>
      </c>
      <c r="D2566" s="70" t="s">
        <v>3437</v>
      </c>
      <c r="E2566" s="70" t="s">
        <v>3457</v>
      </c>
      <c r="F2566" s="70" t="s">
        <v>3268</v>
      </c>
      <c r="G2566" s="70" t="s">
        <v>4135</v>
      </c>
      <c r="H2566" s="93"/>
      <c r="I2566" s="85">
        <f>LOG(J2566)</f>
        <v>2.5800006895890402</v>
      </c>
      <c r="J2566" s="85">
        <v>380.19</v>
      </c>
      <c r="K2566" s="131" t="s">
        <v>274</v>
      </c>
      <c r="L2566" s="60">
        <v>60</v>
      </c>
      <c r="M2566" s="47"/>
      <c r="N2566" s="37" t="s">
        <v>277</v>
      </c>
    </row>
    <row r="2567" spans="1:14" ht="14" x14ac:dyDescent="0.15">
      <c r="A2567" s="166" t="s">
        <v>2479</v>
      </c>
      <c r="B2567" s="93" t="s">
        <v>4773</v>
      </c>
      <c r="C2567" s="70" t="s">
        <v>3636</v>
      </c>
      <c r="D2567" s="70" t="s">
        <v>3437</v>
      </c>
      <c r="E2567" s="70" t="s">
        <v>3457</v>
      </c>
      <c r="F2567" s="70" t="s">
        <v>7801</v>
      </c>
      <c r="G2567" s="70" t="s">
        <v>7802</v>
      </c>
      <c r="H2567" s="93"/>
      <c r="I2567" s="85">
        <v>-999</v>
      </c>
      <c r="J2567" s="85">
        <v>-999</v>
      </c>
      <c r="K2567" s="131" t="s">
        <v>3177</v>
      </c>
      <c r="L2567" s="60">
        <v>-999</v>
      </c>
      <c r="M2567" s="33" t="s">
        <v>6809</v>
      </c>
    </row>
    <row r="2568" spans="1:14" ht="14" x14ac:dyDescent="0.15">
      <c r="A2568" s="166" t="s">
        <v>2479</v>
      </c>
      <c r="B2568" s="93" t="s">
        <v>1902</v>
      </c>
      <c r="C2568" s="70" t="s">
        <v>3636</v>
      </c>
      <c r="D2568" s="70" t="s">
        <v>3437</v>
      </c>
      <c r="E2568" s="70" t="s">
        <v>3457</v>
      </c>
      <c r="F2568" s="70" t="s">
        <v>7801</v>
      </c>
      <c r="G2568" s="70" t="s">
        <v>4303</v>
      </c>
      <c r="H2568" s="93"/>
      <c r="I2568" s="85">
        <f>LOG(J2568)</f>
        <v>1.4941545940184429</v>
      </c>
      <c r="J2568" s="85">
        <v>31.2</v>
      </c>
      <c r="K2568" s="131" t="s">
        <v>7874</v>
      </c>
      <c r="L2568" s="60" t="s">
        <v>6687</v>
      </c>
      <c r="M2568" s="33">
        <f>-6.8244 + 2.671*LOG(98)</f>
        <v>-1.5058351518253463</v>
      </c>
    </row>
    <row r="2569" spans="1:14" ht="28" x14ac:dyDescent="0.15">
      <c r="A2569" s="166" t="s">
        <v>2479</v>
      </c>
      <c r="B2569" s="93" t="s">
        <v>6762</v>
      </c>
      <c r="C2569" s="70" t="s">
        <v>3636</v>
      </c>
      <c r="D2569" s="70" t="s">
        <v>3437</v>
      </c>
      <c r="E2569" s="70" t="s">
        <v>3457</v>
      </c>
      <c r="F2569" s="70" t="s">
        <v>5042</v>
      </c>
      <c r="G2569" s="70" t="s">
        <v>5119</v>
      </c>
      <c r="H2569" s="93"/>
      <c r="I2569" s="85">
        <f>LOG(J2569)</f>
        <v>1</v>
      </c>
      <c r="J2569" s="85">
        <f>1000*0.01</f>
        <v>10</v>
      </c>
      <c r="K2569" s="131" t="s">
        <v>3177</v>
      </c>
      <c r="L2569" s="60">
        <v>60</v>
      </c>
      <c r="M2569" s="33"/>
    </row>
    <row r="2570" spans="1:14" ht="17" x14ac:dyDescent="0.2">
      <c r="A2570" s="166" t="s">
        <v>2479</v>
      </c>
      <c r="B2570" s="93" t="s">
        <v>7472</v>
      </c>
      <c r="C2570" s="70" t="s">
        <v>3636</v>
      </c>
      <c r="D2570" s="70" t="s">
        <v>3437</v>
      </c>
      <c r="E2570" s="70" t="s">
        <v>3457</v>
      </c>
      <c r="F2570" s="70" t="s">
        <v>5120</v>
      </c>
      <c r="G2570" s="70" t="s">
        <v>5331</v>
      </c>
      <c r="H2570" s="93"/>
      <c r="I2570" s="85">
        <f>LOG(J2570)</f>
        <v>1.3953263930693509</v>
      </c>
      <c r="J2570" s="85">
        <v>24.85</v>
      </c>
      <c r="K2570" s="131" t="s">
        <v>210</v>
      </c>
      <c r="L2570" s="60" t="s">
        <v>6687</v>
      </c>
      <c r="M2570" s="47" t="s">
        <v>6728</v>
      </c>
      <c r="N2570" s="37">
        <f>-6.8244+2.671*LOG(90)</f>
        <v>-1.6046182572875631</v>
      </c>
    </row>
    <row r="2571" spans="1:14" ht="14" x14ac:dyDescent="0.15">
      <c r="A2571" s="166" t="s">
        <v>2479</v>
      </c>
      <c r="B2571" s="93" t="s">
        <v>7472</v>
      </c>
      <c r="C2571" s="70" t="s">
        <v>3636</v>
      </c>
      <c r="D2571" s="70" t="s">
        <v>3437</v>
      </c>
      <c r="E2571" s="70" t="s">
        <v>3457</v>
      </c>
      <c r="F2571" s="70" t="s">
        <v>6450</v>
      </c>
      <c r="G2571" s="70" t="s">
        <v>3862</v>
      </c>
      <c r="H2571" s="93"/>
      <c r="I2571" s="85">
        <v>-999</v>
      </c>
      <c r="J2571" s="85">
        <v>-999</v>
      </c>
      <c r="K2571" s="131" t="s">
        <v>3177</v>
      </c>
      <c r="L2571" s="60">
        <v>-999</v>
      </c>
      <c r="M2571" s="33" t="s">
        <v>6392</v>
      </c>
    </row>
    <row r="2572" spans="1:14" ht="14" x14ac:dyDescent="0.15">
      <c r="A2572" s="166" t="s">
        <v>2479</v>
      </c>
      <c r="B2572" s="93" t="s">
        <v>2152</v>
      </c>
      <c r="C2572" s="70" t="s">
        <v>3636</v>
      </c>
      <c r="D2572" s="70" t="s">
        <v>3437</v>
      </c>
      <c r="E2572" s="70" t="s">
        <v>3457</v>
      </c>
      <c r="F2572" s="70" t="s">
        <v>6450</v>
      </c>
      <c r="G2572" s="70" t="s">
        <v>6445</v>
      </c>
      <c r="H2572" s="93"/>
      <c r="I2572" s="85">
        <v>-999</v>
      </c>
      <c r="J2572" s="85">
        <v>-999</v>
      </c>
      <c r="K2572" s="131" t="s">
        <v>3177</v>
      </c>
      <c r="L2572" s="60">
        <v>-999</v>
      </c>
      <c r="M2572" s="33"/>
    </row>
    <row r="2573" spans="1:14" ht="14" x14ac:dyDescent="0.15">
      <c r="A2573" s="166" t="s">
        <v>2479</v>
      </c>
      <c r="B2573" s="93" t="s">
        <v>1902</v>
      </c>
      <c r="C2573" s="70" t="s">
        <v>3636</v>
      </c>
      <c r="D2573" s="70" t="s">
        <v>3437</v>
      </c>
      <c r="E2573" s="70" t="s">
        <v>3457</v>
      </c>
      <c r="F2573" s="70" t="s">
        <v>6450</v>
      </c>
      <c r="G2573" s="70" t="s">
        <v>6446</v>
      </c>
      <c r="H2573" s="93"/>
      <c r="I2573" s="85">
        <f t="shared" ref="I2573:I2579" si="99">LOG(J2573)</f>
        <v>1.6283889300503116</v>
      </c>
      <c r="J2573" s="85">
        <f>1000*0.0425</f>
        <v>42.5</v>
      </c>
      <c r="K2573" s="131" t="s">
        <v>3177</v>
      </c>
      <c r="L2573" s="60">
        <v>60</v>
      </c>
      <c r="M2573" s="33"/>
    </row>
    <row r="2574" spans="1:14" ht="14" x14ac:dyDescent="0.15">
      <c r="A2574" s="166" t="s">
        <v>2479</v>
      </c>
      <c r="B2574" s="82" t="s">
        <v>4879</v>
      </c>
      <c r="C2574" s="70" t="s">
        <v>3636</v>
      </c>
      <c r="D2574" s="70" t="s">
        <v>3437</v>
      </c>
      <c r="E2574" s="73" t="s">
        <v>7763</v>
      </c>
      <c r="F2574" s="70" t="s">
        <v>5095</v>
      </c>
      <c r="G2574" s="70" t="s">
        <v>7221</v>
      </c>
      <c r="H2574" s="93"/>
      <c r="I2574" s="85">
        <f t="shared" si="99"/>
        <v>1.3010299956639813</v>
      </c>
      <c r="J2574" s="85">
        <v>20</v>
      </c>
      <c r="K2574" s="131" t="s">
        <v>3177</v>
      </c>
      <c r="L2574" s="60">
        <v>191</v>
      </c>
      <c r="M2574" s="33" t="s">
        <v>6392</v>
      </c>
    </row>
    <row r="2575" spans="1:14" ht="16" x14ac:dyDescent="0.2">
      <c r="A2575" s="166" t="s">
        <v>2479</v>
      </c>
      <c r="B2575" s="82" t="s">
        <v>1902</v>
      </c>
      <c r="C2575" s="70" t="s">
        <v>3636</v>
      </c>
      <c r="D2575" s="70" t="s">
        <v>3437</v>
      </c>
      <c r="E2575" s="70" t="s">
        <v>7763</v>
      </c>
      <c r="F2575" s="70" t="s">
        <v>5095</v>
      </c>
      <c r="G2575" s="70" t="s">
        <v>5127</v>
      </c>
      <c r="H2575" s="93"/>
      <c r="I2575" s="85">
        <f t="shared" si="99"/>
        <v>1.4807253789884878</v>
      </c>
      <c r="J2575" s="85">
        <f>AVERAGE(24.5, 36)</f>
        <v>30.25</v>
      </c>
      <c r="K2575" s="131" t="s">
        <v>1743</v>
      </c>
      <c r="L2575" s="60" t="s">
        <v>1266</v>
      </c>
      <c r="M2575" s="33" t="s">
        <v>6390</v>
      </c>
      <c r="N2575" s="48"/>
    </row>
    <row r="2576" spans="1:14" ht="28" x14ac:dyDescent="0.15">
      <c r="A2576" s="166" t="s">
        <v>2479</v>
      </c>
      <c r="B2576" s="82" t="s">
        <v>2192</v>
      </c>
      <c r="C2576" s="70" t="s">
        <v>3636</v>
      </c>
      <c r="D2576" s="70" t="s">
        <v>3437</v>
      </c>
      <c r="E2576" s="70" t="s">
        <v>7763</v>
      </c>
      <c r="F2576" s="70" t="s">
        <v>5095</v>
      </c>
      <c r="G2576" s="70" t="s">
        <v>5126</v>
      </c>
      <c r="H2576" s="93"/>
      <c r="I2576" s="85">
        <f t="shared" si="99"/>
        <v>1.5263392773898441</v>
      </c>
      <c r="J2576" s="85">
        <f>AVERAGE(21.5, 30.5, 33, 38, 45)</f>
        <v>33.6</v>
      </c>
      <c r="K2576" s="134" t="s">
        <v>6531</v>
      </c>
      <c r="L2576" s="60" t="s">
        <v>6609</v>
      </c>
      <c r="M2576" s="49" t="s">
        <v>6392</v>
      </c>
    </row>
    <row r="2577" spans="1:16" ht="14" x14ac:dyDescent="0.15">
      <c r="A2577" s="166" t="s">
        <v>2479</v>
      </c>
      <c r="B2577" s="93" t="s">
        <v>2274</v>
      </c>
      <c r="C2577" s="70" t="s">
        <v>3636</v>
      </c>
      <c r="D2577" s="70" t="s">
        <v>3437</v>
      </c>
      <c r="E2577" s="70" t="s">
        <v>7763</v>
      </c>
      <c r="F2577" s="70" t="s">
        <v>5694</v>
      </c>
      <c r="G2577" s="70" t="s">
        <v>3426</v>
      </c>
      <c r="H2577" s="93"/>
      <c r="I2577" s="85">
        <f t="shared" si="99"/>
        <v>1.8744818176994664</v>
      </c>
      <c r="J2577" s="85">
        <f>1000*0.0749</f>
        <v>74.899999999999991</v>
      </c>
      <c r="K2577" s="131" t="s">
        <v>3177</v>
      </c>
      <c r="L2577" s="70">
        <v>60</v>
      </c>
      <c r="M2577" s="33" t="s">
        <v>6392</v>
      </c>
      <c r="O2577" s="33"/>
    </row>
    <row r="2578" spans="1:16" ht="14" x14ac:dyDescent="0.15">
      <c r="A2578" s="166" t="s">
        <v>2479</v>
      </c>
      <c r="B2578" s="82"/>
      <c r="C2578" s="70" t="s">
        <v>3636</v>
      </c>
      <c r="D2578" s="70" t="s">
        <v>3437</v>
      </c>
      <c r="E2578" s="70" t="s">
        <v>7763</v>
      </c>
      <c r="F2578" s="70" t="s">
        <v>5694</v>
      </c>
      <c r="G2578" s="70" t="s">
        <v>5691</v>
      </c>
      <c r="H2578" s="93"/>
      <c r="I2578" s="85">
        <f t="shared" si="99"/>
        <v>2.0606978403536118</v>
      </c>
      <c r="J2578" s="85">
        <v>115</v>
      </c>
      <c r="K2578" s="131" t="s">
        <v>6485</v>
      </c>
      <c r="L2578" s="60">
        <v>68</v>
      </c>
      <c r="M2578" s="33" t="s">
        <v>6728</v>
      </c>
    </row>
    <row r="2579" spans="1:16" ht="14" x14ac:dyDescent="0.15">
      <c r="A2579" s="166" t="s">
        <v>2479</v>
      </c>
      <c r="B2579" s="82"/>
      <c r="C2579" s="70" t="s">
        <v>3636</v>
      </c>
      <c r="D2579" s="70" t="s">
        <v>3437</v>
      </c>
      <c r="E2579" s="70" t="s">
        <v>7763</v>
      </c>
      <c r="F2579" s="70" t="s">
        <v>6453</v>
      </c>
      <c r="G2579" s="70" t="s">
        <v>5739</v>
      </c>
      <c r="H2579" s="93"/>
      <c r="I2579" s="85">
        <f t="shared" si="99"/>
        <v>1.4393326938302626</v>
      </c>
      <c r="J2579" s="85">
        <v>27.5</v>
      </c>
      <c r="K2579" s="131" t="s">
        <v>6485</v>
      </c>
      <c r="L2579" s="60" t="s">
        <v>7505</v>
      </c>
      <c r="M2579" s="49" t="s">
        <v>6392</v>
      </c>
    </row>
    <row r="2580" spans="1:16" ht="28" x14ac:dyDescent="0.2">
      <c r="A2580" s="166" t="s">
        <v>2479</v>
      </c>
      <c r="B2580" s="93" t="s">
        <v>2177</v>
      </c>
      <c r="C2580" s="70" t="s">
        <v>3636</v>
      </c>
      <c r="D2580" s="70" t="s">
        <v>3437</v>
      </c>
      <c r="E2580" s="70" t="s">
        <v>7763</v>
      </c>
      <c r="F2580" s="70" t="s">
        <v>5128</v>
      </c>
      <c r="G2580" s="70" t="s">
        <v>3075</v>
      </c>
      <c r="H2580" s="93"/>
      <c r="I2580" s="85">
        <v>-999</v>
      </c>
      <c r="J2580" s="85">
        <v>-999</v>
      </c>
      <c r="K2580" s="131" t="s">
        <v>3177</v>
      </c>
      <c r="L2580" s="60">
        <v>-999</v>
      </c>
      <c r="M2580" s="47" t="s">
        <v>6728</v>
      </c>
    </row>
    <row r="2581" spans="1:16" ht="14" x14ac:dyDescent="0.15">
      <c r="A2581" s="166" t="s">
        <v>2479</v>
      </c>
      <c r="B2581" s="93" t="s">
        <v>2583</v>
      </c>
      <c r="C2581" s="70" t="s">
        <v>3636</v>
      </c>
      <c r="D2581" s="70" t="s">
        <v>3437</v>
      </c>
      <c r="E2581" s="70" t="s">
        <v>7763</v>
      </c>
      <c r="F2581" s="70" t="s">
        <v>5128</v>
      </c>
      <c r="G2581" s="70" t="s">
        <v>5129</v>
      </c>
      <c r="H2581" s="93"/>
      <c r="I2581" s="85">
        <v>-999</v>
      </c>
      <c r="J2581" s="85">
        <v>-999</v>
      </c>
      <c r="K2581" s="131" t="s">
        <v>3177</v>
      </c>
      <c r="L2581" s="60">
        <v>-999</v>
      </c>
      <c r="M2581" s="33" t="s">
        <v>6728</v>
      </c>
    </row>
    <row r="2582" spans="1:16" ht="17" x14ac:dyDescent="0.2">
      <c r="A2582" s="166" t="s">
        <v>2479</v>
      </c>
      <c r="B2582" s="93" t="s">
        <v>2551</v>
      </c>
      <c r="C2582" s="70" t="s">
        <v>3636</v>
      </c>
      <c r="D2582" s="70" t="s">
        <v>3437</v>
      </c>
      <c r="E2582" s="70" t="s">
        <v>7763</v>
      </c>
      <c r="F2582" s="70" t="s">
        <v>5128</v>
      </c>
      <c r="G2582" s="70" t="s">
        <v>3234</v>
      </c>
      <c r="H2582" s="93"/>
      <c r="I2582" s="85">
        <v>-999</v>
      </c>
      <c r="J2582" s="85">
        <v>-999</v>
      </c>
      <c r="K2582" s="131" t="s">
        <v>3177</v>
      </c>
      <c r="L2582" s="60">
        <v>-999</v>
      </c>
      <c r="M2582" s="47" t="s">
        <v>6390</v>
      </c>
    </row>
    <row r="2583" spans="1:16" ht="14" x14ac:dyDescent="0.15">
      <c r="A2583" s="166" t="s">
        <v>2479</v>
      </c>
      <c r="B2583" s="82"/>
      <c r="C2583" s="70" t="s">
        <v>3636</v>
      </c>
      <c r="D2583" s="70" t="s">
        <v>3437</v>
      </c>
      <c r="E2583" s="70" t="s">
        <v>7763</v>
      </c>
      <c r="F2583" s="70" t="s">
        <v>7781</v>
      </c>
      <c r="G2583" s="70" t="s">
        <v>7782</v>
      </c>
      <c r="H2583" s="93"/>
      <c r="I2583" s="85">
        <f>LOG(J2583)</f>
        <v>2.0969100130080562</v>
      </c>
      <c r="J2583" s="85">
        <v>125</v>
      </c>
      <c r="K2583" s="131" t="s">
        <v>6485</v>
      </c>
      <c r="L2583" s="60" t="s">
        <v>7505</v>
      </c>
      <c r="M2583" s="49" t="s">
        <v>6392</v>
      </c>
    </row>
    <row r="2584" spans="1:16" ht="14" x14ac:dyDescent="0.15">
      <c r="A2584" s="166" t="s">
        <v>2479</v>
      </c>
      <c r="B2584" s="93" t="s">
        <v>6852</v>
      </c>
      <c r="C2584" s="70" t="s">
        <v>3636</v>
      </c>
      <c r="D2584" s="70" t="s">
        <v>3437</v>
      </c>
      <c r="E2584" s="70" t="s">
        <v>7763</v>
      </c>
      <c r="F2584" s="70" t="s">
        <v>4966</v>
      </c>
      <c r="G2584" s="70" t="s">
        <v>7363</v>
      </c>
      <c r="H2584" s="93"/>
      <c r="I2584" s="85">
        <f>LOG(J2584)</f>
        <v>1.4471580313422192</v>
      </c>
      <c r="J2584" s="85">
        <v>28</v>
      </c>
      <c r="K2584" s="131" t="s">
        <v>3177</v>
      </c>
      <c r="L2584" s="60">
        <v>192</v>
      </c>
      <c r="M2584" s="49" t="s">
        <v>6390</v>
      </c>
    </row>
    <row r="2585" spans="1:16" ht="14" x14ac:dyDescent="0.15">
      <c r="A2585" s="166" t="s">
        <v>2479</v>
      </c>
      <c r="B2585" s="82"/>
      <c r="C2585" s="70" t="s">
        <v>3636</v>
      </c>
      <c r="D2585" s="70" t="s">
        <v>3437</v>
      </c>
      <c r="E2585" s="70" t="s">
        <v>3258</v>
      </c>
      <c r="F2585" s="70" t="s">
        <v>5364</v>
      </c>
      <c r="G2585" s="70" t="s">
        <v>7726</v>
      </c>
      <c r="H2585" s="93"/>
      <c r="I2585" s="85">
        <v>-999</v>
      </c>
      <c r="J2585" s="85">
        <v>-999</v>
      </c>
      <c r="K2585" s="131" t="s">
        <v>6630</v>
      </c>
      <c r="L2585" s="60">
        <v>-999</v>
      </c>
      <c r="M2585" s="33" t="s">
        <v>6392</v>
      </c>
    </row>
    <row r="2586" spans="1:16" ht="14" x14ac:dyDescent="0.15">
      <c r="A2586" s="166" t="s">
        <v>2479</v>
      </c>
      <c r="B2586" s="82"/>
      <c r="C2586" s="70" t="s">
        <v>3636</v>
      </c>
      <c r="D2586" s="70" t="s">
        <v>3437</v>
      </c>
      <c r="E2586" s="70" t="s">
        <v>3258</v>
      </c>
      <c r="F2586" s="70" t="s">
        <v>7727</v>
      </c>
      <c r="G2586" s="70" t="s">
        <v>7728</v>
      </c>
      <c r="H2586" s="93"/>
      <c r="I2586" s="85">
        <f>LOG(J2586)</f>
        <v>3.0969100130080562</v>
      </c>
      <c r="J2586" s="85">
        <f>AVERAGE(1000, 1500)</f>
        <v>1250</v>
      </c>
      <c r="K2586" s="131" t="s">
        <v>3177</v>
      </c>
      <c r="L2586" s="60">
        <v>119</v>
      </c>
      <c r="M2586" s="33"/>
    </row>
    <row r="2587" spans="1:16" ht="14" x14ac:dyDescent="0.15">
      <c r="A2587" s="166" t="s">
        <v>2479</v>
      </c>
      <c r="B2587" s="82"/>
      <c r="C2587" s="70" t="s">
        <v>3636</v>
      </c>
      <c r="D2587" s="70" t="s">
        <v>3437</v>
      </c>
      <c r="E2587" s="70" t="s">
        <v>3258</v>
      </c>
      <c r="F2587" s="70" t="s">
        <v>7729</v>
      </c>
      <c r="G2587" s="70" t="s">
        <v>7730</v>
      </c>
      <c r="H2587" s="93"/>
      <c r="I2587" s="85">
        <f>LOG(J2587)</f>
        <v>2.3364597338485296</v>
      </c>
      <c r="J2587" s="85">
        <v>217</v>
      </c>
      <c r="K2587" s="131" t="s">
        <v>6391</v>
      </c>
      <c r="L2587" s="60">
        <v>60</v>
      </c>
      <c r="M2587" s="33" t="s">
        <v>6392</v>
      </c>
    </row>
    <row r="2588" spans="1:16" ht="28" x14ac:dyDescent="0.15">
      <c r="A2588" s="166" t="s">
        <v>2479</v>
      </c>
      <c r="B2588" s="82" t="s">
        <v>2418</v>
      </c>
      <c r="C2588" s="70" t="s">
        <v>3636</v>
      </c>
      <c r="D2588" s="70" t="s">
        <v>3437</v>
      </c>
      <c r="E2588" s="70" t="s">
        <v>3258</v>
      </c>
      <c r="F2588" s="70" t="s">
        <v>7830</v>
      </c>
      <c r="G2588" s="70" t="s">
        <v>5377</v>
      </c>
      <c r="H2588" s="93"/>
      <c r="I2588" s="85">
        <f>LOG(J2588)</f>
        <v>3.207714938259973</v>
      </c>
      <c r="J2588" s="85">
        <v>1613.2992735951107</v>
      </c>
      <c r="K2588" s="131" t="s">
        <v>1226</v>
      </c>
      <c r="L2588" s="60" t="s">
        <v>279</v>
      </c>
      <c r="M2588" s="33" t="s">
        <v>6809</v>
      </c>
      <c r="N2588" s="37" t="s">
        <v>7563</v>
      </c>
      <c r="O2588" s="37">
        <f>-6.8976+2.725*LOG(405)</f>
        <v>0.207714938259973</v>
      </c>
      <c r="P2588" s="37">
        <f>10^O2588*1000</f>
        <v>1613.2992735951107</v>
      </c>
    </row>
    <row r="2589" spans="1:16" ht="14" x14ac:dyDescent="0.15">
      <c r="A2589" s="166" t="s">
        <v>2479</v>
      </c>
      <c r="B2589" s="82"/>
      <c r="C2589" s="70" t="s">
        <v>3636</v>
      </c>
      <c r="D2589" s="70" t="s">
        <v>3437</v>
      </c>
      <c r="E2589" s="70" t="s">
        <v>3258</v>
      </c>
      <c r="F2589" s="70" t="s">
        <v>5738</v>
      </c>
      <c r="G2589" s="70" t="s">
        <v>5592</v>
      </c>
      <c r="H2589" s="93"/>
      <c r="I2589" s="85">
        <v>-999</v>
      </c>
      <c r="J2589" s="85">
        <v>-999</v>
      </c>
      <c r="K2589" s="131" t="s">
        <v>6817</v>
      </c>
      <c r="L2589" s="60">
        <v>-999</v>
      </c>
      <c r="M2589" s="33" t="s">
        <v>6728</v>
      </c>
    </row>
    <row r="2590" spans="1:16" ht="14" x14ac:dyDescent="0.15">
      <c r="A2590" s="166" t="s">
        <v>2479</v>
      </c>
      <c r="B2590" s="82"/>
      <c r="C2590" s="70" t="s">
        <v>3636</v>
      </c>
      <c r="D2590" s="70" t="s">
        <v>3437</v>
      </c>
      <c r="E2590" s="70" t="s">
        <v>3258</v>
      </c>
      <c r="F2590" s="70" t="s">
        <v>5738</v>
      </c>
      <c r="G2590" s="70" t="s">
        <v>7761</v>
      </c>
      <c r="H2590" s="93"/>
      <c r="I2590" s="85">
        <f t="shared" ref="I2590:I2598" si="100">LOG(J2590)</f>
        <v>2.2787536009528289</v>
      </c>
      <c r="J2590" s="85">
        <v>190</v>
      </c>
      <c r="K2590" s="131" t="s">
        <v>6485</v>
      </c>
      <c r="L2590" s="60">
        <v>68</v>
      </c>
    </row>
    <row r="2591" spans="1:16" ht="14" x14ac:dyDescent="0.15">
      <c r="A2591" s="166" t="s">
        <v>2479</v>
      </c>
      <c r="B2591" s="82"/>
      <c r="C2591" s="70" t="s">
        <v>3636</v>
      </c>
      <c r="D2591" s="70" t="s">
        <v>3437</v>
      </c>
      <c r="E2591" s="70" t="s">
        <v>3258</v>
      </c>
      <c r="F2591" s="70" t="s">
        <v>5738</v>
      </c>
      <c r="G2591" s="70" t="s">
        <v>7978</v>
      </c>
      <c r="H2591" s="93"/>
      <c r="I2591" s="85">
        <f t="shared" si="100"/>
        <v>2.3053513694466239</v>
      </c>
      <c r="J2591" s="85">
        <v>202</v>
      </c>
      <c r="K2591" s="131" t="s">
        <v>6485</v>
      </c>
      <c r="L2591" s="60">
        <v>68</v>
      </c>
    </row>
    <row r="2592" spans="1:16" ht="14" x14ac:dyDescent="0.15">
      <c r="A2592" s="166" t="s">
        <v>2479</v>
      </c>
      <c r="B2592" s="82"/>
      <c r="C2592" s="70" t="s">
        <v>3636</v>
      </c>
      <c r="D2592" s="70" t="s">
        <v>3437</v>
      </c>
      <c r="E2592" s="70" t="s">
        <v>3258</v>
      </c>
      <c r="F2592" s="70" t="s">
        <v>5738</v>
      </c>
      <c r="G2592" s="70" t="s">
        <v>5591</v>
      </c>
      <c r="H2592" s="93"/>
      <c r="I2592" s="85">
        <f t="shared" si="100"/>
        <v>2.4014005407815442</v>
      </c>
      <c r="J2592" s="85">
        <v>252</v>
      </c>
      <c r="K2592" s="131" t="s">
        <v>6817</v>
      </c>
      <c r="L2592" s="60">
        <v>60</v>
      </c>
      <c r="M2592" s="33" t="s">
        <v>6728</v>
      </c>
    </row>
    <row r="2593" spans="1:13" ht="14" x14ac:dyDescent="0.15">
      <c r="A2593" s="166" t="s">
        <v>2479</v>
      </c>
      <c r="B2593" s="82"/>
      <c r="C2593" s="70" t="s">
        <v>3636</v>
      </c>
      <c r="D2593" s="70" t="s">
        <v>3437</v>
      </c>
      <c r="E2593" s="70" t="s">
        <v>3258</v>
      </c>
      <c r="F2593" s="70" t="s">
        <v>5738</v>
      </c>
      <c r="G2593" s="70" t="s">
        <v>3346</v>
      </c>
      <c r="H2593" s="93"/>
      <c r="I2593" s="85">
        <f t="shared" si="100"/>
        <v>2.4099331233312946</v>
      </c>
      <c r="J2593" s="85">
        <v>257</v>
      </c>
      <c r="K2593" s="131" t="s">
        <v>6485</v>
      </c>
      <c r="L2593" s="60">
        <v>-999</v>
      </c>
    </row>
    <row r="2594" spans="1:13" ht="14" x14ac:dyDescent="0.15">
      <c r="A2594" s="166" t="s">
        <v>2479</v>
      </c>
      <c r="B2594" s="82" t="s">
        <v>2546</v>
      </c>
      <c r="C2594" s="70" t="s">
        <v>3636</v>
      </c>
      <c r="D2594" s="70" t="s">
        <v>3437</v>
      </c>
      <c r="E2594" s="70" t="s">
        <v>3258</v>
      </c>
      <c r="F2594" s="70" t="s">
        <v>5738</v>
      </c>
      <c r="G2594" s="70" t="s">
        <v>6544</v>
      </c>
      <c r="H2594" s="93"/>
      <c r="I2594" s="85">
        <f t="shared" si="100"/>
        <v>2.4297522800024081</v>
      </c>
      <c r="J2594" s="85">
        <v>269</v>
      </c>
      <c r="K2594" s="131" t="s">
        <v>3177</v>
      </c>
      <c r="L2594" s="60">
        <v>60</v>
      </c>
      <c r="M2594" s="33"/>
    </row>
    <row r="2595" spans="1:13" ht="14" x14ac:dyDescent="0.15">
      <c r="A2595" s="166" t="s">
        <v>2479</v>
      </c>
      <c r="B2595" s="82"/>
      <c r="C2595" s="70" t="s">
        <v>3636</v>
      </c>
      <c r="D2595" s="70" t="s">
        <v>3437</v>
      </c>
      <c r="E2595" s="70" t="s">
        <v>3258</v>
      </c>
      <c r="F2595" s="70" t="s">
        <v>5738</v>
      </c>
      <c r="G2595" s="70" t="s">
        <v>6548</v>
      </c>
      <c r="H2595" s="93"/>
      <c r="I2595" s="85">
        <f t="shared" si="100"/>
        <v>2.4440447959180762</v>
      </c>
      <c r="J2595" s="85">
        <f>1000*AVERAGE(0.287, 0.269)</f>
        <v>278</v>
      </c>
      <c r="K2595" s="131" t="s">
        <v>3177</v>
      </c>
      <c r="L2595" s="60">
        <v>60</v>
      </c>
      <c r="M2595" s="33"/>
    </row>
    <row r="2596" spans="1:13" ht="14" x14ac:dyDescent="0.15">
      <c r="A2596" s="166" t="s">
        <v>2479</v>
      </c>
      <c r="B2596" s="82"/>
      <c r="C2596" s="70" t="s">
        <v>3636</v>
      </c>
      <c r="D2596" s="70" t="s">
        <v>3437</v>
      </c>
      <c r="E2596" s="70" t="s">
        <v>3258</v>
      </c>
      <c r="F2596" s="70" t="s">
        <v>5738</v>
      </c>
      <c r="G2596" s="70" t="s">
        <v>6547</v>
      </c>
      <c r="H2596" s="93"/>
      <c r="I2596" s="85">
        <f t="shared" si="100"/>
        <v>2.4471580313422194</v>
      </c>
      <c r="J2596" s="85">
        <v>280</v>
      </c>
      <c r="K2596" s="131" t="s">
        <v>3177</v>
      </c>
      <c r="L2596" s="60">
        <v>119</v>
      </c>
      <c r="M2596" s="33"/>
    </row>
    <row r="2597" spans="1:13" ht="14" x14ac:dyDescent="0.15">
      <c r="A2597" s="166" t="s">
        <v>2479</v>
      </c>
      <c r="B2597" s="82"/>
      <c r="C2597" s="70" t="s">
        <v>3636</v>
      </c>
      <c r="D2597" s="70" t="s">
        <v>3437</v>
      </c>
      <c r="E2597" s="70" t="s">
        <v>3258</v>
      </c>
      <c r="F2597" s="70" t="s">
        <v>5738</v>
      </c>
      <c r="G2597" s="70" t="s">
        <v>5221</v>
      </c>
      <c r="H2597" s="93"/>
      <c r="I2597" s="85">
        <f t="shared" si="100"/>
        <v>2.5118833609788744</v>
      </c>
      <c r="J2597" s="85">
        <v>325</v>
      </c>
      <c r="K2597" s="131" t="s">
        <v>3177</v>
      </c>
      <c r="L2597" s="60">
        <v>60</v>
      </c>
      <c r="M2597" s="33"/>
    </row>
    <row r="2598" spans="1:13" ht="14" x14ac:dyDescent="0.15">
      <c r="A2598" s="166" t="s">
        <v>2479</v>
      </c>
      <c r="B2598" s="93" t="s">
        <v>5760</v>
      </c>
      <c r="C2598" s="70" t="s">
        <v>3636</v>
      </c>
      <c r="D2598" s="70" t="s">
        <v>3437</v>
      </c>
      <c r="E2598" s="70" t="s">
        <v>3258</v>
      </c>
      <c r="F2598" s="70" t="s">
        <v>5738</v>
      </c>
      <c r="G2598" s="70" t="s">
        <v>5590</v>
      </c>
      <c r="H2598" s="93"/>
      <c r="I2598" s="85">
        <f t="shared" si="100"/>
        <v>2.6020599913279625</v>
      </c>
      <c r="J2598" s="85">
        <v>400</v>
      </c>
      <c r="K2598" s="131" t="s">
        <v>3177</v>
      </c>
      <c r="L2598" s="60">
        <v>119</v>
      </c>
      <c r="M2598" s="33"/>
    </row>
    <row r="2599" spans="1:13" ht="14" x14ac:dyDescent="0.15">
      <c r="A2599" s="166" t="s">
        <v>2479</v>
      </c>
      <c r="B2599" s="82"/>
      <c r="C2599" s="70" t="s">
        <v>3636</v>
      </c>
      <c r="D2599" s="70" t="s">
        <v>3437</v>
      </c>
      <c r="E2599" s="70" t="s">
        <v>3258</v>
      </c>
      <c r="F2599" s="70" t="s">
        <v>5593</v>
      </c>
      <c r="G2599" s="70" t="s">
        <v>5359</v>
      </c>
      <c r="H2599" s="93"/>
      <c r="I2599" s="85">
        <v>-999</v>
      </c>
      <c r="J2599" s="85">
        <v>-999</v>
      </c>
      <c r="K2599" s="131" t="s">
        <v>3177</v>
      </c>
      <c r="L2599" s="60">
        <v>-999</v>
      </c>
      <c r="M2599" s="33"/>
    </row>
    <row r="2600" spans="1:13" ht="14" x14ac:dyDescent="0.15">
      <c r="A2600" s="166" t="s">
        <v>2479</v>
      </c>
      <c r="B2600" s="82"/>
      <c r="C2600" s="70" t="s">
        <v>3636</v>
      </c>
      <c r="D2600" s="70" t="s">
        <v>3437</v>
      </c>
      <c r="E2600" s="70" t="s">
        <v>3258</v>
      </c>
      <c r="F2600" s="70" t="s">
        <v>5593</v>
      </c>
      <c r="G2600" s="70" t="s">
        <v>5173</v>
      </c>
      <c r="H2600" s="93"/>
      <c r="I2600" s="85">
        <f>LOG(J2600)</f>
        <v>2.2980339102154361</v>
      </c>
      <c r="J2600" s="85">
        <f>(7/16)*454</f>
        <v>198.625</v>
      </c>
      <c r="K2600" s="131" t="s">
        <v>3177</v>
      </c>
      <c r="L2600" s="60">
        <v>133</v>
      </c>
      <c r="M2600" s="33"/>
    </row>
    <row r="2601" spans="1:13" ht="14" x14ac:dyDescent="0.15">
      <c r="A2601" s="166" t="s">
        <v>2479</v>
      </c>
      <c r="B2601" s="82"/>
      <c r="C2601" s="70" t="s">
        <v>3636</v>
      </c>
      <c r="D2601" s="70" t="s">
        <v>3437</v>
      </c>
      <c r="E2601" s="70" t="s">
        <v>3258</v>
      </c>
      <c r="F2601" s="70" t="s">
        <v>5593</v>
      </c>
      <c r="G2601" s="70" t="s">
        <v>5360</v>
      </c>
      <c r="H2601" s="93"/>
      <c r="I2601" s="85">
        <f>LOG(J2601)</f>
        <v>2.3010299956639813</v>
      </c>
      <c r="J2601" s="85">
        <v>200</v>
      </c>
      <c r="K2601" s="131" t="s">
        <v>3177</v>
      </c>
      <c r="L2601" s="60">
        <v>119</v>
      </c>
      <c r="M2601" s="33"/>
    </row>
    <row r="2602" spans="1:13" ht="28" x14ac:dyDescent="0.15">
      <c r="A2602" s="166" t="s">
        <v>2479</v>
      </c>
      <c r="B2602" s="93" t="s">
        <v>2591</v>
      </c>
      <c r="C2602" s="70" t="s">
        <v>3636</v>
      </c>
      <c r="D2602" s="70" t="s">
        <v>3437</v>
      </c>
      <c r="E2602" s="70" t="s">
        <v>3258</v>
      </c>
      <c r="F2602" s="70" t="s">
        <v>5593</v>
      </c>
      <c r="G2602" s="70" t="s">
        <v>5172</v>
      </c>
      <c r="H2602" s="93"/>
      <c r="I2602" s="85">
        <f>LOG(J2602)</f>
        <v>2.3560258571931225</v>
      </c>
      <c r="J2602" s="85">
        <f>0.5*454</f>
        <v>227</v>
      </c>
      <c r="K2602" s="131" t="s">
        <v>3177</v>
      </c>
      <c r="L2602" s="60">
        <v>133</v>
      </c>
      <c r="M2602" s="33"/>
    </row>
    <row r="2603" spans="1:13" ht="14" x14ac:dyDescent="0.15">
      <c r="A2603" s="166" t="s">
        <v>2479</v>
      </c>
      <c r="B2603" s="82"/>
      <c r="C2603" s="70" t="s">
        <v>3636</v>
      </c>
      <c r="D2603" s="70" t="s">
        <v>3437</v>
      </c>
      <c r="E2603" s="70" t="s">
        <v>3258</v>
      </c>
      <c r="F2603" s="70" t="s">
        <v>5378</v>
      </c>
      <c r="G2603" s="70" t="s">
        <v>4303</v>
      </c>
      <c r="H2603" s="93"/>
      <c r="I2603" s="85">
        <f>LOG(J2603)</f>
        <v>3.3979400086720375</v>
      </c>
      <c r="J2603" s="85">
        <v>2500</v>
      </c>
      <c r="K2603" s="131" t="s">
        <v>6391</v>
      </c>
      <c r="L2603" s="60">
        <v>193</v>
      </c>
      <c r="M2603" s="33" t="s">
        <v>6390</v>
      </c>
    </row>
    <row r="2604" spans="1:13" ht="14" x14ac:dyDescent="0.15">
      <c r="A2604" s="166" t="s">
        <v>2479</v>
      </c>
      <c r="B2604" s="93" t="s">
        <v>2418</v>
      </c>
      <c r="C2604" s="70" t="s">
        <v>3636</v>
      </c>
      <c r="D2604" s="70" t="s">
        <v>3437</v>
      </c>
      <c r="E2604" s="70" t="s">
        <v>3258</v>
      </c>
      <c r="F2604" s="70" t="s">
        <v>5891</v>
      </c>
      <c r="G2604" s="70" t="s">
        <v>7996</v>
      </c>
      <c r="H2604" s="93"/>
      <c r="I2604" s="85">
        <v>-999</v>
      </c>
      <c r="J2604" s="85">
        <v>-999</v>
      </c>
      <c r="K2604" s="131" t="s">
        <v>3177</v>
      </c>
      <c r="L2604" s="60">
        <v>-999</v>
      </c>
      <c r="M2604" s="33"/>
    </row>
    <row r="2605" spans="1:13" ht="16" x14ac:dyDescent="0.2">
      <c r="A2605" s="166" t="s">
        <v>2479</v>
      </c>
      <c r="B2605" s="93" t="s">
        <v>2418</v>
      </c>
      <c r="C2605" s="70" t="s">
        <v>3636</v>
      </c>
      <c r="D2605" s="70" t="s">
        <v>3437</v>
      </c>
      <c r="E2605" s="70" t="s">
        <v>3258</v>
      </c>
      <c r="F2605" s="70" t="s">
        <v>5891</v>
      </c>
      <c r="G2605" s="70" t="s">
        <v>7997</v>
      </c>
      <c r="H2605" s="93"/>
      <c r="I2605" s="85">
        <v>-999</v>
      </c>
      <c r="J2605" s="85">
        <v>-999</v>
      </c>
      <c r="K2605" s="131" t="s">
        <v>3177</v>
      </c>
      <c r="L2605" s="60">
        <v>-999</v>
      </c>
      <c r="M2605" s="47"/>
    </row>
    <row r="2606" spans="1:13" ht="14" x14ac:dyDescent="0.15">
      <c r="A2606" s="166" t="s">
        <v>2479</v>
      </c>
      <c r="B2606" s="93" t="s">
        <v>2418</v>
      </c>
      <c r="C2606" s="70" t="s">
        <v>3636</v>
      </c>
      <c r="D2606" s="70" t="s">
        <v>3437</v>
      </c>
      <c r="E2606" s="70" t="s">
        <v>3258</v>
      </c>
      <c r="F2606" s="70" t="s">
        <v>5891</v>
      </c>
      <c r="G2606" s="70" t="s">
        <v>3525</v>
      </c>
      <c r="H2606" s="93"/>
      <c r="I2606" s="85">
        <f t="shared" ref="I2606:I2626" si="101">LOG(J2606)</f>
        <v>1.8508758788732167</v>
      </c>
      <c r="J2606" s="85">
        <f>454*0.15625</f>
        <v>70.9375</v>
      </c>
      <c r="K2606" s="131"/>
      <c r="L2606" s="60">
        <v>132</v>
      </c>
      <c r="M2606" s="33"/>
    </row>
    <row r="2607" spans="1:13" ht="17" x14ac:dyDescent="0.2">
      <c r="A2607" s="166" t="s">
        <v>2479</v>
      </c>
      <c r="B2607" s="93" t="s">
        <v>2418</v>
      </c>
      <c r="C2607" s="70" t="s">
        <v>3636</v>
      </c>
      <c r="D2607" s="70" t="s">
        <v>3437</v>
      </c>
      <c r="E2607" s="70" t="s">
        <v>3258</v>
      </c>
      <c r="F2607" s="70" t="s">
        <v>5891</v>
      </c>
      <c r="G2607" s="70" t="s">
        <v>7999</v>
      </c>
      <c r="H2607" s="93"/>
      <c r="I2607" s="85">
        <f t="shared" si="101"/>
        <v>2.143014800254095</v>
      </c>
      <c r="J2607" s="85">
        <v>139</v>
      </c>
      <c r="K2607" s="131" t="s">
        <v>6817</v>
      </c>
      <c r="L2607" s="60">
        <v>60</v>
      </c>
      <c r="M2607" s="47" t="s">
        <v>6392</v>
      </c>
    </row>
    <row r="2608" spans="1:13" ht="14" x14ac:dyDescent="0.15">
      <c r="A2608" s="166" t="s">
        <v>2479</v>
      </c>
      <c r="B2608" s="82"/>
      <c r="C2608" s="70" t="s">
        <v>3636</v>
      </c>
      <c r="D2608" s="70" t="s">
        <v>3437</v>
      </c>
      <c r="E2608" s="70" t="s">
        <v>3258</v>
      </c>
      <c r="F2608" s="70" t="s">
        <v>5891</v>
      </c>
      <c r="G2608" s="70" t="s">
        <v>7998</v>
      </c>
      <c r="H2608" s="93"/>
      <c r="I2608" s="85">
        <f t="shared" si="101"/>
        <v>2.3010299956639813</v>
      </c>
      <c r="J2608" s="85">
        <v>200</v>
      </c>
      <c r="K2608" s="131" t="s">
        <v>3177</v>
      </c>
      <c r="L2608" s="60">
        <v>75</v>
      </c>
    </row>
    <row r="2609" spans="1:15" ht="14" x14ac:dyDescent="0.15">
      <c r="A2609" s="166" t="s">
        <v>2479</v>
      </c>
      <c r="B2609" s="82"/>
      <c r="C2609" s="70" t="s">
        <v>3636</v>
      </c>
      <c r="D2609" s="70" t="s">
        <v>3437</v>
      </c>
      <c r="E2609" s="70" t="s">
        <v>3258</v>
      </c>
      <c r="F2609" s="70" t="s">
        <v>5379</v>
      </c>
      <c r="G2609" s="70" t="s">
        <v>2083</v>
      </c>
      <c r="H2609" s="93"/>
      <c r="I2609" s="85">
        <f t="shared" si="101"/>
        <v>1.6989700043360187</v>
      </c>
      <c r="J2609" s="85">
        <v>50</v>
      </c>
      <c r="K2609" s="131" t="s">
        <v>3177</v>
      </c>
      <c r="L2609" s="60">
        <v>119</v>
      </c>
      <c r="M2609" s="33"/>
    </row>
    <row r="2610" spans="1:15" ht="28" x14ac:dyDescent="0.2">
      <c r="A2610" s="166" t="s">
        <v>2479</v>
      </c>
      <c r="B2610" s="93" t="s">
        <v>2685</v>
      </c>
      <c r="C2610" s="70" t="s">
        <v>3636</v>
      </c>
      <c r="D2610" s="70" t="s">
        <v>3437</v>
      </c>
      <c r="E2610" s="70" t="s">
        <v>3258</v>
      </c>
      <c r="F2610" s="70" t="s">
        <v>5379</v>
      </c>
      <c r="G2610" s="70" t="s">
        <v>6223</v>
      </c>
      <c r="H2610" s="93"/>
      <c r="I2610" s="85">
        <f t="shared" si="101"/>
        <v>1.6989700043360187</v>
      </c>
      <c r="J2610" s="85">
        <v>50</v>
      </c>
      <c r="K2610" s="131" t="s">
        <v>3177</v>
      </c>
      <c r="L2610" s="60">
        <v>119</v>
      </c>
      <c r="M2610" s="47"/>
    </row>
    <row r="2611" spans="1:15" ht="28" x14ac:dyDescent="0.15">
      <c r="A2611" s="166" t="s">
        <v>2479</v>
      </c>
      <c r="B2611" s="93" t="s">
        <v>2200</v>
      </c>
      <c r="C2611" s="70" t="s">
        <v>3636</v>
      </c>
      <c r="D2611" s="70" t="s">
        <v>3437</v>
      </c>
      <c r="E2611" s="70" t="s">
        <v>3258</v>
      </c>
      <c r="F2611" s="70" t="s">
        <v>5379</v>
      </c>
      <c r="G2611" s="70" t="s">
        <v>6544</v>
      </c>
      <c r="H2611" s="93"/>
      <c r="I2611" s="85">
        <f t="shared" si="101"/>
        <v>2.3560258571931225</v>
      </c>
      <c r="J2611" s="85">
        <f>(8/16)*454</f>
        <v>227</v>
      </c>
      <c r="K2611" s="131" t="s">
        <v>3177</v>
      </c>
      <c r="L2611" s="60">
        <v>133</v>
      </c>
      <c r="M2611" s="33"/>
    </row>
    <row r="2612" spans="1:15" ht="14" x14ac:dyDescent="0.15">
      <c r="A2612" s="166" t="s">
        <v>2479</v>
      </c>
      <c r="B2612" s="82"/>
      <c r="C2612" s="70" t="s">
        <v>3636</v>
      </c>
      <c r="D2612" s="70" t="s">
        <v>3437</v>
      </c>
      <c r="E2612" s="70" t="s">
        <v>3258</v>
      </c>
      <c r="F2612" s="70" t="s">
        <v>5379</v>
      </c>
      <c r="G2612" s="70" t="s">
        <v>5380</v>
      </c>
      <c r="H2612" s="93"/>
      <c r="I2612" s="85">
        <f t="shared" si="101"/>
        <v>2.407178379640504</v>
      </c>
      <c r="J2612" s="85">
        <f>(9/16)*454</f>
        <v>255.375</v>
      </c>
      <c r="K2612" s="131" t="s">
        <v>6391</v>
      </c>
      <c r="L2612" s="60">
        <v>133</v>
      </c>
      <c r="M2612" s="49" t="s">
        <v>6390</v>
      </c>
    </row>
    <row r="2613" spans="1:15" ht="14" x14ac:dyDescent="0.15">
      <c r="A2613" s="166" t="s">
        <v>2479</v>
      </c>
      <c r="B2613" s="82"/>
      <c r="C2613" s="70" t="s">
        <v>3636</v>
      </c>
      <c r="D2613" s="70" t="s">
        <v>3437</v>
      </c>
      <c r="E2613" s="70" t="s">
        <v>3258</v>
      </c>
      <c r="F2613" s="70" t="s">
        <v>5379</v>
      </c>
      <c r="G2613" s="70" t="s">
        <v>6187</v>
      </c>
      <c r="H2613" s="93"/>
      <c r="I2613" s="85">
        <f t="shared" si="101"/>
        <v>2.7075701760979363</v>
      </c>
      <c r="J2613" s="85">
        <v>510</v>
      </c>
      <c r="K2613" s="131" t="s">
        <v>6391</v>
      </c>
      <c r="L2613" s="60">
        <v>117</v>
      </c>
      <c r="M2613" s="33" t="s">
        <v>6392</v>
      </c>
    </row>
    <row r="2614" spans="1:15" ht="14" x14ac:dyDescent="0.15">
      <c r="A2614" s="166" t="s">
        <v>2479</v>
      </c>
      <c r="B2614" s="82"/>
      <c r="C2614" s="70" t="s">
        <v>3636</v>
      </c>
      <c r="D2614" s="70" t="s">
        <v>3437</v>
      </c>
      <c r="E2614" s="70" t="s">
        <v>3258</v>
      </c>
      <c r="F2614" s="70" t="s">
        <v>5379</v>
      </c>
      <c r="G2614" s="70" t="s">
        <v>5381</v>
      </c>
      <c r="H2614" s="93"/>
      <c r="I2614" s="85">
        <f t="shared" si="101"/>
        <v>2.8524799936368566</v>
      </c>
      <c r="J2614" s="85">
        <v>712</v>
      </c>
      <c r="K2614" s="131" t="s">
        <v>6630</v>
      </c>
      <c r="L2614" s="60">
        <v>60</v>
      </c>
      <c r="M2614" s="49" t="s">
        <v>6392</v>
      </c>
    </row>
    <row r="2615" spans="1:15" ht="28" x14ac:dyDescent="0.15">
      <c r="A2615" s="170" t="s">
        <v>2479</v>
      </c>
      <c r="B2615" s="93" t="s">
        <v>2584</v>
      </c>
      <c r="C2615" s="70" t="s">
        <v>3636</v>
      </c>
      <c r="D2615" s="70" t="s">
        <v>3437</v>
      </c>
      <c r="E2615" s="70" t="s">
        <v>3258</v>
      </c>
      <c r="F2615" s="70" t="s">
        <v>6197</v>
      </c>
      <c r="G2615" s="70" t="s">
        <v>6198</v>
      </c>
      <c r="H2615" s="93"/>
      <c r="I2615" s="85">
        <f t="shared" si="101"/>
        <v>2.0791812460476247</v>
      </c>
      <c r="J2615" s="85">
        <v>120</v>
      </c>
      <c r="K2615" s="131" t="s">
        <v>3177</v>
      </c>
      <c r="L2615" s="60">
        <v>119</v>
      </c>
      <c r="M2615" s="33"/>
      <c r="O2615" s="33" t="s">
        <v>7699</v>
      </c>
    </row>
    <row r="2616" spans="1:15" ht="28" x14ac:dyDescent="0.15">
      <c r="A2616" s="166" t="s">
        <v>2479</v>
      </c>
      <c r="B2616" s="93" t="s">
        <v>2578</v>
      </c>
      <c r="C2616" s="70" t="s">
        <v>3636</v>
      </c>
      <c r="D2616" s="70" t="s">
        <v>3437</v>
      </c>
      <c r="E2616" s="70" t="s">
        <v>3258</v>
      </c>
      <c r="F2616" s="70" t="s">
        <v>6294</v>
      </c>
      <c r="G2616" s="70" t="s">
        <v>6217</v>
      </c>
      <c r="H2616" s="93"/>
      <c r="I2616" s="85">
        <f t="shared" si="101"/>
        <v>2.3010299956639813</v>
      </c>
      <c r="J2616" s="85">
        <v>200</v>
      </c>
      <c r="K2616" s="131" t="s">
        <v>3177</v>
      </c>
      <c r="L2616" s="60">
        <v>119</v>
      </c>
      <c r="M2616" s="33"/>
    </row>
    <row r="2617" spans="1:15" ht="14" x14ac:dyDescent="0.15">
      <c r="A2617" s="166" t="s">
        <v>2479</v>
      </c>
      <c r="B2617" s="82"/>
      <c r="C2617" s="70" t="s">
        <v>3636</v>
      </c>
      <c r="D2617" s="70" t="s">
        <v>3437</v>
      </c>
      <c r="E2617" s="70" t="s">
        <v>3258</v>
      </c>
      <c r="F2617" s="70" t="s">
        <v>6574</v>
      </c>
      <c r="G2617" s="70" t="s">
        <v>7932</v>
      </c>
      <c r="H2617" s="93"/>
      <c r="I2617" s="85">
        <f t="shared" si="101"/>
        <v>3.3031960574204891</v>
      </c>
      <c r="J2617" s="85">
        <v>2010</v>
      </c>
      <c r="K2617" s="131" t="s">
        <v>6485</v>
      </c>
      <c r="L2617" s="60">
        <v>68</v>
      </c>
    </row>
    <row r="2618" spans="1:15" ht="14" x14ac:dyDescent="0.15">
      <c r="A2618" s="166" t="s">
        <v>2479</v>
      </c>
      <c r="B2618" s="93" t="s">
        <v>2579</v>
      </c>
      <c r="C2618" s="70" t="s">
        <v>3636</v>
      </c>
      <c r="D2618" s="70" t="s">
        <v>3437</v>
      </c>
      <c r="E2618" s="70" t="s">
        <v>3258</v>
      </c>
      <c r="F2618" s="70" t="s">
        <v>6574</v>
      </c>
      <c r="G2618" s="70" t="s">
        <v>6455</v>
      </c>
      <c r="H2618" s="93"/>
      <c r="I2618" s="85">
        <f t="shared" si="101"/>
        <v>3.5118833609788744</v>
      </c>
      <c r="J2618" s="85">
        <f>AVERAGE(2500, 4000)</f>
        <v>3250</v>
      </c>
      <c r="K2618" s="131" t="s">
        <v>6817</v>
      </c>
      <c r="L2618" s="60" t="s">
        <v>6535</v>
      </c>
      <c r="M2618" s="33" t="s">
        <v>6728</v>
      </c>
    </row>
    <row r="2619" spans="1:15" ht="14" x14ac:dyDescent="0.15">
      <c r="A2619" s="166" t="s">
        <v>2479</v>
      </c>
      <c r="B2619" s="93" t="s">
        <v>2885</v>
      </c>
      <c r="C2619" s="70" t="s">
        <v>3636</v>
      </c>
      <c r="D2619" s="70" t="s">
        <v>3437</v>
      </c>
      <c r="E2619" s="70" t="s">
        <v>3258</v>
      </c>
      <c r="F2619" s="70" t="s">
        <v>6574</v>
      </c>
      <c r="G2619" s="70" t="s">
        <v>7939</v>
      </c>
      <c r="H2619" s="93"/>
      <c r="I2619" s="85">
        <f t="shared" si="101"/>
        <v>3.5440680443502757</v>
      </c>
      <c r="J2619" s="85">
        <v>3500</v>
      </c>
      <c r="K2619" s="131" t="s">
        <v>3177</v>
      </c>
      <c r="L2619" s="60" t="s">
        <v>6535</v>
      </c>
      <c r="M2619" s="33"/>
    </row>
    <row r="2620" spans="1:15" ht="14" x14ac:dyDescent="0.15">
      <c r="A2620" s="166" t="s">
        <v>2479</v>
      </c>
      <c r="B2620" s="82"/>
      <c r="C2620" s="70" t="s">
        <v>3636</v>
      </c>
      <c r="D2620" s="70" t="s">
        <v>3437</v>
      </c>
      <c r="E2620" s="70" t="s">
        <v>3258</v>
      </c>
      <c r="F2620" s="70" t="s">
        <v>6574</v>
      </c>
      <c r="G2620" s="70" t="s">
        <v>7940</v>
      </c>
      <c r="H2620" s="93"/>
      <c r="I2620" s="85">
        <f t="shared" si="101"/>
        <v>3.6384892569546374</v>
      </c>
      <c r="J2620" s="85">
        <f>AVERAGE(4600, 4100)</f>
        <v>4350</v>
      </c>
      <c r="K2620" s="131" t="s">
        <v>6817</v>
      </c>
      <c r="L2620" s="60">
        <v>117</v>
      </c>
      <c r="M2620" s="33" t="s">
        <v>6392</v>
      </c>
    </row>
    <row r="2621" spans="1:15" ht="14" x14ac:dyDescent="0.15">
      <c r="A2621" s="166" t="s">
        <v>2479</v>
      </c>
      <c r="B2621" s="93" t="s">
        <v>2146</v>
      </c>
      <c r="C2621" s="70" t="s">
        <v>3636</v>
      </c>
      <c r="D2621" s="70" t="s">
        <v>3437</v>
      </c>
      <c r="E2621" s="70" t="s">
        <v>3258</v>
      </c>
      <c r="F2621" s="70" t="s">
        <v>6574</v>
      </c>
      <c r="G2621" s="70" t="s">
        <v>5901</v>
      </c>
      <c r="H2621" s="93"/>
      <c r="I2621" s="85">
        <f t="shared" si="101"/>
        <v>3.6989700043360187</v>
      </c>
      <c r="J2621" s="85">
        <v>5000</v>
      </c>
      <c r="K2621" s="131" t="s">
        <v>3177</v>
      </c>
      <c r="L2621" s="60" t="s">
        <v>1724</v>
      </c>
      <c r="M2621" s="33"/>
    </row>
    <row r="2622" spans="1:15" ht="42" x14ac:dyDescent="0.15">
      <c r="A2622" s="166" t="s">
        <v>2479</v>
      </c>
      <c r="B2622" s="93" t="s">
        <v>6040</v>
      </c>
      <c r="C2622" s="70" t="s">
        <v>3636</v>
      </c>
      <c r="D2622" s="70" t="s">
        <v>3437</v>
      </c>
      <c r="E2622" s="70" t="s">
        <v>3258</v>
      </c>
      <c r="F2622" s="70" t="s">
        <v>6574</v>
      </c>
      <c r="G2622" s="70" t="s">
        <v>5907</v>
      </c>
      <c r="H2622" s="93"/>
      <c r="I2622" s="85">
        <f t="shared" si="101"/>
        <v>3.7403626894942437</v>
      </c>
      <c r="J2622" s="85">
        <v>5500</v>
      </c>
      <c r="K2622" s="131" t="s">
        <v>6817</v>
      </c>
      <c r="L2622" s="60" t="s">
        <v>6534</v>
      </c>
      <c r="M2622" s="33" t="s">
        <v>6392</v>
      </c>
    </row>
    <row r="2623" spans="1:15" ht="14" x14ac:dyDescent="0.15">
      <c r="A2623" s="166" t="s">
        <v>2479</v>
      </c>
      <c r="B2623" s="82"/>
      <c r="C2623" s="70" t="s">
        <v>3636</v>
      </c>
      <c r="D2623" s="70" t="s">
        <v>3437</v>
      </c>
      <c r="E2623" s="70" t="s">
        <v>3258</v>
      </c>
      <c r="F2623" s="70" t="s">
        <v>6574</v>
      </c>
      <c r="G2623" s="70" t="s">
        <v>6316</v>
      </c>
      <c r="H2623" s="93"/>
      <c r="I2623" s="85">
        <f t="shared" si="101"/>
        <v>3.8750612633917001</v>
      </c>
      <c r="J2623" s="85">
        <f>AVERAGE(6000, 9000)</f>
        <v>7500</v>
      </c>
      <c r="K2623" s="131" t="s">
        <v>3177</v>
      </c>
      <c r="L2623" s="60" t="s">
        <v>7880</v>
      </c>
      <c r="M2623" s="33"/>
    </row>
    <row r="2624" spans="1:15" ht="14" x14ac:dyDescent="0.15">
      <c r="A2624" s="166" t="s">
        <v>2479</v>
      </c>
      <c r="B2624" s="93" t="s">
        <v>2211</v>
      </c>
      <c r="C2624" s="70" t="s">
        <v>3636</v>
      </c>
      <c r="D2624" s="70" t="s">
        <v>3437</v>
      </c>
      <c r="E2624" s="70" t="s">
        <v>3258</v>
      </c>
      <c r="F2624" s="70" t="s">
        <v>6574</v>
      </c>
      <c r="G2624" s="70" t="s">
        <v>7949</v>
      </c>
      <c r="H2624" s="93"/>
      <c r="I2624" s="85">
        <f t="shared" si="101"/>
        <v>3.9030899869919438</v>
      </c>
      <c r="J2624" s="85">
        <v>8000</v>
      </c>
      <c r="K2624" s="131" t="s">
        <v>3177</v>
      </c>
      <c r="L2624" s="60">
        <v>60</v>
      </c>
      <c r="M2624" s="33"/>
    </row>
    <row r="2625" spans="1:14" ht="28" x14ac:dyDescent="0.15">
      <c r="A2625" s="166" t="s">
        <v>2479</v>
      </c>
      <c r="B2625" s="93" t="s">
        <v>2422</v>
      </c>
      <c r="C2625" s="70" t="s">
        <v>3636</v>
      </c>
      <c r="D2625" s="70" t="s">
        <v>3437</v>
      </c>
      <c r="E2625" s="70" t="s">
        <v>3258</v>
      </c>
      <c r="F2625" s="70" t="s">
        <v>2777</v>
      </c>
      <c r="G2625" s="70" t="s">
        <v>6303</v>
      </c>
      <c r="H2625" s="93"/>
      <c r="I2625" s="85">
        <f t="shared" si="101"/>
        <v>2.2787536009528289</v>
      </c>
      <c r="J2625" s="85">
        <v>190</v>
      </c>
      <c r="K2625" s="131" t="s">
        <v>3177</v>
      </c>
      <c r="L2625" s="60">
        <v>60</v>
      </c>
      <c r="M2625" s="33"/>
    </row>
    <row r="2626" spans="1:14" ht="14" x14ac:dyDescent="0.15">
      <c r="A2626" s="166" t="s">
        <v>2479</v>
      </c>
      <c r="B2626" s="93" t="s">
        <v>4840</v>
      </c>
      <c r="C2626" s="73" t="s">
        <v>3636</v>
      </c>
      <c r="D2626" s="73" t="s">
        <v>3437</v>
      </c>
      <c r="E2626" s="70" t="s">
        <v>3258</v>
      </c>
      <c r="F2626" s="73" t="s">
        <v>6199</v>
      </c>
      <c r="G2626" s="73" t="s">
        <v>3153</v>
      </c>
      <c r="H2626" s="93"/>
      <c r="I2626" s="85">
        <f t="shared" si="101"/>
        <v>1.6020599913279623</v>
      </c>
      <c r="J2626" s="95">
        <v>40</v>
      </c>
      <c r="K2626" s="131" t="s">
        <v>3177</v>
      </c>
      <c r="L2626" s="60">
        <v>119</v>
      </c>
      <c r="M2626" s="33"/>
    </row>
    <row r="2627" spans="1:14" ht="16" x14ac:dyDescent="0.2">
      <c r="A2627" s="166" t="s">
        <v>2479</v>
      </c>
      <c r="B2627" s="93" t="s">
        <v>1902</v>
      </c>
      <c r="C2627" s="70" t="s">
        <v>3636</v>
      </c>
      <c r="D2627" s="70" t="s">
        <v>3437</v>
      </c>
      <c r="E2627" s="70" t="s">
        <v>3258</v>
      </c>
      <c r="F2627" s="70" t="s">
        <v>7933</v>
      </c>
      <c r="G2627" s="70" t="s">
        <v>3435</v>
      </c>
      <c r="H2627" s="93"/>
      <c r="I2627" s="85">
        <v>-999</v>
      </c>
      <c r="J2627" s="85">
        <v>-999</v>
      </c>
      <c r="K2627" s="134" t="s">
        <v>3177</v>
      </c>
      <c r="L2627" s="60">
        <v>-999</v>
      </c>
      <c r="M2627" s="33"/>
      <c r="N2627" s="48"/>
    </row>
    <row r="2628" spans="1:14" ht="42" x14ac:dyDescent="0.15">
      <c r="A2628" s="166" t="s">
        <v>2479</v>
      </c>
      <c r="B2628" s="93" t="s">
        <v>4696</v>
      </c>
      <c r="C2628" s="70" t="s">
        <v>3636</v>
      </c>
      <c r="D2628" s="70" t="s">
        <v>3437</v>
      </c>
      <c r="E2628" s="70" t="s">
        <v>3258</v>
      </c>
      <c r="F2628" s="70" t="s">
        <v>7933</v>
      </c>
      <c r="G2628" s="70" t="s">
        <v>1989</v>
      </c>
      <c r="H2628" s="93"/>
      <c r="I2628" s="85">
        <f t="shared" ref="I2628:I2650" si="102">LOG(J2628)</f>
        <v>2.9795483747040952</v>
      </c>
      <c r="J2628" s="85">
        <f>AVERAGE(1000, (454*2))</f>
        <v>954</v>
      </c>
      <c r="K2628" s="134" t="s">
        <v>3177</v>
      </c>
      <c r="L2628" s="60" t="s">
        <v>1435</v>
      </c>
      <c r="M2628" s="33"/>
    </row>
    <row r="2629" spans="1:14" ht="42" x14ac:dyDescent="0.15">
      <c r="A2629" s="166" t="s">
        <v>2479</v>
      </c>
      <c r="B2629" s="93" t="s">
        <v>7362</v>
      </c>
      <c r="C2629" s="70" t="s">
        <v>3636</v>
      </c>
      <c r="D2629" s="70" t="s">
        <v>3437</v>
      </c>
      <c r="E2629" s="70" t="s">
        <v>3258</v>
      </c>
      <c r="F2629" s="70" t="s">
        <v>7933</v>
      </c>
      <c r="G2629" s="70" t="s">
        <v>6102</v>
      </c>
      <c r="H2629" s="93"/>
      <c r="I2629" s="85">
        <f t="shared" si="102"/>
        <v>3.1255625866411747</v>
      </c>
      <c r="J2629" s="85">
        <f>AVERAGE(1704, 1137, 1000, 1500)</f>
        <v>1335.25</v>
      </c>
      <c r="K2629" s="131" t="s">
        <v>3177</v>
      </c>
      <c r="L2629" s="60" t="s">
        <v>1186</v>
      </c>
      <c r="M2629" s="33"/>
    </row>
    <row r="2630" spans="1:14" ht="14" x14ac:dyDescent="0.15">
      <c r="A2630" s="166" t="s">
        <v>2479</v>
      </c>
      <c r="B2630" s="93" t="s">
        <v>7238</v>
      </c>
      <c r="C2630" s="70" t="s">
        <v>3636</v>
      </c>
      <c r="D2630" s="70" t="s">
        <v>3437</v>
      </c>
      <c r="E2630" s="70" t="s">
        <v>3258</v>
      </c>
      <c r="F2630" s="70" t="s">
        <v>7933</v>
      </c>
      <c r="G2630" s="70" t="s">
        <v>3155</v>
      </c>
      <c r="H2630" s="93"/>
      <c r="I2630" s="85">
        <f t="shared" si="102"/>
        <v>3.1689392138359782</v>
      </c>
      <c r="J2630" s="85">
        <f>454*3.25</f>
        <v>1475.5</v>
      </c>
      <c r="K2630" s="131" t="s">
        <v>6817</v>
      </c>
      <c r="L2630" s="60">
        <v>133</v>
      </c>
      <c r="M2630" s="33" t="s">
        <v>6392</v>
      </c>
    </row>
    <row r="2631" spans="1:14" ht="14" x14ac:dyDescent="0.15">
      <c r="A2631" s="166" t="s">
        <v>2479</v>
      </c>
      <c r="B2631" s="82"/>
      <c r="C2631" s="70" t="s">
        <v>3636</v>
      </c>
      <c r="D2631" s="70" t="s">
        <v>3437</v>
      </c>
      <c r="E2631" s="70" t="s">
        <v>3258</v>
      </c>
      <c r="F2631" s="70" t="s">
        <v>7933</v>
      </c>
      <c r="G2631" s="70" t="s">
        <v>5729</v>
      </c>
      <c r="H2631" s="93"/>
      <c r="I2631" s="85">
        <f t="shared" si="102"/>
        <v>3.2304489213782741</v>
      </c>
      <c r="J2631" s="85">
        <v>1700</v>
      </c>
      <c r="K2631" s="131" t="s">
        <v>6485</v>
      </c>
      <c r="L2631" s="60">
        <v>-999</v>
      </c>
    </row>
    <row r="2632" spans="1:14" ht="14" x14ac:dyDescent="0.15">
      <c r="A2632" s="166" t="s">
        <v>2479</v>
      </c>
      <c r="B2632" s="93" t="s">
        <v>1902</v>
      </c>
      <c r="C2632" s="70" t="s">
        <v>3636</v>
      </c>
      <c r="D2632" s="70" t="s">
        <v>3437</v>
      </c>
      <c r="E2632" s="70" t="s">
        <v>3258</v>
      </c>
      <c r="F2632" s="70" t="s">
        <v>7933</v>
      </c>
      <c r="G2632" s="70" t="s">
        <v>6362</v>
      </c>
      <c r="H2632" s="93"/>
      <c r="I2632" s="85">
        <f t="shared" si="102"/>
        <v>3.2787536009528289</v>
      </c>
      <c r="J2632" s="85">
        <v>1900</v>
      </c>
      <c r="K2632" s="131" t="s">
        <v>3177</v>
      </c>
      <c r="L2632" s="60">
        <v>60</v>
      </c>
      <c r="M2632" s="33"/>
    </row>
    <row r="2633" spans="1:14" ht="17" x14ac:dyDescent="0.2">
      <c r="A2633" s="166" t="s">
        <v>2479</v>
      </c>
      <c r="B2633" s="93" t="s">
        <v>7239</v>
      </c>
      <c r="C2633" s="70" t="s">
        <v>3636</v>
      </c>
      <c r="D2633" s="70" t="s">
        <v>3437</v>
      </c>
      <c r="E2633" s="70" t="s">
        <v>3258</v>
      </c>
      <c r="F2633" s="70" t="s">
        <v>7933</v>
      </c>
      <c r="G2633" s="70" t="s">
        <v>6359</v>
      </c>
      <c r="H2633" s="93"/>
      <c r="I2633" s="85">
        <f t="shared" si="102"/>
        <v>3.4329692908744058</v>
      </c>
      <c r="J2633" s="85">
        <f>1000*2.71</f>
        <v>2710</v>
      </c>
      <c r="K2633" s="134" t="s">
        <v>6817</v>
      </c>
      <c r="L2633" s="60">
        <v>60</v>
      </c>
      <c r="M2633" s="47" t="s">
        <v>6392</v>
      </c>
    </row>
    <row r="2634" spans="1:14" ht="16" x14ac:dyDescent="0.2">
      <c r="A2634" s="166" t="s">
        <v>2479</v>
      </c>
      <c r="B2634" s="93" t="s">
        <v>7360</v>
      </c>
      <c r="C2634" s="70" t="s">
        <v>3636</v>
      </c>
      <c r="D2634" s="70" t="s">
        <v>3437</v>
      </c>
      <c r="E2634" s="70" t="s">
        <v>3258</v>
      </c>
      <c r="F2634" s="70" t="s">
        <v>7933</v>
      </c>
      <c r="G2634" s="70" t="s">
        <v>3154</v>
      </c>
      <c r="H2634" s="93"/>
      <c r="I2634" s="85">
        <f t="shared" si="102"/>
        <v>3.6324572921847245</v>
      </c>
      <c r="J2634" s="85">
        <f>1000*AVERAGE(4.29, 4.29)</f>
        <v>4290</v>
      </c>
      <c r="K2634" s="131" t="s">
        <v>3177</v>
      </c>
      <c r="L2634" s="60">
        <v>60</v>
      </c>
      <c r="M2634" s="47"/>
    </row>
    <row r="2635" spans="1:14" ht="14" x14ac:dyDescent="0.15">
      <c r="A2635" s="166" t="s">
        <v>2479</v>
      </c>
      <c r="B2635" s="93" t="s">
        <v>7455</v>
      </c>
      <c r="C2635" s="70" t="s">
        <v>3636</v>
      </c>
      <c r="D2635" s="70" t="s">
        <v>3437</v>
      </c>
      <c r="E2635" s="70" t="s">
        <v>3258</v>
      </c>
      <c r="F2635" s="70" t="s">
        <v>5730</v>
      </c>
      <c r="G2635" s="70" t="s">
        <v>4630</v>
      </c>
      <c r="H2635" s="93"/>
      <c r="I2635" s="85">
        <f t="shared" si="102"/>
        <v>1.5847551331194918</v>
      </c>
      <c r="J2635" s="85">
        <f>1000*AVERAGE(0.031, 0.058, 0.0265, 0.036, 0.033, 0.045, 0.033, 0.045)</f>
        <v>38.437499999999993</v>
      </c>
      <c r="K2635" s="131" t="s">
        <v>3177</v>
      </c>
      <c r="L2635" s="60">
        <v>60</v>
      </c>
      <c r="M2635" s="33"/>
    </row>
    <row r="2636" spans="1:14" ht="14" x14ac:dyDescent="0.15">
      <c r="A2636" s="166" t="s">
        <v>2479</v>
      </c>
      <c r="B2636" s="93" t="s">
        <v>4952</v>
      </c>
      <c r="C2636" s="70" t="s">
        <v>3636</v>
      </c>
      <c r="D2636" s="70" t="s">
        <v>3437</v>
      </c>
      <c r="E2636" s="70" t="s">
        <v>3258</v>
      </c>
      <c r="F2636" s="70" t="s">
        <v>5730</v>
      </c>
      <c r="G2636" s="70" t="s">
        <v>6365</v>
      </c>
      <c r="H2636" s="93"/>
      <c r="I2636" s="85">
        <f t="shared" si="102"/>
        <v>1.6020599913279623</v>
      </c>
      <c r="J2636" s="85">
        <f>1000*AVERAGE(0.04, 0.0225, 0.0515, 0.039, 0.044, 0.039, 0.044)</f>
        <v>40</v>
      </c>
      <c r="K2636" s="131" t="s">
        <v>3177</v>
      </c>
      <c r="L2636" s="60">
        <v>60</v>
      </c>
      <c r="M2636" s="33"/>
    </row>
    <row r="2637" spans="1:14" ht="14" x14ac:dyDescent="0.15">
      <c r="A2637" s="166" t="s">
        <v>2479</v>
      </c>
      <c r="B2637" s="82"/>
      <c r="C2637" s="70" t="s">
        <v>3636</v>
      </c>
      <c r="D2637" s="70" t="s">
        <v>3437</v>
      </c>
      <c r="E2637" s="70" t="s">
        <v>3258</v>
      </c>
      <c r="F2637" s="70" t="s">
        <v>5730</v>
      </c>
      <c r="G2637" s="70" t="s">
        <v>5731</v>
      </c>
      <c r="H2637" s="93"/>
      <c r="I2637" s="85">
        <f t="shared" si="102"/>
        <v>2.0413926851582249</v>
      </c>
      <c r="J2637" s="85">
        <v>110</v>
      </c>
      <c r="K2637" s="131" t="s">
        <v>6485</v>
      </c>
      <c r="L2637" s="60">
        <v>68</v>
      </c>
    </row>
    <row r="2638" spans="1:14" ht="16" x14ac:dyDescent="0.2">
      <c r="A2638" s="166" t="s">
        <v>2479</v>
      </c>
      <c r="B2638" s="93" t="s">
        <v>2418</v>
      </c>
      <c r="C2638" s="70" t="s">
        <v>3636</v>
      </c>
      <c r="D2638" s="70" t="s">
        <v>3437</v>
      </c>
      <c r="E2638" s="70" t="s">
        <v>3258</v>
      </c>
      <c r="F2638" s="70" t="s">
        <v>5730</v>
      </c>
      <c r="G2638" s="70" t="s">
        <v>6363</v>
      </c>
      <c r="H2638" s="93"/>
      <c r="I2638" s="85">
        <f t="shared" si="102"/>
        <v>2.9000939015433982</v>
      </c>
      <c r="J2638" s="85">
        <f>454*1.75</f>
        <v>794.5</v>
      </c>
      <c r="K2638" s="131" t="s">
        <v>3177</v>
      </c>
      <c r="L2638" s="60">
        <v>132</v>
      </c>
      <c r="M2638" s="47"/>
    </row>
    <row r="2639" spans="1:14" ht="42" x14ac:dyDescent="0.15">
      <c r="A2639" s="166" t="s">
        <v>2479</v>
      </c>
      <c r="B2639" s="82" t="s">
        <v>5298</v>
      </c>
      <c r="C2639" s="70" t="s">
        <v>3636</v>
      </c>
      <c r="D2639" s="70" t="s">
        <v>3437</v>
      </c>
      <c r="E2639" s="70" t="s">
        <v>3258</v>
      </c>
      <c r="F2639" s="70" t="s">
        <v>6366</v>
      </c>
      <c r="G2639" s="70" t="s">
        <v>4268</v>
      </c>
      <c r="H2639" s="93"/>
      <c r="I2639" s="85">
        <f t="shared" si="102"/>
        <v>2.1972805581256192</v>
      </c>
      <c r="J2639" s="85">
        <f>AVERAGE(135, 200, 95, 200)</f>
        <v>157.5</v>
      </c>
      <c r="K2639" s="131" t="s">
        <v>6391</v>
      </c>
      <c r="L2639" s="60" t="s">
        <v>6610</v>
      </c>
      <c r="M2639" s="33" t="s">
        <v>6392</v>
      </c>
      <c r="N2639" s="32" t="s">
        <v>1520</v>
      </c>
    </row>
    <row r="2640" spans="1:14" ht="14" x14ac:dyDescent="0.15">
      <c r="A2640" s="166" t="s">
        <v>2479</v>
      </c>
      <c r="B2640" s="82" t="s">
        <v>4953</v>
      </c>
      <c r="C2640" s="70" t="s">
        <v>3636</v>
      </c>
      <c r="D2640" s="70" t="s">
        <v>3437</v>
      </c>
      <c r="E2640" s="70" t="s">
        <v>3258</v>
      </c>
      <c r="F2640" s="70" t="s">
        <v>3114</v>
      </c>
      <c r="G2640" s="70" t="s">
        <v>3115</v>
      </c>
      <c r="H2640" s="93"/>
      <c r="I2640" s="85">
        <f t="shared" si="102"/>
        <v>2.6020599913279625</v>
      </c>
      <c r="J2640" s="85">
        <v>400</v>
      </c>
      <c r="K2640" s="131" t="s">
        <v>6391</v>
      </c>
      <c r="L2640" s="60">
        <v>119</v>
      </c>
      <c r="M2640" s="33" t="s">
        <v>6392</v>
      </c>
    </row>
    <row r="2641" spans="1:14" ht="14" x14ac:dyDescent="0.15">
      <c r="A2641" s="166" t="s">
        <v>2479</v>
      </c>
      <c r="B2641" s="82"/>
      <c r="C2641" s="73" t="s">
        <v>3636</v>
      </c>
      <c r="D2641" s="73" t="s">
        <v>3437</v>
      </c>
      <c r="E2641" s="70" t="s">
        <v>3258</v>
      </c>
      <c r="F2641" s="73" t="s">
        <v>5732</v>
      </c>
      <c r="G2641" s="73" t="s">
        <v>3926</v>
      </c>
      <c r="H2641" s="93"/>
      <c r="I2641" s="85">
        <f t="shared" si="102"/>
        <v>3.0253058652647704</v>
      </c>
      <c r="J2641" s="95">
        <v>1060</v>
      </c>
      <c r="K2641" s="131" t="s">
        <v>6817</v>
      </c>
      <c r="L2641" s="60">
        <v>68</v>
      </c>
      <c r="M2641" s="49" t="s">
        <v>6728</v>
      </c>
    </row>
    <row r="2642" spans="1:14" x14ac:dyDescent="0.15">
      <c r="A2642" s="166" t="s">
        <v>2479</v>
      </c>
      <c r="B2642" s="82"/>
      <c r="C2642" s="70" t="s">
        <v>3636</v>
      </c>
      <c r="D2642" s="70" t="s">
        <v>3437</v>
      </c>
      <c r="E2642" s="70" t="s">
        <v>3258</v>
      </c>
      <c r="F2642" s="70" t="s">
        <v>5732</v>
      </c>
      <c r="G2642" s="70" t="s">
        <v>7186</v>
      </c>
      <c r="H2642" s="93"/>
      <c r="I2642" s="85">
        <f t="shared" si="102"/>
        <v>3.0511525224473814</v>
      </c>
      <c r="J2642" s="85">
        <f>AVERAGE(875, 1500, 1000)</f>
        <v>1125</v>
      </c>
      <c r="K2642" s="131"/>
      <c r="L2642" s="60" t="s">
        <v>1474</v>
      </c>
    </row>
    <row r="2643" spans="1:14" ht="14" x14ac:dyDescent="0.15">
      <c r="A2643" s="166" t="s">
        <v>2479</v>
      </c>
      <c r="B2643" s="82"/>
      <c r="C2643" s="70" t="s">
        <v>3636</v>
      </c>
      <c r="D2643" s="70" t="s">
        <v>3437</v>
      </c>
      <c r="E2643" s="70" t="s">
        <v>3258</v>
      </c>
      <c r="F2643" s="70" t="s">
        <v>5732</v>
      </c>
      <c r="G2643" s="70" t="s">
        <v>3652</v>
      </c>
      <c r="H2643" s="93"/>
      <c r="I2643" s="85">
        <f t="shared" si="102"/>
        <v>3.1072099696478683</v>
      </c>
      <c r="J2643" s="85">
        <v>1280</v>
      </c>
      <c r="K2643" s="131" t="s">
        <v>6391</v>
      </c>
      <c r="L2643" s="60">
        <v>68</v>
      </c>
      <c r="M2643" s="49" t="s">
        <v>6728</v>
      </c>
    </row>
    <row r="2644" spans="1:14" ht="14" x14ac:dyDescent="0.15">
      <c r="A2644" s="166" t="s">
        <v>2479</v>
      </c>
      <c r="B2644" s="82"/>
      <c r="C2644" s="70" t="s">
        <v>3636</v>
      </c>
      <c r="D2644" s="70" t="s">
        <v>3437</v>
      </c>
      <c r="E2644" s="70" t="s">
        <v>3258</v>
      </c>
      <c r="F2644" s="70" t="s">
        <v>5732</v>
      </c>
      <c r="G2644" s="70" t="s">
        <v>3829</v>
      </c>
      <c r="H2644" s="93"/>
      <c r="I2644" s="85">
        <f t="shared" si="102"/>
        <v>3.3117538610557542</v>
      </c>
      <c r="J2644" s="85">
        <v>2050</v>
      </c>
      <c r="K2644" s="131" t="s">
        <v>6485</v>
      </c>
      <c r="L2644" s="60">
        <v>68</v>
      </c>
    </row>
    <row r="2645" spans="1:14" ht="14" x14ac:dyDescent="0.15">
      <c r="A2645" s="166" t="s">
        <v>2479</v>
      </c>
      <c r="B2645" s="82"/>
      <c r="C2645" s="70" t="s">
        <v>3636</v>
      </c>
      <c r="D2645" s="70" t="s">
        <v>3437</v>
      </c>
      <c r="E2645" s="70" t="s">
        <v>3258</v>
      </c>
      <c r="F2645" s="70" t="s">
        <v>5733</v>
      </c>
      <c r="G2645" s="70" t="s">
        <v>5325</v>
      </c>
      <c r="H2645" s="93"/>
      <c r="I2645" s="85">
        <f t="shared" si="102"/>
        <v>2.3443922736851106</v>
      </c>
      <c r="J2645" s="85">
        <v>221</v>
      </c>
      <c r="K2645" s="131" t="s">
        <v>6485</v>
      </c>
      <c r="L2645" s="60">
        <v>68</v>
      </c>
    </row>
    <row r="2646" spans="1:14" ht="16" x14ac:dyDescent="0.2">
      <c r="A2646" s="166" t="s">
        <v>2479</v>
      </c>
      <c r="B2646" s="93" t="s">
        <v>1902</v>
      </c>
      <c r="C2646" s="70" t="s">
        <v>3636</v>
      </c>
      <c r="D2646" s="70" t="s">
        <v>3437</v>
      </c>
      <c r="E2646" s="70" t="s">
        <v>3258</v>
      </c>
      <c r="F2646" s="70" t="s">
        <v>3488</v>
      </c>
      <c r="G2646" s="70" t="s">
        <v>4910</v>
      </c>
      <c r="H2646" s="93"/>
      <c r="I2646" s="85">
        <f t="shared" si="102"/>
        <v>2.6369991200238281</v>
      </c>
      <c r="J2646" s="85">
        <v>433.51</v>
      </c>
      <c r="K2646" s="131" t="s">
        <v>278</v>
      </c>
      <c r="L2646" s="60" t="s">
        <v>279</v>
      </c>
      <c r="M2646" s="47">
        <f>-6.8976+2.725*LOG(250)</f>
        <v>-0.36321347636869739</v>
      </c>
      <c r="N2646" s="37" t="s">
        <v>277</v>
      </c>
    </row>
    <row r="2647" spans="1:14" ht="14" x14ac:dyDescent="0.15">
      <c r="A2647" s="166" t="s">
        <v>2479</v>
      </c>
      <c r="B2647" s="93" t="s">
        <v>1902</v>
      </c>
      <c r="C2647" s="70" t="s">
        <v>3636</v>
      </c>
      <c r="D2647" s="70" t="s">
        <v>3437</v>
      </c>
      <c r="E2647" s="70" t="s">
        <v>3258</v>
      </c>
      <c r="F2647" s="70" t="s">
        <v>3488</v>
      </c>
      <c r="G2647" s="70" t="s">
        <v>7092</v>
      </c>
      <c r="H2647" s="93"/>
      <c r="I2647" s="85">
        <f t="shared" si="102"/>
        <v>2.6369991200238281</v>
      </c>
      <c r="J2647" s="85">
        <v>433.51</v>
      </c>
      <c r="K2647" s="131" t="s">
        <v>6391</v>
      </c>
      <c r="L2647" s="60" t="s">
        <v>279</v>
      </c>
      <c r="M2647" s="33" t="s">
        <v>6728</v>
      </c>
      <c r="N2647" s="37" t="s">
        <v>277</v>
      </c>
    </row>
    <row r="2648" spans="1:14" ht="42" x14ac:dyDescent="0.15">
      <c r="A2648" s="166" t="s">
        <v>2479</v>
      </c>
      <c r="B2648" s="93" t="s">
        <v>7288</v>
      </c>
      <c r="C2648" s="70" t="s">
        <v>3636</v>
      </c>
      <c r="D2648" s="70" t="s">
        <v>3437</v>
      </c>
      <c r="E2648" s="70" t="s">
        <v>3258</v>
      </c>
      <c r="F2648" s="70" t="s">
        <v>3288</v>
      </c>
      <c r="G2648" s="70" t="s">
        <v>3001</v>
      </c>
      <c r="H2648" s="93"/>
      <c r="I2648" s="85">
        <f t="shared" si="102"/>
        <v>2.4082399653118496</v>
      </c>
      <c r="J2648" s="85">
        <v>256</v>
      </c>
      <c r="K2648" s="131" t="s">
        <v>6630</v>
      </c>
      <c r="L2648" s="60">
        <v>60</v>
      </c>
      <c r="M2648" s="33" t="s">
        <v>6392</v>
      </c>
      <c r="N2648" s="37" t="s">
        <v>7325</v>
      </c>
    </row>
    <row r="2649" spans="1:14" ht="28" x14ac:dyDescent="0.15">
      <c r="A2649" s="166" t="s">
        <v>2479</v>
      </c>
      <c r="B2649" s="82"/>
      <c r="C2649" s="70" t="s">
        <v>3636</v>
      </c>
      <c r="D2649" s="70" t="s">
        <v>3437</v>
      </c>
      <c r="E2649" s="70" t="s">
        <v>3258</v>
      </c>
      <c r="F2649" s="70" t="s">
        <v>3288</v>
      </c>
      <c r="G2649" s="70" t="s">
        <v>5326</v>
      </c>
      <c r="H2649" s="93"/>
      <c r="I2649" s="85">
        <f t="shared" si="102"/>
        <v>2.5224442335063197</v>
      </c>
      <c r="J2649" s="85">
        <v>333</v>
      </c>
      <c r="K2649" s="131" t="s">
        <v>6759</v>
      </c>
      <c r="L2649" s="60">
        <v>68</v>
      </c>
      <c r="M2649" s="49" t="s">
        <v>6725</v>
      </c>
    </row>
    <row r="2650" spans="1:14" ht="56" x14ac:dyDescent="0.15">
      <c r="A2650" s="166" t="s">
        <v>2479</v>
      </c>
      <c r="B2650" s="93" t="s">
        <v>7254</v>
      </c>
      <c r="C2650" s="70" t="s">
        <v>3636</v>
      </c>
      <c r="D2650" s="70" t="s">
        <v>3437</v>
      </c>
      <c r="E2650" s="70" t="s">
        <v>3258</v>
      </c>
      <c r="F2650" s="70" t="s">
        <v>6013</v>
      </c>
      <c r="G2650" s="70" t="s">
        <v>6014</v>
      </c>
      <c r="H2650" s="93"/>
      <c r="I2650" s="85">
        <f t="shared" si="102"/>
        <v>2.7781512503836434</v>
      </c>
      <c r="J2650" s="85">
        <v>600</v>
      </c>
      <c r="K2650" s="131" t="s">
        <v>3177</v>
      </c>
      <c r="L2650" s="60">
        <v>194</v>
      </c>
      <c r="M2650" s="33"/>
    </row>
    <row r="2651" spans="1:14" ht="14" x14ac:dyDescent="0.15">
      <c r="A2651" s="166" t="s">
        <v>2479</v>
      </c>
      <c r="B2651" s="93" t="s">
        <v>7817</v>
      </c>
      <c r="C2651" s="70" t="s">
        <v>3636</v>
      </c>
      <c r="D2651" s="70" t="s">
        <v>3437</v>
      </c>
      <c r="E2651" s="70" t="s">
        <v>3258</v>
      </c>
      <c r="F2651" s="70" t="s">
        <v>2778</v>
      </c>
      <c r="G2651" s="70" t="s">
        <v>6015</v>
      </c>
      <c r="H2651" s="93"/>
      <c r="I2651" s="85">
        <v>-999</v>
      </c>
      <c r="J2651" s="85">
        <v>-999</v>
      </c>
      <c r="K2651" s="131" t="s">
        <v>3177</v>
      </c>
      <c r="L2651" s="60">
        <v>-999</v>
      </c>
      <c r="M2651" s="33"/>
    </row>
    <row r="2652" spans="1:14" ht="28" x14ac:dyDescent="0.2">
      <c r="A2652" s="166" t="s">
        <v>2479</v>
      </c>
      <c r="B2652" s="93" t="s">
        <v>5293</v>
      </c>
      <c r="C2652" s="73" t="s">
        <v>3636</v>
      </c>
      <c r="D2652" s="73" t="s">
        <v>3437</v>
      </c>
      <c r="E2652" s="70" t="s">
        <v>3258</v>
      </c>
      <c r="F2652" s="73" t="s">
        <v>2778</v>
      </c>
      <c r="G2652" s="73" t="s">
        <v>7651</v>
      </c>
      <c r="H2652" s="93"/>
      <c r="I2652" s="85">
        <v>-999</v>
      </c>
      <c r="J2652" s="95">
        <v>-999</v>
      </c>
      <c r="K2652" s="131" t="s">
        <v>3177</v>
      </c>
      <c r="L2652" s="60">
        <v>-999</v>
      </c>
      <c r="M2652" s="47"/>
    </row>
    <row r="2653" spans="1:14" ht="14" x14ac:dyDescent="0.15">
      <c r="A2653" s="166" t="s">
        <v>2479</v>
      </c>
      <c r="B2653" s="93" t="s">
        <v>2186</v>
      </c>
      <c r="C2653" s="70" t="s">
        <v>3636</v>
      </c>
      <c r="D2653" s="70" t="s">
        <v>3437</v>
      </c>
      <c r="E2653" s="70" t="s">
        <v>3258</v>
      </c>
      <c r="F2653" s="70" t="s">
        <v>2778</v>
      </c>
      <c r="G2653" s="70" t="s">
        <v>5644</v>
      </c>
      <c r="H2653" s="93"/>
      <c r="I2653" s="85">
        <v>-999</v>
      </c>
      <c r="J2653" s="85">
        <v>-999</v>
      </c>
      <c r="K2653" s="131" t="s">
        <v>6391</v>
      </c>
      <c r="L2653" s="60">
        <v>-999</v>
      </c>
      <c r="M2653" s="33" t="s">
        <v>6392</v>
      </c>
    </row>
    <row r="2654" spans="1:14" ht="14" x14ac:dyDescent="0.15">
      <c r="A2654" s="166" t="s">
        <v>2479</v>
      </c>
      <c r="B2654" s="93" t="s">
        <v>7825</v>
      </c>
      <c r="C2654" s="70" t="s">
        <v>3636</v>
      </c>
      <c r="D2654" s="70" t="s">
        <v>3437</v>
      </c>
      <c r="E2654" s="70" t="s">
        <v>3258</v>
      </c>
      <c r="F2654" s="70" t="s">
        <v>2778</v>
      </c>
      <c r="G2654" s="70" t="s">
        <v>7652</v>
      </c>
      <c r="H2654" s="93"/>
      <c r="I2654" s="85">
        <v>-999</v>
      </c>
      <c r="J2654" s="85">
        <v>-999</v>
      </c>
      <c r="K2654" s="131" t="s">
        <v>3177</v>
      </c>
      <c r="L2654" s="60">
        <v>-999</v>
      </c>
      <c r="M2654" s="33"/>
    </row>
    <row r="2655" spans="1:14" ht="14" x14ac:dyDescent="0.15">
      <c r="A2655" s="166" t="s">
        <v>2479</v>
      </c>
      <c r="B2655" s="82"/>
      <c r="C2655" s="70" t="s">
        <v>3636</v>
      </c>
      <c r="D2655" s="70" t="s">
        <v>3437</v>
      </c>
      <c r="E2655" s="70" t="s">
        <v>3258</v>
      </c>
      <c r="F2655" s="70" t="s">
        <v>2778</v>
      </c>
      <c r="G2655" s="70" t="s">
        <v>6967</v>
      </c>
      <c r="H2655" s="93"/>
      <c r="I2655" s="85">
        <f t="shared" ref="I2655:I2661" si="103">LOG(J2655)</f>
        <v>2.1335389083702174</v>
      </c>
      <c r="J2655" s="85">
        <v>136</v>
      </c>
      <c r="K2655" s="131" t="s">
        <v>6485</v>
      </c>
      <c r="L2655" s="60">
        <v>68</v>
      </c>
    </row>
    <row r="2656" spans="1:14" ht="14" x14ac:dyDescent="0.15">
      <c r="A2656" s="166" t="s">
        <v>2479</v>
      </c>
      <c r="B2656" s="93" t="s">
        <v>2211</v>
      </c>
      <c r="C2656" s="70" t="s">
        <v>3636</v>
      </c>
      <c r="D2656" s="70" t="s">
        <v>3437</v>
      </c>
      <c r="E2656" s="70" t="s">
        <v>3258</v>
      </c>
      <c r="F2656" s="70" t="s">
        <v>2778</v>
      </c>
      <c r="G2656" s="70" t="s">
        <v>7650</v>
      </c>
      <c r="H2656" s="93"/>
      <c r="I2656" s="85">
        <f t="shared" si="103"/>
        <v>2.2076343673889616</v>
      </c>
      <c r="J2656" s="85">
        <v>161.30000000000001</v>
      </c>
      <c r="K2656" s="131" t="s">
        <v>3177</v>
      </c>
      <c r="L2656" s="60">
        <v>173</v>
      </c>
      <c r="M2656" s="33"/>
    </row>
    <row r="2657" spans="1:16" ht="14" x14ac:dyDescent="0.15">
      <c r="A2657" s="166" t="s">
        <v>2479</v>
      </c>
      <c r="B2657" s="82"/>
      <c r="C2657" s="70" t="s">
        <v>3636</v>
      </c>
      <c r="D2657" s="70" t="s">
        <v>3437</v>
      </c>
      <c r="E2657" s="70" t="s">
        <v>3258</v>
      </c>
      <c r="F2657" s="70" t="s">
        <v>2778</v>
      </c>
      <c r="G2657" s="70" t="s">
        <v>7654</v>
      </c>
      <c r="H2657" s="93"/>
      <c r="I2657" s="85">
        <f t="shared" si="103"/>
        <v>2.4014005407815442</v>
      </c>
      <c r="J2657" s="85">
        <f>(280+224)/2</f>
        <v>252</v>
      </c>
      <c r="K2657" s="131" t="s">
        <v>6391</v>
      </c>
      <c r="L2657" s="60">
        <v>134</v>
      </c>
      <c r="M2657" s="49" t="s">
        <v>6728</v>
      </c>
      <c r="N2657" s="33" t="s">
        <v>7610</v>
      </c>
    </row>
    <row r="2658" spans="1:16" ht="42" x14ac:dyDescent="0.15">
      <c r="A2658" s="166" t="s">
        <v>2479</v>
      </c>
      <c r="B2658" s="93" t="s">
        <v>7377</v>
      </c>
      <c r="C2658" s="70" t="s">
        <v>3636</v>
      </c>
      <c r="D2658" s="70" t="s">
        <v>3437</v>
      </c>
      <c r="E2658" s="70" t="s">
        <v>3258</v>
      </c>
      <c r="F2658" s="70" t="s">
        <v>2778</v>
      </c>
      <c r="G2658" s="70" t="s">
        <v>5868</v>
      </c>
      <c r="H2658" s="93"/>
      <c r="I2658" s="85">
        <f t="shared" si="103"/>
        <v>2.4618985217290041</v>
      </c>
      <c r="J2658" s="85">
        <f>AVERAGE(277, 200, 285, 224, 423, 309, 495, 308, 295, 255, 453, 300, 391, 267, 315, 220, 306, 207, 283, 222, 263, 197, 381, 227, 321, 209, 297, 217, 306, 237)</f>
        <v>289.66666666666669</v>
      </c>
      <c r="K2658" s="131" t="s">
        <v>3177</v>
      </c>
      <c r="L2658" s="60">
        <v>195</v>
      </c>
      <c r="M2658" s="33"/>
    </row>
    <row r="2659" spans="1:16" ht="42" x14ac:dyDescent="0.15">
      <c r="A2659" s="166" t="s">
        <v>2479</v>
      </c>
      <c r="B2659" s="93" t="s">
        <v>4703</v>
      </c>
      <c r="C2659" s="70" t="s">
        <v>3636</v>
      </c>
      <c r="D2659" s="70" t="s">
        <v>3437</v>
      </c>
      <c r="E2659" s="70" t="s">
        <v>3258</v>
      </c>
      <c r="F2659" s="70" t="s">
        <v>2778</v>
      </c>
      <c r="G2659" s="70" t="s">
        <v>6159</v>
      </c>
      <c r="H2659" s="93"/>
      <c r="I2659" s="85">
        <f t="shared" si="103"/>
        <v>2.4623979978989561</v>
      </c>
      <c r="J2659" s="85">
        <f>AVERAGE(240, 340)</f>
        <v>290</v>
      </c>
      <c r="K2659" s="131" t="s">
        <v>6391</v>
      </c>
      <c r="L2659" s="60" t="s">
        <v>6610</v>
      </c>
      <c r="M2659" s="33" t="s">
        <v>6728</v>
      </c>
      <c r="N2659" s="32" t="s">
        <v>6612</v>
      </c>
    </row>
    <row r="2660" spans="1:16" ht="14" x14ac:dyDescent="0.15">
      <c r="A2660" s="166" t="s">
        <v>2479</v>
      </c>
      <c r="B2660" s="82"/>
      <c r="C2660" s="70" t="s">
        <v>3636</v>
      </c>
      <c r="D2660" s="70" t="s">
        <v>3437</v>
      </c>
      <c r="E2660" s="70" t="s">
        <v>3258</v>
      </c>
      <c r="F2660" s="70" t="s">
        <v>2778</v>
      </c>
      <c r="G2660" s="70" t="s">
        <v>6284</v>
      </c>
      <c r="H2660" s="93"/>
      <c r="I2660" s="85">
        <f t="shared" si="103"/>
        <v>2.7752462597402365</v>
      </c>
      <c r="J2660" s="85">
        <v>596</v>
      </c>
      <c r="K2660" s="131" t="s">
        <v>6485</v>
      </c>
      <c r="L2660" s="60">
        <v>68</v>
      </c>
    </row>
    <row r="2661" spans="1:16" ht="14" x14ac:dyDescent="0.15">
      <c r="A2661" s="166" t="s">
        <v>2479</v>
      </c>
      <c r="B2661" s="93" t="s">
        <v>4842</v>
      </c>
      <c r="C2661" s="70" t="s">
        <v>3636</v>
      </c>
      <c r="D2661" s="70" t="s">
        <v>3437</v>
      </c>
      <c r="E2661" s="70" t="s">
        <v>3258</v>
      </c>
      <c r="F2661" s="70" t="s">
        <v>2778</v>
      </c>
      <c r="G2661" s="70" t="s">
        <v>7653</v>
      </c>
      <c r="H2661" s="93"/>
      <c r="I2661" s="85">
        <f t="shared" si="103"/>
        <v>2.7781512503836434</v>
      </c>
      <c r="J2661" s="85">
        <v>600</v>
      </c>
      <c r="K2661" s="131" t="s">
        <v>3177</v>
      </c>
      <c r="L2661" s="60">
        <v>75</v>
      </c>
    </row>
    <row r="2662" spans="1:16" x14ac:dyDescent="0.15">
      <c r="A2662" s="165" t="s">
        <v>2479</v>
      </c>
      <c r="B2662" s="97"/>
      <c r="C2662" s="62" t="s">
        <v>3636</v>
      </c>
      <c r="D2662" s="62" t="s">
        <v>3437</v>
      </c>
      <c r="E2662" s="62" t="s">
        <v>3258</v>
      </c>
      <c r="F2662" s="62" t="s">
        <v>2778</v>
      </c>
      <c r="G2662" s="62" t="s">
        <v>5989</v>
      </c>
      <c r="H2662" s="97"/>
      <c r="I2662" s="103">
        <v>2.8808099999999999</v>
      </c>
      <c r="J2662" s="98">
        <v>759.99371366152741</v>
      </c>
      <c r="K2662" s="135"/>
      <c r="L2662" s="67">
        <v>60</v>
      </c>
      <c r="M2662" s="35"/>
      <c r="N2662" s="35"/>
      <c r="O2662" s="35"/>
      <c r="P2662" s="35"/>
    </row>
    <row r="2663" spans="1:16" ht="14" x14ac:dyDescent="0.15">
      <c r="A2663" s="166" t="s">
        <v>2479</v>
      </c>
      <c r="B2663" s="82"/>
      <c r="C2663" s="73" t="s">
        <v>3636</v>
      </c>
      <c r="D2663" s="73" t="s">
        <v>3437</v>
      </c>
      <c r="E2663" s="70" t="s">
        <v>3258</v>
      </c>
      <c r="F2663" s="73" t="s">
        <v>2778</v>
      </c>
      <c r="G2663" s="73" t="s">
        <v>5328</v>
      </c>
      <c r="H2663" s="93"/>
      <c r="I2663" s="85">
        <f t="shared" ref="I2663:I2699" si="104">LOG(J2663)</f>
        <v>2.9242792860618816</v>
      </c>
      <c r="J2663" s="95">
        <v>840</v>
      </c>
      <c r="K2663" s="131" t="s">
        <v>6485</v>
      </c>
      <c r="L2663" s="60">
        <v>68</v>
      </c>
    </row>
    <row r="2664" spans="1:16" ht="14" x14ac:dyDescent="0.15">
      <c r="A2664" s="166" t="s">
        <v>2479</v>
      </c>
      <c r="B2664" s="82"/>
      <c r="C2664" s="70" t="s">
        <v>3636</v>
      </c>
      <c r="D2664" s="70" t="s">
        <v>3437</v>
      </c>
      <c r="E2664" s="70" t="s">
        <v>3258</v>
      </c>
      <c r="F2664" s="70" t="s">
        <v>5345</v>
      </c>
      <c r="G2664" s="70" t="s">
        <v>5077</v>
      </c>
      <c r="H2664" s="93"/>
      <c r="I2664" s="85">
        <f t="shared" si="104"/>
        <v>1.8750612633917001</v>
      </c>
      <c r="J2664" s="85">
        <v>75</v>
      </c>
      <c r="K2664" s="131" t="s">
        <v>6485</v>
      </c>
      <c r="L2664" s="60">
        <v>68</v>
      </c>
    </row>
    <row r="2665" spans="1:16" ht="14" x14ac:dyDescent="0.15">
      <c r="A2665" s="166" t="s">
        <v>2479</v>
      </c>
      <c r="B2665" s="93" t="s">
        <v>4860</v>
      </c>
      <c r="C2665" s="73" t="s">
        <v>3636</v>
      </c>
      <c r="D2665" s="73" t="s">
        <v>3437</v>
      </c>
      <c r="E2665" s="70" t="s">
        <v>3258</v>
      </c>
      <c r="F2665" s="73" t="s">
        <v>5345</v>
      </c>
      <c r="G2665" s="73" t="s">
        <v>5057</v>
      </c>
      <c r="H2665" s="93"/>
      <c r="I2665" s="85">
        <f t="shared" si="104"/>
        <v>1.954242509439325</v>
      </c>
      <c r="J2665" s="95">
        <f>AVERAGE(60, 120)</f>
        <v>90</v>
      </c>
      <c r="K2665" s="131" t="s">
        <v>3177</v>
      </c>
      <c r="L2665" s="60">
        <v>119</v>
      </c>
      <c r="M2665" s="33"/>
    </row>
    <row r="2666" spans="1:16" x14ac:dyDescent="0.15">
      <c r="A2666" s="166" t="s">
        <v>2479</v>
      </c>
      <c r="B2666" s="82"/>
      <c r="C2666" s="70" t="s">
        <v>3636</v>
      </c>
      <c r="D2666" s="70" t="s">
        <v>3437</v>
      </c>
      <c r="E2666" s="70" t="s">
        <v>3258</v>
      </c>
      <c r="F2666" s="70" t="s">
        <v>5345</v>
      </c>
      <c r="G2666" s="70" t="s">
        <v>5346</v>
      </c>
      <c r="H2666" s="93"/>
      <c r="I2666" s="85">
        <f t="shared" si="104"/>
        <v>2.6989700043360187</v>
      </c>
      <c r="J2666" s="85">
        <v>500</v>
      </c>
      <c r="K2666" s="131"/>
      <c r="L2666" s="60">
        <v>119</v>
      </c>
    </row>
    <row r="2667" spans="1:16" ht="14" x14ac:dyDescent="0.15">
      <c r="A2667" s="166" t="s">
        <v>2479</v>
      </c>
      <c r="B2667" s="82"/>
      <c r="C2667" s="70" t="s">
        <v>3636</v>
      </c>
      <c r="D2667" s="70" t="s">
        <v>3437</v>
      </c>
      <c r="E2667" s="70" t="s">
        <v>3258</v>
      </c>
      <c r="F2667" s="70" t="s">
        <v>2926</v>
      </c>
      <c r="G2667" s="70" t="s">
        <v>6829</v>
      </c>
      <c r="H2667" s="93"/>
      <c r="I2667" s="85">
        <f t="shared" si="104"/>
        <v>1.9294189257142926</v>
      </c>
      <c r="J2667" s="85">
        <v>85</v>
      </c>
      <c r="K2667" s="131" t="s">
        <v>6485</v>
      </c>
      <c r="L2667" s="60">
        <v>68</v>
      </c>
    </row>
    <row r="2668" spans="1:16" ht="42" x14ac:dyDescent="0.15">
      <c r="A2668" s="166" t="s">
        <v>2479</v>
      </c>
      <c r="B2668" s="93" t="s">
        <v>7260</v>
      </c>
      <c r="C2668" s="70" t="s">
        <v>3636</v>
      </c>
      <c r="D2668" s="70" t="s">
        <v>3437</v>
      </c>
      <c r="E2668" s="70" t="s">
        <v>3258</v>
      </c>
      <c r="F2668" s="70" t="s">
        <v>5401</v>
      </c>
      <c r="G2668" s="70" t="s">
        <v>5402</v>
      </c>
      <c r="H2668" s="93"/>
      <c r="I2668" s="85">
        <f t="shared" si="104"/>
        <v>1.7440483790712069</v>
      </c>
      <c r="J2668" s="85">
        <f>AVERAGE(40, ((2.5/16)*454))</f>
        <v>55.46875</v>
      </c>
      <c r="K2668" s="131"/>
      <c r="L2668" s="60" t="s">
        <v>1435</v>
      </c>
      <c r="M2668" s="33"/>
    </row>
    <row r="2669" spans="1:16" ht="28" x14ac:dyDescent="0.15">
      <c r="A2669" s="166" t="s">
        <v>2479</v>
      </c>
      <c r="B2669" s="93" t="s">
        <v>7392</v>
      </c>
      <c r="C2669" s="70" t="s">
        <v>3636</v>
      </c>
      <c r="D2669" s="70" t="s">
        <v>3437</v>
      </c>
      <c r="E2669" s="73" t="s">
        <v>3258</v>
      </c>
      <c r="F2669" s="70" t="s">
        <v>5401</v>
      </c>
      <c r="G2669" s="70" t="s">
        <v>5403</v>
      </c>
      <c r="H2669" s="93"/>
      <c r="I2669" s="85">
        <f t="shared" si="104"/>
        <v>1.7478000908643689</v>
      </c>
      <c r="J2669" s="85">
        <f>1000*AVERAGE(0.0627, 0.0492)</f>
        <v>55.95</v>
      </c>
      <c r="K2669" s="131" t="s">
        <v>3177</v>
      </c>
      <c r="L2669" s="60">
        <v>60</v>
      </c>
      <c r="M2669" s="33"/>
    </row>
    <row r="2670" spans="1:16" ht="14" x14ac:dyDescent="0.15">
      <c r="A2670" s="166" t="s">
        <v>2479</v>
      </c>
      <c r="B2670" s="93" t="s">
        <v>7264</v>
      </c>
      <c r="C2670" s="70" t="s">
        <v>3636</v>
      </c>
      <c r="D2670" s="70" t="s">
        <v>3437</v>
      </c>
      <c r="E2670" s="70" t="s">
        <v>3258</v>
      </c>
      <c r="F2670" s="70" t="s">
        <v>5401</v>
      </c>
      <c r="G2670" s="70" t="s">
        <v>7170</v>
      </c>
      <c r="H2670" s="93"/>
      <c r="I2670" s="85">
        <f t="shared" si="104"/>
        <v>1.8460276753643787</v>
      </c>
      <c r="J2670" s="85">
        <f>1000*AVERAGE(0.067, 0.0733)</f>
        <v>70.150000000000006</v>
      </c>
      <c r="K2670" s="131" t="s">
        <v>3177</v>
      </c>
      <c r="L2670" s="60">
        <v>60</v>
      </c>
      <c r="M2670" s="33"/>
    </row>
    <row r="2671" spans="1:16" ht="28" x14ac:dyDescent="0.2">
      <c r="A2671" s="166" t="s">
        <v>2479</v>
      </c>
      <c r="B2671" s="93" t="s">
        <v>7281</v>
      </c>
      <c r="C2671" s="70" t="s">
        <v>3636</v>
      </c>
      <c r="D2671" s="70" t="s">
        <v>3437</v>
      </c>
      <c r="E2671" s="70" t="s">
        <v>3258</v>
      </c>
      <c r="F2671" s="70" t="s">
        <v>5401</v>
      </c>
      <c r="G2671" s="70" t="s">
        <v>5582</v>
      </c>
      <c r="H2671" s="93"/>
      <c r="I2671" s="85">
        <f t="shared" si="104"/>
        <v>1.9294189257142926</v>
      </c>
      <c r="J2671" s="85">
        <f>1000*0.085</f>
        <v>85</v>
      </c>
      <c r="K2671" s="131" t="s">
        <v>3177</v>
      </c>
      <c r="L2671" s="60">
        <v>60</v>
      </c>
      <c r="M2671" s="47"/>
      <c r="O2671" s="33"/>
    </row>
    <row r="2672" spans="1:16" ht="28" x14ac:dyDescent="0.15">
      <c r="A2672" s="166" t="s">
        <v>2479</v>
      </c>
      <c r="B2672" s="93" t="s">
        <v>1902</v>
      </c>
      <c r="C2672" s="70" t="s">
        <v>3636</v>
      </c>
      <c r="D2672" s="70" t="s">
        <v>3437</v>
      </c>
      <c r="E2672" s="70" t="s">
        <v>3258</v>
      </c>
      <c r="F2672" s="70" t="s">
        <v>3117</v>
      </c>
      <c r="G2672" s="70" t="s">
        <v>3118</v>
      </c>
      <c r="H2672" s="93"/>
      <c r="I2672" s="85">
        <f t="shared" si="104"/>
        <v>2.8721195456217417</v>
      </c>
      <c r="J2672" s="85">
        <v>744.93700000000001</v>
      </c>
      <c r="K2672" s="131" t="s">
        <v>6391</v>
      </c>
      <c r="L2672" s="60" t="s">
        <v>6687</v>
      </c>
      <c r="M2672" s="33" t="s">
        <v>6390</v>
      </c>
      <c r="N2672" s="35" t="s">
        <v>7620</v>
      </c>
    </row>
    <row r="2673" spans="1:18" ht="14" x14ac:dyDescent="0.15">
      <c r="A2673" s="166" t="s">
        <v>2479</v>
      </c>
      <c r="B2673" s="93" t="s">
        <v>2418</v>
      </c>
      <c r="C2673" s="70" t="s">
        <v>3636</v>
      </c>
      <c r="D2673" s="70" t="s">
        <v>4010</v>
      </c>
      <c r="E2673" s="70" t="s">
        <v>3817</v>
      </c>
      <c r="F2673" s="70" t="s">
        <v>5547</v>
      </c>
      <c r="G2673" s="70" t="s">
        <v>5806</v>
      </c>
      <c r="H2673" s="93"/>
      <c r="I2673" s="85">
        <f t="shared" si="104"/>
        <v>2.2041199826559246</v>
      </c>
      <c r="J2673" s="98">
        <v>160</v>
      </c>
      <c r="K2673" s="131" t="s">
        <v>6391</v>
      </c>
      <c r="L2673" s="66">
        <v>141</v>
      </c>
      <c r="M2673" s="33" t="s">
        <v>6392</v>
      </c>
    </row>
    <row r="2674" spans="1:18" ht="14" x14ac:dyDescent="0.15">
      <c r="A2674" s="166" t="s">
        <v>2479</v>
      </c>
      <c r="B2674" s="82"/>
      <c r="C2674" s="70" t="s">
        <v>3636</v>
      </c>
      <c r="D2674" s="70" t="s">
        <v>4010</v>
      </c>
      <c r="E2674" s="70" t="s">
        <v>3817</v>
      </c>
      <c r="F2674" s="70" t="s">
        <v>5541</v>
      </c>
      <c r="G2674" s="70" t="s">
        <v>4125</v>
      </c>
      <c r="H2674" s="93"/>
      <c r="I2674" s="85">
        <f t="shared" si="104"/>
        <v>1.6989700043360187</v>
      </c>
      <c r="J2674" s="85">
        <v>50</v>
      </c>
      <c r="K2674" s="131" t="s">
        <v>3177</v>
      </c>
      <c r="L2674" s="60">
        <v>141</v>
      </c>
      <c r="M2674" s="33"/>
    </row>
    <row r="2675" spans="1:18" ht="14" x14ac:dyDescent="0.15">
      <c r="A2675" s="166" t="s">
        <v>2479</v>
      </c>
      <c r="B2675" s="82"/>
      <c r="C2675" s="70" t="s">
        <v>3636</v>
      </c>
      <c r="D2675" s="70" t="s">
        <v>4010</v>
      </c>
      <c r="E2675" s="70" t="s">
        <v>3817</v>
      </c>
      <c r="F2675" s="70" t="s">
        <v>5658</v>
      </c>
      <c r="G2675" s="70" t="s">
        <v>5057</v>
      </c>
      <c r="H2675" s="93"/>
      <c r="I2675" s="85">
        <f t="shared" si="104"/>
        <v>1.6283889300503116</v>
      </c>
      <c r="J2675" s="85">
        <v>42.5</v>
      </c>
      <c r="K2675" s="131" t="s">
        <v>6485</v>
      </c>
      <c r="L2675" s="60">
        <v>68</v>
      </c>
    </row>
    <row r="2676" spans="1:18" ht="28" x14ac:dyDescent="0.15">
      <c r="A2676" s="166" t="s">
        <v>2479</v>
      </c>
      <c r="B2676" s="93" t="s">
        <v>6859</v>
      </c>
      <c r="C2676" s="70" t="s">
        <v>3636</v>
      </c>
      <c r="D2676" s="70" t="s">
        <v>4010</v>
      </c>
      <c r="E2676" s="70" t="s">
        <v>3817</v>
      </c>
      <c r="F2676" s="70" t="s">
        <v>5058</v>
      </c>
      <c r="G2676" s="70" t="s">
        <v>2913</v>
      </c>
      <c r="H2676" s="93"/>
      <c r="I2676" s="85">
        <f t="shared" si="104"/>
        <v>1.8450980400142569</v>
      </c>
      <c r="J2676" s="85">
        <v>70</v>
      </c>
      <c r="K2676" s="131" t="s">
        <v>3177</v>
      </c>
      <c r="L2676" s="60">
        <v>119</v>
      </c>
      <c r="M2676" s="33"/>
    </row>
    <row r="2677" spans="1:18" ht="14" x14ac:dyDescent="0.15">
      <c r="A2677" s="166" t="s">
        <v>2479</v>
      </c>
      <c r="B2677" s="82"/>
      <c r="C2677" s="70" t="s">
        <v>3636</v>
      </c>
      <c r="D2677" s="70" t="s">
        <v>4010</v>
      </c>
      <c r="E2677" s="70" t="s">
        <v>3817</v>
      </c>
      <c r="F2677" s="70" t="s">
        <v>5058</v>
      </c>
      <c r="G2677" s="70" t="s">
        <v>7782</v>
      </c>
      <c r="H2677" s="93"/>
      <c r="I2677" s="85">
        <f t="shared" si="104"/>
        <v>2.2013971243204513</v>
      </c>
      <c r="J2677" s="85">
        <v>159</v>
      </c>
      <c r="K2677" s="131" t="s">
        <v>6485</v>
      </c>
      <c r="L2677" s="60">
        <v>75</v>
      </c>
      <c r="O2677" s="35"/>
    </row>
    <row r="2678" spans="1:18" ht="42" x14ac:dyDescent="0.15">
      <c r="A2678" s="166" t="s">
        <v>2479</v>
      </c>
      <c r="B2678" s="93" t="s">
        <v>6857</v>
      </c>
      <c r="C2678" s="70" t="s">
        <v>3636</v>
      </c>
      <c r="D2678" s="70" t="s">
        <v>4010</v>
      </c>
      <c r="E2678" s="70" t="s">
        <v>3817</v>
      </c>
      <c r="F2678" s="70" t="s">
        <v>5058</v>
      </c>
      <c r="G2678" s="70" t="s">
        <v>5260</v>
      </c>
      <c r="H2678" s="93"/>
      <c r="I2678" s="85">
        <f t="shared" si="104"/>
        <v>2.3010299956639813</v>
      </c>
      <c r="J2678" s="85">
        <v>200</v>
      </c>
      <c r="K2678" s="131" t="s">
        <v>3177</v>
      </c>
      <c r="L2678" s="60">
        <v>75</v>
      </c>
    </row>
    <row r="2679" spans="1:18" ht="16" x14ac:dyDescent="0.2">
      <c r="A2679" s="166" t="s">
        <v>2481</v>
      </c>
      <c r="B2679" s="82" t="s">
        <v>2018</v>
      </c>
      <c r="C2679" s="70" t="s">
        <v>3636</v>
      </c>
      <c r="D2679" s="70" t="s">
        <v>2837</v>
      </c>
      <c r="E2679" s="70" t="s">
        <v>3178</v>
      </c>
      <c r="F2679" s="70" t="s">
        <v>3885</v>
      </c>
      <c r="G2679" s="70" t="s">
        <v>7202</v>
      </c>
      <c r="H2679" s="93"/>
      <c r="I2679" s="85">
        <f t="shared" si="104"/>
        <v>5.8450980400142569</v>
      </c>
      <c r="J2679" s="85">
        <v>700000</v>
      </c>
      <c r="K2679" s="131"/>
      <c r="L2679" s="63" t="s">
        <v>1353</v>
      </c>
      <c r="M2679" s="33"/>
      <c r="N2679" s="48"/>
    </row>
    <row r="2680" spans="1:18" ht="28" x14ac:dyDescent="0.15">
      <c r="A2680" s="166" t="s">
        <v>2481</v>
      </c>
      <c r="B2680" s="93" t="s">
        <v>2428</v>
      </c>
      <c r="C2680" s="70" t="s">
        <v>3636</v>
      </c>
      <c r="D2680" s="70" t="s">
        <v>2837</v>
      </c>
      <c r="E2680" s="70" t="s">
        <v>3178</v>
      </c>
      <c r="F2680" s="70" t="s">
        <v>7189</v>
      </c>
      <c r="G2680" s="70" t="s">
        <v>5725</v>
      </c>
      <c r="H2680" s="93"/>
      <c r="I2680" s="85">
        <f t="shared" si="104"/>
        <v>5.1760912590556813</v>
      </c>
      <c r="J2680" s="85">
        <v>150000</v>
      </c>
      <c r="K2680" s="131" t="s">
        <v>6629</v>
      </c>
      <c r="L2680" s="60">
        <v>136</v>
      </c>
      <c r="M2680" s="33" t="s">
        <v>6390</v>
      </c>
    </row>
    <row r="2681" spans="1:18" ht="70" x14ac:dyDescent="0.15">
      <c r="A2681" s="166" t="s">
        <v>2481</v>
      </c>
      <c r="B2681" s="93" t="s">
        <v>5852</v>
      </c>
      <c r="C2681" s="70" t="s">
        <v>3636</v>
      </c>
      <c r="D2681" s="70" t="s">
        <v>2837</v>
      </c>
      <c r="E2681" s="70" t="s">
        <v>3178</v>
      </c>
      <c r="F2681" s="70" t="s">
        <v>7189</v>
      </c>
      <c r="G2681" s="70" t="s">
        <v>5683</v>
      </c>
      <c r="H2681" s="93"/>
      <c r="I2681" s="85">
        <f t="shared" si="104"/>
        <v>5.3679767852945943</v>
      </c>
      <c r="J2681" s="85">
        <f>AVERAGE(180000, 220000, 300000)</f>
        <v>233333.33333333334</v>
      </c>
      <c r="K2681" s="131" t="s">
        <v>6629</v>
      </c>
      <c r="L2681" s="60">
        <v>92</v>
      </c>
      <c r="M2681" s="33" t="s">
        <v>6809</v>
      </c>
      <c r="N2681" s="32" t="s">
        <v>6706</v>
      </c>
      <c r="Q2681" s="12"/>
      <c r="R2681" s="12"/>
    </row>
    <row r="2682" spans="1:18" ht="28" x14ac:dyDescent="0.15">
      <c r="A2682" s="166" t="s">
        <v>2481</v>
      </c>
      <c r="B2682" s="93" t="s">
        <v>2428</v>
      </c>
      <c r="C2682" s="70" t="s">
        <v>3636</v>
      </c>
      <c r="D2682" s="70" t="s">
        <v>2837</v>
      </c>
      <c r="E2682" s="70" t="s">
        <v>3178</v>
      </c>
      <c r="F2682" s="70" t="s">
        <v>7189</v>
      </c>
      <c r="G2682" s="70" t="s">
        <v>5850</v>
      </c>
      <c r="H2682" s="93"/>
      <c r="I2682" s="85">
        <f t="shared" si="104"/>
        <v>5.4771212547196626</v>
      </c>
      <c r="J2682" s="85">
        <v>300000</v>
      </c>
      <c r="K2682" s="131" t="s">
        <v>6629</v>
      </c>
      <c r="L2682" s="63">
        <v>136</v>
      </c>
      <c r="M2682" s="33" t="s">
        <v>6390</v>
      </c>
      <c r="Q2682" s="12"/>
      <c r="R2682" s="12"/>
    </row>
    <row r="2683" spans="1:18" ht="28" x14ac:dyDescent="0.15">
      <c r="A2683" s="166" t="s">
        <v>2481</v>
      </c>
      <c r="B2683" s="93" t="s">
        <v>2021</v>
      </c>
      <c r="C2683" s="70" t="s">
        <v>3636</v>
      </c>
      <c r="D2683" s="70" t="s">
        <v>2837</v>
      </c>
      <c r="E2683" s="70" t="s">
        <v>3178</v>
      </c>
      <c r="F2683" s="70" t="s">
        <v>6098</v>
      </c>
      <c r="G2683" s="70" t="s">
        <v>5582</v>
      </c>
      <c r="H2683" s="93"/>
      <c r="I2683" s="85">
        <f t="shared" si="104"/>
        <v>4.3222192947339195</v>
      </c>
      <c r="J2683" s="85">
        <f>AVERAGE(25000, 18000, 20000)</f>
        <v>21000</v>
      </c>
      <c r="K2683" s="131" t="s">
        <v>1132</v>
      </c>
      <c r="L2683" s="60" t="s">
        <v>1790</v>
      </c>
      <c r="M2683" s="33" t="s">
        <v>6728</v>
      </c>
    </row>
    <row r="2684" spans="1:18" ht="14" x14ac:dyDescent="0.15">
      <c r="A2684" s="166" t="s">
        <v>2481</v>
      </c>
      <c r="B2684" s="82" t="s">
        <v>5797</v>
      </c>
      <c r="C2684" s="70" t="s">
        <v>3636</v>
      </c>
      <c r="D2684" s="70" t="s">
        <v>2837</v>
      </c>
      <c r="E2684" s="70" t="s">
        <v>3178</v>
      </c>
      <c r="F2684" s="70" t="s">
        <v>6098</v>
      </c>
      <c r="G2684" s="70" t="s">
        <v>5581</v>
      </c>
      <c r="H2684" s="93"/>
      <c r="I2684" s="85">
        <f t="shared" si="104"/>
        <v>4.5700757053216039</v>
      </c>
      <c r="J2684" s="85">
        <f>AVERAGE(35890, 38430)</f>
        <v>37160</v>
      </c>
      <c r="K2684" s="131" t="s">
        <v>6630</v>
      </c>
      <c r="L2684" s="60">
        <v>233</v>
      </c>
      <c r="M2684" s="33" t="s">
        <v>6392</v>
      </c>
    </row>
    <row r="2685" spans="1:18" ht="16" x14ac:dyDescent="0.2">
      <c r="A2685" s="166" t="s">
        <v>2481</v>
      </c>
      <c r="B2685" s="82" t="s">
        <v>2330</v>
      </c>
      <c r="C2685" s="70" t="s">
        <v>3636</v>
      </c>
      <c r="D2685" s="70" t="s">
        <v>2837</v>
      </c>
      <c r="E2685" s="70" t="s">
        <v>3724</v>
      </c>
      <c r="F2685" s="70" t="s">
        <v>3683</v>
      </c>
      <c r="G2685" s="70" t="s">
        <v>3684</v>
      </c>
      <c r="H2685" s="93"/>
      <c r="I2685" s="85">
        <f t="shared" si="104"/>
        <v>4.5218634818832513</v>
      </c>
      <c r="J2685" s="85">
        <f>AVERAGE((454*88), (454*98), (454*48), (454*59))</f>
        <v>33255.5</v>
      </c>
      <c r="K2685" s="131"/>
      <c r="L2685" s="63">
        <v>132</v>
      </c>
      <c r="M2685" s="47"/>
    </row>
    <row r="2686" spans="1:18" ht="28" x14ac:dyDescent="0.15">
      <c r="A2686" s="165" t="s">
        <v>2481</v>
      </c>
      <c r="B2686" s="97" t="s">
        <v>5852</v>
      </c>
      <c r="C2686" s="70" t="s">
        <v>3636</v>
      </c>
      <c r="D2686" s="70" t="s">
        <v>2837</v>
      </c>
      <c r="E2686" s="70" t="s">
        <v>3724</v>
      </c>
      <c r="F2686" s="70" t="s">
        <v>3683</v>
      </c>
      <c r="G2686" s="70" t="s">
        <v>5248</v>
      </c>
      <c r="H2686" s="93"/>
      <c r="I2686" s="85">
        <f t="shared" si="104"/>
        <v>4.6074550232146683</v>
      </c>
      <c r="J2686" s="85">
        <f>AVERAGE(36000, 45000)</f>
        <v>40500</v>
      </c>
      <c r="K2686" s="131" t="s">
        <v>6665</v>
      </c>
      <c r="L2686" s="60">
        <v>141</v>
      </c>
      <c r="M2686" s="33" t="s">
        <v>6392</v>
      </c>
    </row>
    <row r="2687" spans="1:18" ht="28" x14ac:dyDescent="0.15">
      <c r="A2687" s="166" t="s">
        <v>2481</v>
      </c>
      <c r="B2687" s="82" t="s">
        <v>2487</v>
      </c>
      <c r="C2687" s="70" t="s">
        <v>3636</v>
      </c>
      <c r="D2687" s="70" t="s">
        <v>2837</v>
      </c>
      <c r="E2687" s="70" t="s">
        <v>3724</v>
      </c>
      <c r="F2687" s="70" t="s">
        <v>3683</v>
      </c>
      <c r="G2687" s="70" t="s">
        <v>4464</v>
      </c>
      <c r="H2687" s="93"/>
      <c r="I2687" s="85">
        <f t="shared" si="104"/>
        <v>4.7403626894942441</v>
      </c>
      <c r="J2687" s="85">
        <v>55000</v>
      </c>
      <c r="K2687" s="131" t="s">
        <v>6665</v>
      </c>
      <c r="L2687" s="60">
        <v>147</v>
      </c>
      <c r="M2687" s="33" t="s">
        <v>6390</v>
      </c>
    </row>
    <row r="2688" spans="1:18" ht="14" x14ac:dyDescent="0.15">
      <c r="A2688" s="166" t="s">
        <v>2481</v>
      </c>
      <c r="B2688" s="82" t="s">
        <v>2330</v>
      </c>
      <c r="C2688" s="70" t="s">
        <v>3636</v>
      </c>
      <c r="D2688" s="70" t="s">
        <v>2837</v>
      </c>
      <c r="E2688" s="70" t="s">
        <v>3724</v>
      </c>
      <c r="F2688" s="70" t="s">
        <v>3683</v>
      </c>
      <c r="G2688" s="70" t="s">
        <v>3727</v>
      </c>
      <c r="H2688" s="93"/>
      <c r="I2688" s="85">
        <f t="shared" si="104"/>
        <v>4.7948054605505002</v>
      </c>
      <c r="J2688" s="85">
        <f>AVERAGE((454*162), (454*166), (454*112), (454*109.3))</f>
        <v>62345.55</v>
      </c>
      <c r="K2688" s="131"/>
      <c r="L2688" s="63">
        <v>132</v>
      </c>
      <c r="M2688" s="33"/>
    </row>
    <row r="2689" spans="1:14" ht="14" x14ac:dyDescent="0.15">
      <c r="A2689" s="165" t="s">
        <v>2481</v>
      </c>
      <c r="B2689" s="97" t="s">
        <v>5852</v>
      </c>
      <c r="C2689" s="70" t="s">
        <v>3636</v>
      </c>
      <c r="D2689" s="70" t="s">
        <v>2837</v>
      </c>
      <c r="E2689" s="70" t="s">
        <v>3724</v>
      </c>
      <c r="F2689" s="70" t="s">
        <v>3725</v>
      </c>
      <c r="G2689" s="70" t="s">
        <v>5249</v>
      </c>
      <c r="H2689" s="93"/>
      <c r="I2689" s="85">
        <f t="shared" si="104"/>
        <v>4.6766936096248664</v>
      </c>
      <c r="J2689" s="85">
        <f>AVERAGE(36000, 59000)</f>
        <v>47500</v>
      </c>
      <c r="K2689" s="131" t="s">
        <v>3177</v>
      </c>
      <c r="L2689" s="60">
        <v>202</v>
      </c>
      <c r="M2689" s="33" t="s">
        <v>6390</v>
      </c>
    </row>
    <row r="2690" spans="1:14" ht="14" x14ac:dyDescent="0.15">
      <c r="A2690" s="165" t="s">
        <v>2481</v>
      </c>
      <c r="B2690" s="97" t="s">
        <v>5852</v>
      </c>
      <c r="C2690" s="70" t="s">
        <v>3636</v>
      </c>
      <c r="D2690" s="70" t="s">
        <v>2837</v>
      </c>
      <c r="E2690" s="70" t="s">
        <v>3724</v>
      </c>
      <c r="F2690" s="70" t="s">
        <v>3725</v>
      </c>
      <c r="G2690" s="70" t="s">
        <v>5250</v>
      </c>
      <c r="H2690" s="93"/>
      <c r="I2690" s="85">
        <f t="shared" si="104"/>
        <v>4.6989700043360187</v>
      </c>
      <c r="J2690" s="85">
        <v>50000</v>
      </c>
      <c r="K2690" s="131" t="s">
        <v>6522</v>
      </c>
      <c r="L2690" s="60">
        <v>136</v>
      </c>
      <c r="M2690" s="33" t="s">
        <v>6727</v>
      </c>
    </row>
    <row r="2691" spans="1:14" ht="14" x14ac:dyDescent="0.15">
      <c r="A2691" s="166" t="s">
        <v>2481</v>
      </c>
      <c r="B2691" s="82" t="s">
        <v>2018</v>
      </c>
      <c r="C2691" s="70" t="s">
        <v>3636</v>
      </c>
      <c r="D2691" s="70" t="s">
        <v>2837</v>
      </c>
      <c r="E2691" s="70" t="s">
        <v>3724</v>
      </c>
      <c r="F2691" s="70" t="s">
        <v>3725</v>
      </c>
      <c r="G2691" s="70" t="s">
        <v>3728</v>
      </c>
      <c r="H2691" s="93"/>
      <c r="I2691" s="85">
        <f t="shared" si="104"/>
        <v>4.7993405494535821</v>
      </c>
      <c r="J2691" s="85">
        <v>63000</v>
      </c>
      <c r="K2691" s="131"/>
      <c r="L2691" s="60" t="s">
        <v>1611</v>
      </c>
      <c r="M2691" s="33"/>
    </row>
    <row r="2692" spans="1:14" ht="14" x14ac:dyDescent="0.15">
      <c r="A2692" s="166" t="s">
        <v>2481</v>
      </c>
      <c r="B2692" s="82" t="s">
        <v>2330</v>
      </c>
      <c r="C2692" s="70" t="s">
        <v>3636</v>
      </c>
      <c r="D2692" s="70" t="s">
        <v>2837</v>
      </c>
      <c r="E2692" s="70" t="s">
        <v>3724</v>
      </c>
      <c r="F2692" s="70" t="s">
        <v>3725</v>
      </c>
      <c r="G2692" s="70" t="s">
        <v>3471</v>
      </c>
      <c r="H2692" s="93"/>
      <c r="I2692" s="85">
        <f t="shared" si="104"/>
        <v>5.2052404634022116</v>
      </c>
      <c r="J2692" s="85">
        <f>AVERAGE((454*475), (454*300), (454*285))</f>
        <v>160413.33333333334</v>
      </c>
      <c r="K2692" s="131"/>
      <c r="L2692" s="60">
        <v>132</v>
      </c>
      <c r="M2692" s="33"/>
    </row>
    <row r="2693" spans="1:14" ht="14" x14ac:dyDescent="0.15">
      <c r="A2693" s="166" t="s">
        <v>2481</v>
      </c>
      <c r="B2693" s="82" t="s">
        <v>2018</v>
      </c>
      <c r="C2693" s="70" t="s">
        <v>3636</v>
      </c>
      <c r="D2693" s="70" t="s">
        <v>2837</v>
      </c>
      <c r="E2693" s="70" t="s">
        <v>3724</v>
      </c>
      <c r="F2693" s="70" t="s">
        <v>3725</v>
      </c>
      <c r="G2693" s="70" t="s">
        <v>3471</v>
      </c>
      <c r="H2693" s="93"/>
      <c r="I2693" s="85">
        <f t="shared" si="104"/>
        <v>5.2278867046136739</v>
      </c>
      <c r="J2693" s="85">
        <v>169000</v>
      </c>
      <c r="K2693" s="131"/>
      <c r="L2693" s="60" t="s">
        <v>1611</v>
      </c>
      <c r="M2693" s="33"/>
    </row>
    <row r="2694" spans="1:14" ht="14" x14ac:dyDescent="0.15">
      <c r="A2694" s="166" t="s">
        <v>2481</v>
      </c>
      <c r="B2694" s="93" t="s">
        <v>1856</v>
      </c>
      <c r="C2694" s="70" t="s">
        <v>3636</v>
      </c>
      <c r="D2694" s="70" t="s">
        <v>2837</v>
      </c>
      <c r="E2694" s="70" t="s">
        <v>3724</v>
      </c>
      <c r="F2694" s="70" t="s">
        <v>5712</v>
      </c>
      <c r="G2694" s="70" t="s">
        <v>5542</v>
      </c>
      <c r="H2694" s="93"/>
      <c r="I2694" s="85">
        <f t="shared" si="104"/>
        <v>4.1303337684950066</v>
      </c>
      <c r="J2694" s="85">
        <f>AVERAGE(11000, 16000)</f>
        <v>13500</v>
      </c>
      <c r="K2694" s="131" t="s">
        <v>3177</v>
      </c>
      <c r="L2694" s="60">
        <v>136</v>
      </c>
      <c r="M2694" s="33"/>
    </row>
    <row r="2695" spans="1:14" ht="14" x14ac:dyDescent="0.15">
      <c r="A2695" s="166" t="s">
        <v>2481</v>
      </c>
      <c r="B2695" s="82" t="s">
        <v>2018</v>
      </c>
      <c r="C2695" s="70" t="s">
        <v>3636</v>
      </c>
      <c r="D2695" s="70" t="s">
        <v>2837</v>
      </c>
      <c r="E2695" s="70" t="s">
        <v>3724</v>
      </c>
      <c r="F2695" s="70" t="s">
        <v>5712</v>
      </c>
      <c r="G2695" s="70" t="s">
        <v>6540</v>
      </c>
      <c r="H2695" s="93"/>
      <c r="I2695" s="85">
        <f t="shared" si="104"/>
        <v>4.1461280356782382</v>
      </c>
      <c r="J2695" s="85">
        <v>14000</v>
      </c>
      <c r="K2695" s="131" t="s">
        <v>6485</v>
      </c>
      <c r="L2695" s="60" t="s">
        <v>5705</v>
      </c>
      <c r="M2695" s="33"/>
    </row>
    <row r="2696" spans="1:14" ht="16" x14ac:dyDescent="0.2">
      <c r="A2696" s="166" t="s">
        <v>2481</v>
      </c>
      <c r="B2696" s="93" t="s">
        <v>2018</v>
      </c>
      <c r="C2696" s="70" t="s">
        <v>3636</v>
      </c>
      <c r="D2696" s="70" t="s">
        <v>2837</v>
      </c>
      <c r="E2696" s="70" t="s">
        <v>3724</v>
      </c>
      <c r="F2696" s="70" t="s">
        <v>5712</v>
      </c>
      <c r="G2696" s="70" t="s">
        <v>5849</v>
      </c>
      <c r="H2696" s="93"/>
      <c r="I2696" s="85">
        <f t="shared" si="104"/>
        <v>4.1931245983544612</v>
      </c>
      <c r="J2696" s="85">
        <f>AVERAGE(13500, 17700)</f>
        <v>15600</v>
      </c>
      <c r="K2696" s="131" t="s">
        <v>3177</v>
      </c>
      <c r="L2696" s="60">
        <v>118</v>
      </c>
      <c r="M2696" s="33"/>
      <c r="N2696" s="48"/>
    </row>
    <row r="2697" spans="1:14" ht="14" x14ac:dyDescent="0.15">
      <c r="A2697" s="166" t="s">
        <v>2481</v>
      </c>
      <c r="B2697" s="82" t="s">
        <v>2330</v>
      </c>
      <c r="C2697" s="70" t="s">
        <v>3636</v>
      </c>
      <c r="D2697" s="70" t="s">
        <v>2837</v>
      </c>
      <c r="E2697" s="70" t="s">
        <v>3724</v>
      </c>
      <c r="F2697" s="70" t="s">
        <v>5712</v>
      </c>
      <c r="G2697" s="70" t="s">
        <v>6540</v>
      </c>
      <c r="H2697" s="93"/>
      <c r="I2697" s="85">
        <f t="shared" si="104"/>
        <v>4.2961686482991883</v>
      </c>
      <c r="J2697" s="85">
        <f>AVERAGE((454*44), (454*56), (454*34.75), (454*39.5))</f>
        <v>19777.375</v>
      </c>
      <c r="K2697" s="131"/>
      <c r="L2697" s="63">
        <v>132</v>
      </c>
      <c r="M2697" s="33"/>
    </row>
    <row r="2698" spans="1:14" ht="28" x14ac:dyDescent="0.15">
      <c r="A2698" s="166" t="s">
        <v>2481</v>
      </c>
      <c r="B2698" s="93" t="s">
        <v>2428</v>
      </c>
      <c r="C2698" s="70" t="s">
        <v>3636</v>
      </c>
      <c r="D2698" s="70" t="s">
        <v>2837</v>
      </c>
      <c r="E2698" s="70" t="s">
        <v>3088</v>
      </c>
      <c r="F2698" s="70" t="s">
        <v>5886</v>
      </c>
      <c r="G2698" s="70" t="s">
        <v>5575</v>
      </c>
      <c r="H2698" s="93"/>
      <c r="I2698" s="85">
        <f t="shared" si="104"/>
        <v>5</v>
      </c>
      <c r="J2698" s="85">
        <v>100000</v>
      </c>
      <c r="K2698" s="131" t="s">
        <v>6629</v>
      </c>
      <c r="L2698" s="60">
        <v>68</v>
      </c>
      <c r="M2698" s="49" t="s">
        <v>6728</v>
      </c>
    </row>
    <row r="2699" spans="1:14" ht="84" x14ac:dyDescent="0.15">
      <c r="A2699" s="166" t="s">
        <v>2481</v>
      </c>
      <c r="B2699" s="93" t="s">
        <v>2480</v>
      </c>
      <c r="C2699" s="70" t="s">
        <v>3636</v>
      </c>
      <c r="D2699" s="70" t="s">
        <v>2837</v>
      </c>
      <c r="E2699" s="70" t="s">
        <v>3088</v>
      </c>
      <c r="F2699" s="70" t="s">
        <v>3302</v>
      </c>
      <c r="G2699" s="70" t="s">
        <v>5630</v>
      </c>
      <c r="H2699" s="93"/>
      <c r="I2699" s="85">
        <f t="shared" si="104"/>
        <v>1.7958800173440752</v>
      </c>
      <c r="J2699" s="85">
        <v>62.5</v>
      </c>
      <c r="L2699" s="60">
        <v>150</v>
      </c>
      <c r="M2699" s="37"/>
      <c r="N2699" s="32" t="s">
        <v>7282</v>
      </c>
    </row>
    <row r="2700" spans="1:14" ht="42" x14ac:dyDescent="0.15">
      <c r="A2700" s="166" t="s">
        <v>2481</v>
      </c>
      <c r="B2700" s="93" t="s">
        <v>5852</v>
      </c>
      <c r="C2700" s="70" t="s">
        <v>3636</v>
      </c>
      <c r="D2700" s="70" t="s">
        <v>2837</v>
      </c>
      <c r="E2700" s="70" t="s">
        <v>3088</v>
      </c>
      <c r="F2700" s="70" t="s">
        <v>3304</v>
      </c>
      <c r="G2700" s="70" t="s">
        <v>6241</v>
      </c>
      <c r="H2700" s="93"/>
      <c r="I2700" s="85">
        <v>-999</v>
      </c>
      <c r="J2700" s="85">
        <v>-999</v>
      </c>
      <c r="K2700" s="131" t="s">
        <v>4359</v>
      </c>
      <c r="L2700" s="63">
        <v>-999</v>
      </c>
      <c r="M2700" s="33" t="s">
        <v>6809</v>
      </c>
    </row>
    <row r="2701" spans="1:14" ht="14" x14ac:dyDescent="0.15">
      <c r="A2701" s="166" t="s">
        <v>2481</v>
      </c>
      <c r="B2701" s="93" t="s">
        <v>5005</v>
      </c>
      <c r="C2701" s="70" t="s">
        <v>3636</v>
      </c>
      <c r="D2701" s="70" t="s">
        <v>2837</v>
      </c>
      <c r="E2701" s="70" t="s">
        <v>3088</v>
      </c>
      <c r="F2701" s="70" t="s">
        <v>3304</v>
      </c>
      <c r="G2701" s="70" t="s">
        <v>6243</v>
      </c>
      <c r="H2701" s="93"/>
      <c r="I2701" s="85">
        <v>-999</v>
      </c>
      <c r="J2701" s="85">
        <v>-999</v>
      </c>
      <c r="K2701" s="131" t="s">
        <v>3177</v>
      </c>
      <c r="L2701" s="63">
        <v>-999</v>
      </c>
      <c r="M2701" s="33"/>
    </row>
    <row r="2702" spans="1:14" ht="56" x14ac:dyDescent="0.15">
      <c r="A2702" s="166" t="s">
        <v>2481</v>
      </c>
      <c r="B2702" s="93" t="s">
        <v>5852</v>
      </c>
      <c r="C2702" s="70" t="s">
        <v>3636</v>
      </c>
      <c r="D2702" s="70" t="s">
        <v>2837</v>
      </c>
      <c r="E2702" s="70" t="s">
        <v>3088</v>
      </c>
      <c r="F2702" s="70" t="s">
        <v>3304</v>
      </c>
      <c r="G2702" s="70" t="s">
        <v>5729</v>
      </c>
      <c r="H2702" s="93"/>
      <c r="I2702" s="85">
        <v>-999</v>
      </c>
      <c r="J2702" s="85">
        <v>-999</v>
      </c>
      <c r="K2702" s="131" t="s">
        <v>4514</v>
      </c>
      <c r="L2702" s="63">
        <v>-999</v>
      </c>
      <c r="M2702" s="33" t="s">
        <v>6728</v>
      </c>
    </row>
    <row r="2703" spans="1:14" ht="14" x14ac:dyDescent="0.15">
      <c r="A2703" s="166" t="s">
        <v>2481</v>
      </c>
      <c r="B2703" s="93" t="s">
        <v>2487</v>
      </c>
      <c r="C2703" s="70" t="s">
        <v>3636</v>
      </c>
      <c r="D2703" s="70" t="s">
        <v>2837</v>
      </c>
      <c r="E2703" s="70" t="s">
        <v>3088</v>
      </c>
      <c r="F2703" s="70" t="s">
        <v>3304</v>
      </c>
      <c r="G2703" s="70" t="s">
        <v>6056</v>
      </c>
      <c r="H2703" s="93"/>
      <c r="I2703" s="85">
        <v>-999</v>
      </c>
      <c r="J2703" s="85">
        <v>-999</v>
      </c>
      <c r="K2703" s="131" t="s">
        <v>3177</v>
      </c>
      <c r="L2703" s="63">
        <v>-999</v>
      </c>
      <c r="M2703" s="33"/>
    </row>
    <row r="2704" spans="1:14" ht="14" x14ac:dyDescent="0.15">
      <c r="A2704" s="166" t="s">
        <v>2481</v>
      </c>
      <c r="B2704" s="93" t="s">
        <v>2487</v>
      </c>
      <c r="C2704" s="70" t="s">
        <v>3636</v>
      </c>
      <c r="D2704" s="70" t="s">
        <v>2837</v>
      </c>
      <c r="E2704" s="70" t="s">
        <v>3088</v>
      </c>
      <c r="F2704" s="70" t="s">
        <v>3304</v>
      </c>
      <c r="G2704" s="70" t="s">
        <v>6242</v>
      </c>
      <c r="H2704" s="93"/>
      <c r="I2704" s="85">
        <f t="shared" ref="I2704:I2728" si="105">LOG(J2704)</f>
        <v>4.7403626894942441</v>
      </c>
      <c r="J2704" s="85">
        <f>AVERAGE(40000, 70000)</f>
        <v>55000</v>
      </c>
      <c r="K2704" s="131" t="s">
        <v>3177</v>
      </c>
      <c r="L2704" s="60" t="s">
        <v>7664</v>
      </c>
      <c r="M2704" s="33"/>
    </row>
    <row r="2705" spans="1:14" ht="14" x14ac:dyDescent="0.15">
      <c r="A2705" s="166" t="s">
        <v>2481</v>
      </c>
      <c r="B2705" s="93" t="s">
        <v>2426</v>
      </c>
      <c r="C2705" s="70" t="s">
        <v>3636</v>
      </c>
      <c r="D2705" s="70" t="s">
        <v>2837</v>
      </c>
      <c r="E2705" s="70" t="s">
        <v>3088</v>
      </c>
      <c r="F2705" s="70" t="s">
        <v>3304</v>
      </c>
      <c r="G2705" s="70" t="s">
        <v>7895</v>
      </c>
      <c r="H2705" s="93"/>
      <c r="I2705" s="85">
        <f t="shared" si="105"/>
        <v>4.9098233696509119</v>
      </c>
      <c r="J2705" s="85">
        <f>AVERAGE(47500, 115000)</f>
        <v>81250</v>
      </c>
      <c r="K2705" s="131" t="s">
        <v>3177</v>
      </c>
      <c r="L2705" s="60">
        <v>136</v>
      </c>
      <c r="M2705" s="33" t="s">
        <v>6390</v>
      </c>
    </row>
    <row r="2706" spans="1:14" ht="14" x14ac:dyDescent="0.15">
      <c r="A2706" s="166" t="s">
        <v>2481</v>
      </c>
      <c r="B2706" s="82" t="s">
        <v>2330</v>
      </c>
      <c r="C2706" s="70" t="s">
        <v>3636</v>
      </c>
      <c r="D2706" s="70" t="s">
        <v>2837</v>
      </c>
      <c r="E2706" s="70" t="s">
        <v>3088</v>
      </c>
      <c r="F2706" s="70" t="s">
        <v>3304</v>
      </c>
      <c r="G2706" s="70" t="s">
        <v>3305</v>
      </c>
      <c r="H2706" s="93"/>
      <c r="I2706" s="85">
        <f t="shared" si="105"/>
        <v>4.9284908437853101</v>
      </c>
      <c r="J2706" s="85">
        <f>AVERAGE((454*222.3), (454*280), (454*119), (454*126))</f>
        <v>84818.55</v>
      </c>
      <c r="K2706" s="131"/>
      <c r="L2706" s="63">
        <v>132</v>
      </c>
      <c r="M2706" s="33"/>
    </row>
    <row r="2707" spans="1:14" ht="14" x14ac:dyDescent="0.15">
      <c r="A2707" s="166" t="s">
        <v>2481</v>
      </c>
      <c r="B2707" s="93" t="s">
        <v>5852</v>
      </c>
      <c r="C2707" s="70" t="s">
        <v>3636</v>
      </c>
      <c r="D2707" s="70" t="s">
        <v>2837</v>
      </c>
      <c r="E2707" s="70" t="s">
        <v>3088</v>
      </c>
      <c r="F2707" s="70" t="s">
        <v>3304</v>
      </c>
      <c r="G2707" s="70" t="s">
        <v>6011</v>
      </c>
      <c r="H2707" s="93"/>
      <c r="I2707" s="85">
        <f t="shared" si="105"/>
        <v>4.9852767431792939</v>
      </c>
      <c r="J2707" s="85">
        <f>AVERAGE(57000, 83000, 150000)</f>
        <v>96666.666666666672</v>
      </c>
      <c r="K2707" s="131" t="s">
        <v>3177</v>
      </c>
      <c r="L2707" s="60" t="s">
        <v>1474</v>
      </c>
      <c r="M2707" s="33"/>
    </row>
    <row r="2708" spans="1:14" ht="14" x14ac:dyDescent="0.15">
      <c r="A2708" s="166" t="s">
        <v>2481</v>
      </c>
      <c r="B2708" s="93" t="s">
        <v>7383</v>
      </c>
      <c r="C2708" s="70" t="s">
        <v>3636</v>
      </c>
      <c r="D2708" s="70" t="s">
        <v>2837</v>
      </c>
      <c r="E2708" s="70" t="s">
        <v>3088</v>
      </c>
      <c r="F2708" s="70" t="s">
        <v>3304</v>
      </c>
      <c r="G2708" s="70" t="s">
        <v>6011</v>
      </c>
      <c r="H2708" s="93"/>
      <c r="I2708" s="85">
        <f t="shared" si="105"/>
        <v>4.9852767431792939</v>
      </c>
      <c r="J2708" s="85">
        <f>AVERAGE(57000, 83000, 150000)</f>
        <v>96666.666666666672</v>
      </c>
      <c r="K2708" s="131" t="s">
        <v>3177</v>
      </c>
      <c r="L2708" s="60" t="s">
        <v>1474</v>
      </c>
      <c r="M2708" s="33"/>
    </row>
    <row r="2709" spans="1:14" ht="16" x14ac:dyDescent="0.2">
      <c r="A2709" s="166" t="s">
        <v>2481</v>
      </c>
      <c r="B2709" s="82" t="s">
        <v>2330</v>
      </c>
      <c r="C2709" s="70" t="s">
        <v>3636</v>
      </c>
      <c r="D2709" s="70" t="s">
        <v>2837</v>
      </c>
      <c r="E2709" s="70" t="s">
        <v>3770</v>
      </c>
      <c r="F2709" s="70" t="s">
        <v>5576</v>
      </c>
      <c r="G2709" s="70" t="s">
        <v>7993</v>
      </c>
      <c r="H2709" s="93"/>
      <c r="I2709" s="85">
        <f t="shared" si="105"/>
        <v>3.5348230096247288</v>
      </c>
      <c r="J2709" s="85">
        <f>AVERAGE((454*6.375), (454*6.75), (454*8.4375), (454*8.625))</f>
        <v>3426.28125</v>
      </c>
      <c r="K2709" s="131"/>
      <c r="L2709" s="63">
        <v>132</v>
      </c>
      <c r="M2709" s="47"/>
    </row>
    <row r="2710" spans="1:14" ht="14" x14ac:dyDescent="0.15">
      <c r="A2710" s="166" t="s">
        <v>2481</v>
      </c>
      <c r="B2710" s="82" t="s">
        <v>2018</v>
      </c>
      <c r="C2710" s="70" t="s">
        <v>3636</v>
      </c>
      <c r="D2710" s="70" t="s">
        <v>2837</v>
      </c>
      <c r="E2710" s="70" t="s">
        <v>3770</v>
      </c>
      <c r="F2710" s="70" t="s">
        <v>7994</v>
      </c>
      <c r="G2710" s="70" t="s">
        <v>7202</v>
      </c>
      <c r="H2710" s="93"/>
      <c r="I2710" s="85">
        <f t="shared" si="105"/>
        <v>3.3521825181113627</v>
      </c>
      <c r="J2710" s="85">
        <f>AVERAGE(2000, 2500)</f>
        <v>2250</v>
      </c>
      <c r="K2710" s="131"/>
      <c r="L2710" s="60">
        <v>118</v>
      </c>
      <c r="M2710" s="33"/>
    </row>
    <row r="2711" spans="1:14" ht="14" x14ac:dyDescent="0.15">
      <c r="A2711" s="166" t="s">
        <v>2481</v>
      </c>
      <c r="B2711" s="82" t="s">
        <v>2018</v>
      </c>
      <c r="C2711" s="70" t="s">
        <v>3636</v>
      </c>
      <c r="D2711" s="70" t="s">
        <v>2837</v>
      </c>
      <c r="E2711" s="70" t="s">
        <v>3770</v>
      </c>
      <c r="F2711" s="70" t="s">
        <v>7994</v>
      </c>
      <c r="G2711" s="70" t="s">
        <v>5885</v>
      </c>
      <c r="H2711" s="93"/>
      <c r="I2711" s="85">
        <f t="shared" si="105"/>
        <v>3.6020599913279625</v>
      </c>
      <c r="J2711" s="85">
        <f>AVERAGE(3500, 4500)</f>
        <v>4000</v>
      </c>
      <c r="K2711" s="131"/>
      <c r="L2711" s="60">
        <v>118</v>
      </c>
      <c r="M2711" s="33"/>
    </row>
    <row r="2712" spans="1:14" ht="14" x14ac:dyDescent="0.15">
      <c r="A2712" s="166" t="s">
        <v>2481</v>
      </c>
      <c r="B2712" s="82" t="s">
        <v>2330</v>
      </c>
      <c r="C2712" s="70" t="s">
        <v>3636</v>
      </c>
      <c r="D2712" s="70" t="s">
        <v>3773</v>
      </c>
      <c r="E2712" s="70" t="s">
        <v>3774</v>
      </c>
      <c r="F2712" s="70" t="s">
        <v>3775</v>
      </c>
      <c r="G2712" s="70" t="s">
        <v>7096</v>
      </c>
      <c r="H2712" s="93"/>
      <c r="I2712" s="85">
        <f t="shared" si="105"/>
        <v>3.9072724861705219</v>
      </c>
      <c r="J2712" s="85">
        <f>AVERAGE(9080, 8172, 7264, (454*20), (454*14.75), (454*18))</f>
        <v>8077.416666666667</v>
      </c>
      <c r="K2712" s="131"/>
      <c r="L2712" s="60" t="s">
        <v>2811</v>
      </c>
      <c r="M2712" s="33"/>
    </row>
    <row r="2713" spans="1:14" ht="28" x14ac:dyDescent="0.15">
      <c r="A2713" s="166" t="s">
        <v>2481</v>
      </c>
      <c r="B2713" s="82" t="s">
        <v>1604</v>
      </c>
      <c r="C2713" s="70" t="s">
        <v>3636</v>
      </c>
      <c r="D2713" s="70" t="s">
        <v>3773</v>
      </c>
      <c r="E2713" s="70" t="s">
        <v>3774</v>
      </c>
      <c r="F2713" s="70" t="s">
        <v>5769</v>
      </c>
      <c r="G2713" s="70" t="s">
        <v>2927</v>
      </c>
      <c r="H2713" s="93"/>
      <c r="I2713" s="85">
        <f t="shared" si="105"/>
        <v>4.1058506743851435</v>
      </c>
      <c r="J2713" s="85">
        <v>12760</v>
      </c>
      <c r="K2713" s="131" t="s">
        <v>6710</v>
      </c>
      <c r="L2713" s="60">
        <v>68</v>
      </c>
      <c r="M2713" s="33" t="s">
        <v>6728</v>
      </c>
    </row>
    <row r="2714" spans="1:14" ht="14" x14ac:dyDescent="0.15">
      <c r="A2714" s="166" t="s">
        <v>2481</v>
      </c>
      <c r="B2714" s="93" t="s">
        <v>2018</v>
      </c>
      <c r="C2714" s="70" t="s">
        <v>3636</v>
      </c>
      <c r="D2714" s="70" t="s">
        <v>3773</v>
      </c>
      <c r="E2714" s="70" t="s">
        <v>7053</v>
      </c>
      <c r="F2714" s="70" t="s">
        <v>5771</v>
      </c>
      <c r="G2714" s="70" t="s">
        <v>6251</v>
      </c>
      <c r="H2714" s="93"/>
      <c r="I2714" s="85">
        <f t="shared" si="105"/>
        <v>3.3979400086720375</v>
      </c>
      <c r="J2714" s="85">
        <v>2500</v>
      </c>
      <c r="K2714" s="131" t="s">
        <v>6817</v>
      </c>
      <c r="L2714" s="60">
        <v>141</v>
      </c>
      <c r="M2714" s="33" t="s">
        <v>6390</v>
      </c>
    </row>
    <row r="2715" spans="1:14" ht="16" x14ac:dyDescent="0.2">
      <c r="A2715" s="166" t="s">
        <v>2481</v>
      </c>
      <c r="B2715" s="82" t="s">
        <v>2487</v>
      </c>
      <c r="C2715" s="70" t="s">
        <v>3636</v>
      </c>
      <c r="D2715" s="70" t="s">
        <v>3773</v>
      </c>
      <c r="E2715" s="70" t="s">
        <v>7053</v>
      </c>
      <c r="F2715" s="70" t="s">
        <v>5771</v>
      </c>
      <c r="G2715" s="70" t="s">
        <v>2042</v>
      </c>
      <c r="H2715" s="93"/>
      <c r="I2715" s="85">
        <f t="shared" si="105"/>
        <v>4.0606978403536118</v>
      </c>
      <c r="J2715" s="85">
        <v>11500</v>
      </c>
      <c r="K2715" s="131" t="s">
        <v>6485</v>
      </c>
      <c r="L2715" s="60">
        <v>68</v>
      </c>
      <c r="M2715" s="47"/>
    </row>
    <row r="2716" spans="1:14" ht="14" x14ac:dyDescent="0.15">
      <c r="A2716" s="166" t="s">
        <v>2481</v>
      </c>
      <c r="B2716" s="82" t="s">
        <v>2330</v>
      </c>
      <c r="C2716" s="70" t="s">
        <v>3636</v>
      </c>
      <c r="D2716" s="70" t="s">
        <v>3773</v>
      </c>
      <c r="E2716" s="70" t="s">
        <v>7053</v>
      </c>
      <c r="F2716" s="70" t="s">
        <v>4656</v>
      </c>
      <c r="G2716" s="70" t="s">
        <v>4657</v>
      </c>
      <c r="H2716" s="93"/>
      <c r="I2716" s="85">
        <f t="shared" si="105"/>
        <v>3.9123283579604098</v>
      </c>
      <c r="J2716" s="85">
        <f>18*454</f>
        <v>8172</v>
      </c>
      <c r="K2716" s="131" t="s">
        <v>3177</v>
      </c>
      <c r="L2716" s="60">
        <v>132</v>
      </c>
      <c r="M2716" s="33"/>
    </row>
    <row r="2717" spans="1:14" ht="16" x14ac:dyDescent="0.2">
      <c r="A2717" s="166" t="s">
        <v>2481</v>
      </c>
      <c r="B2717" s="82" t="s">
        <v>2487</v>
      </c>
      <c r="C2717" s="70" t="s">
        <v>3636</v>
      </c>
      <c r="D2717" s="70" t="s">
        <v>3773</v>
      </c>
      <c r="E2717" s="70" t="s">
        <v>7053</v>
      </c>
      <c r="F2717" s="70" t="s">
        <v>5589</v>
      </c>
      <c r="G2717" s="70" t="s">
        <v>5138</v>
      </c>
      <c r="H2717" s="93"/>
      <c r="I2717" s="85">
        <f t="shared" si="105"/>
        <v>4.2977933280820269</v>
      </c>
      <c r="J2717" s="85">
        <f>AVERAGE(19500, (454*44.5))</f>
        <v>19851.5</v>
      </c>
      <c r="K2717" s="131" t="s">
        <v>6817</v>
      </c>
      <c r="L2717" s="60" t="s">
        <v>5705</v>
      </c>
      <c r="M2717" s="33" t="s">
        <v>6728</v>
      </c>
      <c r="N2717" s="48"/>
    </row>
    <row r="2718" spans="1:14" ht="14" x14ac:dyDescent="0.15">
      <c r="A2718" s="166" t="s">
        <v>2481</v>
      </c>
      <c r="B2718" s="82" t="s">
        <v>2330</v>
      </c>
      <c r="C2718" s="70" t="s">
        <v>3636</v>
      </c>
      <c r="D2718" s="70" t="s">
        <v>3773</v>
      </c>
      <c r="E2718" s="70" t="s">
        <v>7053</v>
      </c>
      <c r="F2718" s="70" t="s">
        <v>4677</v>
      </c>
      <c r="G2718" s="70" t="s">
        <v>2092</v>
      </c>
      <c r="H2718" s="93"/>
      <c r="I2718" s="85">
        <f t="shared" si="105"/>
        <v>4.7451919415576551</v>
      </c>
      <c r="J2718" s="85">
        <f>AVERAGE((170*454), (75*454))</f>
        <v>55615</v>
      </c>
      <c r="K2718" s="131" t="s">
        <v>3177</v>
      </c>
      <c r="L2718" s="60">
        <v>132</v>
      </c>
      <c r="M2718" s="33"/>
    </row>
    <row r="2719" spans="1:14" ht="14" x14ac:dyDescent="0.15">
      <c r="A2719" s="166" t="s">
        <v>2481</v>
      </c>
      <c r="B2719" s="82" t="s">
        <v>2487</v>
      </c>
      <c r="C2719" s="70" t="s">
        <v>3636</v>
      </c>
      <c r="D2719" s="70" t="s">
        <v>3773</v>
      </c>
      <c r="E2719" s="70" t="s">
        <v>7053</v>
      </c>
      <c r="F2719" s="70" t="s">
        <v>3363</v>
      </c>
      <c r="G2719" s="70" t="s">
        <v>7668</v>
      </c>
      <c r="H2719" s="93"/>
      <c r="I2719" s="85">
        <f t="shared" si="105"/>
        <v>3.3906702126261803</v>
      </c>
      <c r="J2719" s="85">
        <f>AVERAGE(2425, 2492)</f>
        <v>2458.5</v>
      </c>
      <c r="K2719" s="131" t="s">
        <v>3177</v>
      </c>
      <c r="L2719" s="60">
        <v>118</v>
      </c>
      <c r="M2719" s="33"/>
    </row>
    <row r="2720" spans="1:14" ht="14" x14ac:dyDescent="0.15">
      <c r="A2720" s="166" t="s">
        <v>2481</v>
      </c>
      <c r="B2720" s="82" t="s">
        <v>2330</v>
      </c>
      <c r="C2720" s="70" t="s">
        <v>3636</v>
      </c>
      <c r="D2720" s="70" t="s">
        <v>3773</v>
      </c>
      <c r="E2720" s="70" t="s">
        <v>7053</v>
      </c>
      <c r="F2720" s="70" t="s">
        <v>5904</v>
      </c>
      <c r="G2720" s="70" t="s">
        <v>5905</v>
      </c>
      <c r="H2720" s="93"/>
      <c r="I2720" s="85">
        <f t="shared" si="105"/>
        <v>3.1519058745371979</v>
      </c>
      <c r="J2720" s="85">
        <f>AVERAGE(1589, 1248.5)</f>
        <v>1418.75</v>
      </c>
      <c r="K2720" s="131" t="s">
        <v>6666</v>
      </c>
      <c r="L2720" s="60">
        <v>132</v>
      </c>
      <c r="M2720" s="33" t="s">
        <v>6728</v>
      </c>
    </row>
    <row r="2721" spans="1:16" ht="14" x14ac:dyDescent="0.15">
      <c r="A2721" s="166" t="s">
        <v>2481</v>
      </c>
      <c r="B2721" s="82" t="s">
        <v>2487</v>
      </c>
      <c r="C2721" s="70" t="s">
        <v>3636</v>
      </c>
      <c r="D2721" s="70" t="s">
        <v>3773</v>
      </c>
      <c r="E2721" s="70" t="s">
        <v>7053</v>
      </c>
      <c r="F2721" s="70" t="s">
        <v>5904</v>
      </c>
      <c r="G2721" s="70" t="s">
        <v>5957</v>
      </c>
      <c r="H2721" s="93"/>
      <c r="I2721" s="85">
        <f t="shared" si="105"/>
        <v>3.5185139398778875</v>
      </c>
      <c r="J2721" s="85">
        <v>3300</v>
      </c>
      <c r="K2721" s="131" t="s">
        <v>6485</v>
      </c>
      <c r="L2721" s="60" t="s">
        <v>5705</v>
      </c>
      <c r="M2721" s="33"/>
    </row>
    <row r="2722" spans="1:16" ht="42" x14ac:dyDescent="0.15">
      <c r="A2722" s="166" t="s">
        <v>2481</v>
      </c>
      <c r="B2722" s="93" t="s">
        <v>2487</v>
      </c>
      <c r="C2722" s="70" t="s">
        <v>3636</v>
      </c>
      <c r="D2722" s="70" t="s">
        <v>3773</v>
      </c>
      <c r="E2722" s="70" t="s">
        <v>7053</v>
      </c>
      <c r="F2722" s="70" t="s">
        <v>5904</v>
      </c>
      <c r="G2722" s="70" t="s">
        <v>7028</v>
      </c>
      <c r="H2722" s="93"/>
      <c r="I2722" s="85">
        <f t="shared" si="105"/>
        <v>3.8293037728310249</v>
      </c>
      <c r="J2722" s="85">
        <f>AVERAGE(5500, 8000)</f>
        <v>6750</v>
      </c>
      <c r="K2722" s="131" t="s">
        <v>1502</v>
      </c>
      <c r="L2722" s="60">
        <v>141</v>
      </c>
      <c r="M2722" s="33" t="s">
        <v>6728</v>
      </c>
    </row>
    <row r="2723" spans="1:16" ht="28" x14ac:dyDescent="0.2">
      <c r="A2723" s="166" t="s">
        <v>2481</v>
      </c>
      <c r="B2723" s="82" t="s">
        <v>2487</v>
      </c>
      <c r="C2723" s="70" t="s">
        <v>3636</v>
      </c>
      <c r="D2723" s="70" t="s">
        <v>3773</v>
      </c>
      <c r="E2723" s="70" t="s">
        <v>7053</v>
      </c>
      <c r="F2723" s="70" t="s">
        <v>5904</v>
      </c>
      <c r="G2723" s="70" t="s">
        <v>3754</v>
      </c>
      <c r="H2723" s="93"/>
      <c r="I2723" s="85">
        <f t="shared" si="105"/>
        <v>3.8875047742353779</v>
      </c>
      <c r="J2723" s="85">
        <f>AVERAGE((454*17))</f>
        <v>7718</v>
      </c>
      <c r="K2723" s="131" t="s">
        <v>6696</v>
      </c>
      <c r="L2723" s="60">
        <v>133</v>
      </c>
      <c r="M2723" s="47" t="s">
        <v>6728</v>
      </c>
    </row>
    <row r="2724" spans="1:16" ht="28" x14ac:dyDescent="0.2">
      <c r="A2724" s="166" t="s">
        <v>2481</v>
      </c>
      <c r="B2724" s="82" t="s">
        <v>2330</v>
      </c>
      <c r="C2724" s="70" t="s">
        <v>3636</v>
      </c>
      <c r="D2724" s="70" t="s">
        <v>3773</v>
      </c>
      <c r="E2724" s="70" t="s">
        <v>7053</v>
      </c>
      <c r="F2724" s="70" t="s">
        <v>5904</v>
      </c>
      <c r="G2724" s="70" t="s">
        <v>3754</v>
      </c>
      <c r="H2724" s="93"/>
      <c r="I2724" s="85">
        <f t="shared" si="105"/>
        <v>3.9470904642196221</v>
      </c>
      <c r="J2724" s="85">
        <f>AVERAGE(11350, 6356)</f>
        <v>8853</v>
      </c>
      <c r="K2724" s="131" t="s">
        <v>6696</v>
      </c>
      <c r="L2724" s="60">
        <v>132</v>
      </c>
      <c r="M2724" s="47" t="s">
        <v>6728</v>
      </c>
    </row>
    <row r="2725" spans="1:16" ht="14" x14ac:dyDescent="0.15">
      <c r="A2725" s="166" t="s">
        <v>2481</v>
      </c>
      <c r="B2725" s="93" t="s">
        <v>2480</v>
      </c>
      <c r="C2725" s="70" t="s">
        <v>3636</v>
      </c>
      <c r="D2725" s="70" t="s">
        <v>3773</v>
      </c>
      <c r="E2725" s="70" t="s">
        <v>3998</v>
      </c>
      <c r="F2725" s="70" t="s">
        <v>4928</v>
      </c>
      <c r="G2725" s="70" t="s">
        <v>1989</v>
      </c>
      <c r="H2725" s="93"/>
      <c r="I2725" s="85">
        <f t="shared" si="105"/>
        <v>2.9030899869919438</v>
      </c>
      <c r="J2725" s="85">
        <v>800</v>
      </c>
      <c r="K2725" s="131" t="s">
        <v>6485</v>
      </c>
      <c r="L2725" s="60">
        <v>68</v>
      </c>
    </row>
    <row r="2726" spans="1:16" ht="42" x14ac:dyDescent="0.15">
      <c r="A2726" s="166" t="s">
        <v>2481</v>
      </c>
      <c r="B2726" s="93" t="s">
        <v>2480</v>
      </c>
      <c r="C2726" s="70" t="s">
        <v>3636</v>
      </c>
      <c r="D2726" s="70" t="s">
        <v>3773</v>
      </c>
      <c r="E2726" s="70" t="s">
        <v>3998</v>
      </c>
      <c r="F2726" s="70" t="s">
        <v>4928</v>
      </c>
      <c r="G2726" s="70" t="s">
        <v>1989</v>
      </c>
      <c r="H2726" s="93"/>
      <c r="I2726" s="85">
        <f t="shared" si="105"/>
        <v>2.9030899869919438</v>
      </c>
      <c r="J2726" s="85">
        <v>800</v>
      </c>
      <c r="K2726" s="141" t="s">
        <v>7791</v>
      </c>
      <c r="L2726" s="60">
        <v>68</v>
      </c>
      <c r="M2726" s="37" t="s">
        <v>6728</v>
      </c>
    </row>
    <row r="2727" spans="1:16" ht="42" x14ac:dyDescent="0.15">
      <c r="A2727" s="166" t="s">
        <v>2481</v>
      </c>
      <c r="B2727" s="93" t="s">
        <v>2480</v>
      </c>
      <c r="C2727" s="70" t="s">
        <v>3636</v>
      </c>
      <c r="D2727" s="70" t="s">
        <v>3773</v>
      </c>
      <c r="E2727" s="70" t="s">
        <v>3998</v>
      </c>
      <c r="F2727" s="70" t="s">
        <v>7917</v>
      </c>
      <c r="G2727" s="70" t="s">
        <v>7648</v>
      </c>
      <c r="H2727" s="93"/>
      <c r="I2727" s="85">
        <f t="shared" si="105"/>
        <v>2.7403626894942437</v>
      </c>
      <c r="J2727" s="85">
        <v>550</v>
      </c>
      <c r="K2727" s="141" t="s">
        <v>7791</v>
      </c>
      <c r="L2727" s="60">
        <v>150</v>
      </c>
      <c r="M2727" s="37" t="s">
        <v>6728</v>
      </c>
    </row>
    <row r="2728" spans="1:16" ht="14" x14ac:dyDescent="0.15">
      <c r="A2728" s="166" t="s">
        <v>2481</v>
      </c>
      <c r="B2728" s="93" t="s">
        <v>2480</v>
      </c>
      <c r="C2728" s="70" t="s">
        <v>3636</v>
      </c>
      <c r="D2728" s="70" t="s">
        <v>3773</v>
      </c>
      <c r="E2728" s="70" t="s">
        <v>3998</v>
      </c>
      <c r="F2728" s="70" t="s">
        <v>7917</v>
      </c>
      <c r="G2728" s="70" t="s">
        <v>2964</v>
      </c>
      <c r="H2728" s="93"/>
      <c r="I2728" s="85">
        <f t="shared" si="105"/>
        <v>3.1461280356782382</v>
      </c>
      <c r="J2728" s="85">
        <v>1400</v>
      </c>
      <c r="K2728" s="141" t="s">
        <v>6391</v>
      </c>
      <c r="L2728" s="60">
        <v>150</v>
      </c>
      <c r="M2728" s="37" t="s">
        <v>6390</v>
      </c>
    </row>
    <row r="2729" spans="1:16" ht="28" x14ac:dyDescent="0.15">
      <c r="A2729" s="166" t="s">
        <v>2481</v>
      </c>
      <c r="B2729" s="93" t="s">
        <v>2076</v>
      </c>
      <c r="C2729" s="70" t="s">
        <v>3636</v>
      </c>
      <c r="D2729" s="70" t="s">
        <v>3773</v>
      </c>
      <c r="E2729" s="70" t="s">
        <v>3998</v>
      </c>
      <c r="F2729" s="70" t="s">
        <v>6821</v>
      </c>
      <c r="G2729" s="70" t="s">
        <v>2833</v>
      </c>
      <c r="H2729" s="93"/>
      <c r="I2729" s="85">
        <v>-999</v>
      </c>
      <c r="J2729" s="85">
        <v>-999</v>
      </c>
      <c r="K2729" s="131" t="s">
        <v>3177</v>
      </c>
      <c r="L2729" s="60">
        <v>-999</v>
      </c>
      <c r="M2729" s="33"/>
    </row>
    <row r="2730" spans="1:16" ht="14" x14ac:dyDescent="0.15">
      <c r="A2730" s="166" t="s">
        <v>2481</v>
      </c>
      <c r="B2730" s="93" t="s">
        <v>2487</v>
      </c>
      <c r="C2730" s="70" t="s">
        <v>3636</v>
      </c>
      <c r="D2730" s="70" t="s">
        <v>3773</v>
      </c>
      <c r="E2730" s="70" t="s">
        <v>3998</v>
      </c>
      <c r="F2730" s="70" t="s">
        <v>6821</v>
      </c>
      <c r="G2730" s="70" t="s">
        <v>4474</v>
      </c>
      <c r="H2730" s="93"/>
      <c r="I2730" s="85">
        <f t="shared" ref="I2730:I2759" si="106">LOG(J2730)</f>
        <v>3.1219535835452987</v>
      </c>
      <c r="J2730" s="85">
        <f>AVERAGE(1400, 1816, 1248.5, 1248.5, 908)</f>
        <v>1324.2</v>
      </c>
      <c r="K2730" s="131"/>
      <c r="L2730" s="60" t="s">
        <v>2930</v>
      </c>
      <c r="M2730" s="33"/>
    </row>
    <row r="2731" spans="1:16" ht="16" x14ac:dyDescent="0.2">
      <c r="A2731" s="166" t="s">
        <v>2481</v>
      </c>
      <c r="B2731" s="93" t="s">
        <v>5797</v>
      </c>
      <c r="C2731" s="70" t="s">
        <v>3636</v>
      </c>
      <c r="D2731" s="70" t="s">
        <v>3773</v>
      </c>
      <c r="E2731" s="70" t="s">
        <v>3998</v>
      </c>
      <c r="F2731" s="70" t="s">
        <v>6821</v>
      </c>
      <c r="G2731" s="70" t="s">
        <v>4474</v>
      </c>
      <c r="H2731" s="93"/>
      <c r="I2731" s="85">
        <f t="shared" si="106"/>
        <v>3.1219535835452987</v>
      </c>
      <c r="J2731" s="85">
        <f>AVERAGE(1400, 1816, 1248.5, 1248.5, 908)</f>
        <v>1324.2</v>
      </c>
      <c r="K2731" s="131"/>
      <c r="L2731" s="60" t="s">
        <v>2930</v>
      </c>
      <c r="M2731" s="33"/>
      <c r="N2731" s="48"/>
    </row>
    <row r="2732" spans="1:16" ht="14" x14ac:dyDescent="0.15">
      <c r="A2732" s="166" t="s">
        <v>2481</v>
      </c>
      <c r="B2732" s="93" t="s">
        <v>2330</v>
      </c>
      <c r="C2732" s="70" t="s">
        <v>3636</v>
      </c>
      <c r="D2732" s="70" t="s">
        <v>3773</v>
      </c>
      <c r="E2732" s="70" t="s">
        <v>3998</v>
      </c>
      <c r="F2732" s="70" t="s">
        <v>6821</v>
      </c>
      <c r="G2732" s="70" t="s">
        <v>4474</v>
      </c>
      <c r="H2732" s="93"/>
      <c r="I2732" s="85">
        <f t="shared" si="106"/>
        <v>3.1219535835452987</v>
      </c>
      <c r="J2732" s="85">
        <f>AVERAGE(1400, 1816, 1248.5, 1248.5, 908)</f>
        <v>1324.2</v>
      </c>
      <c r="K2732" s="131"/>
      <c r="L2732" s="60" t="s">
        <v>2930</v>
      </c>
      <c r="M2732" s="33"/>
    </row>
    <row r="2733" spans="1:16" ht="16" x14ac:dyDescent="0.2">
      <c r="A2733" s="166" t="s">
        <v>2481</v>
      </c>
      <c r="B2733" s="93" t="s">
        <v>2330</v>
      </c>
      <c r="C2733" s="70" t="s">
        <v>3636</v>
      </c>
      <c r="D2733" s="70" t="s">
        <v>3773</v>
      </c>
      <c r="E2733" s="70" t="s">
        <v>3998</v>
      </c>
      <c r="F2733" s="70" t="s">
        <v>6821</v>
      </c>
      <c r="G2733" s="70" t="s">
        <v>2115</v>
      </c>
      <c r="H2733" s="93"/>
      <c r="I2733" s="85">
        <f t="shared" si="106"/>
        <v>3.1504790473586821</v>
      </c>
      <c r="J2733" s="85">
        <f>AVERAGE((6.375*454), (2.626*454), (1.6875*454), (1.75*454), (4*454), (2.25*454))</f>
        <v>1414.0964999999999</v>
      </c>
      <c r="K2733" s="131"/>
      <c r="L2733" s="60">
        <v>132</v>
      </c>
      <c r="M2733" s="47"/>
    </row>
    <row r="2734" spans="1:16" ht="14" x14ac:dyDescent="0.15">
      <c r="A2734" s="166" t="s">
        <v>2481</v>
      </c>
      <c r="B2734" s="93" t="s">
        <v>2330</v>
      </c>
      <c r="C2734" s="70" t="s">
        <v>3636</v>
      </c>
      <c r="D2734" s="70" t="s">
        <v>3773</v>
      </c>
      <c r="E2734" s="70" t="s">
        <v>3998</v>
      </c>
      <c r="F2734" s="70" t="s">
        <v>6821</v>
      </c>
      <c r="G2734" s="70" t="s">
        <v>3986</v>
      </c>
      <c r="H2734" s="93"/>
      <c r="I2734" s="85">
        <f t="shared" si="106"/>
        <v>3.2310871205848226</v>
      </c>
      <c r="J2734" s="85">
        <f>AVERAGE((4.75*454), (2.75*454))</f>
        <v>1702.5</v>
      </c>
      <c r="K2734" s="131"/>
      <c r="L2734" s="60">
        <v>132</v>
      </c>
      <c r="M2734" s="33"/>
      <c r="P2734" s="33"/>
    </row>
    <row r="2735" spans="1:16" ht="28" x14ac:dyDescent="0.15">
      <c r="A2735" s="166" t="s">
        <v>2481</v>
      </c>
      <c r="B2735" s="93" t="s">
        <v>2076</v>
      </c>
      <c r="C2735" s="70" t="s">
        <v>3636</v>
      </c>
      <c r="D2735" s="70" t="s">
        <v>3773</v>
      </c>
      <c r="E2735" s="70" t="s">
        <v>3998</v>
      </c>
      <c r="F2735" s="70" t="s">
        <v>6821</v>
      </c>
      <c r="G2735" s="70" t="s">
        <v>2115</v>
      </c>
      <c r="H2735" s="93"/>
      <c r="I2735" s="85">
        <f t="shared" si="106"/>
        <v>3.3010299956639813</v>
      </c>
      <c r="J2735" s="85">
        <v>2000</v>
      </c>
      <c r="K2735" s="131" t="s">
        <v>3177</v>
      </c>
      <c r="L2735" s="60">
        <v>119</v>
      </c>
      <c r="M2735" s="33"/>
    </row>
    <row r="2736" spans="1:16" ht="14" x14ac:dyDescent="0.15">
      <c r="A2736" s="166" t="s">
        <v>2481</v>
      </c>
      <c r="B2736" s="93" t="s">
        <v>5852</v>
      </c>
      <c r="C2736" s="70" t="s">
        <v>3636</v>
      </c>
      <c r="D2736" s="70" t="s">
        <v>3773</v>
      </c>
      <c r="E2736" s="73" t="s">
        <v>3998</v>
      </c>
      <c r="F2736" s="70" t="s">
        <v>6821</v>
      </c>
      <c r="G2736" s="70" t="s">
        <v>2115</v>
      </c>
      <c r="H2736" s="93"/>
      <c r="I2736" s="85">
        <f t="shared" si="106"/>
        <v>3.3010299956639813</v>
      </c>
      <c r="J2736" s="85">
        <v>2000</v>
      </c>
      <c r="K2736" s="131" t="s">
        <v>3177</v>
      </c>
      <c r="L2736" s="60">
        <v>119</v>
      </c>
      <c r="M2736" s="33"/>
    </row>
    <row r="2737" spans="1:13" ht="14" x14ac:dyDescent="0.15">
      <c r="A2737" s="166" t="s">
        <v>2481</v>
      </c>
      <c r="B2737" s="93" t="s">
        <v>2330</v>
      </c>
      <c r="C2737" s="70" t="s">
        <v>3636</v>
      </c>
      <c r="D2737" s="70" t="s">
        <v>3773</v>
      </c>
      <c r="E2737" s="70" t="s">
        <v>3998</v>
      </c>
      <c r="F2737" s="70" t="s">
        <v>6821</v>
      </c>
      <c r="G2737" s="70" t="s">
        <v>7887</v>
      </c>
      <c r="H2737" s="93"/>
      <c r="I2737" s="85">
        <f t="shared" si="106"/>
        <v>3.3337494624819706</v>
      </c>
      <c r="J2737" s="85">
        <f>AVERAGE((454*3.75), (454*3.75), (454*6.75))</f>
        <v>2156.5</v>
      </c>
      <c r="K2737" s="131" t="s">
        <v>3177</v>
      </c>
      <c r="L2737" s="60" t="s">
        <v>2811</v>
      </c>
      <c r="M2737" s="33"/>
    </row>
    <row r="2738" spans="1:13" ht="14" x14ac:dyDescent="0.15">
      <c r="A2738" s="166" t="s">
        <v>2481</v>
      </c>
      <c r="B2738" s="93" t="s">
        <v>2480</v>
      </c>
      <c r="C2738" s="70" t="s">
        <v>3636</v>
      </c>
      <c r="D2738" s="70" t="s">
        <v>3773</v>
      </c>
      <c r="E2738" s="70" t="s">
        <v>3998</v>
      </c>
      <c r="F2738" s="70" t="s">
        <v>8006</v>
      </c>
      <c r="G2738" s="70" t="s">
        <v>5362</v>
      </c>
      <c r="H2738" s="93"/>
      <c r="I2738" s="85">
        <f t="shared" si="106"/>
        <v>2.8129133566428557</v>
      </c>
      <c r="J2738" s="85">
        <v>650</v>
      </c>
      <c r="K2738" s="131" t="s">
        <v>6485</v>
      </c>
      <c r="L2738" s="60">
        <v>68</v>
      </c>
    </row>
    <row r="2739" spans="1:13" ht="14" x14ac:dyDescent="0.15">
      <c r="A2739" s="166" t="s">
        <v>2481</v>
      </c>
      <c r="B2739" s="93" t="s">
        <v>2480</v>
      </c>
      <c r="C2739" s="70" t="s">
        <v>3636</v>
      </c>
      <c r="D2739" s="70" t="s">
        <v>3773</v>
      </c>
      <c r="E2739" s="70" t="s">
        <v>3998</v>
      </c>
      <c r="F2739" s="70" t="s">
        <v>8006</v>
      </c>
      <c r="G2739" s="70" t="s">
        <v>5362</v>
      </c>
      <c r="H2739" s="93"/>
      <c r="I2739" s="85">
        <f t="shared" si="106"/>
        <v>2.8129133566428557</v>
      </c>
      <c r="J2739" s="85">
        <v>650</v>
      </c>
      <c r="K2739" s="141" t="s">
        <v>6391</v>
      </c>
      <c r="L2739" s="60">
        <v>68</v>
      </c>
      <c r="M2739" s="35" t="s">
        <v>6390</v>
      </c>
    </row>
    <row r="2740" spans="1:13" ht="28" x14ac:dyDescent="0.15">
      <c r="A2740" s="166" t="s">
        <v>2481</v>
      </c>
      <c r="B2740" s="82" t="s">
        <v>2480</v>
      </c>
      <c r="C2740" s="70" t="s">
        <v>3636</v>
      </c>
      <c r="D2740" s="70" t="s">
        <v>3773</v>
      </c>
      <c r="E2740" s="70" t="s">
        <v>3998</v>
      </c>
      <c r="F2740" s="70" t="s">
        <v>3366</v>
      </c>
      <c r="G2740" s="70" t="s">
        <v>3388</v>
      </c>
      <c r="H2740" s="93"/>
      <c r="I2740" s="85">
        <f t="shared" si="106"/>
        <v>2.8129133566428557</v>
      </c>
      <c r="J2740" s="85">
        <v>650</v>
      </c>
      <c r="K2740" s="142" t="s">
        <v>7876</v>
      </c>
      <c r="L2740" s="60">
        <v>150</v>
      </c>
      <c r="M2740" s="37" t="s">
        <v>6728</v>
      </c>
    </row>
    <row r="2741" spans="1:13" ht="28" x14ac:dyDescent="0.2">
      <c r="A2741" s="166" t="s">
        <v>2481</v>
      </c>
      <c r="B2741" s="93" t="s">
        <v>5747</v>
      </c>
      <c r="C2741" s="70" t="s">
        <v>3636</v>
      </c>
      <c r="D2741" s="70" t="s">
        <v>3773</v>
      </c>
      <c r="E2741" s="70" t="s">
        <v>4076</v>
      </c>
      <c r="F2741" s="70" t="s">
        <v>6417</v>
      </c>
      <c r="G2741" s="70" t="s">
        <v>4303</v>
      </c>
      <c r="H2741" s="93"/>
      <c r="I2741" s="85">
        <f t="shared" si="106"/>
        <v>3</v>
      </c>
      <c r="J2741" s="85">
        <v>1000</v>
      </c>
      <c r="K2741" s="131" t="s">
        <v>3177</v>
      </c>
      <c r="L2741" s="60">
        <v>119</v>
      </c>
      <c r="M2741" s="47"/>
    </row>
    <row r="2742" spans="1:13" ht="14" x14ac:dyDescent="0.15">
      <c r="A2742" s="166" t="s">
        <v>2481</v>
      </c>
      <c r="B2742" s="93" t="s">
        <v>5852</v>
      </c>
      <c r="C2742" s="70" t="s">
        <v>3636</v>
      </c>
      <c r="D2742" s="70" t="s">
        <v>3773</v>
      </c>
      <c r="E2742" s="70" t="s">
        <v>4076</v>
      </c>
      <c r="F2742" s="70" t="s">
        <v>6417</v>
      </c>
      <c r="G2742" s="70" t="s">
        <v>4303</v>
      </c>
      <c r="H2742" s="93"/>
      <c r="I2742" s="85">
        <f t="shared" si="106"/>
        <v>3</v>
      </c>
      <c r="J2742" s="85">
        <v>1000</v>
      </c>
      <c r="K2742" s="131" t="s">
        <v>3177</v>
      </c>
      <c r="L2742" s="60">
        <v>119</v>
      </c>
      <c r="M2742" s="33"/>
    </row>
    <row r="2743" spans="1:13" ht="14" x14ac:dyDescent="0.15">
      <c r="A2743" s="166" t="s">
        <v>2481</v>
      </c>
      <c r="B2743" s="82" t="s">
        <v>4767</v>
      </c>
      <c r="C2743" s="70" t="s">
        <v>3636</v>
      </c>
      <c r="D2743" s="70" t="s">
        <v>3773</v>
      </c>
      <c r="E2743" s="70" t="s">
        <v>4076</v>
      </c>
      <c r="F2743" s="70" t="s">
        <v>6417</v>
      </c>
      <c r="G2743" s="70" t="s">
        <v>4303</v>
      </c>
      <c r="H2743" s="93"/>
      <c r="I2743" s="85">
        <f t="shared" si="106"/>
        <v>3</v>
      </c>
      <c r="J2743" s="85">
        <v>1000</v>
      </c>
      <c r="K2743" s="131" t="s">
        <v>3177</v>
      </c>
      <c r="L2743" s="60">
        <v>119</v>
      </c>
      <c r="M2743" s="33"/>
    </row>
    <row r="2744" spans="1:13" ht="28" x14ac:dyDescent="0.15">
      <c r="A2744" s="170" t="s">
        <v>2481</v>
      </c>
      <c r="B2744" s="82" t="s">
        <v>2330</v>
      </c>
      <c r="C2744" s="83" t="s">
        <v>3636</v>
      </c>
      <c r="D2744" s="83" t="s">
        <v>3773</v>
      </c>
      <c r="E2744" s="83" t="s">
        <v>4076</v>
      </c>
      <c r="F2744" s="83" t="s">
        <v>4298</v>
      </c>
      <c r="G2744" s="83" t="s">
        <v>3614</v>
      </c>
      <c r="H2744" s="82"/>
      <c r="I2744" s="85">
        <f t="shared" si="106"/>
        <v>3.6390442500143845</v>
      </c>
      <c r="J2744" s="84">
        <f>AVERAGE((454*10.75), (454*11.75), (454*7.375), (454*8.5))</f>
        <v>4355.5625</v>
      </c>
      <c r="K2744" s="131" t="s">
        <v>5965</v>
      </c>
      <c r="L2744" s="69" t="s">
        <v>2811</v>
      </c>
      <c r="M2744" s="31" t="s">
        <v>6390</v>
      </c>
    </row>
    <row r="2745" spans="1:13" ht="28" x14ac:dyDescent="0.15">
      <c r="A2745" s="166" t="s">
        <v>2481</v>
      </c>
      <c r="B2745" s="93" t="s">
        <v>2076</v>
      </c>
      <c r="C2745" s="70" t="s">
        <v>3636</v>
      </c>
      <c r="D2745" s="70" t="s">
        <v>3773</v>
      </c>
      <c r="E2745" s="70" t="s">
        <v>4076</v>
      </c>
      <c r="F2745" s="70" t="s">
        <v>4298</v>
      </c>
      <c r="G2745" s="70" t="s">
        <v>6419</v>
      </c>
      <c r="H2745" s="93"/>
      <c r="I2745" s="85">
        <f t="shared" si="106"/>
        <v>3.7403626894942437</v>
      </c>
      <c r="J2745" s="85">
        <v>5500</v>
      </c>
      <c r="K2745" s="131" t="s">
        <v>3177</v>
      </c>
      <c r="L2745" s="70">
        <v>119</v>
      </c>
      <c r="M2745" s="33"/>
    </row>
    <row r="2746" spans="1:13" ht="14" x14ac:dyDescent="0.15">
      <c r="A2746" s="166" t="s">
        <v>2481</v>
      </c>
      <c r="B2746" s="82" t="s">
        <v>2487</v>
      </c>
      <c r="C2746" s="70" t="s">
        <v>3636</v>
      </c>
      <c r="D2746" s="70" t="s">
        <v>3773</v>
      </c>
      <c r="E2746" s="70" t="s">
        <v>4076</v>
      </c>
      <c r="F2746" s="70" t="s">
        <v>5141</v>
      </c>
      <c r="G2746" s="70" t="s">
        <v>5180</v>
      </c>
      <c r="H2746" s="93"/>
      <c r="I2746" s="85">
        <f t="shared" si="106"/>
        <v>3.9542425094393248</v>
      </c>
      <c r="J2746" s="85">
        <v>9000</v>
      </c>
      <c r="K2746" s="131" t="s">
        <v>6485</v>
      </c>
      <c r="L2746" s="60" t="s">
        <v>5705</v>
      </c>
      <c r="M2746" s="33"/>
    </row>
    <row r="2747" spans="1:13" ht="14" x14ac:dyDescent="0.15">
      <c r="A2747" s="166" t="s">
        <v>2481</v>
      </c>
      <c r="B2747" s="93" t="s">
        <v>5797</v>
      </c>
      <c r="C2747" s="70" t="s">
        <v>3636</v>
      </c>
      <c r="D2747" s="70" t="s">
        <v>3773</v>
      </c>
      <c r="E2747" s="70" t="s">
        <v>4076</v>
      </c>
      <c r="F2747" s="70" t="s">
        <v>3647</v>
      </c>
      <c r="G2747" s="70" t="s">
        <v>3182</v>
      </c>
      <c r="H2747" s="93"/>
      <c r="I2747" s="85">
        <f t="shared" si="106"/>
        <v>3</v>
      </c>
      <c r="J2747" s="85">
        <v>1000</v>
      </c>
      <c r="K2747" s="131" t="s">
        <v>3177</v>
      </c>
      <c r="L2747" s="60">
        <v>141</v>
      </c>
      <c r="M2747" s="33"/>
    </row>
    <row r="2748" spans="1:13" ht="14" x14ac:dyDescent="0.15">
      <c r="A2748" s="166" t="s">
        <v>2481</v>
      </c>
      <c r="B2748" s="82" t="s">
        <v>2018</v>
      </c>
      <c r="C2748" s="70" t="s">
        <v>3636</v>
      </c>
      <c r="D2748" s="70" t="s">
        <v>3773</v>
      </c>
      <c r="E2748" s="70" t="s">
        <v>4076</v>
      </c>
      <c r="F2748" s="70" t="s">
        <v>3647</v>
      </c>
      <c r="G2748" s="70" t="s">
        <v>5181</v>
      </c>
      <c r="H2748" s="93"/>
      <c r="I2748" s="85">
        <f t="shared" si="106"/>
        <v>3.0737183503461227</v>
      </c>
      <c r="J2748" s="85">
        <f>AVERAGE(1000, 1370)</f>
        <v>1185</v>
      </c>
      <c r="K2748" s="131"/>
      <c r="L2748" s="60">
        <v>118</v>
      </c>
      <c r="M2748" s="33"/>
    </row>
    <row r="2749" spans="1:13" ht="14" x14ac:dyDescent="0.15">
      <c r="A2749" s="166" t="s">
        <v>2481</v>
      </c>
      <c r="B2749" s="93" t="s">
        <v>1391</v>
      </c>
      <c r="C2749" s="70" t="s">
        <v>3636</v>
      </c>
      <c r="D2749" s="70" t="s">
        <v>3773</v>
      </c>
      <c r="E2749" s="70" t="s">
        <v>4076</v>
      </c>
      <c r="F2749" s="70" t="s">
        <v>3647</v>
      </c>
      <c r="G2749" s="70" t="s">
        <v>6442</v>
      </c>
      <c r="H2749" s="93"/>
      <c r="I2749" s="85">
        <f t="shared" si="106"/>
        <v>3.1877462697804595</v>
      </c>
      <c r="J2749" s="85">
        <f>AVERAGE(1300, 2300, 850, 1440, 1814)</f>
        <v>1540.8</v>
      </c>
      <c r="K2749" s="131"/>
      <c r="L2749" s="60" t="s">
        <v>1183</v>
      </c>
      <c r="M2749" s="33"/>
    </row>
    <row r="2750" spans="1:13" ht="16" x14ac:dyDescent="0.2">
      <c r="A2750" s="166" t="s">
        <v>2481</v>
      </c>
      <c r="B2750" s="93" t="s">
        <v>2077</v>
      </c>
      <c r="C2750" s="73" t="s">
        <v>3636</v>
      </c>
      <c r="D2750" s="73" t="s">
        <v>3773</v>
      </c>
      <c r="E2750" s="70" t="s">
        <v>4076</v>
      </c>
      <c r="F2750" s="73" t="s">
        <v>3267</v>
      </c>
      <c r="G2750" s="73" t="s">
        <v>6503</v>
      </c>
      <c r="H2750" s="108"/>
      <c r="I2750" s="85">
        <f t="shared" si="106"/>
        <v>2.8273692730538253</v>
      </c>
      <c r="J2750" s="85">
        <f>AVERAGE(563, 781)</f>
        <v>672</v>
      </c>
      <c r="K2750" s="131" t="s">
        <v>3177</v>
      </c>
      <c r="L2750" s="70">
        <v>120</v>
      </c>
      <c r="M2750" s="47"/>
    </row>
    <row r="2751" spans="1:13" ht="14" x14ac:dyDescent="0.15">
      <c r="A2751" s="166" t="s">
        <v>2481</v>
      </c>
      <c r="B2751" s="82"/>
      <c r="C2751" s="70" t="s">
        <v>3636</v>
      </c>
      <c r="D2751" s="70" t="s">
        <v>3773</v>
      </c>
      <c r="E2751" s="70" t="s">
        <v>4076</v>
      </c>
      <c r="F2751" s="70" t="s">
        <v>3267</v>
      </c>
      <c r="G2751" s="70" t="s">
        <v>4108</v>
      </c>
      <c r="H2751" s="93"/>
      <c r="I2751" s="85">
        <f t="shared" si="106"/>
        <v>3.1760912590556813</v>
      </c>
      <c r="J2751" s="85">
        <v>1500</v>
      </c>
      <c r="K2751" s="131" t="s">
        <v>6391</v>
      </c>
      <c r="L2751" s="60">
        <v>203</v>
      </c>
      <c r="M2751" s="33" t="s">
        <v>6728</v>
      </c>
    </row>
    <row r="2752" spans="1:13" ht="14" x14ac:dyDescent="0.15">
      <c r="A2752" s="166" t="s">
        <v>2481</v>
      </c>
      <c r="B2752" s="82" t="s">
        <v>2018</v>
      </c>
      <c r="C2752" s="70" t="s">
        <v>3636</v>
      </c>
      <c r="D2752" s="70" t="s">
        <v>3773</v>
      </c>
      <c r="E2752" s="73" t="s">
        <v>4076</v>
      </c>
      <c r="F2752" s="70" t="s">
        <v>3267</v>
      </c>
      <c r="G2752" s="70" t="s">
        <v>3223</v>
      </c>
      <c r="H2752" s="93"/>
      <c r="I2752" s="85">
        <f t="shared" si="106"/>
        <v>3.2310871205848226</v>
      </c>
      <c r="J2752" s="85">
        <f>454*3.75</f>
        <v>1702.5</v>
      </c>
      <c r="K2752" s="131" t="s">
        <v>3177</v>
      </c>
      <c r="L2752" s="60">
        <v>131</v>
      </c>
      <c r="M2752" s="33"/>
    </row>
    <row r="2753" spans="1:14" ht="14" x14ac:dyDescent="0.15">
      <c r="A2753" s="166" t="s">
        <v>2481</v>
      </c>
      <c r="B2753" s="82"/>
      <c r="C2753" s="70" t="s">
        <v>3636</v>
      </c>
      <c r="D2753" s="70" t="s">
        <v>3773</v>
      </c>
      <c r="E2753" s="70" t="s">
        <v>4076</v>
      </c>
      <c r="F2753" s="70" t="s">
        <v>3267</v>
      </c>
      <c r="G2753" s="70" t="s">
        <v>3624</v>
      </c>
      <c r="H2753" s="93"/>
      <c r="I2753" s="85">
        <f t="shared" si="106"/>
        <v>3.3010299956639813</v>
      </c>
      <c r="J2753" s="85">
        <v>2000</v>
      </c>
      <c r="K2753" s="131" t="s">
        <v>3177</v>
      </c>
      <c r="L2753" s="60">
        <v>141</v>
      </c>
      <c r="M2753" s="33"/>
    </row>
    <row r="2754" spans="1:14" ht="14" x14ac:dyDescent="0.15">
      <c r="A2754" s="166" t="s">
        <v>2481</v>
      </c>
      <c r="B2754" s="93" t="s">
        <v>2487</v>
      </c>
      <c r="C2754" s="70" t="s">
        <v>3636</v>
      </c>
      <c r="D2754" s="70" t="s">
        <v>3773</v>
      </c>
      <c r="E2754" s="70" t="s">
        <v>4076</v>
      </c>
      <c r="F2754" s="70" t="s">
        <v>4297</v>
      </c>
      <c r="G2754" s="70" t="s">
        <v>6440</v>
      </c>
      <c r="H2754" s="93"/>
      <c r="I2754" s="85">
        <f t="shared" si="106"/>
        <v>2.6989700043360187</v>
      </c>
      <c r="J2754" s="85">
        <v>500</v>
      </c>
      <c r="K2754" s="131" t="s">
        <v>3177</v>
      </c>
      <c r="L2754" s="70">
        <v>119</v>
      </c>
      <c r="M2754" s="33"/>
    </row>
    <row r="2755" spans="1:14" ht="70" x14ac:dyDescent="0.15">
      <c r="A2755" s="166" t="s">
        <v>2481</v>
      </c>
      <c r="B2755" s="82" t="s">
        <v>7265</v>
      </c>
      <c r="C2755" s="70" t="s">
        <v>3636</v>
      </c>
      <c r="D2755" s="70" t="s">
        <v>3773</v>
      </c>
      <c r="E2755" s="70" t="s">
        <v>4076</v>
      </c>
      <c r="F2755" s="70" t="s">
        <v>4297</v>
      </c>
      <c r="G2755" s="70" t="s">
        <v>6439</v>
      </c>
      <c r="H2755" s="93"/>
      <c r="I2755" s="85">
        <f t="shared" si="106"/>
        <v>2.8491736330988267</v>
      </c>
      <c r="J2755" s="85">
        <f>AVERAGE(542.5, 870.7)</f>
        <v>706.6</v>
      </c>
      <c r="K2755" s="131" t="s">
        <v>6391</v>
      </c>
      <c r="L2755" s="60">
        <v>82</v>
      </c>
      <c r="M2755" s="32" t="s">
        <v>6390</v>
      </c>
      <c r="N2755" s="32" t="s">
        <v>6334</v>
      </c>
    </row>
    <row r="2756" spans="1:14" ht="14" x14ac:dyDescent="0.15">
      <c r="A2756" s="166" t="s">
        <v>2481</v>
      </c>
      <c r="B2756" s="93" t="s">
        <v>5852</v>
      </c>
      <c r="C2756" s="70" t="s">
        <v>3636</v>
      </c>
      <c r="D2756" s="70" t="s">
        <v>3773</v>
      </c>
      <c r="E2756" s="70" t="s">
        <v>4076</v>
      </c>
      <c r="F2756" s="70" t="s">
        <v>3224</v>
      </c>
      <c r="G2756" s="70" t="s">
        <v>6441</v>
      </c>
      <c r="H2756" s="93"/>
      <c r="I2756" s="85">
        <f t="shared" si="106"/>
        <v>3.1505108329079676</v>
      </c>
      <c r="J2756" s="85">
        <f>AVERAGE(843.5, 909.1, 2490)</f>
        <v>1414.2</v>
      </c>
      <c r="K2756" s="131" t="s">
        <v>6391</v>
      </c>
      <c r="L2756" s="60">
        <v>240</v>
      </c>
      <c r="M2756" s="33" t="s">
        <v>6728</v>
      </c>
    </row>
    <row r="2757" spans="1:14" ht="14" x14ac:dyDescent="0.15">
      <c r="A2757" s="166" t="s">
        <v>2481</v>
      </c>
      <c r="B2757" s="93" t="s">
        <v>2487</v>
      </c>
      <c r="C2757" s="70" t="s">
        <v>3636</v>
      </c>
      <c r="D2757" s="70" t="s">
        <v>3773</v>
      </c>
      <c r="E2757" s="70" t="s">
        <v>4076</v>
      </c>
      <c r="F2757" s="70" t="s">
        <v>3224</v>
      </c>
      <c r="G2757" s="70" t="s">
        <v>3225</v>
      </c>
      <c r="H2757" s="93"/>
      <c r="I2757" s="85">
        <f t="shared" si="106"/>
        <v>3.3979400086720375</v>
      </c>
      <c r="J2757" s="85">
        <f>AVERAGE(1400, 3600)</f>
        <v>2500</v>
      </c>
      <c r="K2757" s="131" t="s">
        <v>3177</v>
      </c>
      <c r="L2757" s="60">
        <v>138</v>
      </c>
      <c r="M2757" s="33"/>
    </row>
    <row r="2758" spans="1:14" ht="28" x14ac:dyDescent="0.15">
      <c r="A2758" s="166" t="s">
        <v>2481</v>
      </c>
      <c r="B2758" s="93" t="s">
        <v>7429</v>
      </c>
      <c r="C2758" s="70" t="s">
        <v>3636</v>
      </c>
      <c r="D2758" s="70" t="s">
        <v>3773</v>
      </c>
      <c r="E2758" s="70" t="s">
        <v>4286</v>
      </c>
      <c r="F2758" s="70" t="s">
        <v>5519</v>
      </c>
      <c r="G2758" s="70" t="s">
        <v>5520</v>
      </c>
      <c r="H2758" s="93"/>
      <c r="I2758" s="85">
        <f t="shared" si="106"/>
        <v>5.0503797562614574</v>
      </c>
      <c r="J2758" s="85">
        <v>112300</v>
      </c>
      <c r="K2758" s="131" t="s">
        <v>3177</v>
      </c>
      <c r="L2758" s="60">
        <v>204</v>
      </c>
      <c r="M2758" s="33"/>
    </row>
    <row r="2759" spans="1:14" ht="28" x14ac:dyDescent="0.15">
      <c r="A2759" s="166" t="s">
        <v>2481</v>
      </c>
      <c r="B2759" s="93" t="s">
        <v>2606</v>
      </c>
      <c r="C2759" s="70" t="s">
        <v>3636</v>
      </c>
      <c r="D2759" s="70" t="s">
        <v>3773</v>
      </c>
      <c r="E2759" s="70" t="s">
        <v>4431</v>
      </c>
      <c r="F2759" s="70" t="s">
        <v>7645</v>
      </c>
      <c r="G2759" s="70" t="s">
        <v>4975</v>
      </c>
      <c r="H2759" s="93"/>
      <c r="I2759" s="85">
        <f t="shared" si="106"/>
        <v>5.3483048630481607</v>
      </c>
      <c r="J2759" s="85">
        <f>AVERAGE(173000, 273000)</f>
        <v>223000</v>
      </c>
      <c r="K2759" s="131" t="s">
        <v>6747</v>
      </c>
      <c r="L2759" s="60">
        <v>137</v>
      </c>
      <c r="M2759" s="33" t="s">
        <v>6390</v>
      </c>
    </row>
    <row r="2760" spans="1:14" ht="28" x14ac:dyDescent="0.15">
      <c r="A2760" s="166" t="s">
        <v>2481</v>
      </c>
      <c r="B2760" s="96" t="s">
        <v>7550</v>
      </c>
      <c r="C2760" s="70" t="s">
        <v>3636</v>
      </c>
      <c r="D2760" s="70" t="s">
        <v>3773</v>
      </c>
      <c r="E2760" s="70" t="s">
        <v>2036</v>
      </c>
      <c r="F2760" s="70" t="s">
        <v>6951</v>
      </c>
      <c r="G2760" s="70" t="s">
        <v>7995</v>
      </c>
      <c r="H2760" s="93"/>
      <c r="I2760" s="85">
        <v>-999</v>
      </c>
      <c r="J2760" s="85">
        <v>-999</v>
      </c>
      <c r="K2760" s="131" t="s">
        <v>6853</v>
      </c>
      <c r="L2760" s="60">
        <v>-999</v>
      </c>
      <c r="M2760" s="33" t="s">
        <v>6390</v>
      </c>
    </row>
    <row r="2761" spans="1:14" ht="14" x14ac:dyDescent="0.15">
      <c r="A2761" s="166" t="s">
        <v>2481</v>
      </c>
      <c r="B2761" s="82" t="s">
        <v>1476</v>
      </c>
      <c r="C2761" s="70" t="s">
        <v>3636</v>
      </c>
      <c r="D2761" s="70" t="s">
        <v>3773</v>
      </c>
      <c r="E2761" s="70" t="s">
        <v>2036</v>
      </c>
      <c r="F2761" s="70" t="s">
        <v>6951</v>
      </c>
      <c r="G2761" s="70" t="s">
        <v>7990</v>
      </c>
      <c r="H2761" s="93"/>
      <c r="I2761" s="85">
        <v>-999</v>
      </c>
      <c r="J2761" s="85">
        <v>-999</v>
      </c>
      <c r="K2761" s="131" t="s">
        <v>3177</v>
      </c>
      <c r="L2761" s="60">
        <v>-999</v>
      </c>
      <c r="M2761" s="33"/>
    </row>
    <row r="2762" spans="1:14" ht="28" x14ac:dyDescent="0.15">
      <c r="A2762" s="166" t="s">
        <v>2481</v>
      </c>
      <c r="B2762" s="93" t="s">
        <v>7123</v>
      </c>
      <c r="C2762" s="70" t="s">
        <v>3636</v>
      </c>
      <c r="D2762" s="70" t="s">
        <v>3773</v>
      </c>
      <c r="E2762" s="70" t="s">
        <v>2036</v>
      </c>
      <c r="F2762" s="70" t="s">
        <v>6951</v>
      </c>
      <c r="G2762" s="70" t="s">
        <v>2913</v>
      </c>
      <c r="H2762" s="93"/>
      <c r="I2762" s="85">
        <v>-999</v>
      </c>
      <c r="J2762" s="85">
        <v>-999</v>
      </c>
      <c r="K2762" s="131" t="s">
        <v>3177</v>
      </c>
      <c r="L2762" s="60">
        <v>-999</v>
      </c>
      <c r="M2762" s="33"/>
    </row>
    <row r="2763" spans="1:14" ht="14" x14ac:dyDescent="0.15">
      <c r="A2763" s="166" t="s">
        <v>2481</v>
      </c>
      <c r="B2763" s="82" t="s">
        <v>2018</v>
      </c>
      <c r="C2763" s="70" t="s">
        <v>3636</v>
      </c>
      <c r="D2763" s="70" t="s">
        <v>3773</v>
      </c>
      <c r="E2763" s="70" t="s">
        <v>7167</v>
      </c>
      <c r="F2763" s="70" t="s">
        <v>5156</v>
      </c>
      <c r="G2763" s="70" t="s">
        <v>5157</v>
      </c>
      <c r="H2763" s="93"/>
      <c r="I2763" s="85">
        <f t="shared" ref="I2763:I2788" si="107">LOG(J2763)</f>
        <v>4.6720978579357171</v>
      </c>
      <c r="J2763" s="85">
        <f>AVERAGE(48000, 63000, 30000)</f>
        <v>47000</v>
      </c>
      <c r="K2763" s="134"/>
      <c r="L2763" s="63" t="s">
        <v>1474</v>
      </c>
      <c r="M2763" s="33"/>
    </row>
    <row r="2764" spans="1:14" ht="17" x14ac:dyDescent="0.2">
      <c r="A2764" s="166" t="s">
        <v>2481</v>
      </c>
      <c r="B2764" s="82" t="s">
        <v>2330</v>
      </c>
      <c r="C2764" s="70" t="s">
        <v>3636</v>
      </c>
      <c r="D2764" s="70" t="s">
        <v>3773</v>
      </c>
      <c r="E2764" s="70" t="s">
        <v>7167</v>
      </c>
      <c r="F2764" s="70" t="s">
        <v>5158</v>
      </c>
      <c r="G2764" s="70" t="s">
        <v>4288</v>
      </c>
      <c r="H2764" s="93"/>
      <c r="I2764" s="85">
        <f t="shared" si="107"/>
        <v>4.9358094538099326</v>
      </c>
      <c r="J2764" s="85">
        <f>AVERAGE((454*150), (454*230))</f>
        <v>86260</v>
      </c>
      <c r="K2764" s="131" t="s">
        <v>6817</v>
      </c>
      <c r="L2764" s="60">
        <v>132</v>
      </c>
      <c r="M2764" s="47" t="s">
        <v>6728</v>
      </c>
    </row>
    <row r="2765" spans="1:14" ht="14" x14ac:dyDescent="0.15">
      <c r="A2765" s="166" t="s">
        <v>2481</v>
      </c>
      <c r="B2765" s="82" t="s">
        <v>2487</v>
      </c>
      <c r="C2765" s="70" t="s">
        <v>3636</v>
      </c>
      <c r="D2765" s="70" t="s">
        <v>3773</v>
      </c>
      <c r="E2765" s="70" t="s">
        <v>4725</v>
      </c>
      <c r="F2765" s="70" t="s">
        <v>7703</v>
      </c>
      <c r="G2765" s="70" t="s">
        <v>7704</v>
      </c>
      <c r="H2765" s="93"/>
      <c r="I2765" s="85">
        <f t="shared" si="107"/>
        <v>3.8293037728310249</v>
      </c>
      <c r="J2765" s="85">
        <f>AVERAGE(6000, 7500)</f>
        <v>6750</v>
      </c>
      <c r="K2765" s="131"/>
      <c r="L2765" s="60">
        <v>118</v>
      </c>
      <c r="M2765" s="33"/>
    </row>
    <row r="2766" spans="1:14" ht="16" x14ac:dyDescent="0.2">
      <c r="A2766" s="166" t="s">
        <v>2481</v>
      </c>
      <c r="B2766" s="82" t="s">
        <v>2487</v>
      </c>
      <c r="C2766" s="73" t="s">
        <v>3636</v>
      </c>
      <c r="D2766" s="73" t="s">
        <v>3773</v>
      </c>
      <c r="E2766" s="73" t="s">
        <v>4725</v>
      </c>
      <c r="F2766" s="70" t="s">
        <v>5415</v>
      </c>
      <c r="G2766" s="70" t="s">
        <v>3607</v>
      </c>
      <c r="H2766" s="93"/>
      <c r="I2766" s="85">
        <f t="shared" si="107"/>
        <v>3.3521825181113627</v>
      </c>
      <c r="J2766" s="85">
        <v>2250</v>
      </c>
      <c r="K2766" s="131" t="s">
        <v>6485</v>
      </c>
      <c r="L2766" s="60" t="s">
        <v>5705</v>
      </c>
      <c r="M2766" s="47"/>
      <c r="N2766" s="48"/>
    </row>
    <row r="2767" spans="1:14" ht="14" x14ac:dyDescent="0.15">
      <c r="A2767" s="166" t="s">
        <v>2481</v>
      </c>
      <c r="B2767" s="93" t="s">
        <v>2480</v>
      </c>
      <c r="C2767" s="70" t="s">
        <v>3636</v>
      </c>
      <c r="D2767" s="70" t="s">
        <v>3773</v>
      </c>
      <c r="E2767" s="70" t="s">
        <v>4725</v>
      </c>
      <c r="F2767" s="70" t="s">
        <v>5418</v>
      </c>
      <c r="G2767" s="70" t="s">
        <v>5419</v>
      </c>
      <c r="H2767" s="93"/>
      <c r="I2767" s="85">
        <f t="shared" si="107"/>
        <v>3.9777236052888476</v>
      </c>
      <c r="J2767" s="85">
        <v>9500</v>
      </c>
      <c r="K2767" s="135" t="s">
        <v>6666</v>
      </c>
      <c r="L2767" s="60">
        <v>68</v>
      </c>
      <c r="M2767" s="37" t="s">
        <v>6390</v>
      </c>
    </row>
    <row r="2768" spans="1:14" ht="28" x14ac:dyDescent="0.2">
      <c r="A2768" s="166" t="s">
        <v>2481</v>
      </c>
      <c r="B2768" s="93" t="s">
        <v>5791</v>
      </c>
      <c r="C2768" s="70" t="s">
        <v>3636</v>
      </c>
      <c r="D2768" s="70" t="s">
        <v>3773</v>
      </c>
      <c r="E2768" s="70" t="s">
        <v>4725</v>
      </c>
      <c r="F2768" s="70" t="s">
        <v>6427</v>
      </c>
      <c r="G2768" s="70" t="s">
        <v>5544</v>
      </c>
      <c r="H2768" s="93"/>
      <c r="I2768" s="85">
        <f t="shared" si="107"/>
        <v>3.6532125137753435</v>
      </c>
      <c r="J2768" s="85">
        <f>AVERAGE(3500, 5500)</f>
        <v>4500</v>
      </c>
      <c r="K2768" s="131" t="s">
        <v>3177</v>
      </c>
      <c r="L2768" s="60">
        <v>119</v>
      </c>
      <c r="M2768" s="47"/>
    </row>
    <row r="2769" spans="1:15" ht="42" x14ac:dyDescent="0.15">
      <c r="A2769" s="166" t="s">
        <v>2481</v>
      </c>
      <c r="B2769" s="93" t="s">
        <v>2480</v>
      </c>
      <c r="C2769" s="70" t="s">
        <v>3636</v>
      </c>
      <c r="D2769" s="70" t="s">
        <v>3773</v>
      </c>
      <c r="E2769" s="70" t="s">
        <v>4725</v>
      </c>
      <c r="F2769" s="70" t="s">
        <v>5159</v>
      </c>
      <c r="G2769" s="70" t="s">
        <v>5608</v>
      </c>
      <c r="H2769" s="93"/>
      <c r="I2769" s="85">
        <f t="shared" si="107"/>
        <v>3.4771212547196626</v>
      </c>
      <c r="J2769" s="85">
        <v>3000</v>
      </c>
      <c r="K2769" s="135" t="s">
        <v>7789</v>
      </c>
      <c r="L2769" s="60">
        <v>68</v>
      </c>
      <c r="M2769" s="37" t="s">
        <v>6390</v>
      </c>
    </row>
    <row r="2770" spans="1:15" ht="28" x14ac:dyDescent="0.15">
      <c r="A2770" s="166" t="s">
        <v>2481</v>
      </c>
      <c r="B2770" s="93" t="s">
        <v>2480</v>
      </c>
      <c r="C2770" s="70" t="s">
        <v>3636</v>
      </c>
      <c r="D2770" s="70" t="s">
        <v>3773</v>
      </c>
      <c r="E2770" s="70" t="s">
        <v>4725</v>
      </c>
      <c r="F2770" s="70" t="s">
        <v>5225</v>
      </c>
      <c r="G2770" s="70" t="s">
        <v>5365</v>
      </c>
      <c r="H2770" s="93"/>
      <c r="I2770" s="85">
        <f t="shared" si="107"/>
        <v>3.1760912590556813</v>
      </c>
      <c r="J2770" s="85">
        <v>1500</v>
      </c>
      <c r="K2770" s="131" t="s">
        <v>6655</v>
      </c>
      <c r="L2770" s="60">
        <v>68</v>
      </c>
      <c r="M2770" s="37" t="s">
        <v>6728</v>
      </c>
    </row>
    <row r="2771" spans="1:15" ht="28" x14ac:dyDescent="0.15">
      <c r="A2771" s="166" t="s">
        <v>2481</v>
      </c>
      <c r="B2771" s="93" t="s">
        <v>2480</v>
      </c>
      <c r="C2771" s="70" t="s">
        <v>3636</v>
      </c>
      <c r="D2771" s="70" t="s">
        <v>3773</v>
      </c>
      <c r="E2771" s="70" t="s">
        <v>4725</v>
      </c>
      <c r="F2771" s="70" t="s">
        <v>5225</v>
      </c>
      <c r="G2771" s="70" t="s">
        <v>5365</v>
      </c>
      <c r="H2771" s="93"/>
      <c r="I2771" s="85">
        <f t="shared" si="107"/>
        <v>3.1760912590556813</v>
      </c>
      <c r="J2771" s="85">
        <v>1500</v>
      </c>
      <c r="K2771" s="131" t="s">
        <v>6655</v>
      </c>
      <c r="L2771" s="60">
        <v>68</v>
      </c>
      <c r="M2771" s="49" t="s">
        <v>6728</v>
      </c>
    </row>
    <row r="2772" spans="1:15" ht="14" x14ac:dyDescent="0.15">
      <c r="A2772" s="166" t="s">
        <v>2481</v>
      </c>
      <c r="B2772" s="93" t="s">
        <v>1057</v>
      </c>
      <c r="C2772" s="70" t="s">
        <v>3636</v>
      </c>
      <c r="D2772" s="70" t="s">
        <v>3773</v>
      </c>
      <c r="E2772" s="70" t="s">
        <v>4725</v>
      </c>
      <c r="F2772" s="70" t="s">
        <v>5524</v>
      </c>
      <c r="G2772" s="70" t="s">
        <v>6447</v>
      </c>
      <c r="H2772" s="93"/>
      <c r="I2772" s="85">
        <f t="shared" si="107"/>
        <v>3.2939147410311023</v>
      </c>
      <c r="J2772" s="85">
        <f>AVERAGE(2100, 1835)</f>
        <v>1967.5</v>
      </c>
      <c r="K2772" s="131" t="s">
        <v>3177</v>
      </c>
      <c r="L2772" s="70" t="s">
        <v>6657</v>
      </c>
      <c r="M2772" s="33"/>
    </row>
    <row r="2773" spans="1:15" ht="14" x14ac:dyDescent="0.15">
      <c r="A2773" s="166" t="s">
        <v>2481</v>
      </c>
      <c r="B2773" s="93" t="s">
        <v>2487</v>
      </c>
      <c r="C2773" s="70" t="s">
        <v>3636</v>
      </c>
      <c r="D2773" s="70" t="s">
        <v>3773</v>
      </c>
      <c r="E2773" s="70" t="s">
        <v>4725</v>
      </c>
      <c r="F2773" s="70" t="s">
        <v>5524</v>
      </c>
      <c r="G2773" s="70" t="s">
        <v>6447</v>
      </c>
      <c r="H2773" s="93"/>
      <c r="I2773" s="85">
        <f t="shared" si="107"/>
        <v>3.3979400086720375</v>
      </c>
      <c r="J2773" s="85">
        <v>2500</v>
      </c>
      <c r="K2773" s="131" t="s">
        <v>3177</v>
      </c>
      <c r="L2773" s="70">
        <v>119</v>
      </c>
    </row>
    <row r="2774" spans="1:15" ht="14" x14ac:dyDescent="0.15">
      <c r="A2774" s="166" t="s">
        <v>2481</v>
      </c>
      <c r="B2774" s="82" t="s">
        <v>5613</v>
      </c>
      <c r="C2774" s="70" t="s">
        <v>3636</v>
      </c>
      <c r="D2774" s="70" t="s">
        <v>3773</v>
      </c>
      <c r="E2774" s="70" t="s">
        <v>4725</v>
      </c>
      <c r="F2774" s="70" t="s">
        <v>7787</v>
      </c>
      <c r="G2774" s="70" t="s">
        <v>5513</v>
      </c>
      <c r="H2774" s="93"/>
      <c r="I2774" s="85">
        <f t="shared" si="107"/>
        <v>3.6020599913279625</v>
      </c>
      <c r="J2774" s="85">
        <v>4000</v>
      </c>
      <c r="K2774" s="131" t="s">
        <v>6817</v>
      </c>
      <c r="L2774" s="60">
        <v>138</v>
      </c>
      <c r="M2774" s="33" t="s">
        <v>6728</v>
      </c>
    </row>
    <row r="2775" spans="1:15" ht="14" x14ac:dyDescent="0.15">
      <c r="A2775" s="166" t="s">
        <v>2481</v>
      </c>
      <c r="B2775" s="82" t="s">
        <v>2487</v>
      </c>
      <c r="C2775" s="70" t="s">
        <v>3636</v>
      </c>
      <c r="D2775" s="70" t="s">
        <v>3773</v>
      </c>
      <c r="E2775" s="70" t="s">
        <v>4725</v>
      </c>
      <c r="F2775" s="70" t="s">
        <v>5366</v>
      </c>
      <c r="G2775" s="70" t="s">
        <v>5367</v>
      </c>
      <c r="H2775" s="93"/>
      <c r="I2775" s="85">
        <f t="shared" si="107"/>
        <v>3.6334684555795866</v>
      </c>
      <c r="J2775" s="85">
        <v>4300</v>
      </c>
      <c r="K2775" s="131" t="s">
        <v>6485</v>
      </c>
      <c r="L2775" s="60" t="s">
        <v>5705</v>
      </c>
      <c r="M2775" s="33"/>
    </row>
    <row r="2776" spans="1:15" ht="14" x14ac:dyDescent="0.15">
      <c r="A2776" s="166" t="s">
        <v>2481</v>
      </c>
      <c r="B2776" s="93" t="s">
        <v>2330</v>
      </c>
      <c r="C2776" s="70" t="s">
        <v>3636</v>
      </c>
      <c r="D2776" s="70" t="s">
        <v>3773</v>
      </c>
      <c r="E2776" s="70" t="s">
        <v>4725</v>
      </c>
      <c r="F2776" s="70" t="s">
        <v>5368</v>
      </c>
      <c r="G2776" s="70" t="s">
        <v>5515</v>
      </c>
      <c r="H2776" s="93"/>
      <c r="I2776" s="85">
        <f t="shared" si="107"/>
        <v>3.4441619458936739</v>
      </c>
      <c r="J2776" s="85">
        <f>AVERAGE((7.25*454), (5*454))</f>
        <v>2780.75</v>
      </c>
      <c r="K2776" s="131"/>
      <c r="L2776" s="60">
        <v>132</v>
      </c>
      <c r="M2776" s="33"/>
    </row>
    <row r="2777" spans="1:15" ht="14" x14ac:dyDescent="0.15">
      <c r="A2777" s="166" t="s">
        <v>2481</v>
      </c>
      <c r="B2777" s="82" t="s">
        <v>2330</v>
      </c>
      <c r="C2777" s="70" t="s">
        <v>3636</v>
      </c>
      <c r="D2777" s="70" t="s">
        <v>3773</v>
      </c>
      <c r="E2777" s="70" t="s">
        <v>4725</v>
      </c>
      <c r="F2777" s="70" t="s">
        <v>5368</v>
      </c>
      <c r="G2777" s="70" t="s">
        <v>5369</v>
      </c>
      <c r="H2777" s="93"/>
      <c r="I2777" s="85">
        <f t="shared" si="107"/>
        <v>3.4809635080638608</v>
      </c>
      <c r="J2777" s="85">
        <f>AVERAGE((7.3333*454), (6*454))</f>
        <v>3026.6590999999999</v>
      </c>
      <c r="K2777" s="131"/>
      <c r="L2777" s="60">
        <v>132</v>
      </c>
      <c r="M2777" s="33"/>
    </row>
    <row r="2778" spans="1:15" ht="14" x14ac:dyDescent="0.15">
      <c r="A2778" s="166" t="s">
        <v>2481</v>
      </c>
      <c r="B2778" s="82" t="s">
        <v>2487</v>
      </c>
      <c r="C2778" s="70" t="s">
        <v>3636</v>
      </c>
      <c r="D2778" s="70" t="s">
        <v>3773</v>
      </c>
      <c r="E2778" s="70" t="s">
        <v>4725</v>
      </c>
      <c r="F2778" s="70" t="s">
        <v>5368</v>
      </c>
      <c r="G2778" s="70" t="s">
        <v>5369</v>
      </c>
      <c r="H2778" s="93"/>
      <c r="I2778" s="85">
        <f t="shared" si="107"/>
        <v>3.5051499783199058</v>
      </c>
      <c r="J2778" s="85">
        <v>3200</v>
      </c>
      <c r="K2778" s="131" t="s">
        <v>6485</v>
      </c>
      <c r="L2778" s="60" t="s">
        <v>6594</v>
      </c>
      <c r="M2778" s="33"/>
    </row>
    <row r="2779" spans="1:15" ht="14" x14ac:dyDescent="0.15">
      <c r="A2779" s="166" t="s">
        <v>2481</v>
      </c>
      <c r="B2779" s="82" t="s">
        <v>5852</v>
      </c>
      <c r="C2779" s="70" t="s">
        <v>3636</v>
      </c>
      <c r="D2779" s="70" t="s">
        <v>3773</v>
      </c>
      <c r="E2779" s="70" t="s">
        <v>4725</v>
      </c>
      <c r="F2779" s="70" t="s">
        <v>5368</v>
      </c>
      <c r="G2779" s="70" t="s">
        <v>5369</v>
      </c>
      <c r="H2779" s="93"/>
      <c r="I2779" s="85">
        <f t="shared" si="107"/>
        <v>3.5051499783199058</v>
      </c>
      <c r="J2779" s="85">
        <v>3200</v>
      </c>
      <c r="K2779" s="131" t="s">
        <v>6485</v>
      </c>
      <c r="L2779" s="60" t="s">
        <v>6333</v>
      </c>
      <c r="M2779" s="33"/>
    </row>
    <row r="2780" spans="1:15" ht="14" x14ac:dyDescent="0.15">
      <c r="A2780" s="166" t="s">
        <v>2481</v>
      </c>
      <c r="B2780" s="93" t="s">
        <v>2487</v>
      </c>
      <c r="C2780" s="70" t="s">
        <v>3636</v>
      </c>
      <c r="D2780" s="70" t="s">
        <v>3773</v>
      </c>
      <c r="E2780" s="70" t="s">
        <v>4725</v>
      </c>
      <c r="F2780" s="70" t="s">
        <v>5516</v>
      </c>
      <c r="G2780" s="70" t="s">
        <v>5751</v>
      </c>
      <c r="H2780" s="93"/>
      <c r="I2780" s="85">
        <f t="shared" si="107"/>
        <v>2.7092699609758308</v>
      </c>
      <c r="J2780" s="85">
        <f>AVERAGE(570, (454*1))</f>
        <v>512</v>
      </c>
      <c r="K2780" s="131" t="s">
        <v>3177</v>
      </c>
      <c r="L2780" s="60" t="s">
        <v>1191</v>
      </c>
      <c r="M2780" s="33"/>
    </row>
    <row r="2781" spans="1:15" ht="14" x14ac:dyDescent="0.15">
      <c r="A2781" s="166" t="s">
        <v>2481</v>
      </c>
      <c r="B2781" s="93" t="s">
        <v>2487</v>
      </c>
      <c r="C2781" s="70" t="s">
        <v>3636</v>
      </c>
      <c r="D2781" s="70" t="s">
        <v>3773</v>
      </c>
      <c r="E2781" s="70" t="s">
        <v>4725</v>
      </c>
      <c r="F2781" s="70" t="s">
        <v>5516</v>
      </c>
      <c r="G2781" s="70" t="s">
        <v>5517</v>
      </c>
      <c r="H2781" s="93"/>
      <c r="I2781" s="85">
        <f t="shared" si="107"/>
        <v>2.8450980400142569</v>
      </c>
      <c r="J2781" s="85">
        <v>700</v>
      </c>
      <c r="K2781" s="131" t="s">
        <v>3177</v>
      </c>
      <c r="L2781" s="60">
        <v>119</v>
      </c>
      <c r="M2781" s="33"/>
    </row>
    <row r="2782" spans="1:15" ht="14" x14ac:dyDescent="0.15">
      <c r="A2782" s="166" t="s">
        <v>2481</v>
      </c>
      <c r="B2782" s="82" t="s">
        <v>2487</v>
      </c>
      <c r="C2782" s="70" t="s">
        <v>3636</v>
      </c>
      <c r="D2782" s="70" t="s">
        <v>3773</v>
      </c>
      <c r="E2782" s="70" t="s">
        <v>4725</v>
      </c>
      <c r="F2782" s="70" t="s">
        <v>5370</v>
      </c>
      <c r="G2782" s="70" t="s">
        <v>5375</v>
      </c>
      <c r="H2782" s="93"/>
      <c r="I2782" s="85">
        <f t="shared" si="107"/>
        <v>3.576341350205793</v>
      </c>
      <c r="J2782" s="85">
        <f>AVERAGE(3200,4700, 3800, 3380)</f>
        <v>3770</v>
      </c>
      <c r="K2782" s="131"/>
      <c r="L2782" s="60" t="s">
        <v>1700</v>
      </c>
      <c r="M2782" s="33"/>
    </row>
    <row r="2783" spans="1:15" ht="14" x14ac:dyDescent="0.15">
      <c r="A2783" s="166" t="s">
        <v>2481</v>
      </c>
      <c r="B2783" s="82" t="s">
        <v>2487</v>
      </c>
      <c r="C2783" s="70" t="s">
        <v>3636</v>
      </c>
      <c r="D2783" s="70" t="s">
        <v>3773</v>
      </c>
      <c r="E2783" s="70" t="s">
        <v>4725</v>
      </c>
      <c r="F2783" s="70" t="s">
        <v>5370</v>
      </c>
      <c r="G2783" s="70" t="s">
        <v>5376</v>
      </c>
      <c r="H2783" s="93"/>
      <c r="I2783" s="85">
        <f t="shared" si="107"/>
        <v>4</v>
      </c>
      <c r="J2783" s="85">
        <v>10000</v>
      </c>
      <c r="K2783" s="131" t="s">
        <v>6485</v>
      </c>
      <c r="L2783" s="60" t="s">
        <v>1307</v>
      </c>
      <c r="M2783" s="33"/>
      <c r="O2783" s="35"/>
    </row>
    <row r="2784" spans="1:15" ht="14" x14ac:dyDescent="0.15">
      <c r="A2784" s="166" t="s">
        <v>2481</v>
      </c>
      <c r="B2784" s="93" t="s">
        <v>2330</v>
      </c>
      <c r="C2784" s="70" t="s">
        <v>3636</v>
      </c>
      <c r="D2784" s="70" t="s">
        <v>3773</v>
      </c>
      <c r="E2784" s="70" t="s">
        <v>4725</v>
      </c>
      <c r="F2784" s="70" t="s">
        <v>5881</v>
      </c>
      <c r="G2784" s="70" t="s">
        <v>3926</v>
      </c>
      <c r="H2784" s="93"/>
      <c r="I2784" s="85">
        <f t="shared" si="107"/>
        <v>3.4291328331920634</v>
      </c>
      <c r="J2784" s="85">
        <f>AVERAGE((6.33333*454), (5.5*454))</f>
        <v>2686.1659099999997</v>
      </c>
      <c r="K2784" s="131"/>
      <c r="L2784" s="60">
        <v>132</v>
      </c>
      <c r="M2784" s="33"/>
    </row>
    <row r="2785" spans="1:15" ht="14" x14ac:dyDescent="0.15">
      <c r="A2785" s="166" t="s">
        <v>2481</v>
      </c>
      <c r="B2785" s="93" t="s">
        <v>1856</v>
      </c>
      <c r="C2785" s="70" t="s">
        <v>3636</v>
      </c>
      <c r="D2785" s="70" t="s">
        <v>3773</v>
      </c>
      <c r="E2785" s="70" t="s">
        <v>4725</v>
      </c>
      <c r="F2785" s="70" t="s">
        <v>5881</v>
      </c>
      <c r="G2785" s="70" t="s">
        <v>3926</v>
      </c>
      <c r="H2785" s="93"/>
      <c r="I2785" s="85">
        <f t="shared" si="107"/>
        <v>3.4617985575251091</v>
      </c>
      <c r="J2785" s="85">
        <f>AVERAGE(3500, 2200, 3000, 2150, 3630)</f>
        <v>2896</v>
      </c>
      <c r="K2785" s="131" t="s">
        <v>3177</v>
      </c>
      <c r="L2785" s="60" t="s">
        <v>2812</v>
      </c>
      <c r="M2785" s="33"/>
    </row>
    <row r="2786" spans="1:15" ht="14" x14ac:dyDescent="0.15">
      <c r="A2786" s="166" t="s">
        <v>2481</v>
      </c>
      <c r="B2786" s="93" t="s">
        <v>2487</v>
      </c>
      <c r="C2786" s="70" t="s">
        <v>3636</v>
      </c>
      <c r="D2786" s="70" t="s">
        <v>3773</v>
      </c>
      <c r="E2786" s="70" t="s">
        <v>4725</v>
      </c>
      <c r="F2786" s="70" t="s">
        <v>5881</v>
      </c>
      <c r="G2786" s="70" t="s">
        <v>3926</v>
      </c>
      <c r="H2786" s="93"/>
      <c r="I2786" s="85">
        <f t="shared" si="107"/>
        <v>3.4742162640762553</v>
      </c>
      <c r="J2786" s="85">
        <f>AVERAGE(3500, 2200, 3000, 2150, 3630, 3400)</f>
        <v>2980</v>
      </c>
      <c r="K2786" s="131" t="s">
        <v>3177</v>
      </c>
      <c r="L2786" s="60" t="s">
        <v>6593</v>
      </c>
      <c r="M2786" s="33"/>
    </row>
    <row r="2787" spans="1:15" ht="14" x14ac:dyDescent="0.15">
      <c r="A2787" s="166" t="s">
        <v>2481</v>
      </c>
      <c r="B2787" s="93" t="s">
        <v>2480</v>
      </c>
      <c r="C2787" s="73" t="s">
        <v>3636</v>
      </c>
      <c r="D2787" s="73" t="s">
        <v>3773</v>
      </c>
      <c r="E2787" s="70" t="s">
        <v>4725</v>
      </c>
      <c r="F2787" s="73" t="s">
        <v>5881</v>
      </c>
      <c r="G2787" s="73" t="s">
        <v>3926</v>
      </c>
      <c r="H2787" s="108"/>
      <c r="I2787" s="85">
        <f t="shared" si="107"/>
        <v>3.4771212547196626</v>
      </c>
      <c r="J2787" s="85">
        <v>3000</v>
      </c>
      <c r="K2787" s="131" t="s">
        <v>6755</v>
      </c>
      <c r="L2787" s="60">
        <v>150</v>
      </c>
      <c r="M2787" s="33"/>
    </row>
    <row r="2788" spans="1:15" ht="28" x14ac:dyDescent="0.15">
      <c r="A2788" s="165" t="s">
        <v>2481</v>
      </c>
      <c r="B2788" s="93" t="s">
        <v>1649</v>
      </c>
      <c r="C2788" s="100" t="s">
        <v>3636</v>
      </c>
      <c r="D2788" s="61" t="s">
        <v>2548</v>
      </c>
      <c r="E2788" s="100" t="s">
        <v>2687</v>
      </c>
      <c r="F2788" s="100" t="s">
        <v>1650</v>
      </c>
      <c r="G2788" s="100" t="s">
        <v>1651</v>
      </c>
      <c r="H2788" s="177"/>
      <c r="I2788" s="85">
        <f t="shared" si="107"/>
        <v>1.0239380074981028</v>
      </c>
      <c r="J2788" s="101">
        <v>10.566666666667</v>
      </c>
      <c r="K2788" s="143"/>
      <c r="L2788" s="61">
        <v>153</v>
      </c>
      <c r="M2788" s="50"/>
      <c r="N2788" s="35"/>
    </row>
    <row r="2789" spans="1:15" ht="14" x14ac:dyDescent="0.15">
      <c r="A2789" s="165" t="s">
        <v>2481</v>
      </c>
      <c r="B2789" s="93" t="s">
        <v>2480</v>
      </c>
      <c r="C2789" s="100" t="s">
        <v>3636</v>
      </c>
      <c r="D2789" s="61" t="s">
        <v>2548</v>
      </c>
      <c r="E2789" s="100" t="s">
        <v>2687</v>
      </c>
      <c r="F2789" s="100" t="s">
        <v>2688</v>
      </c>
      <c r="G2789" s="100" t="s">
        <v>5668</v>
      </c>
      <c r="H2789" s="177"/>
      <c r="I2789" s="103">
        <v>-999</v>
      </c>
      <c r="J2789" s="103">
        <v>-999</v>
      </c>
      <c r="K2789" s="141"/>
      <c r="L2789" s="61">
        <v>-999</v>
      </c>
      <c r="M2789" s="50"/>
      <c r="N2789" s="35"/>
      <c r="O2789" s="35"/>
    </row>
    <row r="2790" spans="1:15" ht="28" x14ac:dyDescent="0.15">
      <c r="A2790" s="165" t="s">
        <v>2481</v>
      </c>
      <c r="B2790" s="93" t="s">
        <v>1271</v>
      </c>
      <c r="C2790" s="100" t="s">
        <v>3636</v>
      </c>
      <c r="D2790" s="61" t="s">
        <v>2548</v>
      </c>
      <c r="E2790" s="100" t="s">
        <v>2687</v>
      </c>
      <c r="F2790" s="100" t="s">
        <v>2688</v>
      </c>
      <c r="G2790" s="100" t="s">
        <v>7898</v>
      </c>
      <c r="H2790" s="177"/>
      <c r="I2790" s="85">
        <f t="shared" ref="I2790:I2799" si="108">LOG(J2790)</f>
        <v>0.62324929039790045</v>
      </c>
      <c r="J2790" s="101">
        <v>4.2</v>
      </c>
      <c r="K2790" s="143"/>
      <c r="L2790" s="61">
        <v>153</v>
      </c>
      <c r="M2790" s="50"/>
      <c r="N2790" s="35"/>
    </row>
    <row r="2791" spans="1:15" ht="56" x14ac:dyDescent="0.15">
      <c r="A2791" s="165" t="s">
        <v>2481</v>
      </c>
      <c r="B2791" s="93" t="s">
        <v>1383</v>
      </c>
      <c r="C2791" s="100" t="s">
        <v>3636</v>
      </c>
      <c r="D2791" s="61" t="s">
        <v>2548</v>
      </c>
      <c r="E2791" s="100" t="s">
        <v>2687</v>
      </c>
      <c r="F2791" s="100" t="s">
        <v>2688</v>
      </c>
      <c r="G2791" s="100" t="s">
        <v>5873</v>
      </c>
      <c r="H2791" s="177"/>
      <c r="I2791" s="85">
        <f t="shared" si="108"/>
        <v>0.72015930340595691</v>
      </c>
      <c r="J2791" s="101">
        <v>5.25</v>
      </c>
      <c r="K2791" s="143"/>
      <c r="L2791" s="61">
        <v>153</v>
      </c>
      <c r="M2791" s="50"/>
      <c r="N2791" s="35"/>
      <c r="O2791" s="35"/>
    </row>
    <row r="2792" spans="1:15" ht="70" x14ac:dyDescent="0.15">
      <c r="A2792" s="165" t="s">
        <v>2481</v>
      </c>
      <c r="B2792" s="93" t="s">
        <v>1189</v>
      </c>
      <c r="C2792" s="100" t="s">
        <v>3636</v>
      </c>
      <c r="D2792" s="61" t="s">
        <v>2548</v>
      </c>
      <c r="E2792" s="100" t="s">
        <v>2687</v>
      </c>
      <c r="F2792" s="100" t="s">
        <v>2688</v>
      </c>
      <c r="G2792" s="100" t="s">
        <v>5727</v>
      </c>
      <c r="H2792" s="177"/>
      <c r="I2792" s="85">
        <f t="shared" si="108"/>
        <v>0.74818802700620035</v>
      </c>
      <c r="J2792" s="101">
        <v>5.6</v>
      </c>
      <c r="K2792" s="143"/>
      <c r="L2792" s="61">
        <v>153</v>
      </c>
      <c r="M2792" s="50"/>
      <c r="N2792" s="35"/>
      <c r="O2792" s="35"/>
    </row>
    <row r="2793" spans="1:15" ht="98" x14ac:dyDescent="0.15">
      <c r="A2793" s="165" t="s">
        <v>2481</v>
      </c>
      <c r="B2793" s="93" t="s">
        <v>1462</v>
      </c>
      <c r="C2793" s="100" t="s">
        <v>3636</v>
      </c>
      <c r="D2793" s="61" t="s">
        <v>2548</v>
      </c>
      <c r="E2793" s="100" t="s">
        <v>2687</v>
      </c>
      <c r="F2793" s="100" t="s">
        <v>2688</v>
      </c>
      <c r="G2793" s="100" t="s">
        <v>3866</v>
      </c>
      <c r="H2793" s="177"/>
      <c r="I2793" s="85">
        <f t="shared" si="108"/>
        <v>0.77815125038364363</v>
      </c>
      <c r="J2793" s="101">
        <f>AVERAGE(4.5, 7.5)</f>
        <v>6</v>
      </c>
      <c r="K2793" s="143"/>
      <c r="L2793" s="61">
        <v>257</v>
      </c>
      <c r="M2793" s="50"/>
      <c r="N2793" s="35"/>
    </row>
    <row r="2794" spans="1:15" ht="56" x14ac:dyDescent="0.15">
      <c r="A2794" s="165" t="s">
        <v>2481</v>
      </c>
      <c r="B2794" s="93" t="s">
        <v>2804</v>
      </c>
      <c r="C2794" s="100" t="s">
        <v>3636</v>
      </c>
      <c r="D2794" s="61" t="s">
        <v>2548</v>
      </c>
      <c r="E2794" s="100" t="s">
        <v>2687</v>
      </c>
      <c r="F2794" s="100" t="s">
        <v>2688</v>
      </c>
      <c r="G2794" s="100" t="s">
        <v>1182</v>
      </c>
      <c r="H2794" s="177"/>
      <c r="I2794" s="85">
        <f t="shared" si="108"/>
        <v>0.79934054945358168</v>
      </c>
      <c r="J2794" s="101">
        <v>6.3</v>
      </c>
      <c r="K2794" s="143"/>
      <c r="L2794" s="61">
        <v>153</v>
      </c>
      <c r="M2794" s="50"/>
      <c r="N2794" s="35"/>
    </row>
    <row r="2795" spans="1:15" ht="56" x14ac:dyDescent="0.15">
      <c r="A2795" s="165" t="s">
        <v>2481</v>
      </c>
      <c r="B2795" s="93" t="s">
        <v>1563</v>
      </c>
      <c r="C2795" s="100" t="s">
        <v>3636</v>
      </c>
      <c r="D2795" s="61" t="s">
        <v>2548</v>
      </c>
      <c r="E2795" s="100" t="s">
        <v>2687</v>
      </c>
      <c r="F2795" s="100" t="s">
        <v>2688</v>
      </c>
      <c r="G2795" s="100" t="s">
        <v>5736</v>
      </c>
      <c r="H2795" s="177"/>
      <c r="I2795" s="103">
        <f t="shared" si="108"/>
        <v>0.90127664622847525</v>
      </c>
      <c r="J2795" s="103">
        <f>AVERAGE(5, 13, 5, 8.7, 5.6, 10.5)</f>
        <v>7.9666666666666659</v>
      </c>
      <c r="K2795" s="141"/>
      <c r="L2795" s="61" t="s">
        <v>1764</v>
      </c>
      <c r="M2795" s="50"/>
      <c r="N2795" s="35"/>
    </row>
    <row r="2796" spans="1:15" ht="14" x14ac:dyDescent="0.15">
      <c r="A2796" s="165" t="s">
        <v>2481</v>
      </c>
      <c r="B2796" s="93" t="s">
        <v>4582</v>
      </c>
      <c r="C2796" s="100" t="s">
        <v>3636</v>
      </c>
      <c r="D2796" s="61" t="s">
        <v>2548</v>
      </c>
      <c r="E2796" s="100" t="s">
        <v>2687</v>
      </c>
      <c r="F2796" s="100" t="s">
        <v>2688</v>
      </c>
      <c r="G2796" s="100" t="s">
        <v>5756</v>
      </c>
      <c r="H2796" s="177"/>
      <c r="I2796" s="103">
        <f t="shared" si="108"/>
        <v>1.0472748673841794</v>
      </c>
      <c r="J2796" s="103">
        <f>AVERAGE(10, 14, 9.6, 11)</f>
        <v>11.15</v>
      </c>
      <c r="K2796" s="141"/>
      <c r="L2796" s="61">
        <v>259</v>
      </c>
      <c r="M2796" s="50"/>
    </row>
    <row r="2797" spans="1:15" ht="98" x14ac:dyDescent="0.15">
      <c r="A2797" s="165" t="s">
        <v>2481</v>
      </c>
      <c r="B2797" s="93" t="s">
        <v>1402</v>
      </c>
      <c r="C2797" s="100" t="s">
        <v>3636</v>
      </c>
      <c r="D2797" s="61" t="s">
        <v>2548</v>
      </c>
      <c r="E2797" s="100" t="s">
        <v>2687</v>
      </c>
      <c r="F2797" s="100" t="s">
        <v>1403</v>
      </c>
      <c r="G2797" s="100" t="s">
        <v>7090</v>
      </c>
      <c r="H2797" s="177"/>
      <c r="I2797" s="85">
        <f t="shared" si="108"/>
        <v>0.51188336097887432</v>
      </c>
      <c r="J2797" s="101">
        <v>3.25</v>
      </c>
      <c r="K2797" s="143"/>
      <c r="L2797" s="61">
        <v>153</v>
      </c>
      <c r="M2797" s="50"/>
      <c r="O2797" s="35"/>
    </row>
    <row r="2798" spans="1:15" ht="98" x14ac:dyDescent="0.15">
      <c r="A2798" s="165" t="s">
        <v>2481</v>
      </c>
      <c r="B2798" s="93" t="s">
        <v>4351</v>
      </c>
      <c r="C2798" s="100" t="s">
        <v>3636</v>
      </c>
      <c r="D2798" s="61" t="s">
        <v>2548</v>
      </c>
      <c r="E2798" s="100" t="s">
        <v>2687</v>
      </c>
      <c r="F2798" s="100" t="s">
        <v>1415</v>
      </c>
      <c r="G2798" s="100" t="s">
        <v>3959</v>
      </c>
      <c r="H2798" s="177"/>
      <c r="I2798" s="85">
        <f t="shared" si="108"/>
        <v>0.73417731256336793</v>
      </c>
      <c r="J2798" s="101">
        <v>5.4222222222219996</v>
      </c>
      <c r="K2798" s="143"/>
      <c r="L2798" s="61">
        <v>153</v>
      </c>
      <c r="M2798" s="50"/>
      <c r="O2798" s="35"/>
    </row>
    <row r="2799" spans="1:15" ht="70" x14ac:dyDescent="0.15">
      <c r="A2799" s="165" t="s">
        <v>2481</v>
      </c>
      <c r="B2799" s="93" t="s">
        <v>4352</v>
      </c>
      <c r="C2799" s="100" t="s">
        <v>3636</v>
      </c>
      <c r="D2799" s="61" t="s">
        <v>2548</v>
      </c>
      <c r="E2799" s="100" t="s">
        <v>2687</v>
      </c>
      <c r="F2799" s="100" t="s">
        <v>4353</v>
      </c>
      <c r="G2799" s="100" t="s">
        <v>6823</v>
      </c>
      <c r="H2799" s="177"/>
      <c r="I2799" s="85">
        <f t="shared" si="108"/>
        <v>0.48855071650044429</v>
      </c>
      <c r="J2799" s="101">
        <f>AVERAGE(3.2, 4.3, 2.1, 2.4, 3.4)</f>
        <v>3.08</v>
      </c>
      <c r="K2799" s="143"/>
      <c r="L2799" s="61">
        <v>261</v>
      </c>
      <c r="M2799" s="50"/>
    </row>
    <row r="2800" spans="1:15" ht="14" x14ac:dyDescent="0.15">
      <c r="A2800" s="165" t="s">
        <v>2481</v>
      </c>
      <c r="B2800" s="93" t="s">
        <v>5852</v>
      </c>
      <c r="C2800" s="100" t="s">
        <v>3636</v>
      </c>
      <c r="D2800" s="61" t="s">
        <v>2548</v>
      </c>
      <c r="E2800" s="100" t="s">
        <v>2687</v>
      </c>
      <c r="F2800" s="100" t="s">
        <v>2961</v>
      </c>
      <c r="G2800" s="100" t="s">
        <v>520</v>
      </c>
      <c r="H2800" s="177"/>
      <c r="I2800" s="103">
        <v>-999</v>
      </c>
      <c r="J2800" s="103">
        <v>-999</v>
      </c>
      <c r="K2800" s="141"/>
      <c r="L2800" s="61">
        <v>-999</v>
      </c>
      <c r="M2800" s="35"/>
    </row>
    <row r="2801" spans="1:15" ht="28" x14ac:dyDescent="0.15">
      <c r="A2801" s="165" t="s">
        <v>2481</v>
      </c>
      <c r="B2801" s="93" t="s">
        <v>519</v>
      </c>
      <c r="C2801" s="100" t="s">
        <v>3636</v>
      </c>
      <c r="D2801" s="61" t="s">
        <v>2548</v>
      </c>
      <c r="E2801" s="100" t="s">
        <v>2687</v>
      </c>
      <c r="F2801" s="100" t="s">
        <v>2961</v>
      </c>
      <c r="G2801" s="100" t="s">
        <v>2935</v>
      </c>
      <c r="H2801" s="177"/>
      <c r="I2801" s="103">
        <f t="shared" ref="I2801:I2817" si="109">LOG(J2801)</f>
        <v>1.3623567926545359</v>
      </c>
      <c r="J2801" s="61">
        <f>AVERAGE(21.3, 26.5, 21.3)</f>
        <v>23.033333333333331</v>
      </c>
      <c r="K2801" s="145" t="s">
        <v>1696</v>
      </c>
      <c r="L2801" s="61">
        <v>259</v>
      </c>
      <c r="M2801" s="35"/>
    </row>
    <row r="2802" spans="1:15" ht="98" x14ac:dyDescent="0.15">
      <c r="A2802" s="165" t="s">
        <v>2481</v>
      </c>
      <c r="B2802" s="93" t="s">
        <v>4681</v>
      </c>
      <c r="C2802" s="102" t="s">
        <v>3636</v>
      </c>
      <c r="D2802" s="62" t="s">
        <v>2548</v>
      </c>
      <c r="E2802" s="102" t="s">
        <v>2687</v>
      </c>
      <c r="F2802" s="102" t="s">
        <v>2961</v>
      </c>
      <c r="G2802" s="102" t="s">
        <v>2936</v>
      </c>
      <c r="H2802" s="175"/>
      <c r="I2802" s="85">
        <f t="shared" si="109"/>
        <v>1.5797835966168101</v>
      </c>
      <c r="J2802" s="61">
        <f>AVERAGE(40, 50, 24)</f>
        <v>38</v>
      </c>
      <c r="K2802" s="143"/>
      <c r="L2802" s="61">
        <v>259</v>
      </c>
      <c r="M2802" s="50"/>
    </row>
    <row r="2803" spans="1:15" ht="28" x14ac:dyDescent="0.15">
      <c r="A2803" s="165" t="s">
        <v>2481</v>
      </c>
      <c r="B2803" s="93" t="s">
        <v>4682</v>
      </c>
      <c r="C2803" s="102" t="s">
        <v>3636</v>
      </c>
      <c r="D2803" s="62" t="s">
        <v>2548</v>
      </c>
      <c r="E2803" s="102" t="s">
        <v>2687</v>
      </c>
      <c r="F2803" s="102" t="s">
        <v>2961</v>
      </c>
      <c r="G2803" s="102" t="s">
        <v>3512</v>
      </c>
      <c r="H2803" s="175"/>
      <c r="I2803" s="85">
        <f t="shared" si="109"/>
        <v>1.5938396610812713</v>
      </c>
      <c r="J2803" s="61">
        <f>AVERAGE(30, 42, 37, 48)</f>
        <v>39.25</v>
      </c>
      <c r="K2803" s="143"/>
      <c r="L2803" s="61">
        <v>259</v>
      </c>
      <c r="M2803" s="50"/>
      <c r="O2803" s="51"/>
    </row>
    <row r="2804" spans="1:15" ht="70" x14ac:dyDescent="0.15">
      <c r="A2804" s="165" t="s">
        <v>2481</v>
      </c>
      <c r="B2804" s="93" t="s">
        <v>1367</v>
      </c>
      <c r="C2804" s="102" t="s">
        <v>3636</v>
      </c>
      <c r="D2804" s="62" t="s">
        <v>2548</v>
      </c>
      <c r="E2804" s="102" t="s">
        <v>2687</v>
      </c>
      <c r="F2804" s="102" t="s">
        <v>1130</v>
      </c>
      <c r="G2804" s="102" t="s">
        <v>1368</v>
      </c>
      <c r="H2804" s="175"/>
      <c r="I2804" s="85">
        <f t="shared" si="109"/>
        <v>0.63848925695463732</v>
      </c>
      <c r="J2804" s="104">
        <f>AVERAGE(3.6, 4.9, 3.7, 5.2)</f>
        <v>4.3499999999999996</v>
      </c>
      <c r="K2804" s="144"/>
      <c r="L2804" s="61">
        <v>261</v>
      </c>
      <c r="M2804" s="35"/>
      <c r="O2804" s="35"/>
    </row>
    <row r="2805" spans="1:15" ht="70" x14ac:dyDescent="0.15">
      <c r="A2805" s="165" t="s">
        <v>2481</v>
      </c>
      <c r="B2805" s="93" t="s">
        <v>1280</v>
      </c>
      <c r="C2805" s="102" t="s">
        <v>3636</v>
      </c>
      <c r="D2805" s="62" t="s">
        <v>2548</v>
      </c>
      <c r="E2805" s="102" t="s">
        <v>2687</v>
      </c>
      <c r="F2805" s="102" t="s">
        <v>1130</v>
      </c>
      <c r="G2805" s="102" t="s">
        <v>1230</v>
      </c>
      <c r="H2805" s="175"/>
      <c r="I2805" s="85">
        <f t="shared" si="109"/>
        <v>0.85582190540602998</v>
      </c>
      <c r="J2805" s="104">
        <f>AVERAGE(3, 9.6, 5.2, 10.9)</f>
        <v>7.1750000000000007</v>
      </c>
      <c r="K2805" s="143"/>
      <c r="L2805" s="61">
        <v>261</v>
      </c>
      <c r="M2805" s="35"/>
      <c r="O2805" s="35"/>
    </row>
    <row r="2806" spans="1:15" ht="14" x14ac:dyDescent="0.15">
      <c r="A2806" s="165" t="s">
        <v>2481</v>
      </c>
      <c r="B2806" s="93" t="s">
        <v>5852</v>
      </c>
      <c r="C2806" s="102" t="s">
        <v>3636</v>
      </c>
      <c r="D2806" s="62" t="s">
        <v>2548</v>
      </c>
      <c r="E2806" s="102" t="s">
        <v>2687</v>
      </c>
      <c r="F2806" s="102" t="s">
        <v>5971</v>
      </c>
      <c r="G2806" s="102" t="s">
        <v>6022</v>
      </c>
      <c r="H2806" s="175"/>
      <c r="I2806" s="85">
        <f t="shared" si="109"/>
        <v>1.307496037913213</v>
      </c>
      <c r="J2806" s="104">
        <v>20.3</v>
      </c>
      <c r="K2806" s="143"/>
      <c r="L2806" s="61">
        <v>153</v>
      </c>
      <c r="M2806" s="35"/>
    </row>
    <row r="2807" spans="1:15" ht="42" x14ac:dyDescent="0.15">
      <c r="A2807" s="165" t="s">
        <v>2481</v>
      </c>
      <c r="B2807" s="93" t="s">
        <v>1134</v>
      </c>
      <c r="C2807" s="102" t="s">
        <v>3636</v>
      </c>
      <c r="D2807" s="62" t="s">
        <v>2548</v>
      </c>
      <c r="E2807" s="102" t="s">
        <v>2687</v>
      </c>
      <c r="F2807" s="102" t="s">
        <v>5971</v>
      </c>
      <c r="G2807" s="102" t="s">
        <v>3608</v>
      </c>
      <c r="H2807" s="175"/>
      <c r="I2807" s="85">
        <f t="shared" si="109"/>
        <v>1.3598354823398879</v>
      </c>
      <c r="J2807" s="104">
        <v>22.9</v>
      </c>
      <c r="K2807" s="141"/>
      <c r="L2807" s="61" t="s">
        <v>1599</v>
      </c>
      <c r="M2807" s="35"/>
    </row>
    <row r="2808" spans="1:15" ht="112" x14ac:dyDescent="0.15">
      <c r="A2808" s="165" t="s">
        <v>2481</v>
      </c>
      <c r="B2808" s="93" t="s">
        <v>2044</v>
      </c>
      <c r="C2808" s="102" t="s">
        <v>3636</v>
      </c>
      <c r="D2808" s="62" t="s">
        <v>2548</v>
      </c>
      <c r="E2808" s="102" t="s">
        <v>2687</v>
      </c>
      <c r="F2808" s="102" t="s">
        <v>5971</v>
      </c>
      <c r="G2808" s="102" t="s">
        <v>2045</v>
      </c>
      <c r="H2808" s="175"/>
      <c r="I2808" s="85">
        <f t="shared" si="109"/>
        <v>1.3858615157343122</v>
      </c>
      <c r="J2808" s="104">
        <f>AVERAGE(21.7, 26, 23, 24, 26, 22.5, 27)</f>
        <v>24.314285714285713</v>
      </c>
      <c r="K2808" s="143"/>
      <c r="L2808" s="61" t="s">
        <v>1753</v>
      </c>
      <c r="O2808" s="51"/>
    </row>
    <row r="2809" spans="1:15" ht="70" x14ac:dyDescent="0.15">
      <c r="A2809" s="165" t="s">
        <v>2481</v>
      </c>
      <c r="B2809" s="93" t="s">
        <v>1334</v>
      </c>
      <c r="C2809" s="102" t="s">
        <v>3636</v>
      </c>
      <c r="D2809" s="62" t="s">
        <v>2548</v>
      </c>
      <c r="E2809" s="102" t="s">
        <v>2687</v>
      </c>
      <c r="F2809" s="102" t="s">
        <v>5971</v>
      </c>
      <c r="G2809" s="102" t="s">
        <v>1319</v>
      </c>
      <c r="H2809" s="175"/>
      <c r="I2809" s="85">
        <f t="shared" si="109"/>
        <v>1.4300750555519393</v>
      </c>
      <c r="J2809" s="104">
        <v>26.92</v>
      </c>
      <c r="K2809" s="143"/>
      <c r="L2809" s="61">
        <v>153</v>
      </c>
      <c r="M2809" s="35"/>
    </row>
    <row r="2810" spans="1:15" ht="84" x14ac:dyDescent="0.15">
      <c r="A2810" s="165" t="s">
        <v>2481</v>
      </c>
      <c r="B2810" s="93" t="s">
        <v>1224</v>
      </c>
      <c r="C2810" s="102" t="s">
        <v>3636</v>
      </c>
      <c r="D2810" s="62" t="s">
        <v>2548</v>
      </c>
      <c r="E2810" s="102" t="s">
        <v>2687</v>
      </c>
      <c r="F2810" s="102" t="s">
        <v>5971</v>
      </c>
      <c r="G2810" s="102" t="s">
        <v>5972</v>
      </c>
      <c r="H2810" s="175"/>
      <c r="I2810" s="85">
        <f t="shared" si="109"/>
        <v>1.4368911625453118</v>
      </c>
      <c r="J2810" s="104">
        <v>27.345833333333001</v>
      </c>
      <c r="K2810" s="143"/>
      <c r="L2810" s="61">
        <v>153</v>
      </c>
    </row>
    <row r="2811" spans="1:15" ht="28" x14ac:dyDescent="0.15">
      <c r="A2811" s="165" t="s">
        <v>2481</v>
      </c>
      <c r="B2811" s="93" t="s">
        <v>697</v>
      </c>
      <c r="C2811" s="102" t="s">
        <v>3636</v>
      </c>
      <c r="D2811" s="62" t="s">
        <v>2548</v>
      </c>
      <c r="E2811" s="102" t="s">
        <v>2687</v>
      </c>
      <c r="F2811" s="102" t="s">
        <v>5971</v>
      </c>
      <c r="G2811" s="102" t="s">
        <v>6432</v>
      </c>
      <c r="H2811" s="175"/>
      <c r="I2811" s="85">
        <f t="shared" si="109"/>
        <v>1.4712917110589385</v>
      </c>
      <c r="J2811" s="104">
        <v>29.6</v>
      </c>
      <c r="K2811" s="143"/>
      <c r="L2811" s="61">
        <v>153</v>
      </c>
      <c r="M2811" s="50"/>
      <c r="N2811" s="51"/>
      <c r="O2811" s="51"/>
    </row>
    <row r="2812" spans="1:15" ht="28" x14ac:dyDescent="0.15">
      <c r="A2812" s="165" t="s">
        <v>2481</v>
      </c>
      <c r="B2812" s="93" t="s">
        <v>1571</v>
      </c>
      <c r="C2812" s="102" t="s">
        <v>3636</v>
      </c>
      <c r="D2812" s="62" t="s">
        <v>2548</v>
      </c>
      <c r="E2812" s="102" t="s">
        <v>2687</v>
      </c>
      <c r="F2812" s="102" t="s">
        <v>5971</v>
      </c>
      <c r="G2812" s="102" t="s">
        <v>1541</v>
      </c>
      <c r="H2812" s="175"/>
      <c r="I2812" s="85">
        <f t="shared" si="109"/>
        <v>1.5998830720736879</v>
      </c>
      <c r="J2812" s="104">
        <v>39.799999999999997</v>
      </c>
      <c r="K2812" s="143"/>
      <c r="L2812" s="61">
        <v>153</v>
      </c>
      <c r="M2812" s="50"/>
      <c r="N2812" s="51"/>
    </row>
    <row r="2813" spans="1:15" ht="28" x14ac:dyDescent="0.15">
      <c r="A2813" s="165" t="s">
        <v>2481</v>
      </c>
      <c r="B2813" s="93" t="s">
        <v>4387</v>
      </c>
      <c r="C2813" s="100" t="s">
        <v>3636</v>
      </c>
      <c r="D2813" s="61" t="s">
        <v>2548</v>
      </c>
      <c r="E2813" s="100" t="s">
        <v>1366</v>
      </c>
      <c r="F2813" s="100" t="s">
        <v>4388</v>
      </c>
      <c r="G2813" s="100" t="s">
        <v>4232</v>
      </c>
      <c r="H2813" s="177"/>
      <c r="I2813" s="85">
        <f t="shared" si="109"/>
        <v>0.50197164591870946</v>
      </c>
      <c r="J2813" s="101">
        <v>3.1766666666669998</v>
      </c>
      <c r="K2813" s="143"/>
      <c r="L2813" s="61">
        <v>153</v>
      </c>
      <c r="M2813" s="50"/>
      <c r="N2813" s="51"/>
      <c r="O2813" s="51"/>
    </row>
    <row r="2814" spans="1:15" ht="42" x14ac:dyDescent="0.15">
      <c r="A2814" s="165" t="s">
        <v>2481</v>
      </c>
      <c r="B2814" s="93" t="s">
        <v>1361</v>
      </c>
      <c r="C2814" s="102" t="s">
        <v>3636</v>
      </c>
      <c r="D2814" s="62" t="s">
        <v>2548</v>
      </c>
      <c r="E2814" s="102" t="s">
        <v>1362</v>
      </c>
      <c r="F2814" s="102" t="s">
        <v>1363</v>
      </c>
      <c r="G2814" s="102" t="s">
        <v>1364</v>
      </c>
      <c r="H2814" s="175"/>
      <c r="I2814" s="85">
        <f t="shared" si="109"/>
        <v>1.4447137991033623</v>
      </c>
      <c r="J2814" s="104">
        <v>27.842857142857</v>
      </c>
      <c r="K2814" s="143"/>
      <c r="L2814" s="61">
        <v>153</v>
      </c>
      <c r="M2814" s="50"/>
      <c r="N2814" s="51"/>
      <c r="O2814" s="51"/>
    </row>
    <row r="2815" spans="1:15" ht="42" x14ac:dyDescent="0.15">
      <c r="A2815" s="165" t="s">
        <v>2481</v>
      </c>
      <c r="B2815" s="93" t="s">
        <v>4584</v>
      </c>
      <c r="C2815" s="102" t="s">
        <v>3636</v>
      </c>
      <c r="D2815" s="62" t="s">
        <v>2548</v>
      </c>
      <c r="E2815" s="102" t="s">
        <v>1362</v>
      </c>
      <c r="F2815" s="102" t="s">
        <v>4585</v>
      </c>
      <c r="G2815" s="102" t="s">
        <v>4586</v>
      </c>
      <c r="H2815" s="175"/>
      <c r="I2815" s="85">
        <f t="shared" si="109"/>
        <v>1.3790031895226318</v>
      </c>
      <c r="J2815" s="104">
        <v>23.933333333333</v>
      </c>
      <c r="K2815" s="143"/>
      <c r="L2815" s="61">
        <v>153</v>
      </c>
      <c r="M2815" s="50"/>
      <c r="N2815" s="51"/>
      <c r="O2815" s="51"/>
    </row>
    <row r="2816" spans="1:15" ht="70" x14ac:dyDescent="0.15">
      <c r="A2816" s="165" t="s">
        <v>2481</v>
      </c>
      <c r="B2816" s="93" t="s">
        <v>1408</v>
      </c>
      <c r="C2816" s="102" t="s">
        <v>3636</v>
      </c>
      <c r="D2816" s="62" t="s">
        <v>2548</v>
      </c>
      <c r="E2816" s="102" t="s">
        <v>1362</v>
      </c>
      <c r="F2816" s="102" t="s">
        <v>1409</v>
      </c>
      <c r="G2816" s="102" t="s">
        <v>1410</v>
      </c>
      <c r="H2816" s="175"/>
      <c r="I2816" s="85">
        <f t="shared" si="109"/>
        <v>1.414973347970818</v>
      </c>
      <c r="J2816" s="104">
        <f>AVERAGE(24, 28, 26)</f>
        <v>26</v>
      </c>
      <c r="K2816" s="143"/>
      <c r="L2816" s="61">
        <v>122</v>
      </c>
      <c r="M2816" s="50"/>
      <c r="N2816" s="51"/>
      <c r="O2816" s="51"/>
    </row>
    <row r="2817" spans="1:14" ht="42" x14ac:dyDescent="0.15">
      <c r="A2817" s="165" t="s">
        <v>2481</v>
      </c>
      <c r="B2817" s="93" t="s">
        <v>1549</v>
      </c>
      <c r="C2817" s="102" t="s">
        <v>3636</v>
      </c>
      <c r="D2817" s="62" t="s">
        <v>2548</v>
      </c>
      <c r="E2817" s="102" t="s">
        <v>1362</v>
      </c>
      <c r="F2817" s="102" t="s">
        <v>1409</v>
      </c>
      <c r="G2817" s="102" t="s">
        <v>1550</v>
      </c>
      <c r="H2817" s="175"/>
      <c r="I2817" s="85">
        <f t="shared" si="109"/>
        <v>1.658349676161617</v>
      </c>
      <c r="J2817" s="104">
        <v>45.535454545455003</v>
      </c>
      <c r="K2817" s="143"/>
      <c r="L2817" s="61">
        <v>153</v>
      </c>
      <c r="M2817" s="50"/>
      <c r="N2817" s="51"/>
    </row>
    <row r="2818" spans="1:14" ht="14" x14ac:dyDescent="0.15">
      <c r="A2818" s="165" t="s">
        <v>2481</v>
      </c>
      <c r="B2818" s="93" t="s">
        <v>569</v>
      </c>
      <c r="C2818" s="100" t="s">
        <v>3636</v>
      </c>
      <c r="D2818" s="61" t="s">
        <v>2548</v>
      </c>
      <c r="E2818" s="100" t="s">
        <v>2421</v>
      </c>
      <c r="F2818" s="100" t="s">
        <v>5833</v>
      </c>
      <c r="G2818" s="100" t="s">
        <v>570</v>
      </c>
      <c r="H2818" s="177"/>
      <c r="I2818" s="103">
        <v>-999</v>
      </c>
      <c r="J2818" s="103">
        <v>-999</v>
      </c>
      <c r="K2818" s="141"/>
      <c r="L2818" s="61">
        <v>-999</v>
      </c>
    </row>
    <row r="2819" spans="1:14" ht="70" x14ac:dyDescent="0.15">
      <c r="A2819" s="165" t="s">
        <v>2481</v>
      </c>
      <c r="B2819" s="93" t="s">
        <v>1890</v>
      </c>
      <c r="C2819" s="100" t="s">
        <v>3636</v>
      </c>
      <c r="D2819" s="61" t="s">
        <v>2548</v>
      </c>
      <c r="E2819" s="100" t="s">
        <v>2421</v>
      </c>
      <c r="F2819" s="100" t="s">
        <v>5833</v>
      </c>
      <c r="G2819" s="100" t="s">
        <v>5297</v>
      </c>
      <c r="H2819" s="177"/>
      <c r="I2819" s="85">
        <f t="shared" ref="I2819:I2828" si="110">LOG(J2819)</f>
        <v>1.0529716716372919</v>
      </c>
      <c r="J2819" s="101">
        <v>11.297222222222</v>
      </c>
      <c r="K2819" s="143"/>
      <c r="L2819" s="61">
        <v>153</v>
      </c>
      <c r="M2819" s="50"/>
      <c r="N2819" s="51"/>
    </row>
    <row r="2820" spans="1:14" ht="56" x14ac:dyDescent="0.15">
      <c r="A2820" s="165" t="s">
        <v>2481</v>
      </c>
      <c r="B2820" s="93" t="s">
        <v>1480</v>
      </c>
      <c r="C2820" s="102" t="s">
        <v>3636</v>
      </c>
      <c r="D2820" s="62" t="s">
        <v>2548</v>
      </c>
      <c r="E2820" s="100" t="s">
        <v>2421</v>
      </c>
      <c r="F2820" s="102" t="s">
        <v>5833</v>
      </c>
      <c r="G2820" s="102" t="s">
        <v>5834</v>
      </c>
      <c r="H2820" s="175"/>
      <c r="I2820" s="85">
        <f t="shared" si="110"/>
        <v>1.0977777345392834</v>
      </c>
      <c r="J2820" s="61">
        <f>AVERAGE(13.1, 13.5, 10.5, 13)</f>
        <v>12.525</v>
      </c>
      <c r="K2820" s="143"/>
      <c r="L2820" s="61">
        <v>259</v>
      </c>
    </row>
    <row r="2821" spans="1:14" ht="84" x14ac:dyDescent="0.15">
      <c r="A2821" s="165" t="s">
        <v>2481</v>
      </c>
      <c r="B2821" s="93" t="s">
        <v>1479</v>
      </c>
      <c r="C2821" s="102" t="s">
        <v>3636</v>
      </c>
      <c r="D2821" s="62" t="s">
        <v>2548</v>
      </c>
      <c r="E2821" s="100" t="s">
        <v>2421</v>
      </c>
      <c r="F2821" s="102" t="s">
        <v>5833</v>
      </c>
      <c r="G2821" s="102" t="s">
        <v>4752</v>
      </c>
      <c r="H2821" s="175"/>
      <c r="I2821" s="85">
        <f t="shared" si="110"/>
        <v>1.153814864344529</v>
      </c>
      <c r="J2821" s="104">
        <f>AVERAGE(10.5, 18)</f>
        <v>14.25</v>
      </c>
      <c r="K2821" s="143"/>
      <c r="L2821" s="61">
        <v>257</v>
      </c>
    </row>
    <row r="2822" spans="1:14" ht="56" x14ac:dyDescent="0.15">
      <c r="A2822" s="165" t="s">
        <v>2481</v>
      </c>
      <c r="B2822" s="93" t="s">
        <v>1702</v>
      </c>
      <c r="C2822" s="102" t="s">
        <v>3636</v>
      </c>
      <c r="D2822" s="62" t="s">
        <v>2548</v>
      </c>
      <c r="E2822" s="102" t="s">
        <v>2421</v>
      </c>
      <c r="F2822" s="102" t="s">
        <v>1703</v>
      </c>
      <c r="G2822" s="102" t="s">
        <v>3531</v>
      </c>
      <c r="H2822" s="175"/>
      <c r="I2822" s="85">
        <f t="shared" si="110"/>
        <v>2.2135177569963047</v>
      </c>
      <c r="J2822" s="104">
        <v>163.5</v>
      </c>
      <c r="K2822" s="143"/>
      <c r="L2822" s="61">
        <v>153</v>
      </c>
    </row>
    <row r="2823" spans="1:14" ht="70" x14ac:dyDescent="0.15">
      <c r="A2823" s="165" t="s">
        <v>2481</v>
      </c>
      <c r="B2823" s="93" t="s">
        <v>4690</v>
      </c>
      <c r="C2823" s="102" t="s">
        <v>3636</v>
      </c>
      <c r="D2823" s="62" t="s">
        <v>2548</v>
      </c>
      <c r="E2823" s="102" t="s">
        <v>2421</v>
      </c>
      <c r="F2823" s="102" t="s">
        <v>4354</v>
      </c>
      <c r="G2823" s="102" t="s">
        <v>1712</v>
      </c>
      <c r="H2823" s="175"/>
      <c r="I2823" s="85">
        <f t="shared" si="110"/>
        <v>1.7086333210153981</v>
      </c>
      <c r="J2823" s="104">
        <v>51.125</v>
      </c>
      <c r="K2823" s="143"/>
      <c r="L2823" s="61">
        <v>153</v>
      </c>
    </row>
    <row r="2824" spans="1:14" ht="28" x14ac:dyDescent="0.15">
      <c r="A2824" s="165" t="s">
        <v>2481</v>
      </c>
      <c r="B2824" s="93" t="s">
        <v>1625</v>
      </c>
      <c r="C2824" s="102" t="s">
        <v>3636</v>
      </c>
      <c r="D2824" s="62" t="s">
        <v>2548</v>
      </c>
      <c r="E2824" s="100" t="s">
        <v>2421</v>
      </c>
      <c r="F2824" s="102" t="s">
        <v>1531</v>
      </c>
      <c r="G2824" s="102" t="s">
        <v>1529</v>
      </c>
      <c r="H2824" s="175"/>
      <c r="I2824" s="85">
        <f t="shared" si="110"/>
        <v>1.1751250862836704</v>
      </c>
      <c r="J2824" s="104">
        <v>14.966666666667001</v>
      </c>
      <c r="K2824" s="143"/>
      <c r="L2824" s="61">
        <v>153</v>
      </c>
    </row>
    <row r="2825" spans="1:14" ht="126" x14ac:dyDescent="0.15">
      <c r="A2825" s="165" t="s">
        <v>2481</v>
      </c>
      <c r="B2825" s="93" t="s">
        <v>1746</v>
      </c>
      <c r="C2825" s="100" t="s">
        <v>3636</v>
      </c>
      <c r="D2825" s="61" t="s">
        <v>2548</v>
      </c>
      <c r="E2825" s="100" t="s">
        <v>2421</v>
      </c>
      <c r="F2825" s="100" t="s">
        <v>1747</v>
      </c>
      <c r="G2825" s="100" t="s">
        <v>1748</v>
      </c>
      <c r="H2825" s="177"/>
      <c r="I2825" s="85">
        <f t="shared" si="110"/>
        <v>1.1328606121183731</v>
      </c>
      <c r="J2825" s="101">
        <v>13.578775625</v>
      </c>
      <c r="K2825" s="143"/>
      <c r="L2825" s="61">
        <v>153</v>
      </c>
    </row>
    <row r="2826" spans="1:14" ht="42" x14ac:dyDescent="0.15">
      <c r="A2826" s="165" t="s">
        <v>2481</v>
      </c>
      <c r="B2826" s="93" t="s">
        <v>1449</v>
      </c>
      <c r="C2826" s="102" t="s">
        <v>3636</v>
      </c>
      <c r="D2826" s="62" t="s">
        <v>2548</v>
      </c>
      <c r="E2826" s="100" t="s">
        <v>2421</v>
      </c>
      <c r="F2826" s="102" t="s">
        <v>1747</v>
      </c>
      <c r="G2826" s="102" t="s">
        <v>1450</v>
      </c>
      <c r="H2826" s="175"/>
      <c r="I2826" s="85">
        <f t="shared" si="110"/>
        <v>1.2504200023088941</v>
      </c>
      <c r="J2826" s="104">
        <v>17.8</v>
      </c>
      <c r="K2826" s="143"/>
      <c r="L2826" s="61">
        <v>153</v>
      </c>
    </row>
    <row r="2827" spans="1:14" ht="42" x14ac:dyDescent="0.15">
      <c r="A2827" s="165" t="s">
        <v>2481</v>
      </c>
      <c r="B2827" s="93" t="s">
        <v>1564</v>
      </c>
      <c r="C2827" s="102" t="s">
        <v>3636</v>
      </c>
      <c r="D2827" s="62" t="s">
        <v>2548</v>
      </c>
      <c r="E2827" s="100" t="s">
        <v>2421</v>
      </c>
      <c r="F2827" s="102" t="s">
        <v>1747</v>
      </c>
      <c r="G2827" s="102" t="s">
        <v>1369</v>
      </c>
      <c r="H2827" s="175"/>
      <c r="I2827" s="85">
        <f t="shared" si="110"/>
        <v>1.3536277589855434</v>
      </c>
      <c r="J2827" s="104">
        <v>22.574999999999999</v>
      </c>
      <c r="K2827" s="143"/>
      <c r="L2827" s="61">
        <v>153</v>
      </c>
    </row>
    <row r="2828" spans="1:14" ht="56" x14ac:dyDescent="0.15">
      <c r="A2828" s="165" t="s">
        <v>2481</v>
      </c>
      <c r="B2828" s="93" t="s">
        <v>4241</v>
      </c>
      <c r="C2828" s="102" t="s">
        <v>3636</v>
      </c>
      <c r="D2828" s="62" t="s">
        <v>2548</v>
      </c>
      <c r="E2828" s="102" t="s">
        <v>2421</v>
      </c>
      <c r="F2828" s="102" t="s">
        <v>1747</v>
      </c>
      <c r="G2828" s="102" t="s">
        <v>5748</v>
      </c>
      <c r="H2828" s="175"/>
      <c r="I2828" s="85">
        <f t="shared" si="110"/>
        <v>1.5004717160421372</v>
      </c>
      <c r="J2828" s="104">
        <v>31.657142857143</v>
      </c>
      <c r="K2828" s="143"/>
      <c r="L2828" s="61">
        <v>153</v>
      </c>
    </row>
    <row r="2829" spans="1:14" ht="42" x14ac:dyDescent="0.15">
      <c r="A2829" s="165" t="s">
        <v>2481</v>
      </c>
      <c r="B2829" s="93" t="s">
        <v>4588</v>
      </c>
      <c r="C2829" s="100" t="s">
        <v>3636</v>
      </c>
      <c r="D2829" s="61" t="s">
        <v>2548</v>
      </c>
      <c r="E2829" s="100" t="s">
        <v>2421</v>
      </c>
      <c r="F2829" s="100" t="s">
        <v>4258</v>
      </c>
      <c r="G2829" s="100" t="s">
        <v>4589</v>
      </c>
      <c r="H2829" s="177"/>
      <c r="I2829" s="103">
        <v>-999</v>
      </c>
      <c r="J2829" s="103">
        <v>-999</v>
      </c>
      <c r="K2829" s="141"/>
      <c r="L2829" s="61">
        <v>-999</v>
      </c>
    </row>
    <row r="2830" spans="1:14" ht="56" x14ac:dyDescent="0.15">
      <c r="A2830" s="165" t="s">
        <v>2481</v>
      </c>
      <c r="B2830" s="93" t="s">
        <v>4590</v>
      </c>
      <c r="C2830" s="100" t="s">
        <v>3636</v>
      </c>
      <c r="D2830" s="61" t="s">
        <v>2548</v>
      </c>
      <c r="E2830" s="100" t="s">
        <v>2421</v>
      </c>
      <c r="F2830" s="100" t="s">
        <v>4258</v>
      </c>
      <c r="G2830" s="100" t="s">
        <v>4577</v>
      </c>
      <c r="H2830" s="177"/>
      <c r="I2830" s="103">
        <v>-999</v>
      </c>
      <c r="J2830" s="103">
        <v>-999</v>
      </c>
      <c r="K2830" s="141"/>
      <c r="L2830" s="61">
        <v>-999</v>
      </c>
    </row>
    <row r="2831" spans="1:14" ht="42" x14ac:dyDescent="0.15">
      <c r="A2831" s="165" t="s">
        <v>2481</v>
      </c>
      <c r="B2831" s="93" t="s">
        <v>4257</v>
      </c>
      <c r="C2831" s="102" t="s">
        <v>3636</v>
      </c>
      <c r="D2831" s="62" t="s">
        <v>2548</v>
      </c>
      <c r="E2831" s="100" t="s">
        <v>2421</v>
      </c>
      <c r="F2831" s="102" t="s">
        <v>4258</v>
      </c>
      <c r="G2831" s="102" t="s">
        <v>2577</v>
      </c>
      <c r="H2831" s="175"/>
      <c r="I2831" s="85">
        <f>LOG(J2831)</f>
        <v>1.2041199826559248</v>
      </c>
      <c r="J2831" s="104">
        <v>16</v>
      </c>
      <c r="K2831" s="143"/>
      <c r="L2831" s="61">
        <v>153</v>
      </c>
    </row>
    <row r="2832" spans="1:14" ht="42" x14ac:dyDescent="0.15">
      <c r="A2832" s="165" t="s">
        <v>2481</v>
      </c>
      <c r="B2832" s="93" t="s">
        <v>2048</v>
      </c>
      <c r="C2832" s="102" t="s">
        <v>3636</v>
      </c>
      <c r="D2832" s="62" t="s">
        <v>2548</v>
      </c>
      <c r="E2832" s="100" t="s">
        <v>2421</v>
      </c>
      <c r="F2832" s="102" t="s">
        <v>4258</v>
      </c>
      <c r="G2832" s="102" t="s">
        <v>2049</v>
      </c>
      <c r="H2832" s="175"/>
      <c r="I2832" s="85">
        <f>LOG(J2832)</f>
        <v>1.3424226808222062</v>
      </c>
      <c r="J2832" s="104">
        <v>22</v>
      </c>
      <c r="K2832" s="143"/>
      <c r="L2832" s="61">
        <v>153</v>
      </c>
    </row>
    <row r="2833" spans="1:15" ht="56" x14ac:dyDescent="0.15">
      <c r="A2833" s="165" t="s">
        <v>2481</v>
      </c>
      <c r="B2833" s="93" t="s">
        <v>1545</v>
      </c>
      <c r="C2833" s="102" t="s">
        <v>3636</v>
      </c>
      <c r="D2833" s="62" t="s">
        <v>2548</v>
      </c>
      <c r="E2833" s="102" t="s">
        <v>2421</v>
      </c>
      <c r="F2833" s="102" t="s">
        <v>4258</v>
      </c>
      <c r="G2833" s="102" t="s">
        <v>1547</v>
      </c>
      <c r="H2833" s="175"/>
      <c r="I2833" s="85">
        <f>LOG(J2833)</f>
        <v>1.4529103602313054</v>
      </c>
      <c r="J2833" s="104">
        <v>28.373333333333001</v>
      </c>
      <c r="K2833" s="143"/>
      <c r="L2833" s="61">
        <v>153</v>
      </c>
    </row>
    <row r="2834" spans="1:15" ht="28" x14ac:dyDescent="0.15">
      <c r="A2834" s="165" t="s">
        <v>2481</v>
      </c>
      <c r="B2834" s="93" t="s">
        <v>4425</v>
      </c>
      <c r="C2834" s="102" t="s">
        <v>3636</v>
      </c>
      <c r="D2834" s="62" t="s">
        <v>2548</v>
      </c>
      <c r="E2834" s="102" t="s">
        <v>2421</v>
      </c>
      <c r="F2834" s="102" t="s">
        <v>4258</v>
      </c>
      <c r="G2834" s="102" t="s">
        <v>4426</v>
      </c>
      <c r="H2834" s="175"/>
      <c r="I2834" s="85">
        <f>LOG(J2834)</f>
        <v>1.4906606533561368</v>
      </c>
      <c r="J2834" s="104">
        <v>30.95</v>
      </c>
      <c r="K2834" s="143"/>
      <c r="L2834" s="61">
        <v>153</v>
      </c>
    </row>
    <row r="2835" spans="1:15" ht="56" x14ac:dyDescent="0.15">
      <c r="A2835" s="165" t="s">
        <v>2481</v>
      </c>
      <c r="B2835" s="93" t="s">
        <v>4583</v>
      </c>
      <c r="C2835" s="102" t="s">
        <v>3636</v>
      </c>
      <c r="D2835" s="62" t="s">
        <v>2548</v>
      </c>
      <c r="E2835" s="102" t="s">
        <v>2421</v>
      </c>
      <c r="F2835" s="102" t="s">
        <v>4258</v>
      </c>
      <c r="G2835" s="102" t="s">
        <v>7226</v>
      </c>
      <c r="H2835" s="175"/>
      <c r="I2835" s="85">
        <f>LOG(J2835)</f>
        <v>1.6553305580093409</v>
      </c>
      <c r="J2835" s="104">
        <v>45.22</v>
      </c>
      <c r="K2835" s="143"/>
      <c r="L2835" s="61">
        <v>153</v>
      </c>
    </row>
    <row r="2836" spans="1:15" ht="56" x14ac:dyDescent="0.15">
      <c r="A2836" s="165" t="s">
        <v>2481</v>
      </c>
      <c r="B2836" s="93" t="s">
        <v>1893</v>
      </c>
      <c r="C2836" s="100" t="s">
        <v>3636</v>
      </c>
      <c r="D2836" s="61" t="s">
        <v>2548</v>
      </c>
      <c r="E2836" s="100" t="s">
        <v>2421</v>
      </c>
      <c r="F2836" s="100" t="s">
        <v>2389</v>
      </c>
      <c r="G2836" s="100" t="s">
        <v>2391</v>
      </c>
      <c r="H2836" s="177"/>
      <c r="I2836" s="103">
        <v>-999</v>
      </c>
      <c r="J2836" s="103">
        <v>-999</v>
      </c>
      <c r="K2836" s="141"/>
      <c r="L2836" s="61">
        <v>-999</v>
      </c>
    </row>
    <row r="2837" spans="1:15" ht="14" x14ac:dyDescent="0.15">
      <c r="A2837" s="165" t="s">
        <v>2481</v>
      </c>
      <c r="B2837" s="93" t="s">
        <v>2427</v>
      </c>
      <c r="C2837" s="100" t="s">
        <v>3636</v>
      </c>
      <c r="D2837" s="61" t="s">
        <v>2548</v>
      </c>
      <c r="E2837" s="100" t="s">
        <v>2421</v>
      </c>
      <c r="F2837" s="100" t="s">
        <v>2389</v>
      </c>
      <c r="G2837" s="100" t="s">
        <v>5211</v>
      </c>
      <c r="H2837" s="177"/>
      <c r="I2837" s="103">
        <v>-999</v>
      </c>
      <c r="J2837" s="103">
        <v>-999</v>
      </c>
      <c r="K2837" s="141"/>
      <c r="L2837" s="61">
        <v>-999</v>
      </c>
    </row>
    <row r="2838" spans="1:15" ht="14" x14ac:dyDescent="0.15">
      <c r="A2838" s="165" t="s">
        <v>2481</v>
      </c>
      <c r="B2838" s="93" t="s">
        <v>2425</v>
      </c>
      <c r="C2838" s="100" t="s">
        <v>3636</v>
      </c>
      <c r="D2838" s="61" t="s">
        <v>2548</v>
      </c>
      <c r="E2838" s="100" t="s">
        <v>2421</v>
      </c>
      <c r="F2838" s="100" t="s">
        <v>2389</v>
      </c>
      <c r="G2838" s="100" t="s">
        <v>3695</v>
      </c>
      <c r="H2838" s="177"/>
      <c r="I2838" s="103">
        <v>-999</v>
      </c>
      <c r="J2838" s="103">
        <v>-999</v>
      </c>
      <c r="K2838" s="141"/>
      <c r="L2838" s="61">
        <v>-999</v>
      </c>
    </row>
    <row r="2839" spans="1:15" ht="42" x14ac:dyDescent="0.15">
      <c r="A2839" s="165" t="s">
        <v>2481</v>
      </c>
      <c r="B2839" s="93" t="s">
        <v>658</v>
      </c>
      <c r="C2839" s="100" t="s">
        <v>3636</v>
      </c>
      <c r="D2839" s="61" t="s">
        <v>2548</v>
      </c>
      <c r="E2839" s="100" t="s">
        <v>2421</v>
      </c>
      <c r="F2839" s="100" t="s">
        <v>2389</v>
      </c>
      <c r="G2839" s="100" t="s">
        <v>659</v>
      </c>
      <c r="H2839" s="177"/>
      <c r="I2839" s="85">
        <f t="shared" ref="I2839:I2844" si="111">LOG(J2839)</f>
        <v>0.90308998699194354</v>
      </c>
      <c r="J2839" s="101">
        <v>8</v>
      </c>
      <c r="K2839" s="143"/>
      <c r="L2839" s="61">
        <v>153</v>
      </c>
    </row>
    <row r="2840" spans="1:15" ht="14" x14ac:dyDescent="0.15">
      <c r="A2840" s="165" t="s">
        <v>2481</v>
      </c>
      <c r="B2840" s="93" t="s">
        <v>578</v>
      </c>
      <c r="C2840" s="100" t="s">
        <v>3636</v>
      </c>
      <c r="D2840" s="61" t="s">
        <v>2548</v>
      </c>
      <c r="E2840" s="100" t="s">
        <v>2421</v>
      </c>
      <c r="F2840" s="100" t="s">
        <v>2389</v>
      </c>
      <c r="G2840" s="100" t="s">
        <v>7028</v>
      </c>
      <c r="H2840" s="177"/>
      <c r="I2840" s="85">
        <f t="shared" si="111"/>
        <v>0.94448267215016868</v>
      </c>
      <c r="J2840" s="101">
        <v>8.8000000000000007</v>
      </c>
      <c r="K2840" s="143"/>
      <c r="L2840" s="61">
        <v>153</v>
      </c>
      <c r="O2840" s="51"/>
    </row>
    <row r="2841" spans="1:15" ht="14" x14ac:dyDescent="0.15">
      <c r="A2841" s="165" t="s">
        <v>2481</v>
      </c>
      <c r="B2841" s="93" t="s">
        <v>606</v>
      </c>
      <c r="C2841" s="100" t="s">
        <v>3636</v>
      </c>
      <c r="D2841" s="61" t="s">
        <v>2548</v>
      </c>
      <c r="E2841" s="100" t="s">
        <v>2421</v>
      </c>
      <c r="F2841" s="100" t="s">
        <v>2389</v>
      </c>
      <c r="G2841" s="100" t="s">
        <v>2390</v>
      </c>
      <c r="H2841" s="177"/>
      <c r="I2841" s="85">
        <f t="shared" si="111"/>
        <v>1.0606978403536116</v>
      </c>
      <c r="J2841" s="101">
        <v>11.5</v>
      </c>
      <c r="K2841" s="143"/>
      <c r="L2841" s="61">
        <v>153</v>
      </c>
    </row>
    <row r="2842" spans="1:15" ht="42" x14ac:dyDescent="0.15">
      <c r="A2842" s="165" t="s">
        <v>2481</v>
      </c>
      <c r="B2842" s="93" t="s">
        <v>4164</v>
      </c>
      <c r="C2842" s="100" t="s">
        <v>3636</v>
      </c>
      <c r="D2842" s="61" t="s">
        <v>2548</v>
      </c>
      <c r="E2842" s="100" t="s">
        <v>2421</v>
      </c>
      <c r="F2842" s="100" t="s">
        <v>2389</v>
      </c>
      <c r="G2842" s="100" t="s">
        <v>7898</v>
      </c>
      <c r="H2842" s="177"/>
      <c r="I2842" s="85">
        <f t="shared" si="111"/>
        <v>1.1717264536532312</v>
      </c>
      <c r="J2842" s="101">
        <v>14.85</v>
      </c>
      <c r="K2842" s="143"/>
      <c r="L2842" s="61">
        <v>153</v>
      </c>
    </row>
    <row r="2843" spans="1:15" ht="56" x14ac:dyDescent="0.15">
      <c r="A2843" s="165" t="s">
        <v>2481</v>
      </c>
      <c r="B2843" s="93" t="s">
        <v>1701</v>
      </c>
      <c r="C2843" s="100" t="s">
        <v>3636</v>
      </c>
      <c r="D2843" s="61" t="s">
        <v>2548</v>
      </c>
      <c r="E2843" s="100" t="s">
        <v>2421</v>
      </c>
      <c r="F2843" s="100" t="s">
        <v>4168</v>
      </c>
      <c r="G2843" s="100" t="s">
        <v>5325</v>
      </c>
      <c r="H2843" s="177"/>
      <c r="I2843" s="85">
        <f t="shared" si="111"/>
        <v>1.0869527242574961</v>
      </c>
      <c r="J2843" s="101">
        <v>12.216666666667001</v>
      </c>
      <c r="K2843" s="143"/>
      <c r="L2843" s="61">
        <v>153</v>
      </c>
    </row>
    <row r="2844" spans="1:15" ht="56" x14ac:dyDescent="0.15">
      <c r="A2844" s="165" t="s">
        <v>2481</v>
      </c>
      <c r="B2844" s="93" t="s">
        <v>1926</v>
      </c>
      <c r="C2844" s="102" t="s">
        <v>3636</v>
      </c>
      <c r="D2844" s="62" t="s">
        <v>2548</v>
      </c>
      <c r="E2844" s="100" t="s">
        <v>2421</v>
      </c>
      <c r="F2844" s="102" t="s">
        <v>4168</v>
      </c>
      <c r="G2844" s="102" t="s">
        <v>3959</v>
      </c>
      <c r="H2844" s="175"/>
      <c r="I2844" s="85">
        <f t="shared" si="111"/>
        <v>1.2648178230095364</v>
      </c>
      <c r="J2844" s="104">
        <v>18.399999999999999</v>
      </c>
      <c r="K2844" s="143"/>
      <c r="L2844" s="61">
        <v>153</v>
      </c>
    </row>
    <row r="2845" spans="1:15" ht="14" x14ac:dyDescent="0.15">
      <c r="A2845" s="165" t="s">
        <v>2481</v>
      </c>
      <c r="B2845" s="93" t="s">
        <v>2426</v>
      </c>
      <c r="C2845" s="100" t="s">
        <v>3636</v>
      </c>
      <c r="D2845" s="61" t="s">
        <v>2548</v>
      </c>
      <c r="E2845" s="100" t="s">
        <v>2421</v>
      </c>
      <c r="F2845" s="100" t="s">
        <v>1184</v>
      </c>
      <c r="G2845" s="100" t="s">
        <v>3404</v>
      </c>
      <c r="H2845" s="177"/>
      <c r="I2845" s="103">
        <v>-999</v>
      </c>
      <c r="J2845" s="103">
        <v>-999</v>
      </c>
      <c r="K2845" s="141"/>
      <c r="L2845" s="61">
        <v>-999</v>
      </c>
    </row>
    <row r="2846" spans="1:15" ht="14" x14ac:dyDescent="0.15">
      <c r="A2846" s="165" t="s">
        <v>2481</v>
      </c>
      <c r="B2846" s="93" t="s">
        <v>593</v>
      </c>
      <c r="C2846" s="100" t="s">
        <v>3636</v>
      </c>
      <c r="D2846" s="61" t="s">
        <v>2548</v>
      </c>
      <c r="E2846" s="100" t="s">
        <v>2421</v>
      </c>
      <c r="F2846" s="100" t="s">
        <v>1184</v>
      </c>
      <c r="G2846" s="100" t="s">
        <v>1332</v>
      </c>
      <c r="H2846" s="177"/>
      <c r="I2846" s="103">
        <v>-999</v>
      </c>
      <c r="J2846" s="103">
        <v>-999</v>
      </c>
      <c r="K2846" s="141"/>
      <c r="L2846" s="61">
        <v>-999</v>
      </c>
    </row>
    <row r="2847" spans="1:15" ht="14" x14ac:dyDescent="0.15">
      <c r="A2847" s="165" t="s">
        <v>2481</v>
      </c>
      <c r="B2847" s="93" t="s">
        <v>593</v>
      </c>
      <c r="C2847" s="100" t="s">
        <v>3636</v>
      </c>
      <c r="D2847" s="61" t="s">
        <v>2548</v>
      </c>
      <c r="E2847" s="100" t="s">
        <v>2421</v>
      </c>
      <c r="F2847" s="100" t="s">
        <v>1184</v>
      </c>
      <c r="G2847" s="100" t="s">
        <v>5342</v>
      </c>
      <c r="H2847" s="177"/>
      <c r="I2847" s="103">
        <f t="shared" ref="I2847:I2861" si="112">LOG(J2847)</f>
        <v>1.2174839442139063</v>
      </c>
      <c r="J2847" s="61">
        <f>AVERAGE(15.5, 17.5)</f>
        <v>16.5</v>
      </c>
      <c r="K2847" s="141"/>
      <c r="L2847" s="61">
        <v>259</v>
      </c>
    </row>
    <row r="2848" spans="1:15" ht="56" x14ac:dyDescent="0.15">
      <c r="A2848" s="165" t="s">
        <v>2481</v>
      </c>
      <c r="B2848" s="93" t="s">
        <v>571</v>
      </c>
      <c r="C2848" s="102" t="s">
        <v>3636</v>
      </c>
      <c r="D2848" s="62" t="s">
        <v>2548</v>
      </c>
      <c r="E2848" s="102" t="s">
        <v>2421</v>
      </c>
      <c r="F2848" s="102" t="s">
        <v>1184</v>
      </c>
      <c r="G2848" s="102" t="s">
        <v>572</v>
      </c>
      <c r="H2848" s="175"/>
      <c r="I2848" s="85">
        <f t="shared" si="112"/>
        <v>1.5352941200427705</v>
      </c>
      <c r="J2848" s="104">
        <v>34.299999999999997</v>
      </c>
      <c r="K2848" s="143"/>
      <c r="L2848" s="61">
        <v>153</v>
      </c>
    </row>
    <row r="2849" spans="1:12" ht="42" x14ac:dyDescent="0.15">
      <c r="A2849" s="165" t="s">
        <v>2481</v>
      </c>
      <c r="B2849" s="93" t="s">
        <v>1552</v>
      </c>
      <c r="C2849" s="102" t="s">
        <v>3636</v>
      </c>
      <c r="D2849" s="62" t="s">
        <v>2548</v>
      </c>
      <c r="E2849" s="102" t="s">
        <v>2421</v>
      </c>
      <c r="F2849" s="102" t="s">
        <v>4350</v>
      </c>
      <c r="G2849" s="102" t="s">
        <v>3319</v>
      </c>
      <c r="H2849" s="175"/>
      <c r="I2849" s="85">
        <f t="shared" si="112"/>
        <v>1.4210552287780196</v>
      </c>
      <c r="J2849" s="104">
        <v>26.366666666667001</v>
      </c>
      <c r="K2849" s="143"/>
      <c r="L2849" s="61">
        <v>153</v>
      </c>
    </row>
    <row r="2850" spans="1:12" ht="56" x14ac:dyDescent="0.15">
      <c r="A2850" s="165" t="s">
        <v>2481</v>
      </c>
      <c r="B2850" s="93" t="s">
        <v>1704</v>
      </c>
      <c r="C2850" s="102" t="s">
        <v>3636</v>
      </c>
      <c r="D2850" s="62" t="s">
        <v>2548</v>
      </c>
      <c r="E2850" s="102" t="s">
        <v>2421</v>
      </c>
      <c r="F2850" s="102" t="s">
        <v>2393</v>
      </c>
      <c r="G2850" s="102" t="s">
        <v>4285</v>
      </c>
      <c r="H2850" s="175"/>
      <c r="I2850" s="85">
        <f t="shared" si="112"/>
        <v>1.0965308268821932</v>
      </c>
      <c r="J2850" s="104">
        <v>12.489090909091001</v>
      </c>
      <c r="K2850" s="143"/>
      <c r="L2850" s="61">
        <v>153</v>
      </c>
    </row>
    <row r="2851" spans="1:12" ht="56" x14ac:dyDescent="0.15">
      <c r="A2851" s="165" t="s">
        <v>2481</v>
      </c>
      <c r="B2851" s="93" t="s">
        <v>4169</v>
      </c>
      <c r="C2851" s="102" t="s">
        <v>3636</v>
      </c>
      <c r="D2851" s="62" t="s">
        <v>2548</v>
      </c>
      <c r="E2851" s="102" t="s">
        <v>2421</v>
      </c>
      <c r="F2851" s="102" t="s">
        <v>2393</v>
      </c>
      <c r="G2851" s="102" t="s">
        <v>4170</v>
      </c>
      <c r="H2851" s="175"/>
      <c r="I2851" s="85">
        <f t="shared" si="112"/>
        <v>1.2248534211176516</v>
      </c>
      <c r="J2851" s="104">
        <v>16.782374999999998</v>
      </c>
      <c r="K2851" s="143"/>
      <c r="L2851" s="61">
        <v>153</v>
      </c>
    </row>
    <row r="2852" spans="1:12" ht="70" x14ac:dyDescent="0.15">
      <c r="A2852" s="165" t="s">
        <v>2481</v>
      </c>
      <c r="B2852" s="93" t="s">
        <v>4171</v>
      </c>
      <c r="C2852" s="102" t="s">
        <v>3636</v>
      </c>
      <c r="D2852" s="62" t="s">
        <v>2548</v>
      </c>
      <c r="E2852" s="102" t="s">
        <v>2421</v>
      </c>
      <c r="F2852" s="102" t="s">
        <v>2393</v>
      </c>
      <c r="G2852" s="102" t="s">
        <v>1978</v>
      </c>
      <c r="H2852" s="175"/>
      <c r="I2852" s="85">
        <f t="shared" si="112"/>
        <v>1.4319938381303527</v>
      </c>
      <c r="J2852" s="104">
        <v>27.039200000000001</v>
      </c>
      <c r="K2852" s="143"/>
      <c r="L2852" s="61">
        <v>153</v>
      </c>
    </row>
    <row r="2853" spans="1:12" ht="28" x14ac:dyDescent="0.15">
      <c r="A2853" s="165" t="s">
        <v>2481</v>
      </c>
      <c r="B2853" s="93" t="s">
        <v>1884</v>
      </c>
      <c r="C2853" s="102" t="s">
        <v>3636</v>
      </c>
      <c r="D2853" s="62" t="s">
        <v>2548</v>
      </c>
      <c r="E2853" s="102" t="s">
        <v>2421</v>
      </c>
      <c r="F2853" s="102" t="s">
        <v>2393</v>
      </c>
      <c r="G2853" s="102" t="s">
        <v>3608</v>
      </c>
      <c r="H2853" s="175"/>
      <c r="I2853" s="85">
        <f t="shared" si="112"/>
        <v>1.5024271199844328</v>
      </c>
      <c r="J2853" s="104">
        <v>31.8</v>
      </c>
      <c r="K2853" s="143"/>
      <c r="L2853" s="61">
        <v>153</v>
      </c>
    </row>
    <row r="2854" spans="1:12" ht="56" x14ac:dyDescent="0.15">
      <c r="A2854" s="165" t="s">
        <v>2481</v>
      </c>
      <c r="B2854" s="93" t="s">
        <v>4508</v>
      </c>
      <c r="C2854" s="102" t="s">
        <v>3636</v>
      </c>
      <c r="D2854" s="62" t="s">
        <v>2548</v>
      </c>
      <c r="E2854" s="102" t="s">
        <v>2421</v>
      </c>
      <c r="F2854" s="102" t="s">
        <v>2393</v>
      </c>
      <c r="G2854" s="102" t="s">
        <v>2394</v>
      </c>
      <c r="H2854" s="175"/>
      <c r="I2854" s="85">
        <f t="shared" si="112"/>
        <v>1.5475285764597821</v>
      </c>
      <c r="J2854" s="104">
        <v>35.28</v>
      </c>
      <c r="K2854" s="143"/>
      <c r="L2854" s="61">
        <v>153</v>
      </c>
    </row>
    <row r="2855" spans="1:12" ht="28" x14ac:dyDescent="0.15">
      <c r="A2855" s="165" t="s">
        <v>2481</v>
      </c>
      <c r="B2855" s="93" t="s">
        <v>4503</v>
      </c>
      <c r="C2855" s="100" t="s">
        <v>3636</v>
      </c>
      <c r="D2855" s="61" t="s">
        <v>2548</v>
      </c>
      <c r="E2855" s="100" t="s">
        <v>4504</v>
      </c>
      <c r="F2855" s="100" t="s">
        <v>4505</v>
      </c>
      <c r="G2855" s="100" t="s">
        <v>4506</v>
      </c>
      <c r="H2855" s="177"/>
      <c r="I2855" s="85">
        <f t="shared" si="112"/>
        <v>0.93449845124356767</v>
      </c>
      <c r="J2855" s="101">
        <v>8.6</v>
      </c>
      <c r="K2855" s="143"/>
      <c r="L2855" s="61">
        <v>153</v>
      </c>
    </row>
    <row r="2856" spans="1:12" ht="98" x14ac:dyDescent="0.15">
      <c r="A2856" s="165" t="s">
        <v>2481</v>
      </c>
      <c r="B2856" s="93" t="s">
        <v>729</v>
      </c>
      <c r="C2856" s="102" t="s">
        <v>3636</v>
      </c>
      <c r="D2856" s="62" t="s">
        <v>2548</v>
      </c>
      <c r="E2856" s="100" t="s">
        <v>4504</v>
      </c>
      <c r="F2856" s="102" t="s">
        <v>4505</v>
      </c>
      <c r="G2856" s="102" t="s">
        <v>651</v>
      </c>
      <c r="H2856" s="175"/>
      <c r="I2856" s="85">
        <f t="shared" si="112"/>
        <v>1.1912646619703378</v>
      </c>
      <c r="J2856" s="104">
        <f>AVERAGE(12.4, 19.9, 14.3)</f>
        <v>15.533333333333331</v>
      </c>
      <c r="K2856" s="143"/>
      <c r="L2856" s="61">
        <v>261</v>
      </c>
    </row>
    <row r="2857" spans="1:12" ht="28" x14ac:dyDescent="0.15">
      <c r="A2857" s="165" t="s">
        <v>2481</v>
      </c>
      <c r="B2857" s="108" t="s">
        <v>652</v>
      </c>
      <c r="C2857" s="100" t="s">
        <v>3636</v>
      </c>
      <c r="D2857" s="61" t="s">
        <v>2548</v>
      </c>
      <c r="E2857" s="100" t="s">
        <v>4504</v>
      </c>
      <c r="F2857" s="100" t="s">
        <v>867</v>
      </c>
      <c r="G2857" s="100" t="s">
        <v>868</v>
      </c>
      <c r="H2857" s="177"/>
      <c r="I2857" s="85">
        <f t="shared" si="112"/>
        <v>0.71222866961953535</v>
      </c>
      <c r="J2857" s="101">
        <v>5.1550000000000002</v>
      </c>
      <c r="K2857" s="143"/>
      <c r="L2857" s="61">
        <v>153</v>
      </c>
    </row>
    <row r="2858" spans="1:12" ht="14" x14ac:dyDescent="0.15">
      <c r="A2858" s="165" t="s">
        <v>2481</v>
      </c>
      <c r="B2858" s="93" t="s">
        <v>418</v>
      </c>
      <c r="C2858" s="100" t="s">
        <v>3636</v>
      </c>
      <c r="D2858" s="61" t="s">
        <v>2548</v>
      </c>
      <c r="E2858" s="100" t="s">
        <v>4504</v>
      </c>
      <c r="F2858" s="100" t="s">
        <v>867</v>
      </c>
      <c r="G2858" s="100" t="s">
        <v>419</v>
      </c>
      <c r="H2858" s="177"/>
      <c r="I2858" s="85">
        <f t="shared" si="112"/>
        <v>0.72835378202122847</v>
      </c>
      <c r="J2858" s="103">
        <f>AVERAGE(5.1, 5.6)</f>
        <v>5.35</v>
      </c>
      <c r="K2858" s="141"/>
      <c r="L2858" s="61">
        <v>271</v>
      </c>
    </row>
    <row r="2859" spans="1:12" ht="70" x14ac:dyDescent="0.15">
      <c r="A2859" s="165" t="s">
        <v>2481</v>
      </c>
      <c r="B2859" s="93" t="s">
        <v>4410</v>
      </c>
      <c r="C2859" s="100" t="s">
        <v>3636</v>
      </c>
      <c r="D2859" s="61" t="s">
        <v>2548</v>
      </c>
      <c r="E2859" s="100" t="s">
        <v>4504</v>
      </c>
      <c r="F2859" s="100" t="s">
        <v>867</v>
      </c>
      <c r="G2859" s="100" t="s">
        <v>4242</v>
      </c>
      <c r="H2859" s="177"/>
      <c r="I2859" s="85">
        <f t="shared" si="112"/>
        <v>0.96438821479641434</v>
      </c>
      <c r="J2859" s="101">
        <v>9.2127272727269993</v>
      </c>
      <c r="K2859" s="143"/>
      <c r="L2859" s="61">
        <v>153</v>
      </c>
    </row>
    <row r="2860" spans="1:12" ht="112" x14ac:dyDescent="0.15">
      <c r="A2860" s="165" t="s">
        <v>2481</v>
      </c>
      <c r="B2860" s="93" t="s">
        <v>456</v>
      </c>
      <c r="C2860" s="102" t="s">
        <v>3636</v>
      </c>
      <c r="D2860" s="62" t="s">
        <v>2548</v>
      </c>
      <c r="E2860" s="100" t="s">
        <v>4504</v>
      </c>
      <c r="F2860" s="102" t="s">
        <v>867</v>
      </c>
      <c r="G2860" s="102" t="s">
        <v>417</v>
      </c>
      <c r="H2860" s="175"/>
      <c r="I2860" s="85">
        <f t="shared" si="112"/>
        <v>1.2938359002426763</v>
      </c>
      <c r="J2860" s="104">
        <v>19.671428571429001</v>
      </c>
      <c r="K2860" s="143"/>
      <c r="L2860" s="61">
        <v>153</v>
      </c>
    </row>
    <row r="2861" spans="1:12" ht="14" x14ac:dyDescent="0.15">
      <c r="A2861" s="165" t="s">
        <v>2481</v>
      </c>
      <c r="B2861" s="93" t="s">
        <v>420</v>
      </c>
      <c r="C2861" s="100" t="s">
        <v>3636</v>
      </c>
      <c r="D2861" s="61" t="s">
        <v>2548</v>
      </c>
      <c r="E2861" s="100" t="s">
        <v>1656</v>
      </c>
      <c r="F2861" s="100" t="s">
        <v>1657</v>
      </c>
      <c r="G2861" s="100" t="s">
        <v>1950</v>
      </c>
      <c r="H2861" s="177"/>
      <c r="I2861" s="85">
        <f t="shared" si="112"/>
        <v>1.1003705451175629</v>
      </c>
      <c r="J2861" s="101">
        <v>12.6</v>
      </c>
      <c r="K2861" s="143"/>
      <c r="L2861" s="61">
        <v>153</v>
      </c>
    </row>
    <row r="2862" spans="1:12" ht="14" x14ac:dyDescent="0.15">
      <c r="A2862" s="165" t="s">
        <v>2481</v>
      </c>
      <c r="B2862" s="93" t="s">
        <v>1951</v>
      </c>
      <c r="C2862" s="100" t="s">
        <v>3636</v>
      </c>
      <c r="D2862" s="61" t="s">
        <v>2548</v>
      </c>
      <c r="E2862" s="100" t="s">
        <v>2268</v>
      </c>
      <c r="F2862" s="100" t="s">
        <v>5913</v>
      </c>
      <c r="G2862" s="100" t="s">
        <v>4199</v>
      </c>
      <c r="H2862" s="177"/>
      <c r="I2862" s="103">
        <v>-999</v>
      </c>
      <c r="J2862" s="103">
        <v>-999</v>
      </c>
      <c r="K2862" s="141"/>
      <c r="L2862" s="61">
        <v>-999</v>
      </c>
    </row>
    <row r="2863" spans="1:12" ht="14" x14ac:dyDescent="0.15">
      <c r="A2863" s="165" t="s">
        <v>2481</v>
      </c>
      <c r="B2863" s="93" t="s">
        <v>4259</v>
      </c>
      <c r="C2863" s="100" t="s">
        <v>3636</v>
      </c>
      <c r="D2863" s="61" t="s">
        <v>2548</v>
      </c>
      <c r="E2863" s="100" t="s">
        <v>1952</v>
      </c>
      <c r="F2863" s="100" t="s">
        <v>1953</v>
      </c>
      <c r="G2863" s="100" t="s">
        <v>2083</v>
      </c>
      <c r="H2863" s="177"/>
      <c r="I2863" s="103">
        <v>-999</v>
      </c>
      <c r="J2863" s="103">
        <v>-999</v>
      </c>
      <c r="K2863" s="141"/>
      <c r="L2863" s="61">
        <v>-999</v>
      </c>
    </row>
    <row r="2864" spans="1:12" ht="28" x14ac:dyDescent="0.15">
      <c r="A2864" s="165" t="s">
        <v>2481</v>
      </c>
      <c r="B2864" s="93" t="s">
        <v>698</v>
      </c>
      <c r="C2864" s="100" t="s">
        <v>3636</v>
      </c>
      <c r="D2864" s="61" t="s">
        <v>2548</v>
      </c>
      <c r="E2864" s="100" t="s">
        <v>1952</v>
      </c>
      <c r="F2864" s="100" t="s">
        <v>1953</v>
      </c>
      <c r="G2864" s="100" t="s">
        <v>3415</v>
      </c>
      <c r="H2864" s="177"/>
      <c r="I2864" s="103">
        <v>-999</v>
      </c>
      <c r="J2864" s="103">
        <v>-999</v>
      </c>
      <c r="K2864" s="141"/>
      <c r="L2864" s="61">
        <v>-999</v>
      </c>
    </row>
    <row r="2865" spans="1:12" ht="14" x14ac:dyDescent="0.15">
      <c r="A2865" s="165" t="s">
        <v>2481</v>
      </c>
      <c r="B2865" s="93" t="s">
        <v>1476</v>
      </c>
      <c r="C2865" s="100" t="s">
        <v>3636</v>
      </c>
      <c r="D2865" s="61" t="s">
        <v>2548</v>
      </c>
      <c r="E2865" s="100" t="s">
        <v>1952</v>
      </c>
      <c r="F2865" s="100" t="s">
        <v>1953</v>
      </c>
      <c r="G2865" s="100" t="s">
        <v>1954</v>
      </c>
      <c r="H2865" s="177"/>
      <c r="I2865" s="85">
        <f t="shared" ref="I2865:I2908" si="113">LOG(J2865)</f>
        <v>0.54715912132741751</v>
      </c>
      <c r="J2865" s="101">
        <v>3.5249999999999999</v>
      </c>
      <c r="K2865" s="143"/>
      <c r="L2865" s="61">
        <v>153</v>
      </c>
    </row>
    <row r="2866" spans="1:12" ht="70" x14ac:dyDescent="0.15">
      <c r="A2866" s="165" t="s">
        <v>2481</v>
      </c>
      <c r="B2866" s="93" t="s">
        <v>2079</v>
      </c>
      <c r="C2866" s="100" t="s">
        <v>3636</v>
      </c>
      <c r="D2866" s="61" t="s">
        <v>2548</v>
      </c>
      <c r="E2866" s="100" t="s">
        <v>1952</v>
      </c>
      <c r="F2866" s="100" t="s">
        <v>1953</v>
      </c>
      <c r="G2866" s="100" t="s">
        <v>6224</v>
      </c>
      <c r="H2866" s="177"/>
      <c r="I2866" s="85">
        <f t="shared" si="113"/>
        <v>0.73909744611747508</v>
      </c>
      <c r="J2866" s="101">
        <v>5.484</v>
      </c>
      <c r="K2866" s="143"/>
      <c r="L2866" s="61">
        <v>153</v>
      </c>
    </row>
    <row r="2867" spans="1:12" ht="70" x14ac:dyDescent="0.15">
      <c r="A2867" s="165" t="s">
        <v>2481</v>
      </c>
      <c r="B2867" s="93" t="s">
        <v>2062</v>
      </c>
      <c r="C2867" s="100" t="s">
        <v>3636</v>
      </c>
      <c r="D2867" s="61" t="s">
        <v>2548</v>
      </c>
      <c r="E2867" s="100" t="s">
        <v>1952</v>
      </c>
      <c r="F2867" s="100" t="s">
        <v>1953</v>
      </c>
      <c r="G2867" s="100" t="s">
        <v>2063</v>
      </c>
      <c r="H2867" s="177"/>
      <c r="I2867" s="85">
        <f t="shared" si="113"/>
        <v>0.80617997398388719</v>
      </c>
      <c r="J2867" s="101">
        <f>AVERAGE(4.8, 9.9, 4.6, 6.3)</f>
        <v>6.3999999999999995</v>
      </c>
      <c r="K2867" s="143"/>
      <c r="L2867" s="61">
        <v>261</v>
      </c>
    </row>
    <row r="2868" spans="1:12" ht="56" x14ac:dyDescent="0.15">
      <c r="A2868" s="165" t="s">
        <v>2481</v>
      </c>
      <c r="B2868" s="93" t="s">
        <v>4424</v>
      </c>
      <c r="C2868" s="102" t="s">
        <v>3636</v>
      </c>
      <c r="D2868" s="62" t="s">
        <v>2548</v>
      </c>
      <c r="E2868" s="102" t="s">
        <v>2050</v>
      </c>
      <c r="F2868" s="102" t="s">
        <v>4262</v>
      </c>
      <c r="G2868" s="102" t="s">
        <v>4415</v>
      </c>
      <c r="H2868" s="175"/>
      <c r="I2868" s="85">
        <f t="shared" si="113"/>
        <v>1.7359978840917938</v>
      </c>
      <c r="J2868" s="104">
        <f>AVERAGE(39.8, 81.3, 31.4, 65.3)</f>
        <v>54.45</v>
      </c>
      <c r="K2868" s="143"/>
      <c r="L2868" s="61">
        <v>261</v>
      </c>
    </row>
    <row r="2869" spans="1:12" ht="42" x14ac:dyDescent="0.15">
      <c r="A2869" s="165" t="s">
        <v>2481</v>
      </c>
      <c r="B2869" s="93" t="s">
        <v>4573</v>
      </c>
      <c r="C2869" s="100" t="s">
        <v>3636</v>
      </c>
      <c r="D2869" s="61" t="s">
        <v>2548</v>
      </c>
      <c r="E2869" s="100" t="s">
        <v>5973</v>
      </c>
      <c r="F2869" s="100" t="s">
        <v>5974</v>
      </c>
      <c r="G2869" s="100" t="s">
        <v>5147</v>
      </c>
      <c r="H2869" s="177"/>
      <c r="I2869" s="85">
        <f t="shared" si="113"/>
        <v>0.93613658702149183</v>
      </c>
      <c r="J2869" s="101">
        <v>8.6325000000000003</v>
      </c>
      <c r="K2869" s="143"/>
      <c r="L2869" s="61">
        <v>153</v>
      </c>
    </row>
    <row r="2870" spans="1:12" ht="84" x14ac:dyDescent="0.15">
      <c r="A2870" s="165" t="s">
        <v>2481</v>
      </c>
      <c r="B2870" s="93" t="s">
        <v>1478</v>
      </c>
      <c r="C2870" s="100" t="s">
        <v>3636</v>
      </c>
      <c r="D2870" s="61" t="s">
        <v>2548</v>
      </c>
      <c r="E2870" s="100" t="s">
        <v>5973</v>
      </c>
      <c r="F2870" s="100" t="s">
        <v>5974</v>
      </c>
      <c r="G2870" s="100" t="s">
        <v>1401</v>
      </c>
      <c r="H2870" s="177"/>
      <c r="I2870" s="85">
        <f t="shared" si="113"/>
        <v>0.99171819413823881</v>
      </c>
      <c r="J2870" s="101">
        <v>9.8111111111109999</v>
      </c>
      <c r="K2870" s="143"/>
      <c r="L2870" s="61">
        <v>153</v>
      </c>
    </row>
    <row r="2871" spans="1:12" ht="42" x14ac:dyDescent="0.15">
      <c r="A2871" s="165" t="s">
        <v>2481</v>
      </c>
      <c r="B2871" s="93" t="s">
        <v>4456</v>
      </c>
      <c r="C2871" s="100" t="s">
        <v>3636</v>
      </c>
      <c r="D2871" s="61" t="s">
        <v>2548</v>
      </c>
      <c r="E2871" s="100" t="s">
        <v>5973</v>
      </c>
      <c r="F2871" s="100" t="s">
        <v>5974</v>
      </c>
      <c r="G2871" s="100" t="s">
        <v>4457</v>
      </c>
      <c r="H2871" s="177"/>
      <c r="I2871" s="85">
        <f t="shared" si="113"/>
        <v>1.0773679052841565</v>
      </c>
      <c r="J2871" s="101">
        <v>11.95</v>
      </c>
      <c r="K2871" s="143"/>
      <c r="L2871" s="61">
        <v>153</v>
      </c>
    </row>
    <row r="2872" spans="1:12" ht="28" x14ac:dyDescent="0.15">
      <c r="A2872" s="165" t="s">
        <v>2481</v>
      </c>
      <c r="B2872" s="93" t="s">
        <v>601</v>
      </c>
      <c r="C2872" s="100" t="s">
        <v>3636</v>
      </c>
      <c r="D2872" s="61" t="s">
        <v>2548</v>
      </c>
      <c r="E2872" s="100" t="s">
        <v>5973</v>
      </c>
      <c r="F2872" s="100" t="s">
        <v>5974</v>
      </c>
      <c r="G2872" s="100" t="s">
        <v>602</v>
      </c>
      <c r="H2872" s="177"/>
      <c r="I2872" s="85">
        <f t="shared" si="113"/>
        <v>1.1583624920952498</v>
      </c>
      <c r="J2872" s="101">
        <v>14.4</v>
      </c>
      <c r="K2872" s="143"/>
      <c r="L2872" s="61">
        <v>153</v>
      </c>
    </row>
    <row r="2873" spans="1:12" ht="56" x14ac:dyDescent="0.15">
      <c r="A2873" s="165" t="s">
        <v>2481</v>
      </c>
      <c r="B2873" s="93" t="s">
        <v>611</v>
      </c>
      <c r="C2873" s="100" t="s">
        <v>3636</v>
      </c>
      <c r="D2873" s="61" t="s">
        <v>2548</v>
      </c>
      <c r="E2873" s="100" t="s">
        <v>5973</v>
      </c>
      <c r="F2873" s="100" t="s">
        <v>5974</v>
      </c>
      <c r="G2873" s="100" t="s">
        <v>3959</v>
      </c>
      <c r="H2873" s="177"/>
      <c r="I2873" s="85">
        <f t="shared" si="113"/>
        <v>1.1601253848438662</v>
      </c>
      <c r="J2873" s="101">
        <v>14.458571428571</v>
      </c>
      <c r="K2873" s="143"/>
      <c r="L2873" s="61">
        <v>153</v>
      </c>
    </row>
    <row r="2874" spans="1:12" ht="28" x14ac:dyDescent="0.15">
      <c r="A2874" s="165" t="s">
        <v>2481</v>
      </c>
      <c r="B2874" s="93" t="s">
        <v>612</v>
      </c>
      <c r="C2874" s="102" t="s">
        <v>3636</v>
      </c>
      <c r="D2874" s="62" t="s">
        <v>2548</v>
      </c>
      <c r="E2874" s="100" t="s">
        <v>5973</v>
      </c>
      <c r="F2874" s="102" t="s">
        <v>5974</v>
      </c>
      <c r="G2874" s="102" t="s">
        <v>5424</v>
      </c>
      <c r="H2874" s="175"/>
      <c r="I2874" s="85">
        <f t="shared" si="113"/>
        <v>1.2479732663618066</v>
      </c>
      <c r="J2874" s="104">
        <v>17.7</v>
      </c>
      <c r="K2874" s="143"/>
      <c r="L2874" s="61">
        <v>153</v>
      </c>
    </row>
    <row r="2875" spans="1:12" ht="56" x14ac:dyDescent="0.15">
      <c r="A2875" s="165" t="s">
        <v>2481</v>
      </c>
      <c r="B2875" s="93" t="s">
        <v>1845</v>
      </c>
      <c r="C2875" s="102" t="s">
        <v>3636</v>
      </c>
      <c r="D2875" s="62" t="s">
        <v>2548</v>
      </c>
      <c r="E2875" s="102" t="s">
        <v>5973</v>
      </c>
      <c r="F2875" s="102" t="s">
        <v>5974</v>
      </c>
      <c r="G2875" s="102" t="s">
        <v>6343</v>
      </c>
      <c r="H2875" s="175"/>
      <c r="I2875" s="85">
        <f t="shared" si="113"/>
        <v>1.4793901932934017</v>
      </c>
      <c r="J2875" s="104">
        <v>30.157142857143</v>
      </c>
      <c r="K2875" s="143"/>
      <c r="L2875" s="61">
        <v>153</v>
      </c>
    </row>
    <row r="2876" spans="1:12" ht="56" x14ac:dyDescent="0.15">
      <c r="A2876" s="165" t="s">
        <v>2481</v>
      </c>
      <c r="B2876" s="93" t="s">
        <v>509</v>
      </c>
      <c r="C2876" s="100" t="s">
        <v>3636</v>
      </c>
      <c r="D2876" s="61" t="s">
        <v>2548</v>
      </c>
      <c r="E2876" s="100" t="s">
        <v>510</v>
      </c>
      <c r="F2876" s="100" t="s">
        <v>511</v>
      </c>
      <c r="G2876" s="100" t="s">
        <v>580</v>
      </c>
      <c r="H2876" s="177"/>
      <c r="I2876" s="85">
        <f t="shared" si="113"/>
        <v>1.0138900603284386</v>
      </c>
      <c r="J2876" s="101">
        <v>10.324999999999999</v>
      </c>
      <c r="K2876" s="143"/>
      <c r="L2876" s="61">
        <v>153</v>
      </c>
    </row>
    <row r="2877" spans="1:12" ht="70" x14ac:dyDescent="0.15">
      <c r="A2877" s="165" t="s">
        <v>2481</v>
      </c>
      <c r="B2877" s="93" t="s">
        <v>1927</v>
      </c>
      <c r="C2877" s="100" t="s">
        <v>3636</v>
      </c>
      <c r="D2877" s="61" t="s">
        <v>2548</v>
      </c>
      <c r="E2877" s="100" t="s">
        <v>510</v>
      </c>
      <c r="F2877" s="100" t="s">
        <v>489</v>
      </c>
      <c r="G2877" s="100" t="s">
        <v>3596</v>
      </c>
      <c r="H2877" s="177"/>
      <c r="I2877" s="85">
        <f t="shared" si="113"/>
        <v>1.1598678470925667</v>
      </c>
      <c r="J2877" s="101">
        <f>AVERAGE(12.6, 17.7, 11.3, 16.2)</f>
        <v>14.45</v>
      </c>
      <c r="K2877" s="143"/>
      <c r="L2877" s="61">
        <v>261</v>
      </c>
    </row>
    <row r="2878" spans="1:12" ht="28" x14ac:dyDescent="0.15">
      <c r="A2878" s="165" t="s">
        <v>2481</v>
      </c>
      <c r="B2878" s="93" t="s">
        <v>1997</v>
      </c>
      <c r="C2878" s="100" t="s">
        <v>3636</v>
      </c>
      <c r="D2878" s="61" t="s">
        <v>2548</v>
      </c>
      <c r="E2878" s="100" t="s">
        <v>510</v>
      </c>
      <c r="F2878" s="100" t="s">
        <v>1998</v>
      </c>
      <c r="G2878" s="100" t="s">
        <v>1999</v>
      </c>
      <c r="H2878" s="177"/>
      <c r="I2878" s="85">
        <f t="shared" si="113"/>
        <v>1.2345172835126867</v>
      </c>
      <c r="J2878" s="101">
        <v>17.16</v>
      </c>
      <c r="K2878" s="143"/>
      <c r="L2878" s="61">
        <v>153</v>
      </c>
    </row>
    <row r="2879" spans="1:12" ht="14" x14ac:dyDescent="0.15">
      <c r="A2879" s="165" t="s">
        <v>2481</v>
      </c>
      <c r="B2879" s="93" t="s">
        <v>1901</v>
      </c>
      <c r="C2879" s="100" t="s">
        <v>3636</v>
      </c>
      <c r="D2879" s="61" t="s">
        <v>2548</v>
      </c>
      <c r="E2879" s="100" t="s">
        <v>510</v>
      </c>
      <c r="F2879" s="100" t="s">
        <v>4391</v>
      </c>
      <c r="G2879" s="100" t="s">
        <v>7315</v>
      </c>
      <c r="H2879" s="177"/>
      <c r="I2879" s="85">
        <f t="shared" si="113"/>
        <v>1.0755469613925308</v>
      </c>
      <c r="J2879" s="103">
        <f>AVERAGE(12.4, 13.1, 9.2, 12.9)</f>
        <v>11.9</v>
      </c>
      <c r="K2879" s="141"/>
      <c r="L2879" s="61">
        <v>280</v>
      </c>
    </row>
    <row r="2880" spans="1:12" ht="42" x14ac:dyDescent="0.15">
      <c r="A2880" s="165" t="s">
        <v>2481</v>
      </c>
      <c r="B2880" s="93" t="s">
        <v>1798</v>
      </c>
      <c r="C2880" s="100" t="s">
        <v>3636</v>
      </c>
      <c r="D2880" s="61" t="s">
        <v>2548</v>
      </c>
      <c r="E2880" s="100" t="s">
        <v>510</v>
      </c>
      <c r="F2880" s="100" t="s">
        <v>1799</v>
      </c>
      <c r="G2880" s="100" t="s">
        <v>5597</v>
      </c>
      <c r="H2880" s="177"/>
      <c r="I2880" s="85">
        <f t="shared" si="113"/>
        <v>1.0437551269686796</v>
      </c>
      <c r="J2880" s="101">
        <v>11.06</v>
      </c>
      <c r="K2880" s="143"/>
      <c r="L2880" s="61">
        <v>153</v>
      </c>
    </row>
    <row r="2881" spans="1:12" ht="126" x14ac:dyDescent="0.15">
      <c r="A2881" s="165" t="s">
        <v>2481</v>
      </c>
      <c r="B2881" s="93" t="s">
        <v>560</v>
      </c>
      <c r="C2881" s="102" t="s">
        <v>3636</v>
      </c>
      <c r="D2881" s="62" t="s">
        <v>2548</v>
      </c>
      <c r="E2881" s="102" t="s">
        <v>510</v>
      </c>
      <c r="F2881" s="102" t="s">
        <v>1799</v>
      </c>
      <c r="G2881" s="102" t="s">
        <v>559</v>
      </c>
      <c r="H2881" s="175"/>
      <c r="I2881" s="85">
        <f t="shared" si="113"/>
        <v>1.625046715930174</v>
      </c>
      <c r="J2881" s="104">
        <v>42.174186666666998</v>
      </c>
      <c r="K2881" s="143"/>
      <c r="L2881" s="61">
        <v>153</v>
      </c>
    </row>
    <row r="2882" spans="1:12" ht="84" x14ac:dyDescent="0.15">
      <c r="A2882" s="165" t="s">
        <v>2481</v>
      </c>
      <c r="B2882" s="93" t="s">
        <v>472</v>
      </c>
      <c r="C2882" s="102" t="s">
        <v>3636</v>
      </c>
      <c r="D2882" s="62" t="s">
        <v>2548</v>
      </c>
      <c r="E2882" s="102" t="s">
        <v>510</v>
      </c>
      <c r="F2882" s="102" t="s">
        <v>1799</v>
      </c>
      <c r="G2882" s="102" t="s">
        <v>473</v>
      </c>
      <c r="H2882" s="175"/>
      <c r="I2882" s="85">
        <f t="shared" si="113"/>
        <v>1.7849737099544007</v>
      </c>
      <c r="J2882" s="104">
        <f>AVERAGE(44.4, 74, 46.2, 79.2)</f>
        <v>60.95</v>
      </c>
      <c r="K2882" s="143"/>
      <c r="L2882" s="61">
        <v>261</v>
      </c>
    </row>
    <row r="2883" spans="1:12" ht="56" x14ac:dyDescent="0.15">
      <c r="A2883" s="165" t="s">
        <v>2481</v>
      </c>
      <c r="B2883" s="93" t="s">
        <v>642</v>
      </c>
      <c r="C2883" s="102" t="s">
        <v>3636</v>
      </c>
      <c r="D2883" s="62" t="s">
        <v>2548</v>
      </c>
      <c r="E2883" s="102" t="s">
        <v>510</v>
      </c>
      <c r="F2883" s="102" t="s">
        <v>643</v>
      </c>
      <c r="G2883" s="102" t="s">
        <v>3324</v>
      </c>
      <c r="H2883" s="175"/>
      <c r="I2883" s="85">
        <f t="shared" si="113"/>
        <v>1.5541995337964172</v>
      </c>
      <c r="J2883" s="104">
        <v>35.826099999999997</v>
      </c>
      <c r="K2883" s="143"/>
      <c r="L2883" s="61">
        <v>153</v>
      </c>
    </row>
    <row r="2884" spans="1:12" ht="56" x14ac:dyDescent="0.15">
      <c r="A2884" s="165" t="s">
        <v>2481</v>
      </c>
      <c r="B2884" s="93" t="s">
        <v>561</v>
      </c>
      <c r="C2884" s="102" t="s">
        <v>3636</v>
      </c>
      <c r="D2884" s="62" t="s">
        <v>2548</v>
      </c>
      <c r="E2884" s="102" t="s">
        <v>510</v>
      </c>
      <c r="F2884" s="102" t="s">
        <v>643</v>
      </c>
      <c r="G2884" s="102" t="s">
        <v>562</v>
      </c>
      <c r="H2884" s="175"/>
      <c r="I2884" s="85">
        <f t="shared" si="113"/>
        <v>1.6643285186808081</v>
      </c>
      <c r="J2884" s="104">
        <v>46.166666666666998</v>
      </c>
      <c r="K2884" s="143"/>
      <c r="L2884" s="61">
        <v>153</v>
      </c>
    </row>
    <row r="2885" spans="1:12" ht="112" x14ac:dyDescent="0.15">
      <c r="A2885" s="165" t="s">
        <v>2481</v>
      </c>
      <c r="B2885" s="93" t="s">
        <v>626</v>
      </c>
      <c r="C2885" s="102" t="s">
        <v>3636</v>
      </c>
      <c r="D2885" s="62" t="s">
        <v>2548</v>
      </c>
      <c r="E2885" s="100" t="s">
        <v>510</v>
      </c>
      <c r="F2885" s="102" t="s">
        <v>392</v>
      </c>
      <c r="G2885" s="102" t="s">
        <v>5180</v>
      </c>
      <c r="H2885" s="175"/>
      <c r="I2885" s="85">
        <f t="shared" si="113"/>
        <v>1.2101847054724069</v>
      </c>
      <c r="J2885" s="104">
        <f>AVERAGE(12.5, 19.9, 11.3, 21.2)</f>
        <v>16.225000000000001</v>
      </c>
      <c r="K2885" s="143"/>
      <c r="L2885" s="61">
        <v>261</v>
      </c>
    </row>
    <row r="2886" spans="1:12" ht="42" x14ac:dyDescent="0.15">
      <c r="A2886" s="165" t="s">
        <v>2481</v>
      </c>
      <c r="B2886" s="93" t="s">
        <v>1948</v>
      </c>
      <c r="C2886" s="102" t="s">
        <v>3636</v>
      </c>
      <c r="D2886" s="62" t="s">
        <v>2548</v>
      </c>
      <c r="E2886" s="100" t="s">
        <v>510</v>
      </c>
      <c r="F2886" s="102" t="s">
        <v>1949</v>
      </c>
      <c r="G2886" s="102" t="s">
        <v>6160</v>
      </c>
      <c r="H2886" s="175"/>
      <c r="I2886" s="85">
        <f t="shared" si="113"/>
        <v>1.3222192947339193</v>
      </c>
      <c r="J2886" s="104">
        <f>AVERAGE(17.9, 27.5, 17.6)</f>
        <v>21</v>
      </c>
      <c r="K2886" s="143"/>
      <c r="L2886" s="61">
        <v>261</v>
      </c>
    </row>
    <row r="2887" spans="1:12" ht="28" x14ac:dyDescent="0.15">
      <c r="A2887" s="165" t="s">
        <v>2481</v>
      </c>
      <c r="B2887" s="93" t="s">
        <v>2058</v>
      </c>
      <c r="C2887" s="100" t="s">
        <v>3636</v>
      </c>
      <c r="D2887" s="61" t="s">
        <v>2548</v>
      </c>
      <c r="E2887" s="100" t="s">
        <v>510</v>
      </c>
      <c r="F2887" s="100" t="s">
        <v>397</v>
      </c>
      <c r="G2887" s="100" t="s">
        <v>478</v>
      </c>
      <c r="H2887" s="177"/>
      <c r="I2887" s="85">
        <f t="shared" si="113"/>
        <v>1.1359273350054684</v>
      </c>
      <c r="J2887" s="101">
        <v>13.675000000000001</v>
      </c>
      <c r="K2887" s="143"/>
      <c r="L2887" s="61">
        <v>153</v>
      </c>
    </row>
    <row r="2888" spans="1:12" ht="42" x14ac:dyDescent="0.15">
      <c r="A2888" s="165" t="s">
        <v>2481</v>
      </c>
      <c r="B2888" s="93" t="s">
        <v>534</v>
      </c>
      <c r="C2888" s="102" t="s">
        <v>3636</v>
      </c>
      <c r="D2888" s="62" t="s">
        <v>2548</v>
      </c>
      <c r="E2888" s="102" t="s">
        <v>510</v>
      </c>
      <c r="F2888" s="102" t="s">
        <v>397</v>
      </c>
      <c r="G2888" s="102" t="s">
        <v>1941</v>
      </c>
      <c r="H2888" s="175"/>
      <c r="I2888" s="85">
        <f t="shared" si="113"/>
        <v>1.3639878297484915</v>
      </c>
      <c r="J2888" s="104">
        <v>23.12</v>
      </c>
      <c r="K2888" s="143"/>
      <c r="L2888" s="61">
        <v>153</v>
      </c>
    </row>
    <row r="2889" spans="1:12" ht="28" x14ac:dyDescent="0.15">
      <c r="A2889" s="165" t="s">
        <v>2481</v>
      </c>
      <c r="B2889" s="93" t="s">
        <v>4422</v>
      </c>
      <c r="C2889" s="102" t="s">
        <v>3636</v>
      </c>
      <c r="D2889" s="62" t="s">
        <v>2548</v>
      </c>
      <c r="E2889" s="102" t="s">
        <v>510</v>
      </c>
      <c r="F2889" s="102" t="s">
        <v>397</v>
      </c>
      <c r="G2889" s="102" t="s">
        <v>4423</v>
      </c>
      <c r="H2889" s="175"/>
      <c r="I2889" s="85">
        <f t="shared" si="113"/>
        <v>1.5440680443502757</v>
      </c>
      <c r="J2889" s="104">
        <v>35</v>
      </c>
      <c r="K2889" s="143"/>
      <c r="L2889" s="61">
        <v>153</v>
      </c>
    </row>
    <row r="2890" spans="1:12" ht="28" x14ac:dyDescent="0.15">
      <c r="A2890" s="165" t="s">
        <v>2481</v>
      </c>
      <c r="B2890" s="93" t="s">
        <v>2054</v>
      </c>
      <c r="C2890" s="100" t="s">
        <v>3636</v>
      </c>
      <c r="D2890" s="61" t="s">
        <v>2548</v>
      </c>
      <c r="E2890" s="100" t="s">
        <v>510</v>
      </c>
      <c r="F2890" s="100" t="s">
        <v>2055</v>
      </c>
      <c r="G2890" s="100" t="s">
        <v>3406</v>
      </c>
      <c r="H2890" s="177"/>
      <c r="I2890" s="85">
        <f t="shared" si="113"/>
        <v>0.76591679396660717</v>
      </c>
      <c r="J2890" s="101">
        <v>5.833333333333</v>
      </c>
      <c r="K2890" s="143"/>
      <c r="L2890" s="61">
        <v>153</v>
      </c>
    </row>
    <row r="2891" spans="1:12" ht="70" x14ac:dyDescent="0.15">
      <c r="A2891" s="165" t="s">
        <v>2481</v>
      </c>
      <c r="B2891" s="93" t="s">
        <v>596</v>
      </c>
      <c r="C2891" s="102" t="s">
        <v>3636</v>
      </c>
      <c r="D2891" s="62" t="s">
        <v>2548</v>
      </c>
      <c r="E2891" s="102" t="s">
        <v>510</v>
      </c>
      <c r="F2891" s="102" t="s">
        <v>597</v>
      </c>
      <c r="G2891" s="102" t="s">
        <v>598</v>
      </c>
      <c r="H2891" s="175"/>
      <c r="I2891" s="85">
        <f t="shared" si="113"/>
        <v>1.4345689040341987</v>
      </c>
      <c r="J2891" s="104">
        <f>AVERAGE(14.1, 37.7, 17.4, 39.6)</f>
        <v>27.200000000000003</v>
      </c>
      <c r="K2891" s="143"/>
      <c r="L2891" s="61">
        <v>261</v>
      </c>
    </row>
    <row r="2892" spans="1:12" ht="56" x14ac:dyDescent="0.15">
      <c r="A2892" s="165" t="s">
        <v>2481</v>
      </c>
      <c r="B2892" s="93" t="s">
        <v>682</v>
      </c>
      <c r="C2892" s="102" t="s">
        <v>3636</v>
      </c>
      <c r="D2892" s="62" t="s">
        <v>2548</v>
      </c>
      <c r="E2892" s="102" t="s">
        <v>510</v>
      </c>
      <c r="F2892" s="102" t="s">
        <v>683</v>
      </c>
      <c r="G2892" s="102" t="s">
        <v>607</v>
      </c>
      <c r="H2892" s="175"/>
      <c r="I2892" s="85">
        <f t="shared" si="113"/>
        <v>1.5662410233014672</v>
      </c>
      <c r="J2892" s="104">
        <f>AVERAGE(31.7, 41.3, 37.5)</f>
        <v>36.833333333333336</v>
      </c>
      <c r="K2892" s="143"/>
      <c r="L2892" s="61">
        <v>261</v>
      </c>
    </row>
    <row r="2893" spans="1:12" ht="42" x14ac:dyDescent="0.15">
      <c r="A2893" s="165" t="s">
        <v>2481</v>
      </c>
      <c r="B2893" s="93" t="s">
        <v>448</v>
      </c>
      <c r="C2893" s="102" t="s">
        <v>3636</v>
      </c>
      <c r="D2893" s="62" t="s">
        <v>2548</v>
      </c>
      <c r="E2893" s="100" t="s">
        <v>510</v>
      </c>
      <c r="F2893" s="102" t="s">
        <v>446</v>
      </c>
      <c r="G2893" s="102" t="s">
        <v>447</v>
      </c>
      <c r="H2893" s="175"/>
      <c r="I2893" s="85">
        <f t="shared" si="113"/>
        <v>1.1986570869544226</v>
      </c>
      <c r="J2893" s="104">
        <v>15.8</v>
      </c>
      <c r="K2893" s="143"/>
      <c r="L2893" s="61">
        <v>153</v>
      </c>
    </row>
    <row r="2894" spans="1:12" ht="112" x14ac:dyDescent="0.15">
      <c r="A2894" s="165" t="s">
        <v>2481</v>
      </c>
      <c r="B2894" s="93" t="s">
        <v>762</v>
      </c>
      <c r="C2894" s="100" t="s">
        <v>3636</v>
      </c>
      <c r="D2894" s="61" t="s">
        <v>2548</v>
      </c>
      <c r="E2894" s="100" t="s">
        <v>510</v>
      </c>
      <c r="F2894" s="100" t="s">
        <v>438</v>
      </c>
      <c r="G2894" s="100" t="s">
        <v>849</v>
      </c>
      <c r="H2894" s="177"/>
      <c r="I2894" s="85">
        <f t="shared" si="113"/>
        <v>0.91513590662201194</v>
      </c>
      <c r="J2894" s="101">
        <f>AVERAGE(5.4, 10.4, 5.7, 11.4)</f>
        <v>8.2249999999999996</v>
      </c>
      <c r="K2894" s="143"/>
      <c r="L2894" s="61">
        <v>261</v>
      </c>
    </row>
    <row r="2895" spans="1:12" ht="98" x14ac:dyDescent="0.15">
      <c r="A2895" s="165" t="s">
        <v>2481</v>
      </c>
      <c r="B2895" s="93" t="s">
        <v>407</v>
      </c>
      <c r="C2895" s="100" t="s">
        <v>3636</v>
      </c>
      <c r="D2895" s="61" t="s">
        <v>2548</v>
      </c>
      <c r="E2895" s="100" t="s">
        <v>510</v>
      </c>
      <c r="F2895" s="100" t="s">
        <v>438</v>
      </c>
      <c r="G2895" s="100" t="s">
        <v>2323</v>
      </c>
      <c r="H2895" s="177"/>
      <c r="I2895" s="85">
        <f t="shared" si="113"/>
        <v>1.0588054866759067</v>
      </c>
      <c r="J2895" s="101">
        <f>AVERAGE(9.7, 13.4, 9.7, 13)</f>
        <v>11.45</v>
      </c>
      <c r="K2895" s="143"/>
      <c r="L2895" s="61">
        <v>261</v>
      </c>
    </row>
    <row r="2896" spans="1:12" ht="84" x14ac:dyDescent="0.15">
      <c r="A2896" s="165" t="s">
        <v>2481</v>
      </c>
      <c r="B2896" s="82" t="s">
        <v>1976</v>
      </c>
      <c r="C2896" s="107" t="s">
        <v>3636</v>
      </c>
      <c r="D2896" s="62" t="s">
        <v>2548</v>
      </c>
      <c r="E2896" s="107" t="s">
        <v>510</v>
      </c>
      <c r="F2896" s="107" t="s">
        <v>1977</v>
      </c>
      <c r="G2896" s="107" t="s">
        <v>1899</v>
      </c>
      <c r="H2896" s="179"/>
      <c r="I2896" s="85">
        <f t="shared" si="113"/>
        <v>1.3695868907363444</v>
      </c>
      <c r="J2896" s="104">
        <v>23.42</v>
      </c>
      <c r="K2896" s="144"/>
      <c r="L2896" s="61">
        <v>153</v>
      </c>
    </row>
    <row r="2897" spans="1:18" ht="56" x14ac:dyDescent="0.15">
      <c r="A2897" s="165" t="s">
        <v>2481</v>
      </c>
      <c r="B2897" s="93" t="s">
        <v>461</v>
      </c>
      <c r="C2897" s="102" t="s">
        <v>3636</v>
      </c>
      <c r="D2897" s="62" t="s">
        <v>2548</v>
      </c>
      <c r="E2897" s="100" t="s">
        <v>510</v>
      </c>
      <c r="F2897" s="102" t="s">
        <v>470</v>
      </c>
      <c r="G2897" s="102" t="s">
        <v>4199</v>
      </c>
      <c r="H2897" s="175"/>
      <c r="I2897" s="85">
        <f t="shared" si="113"/>
        <v>1.1958996524092338</v>
      </c>
      <c r="J2897" s="104">
        <v>15.7</v>
      </c>
      <c r="K2897" s="143"/>
      <c r="L2897" s="61">
        <v>153</v>
      </c>
      <c r="Q2897"/>
      <c r="R2897"/>
    </row>
    <row r="2898" spans="1:18" ht="84" x14ac:dyDescent="0.15">
      <c r="A2898" s="165" t="s">
        <v>2481</v>
      </c>
      <c r="B2898" s="93" t="s">
        <v>552</v>
      </c>
      <c r="C2898" s="100" t="s">
        <v>3636</v>
      </c>
      <c r="D2898" s="61" t="s">
        <v>2548</v>
      </c>
      <c r="E2898" s="100" t="s">
        <v>510</v>
      </c>
      <c r="F2898" s="100" t="s">
        <v>558</v>
      </c>
      <c r="G2898" s="100" t="s">
        <v>640</v>
      </c>
      <c r="H2898" s="177"/>
      <c r="I2898" s="85">
        <f t="shared" si="113"/>
        <v>1.105510184769974</v>
      </c>
      <c r="J2898" s="101">
        <v>12.75</v>
      </c>
      <c r="K2898" s="143"/>
      <c r="L2898" s="61">
        <v>153</v>
      </c>
    </row>
    <row r="2899" spans="1:18" ht="42" x14ac:dyDescent="0.15">
      <c r="A2899" s="165" t="s">
        <v>2481</v>
      </c>
      <c r="B2899" s="93" t="s">
        <v>894</v>
      </c>
      <c r="C2899" s="100" t="s">
        <v>3636</v>
      </c>
      <c r="D2899" s="61" t="s">
        <v>2548</v>
      </c>
      <c r="E2899" s="100" t="s">
        <v>510</v>
      </c>
      <c r="F2899" s="100" t="s">
        <v>815</v>
      </c>
      <c r="G2899" s="100" t="s">
        <v>3844</v>
      </c>
      <c r="H2899" s="177"/>
      <c r="I2899" s="85">
        <f t="shared" si="113"/>
        <v>0.84010609445675777</v>
      </c>
      <c r="J2899" s="101">
        <v>6.92</v>
      </c>
      <c r="K2899" s="143"/>
      <c r="L2899" s="61">
        <v>153</v>
      </c>
    </row>
    <row r="2900" spans="1:18" ht="70" x14ac:dyDescent="0.15">
      <c r="A2900" s="165" t="s">
        <v>2481</v>
      </c>
      <c r="B2900" s="93" t="s">
        <v>897</v>
      </c>
      <c r="C2900" s="100" t="s">
        <v>3636</v>
      </c>
      <c r="D2900" s="61" t="s">
        <v>2548</v>
      </c>
      <c r="E2900" s="100" t="s">
        <v>510</v>
      </c>
      <c r="F2900" s="100" t="s">
        <v>898</v>
      </c>
      <c r="G2900" s="100" t="s">
        <v>1913</v>
      </c>
      <c r="H2900" s="177"/>
      <c r="I2900" s="85">
        <f t="shared" si="113"/>
        <v>0.75396586586516035</v>
      </c>
      <c r="J2900" s="101">
        <f>AVERAGE(3.4, 6.7, 4.3, 8.3)</f>
        <v>5.6749999999999998</v>
      </c>
      <c r="K2900" s="143"/>
      <c r="L2900" s="61">
        <v>261</v>
      </c>
    </row>
    <row r="2901" spans="1:18" ht="28" x14ac:dyDescent="0.15">
      <c r="A2901" s="165" t="s">
        <v>2481</v>
      </c>
      <c r="B2901" s="93" t="s">
        <v>1052</v>
      </c>
      <c r="C2901" s="100" t="s">
        <v>3636</v>
      </c>
      <c r="D2901" s="61" t="s">
        <v>2548</v>
      </c>
      <c r="E2901" s="100" t="s">
        <v>510</v>
      </c>
      <c r="F2901" s="100" t="s">
        <v>898</v>
      </c>
      <c r="G2901" s="100" t="s">
        <v>4937</v>
      </c>
      <c r="H2901" s="177"/>
      <c r="I2901" s="85">
        <f t="shared" si="113"/>
        <v>0.81291335664285558</v>
      </c>
      <c r="J2901" s="101">
        <v>6.5</v>
      </c>
      <c r="K2901" s="143"/>
      <c r="L2901" s="61">
        <v>153</v>
      </c>
    </row>
    <row r="2902" spans="1:18" ht="56" x14ac:dyDescent="0.15">
      <c r="A2902" s="165" t="s">
        <v>2481</v>
      </c>
      <c r="B2902" s="93" t="s">
        <v>653</v>
      </c>
      <c r="C2902" s="100" t="s">
        <v>3636</v>
      </c>
      <c r="D2902" s="61" t="s">
        <v>2548</v>
      </c>
      <c r="E2902" s="100" t="s">
        <v>510</v>
      </c>
      <c r="F2902" s="100" t="s">
        <v>898</v>
      </c>
      <c r="G2902" s="100" t="s">
        <v>563</v>
      </c>
      <c r="H2902" s="177"/>
      <c r="I2902" s="85">
        <f t="shared" si="113"/>
        <v>0.91513590662201194</v>
      </c>
      <c r="J2902" s="101">
        <v>8.2249999999999996</v>
      </c>
      <c r="K2902" s="143"/>
      <c r="L2902" s="61">
        <v>153</v>
      </c>
    </row>
    <row r="2903" spans="1:18" ht="42" x14ac:dyDescent="0.15">
      <c r="A2903" s="165" t="s">
        <v>2481</v>
      </c>
      <c r="B2903" s="93" t="s">
        <v>655</v>
      </c>
      <c r="C2903" s="100" t="s">
        <v>3636</v>
      </c>
      <c r="D2903" s="61" t="s">
        <v>2548</v>
      </c>
      <c r="E2903" s="100" t="s">
        <v>510</v>
      </c>
      <c r="F2903" s="100" t="s">
        <v>898</v>
      </c>
      <c r="G2903" s="100" t="s">
        <v>8036</v>
      </c>
      <c r="H2903" s="177"/>
      <c r="I2903" s="85">
        <f t="shared" si="113"/>
        <v>0.94448267215016868</v>
      </c>
      <c r="J2903" s="101">
        <v>8.8000000000000007</v>
      </c>
      <c r="K2903" s="143"/>
      <c r="L2903" s="61">
        <v>153</v>
      </c>
    </row>
    <row r="2904" spans="1:18" ht="56" x14ac:dyDescent="0.15">
      <c r="A2904" s="165" t="s">
        <v>2481</v>
      </c>
      <c r="B2904" s="93" t="s">
        <v>471</v>
      </c>
      <c r="C2904" s="100" t="s">
        <v>3636</v>
      </c>
      <c r="D2904" s="61" t="s">
        <v>2548</v>
      </c>
      <c r="E2904" s="100" t="s">
        <v>510</v>
      </c>
      <c r="F2904" s="100" t="s">
        <v>898</v>
      </c>
      <c r="G2904" s="100" t="s">
        <v>618</v>
      </c>
      <c r="H2904" s="177"/>
      <c r="I2904" s="85">
        <f t="shared" si="113"/>
        <v>1.0492180226701815</v>
      </c>
      <c r="J2904" s="101">
        <f>AVERAGE(10.3, 14, 10.7, 6.7, 14.3)</f>
        <v>11.2</v>
      </c>
      <c r="K2904" s="143"/>
      <c r="L2904" s="61">
        <v>261</v>
      </c>
    </row>
    <row r="2905" spans="1:18" ht="28" x14ac:dyDescent="0.15">
      <c r="A2905" s="165" t="s">
        <v>2481</v>
      </c>
      <c r="B2905" s="93" t="s">
        <v>564</v>
      </c>
      <c r="C2905" s="100" t="s">
        <v>3636</v>
      </c>
      <c r="D2905" s="61" t="s">
        <v>2548</v>
      </c>
      <c r="E2905" s="100" t="s">
        <v>510</v>
      </c>
      <c r="F2905" s="100" t="s">
        <v>898</v>
      </c>
      <c r="G2905" s="100" t="s">
        <v>7271</v>
      </c>
      <c r="H2905" s="177"/>
      <c r="I2905" s="85">
        <f t="shared" si="113"/>
        <v>1.0791812460476249</v>
      </c>
      <c r="J2905" s="101">
        <f>AVERAGE(9.4, 15.3, 10, 13.3)</f>
        <v>12</v>
      </c>
      <c r="K2905" s="143"/>
      <c r="L2905" s="61">
        <v>261</v>
      </c>
    </row>
    <row r="2906" spans="1:18" ht="56" x14ac:dyDescent="0.15">
      <c r="A2906" s="165" t="s">
        <v>2481</v>
      </c>
      <c r="B2906" s="93" t="s">
        <v>2057</v>
      </c>
      <c r="C2906" s="100" t="s">
        <v>3636</v>
      </c>
      <c r="D2906" s="61" t="s">
        <v>2548</v>
      </c>
      <c r="E2906" s="100" t="s">
        <v>510</v>
      </c>
      <c r="F2906" s="100" t="s">
        <v>4335</v>
      </c>
      <c r="G2906" s="100" t="s">
        <v>1942</v>
      </c>
      <c r="H2906" s="177"/>
      <c r="I2906" s="85">
        <f t="shared" si="113"/>
        <v>1.1383026981662814</v>
      </c>
      <c r="J2906" s="101">
        <v>13.75</v>
      </c>
      <c r="K2906" s="143"/>
      <c r="L2906" s="61">
        <v>153</v>
      </c>
    </row>
    <row r="2907" spans="1:18" ht="42" x14ac:dyDescent="0.15">
      <c r="A2907" s="165" t="s">
        <v>2481</v>
      </c>
      <c r="B2907" s="93" t="s">
        <v>2051</v>
      </c>
      <c r="C2907" s="100" t="s">
        <v>3636</v>
      </c>
      <c r="D2907" s="61" t="s">
        <v>2548</v>
      </c>
      <c r="E2907" s="100" t="s">
        <v>510</v>
      </c>
      <c r="F2907" s="100" t="s">
        <v>2052</v>
      </c>
      <c r="G2907" s="100" t="s">
        <v>2053</v>
      </c>
      <c r="H2907" s="177"/>
      <c r="I2907" s="85">
        <f t="shared" si="113"/>
        <v>0.93951925261861846</v>
      </c>
      <c r="J2907" s="101">
        <v>8.6999999999999993</v>
      </c>
      <c r="K2907" s="143"/>
      <c r="L2907" s="61">
        <v>153</v>
      </c>
    </row>
    <row r="2908" spans="1:18" ht="56" x14ac:dyDescent="0.15">
      <c r="A2908" s="165" t="s">
        <v>2481</v>
      </c>
      <c r="B2908" s="93" t="s">
        <v>4745</v>
      </c>
      <c r="C2908" s="102" t="s">
        <v>3636</v>
      </c>
      <c r="D2908" s="62" t="s">
        <v>2548</v>
      </c>
      <c r="E2908" s="100" t="s">
        <v>510</v>
      </c>
      <c r="F2908" s="102" t="s">
        <v>2052</v>
      </c>
      <c r="G2908" s="102" t="s">
        <v>4746</v>
      </c>
      <c r="H2908" s="175"/>
      <c r="I2908" s="85">
        <f t="shared" si="113"/>
        <v>1.1704712664156269</v>
      </c>
      <c r="J2908" s="104">
        <v>14.807142857143001</v>
      </c>
      <c r="K2908" s="143"/>
      <c r="L2908" s="61">
        <v>153</v>
      </c>
    </row>
    <row r="2909" spans="1:18" ht="14" x14ac:dyDescent="0.15">
      <c r="A2909" s="165" t="s">
        <v>2481</v>
      </c>
      <c r="B2909" s="93" t="s">
        <v>1901</v>
      </c>
      <c r="C2909" s="100" t="s">
        <v>3636</v>
      </c>
      <c r="D2909" s="61" t="s">
        <v>2548</v>
      </c>
      <c r="E2909" s="100" t="s">
        <v>510</v>
      </c>
      <c r="F2909" s="100" t="s">
        <v>4324</v>
      </c>
      <c r="G2909" s="100" t="s">
        <v>4325</v>
      </c>
      <c r="H2909" s="177"/>
      <c r="I2909" s="103">
        <v>-999</v>
      </c>
      <c r="J2909" s="103">
        <v>-999</v>
      </c>
      <c r="K2909" s="141"/>
      <c r="L2909" s="61">
        <v>-999</v>
      </c>
    </row>
    <row r="2910" spans="1:18" ht="28" x14ac:dyDescent="0.15">
      <c r="A2910" s="165" t="s">
        <v>2481</v>
      </c>
      <c r="B2910" s="93" t="s">
        <v>4326</v>
      </c>
      <c r="C2910" s="100" t="s">
        <v>3636</v>
      </c>
      <c r="D2910" s="61" t="s">
        <v>2548</v>
      </c>
      <c r="E2910" s="100" t="s">
        <v>510</v>
      </c>
      <c r="F2910" s="100" t="s">
        <v>4324</v>
      </c>
      <c r="G2910" s="100" t="s">
        <v>4887</v>
      </c>
      <c r="H2910" s="177"/>
      <c r="I2910" s="103">
        <v>-999</v>
      </c>
      <c r="J2910" s="103">
        <v>-999</v>
      </c>
      <c r="K2910" s="141"/>
      <c r="L2910" s="61">
        <v>-999</v>
      </c>
    </row>
    <row r="2911" spans="1:18" ht="28" x14ac:dyDescent="0.15">
      <c r="A2911" s="165" t="s">
        <v>2481</v>
      </c>
      <c r="B2911" s="93" t="s">
        <v>1503</v>
      </c>
      <c r="C2911" s="100" t="s">
        <v>3636</v>
      </c>
      <c r="D2911" s="61" t="s">
        <v>2548</v>
      </c>
      <c r="E2911" s="100" t="s">
        <v>510</v>
      </c>
      <c r="F2911" s="100" t="s">
        <v>1504</v>
      </c>
      <c r="G2911" s="100" t="s">
        <v>1505</v>
      </c>
      <c r="H2911" s="177"/>
      <c r="I2911" s="103">
        <v>-999</v>
      </c>
      <c r="J2911" s="103">
        <v>-999</v>
      </c>
      <c r="K2911" s="141"/>
      <c r="L2911" s="61">
        <v>-999</v>
      </c>
    </row>
    <row r="2912" spans="1:18" ht="84" x14ac:dyDescent="0.15">
      <c r="A2912" s="165" t="s">
        <v>2481</v>
      </c>
      <c r="B2912" s="93" t="s">
        <v>505</v>
      </c>
      <c r="C2912" s="102" t="s">
        <v>3636</v>
      </c>
      <c r="D2912" s="62" t="s">
        <v>2548</v>
      </c>
      <c r="E2912" s="102" t="s">
        <v>510</v>
      </c>
      <c r="F2912" s="102" t="s">
        <v>1871</v>
      </c>
      <c r="G2912" s="102" t="s">
        <v>4166</v>
      </c>
      <c r="H2912" s="175"/>
      <c r="I2912" s="85">
        <f>LOG(J2912)</f>
        <v>1.4471580313422192</v>
      </c>
      <c r="J2912" s="104">
        <f>AVERAGE(22.9, 30, 22.2, 36.9)</f>
        <v>28</v>
      </c>
      <c r="K2912" s="143"/>
      <c r="L2912" s="61">
        <v>261</v>
      </c>
    </row>
    <row r="2913" spans="1:18" ht="84" x14ac:dyDescent="0.15">
      <c r="A2913" s="165" t="s">
        <v>2481</v>
      </c>
      <c r="B2913" s="93" t="s">
        <v>599</v>
      </c>
      <c r="C2913" s="102" t="s">
        <v>3636</v>
      </c>
      <c r="D2913" s="62" t="s">
        <v>2548</v>
      </c>
      <c r="E2913" s="102" t="s">
        <v>510</v>
      </c>
      <c r="F2913" s="102" t="s">
        <v>1871</v>
      </c>
      <c r="G2913" s="102" t="s">
        <v>608</v>
      </c>
      <c r="H2913" s="175"/>
      <c r="I2913" s="85">
        <f>LOG(J2913)</f>
        <v>1.8846537846545233</v>
      </c>
      <c r="J2913" s="104">
        <f>AVERAGE(52.2, 101.1, 66.3, 87.1)</f>
        <v>76.675000000000011</v>
      </c>
      <c r="K2913" s="144"/>
      <c r="L2913" s="61">
        <v>261</v>
      </c>
    </row>
    <row r="2914" spans="1:18" ht="28" x14ac:dyDescent="0.15">
      <c r="A2914" s="165" t="s">
        <v>2481</v>
      </c>
      <c r="B2914" s="93" t="s">
        <v>1994</v>
      </c>
      <c r="C2914" s="102" t="s">
        <v>3636</v>
      </c>
      <c r="D2914" s="62" t="s">
        <v>2548</v>
      </c>
      <c r="E2914" s="102" t="s">
        <v>510</v>
      </c>
      <c r="F2914" s="102" t="s">
        <v>1995</v>
      </c>
      <c r="G2914" s="102" t="s">
        <v>1996</v>
      </c>
      <c r="H2914" s="175"/>
      <c r="I2914" s="85">
        <f>LOG(J2914)</f>
        <v>1.3149200559924199</v>
      </c>
      <c r="J2914" s="104">
        <v>20.65</v>
      </c>
      <c r="K2914" s="143"/>
      <c r="L2914" s="61">
        <v>153</v>
      </c>
      <c r="Q2914" s="14"/>
      <c r="R2914" s="14"/>
    </row>
    <row r="2915" spans="1:18" ht="28" x14ac:dyDescent="0.15">
      <c r="A2915" s="165" t="s">
        <v>2481</v>
      </c>
      <c r="B2915" s="93" t="s">
        <v>649</v>
      </c>
      <c r="C2915" s="102" t="s">
        <v>3636</v>
      </c>
      <c r="D2915" s="62" t="s">
        <v>2548</v>
      </c>
      <c r="E2915" s="102" t="s">
        <v>510</v>
      </c>
      <c r="F2915" s="102" t="s">
        <v>1887</v>
      </c>
      <c r="G2915" s="102" t="s">
        <v>4669</v>
      </c>
      <c r="H2915" s="175"/>
      <c r="I2915" s="103">
        <v>-999</v>
      </c>
      <c r="J2915" s="98">
        <v>-999</v>
      </c>
      <c r="K2915" s="141"/>
      <c r="L2915" s="61">
        <v>-999</v>
      </c>
    </row>
    <row r="2916" spans="1:18" ht="70" x14ac:dyDescent="0.15">
      <c r="A2916" s="165" t="s">
        <v>2481</v>
      </c>
      <c r="B2916" s="82" t="s">
        <v>4691</v>
      </c>
      <c r="C2916" s="107" t="s">
        <v>3636</v>
      </c>
      <c r="D2916" s="62" t="s">
        <v>2548</v>
      </c>
      <c r="E2916" s="107" t="s">
        <v>510</v>
      </c>
      <c r="F2916" s="107" t="s">
        <v>1887</v>
      </c>
      <c r="G2916" s="107" t="s">
        <v>4692</v>
      </c>
      <c r="H2916" s="179"/>
      <c r="I2916" s="85">
        <f t="shared" ref="I2916:I2923" si="114">LOG(J2916)</f>
        <v>1.2810333672477277</v>
      </c>
      <c r="J2916" s="104">
        <v>19.100000000000001</v>
      </c>
      <c r="K2916" s="143"/>
      <c r="L2916" s="61">
        <v>153</v>
      </c>
    </row>
    <row r="2917" spans="1:18" ht="42" x14ac:dyDescent="0.15">
      <c r="A2917" s="165" t="s">
        <v>2481</v>
      </c>
      <c r="B2917" s="93" t="s">
        <v>4686</v>
      </c>
      <c r="C2917" s="102" t="s">
        <v>3636</v>
      </c>
      <c r="D2917" s="62" t="s">
        <v>2548</v>
      </c>
      <c r="E2917" s="102" t="s">
        <v>510</v>
      </c>
      <c r="F2917" s="102" t="s">
        <v>1887</v>
      </c>
      <c r="G2917" s="102" t="s">
        <v>866</v>
      </c>
      <c r="H2917" s="175"/>
      <c r="I2917" s="85">
        <f t="shared" si="114"/>
        <v>1.3809344633307019</v>
      </c>
      <c r="J2917" s="104">
        <v>24.04</v>
      </c>
      <c r="K2917" s="143"/>
      <c r="L2917" s="61">
        <v>153</v>
      </c>
    </row>
    <row r="2918" spans="1:18" ht="28" x14ac:dyDescent="0.15">
      <c r="A2918" s="165" t="s">
        <v>2481</v>
      </c>
      <c r="B2918" s="93" t="s">
        <v>479</v>
      </c>
      <c r="C2918" s="102" t="s">
        <v>3636</v>
      </c>
      <c r="D2918" s="62" t="s">
        <v>2548</v>
      </c>
      <c r="E2918" s="102" t="s">
        <v>510</v>
      </c>
      <c r="F2918" s="102" t="s">
        <v>480</v>
      </c>
      <c r="G2918" s="102" t="s">
        <v>481</v>
      </c>
      <c r="H2918" s="175"/>
      <c r="I2918" s="85">
        <f t="shared" si="114"/>
        <v>0.97197127639975645</v>
      </c>
      <c r="J2918" s="104">
        <v>9.375</v>
      </c>
      <c r="K2918" s="144"/>
      <c r="L2918" s="61">
        <v>153</v>
      </c>
    </row>
    <row r="2919" spans="1:18" ht="42" x14ac:dyDescent="0.15">
      <c r="A2919" s="165" t="s">
        <v>2481</v>
      </c>
      <c r="B2919" s="93" t="s">
        <v>2644</v>
      </c>
      <c r="C2919" s="102" t="s">
        <v>3636</v>
      </c>
      <c r="D2919" s="62" t="s">
        <v>2548</v>
      </c>
      <c r="E2919" s="102" t="s">
        <v>510</v>
      </c>
      <c r="F2919" s="102" t="s">
        <v>480</v>
      </c>
      <c r="G2919" s="102" t="s">
        <v>5420</v>
      </c>
      <c r="H2919" s="175"/>
      <c r="I2919" s="85">
        <f t="shared" si="114"/>
        <v>1.4144162029529022</v>
      </c>
      <c r="J2919" s="104">
        <f>AVERAGE(26.8, 24.2, 26.9)</f>
        <v>25.966666666666669</v>
      </c>
      <c r="K2919" s="144"/>
      <c r="L2919" s="61">
        <v>261</v>
      </c>
    </row>
    <row r="2920" spans="1:18" ht="42" x14ac:dyDescent="0.15">
      <c r="A2920" s="165" t="s">
        <v>2481</v>
      </c>
      <c r="B2920" s="93" t="s">
        <v>2796</v>
      </c>
      <c r="C2920" s="102" t="s">
        <v>3636</v>
      </c>
      <c r="D2920" s="62" t="s">
        <v>2548</v>
      </c>
      <c r="E2920" s="102" t="s">
        <v>510</v>
      </c>
      <c r="F2920" s="102" t="s">
        <v>650</v>
      </c>
      <c r="G2920" s="102" t="s">
        <v>477</v>
      </c>
      <c r="H2920" s="175"/>
      <c r="I2920" s="85">
        <f t="shared" si="114"/>
        <v>1.5759571887637611</v>
      </c>
      <c r="J2920" s="104">
        <v>37.666666666666998</v>
      </c>
      <c r="K2920" s="144"/>
      <c r="L2920" s="61">
        <v>153</v>
      </c>
    </row>
    <row r="2921" spans="1:18" ht="42" x14ac:dyDescent="0.15">
      <c r="A2921" s="165" t="s">
        <v>2481</v>
      </c>
      <c r="B2921" s="93" t="s">
        <v>717</v>
      </c>
      <c r="C2921" s="102" t="s">
        <v>3636</v>
      </c>
      <c r="D2921" s="62" t="s">
        <v>2548</v>
      </c>
      <c r="E2921" s="102" t="s">
        <v>510</v>
      </c>
      <c r="F2921" s="102" t="s">
        <v>566</v>
      </c>
      <c r="G2921" s="102" t="s">
        <v>565</v>
      </c>
      <c r="H2921" s="175"/>
      <c r="I2921" s="85">
        <f t="shared" si="114"/>
        <v>1.2278867046136737</v>
      </c>
      <c r="J2921" s="104">
        <f>AVERAGE(13.7, 18.5, 17.1, 18.3)</f>
        <v>16.900000000000002</v>
      </c>
      <c r="K2921" s="144"/>
      <c r="L2921" s="61">
        <v>261</v>
      </c>
    </row>
    <row r="2922" spans="1:18" ht="42" x14ac:dyDescent="0.15">
      <c r="A2922" s="165" t="s">
        <v>2481</v>
      </c>
      <c r="B2922" s="93" t="s">
        <v>4757</v>
      </c>
      <c r="C2922" s="102" t="s">
        <v>3636</v>
      </c>
      <c r="D2922" s="62" t="s">
        <v>2548</v>
      </c>
      <c r="E2922" s="102" t="s">
        <v>510</v>
      </c>
      <c r="F2922" s="102" t="s">
        <v>390</v>
      </c>
      <c r="G2922" s="102" t="s">
        <v>531</v>
      </c>
      <c r="H2922" s="175"/>
      <c r="I2922" s="85">
        <f t="shared" si="114"/>
        <v>1.5403294747908738</v>
      </c>
      <c r="J2922" s="104">
        <v>34.700000000000003</v>
      </c>
      <c r="K2922" s="144"/>
      <c r="L2922" s="62">
        <v>153</v>
      </c>
    </row>
    <row r="2923" spans="1:18" ht="56" x14ac:dyDescent="0.15">
      <c r="A2923" s="165" t="s">
        <v>2481</v>
      </c>
      <c r="B2923" s="93" t="s">
        <v>4469</v>
      </c>
      <c r="C2923" s="102" t="s">
        <v>3636</v>
      </c>
      <c r="D2923" s="62" t="s">
        <v>2548</v>
      </c>
      <c r="E2923" s="102" t="s">
        <v>510</v>
      </c>
      <c r="F2923" s="102" t="s">
        <v>2059</v>
      </c>
      <c r="G2923" s="102" t="s">
        <v>5587</v>
      </c>
      <c r="H2923" s="175"/>
      <c r="I2923" s="85">
        <f t="shared" si="114"/>
        <v>2.215373152783422</v>
      </c>
      <c r="J2923" s="104">
        <f>AVERAGE(147, 174.1, 150.8, 184.9)</f>
        <v>164.20000000000002</v>
      </c>
      <c r="K2923" s="144"/>
      <c r="L2923" s="62">
        <v>261</v>
      </c>
    </row>
    <row r="2924" spans="1:18" ht="14" x14ac:dyDescent="0.15">
      <c r="A2924" s="165" t="s">
        <v>2481</v>
      </c>
      <c r="B2924" s="93" t="s">
        <v>648</v>
      </c>
      <c r="C2924" s="102" t="s">
        <v>3636</v>
      </c>
      <c r="D2924" s="61" t="s">
        <v>2548</v>
      </c>
      <c r="E2924" s="100" t="s">
        <v>5975</v>
      </c>
      <c r="F2924" s="100" t="s">
        <v>2061</v>
      </c>
      <c r="G2924" s="100" t="s">
        <v>476</v>
      </c>
      <c r="H2924" s="177"/>
      <c r="I2924" s="103">
        <v>-999</v>
      </c>
      <c r="J2924" s="103">
        <v>-999</v>
      </c>
      <c r="K2924" s="141"/>
      <c r="L2924" s="61">
        <v>-999</v>
      </c>
    </row>
    <row r="2925" spans="1:18" ht="28" x14ac:dyDescent="0.15">
      <c r="A2925" s="165" t="s">
        <v>2481</v>
      </c>
      <c r="B2925" s="93" t="s">
        <v>4336</v>
      </c>
      <c r="C2925" s="100" t="s">
        <v>3636</v>
      </c>
      <c r="D2925" s="61" t="s">
        <v>2548</v>
      </c>
      <c r="E2925" s="100" t="s">
        <v>5975</v>
      </c>
      <c r="F2925" s="100" t="s">
        <v>2061</v>
      </c>
      <c r="G2925" s="100" t="s">
        <v>6978</v>
      </c>
      <c r="H2925" s="177"/>
      <c r="I2925" s="103">
        <v>-999</v>
      </c>
      <c r="J2925" s="103">
        <v>-999</v>
      </c>
      <c r="K2925" s="141"/>
      <c r="L2925" s="61">
        <v>-999</v>
      </c>
    </row>
    <row r="2926" spans="1:18" ht="28" x14ac:dyDescent="0.15">
      <c r="A2926" s="165" t="s">
        <v>2481</v>
      </c>
      <c r="B2926" s="93" t="s">
        <v>2060</v>
      </c>
      <c r="C2926" s="102" t="s">
        <v>3636</v>
      </c>
      <c r="D2926" s="62" t="s">
        <v>2548</v>
      </c>
      <c r="E2926" s="102" t="s">
        <v>5975</v>
      </c>
      <c r="F2926" s="102" t="s">
        <v>2061</v>
      </c>
      <c r="G2926" s="102" t="s">
        <v>6242</v>
      </c>
      <c r="H2926" s="175"/>
      <c r="I2926" s="85">
        <f t="shared" ref="I2926:I2932" si="115">LOG(J2926)</f>
        <v>2.5910646070264991</v>
      </c>
      <c r="J2926" s="104">
        <v>390</v>
      </c>
      <c r="K2926" s="143"/>
      <c r="L2926" s="61">
        <v>153</v>
      </c>
    </row>
    <row r="2927" spans="1:18" ht="42" x14ac:dyDescent="0.15">
      <c r="A2927" s="165" t="s">
        <v>2481</v>
      </c>
      <c r="B2927" s="93" t="s">
        <v>646</v>
      </c>
      <c r="C2927" s="102" t="s">
        <v>3636</v>
      </c>
      <c r="D2927" s="62" t="s">
        <v>2548</v>
      </c>
      <c r="E2927" s="102" t="s">
        <v>5975</v>
      </c>
      <c r="F2927" s="102" t="s">
        <v>2061</v>
      </c>
      <c r="G2927" s="102" t="s">
        <v>647</v>
      </c>
      <c r="H2927" s="175"/>
      <c r="I2927" s="85">
        <f t="shared" si="115"/>
        <v>2.6724057590346821</v>
      </c>
      <c r="J2927" s="104">
        <v>470.33333333333002</v>
      </c>
      <c r="K2927" s="143"/>
      <c r="L2927" s="61">
        <v>153</v>
      </c>
    </row>
    <row r="2928" spans="1:18" ht="14" x14ac:dyDescent="0.15">
      <c r="A2928" s="165" t="s">
        <v>2481</v>
      </c>
      <c r="B2928" s="93" t="s">
        <v>5852</v>
      </c>
      <c r="C2928" s="102" t="s">
        <v>3636</v>
      </c>
      <c r="D2928" s="62" t="s">
        <v>2548</v>
      </c>
      <c r="E2928" s="102" t="s">
        <v>5975</v>
      </c>
      <c r="F2928" s="102" t="s">
        <v>2061</v>
      </c>
      <c r="G2928" s="102" t="s">
        <v>4653</v>
      </c>
      <c r="H2928" s="175"/>
      <c r="I2928" s="85">
        <f t="shared" si="115"/>
        <v>3.0314084642516241</v>
      </c>
      <c r="J2928" s="104">
        <v>1075</v>
      </c>
      <c r="K2928" s="144"/>
      <c r="L2928" s="62">
        <v>153</v>
      </c>
    </row>
    <row r="2929" spans="1:18" ht="28" x14ac:dyDescent="0.15">
      <c r="A2929" s="165" t="s">
        <v>2481</v>
      </c>
      <c r="B2929" s="93" t="s">
        <v>4747</v>
      </c>
      <c r="C2929" s="102" t="s">
        <v>3636</v>
      </c>
      <c r="D2929" s="62" t="s">
        <v>2548</v>
      </c>
      <c r="E2929" s="100" t="s">
        <v>5975</v>
      </c>
      <c r="F2929" s="102" t="s">
        <v>4748</v>
      </c>
      <c r="G2929" s="102" t="s">
        <v>5873</v>
      </c>
      <c r="H2929" s="175"/>
      <c r="I2929" s="85">
        <f t="shared" si="115"/>
        <v>1.1760912590556813</v>
      </c>
      <c r="J2929" s="104">
        <v>15</v>
      </c>
      <c r="K2929" s="143"/>
      <c r="L2929" s="61">
        <v>153</v>
      </c>
      <c r="Q2929" s="12"/>
      <c r="R2929" s="12"/>
    </row>
    <row r="2930" spans="1:18" ht="14" x14ac:dyDescent="0.15">
      <c r="A2930" s="165" t="s">
        <v>2481</v>
      </c>
      <c r="B2930" s="93" t="s">
        <v>4749</v>
      </c>
      <c r="C2930" s="102" t="s">
        <v>3636</v>
      </c>
      <c r="D2930" s="62" t="s">
        <v>2548</v>
      </c>
      <c r="E2930" s="100" t="s">
        <v>5975</v>
      </c>
      <c r="F2930" s="102" t="s">
        <v>4331</v>
      </c>
      <c r="G2930" s="102" t="s">
        <v>4332</v>
      </c>
      <c r="H2930" s="175"/>
      <c r="I2930" s="85">
        <f t="shared" si="115"/>
        <v>1.2082424384175929</v>
      </c>
      <c r="J2930" s="104">
        <v>16.1526</v>
      </c>
      <c r="K2930" s="143"/>
      <c r="L2930" s="61">
        <v>153</v>
      </c>
    </row>
    <row r="2931" spans="1:18" ht="14" x14ac:dyDescent="0.15">
      <c r="A2931" s="165" t="s">
        <v>2481</v>
      </c>
      <c r="B2931" s="93" t="s">
        <v>2078</v>
      </c>
      <c r="C2931" s="102" t="s">
        <v>3636</v>
      </c>
      <c r="D2931" s="62" t="s">
        <v>2548</v>
      </c>
      <c r="E2931" s="102" t="s">
        <v>5975</v>
      </c>
      <c r="F2931" s="102" t="s">
        <v>1437</v>
      </c>
      <c r="G2931" s="102" t="s">
        <v>1438</v>
      </c>
      <c r="H2931" s="175"/>
      <c r="I2931" s="85">
        <f t="shared" si="115"/>
        <v>2.7781512503836434</v>
      </c>
      <c r="J2931" s="104">
        <v>600</v>
      </c>
      <c r="K2931" s="143"/>
      <c r="L2931" s="61">
        <v>153</v>
      </c>
    </row>
    <row r="2932" spans="1:18" ht="42" x14ac:dyDescent="0.15">
      <c r="A2932" s="165" t="s">
        <v>2481</v>
      </c>
      <c r="B2932" s="93" t="s">
        <v>4737</v>
      </c>
      <c r="C2932" s="100" t="s">
        <v>3636</v>
      </c>
      <c r="D2932" s="61" t="s">
        <v>2548</v>
      </c>
      <c r="E2932" s="100" t="s">
        <v>5975</v>
      </c>
      <c r="F2932" s="100" t="s">
        <v>4738</v>
      </c>
      <c r="G2932" s="100" t="s">
        <v>4730</v>
      </c>
      <c r="H2932" s="177"/>
      <c r="I2932" s="85">
        <f t="shared" si="115"/>
        <v>1.0969100130080565</v>
      </c>
      <c r="J2932" s="101">
        <f>AVERAGE(10, 15)</f>
        <v>12.5</v>
      </c>
      <c r="K2932" s="143"/>
      <c r="L2932" s="61">
        <v>257</v>
      </c>
    </row>
    <row r="2933" spans="1:18" ht="14" x14ac:dyDescent="0.15">
      <c r="A2933" s="165" t="s">
        <v>2481</v>
      </c>
      <c r="B2933" s="93" t="s">
        <v>4739</v>
      </c>
      <c r="C2933" s="100" t="s">
        <v>3636</v>
      </c>
      <c r="D2933" s="61" t="s">
        <v>2548</v>
      </c>
      <c r="E2933" s="100" t="s">
        <v>5975</v>
      </c>
      <c r="F2933" s="100" t="s">
        <v>4740</v>
      </c>
      <c r="G2933" s="100" t="s">
        <v>5420</v>
      </c>
      <c r="H2933" s="177"/>
      <c r="I2933" s="103">
        <v>-999</v>
      </c>
      <c r="J2933" s="103">
        <v>-999</v>
      </c>
      <c r="K2933" s="141"/>
      <c r="L2933" s="61">
        <v>-999</v>
      </c>
    </row>
    <row r="2934" spans="1:18" ht="42" x14ac:dyDescent="0.15">
      <c r="A2934" s="165" t="s">
        <v>2481</v>
      </c>
      <c r="B2934" s="93" t="s">
        <v>4744</v>
      </c>
      <c r="C2934" s="102" t="s">
        <v>3636</v>
      </c>
      <c r="D2934" s="62" t="s">
        <v>2548</v>
      </c>
      <c r="E2934" s="100" t="s">
        <v>5975</v>
      </c>
      <c r="F2934" s="102" t="s">
        <v>4756</v>
      </c>
      <c r="G2934" s="102" t="s">
        <v>4597</v>
      </c>
      <c r="H2934" s="175"/>
      <c r="I2934" s="85">
        <f t="shared" ref="I2934:I2961" si="116">LOG(J2934)</f>
        <v>1.1958996524092338</v>
      </c>
      <c r="J2934" s="104">
        <v>15.7</v>
      </c>
      <c r="K2934" s="143"/>
      <c r="L2934" s="61">
        <v>257</v>
      </c>
    </row>
    <row r="2935" spans="1:18" ht="84" x14ac:dyDescent="0.15">
      <c r="A2935" s="165" t="s">
        <v>2481</v>
      </c>
      <c r="B2935" s="93" t="s">
        <v>1973</v>
      </c>
      <c r="C2935" s="102" t="s">
        <v>3636</v>
      </c>
      <c r="D2935" s="62" t="s">
        <v>2548</v>
      </c>
      <c r="E2935" s="102" t="s">
        <v>5975</v>
      </c>
      <c r="F2935" s="102" t="s">
        <v>1870</v>
      </c>
      <c r="G2935" s="102" t="s">
        <v>7271</v>
      </c>
      <c r="H2935" s="175"/>
      <c r="I2935" s="85">
        <f t="shared" si="116"/>
        <v>1.485011214578573</v>
      </c>
      <c r="J2935" s="104">
        <f>AVERAGE(21, 42, 29.5, 29.7)</f>
        <v>30.55</v>
      </c>
      <c r="K2935" s="143"/>
      <c r="L2935" s="61" t="s">
        <v>1752</v>
      </c>
    </row>
    <row r="2936" spans="1:18" ht="42" x14ac:dyDescent="0.15">
      <c r="A2936" s="165" t="s">
        <v>2481</v>
      </c>
      <c r="B2936" s="93" t="s">
        <v>501</v>
      </c>
      <c r="C2936" s="100" t="s">
        <v>3636</v>
      </c>
      <c r="D2936" s="61" t="s">
        <v>2548</v>
      </c>
      <c r="E2936" s="100" t="s">
        <v>5975</v>
      </c>
      <c r="F2936" s="100" t="s">
        <v>1870</v>
      </c>
      <c r="G2936" s="100" t="s">
        <v>502</v>
      </c>
      <c r="H2936" s="177"/>
      <c r="I2936" s="103">
        <f t="shared" si="116"/>
        <v>1.5615485721030893</v>
      </c>
      <c r="J2936" s="103">
        <f>AVERAGE(41.6, 42, 36.1, 36.4, 36.8, 38.3, 29.2, 31.1)</f>
        <v>36.4375</v>
      </c>
      <c r="K2936" s="141"/>
      <c r="L2936" s="61">
        <v>258</v>
      </c>
    </row>
    <row r="2937" spans="1:18" ht="56" x14ac:dyDescent="0.15">
      <c r="A2937" s="165" t="s">
        <v>2481</v>
      </c>
      <c r="B2937" s="93" t="s">
        <v>595</v>
      </c>
      <c r="C2937" s="102" t="s">
        <v>3636</v>
      </c>
      <c r="D2937" s="62" t="s">
        <v>2548</v>
      </c>
      <c r="E2937" s="102" t="s">
        <v>5975</v>
      </c>
      <c r="F2937" s="102" t="s">
        <v>1870</v>
      </c>
      <c r="G2937" s="102" t="s">
        <v>6106</v>
      </c>
      <c r="H2937" s="175"/>
      <c r="I2937" s="85">
        <f t="shared" si="116"/>
        <v>1.6401058356857277</v>
      </c>
      <c r="J2937" s="104">
        <v>43.662222222221999</v>
      </c>
      <c r="K2937" s="143"/>
      <c r="L2937" s="61">
        <v>153</v>
      </c>
    </row>
    <row r="2938" spans="1:18" ht="56" x14ac:dyDescent="0.15">
      <c r="A2938" s="165" t="s">
        <v>2481</v>
      </c>
      <c r="B2938" s="93" t="s">
        <v>929</v>
      </c>
      <c r="C2938" s="102" t="s">
        <v>3636</v>
      </c>
      <c r="D2938" s="62" t="s">
        <v>2548</v>
      </c>
      <c r="E2938" s="102" t="s">
        <v>5975</v>
      </c>
      <c r="F2938" s="102" t="s">
        <v>1870</v>
      </c>
      <c r="G2938" s="102" t="s">
        <v>6198</v>
      </c>
      <c r="H2938" s="175"/>
      <c r="I2938" s="85">
        <f t="shared" si="116"/>
        <v>1.7442929831226763</v>
      </c>
      <c r="J2938" s="104">
        <f>AVERAGE(41, 70)</f>
        <v>55.5</v>
      </c>
      <c r="K2938" s="144"/>
      <c r="L2938" s="61">
        <v>257</v>
      </c>
    </row>
    <row r="2939" spans="1:18" ht="42" x14ac:dyDescent="0.15">
      <c r="A2939" s="165" t="s">
        <v>2481</v>
      </c>
      <c r="B2939" s="93" t="s">
        <v>858</v>
      </c>
      <c r="C2939" s="102" t="s">
        <v>3636</v>
      </c>
      <c r="D2939" s="62" t="s">
        <v>2548</v>
      </c>
      <c r="E2939" s="102" t="s">
        <v>5975</v>
      </c>
      <c r="F2939" s="102" t="s">
        <v>1870</v>
      </c>
      <c r="G2939" s="102" t="s">
        <v>859</v>
      </c>
      <c r="H2939" s="175"/>
      <c r="I2939" s="85">
        <f t="shared" si="116"/>
        <v>1.7502511875699764</v>
      </c>
      <c r="J2939" s="104">
        <v>56.266666666667</v>
      </c>
      <c r="K2939" s="143"/>
      <c r="L2939" s="61">
        <v>153</v>
      </c>
    </row>
    <row r="2940" spans="1:18" ht="42" x14ac:dyDescent="0.15">
      <c r="A2940" s="165" t="s">
        <v>2481</v>
      </c>
      <c r="B2940" s="93" t="s">
        <v>785</v>
      </c>
      <c r="C2940" s="102" t="s">
        <v>3636</v>
      </c>
      <c r="D2940" s="62" t="s">
        <v>2548</v>
      </c>
      <c r="E2940" s="102" t="s">
        <v>5975</v>
      </c>
      <c r="F2940" s="102" t="s">
        <v>1509</v>
      </c>
      <c r="G2940" s="102" t="s">
        <v>2913</v>
      </c>
      <c r="H2940" s="175"/>
      <c r="I2940" s="85">
        <f t="shared" si="116"/>
        <v>1.8933455718182308</v>
      </c>
      <c r="J2940" s="104">
        <v>78.224999999999994</v>
      </c>
      <c r="K2940" s="143"/>
      <c r="L2940" s="61">
        <v>153</v>
      </c>
    </row>
    <row r="2941" spans="1:18" ht="14" x14ac:dyDescent="0.15">
      <c r="A2941" s="165" t="s">
        <v>2481</v>
      </c>
      <c r="B2941" s="93" t="s">
        <v>745</v>
      </c>
      <c r="C2941" s="102" t="s">
        <v>3636</v>
      </c>
      <c r="D2941" s="62" t="s">
        <v>2548</v>
      </c>
      <c r="E2941" s="102" t="s">
        <v>5975</v>
      </c>
      <c r="F2941" s="102" t="s">
        <v>1509</v>
      </c>
      <c r="G2941" s="102" t="s">
        <v>5570</v>
      </c>
      <c r="H2941" s="175"/>
      <c r="I2941" s="85">
        <f t="shared" si="116"/>
        <v>2.1746411926604483</v>
      </c>
      <c r="J2941" s="104">
        <v>149.5</v>
      </c>
      <c r="K2941" s="143"/>
      <c r="L2941" s="61">
        <v>153</v>
      </c>
    </row>
    <row r="2942" spans="1:18" ht="28" x14ac:dyDescent="0.15">
      <c r="A2942" s="165" t="s">
        <v>2481</v>
      </c>
      <c r="B2942" s="93" t="s">
        <v>746</v>
      </c>
      <c r="C2942" s="102" t="s">
        <v>3636</v>
      </c>
      <c r="D2942" s="62" t="s">
        <v>2548</v>
      </c>
      <c r="E2942" s="102" t="s">
        <v>5975</v>
      </c>
      <c r="F2942" s="102" t="s">
        <v>1509</v>
      </c>
      <c r="G2942" s="102" t="s">
        <v>747</v>
      </c>
      <c r="H2942" s="175"/>
      <c r="I2942" s="85">
        <f t="shared" si="116"/>
        <v>2.201436454869909</v>
      </c>
      <c r="J2942" s="104">
        <v>159.01439999999999</v>
      </c>
      <c r="K2942" s="143"/>
      <c r="L2942" s="61">
        <v>153</v>
      </c>
    </row>
    <row r="2943" spans="1:18" ht="14" x14ac:dyDescent="0.15">
      <c r="A2943" s="165" t="s">
        <v>2481</v>
      </c>
      <c r="B2943" s="93" t="s">
        <v>748</v>
      </c>
      <c r="C2943" s="100" t="s">
        <v>3636</v>
      </c>
      <c r="D2943" s="61" t="s">
        <v>2548</v>
      </c>
      <c r="E2943" s="100" t="s">
        <v>5975</v>
      </c>
      <c r="F2943" s="100" t="s">
        <v>1509</v>
      </c>
      <c r="G2943" s="100" t="s">
        <v>749</v>
      </c>
      <c r="H2943" s="177"/>
      <c r="I2943" s="85">
        <f t="shared" si="116"/>
        <v>2.275733540011041</v>
      </c>
      <c r="J2943" s="101">
        <v>188.68333333333001</v>
      </c>
      <c r="K2943" s="143"/>
      <c r="L2943" s="61">
        <v>153</v>
      </c>
    </row>
    <row r="2944" spans="1:18" ht="28" x14ac:dyDescent="0.15">
      <c r="A2944" s="165" t="s">
        <v>2481</v>
      </c>
      <c r="B2944" s="93" t="s">
        <v>845</v>
      </c>
      <c r="C2944" s="102" t="s">
        <v>3636</v>
      </c>
      <c r="D2944" s="62" t="s">
        <v>2548</v>
      </c>
      <c r="E2944" s="102" t="s">
        <v>5975</v>
      </c>
      <c r="F2944" s="102" t="s">
        <v>1509</v>
      </c>
      <c r="G2944" s="102" t="s">
        <v>846</v>
      </c>
      <c r="H2944" s="175"/>
      <c r="I2944" s="85">
        <f t="shared" si="116"/>
        <v>2.2911467617318855</v>
      </c>
      <c r="J2944" s="104">
        <v>195.5</v>
      </c>
      <c r="K2944" s="143"/>
      <c r="L2944" s="61">
        <v>153</v>
      </c>
    </row>
    <row r="2945" spans="1:12" ht="56" x14ac:dyDescent="0.15">
      <c r="A2945" s="165" t="s">
        <v>2481</v>
      </c>
      <c r="B2945" s="93" t="s">
        <v>927</v>
      </c>
      <c r="C2945" s="102" t="s">
        <v>3636</v>
      </c>
      <c r="D2945" s="62" t="s">
        <v>2548</v>
      </c>
      <c r="E2945" s="102" t="s">
        <v>5975</v>
      </c>
      <c r="F2945" s="102" t="s">
        <v>1509</v>
      </c>
      <c r="G2945" s="102" t="s">
        <v>2669</v>
      </c>
      <c r="H2945" s="175"/>
      <c r="I2945" s="85">
        <f t="shared" si="116"/>
        <v>2.3362595520141931</v>
      </c>
      <c r="J2945" s="104">
        <v>216.9</v>
      </c>
      <c r="K2945" s="143"/>
      <c r="L2945" s="61">
        <v>153</v>
      </c>
    </row>
    <row r="2946" spans="1:12" ht="28" x14ac:dyDescent="0.15">
      <c r="A2946" s="165" t="s">
        <v>2481</v>
      </c>
      <c r="B2946" s="93" t="s">
        <v>2657</v>
      </c>
      <c r="C2946" s="102" t="s">
        <v>3636</v>
      </c>
      <c r="D2946" s="62" t="s">
        <v>2548</v>
      </c>
      <c r="E2946" s="102" t="s">
        <v>5975</v>
      </c>
      <c r="F2946" s="102" t="s">
        <v>1509</v>
      </c>
      <c r="G2946" s="102" t="s">
        <v>2658</v>
      </c>
      <c r="H2946" s="175"/>
      <c r="I2946" s="85">
        <f t="shared" si="116"/>
        <v>2.3765769570565118</v>
      </c>
      <c r="J2946" s="104">
        <v>238</v>
      </c>
      <c r="K2946" s="143"/>
      <c r="L2946" s="61">
        <v>153</v>
      </c>
    </row>
    <row r="2947" spans="1:12" ht="28" x14ac:dyDescent="0.15">
      <c r="A2947" s="165" t="s">
        <v>2481</v>
      </c>
      <c r="B2947" s="93" t="s">
        <v>2659</v>
      </c>
      <c r="C2947" s="102" t="s">
        <v>3636</v>
      </c>
      <c r="D2947" s="62" t="s">
        <v>2548</v>
      </c>
      <c r="E2947" s="102" t="s">
        <v>5975</v>
      </c>
      <c r="F2947" s="102" t="s">
        <v>1509</v>
      </c>
      <c r="G2947" s="102" t="s">
        <v>2660</v>
      </c>
      <c r="H2947" s="175"/>
      <c r="I2947" s="85">
        <f t="shared" si="116"/>
        <v>2.3961993470957363</v>
      </c>
      <c r="J2947" s="104">
        <v>249</v>
      </c>
      <c r="K2947" s="143"/>
      <c r="L2947" s="61">
        <v>153</v>
      </c>
    </row>
    <row r="2948" spans="1:12" ht="56" x14ac:dyDescent="0.15">
      <c r="A2948" s="165" t="s">
        <v>2481</v>
      </c>
      <c r="B2948" s="93" t="s">
        <v>4392</v>
      </c>
      <c r="C2948" s="102" t="s">
        <v>3636</v>
      </c>
      <c r="D2948" s="62" t="s">
        <v>2548</v>
      </c>
      <c r="E2948" s="102" t="s">
        <v>5975</v>
      </c>
      <c r="F2948" s="102" t="s">
        <v>1509</v>
      </c>
      <c r="G2948" s="102" t="s">
        <v>4393</v>
      </c>
      <c r="H2948" s="175"/>
      <c r="I2948" s="85">
        <f t="shared" si="116"/>
        <v>2.4276483711869328</v>
      </c>
      <c r="J2948" s="104">
        <v>267.7</v>
      </c>
      <c r="K2948" s="143"/>
      <c r="L2948" s="61">
        <v>153</v>
      </c>
    </row>
    <row r="2949" spans="1:12" ht="84" x14ac:dyDescent="0.15">
      <c r="A2949" s="165" t="s">
        <v>2481</v>
      </c>
      <c r="B2949" s="93" t="s">
        <v>613</v>
      </c>
      <c r="C2949" s="102" t="s">
        <v>3636</v>
      </c>
      <c r="D2949" s="62" t="s">
        <v>2548</v>
      </c>
      <c r="E2949" s="102" t="s">
        <v>5975</v>
      </c>
      <c r="F2949" s="102" t="s">
        <v>1509</v>
      </c>
      <c r="G2949" s="102" t="s">
        <v>786</v>
      </c>
      <c r="H2949" s="175"/>
      <c r="I2949" s="85">
        <f t="shared" si="116"/>
        <v>2.5814220934656538</v>
      </c>
      <c r="J2949" s="104">
        <v>381.43636363636</v>
      </c>
      <c r="K2949" s="143"/>
      <c r="L2949" s="61">
        <v>153</v>
      </c>
    </row>
    <row r="2950" spans="1:12" ht="42" x14ac:dyDescent="0.15">
      <c r="A2950" s="165" t="s">
        <v>2481</v>
      </c>
      <c r="B2950" s="93" t="s">
        <v>4399</v>
      </c>
      <c r="C2950" s="102" t="s">
        <v>3636</v>
      </c>
      <c r="D2950" s="62" t="s">
        <v>2548</v>
      </c>
      <c r="E2950" s="102" t="s">
        <v>5975</v>
      </c>
      <c r="F2950" s="102" t="s">
        <v>4400</v>
      </c>
      <c r="G2950" s="102" t="s">
        <v>6223</v>
      </c>
      <c r="H2950" s="175"/>
      <c r="I2950" s="85">
        <f t="shared" si="116"/>
        <v>1.8920946026904804</v>
      </c>
      <c r="J2950" s="104">
        <v>78</v>
      </c>
      <c r="K2950" s="144"/>
      <c r="L2950" s="61">
        <v>153</v>
      </c>
    </row>
    <row r="2951" spans="1:12" ht="56" x14ac:dyDescent="0.15">
      <c r="A2951" s="165" t="s">
        <v>2481</v>
      </c>
      <c r="B2951" s="93" t="s">
        <v>4554</v>
      </c>
      <c r="C2951" s="102" t="s">
        <v>3636</v>
      </c>
      <c r="D2951" s="62" t="s">
        <v>2548</v>
      </c>
      <c r="E2951" s="102" t="s">
        <v>5975</v>
      </c>
      <c r="F2951" s="102" t="s">
        <v>4401</v>
      </c>
      <c r="G2951" s="102" t="s">
        <v>4402</v>
      </c>
      <c r="H2951" s="175"/>
      <c r="I2951" s="85">
        <f t="shared" si="116"/>
        <v>2.4036603357360535</v>
      </c>
      <c r="J2951" s="104">
        <v>253.31466666666</v>
      </c>
      <c r="K2951" s="144"/>
      <c r="L2951" s="61">
        <v>153</v>
      </c>
    </row>
    <row r="2952" spans="1:12" ht="14" x14ac:dyDescent="0.15">
      <c r="A2952" s="165" t="s">
        <v>2481</v>
      </c>
      <c r="B2952" s="93" t="s">
        <v>2480</v>
      </c>
      <c r="C2952" s="102" t="s">
        <v>3636</v>
      </c>
      <c r="D2952" s="62" t="s">
        <v>2548</v>
      </c>
      <c r="E2952" s="102" t="s">
        <v>5975</v>
      </c>
      <c r="F2952" s="102" t="s">
        <v>4401</v>
      </c>
      <c r="G2952" s="102" t="s">
        <v>2419</v>
      </c>
      <c r="H2952" s="175"/>
      <c r="I2952" s="85">
        <f t="shared" si="116"/>
        <v>2.4529358702011792</v>
      </c>
      <c r="J2952" s="104">
        <v>283.75</v>
      </c>
      <c r="K2952" s="144"/>
      <c r="L2952" s="62">
        <v>153</v>
      </c>
    </row>
    <row r="2953" spans="1:12" ht="98" x14ac:dyDescent="0.15">
      <c r="A2953" s="165" t="s">
        <v>2481</v>
      </c>
      <c r="B2953" s="93" t="s">
        <v>4830</v>
      </c>
      <c r="C2953" s="102" t="s">
        <v>3636</v>
      </c>
      <c r="D2953" s="62" t="s">
        <v>2548</v>
      </c>
      <c r="E2953" s="102" t="s">
        <v>5975</v>
      </c>
      <c r="F2953" s="102" t="s">
        <v>4831</v>
      </c>
      <c r="G2953" s="102" t="s">
        <v>4687</v>
      </c>
      <c r="H2953" s="175"/>
      <c r="I2953" s="85">
        <f t="shared" si="116"/>
        <v>1.7742735953204418</v>
      </c>
      <c r="J2953" s="104">
        <f>AVERAGE(44, 62.8, 69, 58, 72, 51)</f>
        <v>59.466666666666669</v>
      </c>
      <c r="K2953" s="144"/>
      <c r="L2953" s="61" t="s">
        <v>1753</v>
      </c>
    </row>
    <row r="2954" spans="1:12" ht="28" x14ac:dyDescent="0.15">
      <c r="A2954" s="165" t="s">
        <v>2481</v>
      </c>
      <c r="B2954" s="93" t="s">
        <v>1993</v>
      </c>
      <c r="C2954" s="102" t="s">
        <v>3636</v>
      </c>
      <c r="D2954" s="62" t="s">
        <v>2548</v>
      </c>
      <c r="E2954" s="102" t="s">
        <v>5975</v>
      </c>
      <c r="F2954" s="102" t="s">
        <v>4831</v>
      </c>
      <c r="G2954" s="102" t="s">
        <v>5644</v>
      </c>
      <c r="H2954" s="175"/>
      <c r="I2954" s="85">
        <f t="shared" si="116"/>
        <v>1.8618329976579449</v>
      </c>
      <c r="J2954" s="104">
        <v>72.75</v>
      </c>
      <c r="K2954" s="144"/>
      <c r="L2954" s="61">
        <v>153</v>
      </c>
    </row>
    <row r="2955" spans="1:12" ht="56" x14ac:dyDescent="0.15">
      <c r="A2955" s="165" t="s">
        <v>2481</v>
      </c>
      <c r="B2955" s="93" t="s">
        <v>4532</v>
      </c>
      <c r="C2955" s="102" t="s">
        <v>3636</v>
      </c>
      <c r="D2955" s="62" t="s">
        <v>2548</v>
      </c>
      <c r="E2955" s="102" t="s">
        <v>5975</v>
      </c>
      <c r="F2955" s="102" t="s">
        <v>4404</v>
      </c>
      <c r="G2955" s="102" t="s">
        <v>4389</v>
      </c>
      <c r="H2955" s="175"/>
      <c r="I2955" s="85">
        <f t="shared" si="116"/>
        <v>1.9618196077436636</v>
      </c>
      <c r="J2955" s="104">
        <v>91.584000000000003</v>
      </c>
      <c r="K2955" s="144"/>
      <c r="L2955" s="61">
        <v>153</v>
      </c>
    </row>
    <row r="2956" spans="1:12" ht="14" x14ac:dyDescent="0.15">
      <c r="A2956" s="165" t="s">
        <v>2481</v>
      </c>
      <c r="B2956" s="93" t="s">
        <v>5852</v>
      </c>
      <c r="C2956" s="100" t="s">
        <v>3636</v>
      </c>
      <c r="D2956" s="61" t="s">
        <v>2548</v>
      </c>
      <c r="E2956" s="100" t="s">
        <v>5975</v>
      </c>
      <c r="F2956" s="100" t="s">
        <v>615</v>
      </c>
      <c r="G2956" s="100" t="s">
        <v>2171</v>
      </c>
      <c r="H2956" s="177"/>
      <c r="I2956" s="85">
        <f t="shared" si="116"/>
        <v>1.2543063323312855</v>
      </c>
      <c r="J2956" s="101">
        <v>17.96</v>
      </c>
      <c r="K2956" s="144"/>
      <c r="L2956" s="61">
        <v>153</v>
      </c>
    </row>
    <row r="2957" spans="1:12" ht="14" x14ac:dyDescent="0.15">
      <c r="A2957" s="165" t="s">
        <v>2481</v>
      </c>
      <c r="B2957" s="93" t="s">
        <v>2428</v>
      </c>
      <c r="C2957" s="102" t="s">
        <v>3636</v>
      </c>
      <c r="D2957" s="62" t="s">
        <v>2548</v>
      </c>
      <c r="E2957" s="102" t="s">
        <v>5975</v>
      </c>
      <c r="F2957" s="102" t="s">
        <v>808</v>
      </c>
      <c r="G2957" s="102" t="s">
        <v>6242</v>
      </c>
      <c r="H2957" s="175"/>
      <c r="I2957" s="85">
        <f t="shared" si="116"/>
        <v>2.0170333392987803</v>
      </c>
      <c r="J2957" s="104">
        <v>104</v>
      </c>
      <c r="K2957" s="144"/>
      <c r="L2957" s="61">
        <v>153</v>
      </c>
    </row>
    <row r="2958" spans="1:12" ht="14" x14ac:dyDescent="0.15">
      <c r="A2958" s="165" t="s">
        <v>2481</v>
      </c>
      <c r="B2958" s="93" t="s">
        <v>5852</v>
      </c>
      <c r="C2958" s="102" t="s">
        <v>3636</v>
      </c>
      <c r="D2958" s="62" t="s">
        <v>2548</v>
      </c>
      <c r="E2958" s="102" t="s">
        <v>5975</v>
      </c>
      <c r="F2958" s="102" t="s">
        <v>808</v>
      </c>
      <c r="G2958" s="102" t="s">
        <v>5305</v>
      </c>
      <c r="H2958" s="175"/>
      <c r="I2958" s="85">
        <f t="shared" si="116"/>
        <v>2.0433622780211294</v>
      </c>
      <c r="J2958" s="104">
        <v>110.5</v>
      </c>
      <c r="K2958" s="144"/>
      <c r="L2958" s="61">
        <v>153</v>
      </c>
    </row>
    <row r="2959" spans="1:12" ht="42" x14ac:dyDescent="0.15">
      <c r="A2959" s="165" t="s">
        <v>2481</v>
      </c>
      <c r="B2959" s="93" t="s">
        <v>721</v>
      </c>
      <c r="C2959" s="102" t="s">
        <v>3636</v>
      </c>
      <c r="D2959" s="62" t="s">
        <v>2548</v>
      </c>
      <c r="E2959" s="102" t="s">
        <v>5975</v>
      </c>
      <c r="F2959" s="102" t="s">
        <v>722</v>
      </c>
      <c r="G2959" s="102" t="s">
        <v>723</v>
      </c>
      <c r="H2959" s="175"/>
      <c r="I2959" s="85">
        <f t="shared" si="116"/>
        <v>2.5251528270552819</v>
      </c>
      <c r="J2959" s="104">
        <v>335.08333333333002</v>
      </c>
      <c r="K2959" s="144"/>
      <c r="L2959" s="61">
        <v>153</v>
      </c>
    </row>
    <row r="2960" spans="1:12" ht="56" x14ac:dyDescent="0.15">
      <c r="A2960" s="165" t="s">
        <v>2481</v>
      </c>
      <c r="B2960" s="93" t="s">
        <v>2727</v>
      </c>
      <c r="C2960" s="102" t="s">
        <v>3636</v>
      </c>
      <c r="D2960" s="62" t="s">
        <v>2548</v>
      </c>
      <c r="E2960" s="100" t="s">
        <v>5975</v>
      </c>
      <c r="F2960" s="102" t="s">
        <v>1473</v>
      </c>
      <c r="G2960" s="102" t="s">
        <v>3989</v>
      </c>
      <c r="H2960" s="175"/>
      <c r="I2960" s="85">
        <f t="shared" si="116"/>
        <v>1.2405492482825997</v>
      </c>
      <c r="J2960" s="104">
        <f>AVERAGE(18, 17, 16, 18, 18)</f>
        <v>17.399999999999999</v>
      </c>
      <c r="K2960" s="144"/>
      <c r="L2960" s="61">
        <v>122</v>
      </c>
    </row>
    <row r="2961" spans="1:12" ht="28" x14ac:dyDescent="0.15">
      <c r="A2961" s="165" t="s">
        <v>2481</v>
      </c>
      <c r="B2961" s="93" t="s">
        <v>893</v>
      </c>
      <c r="C2961" s="102" t="s">
        <v>3636</v>
      </c>
      <c r="D2961" s="62" t="s">
        <v>2548</v>
      </c>
      <c r="E2961" s="100" t="s">
        <v>5975</v>
      </c>
      <c r="F2961" s="102" t="s">
        <v>1473</v>
      </c>
      <c r="G2961" s="102" t="s">
        <v>2794</v>
      </c>
      <c r="H2961" s="175"/>
      <c r="I2961" s="85">
        <f t="shared" si="116"/>
        <v>1.3450468246483485</v>
      </c>
      <c r="J2961" s="104">
        <v>22.133333333332999</v>
      </c>
      <c r="K2961" s="144"/>
      <c r="L2961" s="61">
        <v>153</v>
      </c>
    </row>
    <row r="2962" spans="1:12" ht="14" x14ac:dyDescent="0.15">
      <c r="A2962" s="165" t="s">
        <v>2481</v>
      </c>
      <c r="B2962" s="93" t="s">
        <v>2426</v>
      </c>
      <c r="C2962" s="102" t="s">
        <v>3636</v>
      </c>
      <c r="D2962" s="62" t="s">
        <v>2548</v>
      </c>
      <c r="E2962" s="100" t="s">
        <v>5975</v>
      </c>
      <c r="F2962" s="102" t="s">
        <v>2706</v>
      </c>
      <c r="G2962" s="102" t="s">
        <v>2621</v>
      </c>
      <c r="H2962" s="175"/>
      <c r="I2962" s="98">
        <v>-999</v>
      </c>
      <c r="J2962" s="98">
        <v>-999</v>
      </c>
      <c r="K2962" s="135"/>
      <c r="L2962" s="61">
        <v>-999</v>
      </c>
    </row>
    <row r="2963" spans="1:12" ht="28" x14ac:dyDescent="0.15">
      <c r="A2963" s="165" t="s">
        <v>2481</v>
      </c>
      <c r="B2963" s="93" t="s">
        <v>796</v>
      </c>
      <c r="C2963" s="102" t="s">
        <v>3636</v>
      </c>
      <c r="D2963" s="62" t="s">
        <v>2548</v>
      </c>
      <c r="E2963" s="100" t="s">
        <v>5975</v>
      </c>
      <c r="F2963" s="102" t="s">
        <v>2706</v>
      </c>
      <c r="G2963" s="102" t="s">
        <v>2802</v>
      </c>
      <c r="H2963" s="175"/>
      <c r="I2963" s="85">
        <f t="shared" ref="I2963:I2968" si="117">LOG(J2963)</f>
        <v>1.2671717284030137</v>
      </c>
      <c r="J2963" s="104">
        <v>18.5</v>
      </c>
      <c r="K2963" s="144"/>
      <c r="L2963" s="61">
        <v>153</v>
      </c>
    </row>
    <row r="2964" spans="1:12" ht="42" x14ac:dyDescent="0.15">
      <c r="A2964" s="165" t="s">
        <v>2481</v>
      </c>
      <c r="B2964" s="93" t="s">
        <v>2709</v>
      </c>
      <c r="C2964" s="102" t="s">
        <v>3636</v>
      </c>
      <c r="D2964" s="62" t="s">
        <v>2548</v>
      </c>
      <c r="E2964" s="102" t="s">
        <v>5975</v>
      </c>
      <c r="F2964" s="102" t="s">
        <v>2706</v>
      </c>
      <c r="G2964" s="102" t="s">
        <v>5622</v>
      </c>
      <c r="H2964" s="175"/>
      <c r="I2964" s="85">
        <f t="shared" si="117"/>
        <v>1.3921104650113196</v>
      </c>
      <c r="J2964" s="104">
        <v>24.666666666666998</v>
      </c>
      <c r="K2964" s="144"/>
      <c r="L2964" s="61">
        <v>153</v>
      </c>
    </row>
    <row r="2965" spans="1:12" ht="28" x14ac:dyDescent="0.15">
      <c r="A2965" s="165" t="s">
        <v>2481</v>
      </c>
      <c r="B2965" s="93" t="s">
        <v>2614</v>
      </c>
      <c r="C2965" s="102" t="s">
        <v>3636</v>
      </c>
      <c r="D2965" s="62" t="s">
        <v>2548</v>
      </c>
      <c r="E2965" s="100" t="s">
        <v>5975</v>
      </c>
      <c r="F2965" s="102" t="s">
        <v>2615</v>
      </c>
      <c r="G2965" s="102" t="s">
        <v>2616</v>
      </c>
      <c r="H2965" s="175"/>
      <c r="I2965" s="85">
        <f t="shared" si="117"/>
        <v>1.1947125141340975</v>
      </c>
      <c r="J2965" s="104">
        <v>15.657142857143</v>
      </c>
      <c r="K2965" s="144"/>
      <c r="L2965" s="61">
        <v>153</v>
      </c>
    </row>
    <row r="2966" spans="1:12" ht="28" x14ac:dyDescent="0.15">
      <c r="A2966" s="165" t="s">
        <v>2481</v>
      </c>
      <c r="B2966" s="93" t="s">
        <v>2617</v>
      </c>
      <c r="C2966" s="102" t="s">
        <v>3636</v>
      </c>
      <c r="D2966" s="62" t="s">
        <v>2548</v>
      </c>
      <c r="E2966" s="102" t="s">
        <v>5975</v>
      </c>
      <c r="F2966" s="102" t="s">
        <v>2618</v>
      </c>
      <c r="G2966" s="102" t="s">
        <v>2619</v>
      </c>
      <c r="H2966" s="175"/>
      <c r="I2966" s="85">
        <f t="shared" si="117"/>
        <v>1.4656787253038732</v>
      </c>
      <c r="J2966" s="104">
        <v>29.219899999999999</v>
      </c>
      <c r="K2966" s="144"/>
      <c r="L2966" s="61">
        <v>153</v>
      </c>
    </row>
    <row r="2967" spans="1:12" ht="14" x14ac:dyDescent="0.15">
      <c r="A2967" s="165" t="s">
        <v>2481</v>
      </c>
      <c r="B2967" s="93" t="s">
        <v>2520</v>
      </c>
      <c r="C2967" s="102" t="s">
        <v>3636</v>
      </c>
      <c r="D2967" s="62" t="s">
        <v>2548</v>
      </c>
      <c r="E2967" s="102" t="s">
        <v>5975</v>
      </c>
      <c r="F2967" s="102" t="s">
        <v>2618</v>
      </c>
      <c r="G2967" s="102" t="s">
        <v>2713</v>
      </c>
      <c r="H2967" s="175"/>
      <c r="I2967" s="85">
        <f t="shared" si="117"/>
        <v>1.5667320289862194</v>
      </c>
      <c r="J2967" s="104">
        <v>36.875</v>
      </c>
      <c r="K2967" s="144"/>
      <c r="L2967" s="61">
        <v>153</v>
      </c>
    </row>
    <row r="2968" spans="1:12" ht="84" x14ac:dyDescent="0.15">
      <c r="A2968" s="165" t="s">
        <v>2481</v>
      </c>
      <c r="B2968" s="93" t="s">
        <v>613</v>
      </c>
      <c r="C2968" s="102" t="s">
        <v>3636</v>
      </c>
      <c r="D2968" s="62" t="s">
        <v>2548</v>
      </c>
      <c r="E2968" s="102" t="s">
        <v>5975</v>
      </c>
      <c r="F2968" s="102" t="s">
        <v>2618</v>
      </c>
      <c r="G2968" s="102" t="s">
        <v>3353</v>
      </c>
      <c r="H2968" s="175"/>
      <c r="I2968" s="85">
        <f t="shared" si="117"/>
        <v>1.6905652211318316</v>
      </c>
      <c r="J2968" s="104">
        <v>49.041666666666998</v>
      </c>
      <c r="K2968" s="144"/>
      <c r="L2968" s="61">
        <v>153</v>
      </c>
    </row>
    <row r="2969" spans="1:12" ht="28" x14ac:dyDescent="0.15">
      <c r="A2969" s="165" t="s">
        <v>2481</v>
      </c>
      <c r="B2969" s="93" t="s">
        <v>4334</v>
      </c>
      <c r="C2969" s="102" t="s">
        <v>3636</v>
      </c>
      <c r="D2969" s="62" t="s">
        <v>2548</v>
      </c>
      <c r="E2969" s="100" t="s">
        <v>5975</v>
      </c>
      <c r="F2969" s="102" t="s">
        <v>2523</v>
      </c>
      <c r="G2969" s="102" t="s">
        <v>4888</v>
      </c>
      <c r="H2969" s="175"/>
      <c r="I2969" s="98">
        <v>-999</v>
      </c>
      <c r="J2969" s="98">
        <v>-999</v>
      </c>
      <c r="K2969" s="135"/>
      <c r="L2969" s="61">
        <v>-999</v>
      </c>
    </row>
    <row r="2970" spans="1:12" ht="42" x14ac:dyDescent="0.15">
      <c r="A2970" s="165" t="s">
        <v>2481</v>
      </c>
      <c r="B2970" s="93" t="s">
        <v>2522</v>
      </c>
      <c r="C2970" s="102" t="s">
        <v>3636</v>
      </c>
      <c r="D2970" s="62" t="s">
        <v>2548</v>
      </c>
      <c r="E2970" s="102" t="s">
        <v>5975</v>
      </c>
      <c r="F2970" s="102" t="s">
        <v>2523</v>
      </c>
      <c r="G2970" s="102" t="s">
        <v>2524</v>
      </c>
      <c r="H2970" s="175"/>
      <c r="I2970" s="85">
        <f>LOG(J2970)</f>
        <v>1.6255696582430463</v>
      </c>
      <c r="J2970" s="104">
        <v>42.225000000000001</v>
      </c>
      <c r="K2970" s="144"/>
      <c r="L2970" s="61">
        <v>153</v>
      </c>
    </row>
    <row r="2971" spans="1:12" ht="14" x14ac:dyDescent="0.15">
      <c r="A2971" s="165" t="s">
        <v>2481</v>
      </c>
      <c r="B2971" s="93" t="s">
        <v>1940</v>
      </c>
      <c r="C2971" s="102" t="s">
        <v>3636</v>
      </c>
      <c r="D2971" s="62" t="s">
        <v>2548</v>
      </c>
      <c r="E2971" s="100" t="s">
        <v>5975</v>
      </c>
      <c r="F2971" s="102" t="s">
        <v>4329</v>
      </c>
      <c r="G2971" s="102" t="s">
        <v>4330</v>
      </c>
      <c r="H2971" s="175"/>
      <c r="I2971" s="98">
        <v>-999</v>
      </c>
      <c r="J2971" s="98">
        <v>-999</v>
      </c>
      <c r="K2971" s="135"/>
      <c r="L2971" s="61">
        <v>-999</v>
      </c>
    </row>
    <row r="2972" spans="1:12" ht="42" x14ac:dyDescent="0.15">
      <c r="A2972" s="165" t="s">
        <v>2481</v>
      </c>
      <c r="B2972" s="93" t="s">
        <v>4338</v>
      </c>
      <c r="C2972" s="102" t="s">
        <v>3636</v>
      </c>
      <c r="D2972" s="62" t="s">
        <v>2548</v>
      </c>
      <c r="E2972" s="102" t="s">
        <v>5975</v>
      </c>
      <c r="F2972" s="102" t="s">
        <v>4339</v>
      </c>
      <c r="G2972" s="102" t="s">
        <v>4340</v>
      </c>
      <c r="H2972" s="175"/>
      <c r="I2972" s="85">
        <f>LOG(J2972)</f>
        <v>1.8138477542288542</v>
      </c>
      <c r="J2972" s="104">
        <v>65.14</v>
      </c>
      <c r="K2972" s="144"/>
      <c r="L2972" s="61">
        <v>153</v>
      </c>
    </row>
    <row r="2973" spans="1:12" ht="28" x14ac:dyDescent="0.15">
      <c r="A2973" s="165" t="s">
        <v>2481</v>
      </c>
      <c r="B2973" s="93" t="s">
        <v>4165</v>
      </c>
      <c r="C2973" s="102" t="s">
        <v>3636</v>
      </c>
      <c r="D2973" s="62" t="s">
        <v>2548</v>
      </c>
      <c r="E2973" s="100" t="s">
        <v>5975</v>
      </c>
      <c r="F2973" s="102" t="s">
        <v>1553</v>
      </c>
      <c r="G2973" s="102" t="s">
        <v>661</v>
      </c>
      <c r="H2973" s="175"/>
      <c r="I2973" s="98">
        <v>-999</v>
      </c>
      <c r="J2973" s="98">
        <v>-999</v>
      </c>
      <c r="K2973" s="135"/>
      <c r="L2973" s="61">
        <v>-999</v>
      </c>
    </row>
    <row r="2974" spans="1:12" ht="14" x14ac:dyDescent="0.15">
      <c r="A2974" s="165" t="s">
        <v>2481</v>
      </c>
      <c r="B2974" s="93" t="s">
        <v>2739</v>
      </c>
      <c r="C2974" s="102" t="s">
        <v>3636</v>
      </c>
      <c r="D2974" s="62" t="s">
        <v>2548</v>
      </c>
      <c r="E2974" s="100" t="s">
        <v>5975</v>
      </c>
      <c r="F2974" s="102" t="s">
        <v>1553</v>
      </c>
      <c r="G2974" s="102" t="s">
        <v>3695</v>
      </c>
      <c r="H2974" s="175"/>
      <c r="I2974" s="98">
        <v>-999</v>
      </c>
      <c r="J2974" s="98">
        <v>-999</v>
      </c>
      <c r="K2974" s="135"/>
      <c r="L2974" s="61">
        <v>-999</v>
      </c>
    </row>
    <row r="2975" spans="1:12" ht="28" x14ac:dyDescent="0.15">
      <c r="A2975" s="165" t="s">
        <v>2481</v>
      </c>
      <c r="B2975" s="93" t="s">
        <v>4159</v>
      </c>
      <c r="C2975" s="102" t="s">
        <v>3636</v>
      </c>
      <c r="D2975" s="62" t="s">
        <v>2548</v>
      </c>
      <c r="E2975" s="102" t="s">
        <v>5975</v>
      </c>
      <c r="F2975" s="102" t="s">
        <v>1553</v>
      </c>
      <c r="G2975" s="102" t="s">
        <v>6032</v>
      </c>
      <c r="H2975" s="175"/>
      <c r="I2975" s="85">
        <f t="shared" ref="I2975:I2994" si="118">LOG(J2975)</f>
        <v>1.4623979978989561</v>
      </c>
      <c r="J2975" s="104">
        <v>29</v>
      </c>
      <c r="K2975" s="144"/>
      <c r="L2975" s="61">
        <v>153</v>
      </c>
    </row>
    <row r="2976" spans="1:12" ht="56" x14ac:dyDescent="0.15">
      <c r="A2976" s="165" t="s">
        <v>2481</v>
      </c>
      <c r="B2976" s="93" t="s">
        <v>483</v>
      </c>
      <c r="C2976" s="102" t="s">
        <v>3636</v>
      </c>
      <c r="D2976" s="62" t="s">
        <v>2548</v>
      </c>
      <c r="E2976" s="102" t="s">
        <v>5975</v>
      </c>
      <c r="F2976" s="102" t="s">
        <v>1553</v>
      </c>
      <c r="G2976" s="102" t="s">
        <v>4122</v>
      </c>
      <c r="H2976" s="175"/>
      <c r="I2976" s="85">
        <f t="shared" si="118"/>
        <v>1.4753079139561942</v>
      </c>
      <c r="J2976" s="104">
        <v>29.875</v>
      </c>
      <c r="K2976" s="144"/>
      <c r="L2976" s="61">
        <v>153</v>
      </c>
    </row>
    <row r="2977" spans="1:12" ht="28" x14ac:dyDescent="0.15">
      <c r="A2977" s="165" t="s">
        <v>2481</v>
      </c>
      <c r="B2977" s="93" t="s">
        <v>4470</v>
      </c>
      <c r="C2977" s="102" t="s">
        <v>3636</v>
      </c>
      <c r="D2977" s="62" t="s">
        <v>2548</v>
      </c>
      <c r="E2977" s="102" t="s">
        <v>5975</v>
      </c>
      <c r="F2977" s="102" t="s">
        <v>1553</v>
      </c>
      <c r="G2977" s="102" t="s">
        <v>4333</v>
      </c>
      <c r="H2977" s="175"/>
      <c r="I2977" s="85">
        <f t="shared" si="118"/>
        <v>1.6020599913279623</v>
      </c>
      <c r="J2977" s="104">
        <v>40</v>
      </c>
      <c r="K2977" s="144"/>
      <c r="L2977" s="61">
        <v>153</v>
      </c>
    </row>
    <row r="2978" spans="1:12" ht="14" x14ac:dyDescent="0.15">
      <c r="A2978" s="165" t="s">
        <v>2481</v>
      </c>
      <c r="B2978" s="93" t="s">
        <v>2078</v>
      </c>
      <c r="C2978" s="102" t="s">
        <v>3636</v>
      </c>
      <c r="D2978" s="62" t="s">
        <v>2548</v>
      </c>
      <c r="E2978" s="102" t="s">
        <v>5975</v>
      </c>
      <c r="F2978" s="102" t="s">
        <v>1553</v>
      </c>
      <c r="G2978" s="102" t="s">
        <v>1544</v>
      </c>
      <c r="H2978" s="175"/>
      <c r="I2978" s="85">
        <f t="shared" si="118"/>
        <v>1.6242820958356683</v>
      </c>
      <c r="J2978" s="104">
        <v>42.1</v>
      </c>
      <c r="K2978" s="144"/>
      <c r="L2978" s="61">
        <v>153</v>
      </c>
    </row>
    <row r="2979" spans="1:12" ht="56" x14ac:dyDescent="0.15">
      <c r="A2979" s="165" t="s">
        <v>2481</v>
      </c>
      <c r="B2979" s="93" t="s">
        <v>4161</v>
      </c>
      <c r="C2979" s="102" t="s">
        <v>3636</v>
      </c>
      <c r="D2979" s="62" t="s">
        <v>2548</v>
      </c>
      <c r="E2979" s="102" t="s">
        <v>5975</v>
      </c>
      <c r="F2979" s="102" t="s">
        <v>1553</v>
      </c>
      <c r="G2979" s="102" t="s">
        <v>4162</v>
      </c>
      <c r="H2979" s="175"/>
      <c r="I2979" s="85">
        <f t="shared" si="118"/>
        <v>1.6480345748608709</v>
      </c>
      <c r="J2979" s="104">
        <v>44.466666666667003</v>
      </c>
      <c r="K2979" s="144"/>
      <c r="L2979" s="61">
        <v>153</v>
      </c>
    </row>
    <row r="2980" spans="1:12" ht="28" x14ac:dyDescent="0.15">
      <c r="A2980" s="165" t="s">
        <v>2481</v>
      </c>
      <c r="B2980" s="93" t="s">
        <v>4159</v>
      </c>
      <c r="C2980" s="102" t="s">
        <v>3636</v>
      </c>
      <c r="D2980" s="62" t="s">
        <v>2548</v>
      </c>
      <c r="E2980" s="102" t="s">
        <v>5975</v>
      </c>
      <c r="F2980" s="102" t="s">
        <v>1553</v>
      </c>
      <c r="G2980" s="102" t="s">
        <v>2204</v>
      </c>
      <c r="H2980" s="175"/>
      <c r="I2980" s="85">
        <f t="shared" si="118"/>
        <v>1.6812412373755872</v>
      </c>
      <c r="J2980" s="104">
        <v>48</v>
      </c>
      <c r="K2980" s="144"/>
      <c r="L2980" s="61">
        <v>153</v>
      </c>
    </row>
    <row r="2981" spans="1:12" ht="14" x14ac:dyDescent="0.15">
      <c r="A2981" s="165" t="s">
        <v>2481</v>
      </c>
      <c r="B2981" s="93" t="s">
        <v>1861</v>
      </c>
      <c r="C2981" s="102" t="s">
        <v>3636</v>
      </c>
      <c r="D2981" s="62" t="s">
        <v>2548</v>
      </c>
      <c r="E2981" s="102" t="s">
        <v>5975</v>
      </c>
      <c r="F2981" s="102" t="s">
        <v>1553</v>
      </c>
      <c r="G2981" s="102" t="s">
        <v>1862</v>
      </c>
      <c r="H2981" s="175"/>
      <c r="I2981" s="85">
        <f t="shared" si="118"/>
        <v>1.7185016888672742</v>
      </c>
      <c r="J2981" s="104">
        <v>52.3</v>
      </c>
      <c r="K2981" s="144"/>
      <c r="L2981" s="61">
        <v>153</v>
      </c>
    </row>
    <row r="2982" spans="1:12" ht="14" x14ac:dyDescent="0.15">
      <c r="A2982" s="165" t="s">
        <v>2481</v>
      </c>
      <c r="B2982" s="93" t="s">
        <v>1867</v>
      </c>
      <c r="C2982" s="102" t="s">
        <v>3636</v>
      </c>
      <c r="D2982" s="62" t="s">
        <v>2548</v>
      </c>
      <c r="E2982" s="102" t="s">
        <v>5975</v>
      </c>
      <c r="F2982" s="102" t="s">
        <v>1553</v>
      </c>
      <c r="G2982" s="102" t="s">
        <v>6023</v>
      </c>
      <c r="H2982" s="175"/>
      <c r="I2982" s="85">
        <f t="shared" si="118"/>
        <v>1.8293037728310249</v>
      </c>
      <c r="J2982" s="104">
        <v>67.5</v>
      </c>
      <c r="K2982" s="144"/>
      <c r="L2982" s="61">
        <v>153</v>
      </c>
    </row>
    <row r="2983" spans="1:12" ht="14" x14ac:dyDescent="0.15">
      <c r="A2983" s="165" t="s">
        <v>2481</v>
      </c>
      <c r="B2983" s="93" t="s">
        <v>1868</v>
      </c>
      <c r="C2983" s="102" t="s">
        <v>3636</v>
      </c>
      <c r="D2983" s="62" t="s">
        <v>2548</v>
      </c>
      <c r="E2983" s="102" t="s">
        <v>5975</v>
      </c>
      <c r="F2983" s="102" t="s">
        <v>1553</v>
      </c>
      <c r="G2983" s="102" t="s">
        <v>1869</v>
      </c>
      <c r="H2983" s="175"/>
      <c r="I2983" s="85">
        <f t="shared" si="118"/>
        <v>1.8772993414790093</v>
      </c>
      <c r="J2983" s="104">
        <v>75.387500000000003</v>
      </c>
      <c r="K2983" s="144"/>
      <c r="L2983" s="61">
        <v>153</v>
      </c>
    </row>
    <row r="2984" spans="1:12" ht="14" x14ac:dyDescent="0.15">
      <c r="A2984" s="165" t="s">
        <v>2481</v>
      </c>
      <c r="B2984" s="93" t="s">
        <v>2078</v>
      </c>
      <c r="C2984" s="102" t="s">
        <v>3636</v>
      </c>
      <c r="D2984" s="62" t="s">
        <v>2548</v>
      </c>
      <c r="E2984" s="102" t="s">
        <v>5975</v>
      </c>
      <c r="F2984" s="102" t="s">
        <v>1553</v>
      </c>
      <c r="G2984" s="102" t="s">
        <v>1554</v>
      </c>
      <c r="H2984" s="175"/>
      <c r="I2984" s="85">
        <f t="shared" si="118"/>
        <v>1.9256343401468479</v>
      </c>
      <c r="J2984" s="104">
        <v>84.262500000000003</v>
      </c>
      <c r="K2984" s="144"/>
      <c r="L2984" s="61">
        <v>153</v>
      </c>
    </row>
    <row r="2985" spans="1:12" ht="84" x14ac:dyDescent="0.15">
      <c r="A2985" s="165" t="s">
        <v>2481</v>
      </c>
      <c r="B2985" s="93" t="s">
        <v>823</v>
      </c>
      <c r="C2985" s="102" t="s">
        <v>3636</v>
      </c>
      <c r="D2985" s="62" t="s">
        <v>2548</v>
      </c>
      <c r="E2985" s="102" t="s">
        <v>5975</v>
      </c>
      <c r="F2985" s="102" t="s">
        <v>1553</v>
      </c>
      <c r="G2985" s="102" t="s">
        <v>5644</v>
      </c>
      <c r="H2985" s="175"/>
      <c r="I2985" s="85">
        <f t="shared" si="118"/>
        <v>2.0176696988941734</v>
      </c>
      <c r="J2985" s="104">
        <v>104.1525</v>
      </c>
      <c r="K2985" s="144"/>
      <c r="L2985" s="61">
        <v>153</v>
      </c>
    </row>
    <row r="2986" spans="1:12" ht="14" x14ac:dyDescent="0.15">
      <c r="A2986" s="165" t="s">
        <v>2481</v>
      </c>
      <c r="B2986" s="93" t="s">
        <v>2742</v>
      </c>
      <c r="C2986" s="102" t="s">
        <v>3636</v>
      </c>
      <c r="D2986" s="62" t="s">
        <v>2548</v>
      </c>
      <c r="E2986" s="100" t="s">
        <v>5975</v>
      </c>
      <c r="F2986" s="102" t="s">
        <v>2743</v>
      </c>
      <c r="G2986" s="102" t="s">
        <v>503</v>
      </c>
      <c r="H2986" s="175"/>
      <c r="I2986" s="85">
        <f t="shared" si="118"/>
        <v>1.2240148113728639</v>
      </c>
      <c r="J2986" s="104">
        <v>16.75</v>
      </c>
      <c r="K2986" s="144"/>
      <c r="L2986" s="61">
        <v>153</v>
      </c>
    </row>
    <row r="2987" spans="1:12" ht="14" x14ac:dyDescent="0.15">
      <c r="A2987" s="165" t="s">
        <v>2481</v>
      </c>
      <c r="B2987" s="93" t="s">
        <v>2078</v>
      </c>
      <c r="C2987" s="102" t="s">
        <v>3636</v>
      </c>
      <c r="D2987" s="62" t="s">
        <v>2548</v>
      </c>
      <c r="E2987" s="102" t="s">
        <v>5975</v>
      </c>
      <c r="F2987" s="102" t="s">
        <v>3077</v>
      </c>
      <c r="G2987" s="102" t="s">
        <v>4050</v>
      </c>
      <c r="H2987" s="175"/>
      <c r="I2987" s="85">
        <f t="shared" si="118"/>
        <v>1.3858048082220662</v>
      </c>
      <c r="J2987" s="104">
        <v>24.311111111111</v>
      </c>
      <c r="K2987" s="144"/>
      <c r="L2987" s="61">
        <v>153</v>
      </c>
    </row>
    <row r="2988" spans="1:12" ht="14" x14ac:dyDescent="0.15">
      <c r="A2988" s="165" t="s">
        <v>2481</v>
      </c>
      <c r="B2988" s="93" t="s">
        <v>2744</v>
      </c>
      <c r="C2988" s="102" t="s">
        <v>3636</v>
      </c>
      <c r="D2988" s="62" t="s">
        <v>2548</v>
      </c>
      <c r="E2988" s="102" t="s">
        <v>5975</v>
      </c>
      <c r="F2988" s="102" t="s">
        <v>2745</v>
      </c>
      <c r="G2988" s="102" t="s">
        <v>827</v>
      </c>
      <c r="H2988" s="175"/>
      <c r="I2988" s="85">
        <f t="shared" si="118"/>
        <v>1.5816842319562481</v>
      </c>
      <c r="J2988" s="104">
        <v>38.166666666666998</v>
      </c>
      <c r="K2988" s="144"/>
      <c r="L2988" s="61">
        <v>153</v>
      </c>
    </row>
    <row r="2989" spans="1:12" ht="14" x14ac:dyDescent="0.15">
      <c r="A2989" s="165" t="s">
        <v>2481</v>
      </c>
      <c r="B2989" s="93" t="s">
        <v>5852</v>
      </c>
      <c r="C2989" s="102" t="s">
        <v>3636</v>
      </c>
      <c r="D2989" s="62" t="s">
        <v>2548</v>
      </c>
      <c r="E2989" s="102" t="s">
        <v>5975</v>
      </c>
      <c r="F2989" s="102" t="s">
        <v>663</v>
      </c>
      <c r="G2989" s="102" t="s">
        <v>2913</v>
      </c>
      <c r="H2989" s="175"/>
      <c r="I2989" s="85">
        <f t="shared" si="118"/>
        <v>1.5593080109070125</v>
      </c>
      <c r="J2989" s="104">
        <f>AVERAGE(36, 36, 37, 36)</f>
        <v>36.25</v>
      </c>
      <c r="K2989" s="144"/>
      <c r="L2989" s="61">
        <v>122</v>
      </c>
    </row>
    <row r="2990" spans="1:12" ht="14" x14ac:dyDescent="0.15">
      <c r="A2990" s="165" t="s">
        <v>2481</v>
      </c>
      <c r="B2990" s="93" t="s">
        <v>5852</v>
      </c>
      <c r="C2990" s="102" t="s">
        <v>3636</v>
      </c>
      <c r="D2990" s="62" t="s">
        <v>2548</v>
      </c>
      <c r="E2990" s="102" t="s">
        <v>5975</v>
      </c>
      <c r="F2990" s="102" t="s">
        <v>663</v>
      </c>
      <c r="G2990" s="102" t="s">
        <v>1933</v>
      </c>
      <c r="H2990" s="175"/>
      <c r="I2990" s="85">
        <f t="shared" si="118"/>
        <v>1.8878984880968723</v>
      </c>
      <c r="J2990" s="104">
        <v>77.25</v>
      </c>
      <c r="K2990" s="144"/>
      <c r="L2990" s="61">
        <v>153</v>
      </c>
    </row>
    <row r="2991" spans="1:12" ht="14" x14ac:dyDescent="0.15">
      <c r="A2991" s="165" t="s">
        <v>2481</v>
      </c>
      <c r="B2991" s="93" t="s">
        <v>1934</v>
      </c>
      <c r="C2991" s="102" t="s">
        <v>3636</v>
      </c>
      <c r="D2991" s="62" t="s">
        <v>2548</v>
      </c>
      <c r="E2991" s="102" t="s">
        <v>5975</v>
      </c>
      <c r="F2991" s="102" t="s">
        <v>441</v>
      </c>
      <c r="G2991" s="102" t="s">
        <v>504</v>
      </c>
      <c r="H2991" s="175"/>
      <c r="I2991" s="85">
        <f t="shared" si="118"/>
        <v>2.3988077302032647</v>
      </c>
      <c r="J2991" s="104">
        <v>250.5</v>
      </c>
      <c r="K2991" s="144"/>
      <c r="L2991" s="61">
        <v>153</v>
      </c>
    </row>
    <row r="2992" spans="1:12" ht="28" x14ac:dyDescent="0.15">
      <c r="A2992" s="165" t="s">
        <v>2481</v>
      </c>
      <c r="B2992" s="93" t="s">
        <v>761</v>
      </c>
      <c r="C2992" s="102" t="s">
        <v>3636</v>
      </c>
      <c r="D2992" s="62" t="s">
        <v>2548</v>
      </c>
      <c r="E2992" s="102" t="s">
        <v>5975</v>
      </c>
      <c r="F2992" s="102" t="s">
        <v>441</v>
      </c>
      <c r="G2992" s="102" t="s">
        <v>759</v>
      </c>
      <c r="H2992" s="175"/>
      <c r="I2992" s="85">
        <f t="shared" si="118"/>
        <v>2.4471580313422194</v>
      </c>
      <c r="J2992" s="104">
        <v>280</v>
      </c>
      <c r="K2992" s="144"/>
      <c r="L2992" s="61">
        <v>153</v>
      </c>
    </row>
    <row r="2993" spans="1:12" ht="28" x14ac:dyDescent="0.15">
      <c r="A2993" s="165" t="s">
        <v>2481</v>
      </c>
      <c r="B2993" s="93" t="s">
        <v>760</v>
      </c>
      <c r="C2993" s="102" t="s">
        <v>3636</v>
      </c>
      <c r="D2993" s="62" t="s">
        <v>2548</v>
      </c>
      <c r="E2993" s="102" t="s">
        <v>5975</v>
      </c>
      <c r="F2993" s="102" t="s">
        <v>441</v>
      </c>
      <c r="G2993" s="102" t="s">
        <v>5668</v>
      </c>
      <c r="H2993" s="175"/>
      <c r="I2993" s="85">
        <f t="shared" si="118"/>
        <v>2.673941998634088</v>
      </c>
      <c r="J2993" s="104">
        <v>472</v>
      </c>
      <c r="K2993" s="144"/>
      <c r="L2993" s="61">
        <v>153</v>
      </c>
    </row>
    <row r="2994" spans="1:12" ht="28" x14ac:dyDescent="0.15">
      <c r="A2994" s="165" t="s">
        <v>2481</v>
      </c>
      <c r="B2994" s="93" t="s">
        <v>843</v>
      </c>
      <c r="C2994" s="102" t="s">
        <v>3636</v>
      </c>
      <c r="D2994" s="62" t="s">
        <v>2548</v>
      </c>
      <c r="E2994" s="102" t="s">
        <v>5975</v>
      </c>
      <c r="F2994" s="102" t="s">
        <v>441</v>
      </c>
      <c r="G2994" s="102" t="s">
        <v>844</v>
      </c>
      <c r="H2994" s="175"/>
      <c r="I2994" s="85">
        <f t="shared" si="118"/>
        <v>2.7484663515866954</v>
      </c>
      <c r="J2994" s="104">
        <v>560.35900000000004</v>
      </c>
      <c r="K2994" s="144"/>
      <c r="L2994" s="61">
        <v>153</v>
      </c>
    </row>
    <row r="2995" spans="1:12" ht="14" x14ac:dyDescent="0.15">
      <c r="A2995" s="165" t="s">
        <v>2481</v>
      </c>
      <c r="B2995" s="93" t="s">
        <v>809</v>
      </c>
      <c r="C2995" s="102" t="s">
        <v>3636</v>
      </c>
      <c r="D2995" s="62" t="s">
        <v>2548</v>
      </c>
      <c r="E2995" s="100" t="s">
        <v>5975</v>
      </c>
      <c r="F2995" s="102" t="s">
        <v>5976</v>
      </c>
      <c r="G2995" s="102" t="s">
        <v>5651</v>
      </c>
      <c r="H2995" s="175"/>
      <c r="I2995" s="98">
        <v>-999</v>
      </c>
      <c r="J2995" s="98">
        <v>-999</v>
      </c>
      <c r="K2995" s="135"/>
      <c r="L2995" s="61">
        <v>-999</v>
      </c>
    </row>
    <row r="2996" spans="1:12" ht="28" x14ac:dyDescent="0.15">
      <c r="A2996" s="165" t="s">
        <v>2481</v>
      </c>
      <c r="B2996" s="93" t="s">
        <v>4889</v>
      </c>
      <c r="C2996" s="102" t="s">
        <v>3636</v>
      </c>
      <c r="D2996" s="62" t="s">
        <v>2548</v>
      </c>
      <c r="E2996" s="100" t="s">
        <v>5975</v>
      </c>
      <c r="F2996" s="102" t="s">
        <v>5976</v>
      </c>
      <c r="G2996" s="102" t="s">
        <v>4327</v>
      </c>
      <c r="H2996" s="175"/>
      <c r="I2996" s="98">
        <v>-999</v>
      </c>
      <c r="J2996" s="98">
        <v>-999</v>
      </c>
      <c r="K2996" s="135"/>
      <c r="L2996" s="61">
        <v>-999</v>
      </c>
    </row>
    <row r="2997" spans="1:12" ht="14" x14ac:dyDescent="0.15">
      <c r="A2997" s="165" t="s">
        <v>2481</v>
      </c>
      <c r="B2997" s="93" t="s">
        <v>4328</v>
      </c>
      <c r="C2997" s="102" t="s">
        <v>3636</v>
      </c>
      <c r="D2997" s="62" t="s">
        <v>2548</v>
      </c>
      <c r="E2997" s="100" t="s">
        <v>5975</v>
      </c>
      <c r="F2997" s="102" t="s">
        <v>5976</v>
      </c>
      <c r="G2997" s="102" t="s">
        <v>7995</v>
      </c>
      <c r="H2997" s="175"/>
      <c r="I2997" s="98">
        <v>-999</v>
      </c>
      <c r="J2997" s="98">
        <v>-999</v>
      </c>
      <c r="K2997" s="135"/>
      <c r="L2997" s="61">
        <v>-999</v>
      </c>
    </row>
    <row r="2998" spans="1:12" ht="28" x14ac:dyDescent="0.15">
      <c r="A2998" s="165" t="s">
        <v>2481</v>
      </c>
      <c r="B2998" s="93" t="s">
        <v>656</v>
      </c>
      <c r="C2998" s="102" t="s">
        <v>3636</v>
      </c>
      <c r="D2998" s="62" t="s">
        <v>2548</v>
      </c>
      <c r="E2998" s="100" t="s">
        <v>5975</v>
      </c>
      <c r="F2998" s="102" t="s">
        <v>5976</v>
      </c>
      <c r="G2998" s="102" t="s">
        <v>3131</v>
      </c>
      <c r="H2998" s="175"/>
      <c r="I2998" s="98">
        <v>-999</v>
      </c>
      <c r="J2998" s="98">
        <v>-999</v>
      </c>
      <c r="K2998" s="135"/>
      <c r="L2998" s="61">
        <v>-999</v>
      </c>
    </row>
    <row r="2999" spans="1:12" ht="56" x14ac:dyDescent="0.15">
      <c r="A2999" s="165" t="s">
        <v>2481</v>
      </c>
      <c r="B2999" s="93" t="s">
        <v>657</v>
      </c>
      <c r="C2999" s="102" t="s">
        <v>3636</v>
      </c>
      <c r="D2999" s="62" t="s">
        <v>2548</v>
      </c>
      <c r="E2999" s="100" t="s">
        <v>5975</v>
      </c>
      <c r="F2999" s="102" t="s">
        <v>5976</v>
      </c>
      <c r="G2999" s="102" t="s">
        <v>4160</v>
      </c>
      <c r="H2999" s="175"/>
      <c r="I2999" s="98">
        <v>-999</v>
      </c>
      <c r="J2999" s="98">
        <v>-999</v>
      </c>
      <c r="K2999" s="135"/>
      <c r="L2999" s="61">
        <v>-999</v>
      </c>
    </row>
    <row r="3000" spans="1:12" ht="28" x14ac:dyDescent="0.15">
      <c r="A3000" s="165" t="s">
        <v>2481</v>
      </c>
      <c r="B3000" s="93" t="s">
        <v>4342</v>
      </c>
      <c r="C3000" s="102" t="s">
        <v>3636</v>
      </c>
      <c r="D3000" s="62" t="s">
        <v>2548</v>
      </c>
      <c r="E3000" s="100" t="s">
        <v>5975</v>
      </c>
      <c r="F3000" s="102" t="s">
        <v>5976</v>
      </c>
      <c r="G3000" s="102" t="s">
        <v>4343</v>
      </c>
      <c r="H3000" s="175"/>
      <c r="I3000" s="98">
        <v>-999</v>
      </c>
      <c r="J3000" s="98">
        <v>-999</v>
      </c>
      <c r="K3000" s="135"/>
      <c r="L3000" s="61">
        <v>-999</v>
      </c>
    </row>
    <row r="3001" spans="1:12" ht="14" x14ac:dyDescent="0.15">
      <c r="A3001" s="165" t="s">
        <v>2481</v>
      </c>
      <c r="B3001" s="93" t="s">
        <v>1956</v>
      </c>
      <c r="C3001" s="102" t="s">
        <v>3636</v>
      </c>
      <c r="D3001" s="62" t="s">
        <v>2548</v>
      </c>
      <c r="E3001" s="100" t="s">
        <v>5975</v>
      </c>
      <c r="F3001" s="102" t="s">
        <v>5976</v>
      </c>
      <c r="G3001" s="102" t="s">
        <v>1957</v>
      </c>
      <c r="H3001" s="175"/>
      <c r="I3001" s="98">
        <v>-999</v>
      </c>
      <c r="J3001" s="98">
        <v>-999</v>
      </c>
      <c r="K3001" s="135"/>
      <c r="L3001" s="61">
        <v>-999</v>
      </c>
    </row>
    <row r="3002" spans="1:12" ht="28" x14ac:dyDescent="0.15">
      <c r="A3002" s="165" t="s">
        <v>2481</v>
      </c>
      <c r="B3002" s="93" t="s">
        <v>4163</v>
      </c>
      <c r="C3002" s="102" t="s">
        <v>3636</v>
      </c>
      <c r="D3002" s="62" t="s">
        <v>2548</v>
      </c>
      <c r="E3002" s="100" t="s">
        <v>5975</v>
      </c>
      <c r="F3002" s="102" t="s">
        <v>5976</v>
      </c>
      <c r="G3002" s="102" t="s">
        <v>1863</v>
      </c>
      <c r="H3002" s="175"/>
      <c r="I3002" s="98">
        <v>-999</v>
      </c>
      <c r="J3002" s="98">
        <v>-999</v>
      </c>
      <c r="K3002" s="135"/>
      <c r="L3002" s="61">
        <v>-999</v>
      </c>
    </row>
    <row r="3003" spans="1:12" ht="28" x14ac:dyDescent="0.15">
      <c r="A3003" s="165" t="s">
        <v>2481</v>
      </c>
      <c r="B3003" s="93" t="s">
        <v>4455</v>
      </c>
      <c r="C3003" s="102" t="s">
        <v>3636</v>
      </c>
      <c r="D3003" s="62" t="s">
        <v>2548</v>
      </c>
      <c r="E3003" s="100" t="s">
        <v>5975</v>
      </c>
      <c r="F3003" s="102" t="s">
        <v>5976</v>
      </c>
      <c r="G3003" s="102" t="s">
        <v>2741</v>
      </c>
      <c r="H3003" s="175"/>
      <c r="I3003" s="98">
        <v>-999</v>
      </c>
      <c r="J3003" s="98">
        <v>-999</v>
      </c>
      <c r="K3003" s="135"/>
      <c r="L3003" s="61">
        <v>-999</v>
      </c>
    </row>
    <row r="3004" spans="1:12" ht="56" x14ac:dyDescent="0.15">
      <c r="A3004" s="165" t="s">
        <v>2481</v>
      </c>
      <c r="B3004" s="93" t="s">
        <v>490</v>
      </c>
      <c r="C3004" s="102" t="s">
        <v>3636</v>
      </c>
      <c r="D3004" s="62" t="s">
        <v>2548</v>
      </c>
      <c r="E3004" s="100" t="s">
        <v>5975</v>
      </c>
      <c r="F3004" s="102" t="s">
        <v>5976</v>
      </c>
      <c r="G3004" s="102" t="s">
        <v>4484</v>
      </c>
      <c r="H3004" s="175"/>
      <c r="I3004" s="98">
        <v>-999</v>
      </c>
      <c r="J3004" s="98">
        <v>-999</v>
      </c>
      <c r="K3004" s="135"/>
      <c r="L3004" s="61">
        <v>-999</v>
      </c>
    </row>
    <row r="3005" spans="1:12" ht="28" x14ac:dyDescent="0.15">
      <c r="A3005" s="165" t="s">
        <v>2481</v>
      </c>
      <c r="B3005" s="93" t="s">
        <v>1930</v>
      </c>
      <c r="C3005" s="102" t="s">
        <v>3636</v>
      </c>
      <c r="D3005" s="62" t="s">
        <v>2548</v>
      </c>
      <c r="E3005" s="100" t="s">
        <v>5975</v>
      </c>
      <c r="F3005" s="102" t="s">
        <v>5976</v>
      </c>
      <c r="G3005" s="102" t="s">
        <v>5559</v>
      </c>
      <c r="H3005" s="175"/>
      <c r="I3005" s="98">
        <v>-999</v>
      </c>
      <c r="J3005" s="98">
        <v>-999</v>
      </c>
      <c r="K3005" s="135"/>
      <c r="L3005" s="61">
        <v>-999</v>
      </c>
    </row>
    <row r="3006" spans="1:12" ht="14" x14ac:dyDescent="0.15">
      <c r="A3006" s="165" t="s">
        <v>2481</v>
      </c>
      <c r="B3006" s="93" t="s">
        <v>2751</v>
      </c>
      <c r="C3006" s="102" t="s">
        <v>3636</v>
      </c>
      <c r="D3006" s="62" t="s">
        <v>2548</v>
      </c>
      <c r="E3006" s="102" t="s">
        <v>5975</v>
      </c>
      <c r="F3006" s="102" t="s">
        <v>5976</v>
      </c>
      <c r="G3006" s="102" t="s">
        <v>2713</v>
      </c>
      <c r="H3006" s="175"/>
      <c r="I3006" s="85">
        <f t="shared" ref="I3006:I3037" si="119">LOG(J3006)</f>
        <v>2.0767423616812133</v>
      </c>
      <c r="J3006" s="104">
        <v>119.328</v>
      </c>
      <c r="K3006" s="144"/>
      <c r="L3006" s="61">
        <v>153</v>
      </c>
    </row>
    <row r="3007" spans="1:12" ht="14" x14ac:dyDescent="0.15">
      <c r="A3007" s="165" t="s">
        <v>2481</v>
      </c>
      <c r="B3007" s="93" t="s">
        <v>2662</v>
      </c>
      <c r="C3007" s="102" t="s">
        <v>3636</v>
      </c>
      <c r="D3007" s="62" t="s">
        <v>2548</v>
      </c>
      <c r="E3007" s="102" t="s">
        <v>5975</v>
      </c>
      <c r="F3007" s="102" t="s">
        <v>5976</v>
      </c>
      <c r="G3007" s="102" t="s">
        <v>3075</v>
      </c>
      <c r="H3007" s="175"/>
      <c r="I3007" s="85">
        <f t="shared" si="119"/>
        <v>2.1055101847699738</v>
      </c>
      <c r="J3007" s="104">
        <v>127.5</v>
      </c>
      <c r="K3007" s="144"/>
      <c r="L3007" s="61">
        <v>153</v>
      </c>
    </row>
    <row r="3008" spans="1:12" ht="14" x14ac:dyDescent="0.15">
      <c r="A3008" s="165" t="s">
        <v>2481</v>
      </c>
      <c r="B3008" s="93" t="s">
        <v>2663</v>
      </c>
      <c r="C3008" s="102" t="s">
        <v>3636</v>
      </c>
      <c r="D3008" s="62" t="s">
        <v>2548</v>
      </c>
      <c r="E3008" s="102" t="s">
        <v>5975</v>
      </c>
      <c r="F3008" s="102" t="s">
        <v>5976</v>
      </c>
      <c r="G3008" s="102" t="s">
        <v>7050</v>
      </c>
      <c r="H3008" s="175"/>
      <c r="I3008" s="85">
        <f t="shared" si="119"/>
        <v>2.1702617153949575</v>
      </c>
      <c r="J3008" s="104">
        <v>148</v>
      </c>
      <c r="K3008" s="144"/>
      <c r="L3008" s="61">
        <v>153</v>
      </c>
    </row>
    <row r="3009" spans="1:12" ht="14" x14ac:dyDescent="0.15">
      <c r="A3009" s="165" t="s">
        <v>2481</v>
      </c>
      <c r="B3009" s="93" t="s">
        <v>5852</v>
      </c>
      <c r="C3009" s="102" t="s">
        <v>3636</v>
      </c>
      <c r="D3009" s="62" t="s">
        <v>2548</v>
      </c>
      <c r="E3009" s="102" t="s">
        <v>5975</v>
      </c>
      <c r="F3009" s="102" t="s">
        <v>5976</v>
      </c>
      <c r="G3009" s="102" t="s">
        <v>5586</v>
      </c>
      <c r="H3009" s="175"/>
      <c r="I3009" s="85">
        <f t="shared" si="119"/>
        <v>2.2632809142966215</v>
      </c>
      <c r="J3009" s="104">
        <v>183.35</v>
      </c>
      <c r="K3009" s="144"/>
      <c r="L3009" s="61">
        <v>153</v>
      </c>
    </row>
    <row r="3010" spans="1:12" ht="14" x14ac:dyDescent="0.15">
      <c r="A3010" s="165" t="s">
        <v>2481</v>
      </c>
      <c r="B3010" s="93" t="s">
        <v>2666</v>
      </c>
      <c r="C3010" s="102" t="s">
        <v>3636</v>
      </c>
      <c r="D3010" s="62" t="s">
        <v>2548</v>
      </c>
      <c r="E3010" s="102" t="s">
        <v>5975</v>
      </c>
      <c r="F3010" s="102" t="s">
        <v>5976</v>
      </c>
      <c r="G3010" s="102" t="s">
        <v>2667</v>
      </c>
      <c r="H3010" s="175"/>
      <c r="I3010" s="85">
        <f t="shared" si="119"/>
        <v>2.3131287138451939</v>
      </c>
      <c r="J3010" s="104">
        <v>205.65</v>
      </c>
      <c r="K3010" s="144"/>
      <c r="L3010" s="61">
        <v>153</v>
      </c>
    </row>
    <row r="3011" spans="1:12" ht="14" x14ac:dyDescent="0.15">
      <c r="A3011" s="165" t="s">
        <v>2481</v>
      </c>
      <c r="B3011" s="93" t="s">
        <v>2668</v>
      </c>
      <c r="C3011" s="102" t="s">
        <v>3636</v>
      </c>
      <c r="D3011" s="62" t="s">
        <v>2548</v>
      </c>
      <c r="E3011" s="102" t="s">
        <v>5975</v>
      </c>
      <c r="F3011" s="102" t="s">
        <v>5976</v>
      </c>
      <c r="G3011" s="102" t="s">
        <v>7771</v>
      </c>
      <c r="H3011" s="175"/>
      <c r="I3011" s="85">
        <f t="shared" si="119"/>
        <v>2.3424226808222062</v>
      </c>
      <c r="J3011" s="104">
        <v>220</v>
      </c>
      <c r="K3011" s="144"/>
      <c r="L3011" s="61">
        <v>153</v>
      </c>
    </row>
    <row r="3012" spans="1:12" ht="28" x14ac:dyDescent="0.15">
      <c r="A3012" s="165" t="s">
        <v>2481</v>
      </c>
      <c r="B3012" s="93" t="s">
        <v>2661</v>
      </c>
      <c r="C3012" s="102" t="s">
        <v>3636</v>
      </c>
      <c r="D3012" s="62" t="s">
        <v>2548</v>
      </c>
      <c r="E3012" s="102" t="s">
        <v>5975</v>
      </c>
      <c r="F3012" s="102" t="s">
        <v>5976</v>
      </c>
      <c r="G3012" s="102" t="s">
        <v>2568</v>
      </c>
      <c r="H3012" s="175"/>
      <c r="I3012" s="85">
        <f t="shared" si="119"/>
        <v>2.3672254266858306</v>
      </c>
      <c r="J3012" s="104">
        <v>232.93</v>
      </c>
      <c r="K3012" s="144"/>
      <c r="L3012" s="61">
        <v>153</v>
      </c>
    </row>
    <row r="3013" spans="1:12" ht="70" x14ac:dyDescent="0.15">
      <c r="A3013" s="165" t="s">
        <v>2481</v>
      </c>
      <c r="B3013" s="93" t="s">
        <v>699</v>
      </c>
      <c r="C3013" s="102" t="s">
        <v>3636</v>
      </c>
      <c r="D3013" s="62" t="s">
        <v>2548</v>
      </c>
      <c r="E3013" s="102" t="s">
        <v>5975</v>
      </c>
      <c r="F3013" s="102" t="s">
        <v>5976</v>
      </c>
      <c r="G3013" s="102" t="s">
        <v>620</v>
      </c>
      <c r="H3013" s="175"/>
      <c r="I3013" s="85">
        <f t="shared" si="119"/>
        <v>2.3979400086720375</v>
      </c>
      <c r="J3013" s="104">
        <v>250</v>
      </c>
      <c r="K3013" s="144"/>
      <c r="L3013" s="61">
        <v>153</v>
      </c>
    </row>
    <row r="3014" spans="1:12" ht="42" x14ac:dyDescent="0.15">
      <c r="A3014" s="165" t="s">
        <v>2481</v>
      </c>
      <c r="B3014" s="93" t="s">
        <v>4555</v>
      </c>
      <c r="C3014" s="102" t="s">
        <v>3636</v>
      </c>
      <c r="D3014" s="62" t="s">
        <v>2548</v>
      </c>
      <c r="E3014" s="102" t="s">
        <v>5975</v>
      </c>
      <c r="F3014" s="102" t="s">
        <v>5976</v>
      </c>
      <c r="G3014" s="102" t="s">
        <v>4556</v>
      </c>
      <c r="H3014" s="175"/>
      <c r="I3014" s="85">
        <f t="shared" si="119"/>
        <v>2.3984608496082234</v>
      </c>
      <c r="J3014" s="104">
        <v>250.3</v>
      </c>
      <c r="K3014" s="144"/>
      <c r="L3014" s="61">
        <v>153</v>
      </c>
    </row>
    <row r="3015" spans="1:12" ht="28" x14ac:dyDescent="0.15">
      <c r="A3015" s="165" t="s">
        <v>2481</v>
      </c>
      <c r="B3015" s="93" t="s">
        <v>787</v>
      </c>
      <c r="C3015" s="102" t="s">
        <v>3636</v>
      </c>
      <c r="D3015" s="62" t="s">
        <v>2548</v>
      </c>
      <c r="E3015" s="102" t="s">
        <v>5975</v>
      </c>
      <c r="F3015" s="102" t="s">
        <v>5976</v>
      </c>
      <c r="G3015" s="102" t="s">
        <v>449</v>
      </c>
      <c r="H3015" s="175"/>
      <c r="I3015" s="85">
        <f t="shared" si="119"/>
        <v>2.4003661371010327</v>
      </c>
      <c r="J3015" s="104">
        <v>251.40049999999999</v>
      </c>
      <c r="K3015" s="144"/>
      <c r="L3015" s="61">
        <v>153</v>
      </c>
    </row>
    <row r="3016" spans="1:12" ht="42" x14ac:dyDescent="0.15">
      <c r="A3016" s="165" t="s">
        <v>2481</v>
      </c>
      <c r="B3016" s="93" t="s">
        <v>766</v>
      </c>
      <c r="C3016" s="102" t="s">
        <v>3636</v>
      </c>
      <c r="D3016" s="62" t="s">
        <v>2548</v>
      </c>
      <c r="E3016" s="102" t="s">
        <v>5975</v>
      </c>
      <c r="F3016" s="102" t="s">
        <v>5976</v>
      </c>
      <c r="G3016" s="102" t="s">
        <v>624</v>
      </c>
      <c r="H3016" s="175"/>
      <c r="I3016" s="85">
        <f t="shared" si="119"/>
        <v>2.4045486529523932</v>
      </c>
      <c r="J3016" s="104">
        <v>253.83333333332999</v>
      </c>
      <c r="K3016" s="144"/>
      <c r="L3016" s="61">
        <v>153</v>
      </c>
    </row>
    <row r="3017" spans="1:12" ht="14" x14ac:dyDescent="0.15">
      <c r="A3017" s="165" t="s">
        <v>2481</v>
      </c>
      <c r="B3017" s="93" t="s">
        <v>850</v>
      </c>
      <c r="C3017" s="102" t="s">
        <v>3636</v>
      </c>
      <c r="D3017" s="62" t="s">
        <v>2548</v>
      </c>
      <c r="E3017" s="102" t="s">
        <v>5975</v>
      </c>
      <c r="F3017" s="102" t="s">
        <v>5976</v>
      </c>
      <c r="G3017" s="102" t="s">
        <v>524</v>
      </c>
      <c r="H3017" s="175"/>
      <c r="I3017" s="85">
        <f t="shared" si="119"/>
        <v>2.4232458739368079</v>
      </c>
      <c r="J3017" s="104">
        <v>265</v>
      </c>
      <c r="K3017" s="144"/>
      <c r="L3017" s="61">
        <v>153</v>
      </c>
    </row>
    <row r="3018" spans="1:12" ht="70" x14ac:dyDescent="0.15">
      <c r="A3018" s="165" t="s">
        <v>2481</v>
      </c>
      <c r="B3018" s="93" t="s">
        <v>4251</v>
      </c>
      <c r="C3018" s="102" t="s">
        <v>3636</v>
      </c>
      <c r="D3018" s="62" t="s">
        <v>2548</v>
      </c>
      <c r="E3018" s="102" t="s">
        <v>5975</v>
      </c>
      <c r="F3018" s="102" t="s">
        <v>5976</v>
      </c>
      <c r="G3018" s="102" t="s">
        <v>2118</v>
      </c>
      <c r="H3018" s="175"/>
      <c r="I3018" s="85">
        <f t="shared" si="119"/>
        <v>2.4297522800024081</v>
      </c>
      <c r="J3018" s="104">
        <v>269</v>
      </c>
      <c r="K3018" s="144"/>
      <c r="L3018" s="61">
        <v>153</v>
      </c>
    </row>
    <row r="3019" spans="1:12" ht="42" x14ac:dyDescent="0.15">
      <c r="A3019" s="165" t="s">
        <v>2481</v>
      </c>
      <c r="B3019" s="93" t="s">
        <v>4409</v>
      </c>
      <c r="C3019" s="102" t="s">
        <v>3636</v>
      </c>
      <c r="D3019" s="62" t="s">
        <v>2548</v>
      </c>
      <c r="E3019" s="102" t="s">
        <v>5975</v>
      </c>
      <c r="F3019" s="102" t="s">
        <v>5976</v>
      </c>
      <c r="G3019" s="102" t="s">
        <v>4252</v>
      </c>
      <c r="H3019" s="175"/>
      <c r="I3019" s="85">
        <f t="shared" si="119"/>
        <v>2.476976465759527</v>
      </c>
      <c r="J3019" s="104">
        <v>299.89999999999998</v>
      </c>
      <c r="K3019" s="144"/>
      <c r="L3019" s="61">
        <v>153</v>
      </c>
    </row>
    <row r="3020" spans="1:12" ht="14" x14ac:dyDescent="0.15">
      <c r="A3020" s="165" t="s">
        <v>2481</v>
      </c>
      <c r="B3020" s="93" t="s">
        <v>1848</v>
      </c>
      <c r="C3020" s="102" t="s">
        <v>3636</v>
      </c>
      <c r="D3020" s="62" t="s">
        <v>2548</v>
      </c>
      <c r="E3020" s="102" t="s">
        <v>5975</v>
      </c>
      <c r="F3020" s="102" t="s">
        <v>5976</v>
      </c>
      <c r="G3020" s="102" t="s">
        <v>1849</v>
      </c>
      <c r="H3020" s="175"/>
      <c r="I3020" s="85">
        <f t="shared" si="119"/>
        <v>2.4842998393467859</v>
      </c>
      <c r="J3020" s="104">
        <v>305</v>
      </c>
      <c r="K3020" s="144"/>
      <c r="L3020" s="61">
        <v>153</v>
      </c>
    </row>
    <row r="3021" spans="1:12" ht="28" x14ac:dyDescent="0.15">
      <c r="A3021" s="165" t="s">
        <v>2481</v>
      </c>
      <c r="B3021" s="93" t="s">
        <v>4406</v>
      </c>
      <c r="C3021" s="102" t="s">
        <v>3636</v>
      </c>
      <c r="D3021" s="62" t="s">
        <v>2548</v>
      </c>
      <c r="E3021" s="102" t="s">
        <v>5975</v>
      </c>
      <c r="F3021" s="102" t="s">
        <v>5976</v>
      </c>
      <c r="G3021" s="102" t="s">
        <v>4407</v>
      </c>
      <c r="H3021" s="175"/>
      <c r="I3021" s="85">
        <f t="shared" si="119"/>
        <v>2.4913616938342726</v>
      </c>
      <c r="J3021" s="104">
        <v>310</v>
      </c>
      <c r="K3021" s="144"/>
      <c r="L3021" s="61">
        <v>153</v>
      </c>
    </row>
    <row r="3022" spans="1:12" ht="28" x14ac:dyDescent="0.15">
      <c r="A3022" s="165" t="s">
        <v>2481</v>
      </c>
      <c r="B3022" s="93" t="s">
        <v>693</v>
      </c>
      <c r="C3022" s="102" t="s">
        <v>3636</v>
      </c>
      <c r="D3022" s="62" t="s">
        <v>2548</v>
      </c>
      <c r="E3022" s="102" t="s">
        <v>5975</v>
      </c>
      <c r="F3022" s="102" t="s">
        <v>5976</v>
      </c>
      <c r="G3022" s="102" t="s">
        <v>4724</v>
      </c>
      <c r="H3022" s="175"/>
      <c r="I3022" s="85">
        <f t="shared" si="119"/>
        <v>2.5185139398778875</v>
      </c>
      <c r="J3022" s="104">
        <v>330</v>
      </c>
      <c r="K3022" s="144"/>
      <c r="L3022" s="61">
        <v>153</v>
      </c>
    </row>
    <row r="3023" spans="1:12" ht="28" x14ac:dyDescent="0.15">
      <c r="A3023" s="165" t="s">
        <v>2481</v>
      </c>
      <c r="B3023" s="93" t="s">
        <v>460</v>
      </c>
      <c r="C3023" s="102" t="s">
        <v>3636</v>
      </c>
      <c r="D3023" s="62" t="s">
        <v>2548</v>
      </c>
      <c r="E3023" s="102" t="s">
        <v>5975</v>
      </c>
      <c r="F3023" s="102" t="s">
        <v>5976</v>
      </c>
      <c r="G3023" s="102" t="s">
        <v>1920</v>
      </c>
      <c r="H3023" s="175"/>
      <c r="I3023" s="85">
        <f t="shared" si="119"/>
        <v>2.5314789170422549</v>
      </c>
      <c r="J3023" s="104">
        <v>340</v>
      </c>
      <c r="K3023" s="144"/>
      <c r="L3023" s="61">
        <v>153</v>
      </c>
    </row>
    <row r="3024" spans="1:12" ht="28" x14ac:dyDescent="0.15">
      <c r="A3024" s="165" t="s">
        <v>2481</v>
      </c>
      <c r="B3024" s="93" t="s">
        <v>4254</v>
      </c>
      <c r="C3024" s="102" t="s">
        <v>3636</v>
      </c>
      <c r="D3024" s="62" t="s">
        <v>2548</v>
      </c>
      <c r="E3024" s="102" t="s">
        <v>5975</v>
      </c>
      <c r="F3024" s="102" t="s">
        <v>5976</v>
      </c>
      <c r="G3024" s="102" t="s">
        <v>4255</v>
      </c>
      <c r="H3024" s="175"/>
      <c r="I3024" s="85">
        <f t="shared" si="119"/>
        <v>2.5352941200427703</v>
      </c>
      <c r="J3024" s="104">
        <v>343</v>
      </c>
      <c r="K3024" s="144"/>
      <c r="L3024" s="61">
        <v>153</v>
      </c>
    </row>
    <row r="3025" spans="1:12" ht="28" x14ac:dyDescent="0.15">
      <c r="A3025" s="165" t="s">
        <v>2481</v>
      </c>
      <c r="B3025" s="93" t="s">
        <v>780</v>
      </c>
      <c r="C3025" s="102" t="s">
        <v>3636</v>
      </c>
      <c r="D3025" s="62" t="s">
        <v>2548</v>
      </c>
      <c r="E3025" s="102" t="s">
        <v>5975</v>
      </c>
      <c r="F3025" s="102" t="s">
        <v>5976</v>
      </c>
      <c r="G3025" s="102" t="s">
        <v>3959</v>
      </c>
      <c r="H3025" s="175"/>
      <c r="I3025" s="85">
        <f t="shared" si="119"/>
        <v>2.5526682161121932</v>
      </c>
      <c r="J3025" s="104">
        <v>357</v>
      </c>
      <c r="K3025" s="144"/>
      <c r="L3025" s="61">
        <v>153</v>
      </c>
    </row>
    <row r="3026" spans="1:12" ht="14" x14ac:dyDescent="0.15">
      <c r="A3026" s="165" t="s">
        <v>2481</v>
      </c>
      <c r="B3026" s="93" t="s">
        <v>2480</v>
      </c>
      <c r="C3026" s="102" t="s">
        <v>3636</v>
      </c>
      <c r="D3026" s="62" t="s">
        <v>2548</v>
      </c>
      <c r="E3026" s="102" t="s">
        <v>5975</v>
      </c>
      <c r="F3026" s="102" t="s">
        <v>5976</v>
      </c>
      <c r="G3026" s="102" t="s">
        <v>2230</v>
      </c>
      <c r="H3026" s="175"/>
      <c r="I3026" s="85">
        <f t="shared" si="119"/>
        <v>2.5575072019056577</v>
      </c>
      <c r="J3026" s="104">
        <v>361</v>
      </c>
      <c r="K3026" s="144"/>
      <c r="L3026" s="61">
        <v>153</v>
      </c>
    </row>
    <row r="3027" spans="1:12" ht="14" x14ac:dyDescent="0.15">
      <c r="A3027" s="165" t="s">
        <v>2481</v>
      </c>
      <c r="B3027" s="93" t="s">
        <v>1261</v>
      </c>
      <c r="C3027" s="102" t="s">
        <v>3636</v>
      </c>
      <c r="D3027" s="62" t="s">
        <v>2548</v>
      </c>
      <c r="E3027" s="102" t="s">
        <v>5975</v>
      </c>
      <c r="F3027" s="102" t="s">
        <v>5976</v>
      </c>
      <c r="G3027" s="102" t="s">
        <v>2942</v>
      </c>
      <c r="H3027" s="175"/>
      <c r="I3027" s="85">
        <f t="shared" si="119"/>
        <v>2.5664374921950701</v>
      </c>
      <c r="J3027" s="61">
        <f>AVERAGE(319, 447, 333, 375)</f>
        <v>368.5</v>
      </c>
      <c r="K3027" s="144"/>
      <c r="L3027" s="61">
        <v>259</v>
      </c>
    </row>
    <row r="3028" spans="1:12" ht="28" x14ac:dyDescent="0.15">
      <c r="A3028" s="165" t="s">
        <v>2481</v>
      </c>
      <c r="B3028" s="93" t="s">
        <v>521</v>
      </c>
      <c r="C3028" s="102" t="s">
        <v>3636</v>
      </c>
      <c r="D3028" s="62" t="s">
        <v>2548</v>
      </c>
      <c r="E3028" s="102" t="s">
        <v>5975</v>
      </c>
      <c r="F3028" s="102" t="s">
        <v>5976</v>
      </c>
      <c r="G3028" s="102" t="s">
        <v>468</v>
      </c>
      <c r="H3028" s="175"/>
      <c r="I3028" s="85">
        <f t="shared" si="119"/>
        <v>2.6020599913279625</v>
      </c>
      <c r="J3028" s="104">
        <v>400</v>
      </c>
      <c r="K3028" s="144"/>
      <c r="L3028" s="61">
        <v>153</v>
      </c>
    </row>
    <row r="3029" spans="1:12" ht="14" x14ac:dyDescent="0.15">
      <c r="A3029" s="165" t="s">
        <v>2481</v>
      </c>
      <c r="B3029" s="93" t="s">
        <v>635</v>
      </c>
      <c r="C3029" s="102" t="s">
        <v>3636</v>
      </c>
      <c r="D3029" s="62" t="s">
        <v>2548</v>
      </c>
      <c r="E3029" s="102" t="s">
        <v>5975</v>
      </c>
      <c r="F3029" s="102" t="s">
        <v>5976</v>
      </c>
      <c r="G3029" s="102" t="s">
        <v>636</v>
      </c>
      <c r="H3029" s="175"/>
      <c r="I3029" s="85">
        <f t="shared" si="119"/>
        <v>2.621522471097391</v>
      </c>
      <c r="J3029" s="104">
        <v>418.33333333333002</v>
      </c>
      <c r="K3029" s="144"/>
      <c r="L3029" s="61">
        <v>153</v>
      </c>
    </row>
    <row r="3030" spans="1:12" ht="28" x14ac:dyDescent="0.15">
      <c r="A3030" s="165" t="s">
        <v>2481</v>
      </c>
      <c r="B3030" s="93" t="s">
        <v>522</v>
      </c>
      <c r="C3030" s="102" t="s">
        <v>3636</v>
      </c>
      <c r="D3030" s="62" t="s">
        <v>2548</v>
      </c>
      <c r="E3030" s="102" t="s">
        <v>5975</v>
      </c>
      <c r="F3030" s="102" t="s">
        <v>5976</v>
      </c>
      <c r="G3030" s="102" t="s">
        <v>523</v>
      </c>
      <c r="H3030" s="175"/>
      <c r="I3030" s="85">
        <f t="shared" si="119"/>
        <v>2.6294095991027189</v>
      </c>
      <c r="J3030" s="104">
        <v>426</v>
      </c>
      <c r="K3030" s="144"/>
      <c r="L3030" s="61">
        <v>153</v>
      </c>
    </row>
    <row r="3031" spans="1:12" ht="70" x14ac:dyDescent="0.15">
      <c r="A3031" s="165" t="s">
        <v>2481</v>
      </c>
      <c r="B3031" s="93" t="s">
        <v>807</v>
      </c>
      <c r="C3031" s="102" t="s">
        <v>3636</v>
      </c>
      <c r="D3031" s="62" t="s">
        <v>2548</v>
      </c>
      <c r="E3031" s="102" t="s">
        <v>5975</v>
      </c>
      <c r="F3031" s="102" t="s">
        <v>5976</v>
      </c>
      <c r="G3031" s="102" t="s">
        <v>2941</v>
      </c>
      <c r="H3031" s="175"/>
      <c r="I3031" s="85">
        <f t="shared" si="119"/>
        <v>2.6296643920005542</v>
      </c>
      <c r="J3031" s="104">
        <f>AVERAGE(330, 550, 325, 500)</f>
        <v>426.25</v>
      </c>
      <c r="K3031" s="144"/>
      <c r="L3031" s="61">
        <v>259</v>
      </c>
    </row>
    <row r="3032" spans="1:12" ht="42" x14ac:dyDescent="0.15">
      <c r="A3032" s="165" t="s">
        <v>2481</v>
      </c>
      <c r="B3032" s="93" t="s">
        <v>705</v>
      </c>
      <c r="C3032" s="102" t="s">
        <v>3636</v>
      </c>
      <c r="D3032" s="62" t="s">
        <v>2548</v>
      </c>
      <c r="E3032" s="102" t="s">
        <v>5975</v>
      </c>
      <c r="F3032" s="102" t="s">
        <v>5976</v>
      </c>
      <c r="G3032" s="102" t="s">
        <v>2707</v>
      </c>
      <c r="H3032" s="175"/>
      <c r="I3032" s="85">
        <f t="shared" si="119"/>
        <v>2.6384892569546374</v>
      </c>
      <c r="J3032" s="104">
        <v>435</v>
      </c>
      <c r="K3032" s="144"/>
      <c r="L3032" s="61">
        <v>153</v>
      </c>
    </row>
    <row r="3033" spans="1:12" ht="42" x14ac:dyDescent="0.15">
      <c r="A3033" s="165" t="s">
        <v>2481</v>
      </c>
      <c r="B3033" s="93" t="s">
        <v>2793</v>
      </c>
      <c r="C3033" s="102" t="s">
        <v>3636</v>
      </c>
      <c r="D3033" s="62" t="s">
        <v>2548</v>
      </c>
      <c r="E3033" s="102" t="s">
        <v>5975</v>
      </c>
      <c r="F3033" s="102" t="s">
        <v>5976</v>
      </c>
      <c r="G3033" s="102" t="s">
        <v>5250</v>
      </c>
      <c r="H3033" s="175"/>
      <c r="I3033" s="85">
        <f t="shared" si="119"/>
        <v>2.6565772913961139</v>
      </c>
      <c r="J3033" s="104">
        <v>453.5</v>
      </c>
      <c r="K3033" s="144"/>
      <c r="L3033" s="61">
        <v>153</v>
      </c>
    </row>
    <row r="3034" spans="1:12" ht="28" x14ac:dyDescent="0.15">
      <c r="A3034" s="165" t="s">
        <v>2481</v>
      </c>
      <c r="B3034" s="93" t="s">
        <v>2795</v>
      </c>
      <c r="C3034" s="102" t="s">
        <v>3636</v>
      </c>
      <c r="D3034" s="62" t="s">
        <v>2548</v>
      </c>
      <c r="E3034" s="102" t="s">
        <v>5975</v>
      </c>
      <c r="F3034" s="102" t="s">
        <v>5976</v>
      </c>
      <c r="G3034" s="102" t="s">
        <v>3656</v>
      </c>
      <c r="H3034" s="175"/>
      <c r="I3034" s="85">
        <f t="shared" si="119"/>
        <v>2.6592028774645313</v>
      </c>
      <c r="J3034" s="104">
        <v>456.25</v>
      </c>
      <c r="K3034" s="144"/>
      <c r="L3034" s="61">
        <v>153</v>
      </c>
    </row>
    <row r="3035" spans="1:12" ht="42" x14ac:dyDescent="0.15">
      <c r="A3035" s="165" t="s">
        <v>2481</v>
      </c>
      <c r="B3035" s="93" t="s">
        <v>703</v>
      </c>
      <c r="C3035" s="102" t="s">
        <v>3636</v>
      </c>
      <c r="D3035" s="62" t="s">
        <v>2548</v>
      </c>
      <c r="E3035" s="102" t="s">
        <v>5975</v>
      </c>
      <c r="F3035" s="102" t="s">
        <v>5976</v>
      </c>
      <c r="G3035" s="102" t="s">
        <v>1651</v>
      </c>
      <c r="H3035" s="175"/>
      <c r="I3035" s="85">
        <f t="shared" si="119"/>
        <v>2.6599162000698504</v>
      </c>
      <c r="J3035" s="104">
        <v>457</v>
      </c>
      <c r="K3035" s="144"/>
      <c r="L3035" s="61">
        <v>153</v>
      </c>
    </row>
    <row r="3036" spans="1:12" ht="28" x14ac:dyDescent="0.15">
      <c r="A3036" s="165" t="s">
        <v>2481</v>
      </c>
      <c r="B3036" s="93" t="s">
        <v>891</v>
      </c>
      <c r="C3036" s="102" t="s">
        <v>3636</v>
      </c>
      <c r="D3036" s="62" t="s">
        <v>2548</v>
      </c>
      <c r="E3036" s="102" t="s">
        <v>5975</v>
      </c>
      <c r="F3036" s="102" t="s">
        <v>5976</v>
      </c>
      <c r="G3036" s="102" t="s">
        <v>3346</v>
      </c>
      <c r="H3036" s="175"/>
      <c r="I3036" s="85">
        <f t="shared" si="119"/>
        <v>2.7032913781186614</v>
      </c>
      <c r="J3036" s="104">
        <v>505</v>
      </c>
      <c r="K3036" s="144"/>
      <c r="L3036" s="61">
        <v>153</v>
      </c>
    </row>
    <row r="3037" spans="1:12" ht="14" x14ac:dyDescent="0.15">
      <c r="A3037" s="165" t="s">
        <v>2481</v>
      </c>
      <c r="B3037" s="93" t="s">
        <v>2629</v>
      </c>
      <c r="C3037" s="102" t="s">
        <v>3636</v>
      </c>
      <c r="D3037" s="62" t="s">
        <v>2548</v>
      </c>
      <c r="E3037" s="102" t="s">
        <v>5975</v>
      </c>
      <c r="F3037" s="102" t="s">
        <v>5976</v>
      </c>
      <c r="G3037" s="102" t="s">
        <v>2630</v>
      </c>
      <c r="H3037" s="175"/>
      <c r="I3037" s="85">
        <f t="shared" si="119"/>
        <v>2.7222224639697301</v>
      </c>
      <c r="J3037" s="104">
        <v>527.5</v>
      </c>
      <c r="K3037" s="144"/>
      <c r="L3037" s="61">
        <v>153</v>
      </c>
    </row>
    <row r="3038" spans="1:12" ht="84" x14ac:dyDescent="0.15">
      <c r="A3038" s="165" t="s">
        <v>2481</v>
      </c>
      <c r="B3038" s="93" t="s">
        <v>706</v>
      </c>
      <c r="C3038" s="102" t="s">
        <v>3636</v>
      </c>
      <c r="D3038" s="62" t="s">
        <v>2548</v>
      </c>
      <c r="E3038" s="102" t="s">
        <v>5975</v>
      </c>
      <c r="F3038" s="102" t="s">
        <v>5976</v>
      </c>
      <c r="G3038" s="102" t="s">
        <v>5873</v>
      </c>
      <c r="H3038" s="175"/>
      <c r="I3038" s="85">
        <f t="shared" ref="I3038:I3061" si="120">LOG(J3038)</f>
        <v>2.7888751157754168</v>
      </c>
      <c r="J3038" s="109">
        <f>AVERAGE(530, 700)</f>
        <v>615</v>
      </c>
      <c r="K3038" s="144" t="s">
        <v>292</v>
      </c>
      <c r="L3038" s="61">
        <v>259</v>
      </c>
    </row>
    <row r="3039" spans="1:12" ht="14" x14ac:dyDescent="0.15">
      <c r="A3039" s="165" t="s">
        <v>2481</v>
      </c>
      <c r="B3039" s="93" t="s">
        <v>2714</v>
      </c>
      <c r="C3039" s="102" t="s">
        <v>3636</v>
      </c>
      <c r="D3039" s="62" t="s">
        <v>2548</v>
      </c>
      <c r="E3039" s="102" t="s">
        <v>5975</v>
      </c>
      <c r="F3039" s="102" t="s">
        <v>5976</v>
      </c>
      <c r="G3039" s="102" t="s">
        <v>2715</v>
      </c>
      <c r="H3039" s="175"/>
      <c r="I3039" s="85">
        <f t="shared" si="120"/>
        <v>2.8429211207599825</v>
      </c>
      <c r="J3039" s="104">
        <v>696.5</v>
      </c>
      <c r="K3039" s="144"/>
      <c r="L3039" s="61">
        <v>153</v>
      </c>
    </row>
    <row r="3040" spans="1:12" ht="42" x14ac:dyDescent="0.15">
      <c r="A3040" s="165" t="s">
        <v>2481</v>
      </c>
      <c r="B3040" s="93" t="s">
        <v>939</v>
      </c>
      <c r="C3040" s="102" t="s">
        <v>3636</v>
      </c>
      <c r="D3040" s="62" t="s">
        <v>2548</v>
      </c>
      <c r="E3040" s="102" t="s">
        <v>5975</v>
      </c>
      <c r="F3040" s="102" t="s">
        <v>5976</v>
      </c>
      <c r="G3040" s="102" t="s">
        <v>713</v>
      </c>
      <c r="H3040" s="175"/>
      <c r="I3040" s="85">
        <f t="shared" si="120"/>
        <v>2.8512583487190755</v>
      </c>
      <c r="J3040" s="104">
        <v>710</v>
      </c>
      <c r="K3040" s="144"/>
      <c r="L3040" s="61">
        <v>153</v>
      </c>
    </row>
    <row r="3041" spans="1:12" ht="14" x14ac:dyDescent="0.15">
      <c r="A3041" s="165" t="s">
        <v>2481</v>
      </c>
      <c r="B3041" s="93" t="s">
        <v>2520</v>
      </c>
      <c r="C3041" s="102" t="s">
        <v>3636</v>
      </c>
      <c r="D3041" s="62" t="s">
        <v>2548</v>
      </c>
      <c r="E3041" s="102" t="s">
        <v>5975</v>
      </c>
      <c r="F3041" s="102" t="s">
        <v>5976</v>
      </c>
      <c r="G3041" s="102" t="s">
        <v>714</v>
      </c>
      <c r="H3041" s="175"/>
      <c r="I3041" s="85">
        <f t="shared" si="120"/>
        <v>2.8600383898071935</v>
      </c>
      <c r="J3041" s="104">
        <v>724.5</v>
      </c>
      <c r="K3041" s="144"/>
      <c r="L3041" s="61">
        <v>153</v>
      </c>
    </row>
    <row r="3042" spans="1:12" ht="42" x14ac:dyDescent="0.15">
      <c r="A3042" s="165" t="s">
        <v>2481</v>
      </c>
      <c r="B3042" s="93" t="s">
        <v>806</v>
      </c>
      <c r="C3042" s="102" t="s">
        <v>3636</v>
      </c>
      <c r="D3042" s="62" t="s">
        <v>2548</v>
      </c>
      <c r="E3042" s="102" t="s">
        <v>5975</v>
      </c>
      <c r="F3042" s="102" t="s">
        <v>5976</v>
      </c>
      <c r="G3042" s="102" t="s">
        <v>3997</v>
      </c>
      <c r="H3042" s="175"/>
      <c r="I3042" s="85">
        <f t="shared" si="120"/>
        <v>2.8896937914441851</v>
      </c>
      <c r="J3042" s="104">
        <v>775.7</v>
      </c>
      <c r="K3042" s="144"/>
      <c r="L3042" s="61">
        <v>153</v>
      </c>
    </row>
    <row r="3043" spans="1:12" ht="56" x14ac:dyDescent="0.15">
      <c r="A3043" s="165" t="s">
        <v>2481</v>
      </c>
      <c r="B3043" s="93" t="s">
        <v>632</v>
      </c>
      <c r="C3043" s="102" t="s">
        <v>3636</v>
      </c>
      <c r="D3043" s="62" t="s">
        <v>2548</v>
      </c>
      <c r="E3043" s="102" t="s">
        <v>5975</v>
      </c>
      <c r="F3043" s="102" t="s">
        <v>5976</v>
      </c>
      <c r="G3043" s="102" t="s">
        <v>4074</v>
      </c>
      <c r="H3043" s="175"/>
      <c r="I3043" s="85">
        <f t="shared" si="120"/>
        <v>2.9053486389805219</v>
      </c>
      <c r="J3043" s="104">
        <v>804.17142857142005</v>
      </c>
      <c r="K3043" s="144"/>
      <c r="L3043" s="61">
        <v>153</v>
      </c>
    </row>
    <row r="3044" spans="1:12" ht="70" x14ac:dyDescent="0.15">
      <c r="A3044" s="165" t="s">
        <v>2481</v>
      </c>
      <c r="B3044" s="93" t="s">
        <v>736</v>
      </c>
      <c r="C3044" s="102" t="s">
        <v>3636</v>
      </c>
      <c r="D3044" s="62" t="s">
        <v>2548</v>
      </c>
      <c r="E3044" s="102" t="s">
        <v>5975</v>
      </c>
      <c r="F3044" s="102" t="s">
        <v>5976</v>
      </c>
      <c r="G3044" s="102" t="s">
        <v>719</v>
      </c>
      <c r="H3044" s="175"/>
      <c r="I3044" s="85">
        <f t="shared" si="120"/>
        <v>2.9203842421783577</v>
      </c>
      <c r="J3044" s="104">
        <f>AVERAGE(565, 1100)</f>
        <v>832.5</v>
      </c>
      <c r="K3044" s="144"/>
      <c r="L3044" s="62">
        <v>257</v>
      </c>
    </row>
    <row r="3045" spans="1:12" ht="56" x14ac:dyDescent="0.15">
      <c r="A3045" s="165" t="s">
        <v>2481</v>
      </c>
      <c r="B3045" s="93" t="s">
        <v>2717</v>
      </c>
      <c r="C3045" s="102" t="s">
        <v>3636</v>
      </c>
      <c r="D3045" s="62" t="s">
        <v>2548</v>
      </c>
      <c r="E3045" s="102" t="s">
        <v>5975</v>
      </c>
      <c r="F3045" s="102" t="s">
        <v>5976</v>
      </c>
      <c r="G3045" s="102" t="s">
        <v>2045</v>
      </c>
      <c r="H3045" s="175"/>
      <c r="I3045" s="85">
        <f t="shared" si="120"/>
        <v>2.9344984512435679</v>
      </c>
      <c r="J3045" s="104">
        <v>860</v>
      </c>
      <c r="K3045" s="144"/>
      <c r="L3045" s="62">
        <v>153</v>
      </c>
    </row>
    <row r="3046" spans="1:12" ht="56" x14ac:dyDescent="0.15">
      <c r="A3046" s="165" t="s">
        <v>2481</v>
      </c>
      <c r="B3046" s="93" t="s">
        <v>735</v>
      </c>
      <c r="C3046" s="102" t="s">
        <v>3636</v>
      </c>
      <c r="D3046" s="62" t="s">
        <v>2548</v>
      </c>
      <c r="E3046" s="102" t="s">
        <v>5975</v>
      </c>
      <c r="F3046" s="102" t="s">
        <v>5976</v>
      </c>
      <c r="G3046" s="102" t="s">
        <v>2775</v>
      </c>
      <c r="H3046" s="175"/>
      <c r="I3046" s="85">
        <f t="shared" si="120"/>
        <v>2.9853302244282851</v>
      </c>
      <c r="J3046" s="104">
        <v>966.78571428571001</v>
      </c>
      <c r="K3046" s="144"/>
      <c r="L3046" s="62">
        <v>153</v>
      </c>
    </row>
    <row r="3047" spans="1:12" ht="14" x14ac:dyDescent="0.15">
      <c r="A3047" s="165" t="s">
        <v>2481</v>
      </c>
      <c r="B3047" s="93" t="s">
        <v>2714</v>
      </c>
      <c r="C3047" s="102" t="s">
        <v>3636</v>
      </c>
      <c r="D3047" s="62" t="s">
        <v>2548</v>
      </c>
      <c r="E3047" s="102" t="s">
        <v>5975</v>
      </c>
      <c r="F3047" s="102" t="s">
        <v>2582</v>
      </c>
      <c r="G3047" s="102" t="s">
        <v>1931</v>
      </c>
      <c r="H3047" s="175"/>
      <c r="I3047" s="85">
        <f t="shared" si="120"/>
        <v>1.6444385894678386</v>
      </c>
      <c r="J3047" s="104">
        <v>44.1</v>
      </c>
      <c r="K3047" s="144"/>
      <c r="L3047" s="61">
        <v>153</v>
      </c>
    </row>
    <row r="3048" spans="1:12" ht="14" x14ac:dyDescent="0.15">
      <c r="A3048" s="165" t="s">
        <v>2481</v>
      </c>
      <c r="B3048" s="93" t="s">
        <v>660</v>
      </c>
      <c r="C3048" s="102" t="s">
        <v>3636</v>
      </c>
      <c r="D3048" s="62" t="s">
        <v>2548</v>
      </c>
      <c r="E3048" s="102" t="s">
        <v>5975</v>
      </c>
      <c r="F3048" s="102" t="s">
        <v>2582</v>
      </c>
      <c r="G3048" s="102" t="s">
        <v>6242</v>
      </c>
      <c r="H3048" s="175"/>
      <c r="I3048" s="85">
        <f t="shared" si="120"/>
        <v>1.7505083948513462</v>
      </c>
      <c r="J3048" s="104">
        <v>56.3</v>
      </c>
      <c r="K3048" s="144"/>
      <c r="L3048" s="61">
        <v>153</v>
      </c>
    </row>
    <row r="3049" spans="1:12" ht="14" x14ac:dyDescent="0.15">
      <c r="A3049" s="165" t="s">
        <v>2481</v>
      </c>
      <c r="B3049" s="93" t="s">
        <v>2480</v>
      </c>
      <c r="C3049" s="102" t="s">
        <v>3636</v>
      </c>
      <c r="D3049" s="62" t="s">
        <v>2548</v>
      </c>
      <c r="E3049" s="102" t="s">
        <v>5975</v>
      </c>
      <c r="F3049" s="102" t="s">
        <v>2582</v>
      </c>
      <c r="G3049" s="102" t="s">
        <v>7845</v>
      </c>
      <c r="H3049" s="175"/>
      <c r="I3049" s="85">
        <f t="shared" si="120"/>
        <v>1.7930916001765802</v>
      </c>
      <c r="J3049" s="104">
        <v>62.1</v>
      </c>
      <c r="K3049" s="144"/>
      <c r="L3049" s="61">
        <v>153</v>
      </c>
    </row>
    <row r="3050" spans="1:12" ht="42" x14ac:dyDescent="0.15">
      <c r="A3050" s="165" t="s">
        <v>2481</v>
      </c>
      <c r="B3050" s="93" t="s">
        <v>2730</v>
      </c>
      <c r="C3050" s="102" t="s">
        <v>3636</v>
      </c>
      <c r="D3050" s="62" t="s">
        <v>2548</v>
      </c>
      <c r="E3050" s="102" t="s">
        <v>5975</v>
      </c>
      <c r="F3050" s="102" t="s">
        <v>2582</v>
      </c>
      <c r="G3050" s="102" t="s">
        <v>4728</v>
      </c>
      <c r="H3050" s="175"/>
      <c r="I3050" s="85">
        <f t="shared" si="120"/>
        <v>1.8727388274726688</v>
      </c>
      <c r="J3050" s="104">
        <v>74.599999999999994</v>
      </c>
      <c r="K3050" s="144"/>
      <c r="L3050" s="61">
        <v>153</v>
      </c>
    </row>
    <row r="3051" spans="1:12" ht="70" x14ac:dyDescent="0.15">
      <c r="A3051" s="165" t="s">
        <v>2481</v>
      </c>
      <c r="B3051" s="93" t="s">
        <v>2738</v>
      </c>
      <c r="C3051" s="102" t="s">
        <v>3636</v>
      </c>
      <c r="D3051" s="62" t="s">
        <v>2548</v>
      </c>
      <c r="E3051" s="102" t="s">
        <v>5975</v>
      </c>
      <c r="F3051" s="102" t="s">
        <v>2582</v>
      </c>
      <c r="G3051" s="102" t="s">
        <v>2792</v>
      </c>
      <c r="H3051" s="175"/>
      <c r="I3051" s="85">
        <f t="shared" si="120"/>
        <v>1.9344984512435677</v>
      </c>
      <c r="J3051" s="104">
        <f>AVERAGE(97, 86, 100, 77, 82, 74)</f>
        <v>86</v>
      </c>
      <c r="K3051" s="144"/>
      <c r="L3051" s="61">
        <v>122</v>
      </c>
    </row>
    <row r="3052" spans="1:12" ht="14" x14ac:dyDescent="0.15">
      <c r="A3052" s="165" t="s">
        <v>2481</v>
      </c>
      <c r="B3052" s="93" t="s">
        <v>590</v>
      </c>
      <c r="C3052" s="102" t="s">
        <v>3636</v>
      </c>
      <c r="D3052" s="62" t="s">
        <v>2548</v>
      </c>
      <c r="E3052" s="102" t="s">
        <v>5975</v>
      </c>
      <c r="F3052" s="102" t="s">
        <v>2582</v>
      </c>
      <c r="G3052" s="102" t="s">
        <v>591</v>
      </c>
      <c r="H3052" s="175"/>
      <c r="I3052" s="85">
        <f t="shared" si="120"/>
        <v>1.9578466337081502</v>
      </c>
      <c r="J3052" s="104">
        <v>90.75</v>
      </c>
      <c r="K3052" s="144"/>
      <c r="L3052" s="61">
        <v>153</v>
      </c>
    </row>
    <row r="3053" spans="1:12" ht="56" x14ac:dyDescent="0.15">
      <c r="A3053" s="165" t="s">
        <v>2481</v>
      </c>
      <c r="B3053" s="93" t="s">
        <v>669</v>
      </c>
      <c r="C3053" s="102" t="s">
        <v>3636</v>
      </c>
      <c r="D3053" s="62" t="s">
        <v>2548</v>
      </c>
      <c r="E3053" s="102" t="s">
        <v>5975</v>
      </c>
      <c r="F3053" s="102" t="s">
        <v>2582</v>
      </c>
      <c r="G3053" s="102" t="s">
        <v>670</v>
      </c>
      <c r="H3053" s="175"/>
      <c r="I3053" s="85">
        <f t="shared" si="120"/>
        <v>1.9872192299080049</v>
      </c>
      <c r="J3053" s="104">
        <v>97.1</v>
      </c>
      <c r="K3053" s="144"/>
      <c r="L3053" s="61">
        <v>153</v>
      </c>
    </row>
    <row r="3054" spans="1:12" ht="56" x14ac:dyDescent="0.15">
      <c r="A3054" s="165" t="s">
        <v>2481</v>
      </c>
      <c r="B3054" s="82" t="s">
        <v>680</v>
      </c>
      <c r="C3054" s="107" t="s">
        <v>3636</v>
      </c>
      <c r="D3054" s="62" t="s">
        <v>2548</v>
      </c>
      <c r="E3054" s="107" t="s">
        <v>5975</v>
      </c>
      <c r="F3054" s="107" t="s">
        <v>2582</v>
      </c>
      <c r="G3054" s="107" t="s">
        <v>1213</v>
      </c>
      <c r="H3054" s="179"/>
      <c r="I3054" s="85">
        <f t="shared" si="120"/>
        <v>2.1213628405633913</v>
      </c>
      <c r="J3054" s="104">
        <v>132.24</v>
      </c>
      <c r="K3054" s="144"/>
      <c r="L3054" s="61">
        <v>153</v>
      </c>
    </row>
    <row r="3055" spans="1:12" ht="28" x14ac:dyDescent="0.15">
      <c r="A3055" s="165" t="s">
        <v>2481</v>
      </c>
      <c r="B3055" s="93" t="s">
        <v>828</v>
      </c>
      <c r="C3055" s="102" t="s">
        <v>3636</v>
      </c>
      <c r="D3055" s="62" t="s">
        <v>2548</v>
      </c>
      <c r="E3055" s="100" t="s">
        <v>5975</v>
      </c>
      <c r="F3055" s="102" t="s">
        <v>829</v>
      </c>
      <c r="G3055" s="102" t="s">
        <v>3217</v>
      </c>
      <c r="H3055" s="175"/>
      <c r="I3055" s="85">
        <f t="shared" si="120"/>
        <v>1.3185850100788252</v>
      </c>
      <c r="J3055" s="104">
        <v>20.824999999999999</v>
      </c>
      <c r="K3055" s="144"/>
      <c r="L3055" s="61">
        <v>153</v>
      </c>
    </row>
    <row r="3056" spans="1:12" ht="14" x14ac:dyDescent="0.15">
      <c r="A3056" s="165" t="s">
        <v>2481</v>
      </c>
      <c r="B3056" s="93" t="s">
        <v>2428</v>
      </c>
      <c r="C3056" s="102" t="s">
        <v>3636</v>
      </c>
      <c r="D3056" s="62" t="s">
        <v>2548</v>
      </c>
      <c r="E3056" s="102" t="s">
        <v>5975</v>
      </c>
      <c r="F3056" s="102" t="s">
        <v>2757</v>
      </c>
      <c r="G3056" s="102" t="s">
        <v>739</v>
      </c>
      <c r="H3056" s="175"/>
      <c r="I3056" s="85">
        <f t="shared" si="120"/>
        <v>2.2380461031287955</v>
      </c>
      <c r="J3056" s="104">
        <v>173</v>
      </c>
      <c r="K3056" s="144"/>
      <c r="L3056" s="61">
        <v>153</v>
      </c>
    </row>
    <row r="3057" spans="1:12" ht="126" x14ac:dyDescent="0.15">
      <c r="A3057" s="165" t="s">
        <v>2481</v>
      </c>
      <c r="B3057" s="93" t="s">
        <v>750</v>
      </c>
      <c r="C3057" s="102" t="s">
        <v>3636</v>
      </c>
      <c r="D3057" s="62" t="s">
        <v>2548</v>
      </c>
      <c r="E3057" s="102" t="s">
        <v>5975</v>
      </c>
      <c r="F3057" s="102" t="s">
        <v>1643</v>
      </c>
      <c r="G3057" s="102" t="s">
        <v>3608</v>
      </c>
      <c r="H3057" s="175"/>
      <c r="I3057" s="85">
        <f t="shared" si="120"/>
        <v>1.2329110761968058</v>
      </c>
      <c r="J3057" s="104">
        <v>17.096652173913</v>
      </c>
      <c r="K3057" s="144"/>
      <c r="L3057" s="61">
        <v>153</v>
      </c>
    </row>
    <row r="3058" spans="1:12" ht="14" x14ac:dyDescent="0.15">
      <c r="A3058" s="165" t="s">
        <v>2481</v>
      </c>
      <c r="B3058" s="93" t="s">
        <v>751</v>
      </c>
      <c r="C3058" s="102" t="s">
        <v>3636</v>
      </c>
      <c r="D3058" s="62" t="s">
        <v>2548</v>
      </c>
      <c r="E3058" s="102" t="s">
        <v>5975</v>
      </c>
      <c r="F3058" s="102" t="s">
        <v>1643</v>
      </c>
      <c r="G3058" s="102" t="s">
        <v>1297</v>
      </c>
      <c r="H3058" s="175"/>
      <c r="I3058" s="85">
        <f t="shared" si="120"/>
        <v>1.2621543391333674</v>
      </c>
      <c r="J3058" s="104">
        <v>18.287500000000001</v>
      </c>
      <c r="K3058" s="144"/>
      <c r="L3058" s="61">
        <v>153</v>
      </c>
    </row>
    <row r="3059" spans="1:12" ht="14" x14ac:dyDescent="0.15">
      <c r="A3059" s="165" t="s">
        <v>2481</v>
      </c>
      <c r="B3059" s="93" t="s">
        <v>752</v>
      </c>
      <c r="C3059" s="102" t="s">
        <v>3636</v>
      </c>
      <c r="D3059" s="62" t="s">
        <v>2548</v>
      </c>
      <c r="E3059" s="102" t="s">
        <v>5975</v>
      </c>
      <c r="F3059" s="102" t="s">
        <v>1643</v>
      </c>
      <c r="G3059" s="102" t="s">
        <v>753</v>
      </c>
      <c r="H3059" s="175"/>
      <c r="I3059" s="85">
        <f t="shared" si="120"/>
        <v>1.5910646070264991</v>
      </c>
      <c r="J3059" s="104">
        <v>39</v>
      </c>
      <c r="K3059" s="144"/>
      <c r="L3059" s="61">
        <v>153</v>
      </c>
    </row>
    <row r="3060" spans="1:12" ht="28" x14ac:dyDescent="0.15">
      <c r="A3060" s="165" t="s">
        <v>2481</v>
      </c>
      <c r="B3060" s="93" t="s">
        <v>754</v>
      </c>
      <c r="C3060" s="102" t="s">
        <v>3636</v>
      </c>
      <c r="D3060" s="62" t="s">
        <v>2548</v>
      </c>
      <c r="E3060" s="102" t="s">
        <v>5975</v>
      </c>
      <c r="F3060" s="102" t="s">
        <v>755</v>
      </c>
      <c r="G3060" s="102" t="s">
        <v>7090</v>
      </c>
      <c r="H3060" s="175"/>
      <c r="I3060" s="85">
        <f t="shared" si="120"/>
        <v>1.7810369386211318</v>
      </c>
      <c r="J3060" s="104">
        <v>60.4</v>
      </c>
      <c r="K3060" s="144"/>
      <c r="L3060" s="61">
        <v>153</v>
      </c>
    </row>
    <row r="3061" spans="1:12" ht="14" x14ac:dyDescent="0.15">
      <c r="A3061" s="165" t="s">
        <v>2481</v>
      </c>
      <c r="B3061" s="93" t="s">
        <v>2520</v>
      </c>
      <c r="C3061" s="102" t="s">
        <v>3636</v>
      </c>
      <c r="D3061" s="62" t="s">
        <v>2548</v>
      </c>
      <c r="E3061" s="102" t="s">
        <v>1605</v>
      </c>
      <c r="F3061" s="102" t="s">
        <v>756</v>
      </c>
      <c r="G3061" s="102" t="s">
        <v>4724</v>
      </c>
      <c r="H3061" s="175"/>
      <c r="I3061" s="98">
        <f t="shared" si="120"/>
        <v>0.90308998699194354</v>
      </c>
      <c r="J3061" s="98">
        <v>8</v>
      </c>
      <c r="K3061" s="135"/>
      <c r="L3061" s="61" t="s">
        <v>7624</v>
      </c>
    </row>
    <row r="3062" spans="1:12" ht="28" x14ac:dyDescent="0.15">
      <c r="A3062" s="165" t="s">
        <v>2481</v>
      </c>
      <c r="B3062" s="93" t="s">
        <v>856</v>
      </c>
      <c r="C3062" s="102" t="s">
        <v>3636</v>
      </c>
      <c r="D3062" s="62" t="s">
        <v>2548</v>
      </c>
      <c r="E3062" s="102" t="s">
        <v>1605</v>
      </c>
      <c r="F3062" s="102" t="s">
        <v>2603</v>
      </c>
      <c r="G3062" s="102" t="s">
        <v>2569</v>
      </c>
      <c r="H3062" s="175"/>
      <c r="I3062" s="98">
        <v>-999</v>
      </c>
      <c r="J3062" s="98">
        <v>-999</v>
      </c>
      <c r="K3062" s="135"/>
      <c r="L3062" s="61">
        <v>-999</v>
      </c>
    </row>
    <row r="3063" spans="1:12" ht="84" x14ac:dyDescent="0.15">
      <c r="A3063" s="165" t="s">
        <v>2481</v>
      </c>
      <c r="B3063" s="82" t="s">
        <v>2698</v>
      </c>
      <c r="C3063" s="107" t="s">
        <v>3636</v>
      </c>
      <c r="D3063" s="62" t="s">
        <v>2548</v>
      </c>
      <c r="E3063" s="107" t="s">
        <v>1605</v>
      </c>
      <c r="F3063" s="107" t="s">
        <v>2603</v>
      </c>
      <c r="G3063" s="107" t="s">
        <v>2681</v>
      </c>
      <c r="H3063" s="179"/>
      <c r="I3063" s="85">
        <f>LOG(J3063)</f>
        <v>1.0766404436703418</v>
      </c>
      <c r="J3063" s="104">
        <v>11.93</v>
      </c>
      <c r="K3063" s="144"/>
      <c r="L3063" s="61">
        <v>153</v>
      </c>
    </row>
    <row r="3064" spans="1:12" ht="70" x14ac:dyDescent="0.15">
      <c r="A3064" s="165" t="s">
        <v>2481</v>
      </c>
      <c r="B3064" s="93" t="s">
        <v>692</v>
      </c>
      <c r="C3064" s="102" t="s">
        <v>3636</v>
      </c>
      <c r="D3064" s="62" t="s">
        <v>2548</v>
      </c>
      <c r="E3064" s="102" t="s">
        <v>1605</v>
      </c>
      <c r="F3064" s="102" t="s">
        <v>2808</v>
      </c>
      <c r="G3064" s="102" t="s">
        <v>2809</v>
      </c>
      <c r="H3064" s="175"/>
      <c r="I3064" s="85">
        <f>LOG(J3064)</f>
        <v>0.61278385671973545</v>
      </c>
      <c r="J3064" s="104">
        <v>4.0999999999999996</v>
      </c>
      <c r="K3064" s="144"/>
      <c r="L3064" s="61">
        <v>153</v>
      </c>
    </row>
    <row r="3065" spans="1:12" ht="28" x14ac:dyDescent="0.15">
      <c r="A3065" s="165" t="s">
        <v>2481</v>
      </c>
      <c r="B3065" s="93" t="s">
        <v>515</v>
      </c>
      <c r="C3065" s="102" t="s">
        <v>3636</v>
      </c>
      <c r="D3065" s="62" t="s">
        <v>2548</v>
      </c>
      <c r="E3065" s="102" t="s">
        <v>1605</v>
      </c>
      <c r="F3065" s="102" t="s">
        <v>2808</v>
      </c>
      <c r="G3065" s="102" t="s">
        <v>6233</v>
      </c>
      <c r="H3065" s="175"/>
      <c r="I3065" s="85">
        <f>LOG(J3065)</f>
        <v>0.69019608002851374</v>
      </c>
      <c r="J3065" s="104">
        <v>4.9000000000000004</v>
      </c>
      <c r="K3065" s="144"/>
      <c r="L3065" s="61">
        <v>153</v>
      </c>
    </row>
    <row r="3066" spans="1:12" ht="14" x14ac:dyDescent="0.15">
      <c r="A3066" s="165" t="s">
        <v>2481</v>
      </c>
      <c r="B3066" s="93" t="s">
        <v>637</v>
      </c>
      <c r="C3066" s="102" t="s">
        <v>3636</v>
      </c>
      <c r="D3066" s="62" t="s">
        <v>2548</v>
      </c>
      <c r="E3066" s="102" t="s">
        <v>1605</v>
      </c>
      <c r="F3066" s="102" t="s">
        <v>1919</v>
      </c>
      <c r="G3066" s="102" t="s">
        <v>3595</v>
      </c>
      <c r="H3066" s="175"/>
      <c r="I3066" s="98">
        <v>-999</v>
      </c>
      <c r="J3066" s="98">
        <v>-999</v>
      </c>
      <c r="K3066" s="135"/>
      <c r="L3066" s="61">
        <v>-999</v>
      </c>
    </row>
    <row r="3067" spans="1:12" ht="14" x14ac:dyDescent="0.15">
      <c r="A3067" s="165" t="s">
        <v>2481</v>
      </c>
      <c r="B3067" s="93" t="s">
        <v>1850</v>
      </c>
      <c r="C3067" s="102" t="s">
        <v>3636</v>
      </c>
      <c r="D3067" s="62" t="s">
        <v>2548</v>
      </c>
      <c r="E3067" s="100" t="s">
        <v>1605</v>
      </c>
      <c r="F3067" s="102" t="s">
        <v>1919</v>
      </c>
      <c r="G3067" s="102" t="s">
        <v>4360</v>
      </c>
      <c r="H3067" s="175"/>
      <c r="I3067" s="85">
        <f>LOG(J3067)</f>
        <v>0.81291335664285558</v>
      </c>
      <c r="J3067" s="101">
        <v>6.5</v>
      </c>
      <c r="K3067" s="144"/>
      <c r="L3067" s="61">
        <v>153</v>
      </c>
    </row>
    <row r="3068" spans="1:12" ht="56" x14ac:dyDescent="0.15">
      <c r="A3068" s="165" t="s">
        <v>2481</v>
      </c>
      <c r="B3068" s="93" t="s">
        <v>4253</v>
      </c>
      <c r="C3068" s="102" t="s">
        <v>3636</v>
      </c>
      <c r="D3068" s="62" t="s">
        <v>2548</v>
      </c>
      <c r="E3068" s="102" t="s">
        <v>1605</v>
      </c>
      <c r="F3068" s="102" t="s">
        <v>1919</v>
      </c>
      <c r="G3068" s="102" t="s">
        <v>4234</v>
      </c>
      <c r="H3068" s="175"/>
      <c r="I3068" s="85">
        <f>LOG(J3068)</f>
        <v>0.86923171973097624</v>
      </c>
      <c r="J3068" s="104">
        <v>7.4</v>
      </c>
      <c r="K3068" s="144"/>
      <c r="L3068" s="61">
        <v>153</v>
      </c>
    </row>
    <row r="3069" spans="1:12" ht="14" x14ac:dyDescent="0.15">
      <c r="A3069" s="165" t="s">
        <v>2481</v>
      </c>
      <c r="B3069" s="93" t="s">
        <v>1214</v>
      </c>
      <c r="C3069" s="100" t="s">
        <v>3636</v>
      </c>
      <c r="D3069" s="61" t="s">
        <v>2548</v>
      </c>
      <c r="E3069" s="100" t="s">
        <v>1605</v>
      </c>
      <c r="F3069" s="102" t="s">
        <v>1641</v>
      </c>
      <c r="G3069" s="102" t="s">
        <v>4088</v>
      </c>
      <c r="H3069" s="175"/>
      <c r="I3069" s="98">
        <v>-999</v>
      </c>
      <c r="J3069" s="98">
        <v>-999</v>
      </c>
      <c r="K3069" s="135"/>
      <c r="L3069" s="61">
        <v>-999</v>
      </c>
    </row>
    <row r="3070" spans="1:12" ht="14" x14ac:dyDescent="0.15">
      <c r="A3070" s="165" t="s">
        <v>2481</v>
      </c>
      <c r="B3070" s="93" t="s">
        <v>584</v>
      </c>
      <c r="C3070" s="102" t="s">
        <v>3636</v>
      </c>
      <c r="D3070" s="62" t="s">
        <v>2548</v>
      </c>
      <c r="E3070" s="102" t="s">
        <v>1605</v>
      </c>
      <c r="F3070" s="102" t="s">
        <v>1641</v>
      </c>
      <c r="G3070" s="102" t="s">
        <v>5470</v>
      </c>
      <c r="H3070" s="175"/>
      <c r="I3070" s="103">
        <v>-999</v>
      </c>
      <c r="J3070" s="103">
        <v>-999</v>
      </c>
      <c r="K3070" s="135"/>
      <c r="L3070" s="61">
        <v>-999</v>
      </c>
    </row>
    <row r="3071" spans="1:12" ht="14" x14ac:dyDescent="0.15">
      <c r="A3071" s="165" t="s">
        <v>2481</v>
      </c>
      <c r="B3071" s="108" t="s">
        <v>499</v>
      </c>
      <c r="C3071" s="102" t="s">
        <v>3636</v>
      </c>
      <c r="D3071" s="62" t="s">
        <v>2548</v>
      </c>
      <c r="E3071" s="102" t="s">
        <v>1605</v>
      </c>
      <c r="F3071" s="102" t="s">
        <v>1641</v>
      </c>
      <c r="G3071" s="102" t="s">
        <v>500</v>
      </c>
      <c r="H3071" s="175"/>
      <c r="I3071" s="98">
        <v>-999</v>
      </c>
      <c r="J3071" s="98">
        <v>-999</v>
      </c>
      <c r="K3071" s="135"/>
      <c r="L3071" s="61">
        <v>-999</v>
      </c>
    </row>
    <row r="3072" spans="1:12" ht="28" x14ac:dyDescent="0.15">
      <c r="A3072" s="165" t="s">
        <v>2481</v>
      </c>
      <c r="B3072" s="93" t="s">
        <v>674</v>
      </c>
      <c r="C3072" s="102" t="s">
        <v>3636</v>
      </c>
      <c r="D3072" s="62" t="s">
        <v>2548</v>
      </c>
      <c r="E3072" s="102" t="s">
        <v>1605</v>
      </c>
      <c r="F3072" s="102" t="s">
        <v>1641</v>
      </c>
      <c r="G3072" s="102" t="s">
        <v>675</v>
      </c>
      <c r="H3072" s="175"/>
      <c r="I3072" s="98">
        <v>-999</v>
      </c>
      <c r="J3072" s="98">
        <v>-999</v>
      </c>
      <c r="K3072" s="135"/>
      <c r="L3072" s="61">
        <v>-999</v>
      </c>
    </row>
    <row r="3073" spans="1:12" ht="56" x14ac:dyDescent="0.15">
      <c r="A3073" s="165" t="s">
        <v>2481</v>
      </c>
      <c r="B3073" s="93" t="s">
        <v>740</v>
      </c>
      <c r="C3073" s="102" t="s">
        <v>3636</v>
      </c>
      <c r="D3073" s="62" t="s">
        <v>2548</v>
      </c>
      <c r="E3073" s="102" t="s">
        <v>1605</v>
      </c>
      <c r="F3073" s="102" t="s">
        <v>1641</v>
      </c>
      <c r="G3073" s="102" t="s">
        <v>741</v>
      </c>
      <c r="H3073" s="175"/>
      <c r="I3073" s="98">
        <v>-999</v>
      </c>
      <c r="J3073" s="98">
        <v>-999</v>
      </c>
      <c r="K3073" s="135"/>
      <c r="L3073" s="61">
        <v>-999</v>
      </c>
    </row>
    <row r="3074" spans="1:12" ht="14" x14ac:dyDescent="0.15">
      <c r="A3074" s="165" t="s">
        <v>2481</v>
      </c>
      <c r="B3074" s="93" t="s">
        <v>2018</v>
      </c>
      <c r="C3074" s="102" t="s">
        <v>3636</v>
      </c>
      <c r="D3074" s="62" t="s">
        <v>2548</v>
      </c>
      <c r="E3074" s="102" t="s">
        <v>1605</v>
      </c>
      <c r="F3074" s="102" t="s">
        <v>1641</v>
      </c>
      <c r="G3074" s="102" t="s">
        <v>5211</v>
      </c>
      <c r="H3074" s="175"/>
      <c r="I3074" s="98">
        <v>-999</v>
      </c>
      <c r="J3074" s="98">
        <v>-999</v>
      </c>
      <c r="K3074" s="135"/>
      <c r="L3074" s="61">
        <v>-999</v>
      </c>
    </row>
    <row r="3075" spans="1:12" ht="14" x14ac:dyDescent="0.15">
      <c r="A3075" s="165" t="s">
        <v>2481</v>
      </c>
      <c r="B3075" s="93" t="s">
        <v>4739</v>
      </c>
      <c r="C3075" s="102" t="s">
        <v>3636</v>
      </c>
      <c r="D3075" s="62" t="s">
        <v>2548</v>
      </c>
      <c r="E3075" s="102" t="s">
        <v>1605</v>
      </c>
      <c r="F3075" s="102" t="s">
        <v>1641</v>
      </c>
      <c r="G3075" s="102" t="s">
        <v>678</v>
      </c>
      <c r="H3075" s="175"/>
      <c r="I3075" s="98">
        <v>-999</v>
      </c>
      <c r="J3075" s="98">
        <v>-999</v>
      </c>
      <c r="K3075" s="135"/>
      <c r="L3075" s="61">
        <v>-999</v>
      </c>
    </row>
    <row r="3076" spans="1:12" ht="42" x14ac:dyDescent="0.15">
      <c r="A3076" s="165" t="s">
        <v>2481</v>
      </c>
      <c r="B3076" s="93" t="s">
        <v>812</v>
      </c>
      <c r="C3076" s="102" t="s">
        <v>3636</v>
      </c>
      <c r="D3076" s="62" t="s">
        <v>2548</v>
      </c>
      <c r="E3076" s="102" t="s">
        <v>1605</v>
      </c>
      <c r="F3076" s="102" t="s">
        <v>1641</v>
      </c>
      <c r="G3076" s="102" t="s">
        <v>813</v>
      </c>
      <c r="H3076" s="175"/>
      <c r="I3076" s="98">
        <v>-999</v>
      </c>
      <c r="J3076" s="98">
        <v>-999</v>
      </c>
      <c r="K3076" s="135"/>
      <c r="L3076" s="61">
        <v>-999</v>
      </c>
    </row>
    <row r="3077" spans="1:12" ht="14" x14ac:dyDescent="0.15">
      <c r="A3077" s="165" t="s">
        <v>2481</v>
      </c>
      <c r="B3077" s="93" t="s">
        <v>593</v>
      </c>
      <c r="C3077" s="102" t="s">
        <v>3636</v>
      </c>
      <c r="D3077" s="62" t="s">
        <v>2548</v>
      </c>
      <c r="E3077" s="102" t="s">
        <v>1605</v>
      </c>
      <c r="F3077" s="102" t="s">
        <v>1641</v>
      </c>
      <c r="G3077" s="102" t="s">
        <v>2561</v>
      </c>
      <c r="H3077" s="175"/>
      <c r="I3077" s="98">
        <v>-999</v>
      </c>
      <c r="J3077" s="98">
        <v>-999</v>
      </c>
      <c r="K3077" s="135"/>
      <c r="L3077" s="61">
        <v>-999</v>
      </c>
    </row>
    <row r="3078" spans="1:12" ht="14" x14ac:dyDescent="0.15">
      <c r="A3078" s="165" t="s">
        <v>2481</v>
      </c>
      <c r="B3078" s="93" t="s">
        <v>594</v>
      </c>
      <c r="C3078" s="102" t="s">
        <v>3636</v>
      </c>
      <c r="D3078" s="62" t="s">
        <v>2548</v>
      </c>
      <c r="E3078" s="102" t="s">
        <v>1605</v>
      </c>
      <c r="F3078" s="102" t="s">
        <v>1641</v>
      </c>
      <c r="G3078" s="102" t="s">
        <v>582</v>
      </c>
      <c r="H3078" s="175"/>
      <c r="I3078" s="98">
        <v>-999</v>
      </c>
      <c r="J3078" s="98">
        <v>-999</v>
      </c>
      <c r="K3078" s="135"/>
      <c r="L3078" s="61">
        <v>-999</v>
      </c>
    </row>
    <row r="3079" spans="1:12" ht="28" x14ac:dyDescent="0.15">
      <c r="A3079" s="165" t="s">
        <v>2481</v>
      </c>
      <c r="B3079" s="93" t="s">
        <v>737</v>
      </c>
      <c r="C3079" s="102" t="s">
        <v>3636</v>
      </c>
      <c r="D3079" s="62" t="s">
        <v>2548</v>
      </c>
      <c r="E3079" s="102" t="s">
        <v>1605</v>
      </c>
      <c r="F3079" s="102" t="s">
        <v>1641</v>
      </c>
      <c r="G3079" s="102" t="s">
        <v>738</v>
      </c>
      <c r="H3079" s="175"/>
      <c r="I3079" s="98">
        <v>-999</v>
      </c>
      <c r="J3079" s="98">
        <v>-999</v>
      </c>
      <c r="K3079" s="135"/>
      <c r="L3079" s="61">
        <v>-999</v>
      </c>
    </row>
    <row r="3080" spans="1:12" ht="14" x14ac:dyDescent="0.15">
      <c r="A3080" s="165" t="s">
        <v>2481</v>
      </c>
      <c r="B3080" s="93" t="s">
        <v>5852</v>
      </c>
      <c r="C3080" s="102" t="s">
        <v>3636</v>
      </c>
      <c r="D3080" s="62" t="s">
        <v>2548</v>
      </c>
      <c r="E3080" s="102" t="s">
        <v>1605</v>
      </c>
      <c r="F3080" s="102" t="s">
        <v>1641</v>
      </c>
      <c r="G3080" s="102" t="s">
        <v>6967</v>
      </c>
      <c r="H3080" s="175"/>
      <c r="I3080" s="85">
        <f t="shared" ref="I3080:I3107" si="121">LOG(J3080)</f>
        <v>0.54406804435027567</v>
      </c>
      <c r="J3080" s="104">
        <v>3.5</v>
      </c>
      <c r="K3080" s="144"/>
      <c r="L3080" s="61">
        <v>153</v>
      </c>
    </row>
    <row r="3081" spans="1:12" ht="28" x14ac:dyDescent="0.15">
      <c r="A3081" s="165" t="s">
        <v>2481</v>
      </c>
      <c r="B3081" s="93" t="s">
        <v>527</v>
      </c>
      <c r="C3081" s="102" t="s">
        <v>3636</v>
      </c>
      <c r="D3081" s="62" t="s">
        <v>2548</v>
      </c>
      <c r="E3081" s="102" t="s">
        <v>1605</v>
      </c>
      <c r="F3081" s="102" t="s">
        <v>1641</v>
      </c>
      <c r="G3081" s="102" t="s">
        <v>3207</v>
      </c>
      <c r="H3081" s="175"/>
      <c r="I3081" s="85">
        <f t="shared" si="121"/>
        <v>0.70757017609793638</v>
      </c>
      <c r="J3081" s="104">
        <f>AVERAGE(4.2, 6)</f>
        <v>5.0999999999999996</v>
      </c>
      <c r="K3081" s="144"/>
      <c r="L3081" s="61">
        <v>257</v>
      </c>
    </row>
    <row r="3082" spans="1:12" ht="56" x14ac:dyDescent="0.15">
      <c r="A3082" s="165" t="s">
        <v>2481</v>
      </c>
      <c r="B3082" s="93" t="s">
        <v>467</v>
      </c>
      <c r="C3082" s="102" t="s">
        <v>3636</v>
      </c>
      <c r="D3082" s="62" t="s">
        <v>2548</v>
      </c>
      <c r="E3082" s="102" t="s">
        <v>1605</v>
      </c>
      <c r="F3082" s="102" t="s">
        <v>1641</v>
      </c>
      <c r="G3082" s="102" t="s">
        <v>6152</v>
      </c>
      <c r="H3082" s="175"/>
      <c r="I3082" s="85">
        <f t="shared" si="121"/>
        <v>0.7323937598229685</v>
      </c>
      <c r="J3082" s="104">
        <f>AVERAGE(3.5, 7.3)</f>
        <v>5.4</v>
      </c>
      <c r="K3082" s="144"/>
      <c r="L3082" s="61">
        <v>257</v>
      </c>
    </row>
    <row r="3083" spans="1:12" ht="98" x14ac:dyDescent="0.15">
      <c r="A3083" s="165" t="s">
        <v>2481</v>
      </c>
      <c r="B3083" s="93" t="s">
        <v>712</v>
      </c>
      <c r="C3083" s="102" t="s">
        <v>3636</v>
      </c>
      <c r="D3083" s="62" t="s">
        <v>2548</v>
      </c>
      <c r="E3083" s="102" t="s">
        <v>1605</v>
      </c>
      <c r="F3083" s="102" t="s">
        <v>1641</v>
      </c>
      <c r="G3083" s="102" t="s">
        <v>5748</v>
      </c>
      <c r="H3083" s="175"/>
      <c r="I3083" s="85">
        <f t="shared" si="121"/>
        <v>0.75587485567249146</v>
      </c>
      <c r="J3083" s="104">
        <f>AVERAGE(5.5, 5.9)</f>
        <v>5.7</v>
      </c>
      <c r="K3083" s="144"/>
      <c r="L3083" s="61">
        <v>122</v>
      </c>
    </row>
    <row r="3084" spans="1:12" ht="14" x14ac:dyDescent="0.15">
      <c r="A3084" s="165" t="s">
        <v>2481</v>
      </c>
      <c r="B3084" s="93" t="s">
        <v>676</v>
      </c>
      <c r="C3084" s="102" t="s">
        <v>3636</v>
      </c>
      <c r="D3084" s="62" t="s">
        <v>2548</v>
      </c>
      <c r="E3084" s="102" t="s">
        <v>1605</v>
      </c>
      <c r="F3084" s="102" t="s">
        <v>1641</v>
      </c>
      <c r="G3084" s="102" t="s">
        <v>677</v>
      </c>
      <c r="H3084" s="175"/>
      <c r="I3084" s="98">
        <f t="shared" si="121"/>
        <v>0.78175537465246892</v>
      </c>
      <c r="J3084" s="98">
        <f>AVERAGE(4.5, 7.6)</f>
        <v>6.05</v>
      </c>
      <c r="K3084" s="135"/>
      <c r="L3084" s="61">
        <v>257</v>
      </c>
    </row>
    <row r="3085" spans="1:12" ht="14" x14ac:dyDescent="0.15">
      <c r="A3085" s="165" t="s">
        <v>2481</v>
      </c>
      <c r="B3085" s="93" t="s">
        <v>704</v>
      </c>
      <c r="C3085" s="102" t="s">
        <v>3636</v>
      </c>
      <c r="D3085" s="62" t="s">
        <v>2548</v>
      </c>
      <c r="E3085" s="102" t="s">
        <v>1605</v>
      </c>
      <c r="F3085" s="102" t="s">
        <v>1641</v>
      </c>
      <c r="G3085" s="102" t="s">
        <v>1308</v>
      </c>
      <c r="H3085" s="175"/>
      <c r="I3085" s="85">
        <f t="shared" si="121"/>
        <v>0.82930377283102497</v>
      </c>
      <c r="J3085" s="104">
        <v>6.75</v>
      </c>
      <c r="K3085" s="144"/>
      <c r="L3085" s="61">
        <v>153</v>
      </c>
    </row>
    <row r="3086" spans="1:12" ht="42" x14ac:dyDescent="0.15">
      <c r="A3086" s="165" t="s">
        <v>2481</v>
      </c>
      <c r="B3086" s="93" t="s">
        <v>863</v>
      </c>
      <c r="C3086" s="102" t="s">
        <v>3636</v>
      </c>
      <c r="D3086" s="62" t="s">
        <v>2548</v>
      </c>
      <c r="E3086" s="102" t="s">
        <v>1605</v>
      </c>
      <c r="F3086" s="102" t="s">
        <v>1641</v>
      </c>
      <c r="G3086" s="102" t="s">
        <v>2839</v>
      </c>
      <c r="H3086" s="175"/>
      <c r="I3086" s="85">
        <f t="shared" si="121"/>
        <v>0.86923171973097624</v>
      </c>
      <c r="J3086" s="104">
        <f>AVERAGE(6.3, 8.5)</f>
        <v>7.4</v>
      </c>
      <c r="K3086" s="144"/>
      <c r="L3086" s="61">
        <v>257</v>
      </c>
    </row>
    <row r="3087" spans="1:12" ht="42" x14ac:dyDescent="0.15">
      <c r="A3087" s="165" t="s">
        <v>2481</v>
      </c>
      <c r="B3087" s="93" t="s">
        <v>464</v>
      </c>
      <c r="C3087" s="102" t="s">
        <v>3636</v>
      </c>
      <c r="D3087" s="62" t="s">
        <v>2548</v>
      </c>
      <c r="E3087" s="102" t="s">
        <v>1605</v>
      </c>
      <c r="F3087" s="102" t="s">
        <v>1641</v>
      </c>
      <c r="G3087" s="102" t="s">
        <v>3829</v>
      </c>
      <c r="H3087" s="175"/>
      <c r="I3087" s="85">
        <f t="shared" si="121"/>
        <v>0.88318808962241524</v>
      </c>
      <c r="J3087" s="104">
        <v>7.6416666666669997</v>
      </c>
      <c r="K3087" s="144"/>
      <c r="L3087" s="61">
        <v>153</v>
      </c>
    </row>
    <row r="3088" spans="1:12" ht="14" x14ac:dyDescent="0.15">
      <c r="A3088" s="165" t="s">
        <v>2481</v>
      </c>
      <c r="B3088" s="93" t="s">
        <v>1850</v>
      </c>
      <c r="C3088" s="100" t="s">
        <v>3636</v>
      </c>
      <c r="D3088" s="61" t="s">
        <v>2548</v>
      </c>
      <c r="E3088" s="100" t="s">
        <v>1605</v>
      </c>
      <c r="F3088" s="100" t="s">
        <v>1641</v>
      </c>
      <c r="G3088" s="100" t="s">
        <v>548</v>
      </c>
      <c r="H3088" s="177"/>
      <c r="I3088" s="85">
        <f t="shared" si="121"/>
        <v>0.90308998699194354</v>
      </c>
      <c r="J3088" s="101">
        <f>AVERAGE(6.5, 9.5)</f>
        <v>8</v>
      </c>
      <c r="K3088" s="144"/>
      <c r="L3088" s="61">
        <v>257</v>
      </c>
    </row>
    <row r="3089" spans="1:12" ht="28" x14ac:dyDescent="0.15">
      <c r="A3089" s="165" t="s">
        <v>2481</v>
      </c>
      <c r="B3089" s="93" t="s">
        <v>862</v>
      </c>
      <c r="C3089" s="102" t="s">
        <v>3636</v>
      </c>
      <c r="D3089" s="62" t="s">
        <v>2548</v>
      </c>
      <c r="E3089" s="102" t="s">
        <v>1605</v>
      </c>
      <c r="F3089" s="102" t="s">
        <v>1641</v>
      </c>
      <c r="G3089" s="102" t="s">
        <v>6284</v>
      </c>
      <c r="H3089" s="175"/>
      <c r="I3089" s="85">
        <f t="shared" si="121"/>
        <v>0.92941892571429274</v>
      </c>
      <c r="J3089" s="104">
        <v>8.5</v>
      </c>
      <c r="K3089" s="144"/>
      <c r="L3089" s="61">
        <v>153</v>
      </c>
    </row>
    <row r="3090" spans="1:12" ht="14" x14ac:dyDescent="0.15">
      <c r="A3090" s="165" t="s">
        <v>2481</v>
      </c>
      <c r="B3090" s="93" t="s">
        <v>497</v>
      </c>
      <c r="C3090" s="102" t="s">
        <v>3636</v>
      </c>
      <c r="D3090" s="62" t="s">
        <v>2548</v>
      </c>
      <c r="E3090" s="102" t="s">
        <v>1605</v>
      </c>
      <c r="F3090" s="102" t="s">
        <v>1641</v>
      </c>
      <c r="G3090" s="102" t="s">
        <v>498</v>
      </c>
      <c r="H3090" s="175"/>
      <c r="I3090" s="98">
        <f t="shared" si="121"/>
        <v>0.96625909376714947</v>
      </c>
      <c r="J3090" s="98">
        <f>AVERAGE(8.505, 10)</f>
        <v>9.2525000000000013</v>
      </c>
      <c r="K3090" s="135"/>
      <c r="L3090" s="61" t="s">
        <v>7534</v>
      </c>
    </row>
    <row r="3091" spans="1:12" ht="56" x14ac:dyDescent="0.15">
      <c r="A3091" s="165" t="s">
        <v>2481</v>
      </c>
      <c r="B3091" s="93" t="s">
        <v>702</v>
      </c>
      <c r="C3091" s="102" t="s">
        <v>3636</v>
      </c>
      <c r="D3091" s="62" t="s">
        <v>2548</v>
      </c>
      <c r="E3091" s="102" t="s">
        <v>1605</v>
      </c>
      <c r="F3091" s="102" t="s">
        <v>1641</v>
      </c>
      <c r="G3091" s="102" t="s">
        <v>4663</v>
      </c>
      <c r="H3091" s="175"/>
      <c r="I3091" s="85">
        <f t="shared" si="121"/>
        <v>0.96848294855393513</v>
      </c>
      <c r="J3091" s="104">
        <v>9.3000000000000007</v>
      </c>
      <c r="K3091" s="144"/>
      <c r="L3091" s="61">
        <v>153</v>
      </c>
    </row>
    <row r="3092" spans="1:12" ht="70" x14ac:dyDescent="0.15">
      <c r="A3092" s="165" t="s">
        <v>2481</v>
      </c>
      <c r="B3092" s="82" t="s">
        <v>547</v>
      </c>
      <c r="C3092" s="107" t="s">
        <v>3636</v>
      </c>
      <c r="D3092" s="62" t="s">
        <v>2548</v>
      </c>
      <c r="E3092" s="107" t="s">
        <v>1605</v>
      </c>
      <c r="F3092" s="107" t="s">
        <v>1641</v>
      </c>
      <c r="G3092" s="107" t="s">
        <v>6270</v>
      </c>
      <c r="H3092" s="179"/>
      <c r="I3092" s="85">
        <f t="shared" si="121"/>
        <v>0.97543180850926292</v>
      </c>
      <c r="J3092" s="104">
        <v>9.4499999999999993</v>
      </c>
      <c r="K3092" s="144"/>
      <c r="L3092" s="61">
        <v>153</v>
      </c>
    </row>
    <row r="3093" spans="1:12" ht="14" x14ac:dyDescent="0.15">
      <c r="A3093" s="165" t="s">
        <v>2481</v>
      </c>
      <c r="B3093" s="93" t="s">
        <v>5852</v>
      </c>
      <c r="C3093" s="102" t="s">
        <v>3636</v>
      </c>
      <c r="D3093" s="62" t="s">
        <v>2548</v>
      </c>
      <c r="E3093" s="102" t="s">
        <v>1605</v>
      </c>
      <c r="F3093" s="102" t="s">
        <v>1641</v>
      </c>
      <c r="G3093" s="102" t="s">
        <v>7275</v>
      </c>
      <c r="H3093" s="175"/>
      <c r="I3093" s="85">
        <f t="shared" si="121"/>
        <v>0.97772360528884772</v>
      </c>
      <c r="J3093" s="104">
        <v>9.5</v>
      </c>
      <c r="K3093" s="144"/>
      <c r="L3093" s="61">
        <v>153</v>
      </c>
    </row>
    <row r="3094" spans="1:12" ht="56" x14ac:dyDescent="0.15">
      <c r="A3094" s="165" t="s">
        <v>2481</v>
      </c>
      <c r="B3094" s="93" t="s">
        <v>2800</v>
      </c>
      <c r="C3094" s="102" t="s">
        <v>3636</v>
      </c>
      <c r="D3094" s="62" t="s">
        <v>2548</v>
      </c>
      <c r="E3094" s="102" t="s">
        <v>1605</v>
      </c>
      <c r="F3094" s="102" t="s">
        <v>1641</v>
      </c>
      <c r="G3094" s="102" t="s">
        <v>2801</v>
      </c>
      <c r="H3094" s="175"/>
      <c r="I3094" s="85">
        <f t="shared" si="121"/>
        <v>1.0045363178513229</v>
      </c>
      <c r="J3094" s="104">
        <v>10.105</v>
      </c>
      <c r="K3094" s="144"/>
      <c r="L3094" s="61">
        <v>153</v>
      </c>
    </row>
    <row r="3095" spans="1:12" ht="14" x14ac:dyDescent="0.15">
      <c r="A3095" s="165" t="s">
        <v>2481</v>
      </c>
      <c r="B3095" s="93" t="s">
        <v>1002</v>
      </c>
      <c r="C3095" s="102" t="s">
        <v>3636</v>
      </c>
      <c r="D3095" s="62" t="s">
        <v>2548</v>
      </c>
      <c r="E3095" s="102" t="s">
        <v>1605</v>
      </c>
      <c r="F3095" s="102" t="s">
        <v>1641</v>
      </c>
      <c r="G3095" s="102" t="s">
        <v>2803</v>
      </c>
      <c r="H3095" s="175"/>
      <c r="I3095" s="85">
        <f t="shared" si="121"/>
        <v>1.0182248201061812</v>
      </c>
      <c r="J3095" s="104">
        <v>10.428571428571001</v>
      </c>
      <c r="K3095" s="144"/>
      <c r="L3095" s="61">
        <v>153</v>
      </c>
    </row>
    <row r="3096" spans="1:12" ht="42" x14ac:dyDescent="0.15">
      <c r="A3096" s="165" t="s">
        <v>2481</v>
      </c>
      <c r="B3096" s="93" t="s">
        <v>1179</v>
      </c>
      <c r="C3096" s="102" t="s">
        <v>3636</v>
      </c>
      <c r="D3096" s="62" t="s">
        <v>2548</v>
      </c>
      <c r="E3096" s="102" t="s">
        <v>1605</v>
      </c>
      <c r="F3096" s="102" t="s">
        <v>1641</v>
      </c>
      <c r="G3096" s="102" t="s">
        <v>2810</v>
      </c>
      <c r="H3096" s="175"/>
      <c r="I3096" s="85">
        <f t="shared" si="121"/>
        <v>1.0549958615291415</v>
      </c>
      <c r="J3096" s="104">
        <v>11.35</v>
      </c>
      <c r="K3096" s="144"/>
      <c r="L3096" s="61">
        <v>153</v>
      </c>
    </row>
    <row r="3097" spans="1:12" ht="28" x14ac:dyDescent="0.15">
      <c r="A3097" s="165" t="s">
        <v>2481</v>
      </c>
      <c r="B3097" s="93" t="s">
        <v>1180</v>
      </c>
      <c r="C3097" s="102" t="s">
        <v>3636</v>
      </c>
      <c r="D3097" s="62" t="s">
        <v>2548</v>
      </c>
      <c r="E3097" s="102" t="s">
        <v>1605</v>
      </c>
      <c r="F3097" s="102" t="s">
        <v>1641</v>
      </c>
      <c r="G3097" s="102" t="s">
        <v>1472</v>
      </c>
      <c r="H3097" s="175"/>
      <c r="I3097" s="85">
        <f t="shared" si="121"/>
        <v>1.146128035678238</v>
      </c>
      <c r="J3097" s="104">
        <v>14</v>
      </c>
      <c r="K3097" s="144"/>
      <c r="L3097" s="61">
        <v>153</v>
      </c>
    </row>
    <row r="3098" spans="1:12" ht="14" x14ac:dyDescent="0.15">
      <c r="A3098" s="165" t="s">
        <v>2481</v>
      </c>
      <c r="B3098" s="93" t="s">
        <v>1181</v>
      </c>
      <c r="C3098" s="102" t="s">
        <v>3636</v>
      </c>
      <c r="D3098" s="62" t="s">
        <v>2548</v>
      </c>
      <c r="E3098" s="102" t="s">
        <v>1605</v>
      </c>
      <c r="F3098" s="102" t="s">
        <v>1641</v>
      </c>
      <c r="G3098" s="102" t="s">
        <v>5911</v>
      </c>
      <c r="H3098" s="175"/>
      <c r="I3098" s="85">
        <f t="shared" si="121"/>
        <v>1.1613680022349748</v>
      </c>
      <c r="J3098" s="104">
        <v>14.5</v>
      </c>
      <c r="K3098" s="144"/>
      <c r="L3098" s="61">
        <v>153</v>
      </c>
    </row>
    <row r="3099" spans="1:12" ht="14" x14ac:dyDescent="0.15">
      <c r="A3099" s="165" t="s">
        <v>2481</v>
      </c>
      <c r="B3099" s="93" t="s">
        <v>4261</v>
      </c>
      <c r="C3099" s="102" t="s">
        <v>3636</v>
      </c>
      <c r="D3099" s="62" t="s">
        <v>2548</v>
      </c>
      <c r="E3099" s="102" t="s">
        <v>1605</v>
      </c>
      <c r="F3099" s="102" t="s">
        <v>1641</v>
      </c>
      <c r="G3099" s="102" t="s">
        <v>2560</v>
      </c>
      <c r="H3099" s="175"/>
      <c r="I3099" s="85">
        <f t="shared" si="121"/>
        <v>1.2671717284030137</v>
      </c>
      <c r="J3099" s="104">
        <v>18.5</v>
      </c>
      <c r="K3099" s="144"/>
      <c r="L3099" s="61">
        <v>153</v>
      </c>
    </row>
    <row r="3100" spans="1:12" ht="98" x14ac:dyDescent="0.15">
      <c r="A3100" s="165" t="s">
        <v>2481</v>
      </c>
      <c r="B3100" s="93" t="s">
        <v>2646</v>
      </c>
      <c r="C3100" s="102" t="s">
        <v>3636</v>
      </c>
      <c r="D3100" s="62" t="s">
        <v>2548</v>
      </c>
      <c r="E3100" s="102" t="s">
        <v>1605</v>
      </c>
      <c r="F3100" s="102" t="s">
        <v>1641</v>
      </c>
      <c r="G3100" s="102" t="s">
        <v>5630</v>
      </c>
      <c r="H3100" s="175"/>
      <c r="I3100" s="85">
        <f t="shared" si="121"/>
        <v>1.2977605110991339</v>
      </c>
      <c r="J3100" s="104">
        <v>19.850000000000001</v>
      </c>
      <c r="K3100" s="144"/>
      <c r="L3100" s="61">
        <v>153</v>
      </c>
    </row>
    <row r="3101" spans="1:12" ht="56" x14ac:dyDescent="0.15">
      <c r="A3101" s="165" t="s">
        <v>2481</v>
      </c>
      <c r="B3101" s="93" t="s">
        <v>818</v>
      </c>
      <c r="C3101" s="102" t="s">
        <v>3636</v>
      </c>
      <c r="D3101" s="62" t="s">
        <v>2548</v>
      </c>
      <c r="E3101" s="102" t="s">
        <v>1605</v>
      </c>
      <c r="F3101" s="102" t="s">
        <v>1641</v>
      </c>
      <c r="G3101" s="102" t="s">
        <v>819</v>
      </c>
      <c r="H3101" s="175"/>
      <c r="I3101" s="85">
        <f t="shared" si="121"/>
        <v>1.5230958382525679</v>
      </c>
      <c r="J3101" s="104">
        <v>33.35</v>
      </c>
      <c r="K3101" s="144"/>
      <c r="L3101" s="61">
        <v>153</v>
      </c>
    </row>
    <row r="3102" spans="1:12" ht="42" x14ac:dyDescent="0.15">
      <c r="A3102" s="165" t="s">
        <v>2481</v>
      </c>
      <c r="B3102" s="93" t="s">
        <v>484</v>
      </c>
      <c r="C3102" s="102" t="s">
        <v>3636</v>
      </c>
      <c r="D3102" s="62" t="s">
        <v>2548</v>
      </c>
      <c r="E3102" s="102" t="s">
        <v>1605</v>
      </c>
      <c r="F3102" s="102" t="s">
        <v>1641</v>
      </c>
      <c r="G3102" s="102" t="s">
        <v>1864</v>
      </c>
      <c r="H3102" s="175"/>
      <c r="I3102" s="85">
        <f t="shared" si="121"/>
        <v>1.5250448070368452</v>
      </c>
      <c r="J3102" s="104">
        <v>33.5</v>
      </c>
      <c r="K3102" s="144"/>
      <c r="L3102" s="61">
        <v>153</v>
      </c>
    </row>
    <row r="3103" spans="1:12" ht="28" x14ac:dyDescent="0.15">
      <c r="A3103" s="165" t="s">
        <v>2481</v>
      </c>
      <c r="B3103" s="93" t="s">
        <v>733</v>
      </c>
      <c r="C3103" s="102" t="s">
        <v>3636</v>
      </c>
      <c r="D3103" s="62" t="s">
        <v>2548</v>
      </c>
      <c r="E3103" s="102" t="s">
        <v>1605</v>
      </c>
      <c r="F3103" s="102" t="s">
        <v>1641</v>
      </c>
      <c r="G3103" s="102" t="s">
        <v>526</v>
      </c>
      <c r="H3103" s="175"/>
      <c r="I3103" s="85">
        <f t="shared" si="121"/>
        <v>1.6020599913279623</v>
      </c>
      <c r="J3103" s="104">
        <v>40</v>
      </c>
      <c r="K3103" s="144"/>
      <c r="L3103" s="61">
        <v>153</v>
      </c>
    </row>
    <row r="3104" spans="1:12" ht="84" x14ac:dyDescent="0.15">
      <c r="A3104" s="165" t="s">
        <v>2481</v>
      </c>
      <c r="B3104" s="93" t="s">
        <v>820</v>
      </c>
      <c r="C3104" s="102" t="s">
        <v>3636</v>
      </c>
      <c r="D3104" s="62" t="s">
        <v>2548</v>
      </c>
      <c r="E3104" s="102" t="s">
        <v>1605</v>
      </c>
      <c r="F3104" s="102" t="s">
        <v>1641</v>
      </c>
      <c r="G3104" s="102" t="s">
        <v>5329</v>
      </c>
      <c r="H3104" s="175"/>
      <c r="I3104" s="85">
        <f t="shared" si="121"/>
        <v>1.6411134007807826</v>
      </c>
      <c r="J3104" s="104">
        <v>43.763636363636003</v>
      </c>
      <c r="K3104" s="144"/>
      <c r="L3104" s="61" t="s">
        <v>1754</v>
      </c>
    </row>
    <row r="3105" spans="1:12" ht="14" x14ac:dyDescent="0.15">
      <c r="A3105" s="165" t="s">
        <v>2481</v>
      </c>
      <c r="B3105" s="93" t="s">
        <v>821</v>
      </c>
      <c r="C3105" s="102" t="s">
        <v>3636</v>
      </c>
      <c r="D3105" s="62" t="s">
        <v>2548</v>
      </c>
      <c r="E3105" s="102" t="s">
        <v>1605</v>
      </c>
      <c r="F3105" s="102" t="s">
        <v>1641</v>
      </c>
      <c r="G3105" s="102" t="s">
        <v>1860</v>
      </c>
      <c r="H3105" s="175"/>
      <c r="I3105" s="85">
        <f t="shared" si="121"/>
        <v>1.7193312869837267</v>
      </c>
      <c r="J3105" s="104">
        <v>52.4</v>
      </c>
      <c r="K3105" s="144"/>
      <c r="L3105" s="61">
        <v>153</v>
      </c>
    </row>
    <row r="3106" spans="1:12" ht="56" x14ac:dyDescent="0.15">
      <c r="A3106" s="165" t="s">
        <v>2481</v>
      </c>
      <c r="B3106" s="93" t="s">
        <v>439</v>
      </c>
      <c r="C3106" s="102" t="s">
        <v>3636</v>
      </c>
      <c r="D3106" s="62" t="s">
        <v>2548</v>
      </c>
      <c r="E3106" s="102" t="s">
        <v>1605</v>
      </c>
      <c r="F3106" s="102" t="s">
        <v>1641</v>
      </c>
      <c r="G3106" s="102" t="s">
        <v>440</v>
      </c>
      <c r="H3106" s="175"/>
      <c r="I3106" s="85">
        <f t="shared" si="121"/>
        <v>1.7242758696007889</v>
      </c>
      <c r="J3106" s="104">
        <v>53</v>
      </c>
      <c r="K3106" s="144"/>
      <c r="L3106" s="61">
        <v>153</v>
      </c>
    </row>
    <row r="3107" spans="1:12" ht="98" x14ac:dyDescent="0.15">
      <c r="A3107" s="165" t="s">
        <v>2481</v>
      </c>
      <c r="B3107" s="93" t="s">
        <v>681</v>
      </c>
      <c r="C3107" s="102" t="s">
        <v>3636</v>
      </c>
      <c r="D3107" s="62" t="s">
        <v>2548</v>
      </c>
      <c r="E3107" s="102" t="s">
        <v>1605</v>
      </c>
      <c r="F3107" s="102" t="s">
        <v>1641</v>
      </c>
      <c r="G3107" s="102" t="s">
        <v>2276</v>
      </c>
      <c r="H3107" s="175"/>
      <c r="I3107" s="85">
        <f t="shared" si="121"/>
        <v>1.9960338127823982</v>
      </c>
      <c r="J3107" s="104">
        <v>99.090909090908994</v>
      </c>
      <c r="K3107" s="144"/>
      <c r="L3107" s="62">
        <v>153</v>
      </c>
    </row>
    <row r="3108" spans="1:12" ht="28" x14ac:dyDescent="0.15">
      <c r="A3108" s="165" t="s">
        <v>2481</v>
      </c>
      <c r="B3108" s="93" t="s">
        <v>938</v>
      </c>
      <c r="C3108" s="102" t="s">
        <v>3636</v>
      </c>
      <c r="D3108" s="62" t="s">
        <v>2548</v>
      </c>
      <c r="E3108" s="102" t="s">
        <v>1605</v>
      </c>
      <c r="F3108" s="102" t="s">
        <v>1310</v>
      </c>
      <c r="G3108" s="102" t="s">
        <v>427</v>
      </c>
      <c r="H3108" s="175"/>
      <c r="I3108" s="98">
        <v>-999</v>
      </c>
      <c r="J3108" s="98">
        <v>-999</v>
      </c>
      <c r="K3108" s="135"/>
      <c r="L3108" s="61">
        <v>-999</v>
      </c>
    </row>
    <row r="3109" spans="1:12" ht="14" x14ac:dyDescent="0.15">
      <c r="A3109" s="165" t="s">
        <v>2481</v>
      </c>
      <c r="B3109" s="93" t="s">
        <v>997</v>
      </c>
      <c r="C3109" s="102" t="s">
        <v>3636</v>
      </c>
      <c r="D3109" s="62" t="s">
        <v>2548</v>
      </c>
      <c r="E3109" s="102" t="s">
        <v>1605</v>
      </c>
      <c r="F3109" s="102" t="s">
        <v>1310</v>
      </c>
      <c r="G3109" s="102" t="s">
        <v>998</v>
      </c>
      <c r="H3109" s="175"/>
      <c r="I3109" s="98">
        <v>-999</v>
      </c>
      <c r="J3109" s="98">
        <v>-999</v>
      </c>
      <c r="K3109" s="135"/>
      <c r="L3109" s="61">
        <v>-999</v>
      </c>
    </row>
    <row r="3110" spans="1:12" ht="42" x14ac:dyDescent="0.15">
      <c r="A3110" s="165" t="s">
        <v>2481</v>
      </c>
      <c r="B3110" s="93" t="s">
        <v>999</v>
      </c>
      <c r="C3110" s="102" t="s">
        <v>3636</v>
      </c>
      <c r="D3110" s="62" t="s">
        <v>2548</v>
      </c>
      <c r="E3110" s="102" t="s">
        <v>1605</v>
      </c>
      <c r="F3110" s="102" t="s">
        <v>1310</v>
      </c>
      <c r="G3110" s="102" t="s">
        <v>6242</v>
      </c>
      <c r="H3110" s="175"/>
      <c r="I3110" s="98">
        <v>-999</v>
      </c>
      <c r="J3110" s="98">
        <v>-999</v>
      </c>
      <c r="K3110" s="135"/>
      <c r="L3110" s="61">
        <v>-999</v>
      </c>
    </row>
    <row r="3111" spans="1:12" ht="14" x14ac:dyDescent="0.15">
      <c r="A3111" s="165" t="s">
        <v>2481</v>
      </c>
      <c r="B3111" s="93" t="s">
        <v>2762</v>
      </c>
      <c r="C3111" s="102" t="s">
        <v>3636</v>
      </c>
      <c r="D3111" s="62" t="s">
        <v>2548</v>
      </c>
      <c r="E3111" s="102" t="s">
        <v>1605</v>
      </c>
      <c r="F3111" s="102" t="s">
        <v>1310</v>
      </c>
      <c r="G3111" s="102" t="s">
        <v>2763</v>
      </c>
      <c r="H3111" s="175"/>
      <c r="I3111" s="98">
        <v>-999</v>
      </c>
      <c r="J3111" s="98">
        <v>-999</v>
      </c>
      <c r="K3111" s="135"/>
      <c r="L3111" s="61">
        <v>-999</v>
      </c>
    </row>
    <row r="3112" spans="1:12" ht="14" x14ac:dyDescent="0.15">
      <c r="A3112" s="165" t="s">
        <v>2481</v>
      </c>
      <c r="B3112" s="93" t="s">
        <v>2674</v>
      </c>
      <c r="C3112" s="102" t="s">
        <v>3636</v>
      </c>
      <c r="D3112" s="62" t="s">
        <v>2548</v>
      </c>
      <c r="E3112" s="102" t="s">
        <v>1605</v>
      </c>
      <c r="F3112" s="102" t="s">
        <v>1310</v>
      </c>
      <c r="G3112" s="102" t="s">
        <v>2768</v>
      </c>
      <c r="H3112" s="175"/>
      <c r="I3112" s="98">
        <v>-999</v>
      </c>
      <c r="J3112" s="98">
        <v>-999</v>
      </c>
      <c r="K3112" s="135"/>
      <c r="L3112" s="61">
        <v>-999</v>
      </c>
    </row>
    <row r="3113" spans="1:12" ht="56" x14ac:dyDescent="0.15">
      <c r="A3113" s="165" t="s">
        <v>2481</v>
      </c>
      <c r="B3113" s="93" t="s">
        <v>788</v>
      </c>
      <c r="C3113" s="102" t="s">
        <v>3636</v>
      </c>
      <c r="D3113" s="62" t="s">
        <v>2548</v>
      </c>
      <c r="E3113" s="102" t="s">
        <v>1605</v>
      </c>
      <c r="F3113" s="102" t="s">
        <v>1310</v>
      </c>
      <c r="G3113" s="102" t="s">
        <v>789</v>
      </c>
      <c r="H3113" s="175"/>
      <c r="I3113" s="98">
        <v>-999</v>
      </c>
      <c r="J3113" s="98">
        <v>-999</v>
      </c>
      <c r="K3113" s="135"/>
      <c r="L3113" s="61">
        <v>-999</v>
      </c>
    </row>
    <row r="3114" spans="1:12" ht="28" x14ac:dyDescent="0.15">
      <c r="A3114" s="165" t="s">
        <v>2481</v>
      </c>
      <c r="B3114" s="93" t="s">
        <v>2695</v>
      </c>
      <c r="C3114" s="102" t="s">
        <v>3636</v>
      </c>
      <c r="D3114" s="62" t="s">
        <v>2548</v>
      </c>
      <c r="E3114" s="102" t="s">
        <v>1605</v>
      </c>
      <c r="F3114" s="102" t="s">
        <v>1310</v>
      </c>
      <c r="G3114" s="102" t="s">
        <v>2701</v>
      </c>
      <c r="H3114" s="175"/>
      <c r="I3114" s="98">
        <v>-999</v>
      </c>
      <c r="J3114" s="98">
        <v>-999</v>
      </c>
      <c r="K3114" s="135"/>
      <c r="L3114" s="61">
        <v>-999</v>
      </c>
    </row>
    <row r="3115" spans="1:12" ht="14" x14ac:dyDescent="0.15">
      <c r="A3115" s="165" t="s">
        <v>2481</v>
      </c>
      <c r="B3115" s="93" t="s">
        <v>5852</v>
      </c>
      <c r="C3115" s="102" t="s">
        <v>3636</v>
      </c>
      <c r="D3115" s="62" t="s">
        <v>2548</v>
      </c>
      <c r="E3115" s="102" t="s">
        <v>1605</v>
      </c>
      <c r="F3115" s="102" t="s">
        <v>1310</v>
      </c>
      <c r="G3115" s="102" t="s">
        <v>2675</v>
      </c>
      <c r="H3115" s="175"/>
      <c r="I3115" s="98">
        <v>-999</v>
      </c>
      <c r="J3115" s="98">
        <v>-999</v>
      </c>
      <c r="K3115" s="135"/>
      <c r="L3115" s="61">
        <v>-999</v>
      </c>
    </row>
    <row r="3116" spans="1:12" ht="70" x14ac:dyDescent="0.15">
      <c r="A3116" s="165" t="s">
        <v>2481</v>
      </c>
      <c r="B3116" s="93" t="s">
        <v>969</v>
      </c>
      <c r="C3116" s="102" t="s">
        <v>3636</v>
      </c>
      <c r="D3116" s="62" t="s">
        <v>2548</v>
      </c>
      <c r="E3116" s="102" t="s">
        <v>1605</v>
      </c>
      <c r="F3116" s="102" t="s">
        <v>1310</v>
      </c>
      <c r="G3116" s="102" t="s">
        <v>970</v>
      </c>
      <c r="H3116" s="175"/>
      <c r="I3116" s="85">
        <f t="shared" ref="I3116:I3145" si="122">LOG(J3116)</f>
        <v>0.67294997295450032</v>
      </c>
      <c r="J3116" s="104">
        <v>4.7092307692309996</v>
      </c>
      <c r="K3116" s="144"/>
      <c r="L3116" s="61">
        <v>153</v>
      </c>
    </row>
    <row r="3117" spans="1:12" ht="70" x14ac:dyDescent="0.15">
      <c r="A3117" s="165" t="s">
        <v>2481</v>
      </c>
      <c r="B3117" s="93" t="s">
        <v>673</v>
      </c>
      <c r="C3117" s="102" t="s">
        <v>3636</v>
      </c>
      <c r="D3117" s="62" t="s">
        <v>2548</v>
      </c>
      <c r="E3117" s="102" t="s">
        <v>1605</v>
      </c>
      <c r="F3117" s="102" t="s">
        <v>1310</v>
      </c>
      <c r="G3117" s="102" t="s">
        <v>4291</v>
      </c>
      <c r="H3117" s="175"/>
      <c r="I3117" s="85">
        <f t="shared" si="122"/>
        <v>0.71180722904119109</v>
      </c>
      <c r="J3117" s="104">
        <v>5.15</v>
      </c>
      <c r="K3117" s="144"/>
      <c r="L3117" s="61">
        <v>153</v>
      </c>
    </row>
    <row r="3118" spans="1:12" ht="56" x14ac:dyDescent="0.15">
      <c r="A3118" s="165" t="s">
        <v>2481</v>
      </c>
      <c r="B3118" s="93" t="s">
        <v>2760</v>
      </c>
      <c r="C3118" s="102" t="s">
        <v>3636</v>
      </c>
      <c r="D3118" s="62" t="s">
        <v>2548</v>
      </c>
      <c r="E3118" s="102" t="s">
        <v>1605</v>
      </c>
      <c r="F3118" s="102" t="s">
        <v>1310</v>
      </c>
      <c r="G3118" s="102" t="s">
        <v>2083</v>
      </c>
      <c r="H3118" s="175"/>
      <c r="I3118" s="85">
        <f t="shared" si="122"/>
        <v>0.75587485567249146</v>
      </c>
      <c r="J3118" s="104">
        <v>5.7</v>
      </c>
      <c r="K3118" s="144"/>
      <c r="L3118" s="61">
        <v>153</v>
      </c>
    </row>
    <row r="3119" spans="1:12" ht="14" x14ac:dyDescent="0.15">
      <c r="A3119" s="165" t="s">
        <v>2481</v>
      </c>
      <c r="B3119" s="93" t="s">
        <v>5852</v>
      </c>
      <c r="C3119" s="102" t="s">
        <v>3636</v>
      </c>
      <c r="D3119" s="62" t="s">
        <v>2548</v>
      </c>
      <c r="E3119" s="102" t="s">
        <v>1605</v>
      </c>
      <c r="F3119" s="102" t="s">
        <v>1310</v>
      </c>
      <c r="G3119" s="102" t="s">
        <v>2761</v>
      </c>
      <c r="H3119" s="175"/>
      <c r="I3119" s="85">
        <f t="shared" si="122"/>
        <v>0.77815125038364363</v>
      </c>
      <c r="J3119" s="104">
        <v>6</v>
      </c>
      <c r="K3119" s="144"/>
      <c r="L3119" s="61">
        <v>153</v>
      </c>
    </row>
    <row r="3120" spans="1:12" ht="42" x14ac:dyDescent="0.15">
      <c r="A3120" s="165" t="s">
        <v>2481</v>
      </c>
      <c r="B3120" s="93" t="s">
        <v>2750</v>
      </c>
      <c r="C3120" s="102" t="s">
        <v>3636</v>
      </c>
      <c r="D3120" s="62" t="s">
        <v>2548</v>
      </c>
      <c r="E3120" s="102" t="s">
        <v>1605</v>
      </c>
      <c r="F3120" s="102" t="s">
        <v>1310</v>
      </c>
      <c r="G3120" s="102" t="s">
        <v>3959</v>
      </c>
      <c r="H3120" s="175"/>
      <c r="I3120" s="85">
        <f t="shared" si="122"/>
        <v>0.7888751157754168</v>
      </c>
      <c r="J3120" s="104">
        <v>6.15</v>
      </c>
      <c r="K3120" s="144"/>
      <c r="L3120" s="61">
        <v>153</v>
      </c>
    </row>
    <row r="3121" spans="1:18" ht="42" x14ac:dyDescent="0.15">
      <c r="A3121" s="165" t="s">
        <v>2481</v>
      </c>
      <c r="B3121" s="93" t="s">
        <v>2752</v>
      </c>
      <c r="C3121" s="102" t="s">
        <v>3636</v>
      </c>
      <c r="D3121" s="62" t="s">
        <v>2548</v>
      </c>
      <c r="E3121" s="102" t="s">
        <v>1605</v>
      </c>
      <c r="F3121" s="102" t="s">
        <v>1310</v>
      </c>
      <c r="G3121" s="102" t="s">
        <v>7276</v>
      </c>
      <c r="H3121" s="175"/>
      <c r="I3121" s="85">
        <f t="shared" si="122"/>
        <v>0.79239168949825389</v>
      </c>
      <c r="J3121" s="104">
        <v>6.2</v>
      </c>
      <c r="K3121" s="144"/>
      <c r="L3121" s="61">
        <v>153</v>
      </c>
    </row>
    <row r="3122" spans="1:18" ht="28" x14ac:dyDescent="0.15">
      <c r="A3122" s="165" t="s">
        <v>2481</v>
      </c>
      <c r="B3122" s="93" t="s">
        <v>2676</v>
      </c>
      <c r="C3122" s="102" t="s">
        <v>3636</v>
      </c>
      <c r="D3122" s="62" t="s">
        <v>2548</v>
      </c>
      <c r="E3122" s="102" t="s">
        <v>1605</v>
      </c>
      <c r="F3122" s="102" t="s">
        <v>1310</v>
      </c>
      <c r="G3122" s="102" t="s">
        <v>2677</v>
      </c>
      <c r="H3122" s="175"/>
      <c r="I3122" s="85">
        <f t="shared" si="122"/>
        <v>0.85278486868054781</v>
      </c>
      <c r="J3122" s="104">
        <v>7.125</v>
      </c>
      <c r="K3122" s="144"/>
      <c r="L3122" s="61">
        <v>153</v>
      </c>
      <c r="Q3122" s="14"/>
      <c r="R3122" s="14"/>
    </row>
    <row r="3123" spans="1:18" ht="28" x14ac:dyDescent="0.15">
      <c r="A3123" s="165" t="s">
        <v>2481</v>
      </c>
      <c r="B3123" s="93" t="s">
        <v>2575</v>
      </c>
      <c r="C3123" s="102" t="s">
        <v>3636</v>
      </c>
      <c r="D3123" s="62" t="s">
        <v>2548</v>
      </c>
      <c r="E3123" s="102" t="s">
        <v>1605</v>
      </c>
      <c r="F3123" s="102" t="s">
        <v>1310</v>
      </c>
      <c r="G3123" s="102" t="s">
        <v>2576</v>
      </c>
      <c r="H3123" s="175"/>
      <c r="I3123" s="85">
        <f t="shared" si="122"/>
        <v>0.85733249643126852</v>
      </c>
      <c r="J3123" s="104">
        <v>7.2</v>
      </c>
      <c r="K3123" s="144"/>
      <c r="L3123" s="61">
        <v>153</v>
      </c>
    </row>
    <row r="3124" spans="1:18" ht="84" x14ac:dyDescent="0.15">
      <c r="A3124" s="165" t="s">
        <v>2481</v>
      </c>
      <c r="B3124" s="93" t="s">
        <v>925</v>
      </c>
      <c r="C3124" s="102" t="s">
        <v>3636</v>
      </c>
      <c r="D3124" s="62" t="s">
        <v>2548</v>
      </c>
      <c r="E3124" s="102" t="s">
        <v>1605</v>
      </c>
      <c r="F3124" s="102" t="s">
        <v>1310</v>
      </c>
      <c r="G3124" s="102" t="s">
        <v>926</v>
      </c>
      <c r="H3124" s="175"/>
      <c r="I3124" s="98">
        <f t="shared" si="122"/>
        <v>0.89762709129044149</v>
      </c>
      <c r="J3124" s="98">
        <f>AVERAGE(6.4, 9.4)</f>
        <v>7.9</v>
      </c>
      <c r="K3124" s="135"/>
      <c r="L3124" s="61">
        <v>257</v>
      </c>
    </row>
    <row r="3125" spans="1:18" ht="42" x14ac:dyDescent="0.15">
      <c r="A3125" s="165" t="s">
        <v>2481</v>
      </c>
      <c r="B3125" s="93" t="s">
        <v>777</v>
      </c>
      <c r="C3125" s="102" t="s">
        <v>3636</v>
      </c>
      <c r="D3125" s="62" t="s">
        <v>2548</v>
      </c>
      <c r="E3125" s="102" t="s">
        <v>1605</v>
      </c>
      <c r="F3125" s="102" t="s">
        <v>1310</v>
      </c>
      <c r="G3125" s="102" t="s">
        <v>778</v>
      </c>
      <c r="H3125" s="175"/>
      <c r="I3125" s="85">
        <f t="shared" si="122"/>
        <v>0.89762709129044149</v>
      </c>
      <c r="J3125" s="104">
        <v>7.9</v>
      </c>
      <c r="K3125" s="144"/>
      <c r="L3125" s="61">
        <v>153</v>
      </c>
    </row>
    <row r="3126" spans="1:18" ht="84" x14ac:dyDescent="0.15">
      <c r="A3126" s="165" t="s">
        <v>2481</v>
      </c>
      <c r="B3126" s="93" t="s">
        <v>538</v>
      </c>
      <c r="C3126" s="102" t="s">
        <v>3636</v>
      </c>
      <c r="D3126" s="62" t="s">
        <v>2548</v>
      </c>
      <c r="E3126" s="102" t="s">
        <v>1605</v>
      </c>
      <c r="F3126" s="102" t="s">
        <v>1310</v>
      </c>
      <c r="G3126" s="102" t="s">
        <v>539</v>
      </c>
      <c r="H3126" s="175"/>
      <c r="I3126" s="85">
        <f t="shared" si="122"/>
        <v>0.91115760873997664</v>
      </c>
      <c r="J3126" s="104">
        <v>8.15</v>
      </c>
      <c r="K3126" s="144"/>
      <c r="L3126" s="61">
        <v>153</v>
      </c>
    </row>
    <row r="3127" spans="1:18" ht="28" x14ac:dyDescent="0.15">
      <c r="A3127" s="165" t="s">
        <v>2481</v>
      </c>
      <c r="B3127" s="93" t="s">
        <v>458</v>
      </c>
      <c r="C3127" s="102" t="s">
        <v>3636</v>
      </c>
      <c r="D3127" s="62" t="s">
        <v>2548</v>
      </c>
      <c r="E3127" s="102" t="s">
        <v>1605</v>
      </c>
      <c r="F3127" s="102" t="s">
        <v>1310</v>
      </c>
      <c r="G3127" s="102" t="s">
        <v>4360</v>
      </c>
      <c r="H3127" s="175"/>
      <c r="I3127" s="85">
        <f t="shared" si="122"/>
        <v>0.92941892571429274</v>
      </c>
      <c r="J3127" s="104">
        <v>8.5</v>
      </c>
      <c r="K3127" s="144"/>
      <c r="L3127" s="61">
        <v>153</v>
      </c>
    </row>
    <row r="3128" spans="1:18" ht="28" x14ac:dyDescent="0.15">
      <c r="A3128" s="165" t="s">
        <v>2481</v>
      </c>
      <c r="B3128" s="93" t="s">
        <v>459</v>
      </c>
      <c r="C3128" s="102" t="s">
        <v>3636</v>
      </c>
      <c r="D3128" s="62" t="s">
        <v>2548</v>
      </c>
      <c r="E3128" s="102" t="s">
        <v>1605</v>
      </c>
      <c r="F3128" s="102" t="s">
        <v>1310</v>
      </c>
      <c r="G3128" s="102" t="s">
        <v>5113</v>
      </c>
      <c r="H3128" s="175"/>
      <c r="I3128" s="85">
        <f t="shared" si="122"/>
        <v>0.94200805302231327</v>
      </c>
      <c r="J3128" s="104">
        <v>8.75</v>
      </c>
      <c r="K3128" s="144"/>
      <c r="L3128" s="61">
        <v>153</v>
      </c>
    </row>
    <row r="3129" spans="1:18" ht="14" x14ac:dyDescent="0.15">
      <c r="A3129" s="165" t="s">
        <v>2481</v>
      </c>
      <c r="B3129" s="93" t="s">
        <v>1850</v>
      </c>
      <c r="C3129" s="102" t="s">
        <v>3636</v>
      </c>
      <c r="D3129" s="62" t="s">
        <v>2548</v>
      </c>
      <c r="E3129" s="102" t="s">
        <v>1605</v>
      </c>
      <c r="F3129" s="102" t="s">
        <v>1310</v>
      </c>
      <c r="G3129" s="102" t="s">
        <v>549</v>
      </c>
      <c r="H3129" s="175"/>
      <c r="I3129" s="85">
        <f t="shared" si="122"/>
        <v>0.94200805302231327</v>
      </c>
      <c r="J3129" s="104">
        <v>8.75</v>
      </c>
      <c r="K3129" s="144"/>
      <c r="L3129" s="61">
        <v>153</v>
      </c>
    </row>
    <row r="3130" spans="1:18" ht="56" x14ac:dyDescent="0.15">
      <c r="A3130" s="165" t="s">
        <v>2481</v>
      </c>
      <c r="B3130" s="93" t="s">
        <v>465</v>
      </c>
      <c r="C3130" s="102" t="s">
        <v>3636</v>
      </c>
      <c r="D3130" s="62" t="s">
        <v>2548</v>
      </c>
      <c r="E3130" s="102" t="s">
        <v>1605</v>
      </c>
      <c r="F3130" s="102" t="s">
        <v>1310</v>
      </c>
      <c r="G3130" s="102" t="s">
        <v>466</v>
      </c>
      <c r="H3130" s="175"/>
      <c r="I3130" s="85">
        <f t="shared" si="122"/>
        <v>0.94743372188705077</v>
      </c>
      <c r="J3130" s="104">
        <v>8.86</v>
      </c>
      <c r="K3130" s="144"/>
      <c r="L3130" s="61">
        <v>153</v>
      </c>
    </row>
    <row r="3131" spans="1:18" ht="84" x14ac:dyDescent="0.15">
      <c r="A3131" s="165" t="s">
        <v>2481</v>
      </c>
      <c r="B3131" s="93" t="s">
        <v>174</v>
      </c>
      <c r="C3131" s="102" t="s">
        <v>3636</v>
      </c>
      <c r="D3131" s="62" t="s">
        <v>2548</v>
      </c>
      <c r="E3131" s="102" t="s">
        <v>1605</v>
      </c>
      <c r="F3131" s="102" t="s">
        <v>1310</v>
      </c>
      <c r="G3131" s="102" t="s">
        <v>6022</v>
      </c>
      <c r="H3131" s="175"/>
      <c r="I3131" s="85">
        <f t="shared" si="122"/>
        <v>1</v>
      </c>
      <c r="J3131" s="104">
        <f>AVERAGE(7, 13)</f>
        <v>10</v>
      </c>
      <c r="K3131" s="144"/>
      <c r="L3131" s="61">
        <v>257</v>
      </c>
    </row>
    <row r="3132" spans="1:18" ht="112" x14ac:dyDescent="0.15">
      <c r="A3132" s="165" t="s">
        <v>2481</v>
      </c>
      <c r="B3132" s="93" t="s">
        <v>1097</v>
      </c>
      <c r="C3132" s="102" t="s">
        <v>3636</v>
      </c>
      <c r="D3132" s="62" t="s">
        <v>2548</v>
      </c>
      <c r="E3132" s="102" t="s">
        <v>1605</v>
      </c>
      <c r="F3132" s="102" t="s">
        <v>1310</v>
      </c>
      <c r="G3132" s="102" t="s">
        <v>1347</v>
      </c>
      <c r="H3132" s="175"/>
      <c r="I3132" s="85">
        <f t="shared" si="122"/>
        <v>1.002705893375925</v>
      </c>
      <c r="J3132" s="104">
        <v>10.0625</v>
      </c>
      <c r="K3132" s="144"/>
      <c r="L3132" s="61">
        <v>153</v>
      </c>
    </row>
    <row r="3133" spans="1:18" ht="28" x14ac:dyDescent="0.15">
      <c r="A3133" s="165" t="s">
        <v>2481</v>
      </c>
      <c r="B3133" s="93" t="s">
        <v>2732</v>
      </c>
      <c r="C3133" s="102" t="s">
        <v>3636</v>
      </c>
      <c r="D3133" s="62" t="s">
        <v>2548</v>
      </c>
      <c r="E3133" s="102" t="s">
        <v>1605</v>
      </c>
      <c r="F3133" s="102" t="s">
        <v>1310</v>
      </c>
      <c r="G3133" s="102" t="s">
        <v>2733</v>
      </c>
      <c r="H3133" s="175"/>
      <c r="I3133" s="85">
        <f t="shared" si="122"/>
        <v>1.0713910016213852</v>
      </c>
      <c r="J3133" s="104">
        <v>11.786666666666999</v>
      </c>
      <c r="K3133" s="144"/>
      <c r="L3133" s="61">
        <v>153</v>
      </c>
    </row>
    <row r="3134" spans="1:18" ht="28" x14ac:dyDescent="0.15">
      <c r="A3134" s="165" t="s">
        <v>2481</v>
      </c>
      <c r="B3134" s="93" t="s">
        <v>919</v>
      </c>
      <c r="C3134" s="102" t="s">
        <v>3636</v>
      </c>
      <c r="D3134" s="62" t="s">
        <v>2548</v>
      </c>
      <c r="E3134" s="102" t="s">
        <v>1605</v>
      </c>
      <c r="F3134" s="102" t="s">
        <v>1310</v>
      </c>
      <c r="G3134" s="102" t="s">
        <v>2764</v>
      </c>
      <c r="H3134" s="175"/>
      <c r="I3134" s="98">
        <f t="shared" si="122"/>
        <v>1.0791812460476249</v>
      </c>
      <c r="J3134" s="98">
        <f>AVERAGE(10.5, 13.5)</f>
        <v>12</v>
      </c>
      <c r="K3134" s="135"/>
      <c r="L3134" s="61">
        <v>257</v>
      </c>
    </row>
    <row r="3135" spans="1:18" ht="112" x14ac:dyDescent="0.15">
      <c r="A3135" s="165" t="s">
        <v>2481</v>
      </c>
      <c r="B3135" s="93" t="s">
        <v>1091</v>
      </c>
      <c r="C3135" s="102" t="s">
        <v>3636</v>
      </c>
      <c r="D3135" s="62" t="s">
        <v>2548</v>
      </c>
      <c r="E3135" s="102" t="s">
        <v>1605</v>
      </c>
      <c r="F3135" s="102" t="s">
        <v>1310</v>
      </c>
      <c r="G3135" s="102" t="s">
        <v>1092</v>
      </c>
      <c r="H3135" s="175"/>
      <c r="I3135" s="85">
        <f t="shared" si="122"/>
        <v>1.0910804693473208</v>
      </c>
      <c r="J3135" s="104">
        <v>12.333333333333</v>
      </c>
      <c r="K3135" s="144"/>
      <c r="L3135" s="61">
        <v>153</v>
      </c>
    </row>
    <row r="3136" spans="1:18" ht="84" x14ac:dyDescent="0.15">
      <c r="A3136" s="165" t="s">
        <v>2481</v>
      </c>
      <c r="B3136" s="93" t="s">
        <v>899</v>
      </c>
      <c r="C3136" s="102" t="s">
        <v>3636</v>
      </c>
      <c r="D3136" s="62" t="s">
        <v>2548</v>
      </c>
      <c r="E3136" s="102" t="s">
        <v>1605</v>
      </c>
      <c r="F3136" s="102" t="s">
        <v>1310</v>
      </c>
      <c r="G3136" s="102" t="s">
        <v>979</v>
      </c>
      <c r="H3136" s="175"/>
      <c r="I3136" s="85">
        <f t="shared" si="122"/>
        <v>1.0969100130080565</v>
      </c>
      <c r="J3136" s="104">
        <f>AVERAGE(11, 14)</f>
        <v>12.5</v>
      </c>
      <c r="K3136" s="144"/>
      <c r="L3136" s="61">
        <v>257</v>
      </c>
    </row>
    <row r="3137" spans="1:12" ht="70" x14ac:dyDescent="0.15">
      <c r="A3137" s="165" t="s">
        <v>2481</v>
      </c>
      <c r="B3137" s="93" t="s">
        <v>2712</v>
      </c>
      <c r="C3137" s="102" t="s">
        <v>3636</v>
      </c>
      <c r="D3137" s="62" t="s">
        <v>2548</v>
      </c>
      <c r="E3137" s="102" t="s">
        <v>1605</v>
      </c>
      <c r="F3137" s="102" t="s">
        <v>1310</v>
      </c>
      <c r="G3137" s="102" t="s">
        <v>7186</v>
      </c>
      <c r="H3137" s="175"/>
      <c r="I3137" s="85">
        <f t="shared" si="122"/>
        <v>1.1222158782728267</v>
      </c>
      <c r="J3137" s="104">
        <f>AVERAGE(12.5, 14)</f>
        <v>13.25</v>
      </c>
      <c r="K3137" s="144"/>
      <c r="L3137" s="61">
        <v>257</v>
      </c>
    </row>
    <row r="3138" spans="1:12" ht="14" x14ac:dyDescent="0.15">
      <c r="A3138" s="165" t="s">
        <v>2481</v>
      </c>
      <c r="B3138" s="93" t="s">
        <v>4749</v>
      </c>
      <c r="C3138" s="102" t="s">
        <v>3636</v>
      </c>
      <c r="D3138" s="62" t="s">
        <v>2548</v>
      </c>
      <c r="E3138" s="102" t="s">
        <v>1605</v>
      </c>
      <c r="F3138" s="102" t="s">
        <v>1310</v>
      </c>
      <c r="G3138" s="102" t="s">
        <v>2708</v>
      </c>
      <c r="H3138" s="175"/>
      <c r="I3138" s="85">
        <f t="shared" si="122"/>
        <v>1.1303337684950061</v>
      </c>
      <c r="J3138" s="104">
        <v>13.5</v>
      </c>
      <c r="K3138" s="144"/>
      <c r="L3138" s="61">
        <v>153</v>
      </c>
    </row>
    <row r="3139" spans="1:12" ht="70" x14ac:dyDescent="0.15">
      <c r="A3139" s="165" t="s">
        <v>2481</v>
      </c>
      <c r="B3139" s="93" t="s">
        <v>730</v>
      </c>
      <c r="C3139" s="102" t="s">
        <v>3636</v>
      </c>
      <c r="D3139" s="62" t="s">
        <v>2548</v>
      </c>
      <c r="E3139" s="102" t="s">
        <v>1605</v>
      </c>
      <c r="F3139" s="102" t="s">
        <v>1310</v>
      </c>
      <c r="G3139" s="102" t="s">
        <v>731</v>
      </c>
      <c r="H3139" s="175"/>
      <c r="I3139" s="85">
        <f t="shared" si="122"/>
        <v>1.153814864344529</v>
      </c>
      <c r="J3139" s="104">
        <f>AVERAGE(10.5, 18)</f>
        <v>14.25</v>
      </c>
      <c r="K3139" s="144"/>
      <c r="L3139" s="61">
        <v>257</v>
      </c>
    </row>
    <row r="3140" spans="1:12" ht="84" x14ac:dyDescent="0.15">
      <c r="A3140" s="165" t="s">
        <v>2481</v>
      </c>
      <c r="B3140" s="93" t="s">
        <v>2622</v>
      </c>
      <c r="C3140" s="102" t="s">
        <v>3636</v>
      </c>
      <c r="D3140" s="62" t="s">
        <v>2548</v>
      </c>
      <c r="E3140" s="102" t="s">
        <v>1605</v>
      </c>
      <c r="F3140" s="102" t="s">
        <v>1310</v>
      </c>
      <c r="G3140" s="102" t="s">
        <v>1346</v>
      </c>
      <c r="H3140" s="175"/>
      <c r="I3140" s="85">
        <f t="shared" si="122"/>
        <v>1.1553360374650619</v>
      </c>
      <c r="J3140" s="104">
        <v>14.3</v>
      </c>
      <c r="K3140" s="144"/>
      <c r="L3140" s="61">
        <v>153</v>
      </c>
    </row>
    <row r="3141" spans="1:12" ht="42" x14ac:dyDescent="0.15">
      <c r="A3141" s="165" t="s">
        <v>2481</v>
      </c>
      <c r="B3141" s="93" t="s">
        <v>585</v>
      </c>
      <c r="C3141" s="102" t="s">
        <v>3636</v>
      </c>
      <c r="D3141" s="62" t="s">
        <v>2548</v>
      </c>
      <c r="E3141" s="102" t="s">
        <v>1605</v>
      </c>
      <c r="F3141" s="102" t="s">
        <v>1310</v>
      </c>
      <c r="G3141" s="102" t="s">
        <v>492</v>
      </c>
      <c r="H3141" s="175"/>
      <c r="I3141" s="85">
        <f t="shared" si="122"/>
        <v>1.2730012720637376</v>
      </c>
      <c r="J3141" s="104">
        <v>18.75</v>
      </c>
      <c r="K3141" s="144"/>
      <c r="L3141" s="61">
        <v>153</v>
      </c>
    </row>
    <row r="3142" spans="1:12" ht="56" x14ac:dyDescent="0.15">
      <c r="A3142" s="165" t="s">
        <v>2481</v>
      </c>
      <c r="B3142" s="93" t="s">
        <v>2857</v>
      </c>
      <c r="C3142" s="102" t="s">
        <v>3636</v>
      </c>
      <c r="D3142" s="62" t="s">
        <v>2548</v>
      </c>
      <c r="E3142" s="102" t="s">
        <v>1605</v>
      </c>
      <c r="F3142" s="102" t="s">
        <v>1310</v>
      </c>
      <c r="G3142" s="102" t="s">
        <v>2858</v>
      </c>
      <c r="H3142" s="175"/>
      <c r="I3142" s="85">
        <f t="shared" si="122"/>
        <v>1.2798949800116382</v>
      </c>
      <c r="J3142" s="104">
        <v>19.05</v>
      </c>
      <c r="K3142" s="144"/>
      <c r="L3142" s="61">
        <v>153</v>
      </c>
    </row>
    <row r="3143" spans="1:12" ht="84" x14ac:dyDescent="0.15">
      <c r="A3143" s="165" t="s">
        <v>2481</v>
      </c>
      <c r="B3143" s="93" t="s">
        <v>1301</v>
      </c>
      <c r="C3143" s="102" t="s">
        <v>3636</v>
      </c>
      <c r="D3143" s="62" t="s">
        <v>2548</v>
      </c>
      <c r="E3143" s="102" t="s">
        <v>1605</v>
      </c>
      <c r="F3143" s="102" t="s">
        <v>1310</v>
      </c>
      <c r="G3143" s="102" t="s">
        <v>1019</v>
      </c>
      <c r="H3143" s="175"/>
      <c r="I3143" s="85">
        <f t="shared" si="122"/>
        <v>1.3234730964355814</v>
      </c>
      <c r="J3143" s="104">
        <v>21.060714285713999</v>
      </c>
      <c r="K3143" s="144"/>
      <c r="L3143" s="61">
        <v>153</v>
      </c>
    </row>
    <row r="3144" spans="1:12" ht="14" x14ac:dyDescent="0.15">
      <c r="A3144" s="165" t="s">
        <v>2481</v>
      </c>
      <c r="B3144" s="93" t="s">
        <v>5852</v>
      </c>
      <c r="C3144" s="102" t="s">
        <v>3636</v>
      </c>
      <c r="D3144" s="62" t="s">
        <v>2548</v>
      </c>
      <c r="E3144" s="102" t="s">
        <v>1605</v>
      </c>
      <c r="F3144" s="102" t="s">
        <v>1310</v>
      </c>
      <c r="G3144" s="102" t="s">
        <v>2230</v>
      </c>
      <c r="H3144" s="175"/>
      <c r="I3144" s="85">
        <f t="shared" si="122"/>
        <v>1.4771212547196624</v>
      </c>
      <c r="J3144" s="104">
        <v>30</v>
      </c>
      <c r="K3144" s="144"/>
      <c r="L3144" s="61">
        <v>153</v>
      </c>
    </row>
    <row r="3145" spans="1:12" ht="84" x14ac:dyDescent="0.15">
      <c r="A3145" s="165" t="s">
        <v>2481</v>
      </c>
      <c r="B3145" s="93" t="s">
        <v>2818</v>
      </c>
      <c r="C3145" s="102" t="s">
        <v>3636</v>
      </c>
      <c r="D3145" s="62" t="s">
        <v>2548</v>
      </c>
      <c r="E3145" s="102" t="s">
        <v>1605</v>
      </c>
      <c r="F3145" s="102" t="s">
        <v>1310</v>
      </c>
      <c r="G3145" s="102" t="s">
        <v>971</v>
      </c>
      <c r="H3145" s="175"/>
      <c r="I3145" s="85">
        <f t="shared" si="122"/>
        <v>1.5185139398778875</v>
      </c>
      <c r="J3145" s="104">
        <f>AVERAGE(29, 37)</f>
        <v>33</v>
      </c>
      <c r="K3145" s="144"/>
      <c r="L3145" s="61">
        <v>257</v>
      </c>
    </row>
    <row r="3146" spans="1:12" ht="28" x14ac:dyDescent="0.15">
      <c r="A3146" s="165" t="s">
        <v>2481</v>
      </c>
      <c r="B3146" s="93" t="s">
        <v>629</v>
      </c>
      <c r="C3146" s="102" t="s">
        <v>3636</v>
      </c>
      <c r="D3146" s="62" t="s">
        <v>2548</v>
      </c>
      <c r="E3146" s="102" t="s">
        <v>1605</v>
      </c>
      <c r="F3146" s="102" t="s">
        <v>5614</v>
      </c>
      <c r="G3146" s="102" t="s">
        <v>2549</v>
      </c>
      <c r="H3146" s="175"/>
      <c r="I3146" s="98">
        <v>-999</v>
      </c>
      <c r="J3146" s="98">
        <v>-999</v>
      </c>
      <c r="K3146" s="135"/>
      <c r="L3146" s="61">
        <v>-999</v>
      </c>
    </row>
    <row r="3147" spans="1:12" ht="42" x14ac:dyDescent="0.15">
      <c r="A3147" s="165" t="s">
        <v>2481</v>
      </c>
      <c r="B3147" s="93" t="s">
        <v>2573</v>
      </c>
      <c r="C3147" s="102" t="s">
        <v>3636</v>
      </c>
      <c r="D3147" s="62" t="s">
        <v>2548</v>
      </c>
      <c r="E3147" s="102" t="s">
        <v>2772</v>
      </c>
      <c r="F3147" s="102" t="s">
        <v>2570</v>
      </c>
      <c r="G3147" s="102" t="s">
        <v>2574</v>
      </c>
      <c r="H3147" s="175"/>
      <c r="I3147" s="85">
        <f t="shared" ref="I3147:I3157" si="123">LOG(J3147)</f>
        <v>1.1528995963937476</v>
      </c>
      <c r="J3147" s="104">
        <v>14.22</v>
      </c>
      <c r="K3147" s="144"/>
      <c r="L3147" s="61">
        <v>153</v>
      </c>
    </row>
    <row r="3148" spans="1:12" ht="28" x14ac:dyDescent="0.15">
      <c r="A3148" s="165" t="s">
        <v>2481</v>
      </c>
      <c r="B3148" s="93" t="s">
        <v>847</v>
      </c>
      <c r="C3148" s="102" t="s">
        <v>3636</v>
      </c>
      <c r="D3148" s="62" t="s">
        <v>2548</v>
      </c>
      <c r="E3148" s="100" t="s">
        <v>2772</v>
      </c>
      <c r="F3148" s="102" t="s">
        <v>2570</v>
      </c>
      <c r="G3148" s="102" t="s">
        <v>872</v>
      </c>
      <c r="H3148" s="175"/>
      <c r="I3148" s="85">
        <f t="shared" si="123"/>
        <v>1.4451174896936825</v>
      </c>
      <c r="J3148" s="104">
        <v>27.868749999999999</v>
      </c>
      <c r="K3148" s="144"/>
      <c r="L3148" s="61">
        <v>153</v>
      </c>
    </row>
    <row r="3149" spans="1:12" ht="56" x14ac:dyDescent="0.15">
      <c r="A3149" s="165" t="s">
        <v>2481</v>
      </c>
      <c r="B3149" s="93" t="s">
        <v>838</v>
      </c>
      <c r="C3149" s="102" t="s">
        <v>3636</v>
      </c>
      <c r="D3149" s="62" t="s">
        <v>2548</v>
      </c>
      <c r="E3149" s="102" t="s">
        <v>5977</v>
      </c>
      <c r="F3149" s="102" t="s">
        <v>2700</v>
      </c>
      <c r="G3149" s="102" t="s">
        <v>5189</v>
      </c>
      <c r="H3149" s="175"/>
      <c r="I3149" s="85">
        <f t="shared" si="123"/>
        <v>1.3180633349627615</v>
      </c>
      <c r="J3149" s="104">
        <v>20.8</v>
      </c>
      <c r="K3149" s="144"/>
      <c r="L3149" s="61">
        <v>153</v>
      </c>
    </row>
    <row r="3150" spans="1:12" ht="56" x14ac:dyDescent="0.15">
      <c r="A3150" s="165" t="s">
        <v>2481</v>
      </c>
      <c r="B3150" s="93" t="s">
        <v>2697</v>
      </c>
      <c r="C3150" s="102" t="s">
        <v>3636</v>
      </c>
      <c r="D3150" s="62" t="s">
        <v>2548</v>
      </c>
      <c r="E3150" s="102" t="s">
        <v>5977</v>
      </c>
      <c r="F3150" s="102" t="s">
        <v>2700</v>
      </c>
      <c r="G3150" s="102" t="s">
        <v>833</v>
      </c>
      <c r="H3150" s="175"/>
      <c r="I3150" s="85">
        <f t="shared" si="123"/>
        <v>1.3603093443420586</v>
      </c>
      <c r="J3150" s="104">
        <v>22.925000000000001</v>
      </c>
      <c r="K3150" s="144"/>
      <c r="L3150" s="61" t="s">
        <v>1599</v>
      </c>
    </row>
    <row r="3151" spans="1:12" ht="84" x14ac:dyDescent="0.15">
      <c r="A3151" s="165" t="s">
        <v>2481</v>
      </c>
      <c r="B3151" s="93" t="s">
        <v>972</v>
      </c>
      <c r="C3151" s="102" t="s">
        <v>3636</v>
      </c>
      <c r="D3151" s="62" t="s">
        <v>2548</v>
      </c>
      <c r="E3151" s="102" t="s">
        <v>5977</v>
      </c>
      <c r="F3151" s="102" t="s">
        <v>1146</v>
      </c>
      <c r="G3151" s="102" t="s">
        <v>1147</v>
      </c>
      <c r="H3151" s="175"/>
      <c r="I3151" s="85">
        <f t="shared" si="123"/>
        <v>0.90463827555478105</v>
      </c>
      <c r="J3151" s="104">
        <v>8.0285714285710004</v>
      </c>
      <c r="K3151" s="144"/>
      <c r="L3151" s="61">
        <v>153</v>
      </c>
    </row>
    <row r="3152" spans="1:12" ht="84" x14ac:dyDescent="0.15">
      <c r="A3152" s="165" t="s">
        <v>2481</v>
      </c>
      <c r="B3152" s="93" t="s">
        <v>1339</v>
      </c>
      <c r="C3152" s="102" t="s">
        <v>3636</v>
      </c>
      <c r="D3152" s="62" t="s">
        <v>2548</v>
      </c>
      <c r="E3152" s="102" t="s">
        <v>5977</v>
      </c>
      <c r="F3152" s="102" t="s">
        <v>1146</v>
      </c>
      <c r="G3152" s="102" t="s">
        <v>1340</v>
      </c>
      <c r="H3152" s="175"/>
      <c r="I3152" s="85">
        <f t="shared" si="123"/>
        <v>1.1775364999298621</v>
      </c>
      <c r="J3152" s="104">
        <v>15.05</v>
      </c>
      <c r="K3152" s="144"/>
      <c r="L3152" s="61">
        <v>153</v>
      </c>
    </row>
    <row r="3153" spans="1:12" ht="14" x14ac:dyDescent="0.15">
      <c r="A3153" s="165" t="s">
        <v>2481</v>
      </c>
      <c r="B3153" s="93" t="s">
        <v>2735</v>
      </c>
      <c r="C3153" s="102" t="s">
        <v>3636</v>
      </c>
      <c r="D3153" s="62" t="s">
        <v>2548</v>
      </c>
      <c r="E3153" s="102" t="s">
        <v>5977</v>
      </c>
      <c r="F3153" s="102" t="s">
        <v>1320</v>
      </c>
      <c r="G3153" s="102" t="s">
        <v>4211</v>
      </c>
      <c r="H3153" s="175"/>
      <c r="I3153" s="85">
        <f t="shared" si="123"/>
        <v>0.84818911699139865</v>
      </c>
      <c r="J3153" s="104">
        <v>7.05</v>
      </c>
      <c r="K3153" s="144"/>
      <c r="L3153" s="61">
        <v>153</v>
      </c>
    </row>
    <row r="3154" spans="1:12" ht="28" x14ac:dyDescent="0.15">
      <c r="A3154" s="165" t="s">
        <v>2481</v>
      </c>
      <c r="B3154" s="93" t="s">
        <v>2623</v>
      </c>
      <c r="C3154" s="102" t="s">
        <v>3636</v>
      </c>
      <c r="D3154" s="62" t="s">
        <v>2548</v>
      </c>
      <c r="E3154" s="102" t="s">
        <v>5977</v>
      </c>
      <c r="F3154" s="102" t="s">
        <v>1320</v>
      </c>
      <c r="G3154" s="102" t="s">
        <v>5559</v>
      </c>
      <c r="H3154" s="175"/>
      <c r="I3154" s="85">
        <f t="shared" si="123"/>
        <v>0.92941892571429274</v>
      </c>
      <c r="J3154" s="98">
        <f>AVERAGE(7, 10)</f>
        <v>8.5</v>
      </c>
      <c r="K3154" s="135"/>
      <c r="L3154" s="61">
        <v>166</v>
      </c>
    </row>
    <row r="3155" spans="1:12" ht="28" x14ac:dyDescent="0.15">
      <c r="A3155" s="165" t="s">
        <v>2481</v>
      </c>
      <c r="B3155" s="93" t="s">
        <v>2736</v>
      </c>
      <c r="C3155" s="102" t="s">
        <v>3636</v>
      </c>
      <c r="D3155" s="62" t="s">
        <v>2548</v>
      </c>
      <c r="E3155" s="102" t="s">
        <v>5977</v>
      </c>
      <c r="F3155" s="102" t="s">
        <v>1320</v>
      </c>
      <c r="G3155" s="102" t="s">
        <v>3535</v>
      </c>
      <c r="H3155" s="175"/>
      <c r="I3155" s="85">
        <f t="shared" si="123"/>
        <v>0.94283449377011197</v>
      </c>
      <c r="J3155" s="104">
        <v>8.7666666666669997</v>
      </c>
      <c r="K3155" s="144"/>
      <c r="L3155" s="61">
        <v>153</v>
      </c>
    </row>
    <row r="3156" spans="1:12" ht="42" x14ac:dyDescent="0.15">
      <c r="A3156" s="165" t="s">
        <v>2481</v>
      </c>
      <c r="B3156" s="93" t="s">
        <v>952</v>
      </c>
      <c r="C3156" s="102" t="s">
        <v>3636</v>
      </c>
      <c r="D3156" s="62" t="s">
        <v>2548</v>
      </c>
      <c r="E3156" s="102" t="s">
        <v>5977</v>
      </c>
      <c r="F3156" s="102" t="s">
        <v>1320</v>
      </c>
      <c r="G3156" s="102" t="s">
        <v>1321</v>
      </c>
      <c r="H3156" s="175"/>
      <c r="I3156" s="85">
        <f t="shared" si="123"/>
        <v>0.94448267215016868</v>
      </c>
      <c r="J3156" s="104">
        <v>8.8000000000000007</v>
      </c>
      <c r="K3156" s="144"/>
      <c r="L3156" s="61">
        <v>153</v>
      </c>
    </row>
    <row r="3157" spans="1:12" ht="56" x14ac:dyDescent="0.15">
      <c r="A3157" s="165" t="s">
        <v>2481</v>
      </c>
      <c r="B3157" s="93" t="s">
        <v>586</v>
      </c>
      <c r="C3157" s="102" t="s">
        <v>3636</v>
      </c>
      <c r="D3157" s="62" t="s">
        <v>2548</v>
      </c>
      <c r="E3157" s="102" t="s">
        <v>5977</v>
      </c>
      <c r="F3157" s="102" t="s">
        <v>1320</v>
      </c>
      <c r="G3157" s="102" t="s">
        <v>6491</v>
      </c>
      <c r="H3157" s="175"/>
      <c r="I3157" s="85">
        <f t="shared" si="123"/>
        <v>1.1603684747928582</v>
      </c>
      <c r="J3157" s="104">
        <v>14.466666666667001</v>
      </c>
      <c r="K3157" s="144"/>
      <c r="L3157" s="61">
        <v>153</v>
      </c>
    </row>
    <row r="3158" spans="1:12" ht="14" x14ac:dyDescent="0.15">
      <c r="A3158" s="165" t="s">
        <v>2481</v>
      </c>
      <c r="B3158" s="93" t="s">
        <v>630</v>
      </c>
      <c r="C3158" s="102" t="s">
        <v>3636</v>
      </c>
      <c r="D3158" s="62" t="s">
        <v>2548</v>
      </c>
      <c r="E3158" s="102" t="s">
        <v>5977</v>
      </c>
      <c r="F3158" s="102" t="s">
        <v>6037</v>
      </c>
      <c r="G3158" s="102" t="s">
        <v>631</v>
      </c>
      <c r="H3158" s="175"/>
      <c r="I3158" s="98">
        <v>-999</v>
      </c>
      <c r="J3158" s="98">
        <v>-999</v>
      </c>
      <c r="K3158" s="135"/>
      <c r="L3158" s="61">
        <v>-999</v>
      </c>
    </row>
    <row r="3159" spans="1:12" ht="28" x14ac:dyDescent="0.15">
      <c r="A3159" s="165" t="s">
        <v>2481</v>
      </c>
      <c r="B3159" s="93" t="s">
        <v>857</v>
      </c>
      <c r="C3159" s="102" t="s">
        <v>3636</v>
      </c>
      <c r="D3159" s="62" t="s">
        <v>2548</v>
      </c>
      <c r="E3159" s="102" t="s">
        <v>5977</v>
      </c>
      <c r="F3159" s="102" t="s">
        <v>6037</v>
      </c>
      <c r="G3159" s="102" t="s">
        <v>773</v>
      </c>
      <c r="H3159" s="175"/>
      <c r="I3159" s="98">
        <v>-999</v>
      </c>
      <c r="J3159" s="98">
        <v>-999</v>
      </c>
      <c r="K3159" s="135"/>
      <c r="L3159" s="61">
        <v>-999</v>
      </c>
    </row>
    <row r="3160" spans="1:12" ht="42" x14ac:dyDescent="0.15">
      <c r="A3160" s="165" t="s">
        <v>2481</v>
      </c>
      <c r="B3160" s="93" t="s">
        <v>2525</v>
      </c>
      <c r="C3160" s="102" t="s">
        <v>3636</v>
      </c>
      <c r="D3160" s="62" t="s">
        <v>2548</v>
      </c>
      <c r="E3160" s="102" t="s">
        <v>5977</v>
      </c>
      <c r="F3160" s="102" t="s">
        <v>6037</v>
      </c>
      <c r="G3160" s="102" t="s">
        <v>3922</v>
      </c>
      <c r="H3160" s="175"/>
      <c r="I3160" s="85">
        <f t="shared" ref="I3160:I3167" si="124">LOG(J3160)</f>
        <v>0.57978359661681012</v>
      </c>
      <c r="J3160" s="104">
        <v>3.8</v>
      </c>
      <c r="K3160" s="144"/>
      <c r="L3160" s="61">
        <v>153</v>
      </c>
    </row>
    <row r="3161" spans="1:12" ht="28" x14ac:dyDescent="0.15">
      <c r="A3161" s="165" t="s">
        <v>2481</v>
      </c>
      <c r="B3161" s="93" t="s">
        <v>911</v>
      </c>
      <c r="C3161" s="102" t="s">
        <v>3636</v>
      </c>
      <c r="D3161" s="62" t="s">
        <v>2548</v>
      </c>
      <c r="E3161" s="102" t="s">
        <v>5977</v>
      </c>
      <c r="F3161" s="102" t="s">
        <v>6037</v>
      </c>
      <c r="G3161" s="102" t="s">
        <v>906</v>
      </c>
      <c r="H3161" s="175"/>
      <c r="I3161" s="85">
        <f t="shared" si="124"/>
        <v>0.58149454229089925</v>
      </c>
      <c r="J3161" s="104">
        <v>3.8149999999999999</v>
      </c>
      <c r="K3161" s="144"/>
      <c r="L3161" s="61">
        <v>153</v>
      </c>
    </row>
    <row r="3162" spans="1:12" ht="28" x14ac:dyDescent="0.15">
      <c r="A3162" s="165" t="s">
        <v>2481</v>
      </c>
      <c r="B3162" s="93" t="s">
        <v>2718</v>
      </c>
      <c r="C3162" s="102" t="s">
        <v>3636</v>
      </c>
      <c r="D3162" s="62" t="s">
        <v>2548</v>
      </c>
      <c r="E3162" s="102" t="s">
        <v>5977</v>
      </c>
      <c r="F3162" s="102" t="s">
        <v>6037</v>
      </c>
      <c r="G3162" s="102" t="s">
        <v>3365</v>
      </c>
      <c r="H3162" s="175"/>
      <c r="I3162" s="85">
        <f t="shared" si="124"/>
        <v>0.7103994661167724</v>
      </c>
      <c r="J3162" s="104">
        <v>5.1333333333329998</v>
      </c>
      <c r="K3162" s="144"/>
      <c r="L3162" s="61">
        <v>153</v>
      </c>
    </row>
    <row r="3163" spans="1:12" ht="28" x14ac:dyDescent="0.15">
      <c r="A3163" s="165" t="s">
        <v>2481</v>
      </c>
      <c r="B3163" s="93" t="s">
        <v>2721</v>
      </c>
      <c r="C3163" s="102" t="s">
        <v>3636</v>
      </c>
      <c r="D3163" s="62" t="s">
        <v>2548</v>
      </c>
      <c r="E3163" s="102" t="s">
        <v>5977</v>
      </c>
      <c r="F3163" s="102" t="s">
        <v>6037</v>
      </c>
      <c r="G3163" s="102" t="s">
        <v>4078</v>
      </c>
      <c r="H3163" s="175"/>
      <c r="I3163" s="85">
        <f t="shared" si="124"/>
        <v>0.77573177626025502</v>
      </c>
      <c r="J3163" s="104">
        <v>5.9666666666669999</v>
      </c>
      <c r="K3163" s="144"/>
      <c r="L3163" s="61">
        <v>153</v>
      </c>
    </row>
    <row r="3164" spans="1:12" ht="42" x14ac:dyDescent="0.15">
      <c r="A3164" s="165" t="s">
        <v>2481</v>
      </c>
      <c r="B3164" s="93" t="s">
        <v>822</v>
      </c>
      <c r="C3164" s="102" t="s">
        <v>3636</v>
      </c>
      <c r="D3164" s="62" t="s">
        <v>2548</v>
      </c>
      <c r="E3164" s="102" t="s">
        <v>5977</v>
      </c>
      <c r="F3164" s="102" t="s">
        <v>6037</v>
      </c>
      <c r="G3164" s="102" t="s">
        <v>1865</v>
      </c>
      <c r="H3164" s="175"/>
      <c r="I3164" s="85">
        <f t="shared" si="124"/>
        <v>0.80955971463526777</v>
      </c>
      <c r="J3164" s="104">
        <v>6.45</v>
      </c>
      <c r="K3164" s="144"/>
      <c r="L3164" s="61">
        <v>153</v>
      </c>
    </row>
    <row r="3165" spans="1:12" ht="140" x14ac:dyDescent="0.15">
      <c r="A3165" s="165" t="s">
        <v>2481</v>
      </c>
      <c r="B3165" s="93" t="s">
        <v>800</v>
      </c>
      <c r="C3165" s="102" t="s">
        <v>3636</v>
      </c>
      <c r="D3165" s="62" t="s">
        <v>2548</v>
      </c>
      <c r="E3165" s="102" t="s">
        <v>5977</v>
      </c>
      <c r="F3165" s="102" t="s">
        <v>6037</v>
      </c>
      <c r="G3165" s="102" t="s">
        <v>801</v>
      </c>
      <c r="H3165" s="175"/>
      <c r="I3165" s="85">
        <f t="shared" si="124"/>
        <v>1.0180760636457951</v>
      </c>
      <c r="J3165" s="104">
        <v>10.425000000000001</v>
      </c>
      <c r="K3165" s="144"/>
      <c r="L3165" s="61">
        <v>153</v>
      </c>
    </row>
    <row r="3166" spans="1:12" ht="70" x14ac:dyDescent="0.15">
      <c r="A3166" s="165" t="s">
        <v>2481</v>
      </c>
      <c r="B3166" s="93" t="s">
        <v>992</v>
      </c>
      <c r="C3166" s="102" t="s">
        <v>3636</v>
      </c>
      <c r="D3166" s="62" t="s">
        <v>2548</v>
      </c>
      <c r="E3166" s="102" t="s">
        <v>5977</v>
      </c>
      <c r="F3166" s="102" t="s">
        <v>6037</v>
      </c>
      <c r="G3166" s="102" t="s">
        <v>4664</v>
      </c>
      <c r="H3166" s="175"/>
      <c r="I3166" s="85">
        <f t="shared" si="124"/>
        <v>1.2164423949044796</v>
      </c>
      <c r="J3166" s="104">
        <v>16.460476190476001</v>
      </c>
      <c r="K3166" s="144"/>
      <c r="L3166" s="61">
        <v>153</v>
      </c>
    </row>
    <row r="3167" spans="1:12" ht="98" x14ac:dyDescent="0.15">
      <c r="A3167" s="165" t="s">
        <v>2481</v>
      </c>
      <c r="B3167" s="93" t="s">
        <v>942</v>
      </c>
      <c r="C3167" s="102" t="s">
        <v>3636</v>
      </c>
      <c r="D3167" s="62" t="s">
        <v>2548</v>
      </c>
      <c r="E3167" s="102" t="s">
        <v>5977</v>
      </c>
      <c r="F3167" s="102" t="s">
        <v>6037</v>
      </c>
      <c r="G3167" s="102" t="s">
        <v>943</v>
      </c>
      <c r="H3167" s="175"/>
      <c r="I3167" s="85">
        <f t="shared" si="124"/>
        <v>1.3590445615568982</v>
      </c>
      <c r="J3167" s="104">
        <v>22.858333333333</v>
      </c>
      <c r="K3167" s="144"/>
      <c r="L3167" s="61">
        <v>153</v>
      </c>
    </row>
    <row r="3168" spans="1:12" ht="14" x14ac:dyDescent="0.15">
      <c r="A3168" s="165" t="s">
        <v>2481</v>
      </c>
      <c r="B3168" s="93" t="s">
        <v>2426</v>
      </c>
      <c r="C3168" s="102" t="s">
        <v>3636</v>
      </c>
      <c r="D3168" s="62" t="s">
        <v>2548</v>
      </c>
      <c r="E3168" s="102" t="s">
        <v>5977</v>
      </c>
      <c r="F3168" s="102" t="s">
        <v>768</v>
      </c>
      <c r="G3168" s="102" t="s">
        <v>776</v>
      </c>
      <c r="H3168" s="175"/>
      <c r="I3168" s="98">
        <v>-999</v>
      </c>
      <c r="J3168" s="98">
        <v>-999</v>
      </c>
      <c r="K3168" s="135"/>
      <c r="L3168" s="61">
        <v>-999</v>
      </c>
    </row>
    <row r="3169" spans="1:12" ht="56" x14ac:dyDescent="0.15">
      <c r="A3169" s="165" t="s">
        <v>2481</v>
      </c>
      <c r="B3169" s="93" t="s">
        <v>767</v>
      </c>
      <c r="C3169" s="102" t="s">
        <v>3636</v>
      </c>
      <c r="D3169" s="62" t="s">
        <v>2548</v>
      </c>
      <c r="E3169" s="102" t="s">
        <v>5977</v>
      </c>
      <c r="F3169" s="102" t="s">
        <v>768</v>
      </c>
      <c r="G3169" s="102" t="s">
        <v>769</v>
      </c>
      <c r="H3169" s="175"/>
      <c r="I3169" s="85">
        <f>LOG(J3169)</f>
        <v>0.63848925695463732</v>
      </c>
      <c r="J3169" s="104">
        <f>AVERAGE(3.2, 5.5)</f>
        <v>4.3499999999999996</v>
      </c>
      <c r="K3169" s="144"/>
      <c r="L3169" s="61">
        <v>257</v>
      </c>
    </row>
    <row r="3170" spans="1:12" ht="42" x14ac:dyDescent="0.15">
      <c r="A3170" s="165" t="s">
        <v>2481</v>
      </c>
      <c r="B3170" s="93" t="s">
        <v>770</v>
      </c>
      <c r="C3170" s="102" t="s">
        <v>3636</v>
      </c>
      <c r="D3170" s="62" t="s">
        <v>2548</v>
      </c>
      <c r="E3170" s="102" t="s">
        <v>5977</v>
      </c>
      <c r="F3170" s="102" t="s">
        <v>771</v>
      </c>
      <c r="G3170" s="102" t="s">
        <v>848</v>
      </c>
      <c r="H3170" s="175"/>
      <c r="I3170" s="85">
        <f>LOG(J3170)</f>
        <v>1.2787536009528289</v>
      </c>
      <c r="J3170" s="104">
        <v>19</v>
      </c>
      <c r="K3170" s="144"/>
      <c r="L3170" s="61">
        <v>122</v>
      </c>
    </row>
    <row r="3171" spans="1:12" ht="14" x14ac:dyDescent="0.15">
      <c r="A3171" s="165" t="s">
        <v>2481</v>
      </c>
      <c r="B3171" s="93" t="s">
        <v>1163</v>
      </c>
      <c r="C3171" s="102" t="s">
        <v>3636</v>
      </c>
      <c r="D3171" s="62" t="s">
        <v>2548</v>
      </c>
      <c r="E3171" s="102" t="s">
        <v>5977</v>
      </c>
      <c r="F3171" s="102" t="s">
        <v>623</v>
      </c>
      <c r="G3171" s="102" t="s">
        <v>5211</v>
      </c>
      <c r="H3171" s="175"/>
      <c r="I3171" s="98">
        <v>-999</v>
      </c>
      <c r="J3171" s="98">
        <v>-999</v>
      </c>
      <c r="K3171" s="135"/>
      <c r="L3171" s="61">
        <v>-999</v>
      </c>
    </row>
    <row r="3172" spans="1:12" ht="14" x14ac:dyDescent="0.15">
      <c r="A3172" s="165" t="s">
        <v>2481</v>
      </c>
      <c r="B3172" s="93" t="s">
        <v>2428</v>
      </c>
      <c r="C3172" s="102" t="s">
        <v>3636</v>
      </c>
      <c r="D3172" s="62" t="s">
        <v>2548</v>
      </c>
      <c r="E3172" s="102" t="s">
        <v>5977</v>
      </c>
      <c r="F3172" s="102" t="s">
        <v>623</v>
      </c>
      <c r="G3172" s="102" t="s">
        <v>1164</v>
      </c>
      <c r="H3172" s="175"/>
      <c r="I3172" s="98">
        <v>-999</v>
      </c>
      <c r="J3172" s="98">
        <v>-999</v>
      </c>
      <c r="K3172" s="135"/>
      <c r="L3172" s="61">
        <v>-999</v>
      </c>
    </row>
    <row r="3173" spans="1:12" ht="14" x14ac:dyDescent="0.15">
      <c r="A3173" s="165" t="s">
        <v>2481</v>
      </c>
      <c r="B3173" s="93" t="s">
        <v>2694</v>
      </c>
      <c r="C3173" s="102" t="s">
        <v>3636</v>
      </c>
      <c r="D3173" s="62" t="s">
        <v>2548</v>
      </c>
      <c r="E3173" s="102" t="s">
        <v>5977</v>
      </c>
      <c r="F3173" s="102" t="s">
        <v>623</v>
      </c>
      <c r="G3173" s="102" t="s">
        <v>1061</v>
      </c>
      <c r="H3173" s="175"/>
      <c r="I3173" s="98">
        <v>-999</v>
      </c>
      <c r="J3173" s="98">
        <v>-999</v>
      </c>
      <c r="K3173" s="135"/>
      <c r="L3173" s="61">
        <v>-999</v>
      </c>
    </row>
    <row r="3174" spans="1:12" ht="28" x14ac:dyDescent="0.15">
      <c r="A3174" s="165" t="s">
        <v>2481</v>
      </c>
      <c r="B3174" s="93" t="s">
        <v>622</v>
      </c>
      <c r="C3174" s="102" t="s">
        <v>3636</v>
      </c>
      <c r="D3174" s="62" t="s">
        <v>2548</v>
      </c>
      <c r="E3174" s="102" t="s">
        <v>5977</v>
      </c>
      <c r="F3174" s="102" t="s">
        <v>623</v>
      </c>
      <c r="G3174" s="102" t="s">
        <v>6209</v>
      </c>
      <c r="H3174" s="175"/>
      <c r="I3174" s="85">
        <f>LOG(J3174)</f>
        <v>0.79588001734407521</v>
      </c>
      <c r="J3174" s="104">
        <f>AVERAGE(6.1, 6.4)</f>
        <v>6.25</v>
      </c>
      <c r="K3174" s="144"/>
      <c r="L3174" s="61">
        <v>257</v>
      </c>
    </row>
    <row r="3175" spans="1:12" ht="56" x14ac:dyDescent="0.15">
      <c r="A3175" s="165" t="s">
        <v>2481</v>
      </c>
      <c r="B3175" s="93" t="s">
        <v>937</v>
      </c>
      <c r="C3175" s="102" t="s">
        <v>3636</v>
      </c>
      <c r="D3175" s="62" t="s">
        <v>2548</v>
      </c>
      <c r="E3175" s="102" t="s">
        <v>5977</v>
      </c>
      <c r="F3175" s="102" t="s">
        <v>623</v>
      </c>
      <c r="G3175" s="102" t="s">
        <v>869</v>
      </c>
      <c r="H3175" s="175"/>
      <c r="I3175" s="85">
        <f>LOG(J3175)</f>
        <v>1.2121876044039579</v>
      </c>
      <c r="J3175" s="104">
        <v>16.3</v>
      </c>
      <c r="K3175" s="144"/>
      <c r="L3175" s="61">
        <v>153</v>
      </c>
    </row>
    <row r="3176" spans="1:12" ht="42" x14ac:dyDescent="0.15">
      <c r="A3176" s="165" t="s">
        <v>2481</v>
      </c>
      <c r="B3176" s="93" t="s">
        <v>671</v>
      </c>
      <c r="C3176" s="102" t="s">
        <v>3636</v>
      </c>
      <c r="D3176" s="62" t="s">
        <v>2548</v>
      </c>
      <c r="E3176" s="100" t="s">
        <v>5977</v>
      </c>
      <c r="F3176" s="102" t="s">
        <v>1136</v>
      </c>
      <c r="G3176" s="102" t="s">
        <v>672</v>
      </c>
      <c r="H3176" s="175"/>
      <c r="I3176" s="98">
        <v>-999</v>
      </c>
      <c r="J3176" s="98">
        <v>-999</v>
      </c>
      <c r="K3176" s="135"/>
      <c r="L3176" s="61">
        <v>-999</v>
      </c>
    </row>
    <row r="3177" spans="1:12" ht="28" x14ac:dyDescent="0.15">
      <c r="A3177" s="165" t="s">
        <v>2481</v>
      </c>
      <c r="B3177" s="93" t="s">
        <v>901</v>
      </c>
      <c r="C3177" s="102" t="s">
        <v>3636</v>
      </c>
      <c r="D3177" s="62" t="s">
        <v>2548</v>
      </c>
      <c r="E3177" s="102" t="s">
        <v>5977</v>
      </c>
      <c r="F3177" s="102" t="s">
        <v>1136</v>
      </c>
      <c r="G3177" s="102" t="s">
        <v>664</v>
      </c>
      <c r="H3177" s="175"/>
      <c r="I3177" s="98">
        <v>-999</v>
      </c>
      <c r="J3177" s="98">
        <v>-999</v>
      </c>
      <c r="K3177" s="135"/>
      <c r="L3177" s="61">
        <v>-999</v>
      </c>
    </row>
    <row r="3178" spans="1:12" ht="28" x14ac:dyDescent="0.15">
      <c r="A3178" s="165" t="s">
        <v>2481</v>
      </c>
      <c r="B3178" s="93" t="s">
        <v>836</v>
      </c>
      <c r="C3178" s="102" t="s">
        <v>3636</v>
      </c>
      <c r="D3178" s="62" t="s">
        <v>2548</v>
      </c>
      <c r="E3178" s="102" t="s">
        <v>5977</v>
      </c>
      <c r="F3178" s="102" t="s">
        <v>1136</v>
      </c>
      <c r="G3178" s="102" t="s">
        <v>4937</v>
      </c>
      <c r="H3178" s="175"/>
      <c r="I3178" s="85">
        <f t="shared" ref="I3178:I3196" si="125">LOG(J3178)</f>
        <v>0.32221929473391919</v>
      </c>
      <c r="J3178" s="104">
        <f>AVERAGE(1.9, 2.3)</f>
        <v>2.0999999999999996</v>
      </c>
      <c r="K3178" s="144"/>
      <c r="L3178" s="61">
        <v>257</v>
      </c>
    </row>
    <row r="3179" spans="1:12" ht="14" x14ac:dyDescent="0.15">
      <c r="A3179" s="165" t="s">
        <v>2481</v>
      </c>
      <c r="B3179" s="93" t="s">
        <v>900</v>
      </c>
      <c r="C3179" s="102" t="s">
        <v>3636</v>
      </c>
      <c r="D3179" s="62" t="s">
        <v>2548</v>
      </c>
      <c r="E3179" s="102" t="s">
        <v>5977</v>
      </c>
      <c r="F3179" s="102" t="s">
        <v>1136</v>
      </c>
      <c r="G3179" s="102" t="s">
        <v>512</v>
      </c>
      <c r="H3179" s="175"/>
      <c r="I3179" s="98">
        <f t="shared" si="125"/>
        <v>0.5502283530550941</v>
      </c>
      <c r="J3179" s="98">
        <f>AVERAGE(2.6, 4.5)</f>
        <v>3.55</v>
      </c>
      <c r="K3179" s="135"/>
      <c r="L3179" s="61">
        <v>257</v>
      </c>
    </row>
    <row r="3180" spans="1:12" ht="28" x14ac:dyDescent="0.15">
      <c r="A3180" s="165" t="s">
        <v>2481</v>
      </c>
      <c r="B3180" s="93" t="s">
        <v>2737</v>
      </c>
      <c r="C3180" s="102" t="s">
        <v>3636</v>
      </c>
      <c r="D3180" s="62" t="s">
        <v>2548</v>
      </c>
      <c r="E3180" s="102" t="s">
        <v>5977</v>
      </c>
      <c r="F3180" s="102" t="s">
        <v>1136</v>
      </c>
      <c r="G3180" s="102" t="s">
        <v>2849</v>
      </c>
      <c r="H3180" s="175"/>
      <c r="I3180" s="85">
        <f t="shared" si="125"/>
        <v>0.57978359661681012</v>
      </c>
      <c r="J3180" s="104">
        <f>AVERAGE(2.6, 5)</f>
        <v>3.8</v>
      </c>
      <c r="K3180" s="144"/>
      <c r="L3180" s="61">
        <v>257</v>
      </c>
    </row>
    <row r="3181" spans="1:12" ht="28" x14ac:dyDescent="0.15">
      <c r="A3181" s="165" t="s">
        <v>2481</v>
      </c>
      <c r="B3181" s="93" t="s">
        <v>1354</v>
      </c>
      <c r="C3181" s="102" t="s">
        <v>3636</v>
      </c>
      <c r="D3181" s="62" t="s">
        <v>2548</v>
      </c>
      <c r="E3181" s="102" t="s">
        <v>5977</v>
      </c>
      <c r="F3181" s="102" t="s">
        <v>1136</v>
      </c>
      <c r="G3181" s="102" t="s">
        <v>2699</v>
      </c>
      <c r="H3181" s="175"/>
      <c r="I3181" s="85">
        <f t="shared" si="125"/>
        <v>0.61804809671209271</v>
      </c>
      <c r="J3181" s="104">
        <f>AVERAGE(3.5, 4.8)</f>
        <v>4.1500000000000004</v>
      </c>
      <c r="K3181" s="144"/>
      <c r="L3181" s="61">
        <v>257</v>
      </c>
    </row>
    <row r="3182" spans="1:12" ht="112" x14ac:dyDescent="0.15">
      <c r="A3182" s="165" t="s">
        <v>2481</v>
      </c>
      <c r="B3182" s="93" t="s">
        <v>914</v>
      </c>
      <c r="C3182" s="102" t="s">
        <v>3636</v>
      </c>
      <c r="D3182" s="62" t="s">
        <v>2548</v>
      </c>
      <c r="E3182" s="102" t="s">
        <v>5977</v>
      </c>
      <c r="F3182" s="102" t="s">
        <v>1136</v>
      </c>
      <c r="G3182" s="102" t="s">
        <v>2574</v>
      </c>
      <c r="H3182" s="175"/>
      <c r="I3182" s="85">
        <f t="shared" si="125"/>
        <v>0.62838893005031149</v>
      </c>
      <c r="J3182" s="104">
        <f>AVERAGE(4, 4.5)</f>
        <v>4.25</v>
      </c>
      <c r="K3182" s="144"/>
      <c r="L3182" s="61">
        <v>122</v>
      </c>
    </row>
    <row r="3183" spans="1:12" ht="70" x14ac:dyDescent="0.15">
      <c r="A3183" s="165" t="s">
        <v>2481</v>
      </c>
      <c r="B3183" s="93" t="s">
        <v>1032</v>
      </c>
      <c r="C3183" s="102" t="s">
        <v>3636</v>
      </c>
      <c r="D3183" s="62" t="s">
        <v>2548</v>
      </c>
      <c r="E3183" s="102" t="s">
        <v>5977</v>
      </c>
      <c r="F3183" s="102" t="s">
        <v>1136</v>
      </c>
      <c r="G3183" s="102" t="s">
        <v>5261</v>
      </c>
      <c r="H3183" s="175"/>
      <c r="I3183" s="85">
        <f t="shared" si="125"/>
        <v>0.65321251377534373</v>
      </c>
      <c r="J3183" s="104">
        <v>4.5</v>
      </c>
      <c r="K3183" s="144"/>
      <c r="L3183" s="61">
        <v>153</v>
      </c>
    </row>
    <row r="3184" spans="1:12" ht="28" x14ac:dyDescent="0.15">
      <c r="A3184" s="165" t="s">
        <v>2481</v>
      </c>
      <c r="B3184" s="93" t="s">
        <v>830</v>
      </c>
      <c r="C3184" s="102" t="s">
        <v>3636</v>
      </c>
      <c r="D3184" s="62" t="s">
        <v>2548</v>
      </c>
      <c r="E3184" s="102" t="s">
        <v>5977</v>
      </c>
      <c r="F3184" s="102" t="s">
        <v>1136</v>
      </c>
      <c r="G3184" s="102" t="s">
        <v>5305</v>
      </c>
      <c r="H3184" s="175"/>
      <c r="I3184" s="85">
        <f t="shared" si="125"/>
        <v>0.66275783168157409</v>
      </c>
      <c r="J3184" s="104">
        <f>AVERAGE(3, 6.2)</f>
        <v>4.5999999999999996</v>
      </c>
      <c r="K3184" s="144"/>
      <c r="L3184" s="61">
        <v>257</v>
      </c>
    </row>
    <row r="3185" spans="1:12" ht="42" x14ac:dyDescent="0.15">
      <c r="A3185" s="165" t="s">
        <v>2481</v>
      </c>
      <c r="B3185" s="93" t="s">
        <v>2696</v>
      </c>
      <c r="C3185" s="102" t="s">
        <v>3636</v>
      </c>
      <c r="D3185" s="62" t="s">
        <v>2548</v>
      </c>
      <c r="E3185" s="102" t="s">
        <v>5977</v>
      </c>
      <c r="F3185" s="102" t="s">
        <v>1136</v>
      </c>
      <c r="G3185" s="102" t="s">
        <v>1933</v>
      </c>
      <c r="H3185" s="175"/>
      <c r="I3185" s="85">
        <f t="shared" si="125"/>
        <v>0.66745295288995399</v>
      </c>
      <c r="J3185" s="104">
        <v>4.6500000000000004</v>
      </c>
      <c r="K3185" s="144"/>
      <c r="L3185" s="61">
        <v>153</v>
      </c>
    </row>
    <row r="3186" spans="1:12" ht="14" x14ac:dyDescent="0.15">
      <c r="A3186" s="165" t="s">
        <v>2481</v>
      </c>
      <c r="B3186" s="93" t="s">
        <v>1181</v>
      </c>
      <c r="C3186" s="102" t="s">
        <v>3636</v>
      </c>
      <c r="D3186" s="62" t="s">
        <v>2548</v>
      </c>
      <c r="E3186" s="102" t="s">
        <v>5977</v>
      </c>
      <c r="F3186" s="102" t="s">
        <v>1136</v>
      </c>
      <c r="G3186" s="102" t="s">
        <v>1548</v>
      </c>
      <c r="H3186" s="175"/>
      <c r="I3186" s="85">
        <f t="shared" si="125"/>
        <v>0.71180722904119109</v>
      </c>
      <c r="J3186" s="104">
        <v>5.15</v>
      </c>
      <c r="K3186" s="144"/>
      <c r="L3186" s="61">
        <v>153</v>
      </c>
    </row>
    <row r="3187" spans="1:12" ht="28" x14ac:dyDescent="0.15">
      <c r="A3187" s="165" t="s">
        <v>2481</v>
      </c>
      <c r="B3187" s="93" t="s">
        <v>1302</v>
      </c>
      <c r="C3187" s="102" t="s">
        <v>3636</v>
      </c>
      <c r="D3187" s="62" t="s">
        <v>2548</v>
      </c>
      <c r="E3187" s="100" t="s">
        <v>5977</v>
      </c>
      <c r="F3187" s="102" t="s">
        <v>1136</v>
      </c>
      <c r="G3187" s="102" t="s">
        <v>1303</v>
      </c>
      <c r="H3187" s="175"/>
      <c r="I3187" s="85">
        <f t="shared" si="125"/>
        <v>0.77451696572854956</v>
      </c>
      <c r="J3187" s="104">
        <v>5.95</v>
      </c>
      <c r="K3187" s="144"/>
      <c r="L3187" s="61">
        <v>153</v>
      </c>
    </row>
    <row r="3188" spans="1:12" ht="42" x14ac:dyDescent="0.15">
      <c r="A3188" s="165" t="s">
        <v>2481</v>
      </c>
      <c r="B3188" s="93" t="s">
        <v>2683</v>
      </c>
      <c r="C3188" s="102" t="s">
        <v>3636</v>
      </c>
      <c r="D3188" s="62" t="s">
        <v>2548</v>
      </c>
      <c r="E3188" s="102" t="s">
        <v>5977</v>
      </c>
      <c r="F3188" s="102" t="s">
        <v>1136</v>
      </c>
      <c r="G3188" s="102" t="s">
        <v>5342</v>
      </c>
      <c r="H3188" s="175"/>
      <c r="I3188" s="85">
        <f t="shared" si="125"/>
        <v>0.79239168949825389</v>
      </c>
      <c r="J3188" s="104">
        <v>6.2</v>
      </c>
      <c r="K3188" s="144"/>
      <c r="L3188" s="61">
        <v>153</v>
      </c>
    </row>
    <row r="3189" spans="1:12" ht="42" x14ac:dyDescent="0.15">
      <c r="A3189" s="165" t="s">
        <v>2481</v>
      </c>
      <c r="B3189" s="93" t="s">
        <v>903</v>
      </c>
      <c r="C3189" s="102" t="s">
        <v>3636</v>
      </c>
      <c r="D3189" s="62" t="s">
        <v>2548</v>
      </c>
      <c r="E3189" s="102" t="s">
        <v>5977</v>
      </c>
      <c r="F3189" s="102" t="s">
        <v>1136</v>
      </c>
      <c r="G3189" s="102" t="s">
        <v>904</v>
      </c>
      <c r="H3189" s="175"/>
      <c r="I3189" s="85">
        <f t="shared" si="125"/>
        <v>0.97772360528884772</v>
      </c>
      <c r="J3189" s="104">
        <f>AVERAGE(6, 13)</f>
        <v>9.5</v>
      </c>
      <c r="K3189" s="144"/>
      <c r="L3189" s="61">
        <v>257</v>
      </c>
    </row>
    <row r="3190" spans="1:12" ht="56" x14ac:dyDescent="0.15">
      <c r="A3190" s="165" t="s">
        <v>2481</v>
      </c>
      <c r="B3190" s="93" t="s">
        <v>886</v>
      </c>
      <c r="C3190" s="102" t="s">
        <v>3636</v>
      </c>
      <c r="D3190" s="62" t="s">
        <v>2548</v>
      </c>
      <c r="E3190" s="102" t="s">
        <v>5977</v>
      </c>
      <c r="F3190" s="102" t="s">
        <v>887</v>
      </c>
      <c r="G3190" s="102" t="s">
        <v>130</v>
      </c>
      <c r="H3190" s="175"/>
      <c r="I3190" s="85">
        <f t="shared" si="125"/>
        <v>1.0193759583064697</v>
      </c>
      <c r="J3190" s="104">
        <v>10.456250000000001</v>
      </c>
      <c r="K3190" s="144"/>
      <c r="L3190" s="61">
        <v>153</v>
      </c>
    </row>
    <row r="3191" spans="1:12" ht="56" x14ac:dyDescent="0.15">
      <c r="A3191" s="165" t="s">
        <v>2481</v>
      </c>
      <c r="B3191" s="93" t="s">
        <v>1016</v>
      </c>
      <c r="C3191" s="102" t="s">
        <v>3636</v>
      </c>
      <c r="D3191" s="62" t="s">
        <v>2548</v>
      </c>
      <c r="E3191" s="100" t="s">
        <v>5977</v>
      </c>
      <c r="F3191" s="102" t="s">
        <v>1017</v>
      </c>
      <c r="G3191" s="102" t="s">
        <v>1018</v>
      </c>
      <c r="H3191" s="175"/>
      <c r="I3191" s="85">
        <f t="shared" si="125"/>
        <v>0.99508649650573289</v>
      </c>
      <c r="J3191" s="104">
        <v>9.8874999999999993</v>
      </c>
      <c r="K3191" s="144"/>
      <c r="L3191" s="61">
        <v>153</v>
      </c>
    </row>
    <row r="3192" spans="1:12" ht="98" x14ac:dyDescent="0.15">
      <c r="A3192" s="165" t="s">
        <v>2481</v>
      </c>
      <c r="B3192" s="93" t="s">
        <v>1114</v>
      </c>
      <c r="C3192" s="102" t="s">
        <v>3636</v>
      </c>
      <c r="D3192" s="62" t="s">
        <v>2548</v>
      </c>
      <c r="E3192" s="102" t="s">
        <v>5977</v>
      </c>
      <c r="F3192" s="102" t="s">
        <v>1017</v>
      </c>
      <c r="G3192" s="102" t="s">
        <v>4445</v>
      </c>
      <c r="H3192" s="175"/>
      <c r="I3192" s="85">
        <f t="shared" si="125"/>
        <v>1.0309031768392987</v>
      </c>
      <c r="J3192" s="104">
        <v>10.737500000000001</v>
      </c>
      <c r="K3192" s="144"/>
      <c r="L3192" s="61">
        <v>153</v>
      </c>
    </row>
    <row r="3193" spans="1:12" ht="42" x14ac:dyDescent="0.15">
      <c r="A3193" s="165" t="s">
        <v>2481</v>
      </c>
      <c r="B3193" s="93" t="s">
        <v>889</v>
      </c>
      <c r="C3193" s="102" t="s">
        <v>3636</v>
      </c>
      <c r="D3193" s="62" t="s">
        <v>2548</v>
      </c>
      <c r="E3193" s="102" t="s">
        <v>5977</v>
      </c>
      <c r="F3193" s="102" t="s">
        <v>1017</v>
      </c>
      <c r="G3193" s="102" t="s">
        <v>4694</v>
      </c>
      <c r="H3193" s="175"/>
      <c r="I3193" s="85">
        <f t="shared" si="125"/>
        <v>1.1205739312058498</v>
      </c>
      <c r="J3193" s="104">
        <v>13.2</v>
      </c>
      <c r="K3193" s="144"/>
      <c r="L3193" s="61">
        <v>153</v>
      </c>
    </row>
    <row r="3194" spans="1:12" ht="56" x14ac:dyDescent="0.15">
      <c r="A3194" s="165" t="s">
        <v>2481</v>
      </c>
      <c r="B3194" s="93" t="s">
        <v>944</v>
      </c>
      <c r="C3194" s="102" t="s">
        <v>3636</v>
      </c>
      <c r="D3194" s="62" t="s">
        <v>2548</v>
      </c>
      <c r="E3194" s="102" t="s">
        <v>5977</v>
      </c>
      <c r="F3194" s="102" t="s">
        <v>1017</v>
      </c>
      <c r="G3194" s="102" t="s">
        <v>3406</v>
      </c>
      <c r="H3194" s="175"/>
      <c r="I3194" s="85">
        <f t="shared" si="125"/>
        <v>1.3621996388688864</v>
      </c>
      <c r="J3194" s="104">
        <v>23.024999999999999</v>
      </c>
      <c r="K3194" s="144"/>
      <c r="L3194" s="61">
        <v>153</v>
      </c>
    </row>
    <row r="3195" spans="1:12" ht="140" x14ac:dyDescent="0.15">
      <c r="A3195" s="165" t="s">
        <v>2481</v>
      </c>
      <c r="B3195" s="93" t="s">
        <v>956</v>
      </c>
      <c r="C3195" s="102" t="s">
        <v>3636</v>
      </c>
      <c r="D3195" s="62" t="s">
        <v>2548</v>
      </c>
      <c r="E3195" s="100" t="s">
        <v>5977</v>
      </c>
      <c r="F3195" s="102" t="s">
        <v>1017</v>
      </c>
      <c r="G3195" s="102" t="s">
        <v>4303</v>
      </c>
      <c r="H3195" s="175"/>
      <c r="I3195" s="85">
        <f t="shared" si="125"/>
        <v>1.4027456770809181</v>
      </c>
      <c r="J3195" s="104">
        <v>25.278172727272999</v>
      </c>
      <c r="K3195" s="144"/>
      <c r="L3195" s="61">
        <v>153</v>
      </c>
    </row>
    <row r="3196" spans="1:12" ht="42" x14ac:dyDescent="0.15">
      <c r="A3196" s="165" t="s">
        <v>2481</v>
      </c>
      <c r="B3196" s="93" t="s">
        <v>1197</v>
      </c>
      <c r="C3196" s="102" t="s">
        <v>3636</v>
      </c>
      <c r="D3196" s="62" t="s">
        <v>2548</v>
      </c>
      <c r="E3196" s="102" t="s">
        <v>5977</v>
      </c>
      <c r="F3196" s="102" t="s">
        <v>1198</v>
      </c>
      <c r="G3196" s="102" t="s">
        <v>2816</v>
      </c>
      <c r="H3196" s="175"/>
      <c r="I3196" s="85">
        <f t="shared" si="125"/>
        <v>0.94448267215016868</v>
      </c>
      <c r="J3196" s="104">
        <v>8.8000000000000007</v>
      </c>
      <c r="K3196" s="144"/>
      <c r="L3196" s="61">
        <v>153</v>
      </c>
    </row>
    <row r="3197" spans="1:12" ht="28" x14ac:dyDescent="0.15">
      <c r="A3197" s="165" t="s">
        <v>2481</v>
      </c>
      <c r="B3197" s="93" t="s">
        <v>933</v>
      </c>
      <c r="C3197" s="102" t="s">
        <v>3636</v>
      </c>
      <c r="D3197" s="62" t="s">
        <v>2548</v>
      </c>
      <c r="E3197" s="102" t="s">
        <v>5977</v>
      </c>
      <c r="F3197" s="102" t="s">
        <v>2593</v>
      </c>
      <c r="G3197" s="102" t="s">
        <v>934</v>
      </c>
      <c r="H3197" s="175"/>
      <c r="I3197" s="98">
        <v>-999</v>
      </c>
      <c r="J3197" s="98">
        <v>-999</v>
      </c>
      <c r="K3197" s="135"/>
      <c r="L3197" s="62">
        <v>-999</v>
      </c>
    </row>
    <row r="3198" spans="1:12" ht="56" x14ac:dyDescent="0.15">
      <c r="A3198" s="165" t="s">
        <v>2481</v>
      </c>
      <c r="B3198" s="93" t="s">
        <v>2625</v>
      </c>
      <c r="C3198" s="102" t="s">
        <v>3636</v>
      </c>
      <c r="D3198" s="62" t="s">
        <v>2548</v>
      </c>
      <c r="E3198" s="102" t="s">
        <v>5977</v>
      </c>
      <c r="F3198" s="102" t="s">
        <v>2593</v>
      </c>
      <c r="G3198" s="102" t="s">
        <v>3608</v>
      </c>
      <c r="H3198" s="175"/>
      <c r="I3198" s="85">
        <f t="shared" ref="I3198:I3204" si="126">LOG(J3198)</f>
        <v>0.69897000433601886</v>
      </c>
      <c r="J3198" s="104">
        <f>AVERAGE(4, 7, 4, 5)</f>
        <v>5</v>
      </c>
      <c r="K3198" s="144"/>
      <c r="L3198" s="61" t="s">
        <v>1753</v>
      </c>
    </row>
    <row r="3199" spans="1:12" ht="56" x14ac:dyDescent="0.15">
      <c r="A3199" s="165" t="s">
        <v>2481</v>
      </c>
      <c r="B3199" s="93" t="s">
        <v>2624</v>
      </c>
      <c r="C3199" s="102" t="s">
        <v>3636</v>
      </c>
      <c r="D3199" s="62" t="s">
        <v>2548</v>
      </c>
      <c r="E3199" s="102" t="s">
        <v>5977</v>
      </c>
      <c r="F3199" s="102" t="s">
        <v>2593</v>
      </c>
      <c r="G3199" s="102" t="s">
        <v>2913</v>
      </c>
      <c r="H3199" s="175"/>
      <c r="I3199" s="85">
        <f t="shared" si="126"/>
        <v>0.84561474975026663</v>
      </c>
      <c r="J3199" s="104">
        <v>7.0083333333329998</v>
      </c>
      <c r="K3199" s="144"/>
      <c r="L3199" s="61">
        <v>153</v>
      </c>
    </row>
    <row r="3200" spans="1:12" ht="56" x14ac:dyDescent="0.15">
      <c r="A3200" s="165" t="s">
        <v>2481</v>
      </c>
      <c r="B3200" s="93" t="s">
        <v>932</v>
      </c>
      <c r="C3200" s="102" t="s">
        <v>3636</v>
      </c>
      <c r="D3200" s="62" t="s">
        <v>2548</v>
      </c>
      <c r="E3200" s="102" t="s">
        <v>5977</v>
      </c>
      <c r="F3200" s="102" t="s">
        <v>2593</v>
      </c>
      <c r="G3200" s="102" t="s">
        <v>4291</v>
      </c>
      <c r="H3200" s="175"/>
      <c r="I3200" s="85">
        <f t="shared" si="126"/>
        <v>0.93512923491568223</v>
      </c>
      <c r="J3200" s="104">
        <v>8.6125000000000007</v>
      </c>
      <c r="K3200" s="144"/>
      <c r="L3200" s="61">
        <v>153</v>
      </c>
    </row>
    <row r="3201" spans="1:12" ht="126" x14ac:dyDescent="0.15">
      <c r="A3201" s="165" t="s">
        <v>2481</v>
      </c>
      <c r="B3201" s="93" t="s">
        <v>1003</v>
      </c>
      <c r="C3201" s="102" t="s">
        <v>3636</v>
      </c>
      <c r="D3201" s="62" t="s">
        <v>2548</v>
      </c>
      <c r="E3201" s="102" t="s">
        <v>5977</v>
      </c>
      <c r="F3201" s="102" t="s">
        <v>2593</v>
      </c>
      <c r="G3201" s="102" t="s">
        <v>1004</v>
      </c>
      <c r="H3201" s="175"/>
      <c r="I3201" s="85">
        <f t="shared" si="126"/>
        <v>1</v>
      </c>
      <c r="J3201" s="104">
        <v>10</v>
      </c>
      <c r="K3201" s="144"/>
      <c r="L3201" s="61">
        <v>122</v>
      </c>
    </row>
    <row r="3202" spans="1:12" ht="70" x14ac:dyDescent="0.15">
      <c r="A3202" s="165" t="s">
        <v>2481</v>
      </c>
      <c r="B3202" s="93" t="s">
        <v>627</v>
      </c>
      <c r="C3202" s="102" t="s">
        <v>3636</v>
      </c>
      <c r="D3202" s="62" t="s">
        <v>2548</v>
      </c>
      <c r="E3202" s="102" t="s">
        <v>5977</v>
      </c>
      <c r="F3202" s="102" t="s">
        <v>2593</v>
      </c>
      <c r="G3202" s="102" t="s">
        <v>4664</v>
      </c>
      <c r="H3202" s="175"/>
      <c r="I3202" s="85">
        <f t="shared" si="126"/>
        <v>1.0307346169761551</v>
      </c>
      <c r="J3202" s="104">
        <v>10.733333333333</v>
      </c>
      <c r="K3202" s="144"/>
      <c r="L3202" s="61">
        <v>153</v>
      </c>
    </row>
    <row r="3203" spans="1:12" ht="42" x14ac:dyDescent="0.15">
      <c r="A3203" s="165" t="s">
        <v>2481</v>
      </c>
      <c r="B3203" s="93" t="s">
        <v>1100</v>
      </c>
      <c r="C3203" s="102" t="s">
        <v>3636</v>
      </c>
      <c r="D3203" s="62" t="s">
        <v>2548</v>
      </c>
      <c r="E3203" s="102" t="s">
        <v>5977</v>
      </c>
      <c r="F3203" s="102" t="s">
        <v>2593</v>
      </c>
      <c r="G3203" s="102" t="s">
        <v>1524</v>
      </c>
      <c r="H3203" s="175"/>
      <c r="I3203" s="85">
        <f t="shared" si="126"/>
        <v>1.1481911962420217</v>
      </c>
      <c r="J3203" s="104">
        <v>14.066666666667</v>
      </c>
      <c r="K3203" s="144"/>
      <c r="L3203" s="62">
        <v>153</v>
      </c>
    </row>
    <row r="3204" spans="1:12" ht="56" x14ac:dyDescent="0.15">
      <c r="A3204" s="165" t="s">
        <v>2481</v>
      </c>
      <c r="B3204" s="93" t="s">
        <v>2725</v>
      </c>
      <c r="C3204" s="102" t="s">
        <v>3636</v>
      </c>
      <c r="D3204" s="62" t="s">
        <v>2548</v>
      </c>
      <c r="E3204" s="102" t="s">
        <v>5977</v>
      </c>
      <c r="F3204" s="102" t="s">
        <v>2593</v>
      </c>
      <c r="G3204" s="102" t="s">
        <v>772</v>
      </c>
      <c r="H3204" s="175"/>
      <c r="I3204" s="85">
        <f t="shared" si="126"/>
        <v>1.1972805581256194</v>
      </c>
      <c r="J3204" s="104">
        <v>15.75</v>
      </c>
      <c r="K3204" s="144"/>
      <c r="L3204" s="62">
        <v>153</v>
      </c>
    </row>
    <row r="3205" spans="1:12" ht="28" x14ac:dyDescent="0.15">
      <c r="A3205" s="165" t="s">
        <v>2481</v>
      </c>
      <c r="B3205" s="93" t="s">
        <v>1357</v>
      </c>
      <c r="C3205" s="102" t="s">
        <v>3636</v>
      </c>
      <c r="D3205" s="62" t="s">
        <v>2548</v>
      </c>
      <c r="E3205" s="102" t="s">
        <v>5977</v>
      </c>
      <c r="F3205" s="102" t="s">
        <v>1440</v>
      </c>
      <c r="G3205" s="102" t="s">
        <v>1358</v>
      </c>
      <c r="H3205" s="175"/>
      <c r="I3205" s="98">
        <v>-999</v>
      </c>
      <c r="J3205" s="98">
        <v>-999</v>
      </c>
      <c r="K3205" s="135"/>
      <c r="L3205" s="62">
        <v>-999</v>
      </c>
    </row>
    <row r="3206" spans="1:12" ht="42" x14ac:dyDescent="0.15">
      <c r="A3206" s="165" t="s">
        <v>2481</v>
      </c>
      <c r="B3206" s="93" t="s">
        <v>1359</v>
      </c>
      <c r="C3206" s="100" t="s">
        <v>3636</v>
      </c>
      <c r="D3206" s="61" t="s">
        <v>2548</v>
      </c>
      <c r="E3206" s="102" t="s">
        <v>5977</v>
      </c>
      <c r="F3206" s="100" t="s">
        <v>1440</v>
      </c>
      <c r="G3206" s="100" t="s">
        <v>1360</v>
      </c>
      <c r="H3206" s="177"/>
      <c r="I3206" s="98">
        <v>-999</v>
      </c>
      <c r="J3206" s="103">
        <v>-999</v>
      </c>
      <c r="K3206" s="135"/>
      <c r="L3206" s="62">
        <v>-999</v>
      </c>
    </row>
    <row r="3207" spans="1:12" ht="28" x14ac:dyDescent="0.15">
      <c r="A3207" s="165" t="s">
        <v>2481</v>
      </c>
      <c r="B3207" s="93" t="s">
        <v>2766</v>
      </c>
      <c r="C3207" s="102" t="s">
        <v>3636</v>
      </c>
      <c r="D3207" s="62" t="s">
        <v>2548</v>
      </c>
      <c r="E3207" s="102" t="s">
        <v>5977</v>
      </c>
      <c r="F3207" s="102" t="s">
        <v>1440</v>
      </c>
      <c r="G3207" s="102" t="s">
        <v>2767</v>
      </c>
      <c r="H3207" s="175"/>
      <c r="I3207" s="98">
        <v>-999</v>
      </c>
      <c r="J3207" s="98">
        <v>-999</v>
      </c>
      <c r="K3207" s="135"/>
      <c r="L3207" s="62">
        <v>-999</v>
      </c>
    </row>
    <row r="3208" spans="1:12" ht="42" x14ac:dyDescent="0.15">
      <c r="A3208" s="165" t="s">
        <v>2481</v>
      </c>
      <c r="B3208" s="93" t="s">
        <v>2817</v>
      </c>
      <c r="C3208" s="102" t="s">
        <v>3636</v>
      </c>
      <c r="D3208" s="62" t="s">
        <v>2548</v>
      </c>
      <c r="E3208" s="102" t="s">
        <v>5977</v>
      </c>
      <c r="F3208" s="102" t="s">
        <v>1440</v>
      </c>
      <c r="G3208" s="102" t="s">
        <v>1145</v>
      </c>
      <c r="H3208" s="175"/>
      <c r="I3208" s="85">
        <f t="shared" ref="I3208:I3213" si="127">LOG(J3208)</f>
        <v>0.51188336097887432</v>
      </c>
      <c r="J3208" s="104">
        <f>AVERAGE(3, 3.5)</f>
        <v>3.25</v>
      </c>
      <c r="K3208" s="144"/>
      <c r="L3208" s="62">
        <v>257</v>
      </c>
    </row>
    <row r="3209" spans="1:12" ht="28" x14ac:dyDescent="0.15">
      <c r="A3209" s="165" t="s">
        <v>2481</v>
      </c>
      <c r="B3209" s="93" t="s">
        <v>1071</v>
      </c>
      <c r="C3209" s="102" t="s">
        <v>3636</v>
      </c>
      <c r="D3209" s="62" t="s">
        <v>2548</v>
      </c>
      <c r="E3209" s="102" t="s">
        <v>5977</v>
      </c>
      <c r="F3209" s="102" t="s">
        <v>1440</v>
      </c>
      <c r="G3209" s="102" t="s">
        <v>1441</v>
      </c>
      <c r="H3209" s="175"/>
      <c r="I3209" s="85">
        <f t="shared" si="127"/>
        <v>0.62838893005031149</v>
      </c>
      <c r="J3209" s="104">
        <v>4.25</v>
      </c>
      <c r="K3209" s="144"/>
      <c r="L3209" s="62">
        <v>153</v>
      </c>
    </row>
    <row r="3210" spans="1:12" ht="14" x14ac:dyDescent="0.15">
      <c r="A3210" s="165" t="s">
        <v>2481</v>
      </c>
      <c r="B3210" s="93" t="s">
        <v>2018</v>
      </c>
      <c r="C3210" s="102" t="s">
        <v>3636</v>
      </c>
      <c r="D3210" s="62" t="s">
        <v>2548</v>
      </c>
      <c r="E3210" s="102" t="s">
        <v>5977</v>
      </c>
      <c r="F3210" s="102" t="s">
        <v>1440</v>
      </c>
      <c r="G3210" s="102" t="s">
        <v>841</v>
      </c>
      <c r="H3210" s="175"/>
      <c r="I3210" s="98">
        <f t="shared" si="127"/>
        <v>0.65801139665711239</v>
      </c>
      <c r="J3210" s="103">
        <f>AVERAGE(4.3, 4.8)</f>
        <v>4.55</v>
      </c>
      <c r="K3210" s="135"/>
      <c r="L3210" s="62">
        <v>257</v>
      </c>
    </row>
    <row r="3211" spans="1:12" ht="14" x14ac:dyDescent="0.15">
      <c r="A3211" s="165" t="s">
        <v>2481</v>
      </c>
      <c r="B3211" s="93" t="s">
        <v>913</v>
      </c>
      <c r="C3211" s="102" t="s">
        <v>3636</v>
      </c>
      <c r="D3211" s="62" t="s">
        <v>2548</v>
      </c>
      <c r="E3211" s="102" t="s">
        <v>5977</v>
      </c>
      <c r="F3211" s="102" t="s">
        <v>1440</v>
      </c>
      <c r="G3211" s="102" t="s">
        <v>1245</v>
      </c>
      <c r="H3211" s="175"/>
      <c r="I3211" s="85">
        <f t="shared" si="127"/>
        <v>0.86033800657099369</v>
      </c>
      <c r="J3211" s="104">
        <f>AVERAGE(6, 8.5)</f>
        <v>7.25</v>
      </c>
      <c r="K3211" s="144"/>
      <c r="L3211" s="62">
        <v>257</v>
      </c>
    </row>
    <row r="3212" spans="1:12" ht="140" x14ac:dyDescent="0.15">
      <c r="A3212" s="165" t="s">
        <v>2481</v>
      </c>
      <c r="B3212" s="93" t="s">
        <v>918</v>
      </c>
      <c r="C3212" s="102" t="s">
        <v>3636</v>
      </c>
      <c r="D3212" s="62" t="s">
        <v>2548</v>
      </c>
      <c r="E3212" s="102" t="s">
        <v>5977</v>
      </c>
      <c r="F3212" s="102" t="s">
        <v>1440</v>
      </c>
      <c r="G3212" s="102" t="s">
        <v>3864</v>
      </c>
      <c r="H3212" s="175"/>
      <c r="I3212" s="85">
        <f t="shared" si="127"/>
        <v>0.87794695162918823</v>
      </c>
      <c r="J3212" s="104">
        <v>7.55</v>
      </c>
      <c r="K3212" s="144"/>
      <c r="L3212" s="62">
        <v>153</v>
      </c>
    </row>
    <row r="3213" spans="1:12" ht="70" x14ac:dyDescent="0.15">
      <c r="A3213" s="165" t="s">
        <v>2481</v>
      </c>
      <c r="B3213" s="93" t="s">
        <v>191</v>
      </c>
      <c r="C3213" s="102" t="s">
        <v>3636</v>
      </c>
      <c r="D3213" s="62" t="s">
        <v>2548</v>
      </c>
      <c r="E3213" s="100" t="s">
        <v>5977</v>
      </c>
      <c r="F3213" s="102" t="s">
        <v>1440</v>
      </c>
      <c r="G3213" s="102" t="s">
        <v>2204</v>
      </c>
      <c r="H3213" s="175"/>
      <c r="I3213" s="85">
        <f t="shared" si="127"/>
        <v>0.97772360528884772</v>
      </c>
      <c r="J3213" s="109">
        <f>AVERAGE(6.5, 12, 10)</f>
        <v>9.5</v>
      </c>
      <c r="L3213" s="62" t="s">
        <v>1753</v>
      </c>
    </row>
    <row r="3214" spans="1:12" ht="28" x14ac:dyDescent="0.15">
      <c r="A3214" s="165" t="s">
        <v>2481</v>
      </c>
      <c r="B3214" s="93" t="s">
        <v>793</v>
      </c>
      <c r="C3214" s="102" t="s">
        <v>3636</v>
      </c>
      <c r="D3214" s="62" t="s">
        <v>2548</v>
      </c>
      <c r="E3214" s="102" t="s">
        <v>5977</v>
      </c>
      <c r="F3214" s="102" t="s">
        <v>5978</v>
      </c>
      <c r="G3214" s="102" t="s">
        <v>794</v>
      </c>
      <c r="H3214" s="175"/>
      <c r="I3214" s="98">
        <v>-999</v>
      </c>
      <c r="J3214" s="98">
        <v>-999</v>
      </c>
      <c r="K3214" s="135"/>
      <c r="L3214" s="62">
        <v>-999</v>
      </c>
    </row>
    <row r="3215" spans="1:12" ht="14" x14ac:dyDescent="0.15">
      <c r="A3215" s="165" t="s">
        <v>2481</v>
      </c>
      <c r="B3215" s="93" t="s">
        <v>1083</v>
      </c>
      <c r="C3215" s="102" t="s">
        <v>3636</v>
      </c>
      <c r="D3215" s="62" t="s">
        <v>2548</v>
      </c>
      <c r="E3215" s="102" t="s">
        <v>5977</v>
      </c>
      <c r="F3215" s="102" t="s">
        <v>5978</v>
      </c>
      <c r="G3215" s="102" t="s">
        <v>1087</v>
      </c>
      <c r="H3215" s="175"/>
      <c r="I3215" s="98">
        <v>-999</v>
      </c>
      <c r="J3215" s="98">
        <v>-999</v>
      </c>
      <c r="K3215" s="135"/>
      <c r="L3215" s="62">
        <v>-999</v>
      </c>
    </row>
    <row r="3216" spans="1:12" ht="14" x14ac:dyDescent="0.15">
      <c r="A3216" s="165" t="s">
        <v>2481</v>
      </c>
      <c r="B3216" s="93" t="s">
        <v>1088</v>
      </c>
      <c r="C3216" s="102" t="s">
        <v>3636</v>
      </c>
      <c r="D3216" s="62" t="s">
        <v>2548</v>
      </c>
      <c r="E3216" s="102" t="s">
        <v>5977</v>
      </c>
      <c r="F3216" s="102" t="s">
        <v>5978</v>
      </c>
      <c r="G3216" s="102" t="s">
        <v>1009</v>
      </c>
      <c r="H3216" s="175"/>
      <c r="I3216" s="98">
        <v>-999</v>
      </c>
      <c r="J3216" s="98">
        <v>-999</v>
      </c>
      <c r="K3216" s="135"/>
      <c r="L3216" s="62">
        <v>-999</v>
      </c>
    </row>
    <row r="3217" spans="1:18" ht="14" x14ac:dyDescent="0.15">
      <c r="A3217" s="165" t="s">
        <v>2481</v>
      </c>
      <c r="B3217" s="93" t="s">
        <v>2480</v>
      </c>
      <c r="C3217" s="102" t="s">
        <v>3636</v>
      </c>
      <c r="D3217" s="62" t="s">
        <v>2548</v>
      </c>
      <c r="E3217" s="102" t="s">
        <v>5977</v>
      </c>
      <c r="F3217" s="102" t="s">
        <v>5978</v>
      </c>
      <c r="G3217" s="102" t="s">
        <v>5979</v>
      </c>
      <c r="H3217" s="175"/>
      <c r="I3217" s="98">
        <v>-999</v>
      </c>
      <c r="J3217" s="98">
        <v>-999</v>
      </c>
      <c r="K3217" s="135"/>
      <c r="L3217" s="62">
        <v>-999</v>
      </c>
    </row>
    <row r="3218" spans="1:18" ht="14" x14ac:dyDescent="0.15">
      <c r="A3218" s="165" t="s">
        <v>2481</v>
      </c>
      <c r="B3218" s="93" t="s">
        <v>1089</v>
      </c>
      <c r="C3218" s="102" t="s">
        <v>3636</v>
      </c>
      <c r="D3218" s="62" t="s">
        <v>2548</v>
      </c>
      <c r="E3218" s="102" t="s">
        <v>5977</v>
      </c>
      <c r="F3218" s="102" t="s">
        <v>5978</v>
      </c>
      <c r="G3218" s="102" t="s">
        <v>5860</v>
      </c>
      <c r="H3218" s="175"/>
      <c r="I3218" s="98">
        <v>-999</v>
      </c>
      <c r="J3218" s="98">
        <v>-999</v>
      </c>
      <c r="K3218" s="135"/>
      <c r="L3218" s="62">
        <v>-999</v>
      </c>
    </row>
    <row r="3219" spans="1:18" ht="70" x14ac:dyDescent="0.15">
      <c r="A3219" s="165" t="s">
        <v>2481</v>
      </c>
      <c r="B3219" s="93" t="s">
        <v>222</v>
      </c>
      <c r="C3219" s="102" t="s">
        <v>3636</v>
      </c>
      <c r="D3219" s="62" t="s">
        <v>2548</v>
      </c>
      <c r="E3219" s="102" t="s">
        <v>5977</v>
      </c>
      <c r="F3219" s="102" t="s">
        <v>5978</v>
      </c>
      <c r="G3219" s="102" t="s">
        <v>223</v>
      </c>
      <c r="H3219" s="175"/>
      <c r="I3219" s="98">
        <v>-999</v>
      </c>
      <c r="J3219" s="98">
        <v>-999</v>
      </c>
      <c r="K3219" s="135"/>
      <c r="L3219" s="62">
        <v>-999</v>
      </c>
    </row>
    <row r="3220" spans="1:18" ht="14" x14ac:dyDescent="0.15">
      <c r="A3220" s="165" t="s">
        <v>2481</v>
      </c>
      <c r="B3220" s="93" t="s">
        <v>224</v>
      </c>
      <c r="C3220" s="102" t="s">
        <v>3636</v>
      </c>
      <c r="D3220" s="62" t="s">
        <v>2548</v>
      </c>
      <c r="E3220" s="102" t="s">
        <v>5977</v>
      </c>
      <c r="F3220" s="102" t="s">
        <v>5978</v>
      </c>
      <c r="G3220" s="102" t="s">
        <v>225</v>
      </c>
      <c r="H3220" s="175"/>
      <c r="I3220" s="98">
        <v>-999</v>
      </c>
      <c r="J3220" s="98">
        <v>-999</v>
      </c>
      <c r="K3220" s="135"/>
      <c r="L3220" s="62">
        <v>-999</v>
      </c>
    </row>
    <row r="3221" spans="1:18" ht="28" x14ac:dyDescent="0.15">
      <c r="A3221" s="165" t="s">
        <v>2481</v>
      </c>
      <c r="B3221" s="93" t="s">
        <v>961</v>
      </c>
      <c r="C3221" s="102" t="s">
        <v>3636</v>
      </c>
      <c r="D3221" s="62" t="s">
        <v>2548</v>
      </c>
      <c r="E3221" s="102" t="s">
        <v>5977</v>
      </c>
      <c r="F3221" s="102" t="s">
        <v>5978</v>
      </c>
      <c r="G3221" s="102" t="s">
        <v>1034</v>
      </c>
      <c r="H3221" s="175"/>
      <c r="I3221" s="98">
        <v>-999</v>
      </c>
      <c r="J3221" s="98">
        <v>-999</v>
      </c>
      <c r="K3221" s="135"/>
      <c r="L3221" s="62">
        <v>-999</v>
      </c>
    </row>
    <row r="3222" spans="1:18" ht="14" x14ac:dyDescent="0.15">
      <c r="A3222" s="165" t="s">
        <v>2481</v>
      </c>
      <c r="B3222" s="93" t="s">
        <v>1057</v>
      </c>
      <c r="C3222" s="102" t="s">
        <v>3636</v>
      </c>
      <c r="D3222" s="62" t="s">
        <v>2548</v>
      </c>
      <c r="E3222" s="102" t="s">
        <v>5977</v>
      </c>
      <c r="F3222" s="102" t="s">
        <v>5978</v>
      </c>
      <c r="G3222" s="102" t="s">
        <v>1058</v>
      </c>
      <c r="H3222" s="175"/>
      <c r="I3222" s="98">
        <v>-999</v>
      </c>
      <c r="J3222" s="98">
        <v>-999</v>
      </c>
      <c r="K3222" s="135"/>
      <c r="L3222" s="62">
        <v>-999</v>
      </c>
    </row>
    <row r="3223" spans="1:18" ht="14" x14ac:dyDescent="0.15">
      <c r="A3223" s="165" t="s">
        <v>2481</v>
      </c>
      <c r="B3223" s="93" t="s">
        <v>1089</v>
      </c>
      <c r="C3223" s="102" t="s">
        <v>3636</v>
      </c>
      <c r="D3223" s="62" t="s">
        <v>2548</v>
      </c>
      <c r="E3223" s="102" t="s">
        <v>5977</v>
      </c>
      <c r="F3223" s="102" t="s">
        <v>5978</v>
      </c>
      <c r="G3223" s="102" t="s">
        <v>1156</v>
      </c>
      <c r="H3223" s="175"/>
      <c r="I3223" s="98">
        <v>-999</v>
      </c>
      <c r="J3223" s="98">
        <v>-999</v>
      </c>
      <c r="K3223" s="135"/>
      <c r="L3223" s="62">
        <v>-999</v>
      </c>
    </row>
    <row r="3224" spans="1:18" ht="28" x14ac:dyDescent="0.15">
      <c r="A3224" s="165" t="s">
        <v>2481</v>
      </c>
      <c r="B3224" s="93" t="s">
        <v>960</v>
      </c>
      <c r="C3224" s="102" t="s">
        <v>3636</v>
      </c>
      <c r="D3224" s="62" t="s">
        <v>2548</v>
      </c>
      <c r="E3224" s="102" t="s">
        <v>5977</v>
      </c>
      <c r="F3224" s="102" t="s">
        <v>5978</v>
      </c>
      <c r="G3224" s="102" t="s">
        <v>5035</v>
      </c>
      <c r="H3224" s="175"/>
      <c r="I3224" s="98">
        <v>-999</v>
      </c>
      <c r="J3224" s="98">
        <v>-999</v>
      </c>
      <c r="K3224" s="135"/>
      <c r="L3224" s="62">
        <v>-999</v>
      </c>
    </row>
    <row r="3225" spans="1:18" ht="42" x14ac:dyDescent="0.15">
      <c r="A3225" s="165" t="s">
        <v>2481</v>
      </c>
      <c r="B3225" s="93" t="s">
        <v>1049</v>
      </c>
      <c r="C3225" s="102" t="s">
        <v>3636</v>
      </c>
      <c r="D3225" s="62" t="s">
        <v>2548</v>
      </c>
      <c r="E3225" s="102" t="s">
        <v>5977</v>
      </c>
      <c r="F3225" s="102" t="s">
        <v>5978</v>
      </c>
      <c r="G3225" s="102" t="s">
        <v>1050</v>
      </c>
      <c r="H3225" s="175"/>
      <c r="I3225" s="98">
        <v>-999</v>
      </c>
      <c r="J3225" s="98">
        <v>-999</v>
      </c>
      <c r="K3225" s="135"/>
      <c r="L3225" s="62">
        <v>-999</v>
      </c>
    </row>
    <row r="3226" spans="1:18" ht="14" x14ac:dyDescent="0.15">
      <c r="A3226" s="165" t="s">
        <v>2481</v>
      </c>
      <c r="B3226" s="93" t="s">
        <v>955</v>
      </c>
      <c r="C3226" s="102" t="s">
        <v>3636</v>
      </c>
      <c r="D3226" s="62" t="s">
        <v>2548</v>
      </c>
      <c r="E3226" s="102" t="s">
        <v>5977</v>
      </c>
      <c r="F3226" s="102" t="s">
        <v>5978</v>
      </c>
      <c r="G3226" s="102" t="s">
        <v>881</v>
      </c>
      <c r="H3226" s="175"/>
      <c r="I3226" s="98">
        <v>-999</v>
      </c>
      <c r="J3226" s="98">
        <v>-999</v>
      </c>
      <c r="K3226" s="135"/>
      <c r="L3226" s="62">
        <v>-999</v>
      </c>
      <c r="Q3226" s="14"/>
      <c r="R3226" s="14"/>
    </row>
    <row r="3227" spans="1:18" ht="14" x14ac:dyDescent="0.15">
      <c r="A3227" s="165" t="s">
        <v>2481</v>
      </c>
      <c r="B3227" s="93" t="s">
        <v>1054</v>
      </c>
      <c r="C3227" s="102" t="s">
        <v>3636</v>
      </c>
      <c r="D3227" s="62" t="s">
        <v>2548</v>
      </c>
      <c r="E3227" s="102" t="s">
        <v>5977</v>
      </c>
      <c r="F3227" s="102" t="s">
        <v>5978</v>
      </c>
      <c r="G3227" s="102" t="s">
        <v>1300</v>
      </c>
      <c r="H3227" s="175"/>
      <c r="I3227" s="98">
        <v>-999</v>
      </c>
      <c r="J3227" s="98">
        <v>-999</v>
      </c>
      <c r="K3227" s="135"/>
      <c r="L3227" s="62">
        <v>-999</v>
      </c>
    </row>
    <row r="3228" spans="1:18" ht="42" x14ac:dyDescent="0.15">
      <c r="A3228" s="165" t="s">
        <v>2481</v>
      </c>
      <c r="B3228" s="93" t="s">
        <v>895</v>
      </c>
      <c r="C3228" s="102" t="s">
        <v>3636</v>
      </c>
      <c r="D3228" s="62" t="s">
        <v>2548</v>
      </c>
      <c r="E3228" s="102" t="s">
        <v>5977</v>
      </c>
      <c r="F3228" s="102" t="s">
        <v>5978</v>
      </c>
      <c r="G3228" s="102" t="s">
        <v>2693</v>
      </c>
      <c r="H3228" s="175"/>
      <c r="I3228" s="85">
        <f t="shared" ref="I3228:I3250" si="128">LOG(J3228)</f>
        <v>0.38916608436453248</v>
      </c>
      <c r="J3228" s="104">
        <f>AVERAGE(2.3, 2.6)</f>
        <v>2.4500000000000002</v>
      </c>
      <c r="K3228" s="144"/>
      <c r="L3228" s="62">
        <v>257</v>
      </c>
    </row>
    <row r="3229" spans="1:18" ht="42" x14ac:dyDescent="0.15">
      <c r="A3229" s="165" t="s">
        <v>2481</v>
      </c>
      <c r="B3229" s="93" t="s">
        <v>2893</v>
      </c>
      <c r="C3229" s="102" t="s">
        <v>3636</v>
      </c>
      <c r="D3229" s="62" t="s">
        <v>2548</v>
      </c>
      <c r="E3229" s="102" t="s">
        <v>5977</v>
      </c>
      <c r="F3229" s="102" t="s">
        <v>5978</v>
      </c>
      <c r="G3229" s="102" t="s">
        <v>2894</v>
      </c>
      <c r="H3229" s="175"/>
      <c r="I3229" s="85">
        <f t="shared" si="128"/>
        <v>0.54406804435027567</v>
      </c>
      <c r="J3229" s="104">
        <v>3.5</v>
      </c>
      <c r="K3229" s="144"/>
      <c r="L3229" s="62">
        <v>153</v>
      </c>
    </row>
    <row r="3230" spans="1:18" ht="28" x14ac:dyDescent="0.15">
      <c r="A3230" s="165" t="s">
        <v>2481</v>
      </c>
      <c r="B3230" s="93" t="s">
        <v>1142</v>
      </c>
      <c r="C3230" s="102" t="s">
        <v>3636</v>
      </c>
      <c r="D3230" s="62" t="s">
        <v>2548</v>
      </c>
      <c r="E3230" s="102" t="s">
        <v>5977</v>
      </c>
      <c r="F3230" s="102" t="s">
        <v>5978</v>
      </c>
      <c r="G3230" s="102" t="s">
        <v>2684</v>
      </c>
      <c r="H3230" s="175"/>
      <c r="I3230" s="85">
        <f t="shared" si="128"/>
        <v>0.57054293988189753</v>
      </c>
      <c r="J3230" s="104">
        <f>AVERAGE(3.8, 3.5, 3.5, 4, 3.8)</f>
        <v>3.72</v>
      </c>
      <c r="K3230" s="144"/>
      <c r="L3230" s="62">
        <v>122</v>
      </c>
    </row>
    <row r="3231" spans="1:18" ht="70" x14ac:dyDescent="0.15">
      <c r="A3231" s="165" t="s">
        <v>2481</v>
      </c>
      <c r="B3231" s="93" t="s">
        <v>1135</v>
      </c>
      <c r="C3231" s="102" t="s">
        <v>3636</v>
      </c>
      <c r="D3231" s="62" t="s">
        <v>2548</v>
      </c>
      <c r="E3231" s="102" t="s">
        <v>5977</v>
      </c>
      <c r="F3231" s="102" t="s">
        <v>5978</v>
      </c>
      <c r="G3231" s="102" t="s">
        <v>3946</v>
      </c>
      <c r="H3231" s="175"/>
      <c r="I3231" s="85">
        <f t="shared" si="128"/>
        <v>0.6273658565927327</v>
      </c>
      <c r="J3231" s="104">
        <v>4.24</v>
      </c>
      <c r="K3231" s="144"/>
      <c r="L3231" s="62">
        <v>153</v>
      </c>
    </row>
    <row r="3232" spans="1:18" ht="56" x14ac:dyDescent="0.15">
      <c r="A3232" s="165" t="s">
        <v>2481</v>
      </c>
      <c r="B3232" s="93" t="s">
        <v>2855</v>
      </c>
      <c r="C3232" s="102" t="s">
        <v>3636</v>
      </c>
      <c r="D3232" s="62" t="s">
        <v>2548</v>
      </c>
      <c r="E3232" s="102" t="s">
        <v>5977</v>
      </c>
      <c r="F3232" s="102" t="s">
        <v>5978</v>
      </c>
      <c r="G3232" s="102" t="s">
        <v>5548</v>
      </c>
      <c r="H3232" s="175"/>
      <c r="I3232" s="85">
        <f t="shared" si="128"/>
        <v>0.69788290869480463</v>
      </c>
      <c r="J3232" s="104">
        <v>4.9874999999999998</v>
      </c>
      <c r="K3232" s="144"/>
      <c r="L3232" s="62">
        <v>153</v>
      </c>
    </row>
    <row r="3233" spans="1:12" ht="28" x14ac:dyDescent="0.15">
      <c r="A3233" s="165" t="s">
        <v>2481</v>
      </c>
      <c r="B3233" s="93" t="s">
        <v>2895</v>
      </c>
      <c r="C3233" s="102" t="s">
        <v>3636</v>
      </c>
      <c r="D3233" s="62" t="s">
        <v>2548</v>
      </c>
      <c r="E3233" s="102" t="s">
        <v>5977</v>
      </c>
      <c r="F3233" s="102" t="s">
        <v>5978</v>
      </c>
      <c r="G3233" s="102" t="s">
        <v>548</v>
      </c>
      <c r="H3233" s="175"/>
      <c r="I3233" s="85">
        <f t="shared" si="128"/>
        <v>0.69897000433601886</v>
      </c>
      <c r="J3233" s="101">
        <v>5</v>
      </c>
      <c r="K3233" s="144"/>
      <c r="L3233" s="62">
        <v>257</v>
      </c>
    </row>
    <row r="3234" spans="1:12" ht="98" x14ac:dyDescent="0.15">
      <c r="A3234" s="165" t="s">
        <v>2481</v>
      </c>
      <c r="B3234" s="93" t="s">
        <v>1011</v>
      </c>
      <c r="C3234" s="102" t="s">
        <v>3636</v>
      </c>
      <c r="D3234" s="62" t="s">
        <v>2548</v>
      </c>
      <c r="E3234" s="102" t="s">
        <v>5977</v>
      </c>
      <c r="F3234" s="102" t="s">
        <v>5978</v>
      </c>
      <c r="G3234" s="102" t="s">
        <v>5310</v>
      </c>
      <c r="H3234" s="175"/>
      <c r="I3234" s="85">
        <f t="shared" si="128"/>
        <v>0.72427586960078905</v>
      </c>
      <c r="J3234" s="104">
        <v>5.3</v>
      </c>
      <c r="K3234" s="144"/>
      <c r="L3234" s="62">
        <v>153</v>
      </c>
    </row>
    <row r="3235" spans="1:12" ht="28" x14ac:dyDescent="0.15">
      <c r="A3235" s="165" t="s">
        <v>2481</v>
      </c>
      <c r="B3235" s="93" t="s">
        <v>963</v>
      </c>
      <c r="C3235" s="102" t="s">
        <v>3636</v>
      </c>
      <c r="D3235" s="62" t="s">
        <v>2548</v>
      </c>
      <c r="E3235" s="102" t="s">
        <v>5977</v>
      </c>
      <c r="F3235" s="102" t="s">
        <v>5978</v>
      </c>
      <c r="G3235" s="102" t="s">
        <v>1024</v>
      </c>
      <c r="H3235" s="175"/>
      <c r="I3235" s="85">
        <f t="shared" si="128"/>
        <v>0.74429298312267622</v>
      </c>
      <c r="J3235" s="104">
        <v>5.55</v>
      </c>
      <c r="K3235" s="144"/>
      <c r="L3235" s="62">
        <v>153</v>
      </c>
    </row>
    <row r="3236" spans="1:12" ht="84" x14ac:dyDescent="0.15">
      <c r="A3236" s="165" t="s">
        <v>2481</v>
      </c>
      <c r="B3236" s="93" t="s">
        <v>947</v>
      </c>
      <c r="C3236" s="102" t="s">
        <v>3636</v>
      </c>
      <c r="D3236" s="62" t="s">
        <v>2548</v>
      </c>
      <c r="E3236" s="102" t="s">
        <v>5977</v>
      </c>
      <c r="F3236" s="102" t="s">
        <v>5978</v>
      </c>
      <c r="G3236" s="102" t="s">
        <v>948</v>
      </c>
      <c r="H3236" s="175"/>
      <c r="I3236" s="85">
        <f t="shared" si="128"/>
        <v>0.79703659454404052</v>
      </c>
      <c r="J3236" s="104">
        <v>6.2666666666669997</v>
      </c>
      <c r="K3236" s="144"/>
      <c r="L3236" s="62">
        <v>153</v>
      </c>
    </row>
    <row r="3237" spans="1:12" ht="84" x14ac:dyDescent="0.15">
      <c r="A3237" s="165" t="s">
        <v>2481</v>
      </c>
      <c r="B3237" s="93" t="s">
        <v>888</v>
      </c>
      <c r="C3237" s="102" t="s">
        <v>3636</v>
      </c>
      <c r="D3237" s="62" t="s">
        <v>2548</v>
      </c>
      <c r="E3237" s="102" t="s">
        <v>5977</v>
      </c>
      <c r="F3237" s="102" t="s">
        <v>5978</v>
      </c>
      <c r="G3237" s="102" t="s">
        <v>5721</v>
      </c>
      <c r="H3237" s="175"/>
      <c r="I3237" s="85">
        <f t="shared" si="128"/>
        <v>0.81291335664285558</v>
      </c>
      <c r="J3237" s="104">
        <f>AVERAGE(5, 8)</f>
        <v>6.5</v>
      </c>
      <c r="K3237" s="144"/>
      <c r="L3237" s="62">
        <v>257</v>
      </c>
    </row>
    <row r="3238" spans="1:12" ht="98" x14ac:dyDescent="0.15">
      <c r="A3238" s="165" t="s">
        <v>2481</v>
      </c>
      <c r="B3238" s="93" t="s">
        <v>2731</v>
      </c>
      <c r="C3238" s="102" t="s">
        <v>3636</v>
      </c>
      <c r="D3238" s="62" t="s">
        <v>2548</v>
      </c>
      <c r="E3238" s="102" t="s">
        <v>5977</v>
      </c>
      <c r="F3238" s="102" t="s">
        <v>5978</v>
      </c>
      <c r="G3238" s="102" t="s">
        <v>3404</v>
      </c>
      <c r="H3238" s="175"/>
      <c r="I3238" s="85">
        <f t="shared" si="128"/>
        <v>0.84509804001425681</v>
      </c>
      <c r="J3238" s="104">
        <v>7</v>
      </c>
      <c r="K3238" s="144"/>
      <c r="L3238" s="62">
        <v>153</v>
      </c>
    </row>
    <row r="3239" spans="1:12" ht="42" x14ac:dyDescent="0.15">
      <c r="A3239" s="165" t="s">
        <v>2481</v>
      </c>
      <c r="B3239" s="93" t="s">
        <v>950</v>
      </c>
      <c r="C3239" s="102" t="s">
        <v>3636</v>
      </c>
      <c r="D3239" s="62" t="s">
        <v>2548</v>
      </c>
      <c r="E3239" s="102" t="s">
        <v>5977</v>
      </c>
      <c r="F3239" s="102" t="s">
        <v>5978</v>
      </c>
      <c r="G3239" s="102" t="s">
        <v>951</v>
      </c>
      <c r="H3239" s="175"/>
      <c r="I3239" s="85">
        <f t="shared" si="128"/>
        <v>0.85733249643126852</v>
      </c>
      <c r="J3239" s="104">
        <v>7.2</v>
      </c>
      <c r="K3239" s="144"/>
      <c r="L3239" s="62">
        <v>153</v>
      </c>
    </row>
    <row r="3240" spans="1:12" ht="98" x14ac:dyDescent="0.15">
      <c r="A3240" s="165" t="s">
        <v>2481</v>
      </c>
      <c r="B3240" s="93" t="s">
        <v>879</v>
      </c>
      <c r="C3240" s="102" t="s">
        <v>3636</v>
      </c>
      <c r="D3240" s="62" t="s">
        <v>2548</v>
      </c>
      <c r="E3240" s="102" t="s">
        <v>5977</v>
      </c>
      <c r="F3240" s="102" t="s">
        <v>5978</v>
      </c>
      <c r="G3240" s="102" t="s">
        <v>880</v>
      </c>
      <c r="H3240" s="175"/>
      <c r="I3240" s="85">
        <f t="shared" si="128"/>
        <v>0.86949560842307416</v>
      </c>
      <c r="J3240" s="104">
        <v>7.4044977999999997</v>
      </c>
      <c r="K3240" s="144"/>
      <c r="L3240" s="62">
        <v>153</v>
      </c>
    </row>
    <row r="3241" spans="1:12" ht="56" x14ac:dyDescent="0.15">
      <c r="A3241" s="165" t="s">
        <v>2481</v>
      </c>
      <c r="B3241" s="93" t="s">
        <v>1207</v>
      </c>
      <c r="C3241" s="102" t="s">
        <v>3636</v>
      </c>
      <c r="D3241" s="62" t="s">
        <v>2548</v>
      </c>
      <c r="E3241" s="102" t="s">
        <v>5977</v>
      </c>
      <c r="F3241" s="102" t="s">
        <v>5978</v>
      </c>
      <c r="G3241" s="102" t="s">
        <v>1208</v>
      </c>
      <c r="H3241" s="175"/>
      <c r="I3241" s="85">
        <f t="shared" si="128"/>
        <v>0.87157293554587878</v>
      </c>
      <c r="J3241" s="104">
        <v>7.44</v>
      </c>
      <c r="K3241" s="144"/>
      <c r="L3241" s="62">
        <v>153</v>
      </c>
    </row>
    <row r="3242" spans="1:12" ht="70" x14ac:dyDescent="0.15">
      <c r="A3242" s="165" t="s">
        <v>2481</v>
      </c>
      <c r="B3242" s="93" t="s">
        <v>2852</v>
      </c>
      <c r="C3242" s="102" t="s">
        <v>3636</v>
      </c>
      <c r="D3242" s="62" t="s">
        <v>2548</v>
      </c>
      <c r="E3242" s="102" t="s">
        <v>5977</v>
      </c>
      <c r="F3242" s="102" t="s">
        <v>5978</v>
      </c>
      <c r="G3242" s="102" t="s">
        <v>6283</v>
      </c>
      <c r="H3242" s="175"/>
      <c r="I3242" s="85">
        <f t="shared" si="128"/>
        <v>0.87794695162918823</v>
      </c>
      <c r="J3242" s="104">
        <v>7.55</v>
      </c>
      <c r="K3242" s="144"/>
      <c r="L3242" s="62">
        <v>153</v>
      </c>
    </row>
    <row r="3243" spans="1:12" ht="42" x14ac:dyDescent="0.15">
      <c r="A3243" s="165" t="s">
        <v>2481</v>
      </c>
      <c r="B3243" s="93" t="s">
        <v>2891</v>
      </c>
      <c r="C3243" s="102" t="s">
        <v>3636</v>
      </c>
      <c r="D3243" s="62" t="s">
        <v>2548</v>
      </c>
      <c r="E3243" s="102" t="s">
        <v>5977</v>
      </c>
      <c r="F3243" s="102" t="s">
        <v>5978</v>
      </c>
      <c r="G3243" s="102" t="s">
        <v>2892</v>
      </c>
      <c r="H3243" s="175"/>
      <c r="I3243" s="85">
        <f t="shared" si="128"/>
        <v>0.91907809237607396</v>
      </c>
      <c r="J3243" s="104">
        <v>8.3000000000000007</v>
      </c>
      <c r="K3243" s="144"/>
      <c r="L3243" s="62">
        <v>153</v>
      </c>
    </row>
    <row r="3244" spans="1:12" ht="70" x14ac:dyDescent="0.15">
      <c r="A3244" s="165" t="s">
        <v>2481</v>
      </c>
      <c r="B3244" s="93" t="s">
        <v>1268</v>
      </c>
      <c r="C3244" s="102" t="s">
        <v>3636</v>
      </c>
      <c r="D3244" s="62" t="s">
        <v>2548</v>
      </c>
      <c r="E3244" s="102" t="s">
        <v>5977</v>
      </c>
      <c r="F3244" s="102" t="s">
        <v>5978</v>
      </c>
      <c r="G3244" s="102" t="s">
        <v>1269</v>
      </c>
      <c r="H3244" s="175"/>
      <c r="I3244" s="85">
        <f t="shared" si="128"/>
        <v>0.94200805302231327</v>
      </c>
      <c r="J3244" s="104">
        <v>8.75</v>
      </c>
      <c r="K3244" s="144"/>
      <c r="L3244" s="62">
        <v>153</v>
      </c>
    </row>
    <row r="3245" spans="1:12" ht="28" x14ac:dyDescent="0.15">
      <c r="A3245" s="165" t="s">
        <v>2481</v>
      </c>
      <c r="B3245" s="93" t="s">
        <v>1161</v>
      </c>
      <c r="C3245" s="102" t="s">
        <v>3636</v>
      </c>
      <c r="D3245" s="62" t="s">
        <v>2548</v>
      </c>
      <c r="E3245" s="102" t="s">
        <v>5977</v>
      </c>
      <c r="F3245" s="102" t="s">
        <v>5978</v>
      </c>
      <c r="G3245" s="102" t="s">
        <v>1162</v>
      </c>
      <c r="H3245" s="175"/>
      <c r="I3245" s="85">
        <f t="shared" si="128"/>
        <v>1.0041332104167602</v>
      </c>
      <c r="J3245" s="104">
        <v>10.095625</v>
      </c>
      <c r="K3245" s="144"/>
      <c r="L3245" s="62">
        <v>153</v>
      </c>
    </row>
    <row r="3246" spans="1:12" ht="98" x14ac:dyDescent="0.15">
      <c r="A3246" s="165" t="s">
        <v>2481</v>
      </c>
      <c r="B3246" s="93" t="s">
        <v>1174</v>
      </c>
      <c r="C3246" s="102" t="s">
        <v>3636</v>
      </c>
      <c r="D3246" s="62" t="s">
        <v>2548</v>
      </c>
      <c r="E3246" s="102" t="s">
        <v>5977</v>
      </c>
      <c r="F3246" s="102" t="s">
        <v>5978</v>
      </c>
      <c r="G3246" s="102" t="s">
        <v>6033</v>
      </c>
      <c r="H3246" s="175"/>
      <c r="I3246" s="85">
        <f t="shared" si="128"/>
        <v>1.0233553608264458</v>
      </c>
      <c r="J3246" s="104">
        <v>10.5525</v>
      </c>
      <c r="K3246" s="144"/>
      <c r="L3246" s="62">
        <v>153</v>
      </c>
    </row>
    <row r="3247" spans="1:12" ht="14" x14ac:dyDescent="0.15">
      <c r="A3247" s="165" t="s">
        <v>2481</v>
      </c>
      <c r="B3247" s="93" t="s">
        <v>1257</v>
      </c>
      <c r="C3247" s="102" t="s">
        <v>3636</v>
      </c>
      <c r="D3247" s="62" t="s">
        <v>2548</v>
      </c>
      <c r="E3247" s="102" t="s">
        <v>5977</v>
      </c>
      <c r="F3247" s="102" t="s">
        <v>5978</v>
      </c>
      <c r="G3247" s="102" t="s">
        <v>1258</v>
      </c>
      <c r="H3247" s="175"/>
      <c r="I3247" s="85">
        <f t="shared" si="128"/>
        <v>1.0969100130080565</v>
      </c>
      <c r="J3247" s="104">
        <v>12.5</v>
      </c>
      <c r="K3247" s="144"/>
      <c r="L3247" s="62">
        <v>153</v>
      </c>
    </row>
    <row r="3248" spans="1:12" ht="70" x14ac:dyDescent="0.15">
      <c r="A3248" s="165" t="s">
        <v>2481</v>
      </c>
      <c r="B3248" s="93" t="s">
        <v>2785</v>
      </c>
      <c r="C3248" s="102" t="s">
        <v>3636</v>
      </c>
      <c r="D3248" s="62" t="s">
        <v>2548</v>
      </c>
      <c r="E3248" s="102" t="s">
        <v>5977</v>
      </c>
      <c r="F3248" s="102" t="s">
        <v>5978</v>
      </c>
      <c r="G3248" s="102" t="s">
        <v>2786</v>
      </c>
      <c r="H3248" s="175"/>
      <c r="I3248" s="85">
        <f t="shared" si="128"/>
        <v>1.3942181263802043</v>
      </c>
      <c r="J3248" s="104">
        <v>24.786666666666999</v>
      </c>
      <c r="K3248" s="144"/>
      <c r="L3248" s="62">
        <v>153</v>
      </c>
    </row>
    <row r="3249" spans="1:12" ht="42" x14ac:dyDescent="0.15">
      <c r="A3249" s="165" t="s">
        <v>2481</v>
      </c>
      <c r="B3249" s="93" t="s">
        <v>1343</v>
      </c>
      <c r="C3249" s="102" t="s">
        <v>3636</v>
      </c>
      <c r="D3249" s="62" t="s">
        <v>2548</v>
      </c>
      <c r="E3249" s="100" t="s">
        <v>5977</v>
      </c>
      <c r="F3249" s="102" t="s">
        <v>5978</v>
      </c>
      <c r="G3249" s="102" t="s">
        <v>1252</v>
      </c>
      <c r="H3249" s="175"/>
      <c r="I3249" s="85">
        <f t="shared" si="128"/>
        <v>1.3979400086720377</v>
      </c>
      <c r="J3249" s="104">
        <v>25</v>
      </c>
      <c r="K3249" s="144"/>
      <c r="L3249" s="62">
        <v>153</v>
      </c>
    </row>
    <row r="3250" spans="1:12" ht="42" x14ac:dyDescent="0.15">
      <c r="A3250" s="165" t="s">
        <v>2481</v>
      </c>
      <c r="B3250" s="93" t="s">
        <v>1085</v>
      </c>
      <c r="C3250" s="102" t="s">
        <v>3636</v>
      </c>
      <c r="D3250" s="62" t="s">
        <v>2548</v>
      </c>
      <c r="E3250" s="102" t="s">
        <v>5977</v>
      </c>
      <c r="F3250" s="102" t="s">
        <v>5978</v>
      </c>
      <c r="G3250" s="102" t="s">
        <v>3855</v>
      </c>
      <c r="H3250" s="175"/>
      <c r="I3250" s="85">
        <f t="shared" si="128"/>
        <v>1.6232492903979006</v>
      </c>
      <c r="J3250" s="98">
        <v>42</v>
      </c>
      <c r="K3250" s="135"/>
      <c r="L3250" s="62">
        <v>60</v>
      </c>
    </row>
    <row r="3251" spans="1:12" ht="42" x14ac:dyDescent="0.15">
      <c r="A3251" s="165" t="s">
        <v>2481</v>
      </c>
      <c r="B3251" s="93" t="s">
        <v>930</v>
      </c>
      <c r="C3251" s="102" t="s">
        <v>3636</v>
      </c>
      <c r="D3251" s="62" t="s">
        <v>2548</v>
      </c>
      <c r="E3251" s="102" t="s">
        <v>5977</v>
      </c>
      <c r="F3251" s="102" t="s">
        <v>982</v>
      </c>
      <c r="G3251" s="102" t="s">
        <v>931</v>
      </c>
      <c r="H3251" s="175"/>
      <c r="I3251" s="98">
        <v>-999</v>
      </c>
      <c r="J3251" s="98">
        <v>-999</v>
      </c>
      <c r="K3251" s="135"/>
      <c r="L3251" s="62">
        <v>-999</v>
      </c>
    </row>
    <row r="3252" spans="1:12" ht="14" x14ac:dyDescent="0.15">
      <c r="A3252" s="165" t="s">
        <v>2481</v>
      </c>
      <c r="B3252" s="93" t="s">
        <v>1098</v>
      </c>
      <c r="C3252" s="102" t="s">
        <v>3636</v>
      </c>
      <c r="D3252" s="62" t="s">
        <v>2548</v>
      </c>
      <c r="E3252" s="102" t="s">
        <v>5977</v>
      </c>
      <c r="F3252" s="102" t="s">
        <v>982</v>
      </c>
      <c r="G3252" s="102" t="s">
        <v>1099</v>
      </c>
      <c r="H3252" s="175"/>
      <c r="I3252" s="98">
        <v>-999</v>
      </c>
      <c r="J3252" s="98">
        <v>-999</v>
      </c>
      <c r="K3252" s="135"/>
      <c r="L3252" s="62">
        <v>-999</v>
      </c>
    </row>
    <row r="3253" spans="1:12" ht="28" x14ac:dyDescent="0.15">
      <c r="A3253" s="165" t="s">
        <v>2481</v>
      </c>
      <c r="B3253" s="93" t="s">
        <v>981</v>
      </c>
      <c r="C3253" s="102" t="s">
        <v>3636</v>
      </c>
      <c r="D3253" s="62" t="s">
        <v>2548</v>
      </c>
      <c r="E3253" s="102" t="s">
        <v>5977</v>
      </c>
      <c r="F3253" s="102" t="s">
        <v>982</v>
      </c>
      <c r="G3253" s="102" t="s">
        <v>1053</v>
      </c>
      <c r="H3253" s="175"/>
      <c r="I3253" s="85">
        <f>LOG(J3253)</f>
        <v>1.1231980750319988</v>
      </c>
      <c r="J3253" s="104">
        <v>13.28</v>
      </c>
      <c r="K3253" s="144"/>
      <c r="L3253" s="62">
        <v>153</v>
      </c>
    </row>
    <row r="3254" spans="1:12" ht="98" x14ac:dyDescent="0.15">
      <c r="A3254" s="165" t="s">
        <v>2481</v>
      </c>
      <c r="B3254" s="93" t="s">
        <v>1047</v>
      </c>
      <c r="C3254" s="102" t="s">
        <v>3636</v>
      </c>
      <c r="D3254" s="62" t="s">
        <v>2548</v>
      </c>
      <c r="E3254" s="102" t="s">
        <v>5977</v>
      </c>
      <c r="F3254" s="102" t="s">
        <v>982</v>
      </c>
      <c r="G3254" s="102" t="s">
        <v>1048</v>
      </c>
      <c r="H3254" s="175"/>
      <c r="I3254" s="85">
        <f>LOG(J3254)</f>
        <v>1.4471580313422192</v>
      </c>
      <c r="J3254" s="104">
        <v>28</v>
      </c>
      <c r="K3254" s="144"/>
      <c r="L3254" s="62">
        <v>153</v>
      </c>
    </row>
    <row r="3255" spans="1:12" ht="56" x14ac:dyDescent="0.15">
      <c r="A3255" s="165" t="s">
        <v>2481</v>
      </c>
      <c r="B3255" s="93" t="s">
        <v>1038</v>
      </c>
      <c r="C3255" s="100" t="s">
        <v>3636</v>
      </c>
      <c r="D3255" s="61" t="s">
        <v>2548</v>
      </c>
      <c r="E3255" s="102" t="s">
        <v>5977</v>
      </c>
      <c r="F3255" s="100" t="s">
        <v>2748</v>
      </c>
      <c r="G3255" s="100" t="s">
        <v>4119</v>
      </c>
      <c r="H3255" s="177"/>
      <c r="I3255" s="85">
        <f>LOG(J3255)</f>
        <v>0.90489578785518787</v>
      </c>
      <c r="J3255" s="101">
        <v>8.0333333333329993</v>
      </c>
      <c r="K3255" s="144"/>
      <c r="L3255" s="62">
        <v>153</v>
      </c>
    </row>
    <row r="3256" spans="1:12" ht="70" x14ac:dyDescent="0.15">
      <c r="A3256" s="165" t="s">
        <v>2481</v>
      </c>
      <c r="B3256" s="93" t="s">
        <v>1069</v>
      </c>
      <c r="C3256" s="102" t="s">
        <v>3636</v>
      </c>
      <c r="D3256" s="62" t="s">
        <v>2548</v>
      </c>
      <c r="E3256" s="102" t="s">
        <v>5977</v>
      </c>
      <c r="F3256" s="102" t="s">
        <v>2748</v>
      </c>
      <c r="G3256" s="102" t="s">
        <v>1070</v>
      </c>
      <c r="H3256" s="175"/>
      <c r="I3256" s="85">
        <f>LOG(J3256)</f>
        <v>0.95369067393697171</v>
      </c>
      <c r="J3256" s="104">
        <v>8.9885714285709994</v>
      </c>
      <c r="K3256" s="144"/>
      <c r="L3256" s="62">
        <v>153</v>
      </c>
    </row>
    <row r="3257" spans="1:12" ht="14" x14ac:dyDescent="0.15">
      <c r="A3257" s="165" t="s">
        <v>2481</v>
      </c>
      <c r="B3257" s="93" t="s">
        <v>1119</v>
      </c>
      <c r="C3257" s="102" t="s">
        <v>3636</v>
      </c>
      <c r="D3257" s="62" t="s">
        <v>2548</v>
      </c>
      <c r="E3257" s="102" t="s">
        <v>5977</v>
      </c>
      <c r="F3257" s="102" t="s">
        <v>2937</v>
      </c>
      <c r="G3257" s="102" t="s">
        <v>1120</v>
      </c>
      <c r="H3257" s="175"/>
      <c r="I3257" s="98">
        <v>-999</v>
      </c>
      <c r="J3257" s="98">
        <v>-999</v>
      </c>
      <c r="K3257" s="135"/>
      <c r="L3257" s="62">
        <v>-999</v>
      </c>
    </row>
    <row r="3258" spans="1:12" ht="14" x14ac:dyDescent="0.15">
      <c r="A3258" s="165" t="s">
        <v>2481</v>
      </c>
      <c r="B3258" s="93" t="s">
        <v>593</v>
      </c>
      <c r="C3258" s="102" t="s">
        <v>3636</v>
      </c>
      <c r="D3258" s="62" t="s">
        <v>2548</v>
      </c>
      <c r="E3258" s="102" t="s">
        <v>5977</v>
      </c>
      <c r="F3258" s="102" t="s">
        <v>2937</v>
      </c>
      <c r="G3258" s="102" t="s">
        <v>1908</v>
      </c>
      <c r="H3258" s="175"/>
      <c r="I3258" s="98">
        <v>-999</v>
      </c>
      <c r="J3258" s="98">
        <v>-999</v>
      </c>
      <c r="K3258" s="135"/>
      <c r="L3258" s="62">
        <v>-999</v>
      </c>
    </row>
    <row r="3259" spans="1:12" ht="14" x14ac:dyDescent="0.15">
      <c r="A3259" s="165" t="s">
        <v>2481</v>
      </c>
      <c r="B3259" s="93" t="s">
        <v>2071</v>
      </c>
      <c r="C3259" s="102" t="s">
        <v>3636</v>
      </c>
      <c r="D3259" s="62" t="s">
        <v>2548</v>
      </c>
      <c r="E3259" s="102" t="s">
        <v>5977</v>
      </c>
      <c r="F3259" s="102" t="s">
        <v>2937</v>
      </c>
      <c r="G3259" s="102" t="s">
        <v>2212</v>
      </c>
      <c r="H3259" s="175"/>
      <c r="I3259" s="85">
        <f>LOG(J3259)</f>
        <v>0.85125834871907524</v>
      </c>
      <c r="J3259" s="104">
        <v>7.1</v>
      </c>
      <c r="K3259" s="144"/>
      <c r="L3259" s="62">
        <v>153</v>
      </c>
    </row>
    <row r="3260" spans="1:12" ht="28" x14ac:dyDescent="0.15">
      <c r="A3260" s="165" t="s">
        <v>2481</v>
      </c>
      <c r="B3260" s="93" t="s">
        <v>159</v>
      </c>
      <c r="C3260" s="102" t="s">
        <v>3636</v>
      </c>
      <c r="D3260" s="62" t="s">
        <v>2548</v>
      </c>
      <c r="E3260" s="102" t="s">
        <v>5977</v>
      </c>
      <c r="F3260" s="102" t="s">
        <v>2937</v>
      </c>
      <c r="G3260" s="102" t="s">
        <v>3596</v>
      </c>
      <c r="H3260" s="175"/>
      <c r="I3260" s="85">
        <f>LOG(J3260)</f>
        <v>0.86226392760701887</v>
      </c>
      <c r="J3260" s="104">
        <v>7.2822222222219999</v>
      </c>
      <c r="K3260" s="144"/>
      <c r="L3260" s="62">
        <v>153</v>
      </c>
    </row>
    <row r="3261" spans="1:12" ht="70" x14ac:dyDescent="0.15">
      <c r="A3261" s="165" t="s">
        <v>2481</v>
      </c>
      <c r="B3261" s="93" t="s">
        <v>1314</v>
      </c>
      <c r="C3261" s="102" t="s">
        <v>3636</v>
      </c>
      <c r="D3261" s="62" t="s">
        <v>2548</v>
      </c>
      <c r="E3261" s="102" t="s">
        <v>5977</v>
      </c>
      <c r="F3261" s="102" t="s">
        <v>2937</v>
      </c>
      <c r="G3261" s="102" t="s">
        <v>1315</v>
      </c>
      <c r="H3261" s="175"/>
      <c r="I3261" s="85">
        <f>LOG(J3261)</f>
        <v>1</v>
      </c>
      <c r="J3261" s="104">
        <v>10</v>
      </c>
      <c r="K3261" s="144"/>
      <c r="L3261" s="62">
        <v>153</v>
      </c>
    </row>
    <row r="3262" spans="1:12" ht="42" x14ac:dyDescent="0.15">
      <c r="A3262" s="165" t="s">
        <v>2481</v>
      </c>
      <c r="B3262" s="93" t="s">
        <v>1116</v>
      </c>
      <c r="C3262" s="102" t="s">
        <v>3636</v>
      </c>
      <c r="D3262" s="62" t="s">
        <v>2548</v>
      </c>
      <c r="E3262" s="102" t="s">
        <v>5977</v>
      </c>
      <c r="F3262" s="102" t="s">
        <v>2937</v>
      </c>
      <c r="G3262" s="102" t="s">
        <v>6056</v>
      </c>
      <c r="H3262" s="175"/>
      <c r="I3262" s="85">
        <f>LOG(J3262)</f>
        <v>1.0691128513871209</v>
      </c>
      <c r="J3262" s="104">
        <v>11.725</v>
      </c>
      <c r="K3262" s="141"/>
      <c r="L3262" s="62">
        <v>153</v>
      </c>
    </row>
    <row r="3263" spans="1:12" ht="14" x14ac:dyDescent="0.15">
      <c r="A3263" s="165" t="s">
        <v>2481</v>
      </c>
      <c r="B3263" s="93" t="s">
        <v>593</v>
      </c>
      <c r="C3263" s="102" t="s">
        <v>3636</v>
      </c>
      <c r="D3263" s="62" t="s">
        <v>2548</v>
      </c>
      <c r="E3263" s="102" t="s">
        <v>5977</v>
      </c>
      <c r="F3263" s="102" t="s">
        <v>5912</v>
      </c>
      <c r="G3263" s="102" t="s">
        <v>2962</v>
      </c>
      <c r="H3263" s="175"/>
      <c r="I3263" s="98">
        <v>-999</v>
      </c>
      <c r="J3263" s="98">
        <v>-999</v>
      </c>
      <c r="K3263" s="135"/>
      <c r="L3263" s="62">
        <v>-999</v>
      </c>
    </row>
    <row r="3264" spans="1:12" ht="84" x14ac:dyDescent="0.15">
      <c r="A3264" s="165" t="s">
        <v>2481</v>
      </c>
      <c r="B3264" s="93" t="s">
        <v>126</v>
      </c>
      <c r="C3264" s="102" t="s">
        <v>3636</v>
      </c>
      <c r="D3264" s="62" t="s">
        <v>2548</v>
      </c>
      <c r="E3264" s="102" t="s">
        <v>5977</v>
      </c>
      <c r="F3264" s="102" t="s">
        <v>2975</v>
      </c>
      <c r="G3264" s="102" t="s">
        <v>2577</v>
      </c>
      <c r="H3264" s="175"/>
      <c r="I3264" s="85">
        <f>LOG(J3264)</f>
        <v>1.011429461780782</v>
      </c>
      <c r="J3264" s="104">
        <f>AVERAGE(8, 13, 9.8)</f>
        <v>10.266666666666667</v>
      </c>
      <c r="K3264" s="144"/>
      <c r="L3264" s="62" t="s">
        <v>1753</v>
      </c>
    </row>
    <row r="3265" spans="1:12" ht="14" x14ac:dyDescent="0.15">
      <c r="A3265" s="165" t="s">
        <v>2481</v>
      </c>
      <c r="B3265" s="93" t="s">
        <v>1089</v>
      </c>
      <c r="C3265" s="102" t="s">
        <v>3636</v>
      </c>
      <c r="D3265" s="62" t="s">
        <v>2548</v>
      </c>
      <c r="E3265" s="102" t="s">
        <v>5977</v>
      </c>
      <c r="F3265" s="102" t="s">
        <v>2581</v>
      </c>
      <c r="G3265" s="102" t="s">
        <v>176</v>
      </c>
      <c r="H3265" s="175"/>
      <c r="I3265" s="98">
        <v>-999</v>
      </c>
      <c r="J3265" s="98">
        <v>-999</v>
      </c>
      <c r="K3265" s="135"/>
      <c r="L3265" s="62">
        <v>-999</v>
      </c>
    </row>
    <row r="3266" spans="1:12" ht="14" x14ac:dyDescent="0.15">
      <c r="A3266" s="165" t="s">
        <v>2481</v>
      </c>
      <c r="B3266" s="93" t="s">
        <v>2018</v>
      </c>
      <c r="C3266" s="102" t="s">
        <v>3636</v>
      </c>
      <c r="D3266" s="62" t="s">
        <v>2548</v>
      </c>
      <c r="E3266" s="102" t="s">
        <v>5977</v>
      </c>
      <c r="F3266" s="102" t="s">
        <v>2581</v>
      </c>
      <c r="G3266" s="102" t="s">
        <v>179</v>
      </c>
      <c r="H3266" s="175"/>
      <c r="I3266" s="98">
        <v>-999</v>
      </c>
      <c r="J3266" s="98">
        <v>-999</v>
      </c>
      <c r="K3266" s="135"/>
      <c r="L3266" s="62">
        <v>-999</v>
      </c>
    </row>
    <row r="3267" spans="1:12" ht="42" x14ac:dyDescent="0.15">
      <c r="A3267" s="168" t="s">
        <v>2481</v>
      </c>
      <c r="B3267" s="93" t="s">
        <v>1051</v>
      </c>
      <c r="C3267" s="102" t="s">
        <v>3636</v>
      </c>
      <c r="D3267" s="62" t="s">
        <v>2548</v>
      </c>
      <c r="E3267" s="102" t="s">
        <v>5977</v>
      </c>
      <c r="F3267" s="102" t="s">
        <v>2581</v>
      </c>
      <c r="G3267" s="102" t="s">
        <v>3959</v>
      </c>
      <c r="H3267" s="175"/>
      <c r="I3267" s="98">
        <v>-999</v>
      </c>
      <c r="J3267" s="98">
        <v>-999</v>
      </c>
      <c r="K3267" s="135"/>
      <c r="L3267" s="62">
        <v>-999</v>
      </c>
    </row>
    <row r="3268" spans="1:12" ht="28" x14ac:dyDescent="0.15">
      <c r="A3268" s="168" t="s">
        <v>2481</v>
      </c>
      <c r="B3268" s="93" t="s">
        <v>236</v>
      </c>
      <c r="C3268" s="102" t="s">
        <v>3636</v>
      </c>
      <c r="D3268" s="62" t="s">
        <v>2548</v>
      </c>
      <c r="E3268" s="102" t="s">
        <v>5977</v>
      </c>
      <c r="F3268" s="102" t="s">
        <v>2581</v>
      </c>
      <c r="G3268" s="102" t="s">
        <v>237</v>
      </c>
      <c r="H3268" s="175"/>
      <c r="I3268" s="98">
        <v>-999</v>
      </c>
      <c r="J3268" s="98">
        <v>-999</v>
      </c>
      <c r="K3268" s="135"/>
      <c r="L3268" s="62">
        <v>-999</v>
      </c>
    </row>
    <row r="3269" spans="1:12" ht="14" x14ac:dyDescent="0.15">
      <c r="A3269" s="168" t="s">
        <v>2481</v>
      </c>
      <c r="B3269" s="93" t="s">
        <v>238</v>
      </c>
      <c r="C3269" s="102" t="s">
        <v>3636</v>
      </c>
      <c r="D3269" s="62" t="s">
        <v>2548</v>
      </c>
      <c r="E3269" s="102" t="s">
        <v>5977</v>
      </c>
      <c r="F3269" s="102" t="s">
        <v>2581</v>
      </c>
      <c r="G3269" s="102" t="s">
        <v>5809</v>
      </c>
      <c r="H3269" s="175"/>
      <c r="I3269" s="98">
        <v>-999</v>
      </c>
      <c r="J3269" s="98">
        <v>-999</v>
      </c>
      <c r="K3269" s="135"/>
      <c r="L3269" s="62">
        <v>-999</v>
      </c>
    </row>
    <row r="3270" spans="1:12" ht="28" x14ac:dyDescent="0.15">
      <c r="A3270" s="168" t="s">
        <v>2481</v>
      </c>
      <c r="B3270" s="93" t="s">
        <v>239</v>
      </c>
      <c r="C3270" s="102" t="s">
        <v>3636</v>
      </c>
      <c r="D3270" s="62" t="s">
        <v>2548</v>
      </c>
      <c r="E3270" s="102" t="s">
        <v>5977</v>
      </c>
      <c r="F3270" s="102" t="s">
        <v>2581</v>
      </c>
      <c r="G3270" s="102" t="s">
        <v>6492</v>
      </c>
      <c r="H3270" s="175"/>
      <c r="I3270" s="98">
        <v>-999</v>
      </c>
      <c r="J3270" s="98">
        <v>-999</v>
      </c>
      <c r="K3270" s="135"/>
      <c r="L3270" s="62">
        <v>-999</v>
      </c>
    </row>
    <row r="3271" spans="1:12" ht="14" x14ac:dyDescent="0.15">
      <c r="A3271" s="165" t="s">
        <v>2481</v>
      </c>
      <c r="B3271" s="93" t="s">
        <v>127</v>
      </c>
      <c r="C3271" s="102" t="s">
        <v>3636</v>
      </c>
      <c r="D3271" s="62" t="s">
        <v>2548</v>
      </c>
      <c r="E3271" s="102" t="s">
        <v>5977</v>
      </c>
      <c r="F3271" s="102" t="s">
        <v>2581</v>
      </c>
      <c r="G3271" s="102" t="s">
        <v>4419</v>
      </c>
      <c r="H3271" s="175"/>
      <c r="I3271" s="85">
        <f t="shared" ref="I3271:I3276" si="129">LOG(J3271)</f>
        <v>0.3979400086720376</v>
      </c>
      <c r="J3271" s="104">
        <v>2.5</v>
      </c>
      <c r="K3271" s="144"/>
      <c r="L3271" s="62">
        <v>153</v>
      </c>
    </row>
    <row r="3272" spans="1:12" ht="42" x14ac:dyDescent="0.15">
      <c r="A3272" s="165" t="s">
        <v>2481</v>
      </c>
      <c r="B3272" s="93" t="s">
        <v>842</v>
      </c>
      <c r="C3272" s="102" t="s">
        <v>3636</v>
      </c>
      <c r="D3272" s="62" t="s">
        <v>2548</v>
      </c>
      <c r="E3272" s="102" t="s">
        <v>5977</v>
      </c>
      <c r="F3272" s="102" t="s">
        <v>2581</v>
      </c>
      <c r="G3272" s="102" t="s">
        <v>923</v>
      </c>
      <c r="H3272" s="175"/>
      <c r="I3272" s="85">
        <f t="shared" si="129"/>
        <v>0.43136376415898736</v>
      </c>
      <c r="J3272" s="104">
        <v>2.7</v>
      </c>
      <c r="K3272" s="144"/>
      <c r="L3272" s="62">
        <v>153</v>
      </c>
    </row>
    <row r="3273" spans="1:12" ht="56" x14ac:dyDescent="0.15">
      <c r="A3273" s="168" t="s">
        <v>2481</v>
      </c>
      <c r="B3273" s="93" t="s">
        <v>2799</v>
      </c>
      <c r="C3273" s="102" t="s">
        <v>3636</v>
      </c>
      <c r="D3273" s="62" t="s">
        <v>2548</v>
      </c>
      <c r="E3273" s="100" t="s">
        <v>5977</v>
      </c>
      <c r="F3273" s="102" t="s">
        <v>2581</v>
      </c>
      <c r="G3273" s="102" t="s">
        <v>2085</v>
      </c>
      <c r="H3273" s="175"/>
      <c r="I3273" s="85">
        <f t="shared" si="129"/>
        <v>0.58954343390600705</v>
      </c>
      <c r="J3273" s="104">
        <v>3.886363636364</v>
      </c>
      <c r="K3273" s="144"/>
      <c r="L3273" s="62">
        <v>153</v>
      </c>
    </row>
    <row r="3274" spans="1:12" ht="70" x14ac:dyDescent="0.15">
      <c r="A3274" s="165" t="s">
        <v>2481</v>
      </c>
      <c r="B3274" s="93" t="s">
        <v>2797</v>
      </c>
      <c r="C3274" s="102" t="s">
        <v>3636</v>
      </c>
      <c r="D3274" s="62" t="s">
        <v>2548</v>
      </c>
      <c r="E3274" s="102" t="s">
        <v>5977</v>
      </c>
      <c r="F3274" s="102" t="s">
        <v>2581</v>
      </c>
      <c r="G3274" s="102" t="s">
        <v>2798</v>
      </c>
      <c r="H3274" s="175"/>
      <c r="I3274" s="85">
        <f t="shared" si="129"/>
        <v>0.66275783168157409</v>
      </c>
      <c r="J3274" s="104">
        <v>4.5999999999999996</v>
      </c>
      <c r="K3274" s="144"/>
      <c r="L3274" s="62">
        <v>153</v>
      </c>
    </row>
    <row r="3275" spans="1:12" ht="84" x14ac:dyDescent="0.15">
      <c r="A3275" s="165" t="s">
        <v>2481</v>
      </c>
      <c r="B3275" s="93" t="s">
        <v>264</v>
      </c>
      <c r="C3275" s="102" t="s">
        <v>3636</v>
      </c>
      <c r="D3275" s="62" t="s">
        <v>2548</v>
      </c>
      <c r="E3275" s="102" t="s">
        <v>5977</v>
      </c>
      <c r="F3275" s="102" t="s">
        <v>2581</v>
      </c>
      <c r="G3275" s="102" t="s">
        <v>5077</v>
      </c>
      <c r="H3275" s="175"/>
      <c r="I3275" s="85">
        <f t="shared" si="129"/>
        <v>0.67209785793571752</v>
      </c>
      <c r="J3275" s="104">
        <v>4.7</v>
      </c>
      <c r="K3275" s="144"/>
      <c r="L3275" s="62">
        <v>153</v>
      </c>
    </row>
    <row r="3276" spans="1:12" ht="84" x14ac:dyDescent="0.15">
      <c r="A3276" s="165" t="s">
        <v>2481</v>
      </c>
      <c r="B3276" s="93" t="s">
        <v>203</v>
      </c>
      <c r="C3276" s="102" t="s">
        <v>3636</v>
      </c>
      <c r="D3276" s="62" t="s">
        <v>2548</v>
      </c>
      <c r="E3276" s="102" t="s">
        <v>5977</v>
      </c>
      <c r="F3276" s="102" t="s">
        <v>2581</v>
      </c>
      <c r="G3276" s="102" t="s">
        <v>7202</v>
      </c>
      <c r="H3276" s="175"/>
      <c r="I3276" s="85">
        <f t="shared" si="129"/>
        <v>0.72378393696532939</v>
      </c>
      <c r="J3276" s="104">
        <v>5.2939999999999996</v>
      </c>
      <c r="K3276" s="144"/>
      <c r="L3276" s="62">
        <v>153</v>
      </c>
    </row>
    <row r="3277" spans="1:12" ht="14" x14ac:dyDescent="0.15">
      <c r="A3277" s="165" t="s">
        <v>2481</v>
      </c>
      <c r="B3277" s="93" t="s">
        <v>2018</v>
      </c>
      <c r="C3277" s="100" t="s">
        <v>3636</v>
      </c>
      <c r="D3277" s="61" t="s">
        <v>2548</v>
      </c>
      <c r="E3277" s="100" t="s">
        <v>5977</v>
      </c>
      <c r="F3277" s="100" t="s">
        <v>2581</v>
      </c>
      <c r="G3277" s="100" t="s">
        <v>175</v>
      </c>
      <c r="H3277" s="177"/>
      <c r="I3277" s="98">
        <f>-LOG(J3277)</f>
        <v>-0.73639650227664233</v>
      </c>
      <c r="J3277" s="103">
        <f>AVERAGE(5.3, 5.6)</f>
        <v>5.4499999999999993</v>
      </c>
      <c r="K3277" s="135"/>
      <c r="L3277" s="62">
        <v>257</v>
      </c>
    </row>
    <row r="3278" spans="1:12" ht="56" x14ac:dyDescent="0.15">
      <c r="A3278" s="165" t="s">
        <v>2481</v>
      </c>
      <c r="B3278" s="93" t="s">
        <v>1080</v>
      </c>
      <c r="C3278" s="102" t="s">
        <v>3636</v>
      </c>
      <c r="D3278" s="62" t="s">
        <v>2548</v>
      </c>
      <c r="E3278" s="102" t="s">
        <v>5977</v>
      </c>
      <c r="F3278" s="102" t="s">
        <v>2581</v>
      </c>
      <c r="G3278" s="102" t="s">
        <v>1081</v>
      </c>
      <c r="H3278" s="175"/>
      <c r="I3278" s="85">
        <f t="shared" ref="I3278:I3289" si="130">LOG(J3278)</f>
        <v>0.74390155048517881</v>
      </c>
      <c r="J3278" s="104">
        <v>5.5449999999999999</v>
      </c>
      <c r="K3278" s="144"/>
      <c r="L3278" s="62">
        <v>153</v>
      </c>
    </row>
    <row r="3279" spans="1:12" ht="28" x14ac:dyDescent="0.15">
      <c r="A3279" s="165" t="s">
        <v>2481</v>
      </c>
      <c r="B3279" s="93" t="s">
        <v>1128</v>
      </c>
      <c r="C3279" s="102" t="s">
        <v>3636</v>
      </c>
      <c r="D3279" s="62" t="s">
        <v>2548</v>
      </c>
      <c r="E3279" s="102" t="s">
        <v>5977</v>
      </c>
      <c r="F3279" s="102" t="s">
        <v>2581</v>
      </c>
      <c r="G3279" s="102" t="s">
        <v>1129</v>
      </c>
      <c r="H3279" s="175"/>
      <c r="I3279" s="85">
        <f t="shared" si="130"/>
        <v>0.75204844781943858</v>
      </c>
      <c r="J3279" s="104">
        <v>5.65</v>
      </c>
      <c r="K3279" s="144"/>
      <c r="L3279" s="62">
        <v>153</v>
      </c>
    </row>
    <row r="3280" spans="1:12" ht="98" x14ac:dyDescent="0.15">
      <c r="A3280" s="165" t="s">
        <v>2481</v>
      </c>
      <c r="B3280" s="93" t="s">
        <v>1786</v>
      </c>
      <c r="C3280" s="102" t="s">
        <v>3636</v>
      </c>
      <c r="D3280" s="62" t="s">
        <v>2548</v>
      </c>
      <c r="E3280" s="102" t="s">
        <v>5977</v>
      </c>
      <c r="F3280" s="102" t="s">
        <v>2581</v>
      </c>
      <c r="G3280" s="102" t="s">
        <v>1627</v>
      </c>
      <c r="H3280" s="175"/>
      <c r="I3280" s="85">
        <f t="shared" si="130"/>
        <v>0.75506456007526668</v>
      </c>
      <c r="J3280" s="104">
        <v>5.6893750000000001</v>
      </c>
      <c r="K3280" s="144"/>
      <c r="L3280" s="62">
        <v>153</v>
      </c>
    </row>
    <row r="3281" spans="1:12" ht="70" x14ac:dyDescent="0.15">
      <c r="A3281" s="168" t="s">
        <v>2481</v>
      </c>
      <c r="B3281" s="93" t="s">
        <v>1158</v>
      </c>
      <c r="C3281" s="102" t="s">
        <v>3636</v>
      </c>
      <c r="D3281" s="62" t="s">
        <v>2548</v>
      </c>
      <c r="E3281" s="102" t="s">
        <v>5977</v>
      </c>
      <c r="F3281" s="102" t="s">
        <v>2581</v>
      </c>
      <c r="G3281" s="102" t="s">
        <v>4464</v>
      </c>
      <c r="H3281" s="175"/>
      <c r="I3281" s="85">
        <f t="shared" si="130"/>
        <v>0.77341901586724249</v>
      </c>
      <c r="J3281" s="104">
        <v>5.9349766666669996</v>
      </c>
      <c r="K3281" s="144"/>
      <c r="L3281" s="62">
        <v>153</v>
      </c>
    </row>
    <row r="3282" spans="1:12" ht="126" x14ac:dyDescent="0.15">
      <c r="A3282" s="165" t="s">
        <v>2481</v>
      </c>
      <c r="B3282" s="93" t="s">
        <v>187</v>
      </c>
      <c r="C3282" s="102" t="s">
        <v>3636</v>
      </c>
      <c r="D3282" s="62" t="s">
        <v>2548</v>
      </c>
      <c r="E3282" s="102" t="s">
        <v>5977</v>
      </c>
      <c r="F3282" s="102" t="s">
        <v>2581</v>
      </c>
      <c r="G3282" s="102" t="s">
        <v>5493</v>
      </c>
      <c r="H3282" s="175"/>
      <c r="I3282" s="85">
        <f t="shared" si="130"/>
        <v>0.80311555489002706</v>
      </c>
      <c r="J3282" s="104">
        <v>6.3550000000000004</v>
      </c>
      <c r="K3282" s="144"/>
      <c r="L3282" s="62">
        <v>153</v>
      </c>
    </row>
    <row r="3283" spans="1:12" ht="42" x14ac:dyDescent="0.15">
      <c r="A3283" s="165" t="s">
        <v>2481</v>
      </c>
      <c r="B3283" s="93" t="s">
        <v>1201</v>
      </c>
      <c r="C3283" s="102" t="s">
        <v>3636</v>
      </c>
      <c r="D3283" s="62" t="s">
        <v>2548</v>
      </c>
      <c r="E3283" s="102" t="s">
        <v>5977</v>
      </c>
      <c r="F3283" s="102" t="s">
        <v>2581</v>
      </c>
      <c r="G3283" s="102" t="s">
        <v>5507</v>
      </c>
      <c r="H3283" s="175"/>
      <c r="I3283" s="98">
        <f t="shared" si="130"/>
        <v>0.81291335664285558</v>
      </c>
      <c r="J3283" s="98">
        <v>6.5</v>
      </c>
      <c r="K3283" s="135"/>
      <c r="L3283" s="62">
        <v>257</v>
      </c>
    </row>
    <row r="3284" spans="1:12" ht="28" x14ac:dyDescent="0.15">
      <c r="A3284" s="165" t="s">
        <v>2481</v>
      </c>
      <c r="B3284" s="93" t="s">
        <v>253</v>
      </c>
      <c r="C3284" s="102" t="s">
        <v>3636</v>
      </c>
      <c r="D3284" s="62" t="s">
        <v>2548</v>
      </c>
      <c r="E3284" s="102" t="s">
        <v>5977</v>
      </c>
      <c r="F3284" s="102" t="s">
        <v>2581</v>
      </c>
      <c r="G3284" s="102" t="s">
        <v>254</v>
      </c>
      <c r="H3284" s="175"/>
      <c r="I3284" s="85">
        <f t="shared" si="130"/>
        <v>0.83674596564951209</v>
      </c>
      <c r="J3284" s="104">
        <v>6.8666666666670002</v>
      </c>
      <c r="K3284" s="144"/>
      <c r="L3284" s="62">
        <v>153</v>
      </c>
    </row>
    <row r="3285" spans="1:12" ht="56" x14ac:dyDescent="0.15">
      <c r="A3285" s="165" t="s">
        <v>2481</v>
      </c>
      <c r="B3285" s="93" t="s">
        <v>1215</v>
      </c>
      <c r="C3285" s="102" t="s">
        <v>3636</v>
      </c>
      <c r="D3285" s="62" t="s">
        <v>2548</v>
      </c>
      <c r="E3285" s="102" t="s">
        <v>5977</v>
      </c>
      <c r="F3285" s="102" t="s">
        <v>2581</v>
      </c>
      <c r="G3285" s="102" t="s">
        <v>4493</v>
      </c>
      <c r="H3285" s="175"/>
      <c r="I3285" s="85">
        <f t="shared" si="130"/>
        <v>0.83989684632847006</v>
      </c>
      <c r="J3285" s="104">
        <v>6.916666666667</v>
      </c>
      <c r="K3285" s="144"/>
      <c r="L3285" s="62">
        <v>153</v>
      </c>
    </row>
    <row r="3286" spans="1:12" ht="42" x14ac:dyDescent="0.15">
      <c r="A3286" s="165" t="s">
        <v>2481</v>
      </c>
      <c r="B3286" s="93" t="s">
        <v>1026</v>
      </c>
      <c r="C3286" s="102" t="s">
        <v>3636</v>
      </c>
      <c r="D3286" s="62" t="s">
        <v>2548</v>
      </c>
      <c r="E3286" s="102" t="s">
        <v>5977</v>
      </c>
      <c r="F3286" s="102" t="s">
        <v>2581</v>
      </c>
      <c r="G3286" s="102" t="s">
        <v>1027</v>
      </c>
      <c r="H3286" s="175"/>
      <c r="I3286" s="85">
        <f t="shared" si="130"/>
        <v>0.86381834731839591</v>
      </c>
      <c r="J3286" s="104">
        <v>7.3083333333329996</v>
      </c>
      <c r="K3286" s="144"/>
      <c r="L3286" s="62">
        <v>153</v>
      </c>
    </row>
    <row r="3287" spans="1:12" ht="42" x14ac:dyDescent="0.15">
      <c r="A3287" s="165" t="s">
        <v>2481</v>
      </c>
      <c r="B3287" s="93" t="s">
        <v>802</v>
      </c>
      <c r="C3287" s="102" t="s">
        <v>3636</v>
      </c>
      <c r="D3287" s="62" t="s">
        <v>2548</v>
      </c>
      <c r="E3287" s="102" t="s">
        <v>5977</v>
      </c>
      <c r="F3287" s="102" t="s">
        <v>2581</v>
      </c>
      <c r="G3287" s="102" t="s">
        <v>803</v>
      </c>
      <c r="H3287" s="175"/>
      <c r="I3287" s="85">
        <f t="shared" si="130"/>
        <v>0.92363253317704841</v>
      </c>
      <c r="J3287" s="104">
        <v>8.3874999999999993</v>
      </c>
      <c r="K3287" s="144"/>
      <c r="L3287" s="62">
        <v>153</v>
      </c>
    </row>
    <row r="3288" spans="1:12" ht="28" x14ac:dyDescent="0.15">
      <c r="A3288" s="165" t="s">
        <v>2481</v>
      </c>
      <c r="B3288" s="93" t="s">
        <v>799</v>
      </c>
      <c r="C3288" s="102" t="s">
        <v>3636</v>
      </c>
      <c r="D3288" s="62" t="s">
        <v>2548</v>
      </c>
      <c r="E3288" s="102" t="s">
        <v>5977</v>
      </c>
      <c r="F3288" s="102" t="s">
        <v>2581</v>
      </c>
      <c r="G3288" s="102" t="s">
        <v>2850</v>
      </c>
      <c r="H3288" s="175"/>
      <c r="I3288" s="85">
        <f t="shared" si="130"/>
        <v>1.0170333392987803</v>
      </c>
      <c r="J3288" s="104">
        <v>10.4</v>
      </c>
      <c r="K3288" s="144"/>
      <c r="L3288" s="62">
        <v>153</v>
      </c>
    </row>
    <row r="3289" spans="1:12" ht="42" x14ac:dyDescent="0.15">
      <c r="A3289" s="165" t="s">
        <v>2481</v>
      </c>
      <c r="B3289" s="93" t="s">
        <v>1046</v>
      </c>
      <c r="C3289" s="102" t="s">
        <v>3636</v>
      </c>
      <c r="D3289" s="62" t="s">
        <v>2548</v>
      </c>
      <c r="E3289" s="102" t="s">
        <v>5977</v>
      </c>
      <c r="F3289" s="102" t="s">
        <v>2581</v>
      </c>
      <c r="G3289" s="102" t="s">
        <v>244</v>
      </c>
      <c r="H3289" s="175"/>
      <c r="I3289" s="85">
        <f t="shared" si="130"/>
        <v>1.1818435879447726</v>
      </c>
      <c r="J3289" s="104">
        <v>15.2</v>
      </c>
      <c r="K3289" s="144"/>
      <c r="L3289" s="62">
        <v>153</v>
      </c>
    </row>
    <row r="3290" spans="1:12" ht="14" x14ac:dyDescent="0.15">
      <c r="A3290" s="165" t="s">
        <v>2481</v>
      </c>
      <c r="B3290" s="93" t="s">
        <v>1856</v>
      </c>
      <c r="C3290" s="102" t="s">
        <v>3636</v>
      </c>
      <c r="D3290" s="62" t="s">
        <v>2548</v>
      </c>
      <c r="E3290" s="102" t="s">
        <v>5977</v>
      </c>
      <c r="F3290" s="102" t="s">
        <v>218</v>
      </c>
      <c r="G3290" s="102" t="s">
        <v>1575</v>
      </c>
      <c r="H3290" s="175"/>
      <c r="I3290" s="98">
        <v>-999</v>
      </c>
      <c r="J3290" s="98">
        <v>-999</v>
      </c>
      <c r="K3290" s="135"/>
      <c r="L3290" s="62">
        <v>-999</v>
      </c>
    </row>
    <row r="3291" spans="1:12" ht="14" x14ac:dyDescent="0.15">
      <c r="A3291" s="165" t="s">
        <v>2481</v>
      </c>
      <c r="B3291" s="93" t="s">
        <v>169</v>
      </c>
      <c r="C3291" s="102" t="s">
        <v>3636</v>
      </c>
      <c r="D3291" s="62" t="s">
        <v>2548</v>
      </c>
      <c r="E3291" s="102" t="s">
        <v>5977</v>
      </c>
      <c r="F3291" s="102" t="s">
        <v>218</v>
      </c>
      <c r="G3291" s="102" t="s">
        <v>170</v>
      </c>
      <c r="H3291" s="175"/>
      <c r="I3291" s="98">
        <v>-999</v>
      </c>
      <c r="J3291" s="98">
        <v>-999</v>
      </c>
      <c r="K3291" s="135"/>
      <c r="L3291" s="62">
        <v>-999</v>
      </c>
    </row>
    <row r="3292" spans="1:12" ht="56" x14ac:dyDescent="0.15">
      <c r="A3292" s="165" t="s">
        <v>2481</v>
      </c>
      <c r="B3292" s="93" t="s">
        <v>217</v>
      </c>
      <c r="C3292" s="102" t="s">
        <v>3636</v>
      </c>
      <c r="D3292" s="62" t="s">
        <v>2548</v>
      </c>
      <c r="E3292" s="102" t="s">
        <v>5977</v>
      </c>
      <c r="F3292" s="102" t="s">
        <v>218</v>
      </c>
      <c r="G3292" s="102" t="s">
        <v>219</v>
      </c>
      <c r="H3292" s="175"/>
      <c r="I3292" s="85">
        <f>LOG(J3292)</f>
        <v>0.86356076452624253</v>
      </c>
      <c r="J3292" s="104">
        <v>7.3040000000000003</v>
      </c>
      <c r="K3292" s="144"/>
      <c r="L3292" s="62">
        <v>153</v>
      </c>
    </row>
    <row r="3293" spans="1:12" ht="42" x14ac:dyDescent="0.15">
      <c r="A3293" s="165" t="s">
        <v>2481</v>
      </c>
      <c r="B3293" s="93" t="s">
        <v>1106</v>
      </c>
      <c r="C3293" s="102" t="s">
        <v>3636</v>
      </c>
      <c r="D3293" s="62" t="s">
        <v>2548</v>
      </c>
      <c r="E3293" s="102" t="s">
        <v>5977</v>
      </c>
      <c r="F3293" s="102" t="s">
        <v>218</v>
      </c>
      <c r="G3293" s="102" t="s">
        <v>7117</v>
      </c>
      <c r="H3293" s="175"/>
      <c r="I3293" s="85">
        <f>LOG(J3293)</f>
        <v>0.89392020586921617</v>
      </c>
      <c r="J3293" s="104">
        <v>7.8328571428569997</v>
      </c>
      <c r="K3293" s="144"/>
      <c r="L3293" s="62">
        <v>153</v>
      </c>
    </row>
    <row r="3294" spans="1:12" ht="28" x14ac:dyDescent="0.15">
      <c r="A3294" s="165" t="s">
        <v>2481</v>
      </c>
      <c r="B3294" s="93" t="s">
        <v>213</v>
      </c>
      <c r="C3294" s="102" t="s">
        <v>3636</v>
      </c>
      <c r="D3294" s="62" t="s">
        <v>2548</v>
      </c>
      <c r="E3294" s="102" t="s">
        <v>5977</v>
      </c>
      <c r="F3294" s="102" t="s">
        <v>1073</v>
      </c>
      <c r="G3294" s="102" t="s">
        <v>1074</v>
      </c>
      <c r="H3294" s="175"/>
      <c r="I3294" s="85">
        <f>LOG(J3294)</f>
        <v>0.56229286445647475</v>
      </c>
      <c r="J3294" s="104">
        <v>3.65</v>
      </c>
      <c r="K3294" s="144"/>
      <c r="L3294" s="62">
        <v>153</v>
      </c>
    </row>
    <row r="3295" spans="1:12" ht="28" x14ac:dyDescent="0.15">
      <c r="A3295" s="165" t="s">
        <v>2481</v>
      </c>
      <c r="B3295" s="93" t="s">
        <v>1104</v>
      </c>
      <c r="C3295" s="102" t="s">
        <v>3636</v>
      </c>
      <c r="D3295" s="62" t="s">
        <v>2548</v>
      </c>
      <c r="E3295" s="102" t="s">
        <v>5977</v>
      </c>
      <c r="F3295" s="102" t="s">
        <v>1073</v>
      </c>
      <c r="G3295" s="102" t="s">
        <v>7164</v>
      </c>
      <c r="H3295" s="175"/>
      <c r="I3295" s="85">
        <f>LOG(J3295)</f>
        <v>0.63848925695463732</v>
      </c>
      <c r="J3295" s="104">
        <v>4.3499999999999996</v>
      </c>
      <c r="K3295" s="144"/>
      <c r="L3295" s="62">
        <v>153</v>
      </c>
    </row>
    <row r="3296" spans="1:12" ht="42" x14ac:dyDescent="0.15">
      <c r="A3296" s="165" t="s">
        <v>2481</v>
      </c>
      <c r="B3296" s="93" t="s">
        <v>212</v>
      </c>
      <c r="C3296" s="102" t="s">
        <v>3636</v>
      </c>
      <c r="D3296" s="62" t="s">
        <v>2548</v>
      </c>
      <c r="E3296" s="102" t="s">
        <v>5977</v>
      </c>
      <c r="F3296" s="102" t="s">
        <v>1073</v>
      </c>
      <c r="G3296" s="102" t="s">
        <v>1090</v>
      </c>
      <c r="H3296" s="175"/>
      <c r="I3296" s="85">
        <f>LOG(J3296)</f>
        <v>0.64836001098093166</v>
      </c>
      <c r="J3296" s="104">
        <v>4.45</v>
      </c>
      <c r="K3296" s="144"/>
      <c r="L3296" s="62">
        <v>153</v>
      </c>
    </row>
    <row r="3297" spans="1:15" ht="14" x14ac:dyDescent="0.15">
      <c r="A3297" s="165" t="s">
        <v>2481</v>
      </c>
      <c r="B3297" s="93" t="s">
        <v>238</v>
      </c>
      <c r="C3297" s="102" t="s">
        <v>3636</v>
      </c>
      <c r="D3297" s="62" t="s">
        <v>2548</v>
      </c>
      <c r="E3297" s="102" t="s">
        <v>5977</v>
      </c>
      <c r="F3297" s="102" t="s">
        <v>6038</v>
      </c>
      <c r="G3297" s="102" t="s">
        <v>6242</v>
      </c>
      <c r="H3297" s="175"/>
      <c r="I3297" s="98">
        <v>-999</v>
      </c>
      <c r="J3297" s="98">
        <v>-999</v>
      </c>
      <c r="K3297" s="135"/>
      <c r="L3297" s="62">
        <v>-999</v>
      </c>
    </row>
    <row r="3298" spans="1:15" ht="14" x14ac:dyDescent="0.15">
      <c r="A3298" s="165" t="s">
        <v>2481</v>
      </c>
      <c r="B3298" s="93" t="s">
        <v>606</v>
      </c>
      <c r="C3298" s="102" t="s">
        <v>3636</v>
      </c>
      <c r="D3298" s="62" t="s">
        <v>2548</v>
      </c>
      <c r="E3298" s="102" t="s">
        <v>5977</v>
      </c>
      <c r="F3298" s="102" t="s">
        <v>6038</v>
      </c>
      <c r="G3298" s="102" t="s">
        <v>6834</v>
      </c>
      <c r="H3298" s="175"/>
      <c r="I3298" s="98">
        <v>-999</v>
      </c>
      <c r="J3298" s="98">
        <v>-999</v>
      </c>
      <c r="K3298" s="135"/>
      <c r="L3298" s="62">
        <v>-999</v>
      </c>
    </row>
    <row r="3299" spans="1:15" ht="28" x14ac:dyDescent="0.15">
      <c r="A3299" s="165" t="s">
        <v>2481</v>
      </c>
      <c r="B3299" s="93" t="s">
        <v>990</v>
      </c>
      <c r="C3299" s="102" t="s">
        <v>3636</v>
      </c>
      <c r="D3299" s="62" t="s">
        <v>2548</v>
      </c>
      <c r="E3299" s="102" t="s">
        <v>5977</v>
      </c>
      <c r="F3299" s="102" t="s">
        <v>6038</v>
      </c>
      <c r="G3299" s="102" t="s">
        <v>6039</v>
      </c>
      <c r="H3299" s="175"/>
      <c r="I3299" s="85">
        <f t="shared" ref="I3299:I3308" si="131">LOG(J3299)</f>
        <v>1.255272505103306</v>
      </c>
      <c r="J3299" s="104">
        <v>18</v>
      </c>
      <c r="K3299" s="144"/>
      <c r="L3299" s="62">
        <v>153</v>
      </c>
    </row>
    <row r="3300" spans="1:15" ht="56" x14ac:dyDescent="0.15">
      <c r="A3300" s="165" t="s">
        <v>2481</v>
      </c>
      <c r="B3300" s="93" t="s">
        <v>129</v>
      </c>
      <c r="C3300" s="102" t="s">
        <v>3636</v>
      </c>
      <c r="D3300" s="62" t="s">
        <v>2548</v>
      </c>
      <c r="E3300" s="102" t="s">
        <v>5977</v>
      </c>
      <c r="F3300" s="102" t="s">
        <v>6038</v>
      </c>
      <c r="G3300" s="102" t="s">
        <v>4464</v>
      </c>
      <c r="H3300" s="175"/>
      <c r="I3300" s="85">
        <f t="shared" si="131"/>
        <v>1.2671717284030137</v>
      </c>
      <c r="J3300" s="104">
        <f>AVERAGE(19, 20, 17, 18)</f>
        <v>18.5</v>
      </c>
      <c r="K3300" s="144"/>
      <c r="L3300" s="62">
        <v>122</v>
      </c>
    </row>
    <row r="3301" spans="1:15" ht="42" x14ac:dyDescent="0.15">
      <c r="A3301" s="165" t="s">
        <v>2481</v>
      </c>
      <c r="B3301" s="93" t="s">
        <v>1126</v>
      </c>
      <c r="C3301" s="102" t="s">
        <v>3636</v>
      </c>
      <c r="D3301" s="62" t="s">
        <v>2548</v>
      </c>
      <c r="E3301" s="102" t="s">
        <v>5977</v>
      </c>
      <c r="F3301" s="102" t="s">
        <v>6038</v>
      </c>
      <c r="G3301" s="102" t="s">
        <v>206</v>
      </c>
      <c r="H3301" s="175"/>
      <c r="I3301" s="85">
        <f t="shared" si="131"/>
        <v>1.5385737338068557</v>
      </c>
      <c r="J3301" s="104">
        <v>34.56</v>
      </c>
      <c r="K3301" s="144"/>
      <c r="L3301" s="62">
        <v>153</v>
      </c>
    </row>
    <row r="3302" spans="1:15" ht="56" x14ac:dyDescent="0.15">
      <c r="A3302" s="165" t="s">
        <v>2481</v>
      </c>
      <c r="B3302" s="93" t="s">
        <v>153</v>
      </c>
      <c r="C3302" s="102" t="s">
        <v>3636</v>
      </c>
      <c r="D3302" s="62" t="s">
        <v>2548</v>
      </c>
      <c r="E3302" s="102" t="s">
        <v>5977</v>
      </c>
      <c r="F3302" s="102" t="s">
        <v>154</v>
      </c>
      <c r="G3302" s="102" t="s">
        <v>155</v>
      </c>
      <c r="H3302" s="175"/>
      <c r="I3302" s="85">
        <f t="shared" si="131"/>
        <v>0.55388302664387434</v>
      </c>
      <c r="J3302" s="104">
        <v>3.58</v>
      </c>
      <c r="K3302" s="144"/>
      <c r="L3302" s="62">
        <v>153</v>
      </c>
    </row>
    <row r="3303" spans="1:15" ht="14" x14ac:dyDescent="0.15">
      <c r="A3303" s="165" t="s">
        <v>2481</v>
      </c>
      <c r="B3303" s="93" t="s">
        <v>7533</v>
      </c>
      <c r="C3303" s="102" t="s">
        <v>3636</v>
      </c>
      <c r="D3303" s="62" t="s">
        <v>2548</v>
      </c>
      <c r="E3303" s="102" t="s">
        <v>5977</v>
      </c>
      <c r="F3303" s="102" t="s">
        <v>154</v>
      </c>
      <c r="G3303" s="102" t="s">
        <v>156</v>
      </c>
      <c r="H3303" s="175"/>
      <c r="I3303" s="85">
        <f t="shared" si="131"/>
        <v>0.87506126339170009</v>
      </c>
      <c r="J3303" s="104">
        <f>AVERAGE(6.5, 8.5)</f>
        <v>7.5</v>
      </c>
      <c r="K3303" s="144"/>
      <c r="L3303" s="62">
        <v>257</v>
      </c>
    </row>
    <row r="3304" spans="1:15" ht="42" x14ac:dyDescent="0.15">
      <c r="A3304" s="165" t="s">
        <v>2481</v>
      </c>
      <c r="B3304" s="93" t="s">
        <v>1151</v>
      </c>
      <c r="C3304" s="102" t="s">
        <v>3636</v>
      </c>
      <c r="D3304" s="62" t="s">
        <v>2548</v>
      </c>
      <c r="E3304" s="102" t="s">
        <v>5977</v>
      </c>
      <c r="F3304" s="102" t="s">
        <v>1152</v>
      </c>
      <c r="G3304" s="102" t="s">
        <v>4375</v>
      </c>
      <c r="H3304" s="175"/>
      <c r="I3304" s="85">
        <f t="shared" si="131"/>
        <v>1.271841606536499</v>
      </c>
      <c r="J3304" s="104">
        <v>18.7</v>
      </c>
      <c r="K3304" s="144"/>
      <c r="L3304" s="62">
        <v>153</v>
      </c>
    </row>
    <row r="3305" spans="1:15" ht="42" x14ac:dyDescent="0.15">
      <c r="A3305" s="165" t="s">
        <v>2481</v>
      </c>
      <c r="B3305" s="93" t="s">
        <v>1056</v>
      </c>
      <c r="C3305" s="102" t="s">
        <v>3636</v>
      </c>
      <c r="D3305" s="62" t="s">
        <v>2548</v>
      </c>
      <c r="E3305" s="102" t="s">
        <v>5977</v>
      </c>
      <c r="F3305" s="102" t="s">
        <v>1152</v>
      </c>
      <c r="G3305" s="102" t="s">
        <v>4486</v>
      </c>
      <c r="H3305" s="175"/>
      <c r="I3305" s="85">
        <f t="shared" si="131"/>
        <v>1.3887227004751754</v>
      </c>
      <c r="J3305" s="104">
        <v>24.475000000000001</v>
      </c>
      <c r="K3305" s="144"/>
      <c r="L3305" s="62">
        <v>153</v>
      </c>
    </row>
    <row r="3306" spans="1:15" ht="98" x14ac:dyDescent="0.15">
      <c r="A3306" s="166" t="s">
        <v>2481</v>
      </c>
      <c r="B3306" s="93" t="s">
        <v>2078</v>
      </c>
      <c r="C3306" s="70" t="s">
        <v>3636</v>
      </c>
      <c r="D3306" s="70" t="s">
        <v>3243</v>
      </c>
      <c r="E3306" s="70" t="s">
        <v>3244</v>
      </c>
      <c r="F3306" s="70" t="s">
        <v>7222</v>
      </c>
      <c r="G3306" s="70" t="s">
        <v>5195</v>
      </c>
      <c r="H3306" s="93"/>
      <c r="I3306" s="85">
        <f t="shared" si="131"/>
        <v>1.5990092398233435</v>
      </c>
      <c r="J3306" s="85">
        <v>39.72</v>
      </c>
      <c r="K3306" s="131" t="s">
        <v>6735</v>
      </c>
      <c r="L3306" s="60">
        <v>151</v>
      </c>
      <c r="M3306" s="37" t="s">
        <v>6727</v>
      </c>
      <c r="N3306" s="32" t="s">
        <v>1792</v>
      </c>
    </row>
    <row r="3307" spans="1:15" ht="28" x14ac:dyDescent="0.15">
      <c r="A3307" s="166" t="s">
        <v>2481</v>
      </c>
      <c r="B3307" s="93" t="s">
        <v>2078</v>
      </c>
      <c r="C3307" s="70" t="s">
        <v>3636</v>
      </c>
      <c r="D3307" s="70" t="s">
        <v>3243</v>
      </c>
      <c r="E3307" s="70" t="s">
        <v>3244</v>
      </c>
      <c r="F3307" s="70" t="s">
        <v>7222</v>
      </c>
      <c r="G3307" s="70" t="s">
        <v>3426</v>
      </c>
      <c r="H3307" s="93"/>
      <c r="I3307" s="85">
        <f t="shared" si="131"/>
        <v>1.6794278966121188</v>
      </c>
      <c r="J3307" s="85">
        <v>47.8</v>
      </c>
      <c r="K3307" s="131" t="s">
        <v>6613</v>
      </c>
      <c r="L3307" s="60">
        <v>151</v>
      </c>
      <c r="M3307" s="37"/>
    </row>
    <row r="3308" spans="1:15" ht="84" x14ac:dyDescent="0.15">
      <c r="A3308" s="166" t="s">
        <v>2481</v>
      </c>
      <c r="B3308" s="93" t="s">
        <v>2078</v>
      </c>
      <c r="C3308" s="70" t="s">
        <v>3636</v>
      </c>
      <c r="D3308" s="70" t="s">
        <v>3243</v>
      </c>
      <c r="E3308" s="70" t="s">
        <v>3244</v>
      </c>
      <c r="F3308" s="70" t="s">
        <v>7222</v>
      </c>
      <c r="G3308" s="70" t="s">
        <v>6823</v>
      </c>
      <c r="H3308" s="93"/>
      <c r="I3308" s="85">
        <f t="shared" si="131"/>
        <v>1.6848453616444126</v>
      </c>
      <c r="J3308" s="85">
        <f>AVERAGE(42.8,54)</f>
        <v>48.4</v>
      </c>
      <c r="K3308" s="131" t="s">
        <v>6735</v>
      </c>
      <c r="L3308" s="60">
        <v>151</v>
      </c>
      <c r="M3308" s="37" t="s">
        <v>6727</v>
      </c>
      <c r="N3308" s="32" t="s">
        <v>7300</v>
      </c>
    </row>
    <row r="3309" spans="1:15" ht="84" x14ac:dyDescent="0.15">
      <c r="A3309" s="166" t="s">
        <v>2481</v>
      </c>
      <c r="B3309" s="93" t="s">
        <v>2078</v>
      </c>
      <c r="C3309" s="70" t="s">
        <v>3636</v>
      </c>
      <c r="D3309" s="70" t="s">
        <v>3243</v>
      </c>
      <c r="E3309" s="70" t="s">
        <v>3244</v>
      </c>
      <c r="F3309" s="70" t="s">
        <v>4208</v>
      </c>
      <c r="G3309" s="70" t="s">
        <v>5118</v>
      </c>
      <c r="H3309" s="93"/>
      <c r="I3309" s="85">
        <v>-999</v>
      </c>
      <c r="J3309" s="85">
        <v>-999</v>
      </c>
      <c r="K3309" s="131" t="s">
        <v>4780</v>
      </c>
      <c r="L3309" s="60">
        <v>151</v>
      </c>
      <c r="M3309" s="37" t="s">
        <v>6812</v>
      </c>
    </row>
    <row r="3310" spans="1:15" ht="42" x14ac:dyDescent="0.15">
      <c r="A3310" s="166" t="s">
        <v>2481</v>
      </c>
      <c r="B3310" s="93" t="s">
        <v>2078</v>
      </c>
      <c r="C3310" s="70" t="s">
        <v>3636</v>
      </c>
      <c r="D3310" s="70" t="s">
        <v>3243</v>
      </c>
      <c r="E3310" s="70" t="s">
        <v>3244</v>
      </c>
      <c r="F3310" s="70" t="s">
        <v>4208</v>
      </c>
      <c r="G3310" s="70" t="s">
        <v>5117</v>
      </c>
      <c r="H3310" s="93"/>
      <c r="I3310" s="85">
        <f t="shared" ref="I3310:I3324" si="132">LOG(J3310)</f>
        <v>2.8041394323353503</v>
      </c>
      <c r="J3310" s="85">
        <v>637</v>
      </c>
      <c r="K3310" s="131" t="s">
        <v>7789</v>
      </c>
      <c r="L3310" s="60">
        <v>151</v>
      </c>
      <c r="M3310" s="37" t="s">
        <v>6728</v>
      </c>
      <c r="N3310" s="32" t="s">
        <v>6811</v>
      </c>
    </row>
    <row r="3311" spans="1:15" ht="98" x14ac:dyDescent="0.15">
      <c r="A3311" s="166" t="s">
        <v>2481</v>
      </c>
      <c r="B3311" s="93" t="s">
        <v>2078</v>
      </c>
      <c r="C3311" s="70" t="s">
        <v>3636</v>
      </c>
      <c r="D3311" s="70" t="s">
        <v>3243</v>
      </c>
      <c r="E3311" s="70" t="s">
        <v>3244</v>
      </c>
      <c r="F3311" s="70" t="s">
        <v>5478</v>
      </c>
      <c r="G3311" s="70" t="s">
        <v>3996</v>
      </c>
      <c r="H3311" s="93"/>
      <c r="I3311" s="85">
        <f t="shared" si="132"/>
        <v>1.6409780573583321</v>
      </c>
      <c r="J3311" s="85">
        <f>AVERAGE(28.5, 59)</f>
        <v>43.75</v>
      </c>
      <c r="K3311" s="131" t="s">
        <v>4941</v>
      </c>
      <c r="L3311" s="60">
        <v>151</v>
      </c>
      <c r="M3311" s="37" t="s">
        <v>4940</v>
      </c>
    </row>
    <row r="3312" spans="1:15" ht="43" x14ac:dyDescent="0.2">
      <c r="A3312" s="166" t="s">
        <v>2481</v>
      </c>
      <c r="B3312" s="93" t="s">
        <v>2487</v>
      </c>
      <c r="C3312" s="70" t="s">
        <v>3636</v>
      </c>
      <c r="D3312" s="70" t="s">
        <v>3243</v>
      </c>
      <c r="E3312" s="70" t="s">
        <v>3244</v>
      </c>
      <c r="F3312" s="70" t="s">
        <v>5478</v>
      </c>
      <c r="G3312" s="70" t="s">
        <v>7219</v>
      </c>
      <c r="H3312" s="93"/>
      <c r="I3312" s="85">
        <f t="shared" si="132"/>
        <v>2.1445742076096161</v>
      </c>
      <c r="J3312" s="85">
        <f>AVERAGE(1000*0.211, 1000*0.068)</f>
        <v>139.5</v>
      </c>
      <c r="K3312" s="131" t="s">
        <v>3177</v>
      </c>
      <c r="L3312" s="60">
        <v>60</v>
      </c>
      <c r="M3312" s="33"/>
      <c r="N3312" s="48"/>
      <c r="O3312" s="37" t="s">
        <v>4695</v>
      </c>
    </row>
    <row r="3313" spans="1:14" ht="14" x14ac:dyDescent="0.15">
      <c r="A3313" s="166" t="s">
        <v>2481</v>
      </c>
      <c r="B3313" s="93" t="s">
        <v>1642</v>
      </c>
      <c r="C3313" s="70" t="s">
        <v>3636</v>
      </c>
      <c r="D3313" s="70" t="s">
        <v>3243</v>
      </c>
      <c r="E3313" s="70" t="s">
        <v>3244</v>
      </c>
      <c r="F3313" s="70" t="s">
        <v>5478</v>
      </c>
      <c r="G3313" s="70" t="s">
        <v>7219</v>
      </c>
      <c r="H3313" s="93"/>
      <c r="I3313" s="85">
        <f t="shared" si="132"/>
        <v>2.6374897295125108</v>
      </c>
      <c r="J3313" s="85">
        <v>434</v>
      </c>
      <c r="K3313" s="131" t="s">
        <v>3177</v>
      </c>
      <c r="L3313" s="60">
        <v>110</v>
      </c>
      <c r="M3313" s="33" t="s">
        <v>1465</v>
      </c>
    </row>
    <row r="3314" spans="1:14" ht="14" x14ac:dyDescent="0.15">
      <c r="A3314" s="166" t="s">
        <v>2481</v>
      </c>
      <c r="B3314" s="93" t="s">
        <v>2078</v>
      </c>
      <c r="C3314" s="70" t="s">
        <v>3636</v>
      </c>
      <c r="D3314" s="70" t="s">
        <v>3243</v>
      </c>
      <c r="E3314" s="70" t="s">
        <v>3244</v>
      </c>
      <c r="F3314" s="70" t="s">
        <v>5478</v>
      </c>
      <c r="G3314" s="70" t="s">
        <v>7219</v>
      </c>
      <c r="H3314" s="93"/>
      <c r="I3314" s="85">
        <f t="shared" si="132"/>
        <v>2.6374897295125108</v>
      </c>
      <c r="J3314" s="85">
        <v>434</v>
      </c>
      <c r="K3314" s="131" t="s">
        <v>3177</v>
      </c>
      <c r="L3314" s="70">
        <v>110</v>
      </c>
      <c r="M3314" s="33" t="s">
        <v>1465</v>
      </c>
    </row>
    <row r="3315" spans="1:14" ht="14" x14ac:dyDescent="0.15">
      <c r="A3315" s="166" t="s">
        <v>2481</v>
      </c>
      <c r="B3315" s="93" t="s">
        <v>2487</v>
      </c>
      <c r="C3315" s="70" t="s">
        <v>3636</v>
      </c>
      <c r="D3315" s="70" t="s">
        <v>3243</v>
      </c>
      <c r="E3315" s="70" t="s">
        <v>3244</v>
      </c>
      <c r="F3315" s="70" t="s">
        <v>5479</v>
      </c>
      <c r="G3315" s="70" t="s">
        <v>5449</v>
      </c>
      <c r="H3315" s="93"/>
      <c r="I3315" s="85">
        <f t="shared" si="132"/>
        <v>2.3010299956639813</v>
      </c>
      <c r="J3315" s="85">
        <v>200</v>
      </c>
      <c r="K3315" s="131" t="s">
        <v>3177</v>
      </c>
      <c r="L3315" s="60">
        <v>110</v>
      </c>
      <c r="M3315" s="33"/>
    </row>
    <row r="3316" spans="1:14" ht="42" x14ac:dyDescent="0.15">
      <c r="A3316" s="166" t="s">
        <v>2481</v>
      </c>
      <c r="B3316" s="93" t="s">
        <v>1381</v>
      </c>
      <c r="C3316" s="70" t="s">
        <v>3636</v>
      </c>
      <c r="D3316" s="70" t="s">
        <v>3243</v>
      </c>
      <c r="E3316" s="70" t="s">
        <v>3244</v>
      </c>
      <c r="F3316" s="70" t="s">
        <v>5479</v>
      </c>
      <c r="G3316" s="70" t="s">
        <v>5449</v>
      </c>
      <c r="H3316" s="93"/>
      <c r="I3316" s="85">
        <f t="shared" si="132"/>
        <v>2.3010299956639813</v>
      </c>
      <c r="J3316" s="85">
        <v>200</v>
      </c>
      <c r="K3316" s="131" t="s">
        <v>3177</v>
      </c>
      <c r="L3316" s="60">
        <v>110</v>
      </c>
      <c r="M3316" s="33" t="s">
        <v>1285</v>
      </c>
    </row>
    <row r="3317" spans="1:14" ht="28" x14ac:dyDescent="0.15">
      <c r="A3317" s="166" t="s">
        <v>2481</v>
      </c>
      <c r="B3317" s="93" t="s">
        <v>2078</v>
      </c>
      <c r="C3317" s="70" t="s">
        <v>3636</v>
      </c>
      <c r="D3317" s="70" t="s">
        <v>3243</v>
      </c>
      <c r="E3317" s="70" t="s">
        <v>3244</v>
      </c>
      <c r="F3317" s="70" t="s">
        <v>5479</v>
      </c>
      <c r="G3317" s="70" t="s">
        <v>5449</v>
      </c>
      <c r="H3317" s="93"/>
      <c r="I3317" s="85">
        <f t="shared" si="132"/>
        <v>2.3010299956639813</v>
      </c>
      <c r="J3317" s="85">
        <v>200</v>
      </c>
      <c r="K3317" s="131" t="s">
        <v>4942</v>
      </c>
      <c r="L3317" s="60">
        <v>151</v>
      </c>
      <c r="M3317" s="37"/>
    </row>
    <row r="3318" spans="1:14" ht="28" x14ac:dyDescent="0.15">
      <c r="A3318" s="166" t="s">
        <v>2481</v>
      </c>
      <c r="B3318" s="93" t="s">
        <v>2078</v>
      </c>
      <c r="C3318" s="70" t="s">
        <v>3636</v>
      </c>
      <c r="D3318" s="70" t="s">
        <v>3243</v>
      </c>
      <c r="E3318" s="70" t="s">
        <v>3244</v>
      </c>
      <c r="F3318" s="70" t="s">
        <v>5480</v>
      </c>
      <c r="G3318" s="70" t="s">
        <v>5481</v>
      </c>
      <c r="H3318" s="93"/>
      <c r="I3318" s="85">
        <f t="shared" si="132"/>
        <v>2.3263358609287512</v>
      </c>
      <c r="J3318" s="85">
        <v>212</v>
      </c>
      <c r="K3318" s="131" t="s">
        <v>4836</v>
      </c>
      <c r="L3318" s="60">
        <v>151</v>
      </c>
      <c r="M3318" s="37"/>
    </row>
    <row r="3319" spans="1:14" ht="28" x14ac:dyDescent="0.15">
      <c r="A3319" s="166" t="s">
        <v>2481</v>
      </c>
      <c r="B3319" s="93" t="s">
        <v>2078</v>
      </c>
      <c r="C3319" s="70" t="s">
        <v>3636</v>
      </c>
      <c r="D3319" s="70" t="s">
        <v>3243</v>
      </c>
      <c r="E3319" s="70" t="s">
        <v>3244</v>
      </c>
      <c r="F3319" s="70" t="s">
        <v>5210</v>
      </c>
      <c r="G3319" s="70" t="s">
        <v>3449</v>
      </c>
      <c r="H3319" s="93"/>
      <c r="I3319" s="85">
        <f t="shared" si="132"/>
        <v>2.1414497734004674</v>
      </c>
      <c r="J3319" s="85">
        <v>138.5</v>
      </c>
      <c r="K3319" s="131" t="s">
        <v>8031</v>
      </c>
      <c r="L3319" s="60">
        <v>151</v>
      </c>
      <c r="M3319" s="37"/>
    </row>
    <row r="3320" spans="1:14" ht="182" x14ac:dyDescent="0.15">
      <c r="A3320" s="166" t="s">
        <v>2481</v>
      </c>
      <c r="B3320" s="93" t="s">
        <v>2078</v>
      </c>
      <c r="C3320" s="70" t="s">
        <v>3636</v>
      </c>
      <c r="D3320" s="70" t="s">
        <v>3243</v>
      </c>
      <c r="E3320" s="70" t="s">
        <v>3244</v>
      </c>
      <c r="F3320" s="70" t="s">
        <v>5210</v>
      </c>
      <c r="G3320" s="70" t="s">
        <v>5211</v>
      </c>
      <c r="H3320" s="93"/>
      <c r="I3320" s="85">
        <f t="shared" si="132"/>
        <v>2.2260995985690735</v>
      </c>
      <c r="J3320" s="85">
        <v>168.30600000000001</v>
      </c>
      <c r="K3320" s="131" t="s">
        <v>6630</v>
      </c>
      <c r="L3320" s="60">
        <v>151</v>
      </c>
      <c r="M3320" s="49" t="s">
        <v>6727</v>
      </c>
      <c r="N3320" s="32" t="s">
        <v>257</v>
      </c>
    </row>
    <row r="3321" spans="1:14" ht="56" x14ac:dyDescent="0.15">
      <c r="A3321" s="166" t="s">
        <v>2481</v>
      </c>
      <c r="B3321" s="93" t="s">
        <v>2078</v>
      </c>
      <c r="C3321" s="70" t="s">
        <v>3636</v>
      </c>
      <c r="D3321" s="70" t="s">
        <v>3243</v>
      </c>
      <c r="E3321" s="70" t="s">
        <v>3244</v>
      </c>
      <c r="F3321" s="70" t="s">
        <v>3877</v>
      </c>
      <c r="G3321" s="70" t="s">
        <v>4994</v>
      </c>
      <c r="H3321" s="93"/>
      <c r="I3321" s="85">
        <f t="shared" si="132"/>
        <v>1.173186268412274</v>
      </c>
      <c r="J3321" s="85">
        <v>14.9</v>
      </c>
      <c r="K3321" s="131" t="s">
        <v>7518</v>
      </c>
      <c r="L3321" s="60">
        <v>151</v>
      </c>
      <c r="M3321" s="37" t="s">
        <v>4796</v>
      </c>
    </row>
    <row r="3322" spans="1:14" ht="112" x14ac:dyDescent="0.15">
      <c r="A3322" s="166" t="s">
        <v>2481</v>
      </c>
      <c r="B3322" s="93" t="s">
        <v>2078</v>
      </c>
      <c r="C3322" s="70" t="s">
        <v>3636</v>
      </c>
      <c r="D3322" s="70" t="s">
        <v>3243</v>
      </c>
      <c r="E3322" s="70" t="s">
        <v>3244</v>
      </c>
      <c r="F3322" s="70" t="s">
        <v>3936</v>
      </c>
      <c r="G3322" s="70" t="s">
        <v>6881</v>
      </c>
      <c r="H3322" s="93"/>
      <c r="I3322" s="85">
        <f t="shared" si="132"/>
        <v>1.2041199826559248</v>
      </c>
      <c r="J3322" s="85">
        <v>16</v>
      </c>
      <c r="K3322" s="131" t="s">
        <v>6760</v>
      </c>
      <c r="L3322" s="60">
        <v>151</v>
      </c>
      <c r="M3322" s="37" t="s">
        <v>6761</v>
      </c>
    </row>
    <row r="3323" spans="1:14" ht="98" x14ac:dyDescent="0.15">
      <c r="A3323" s="166" t="s">
        <v>2481</v>
      </c>
      <c r="B3323" s="93" t="s">
        <v>2078</v>
      </c>
      <c r="C3323" s="70" t="s">
        <v>3636</v>
      </c>
      <c r="D3323" s="70" t="s">
        <v>3243</v>
      </c>
      <c r="E3323" s="70" t="s">
        <v>3244</v>
      </c>
      <c r="F3323" s="70" t="s">
        <v>3936</v>
      </c>
      <c r="G3323" s="70" t="s">
        <v>3914</v>
      </c>
      <c r="H3323" s="93"/>
      <c r="I3323" s="85">
        <f t="shared" si="132"/>
        <v>1.5471591213274176</v>
      </c>
      <c r="J3323" s="85">
        <v>35.25</v>
      </c>
      <c r="K3323" s="131" t="s">
        <v>6757</v>
      </c>
      <c r="L3323" s="60">
        <v>151</v>
      </c>
      <c r="M3323" s="37" t="s">
        <v>6761</v>
      </c>
    </row>
    <row r="3324" spans="1:14" ht="14" x14ac:dyDescent="0.15">
      <c r="A3324" s="166" t="s">
        <v>2481</v>
      </c>
      <c r="B3324" s="82" t="s">
        <v>2018</v>
      </c>
      <c r="C3324" s="70" t="s">
        <v>3636</v>
      </c>
      <c r="D3324" s="70" t="s">
        <v>3359</v>
      </c>
      <c r="E3324" s="70" t="s">
        <v>3360</v>
      </c>
      <c r="F3324" s="70" t="s">
        <v>5799</v>
      </c>
      <c r="G3324" s="70" t="s">
        <v>2924</v>
      </c>
      <c r="H3324" s="93"/>
      <c r="I3324" s="85">
        <f t="shared" si="132"/>
        <v>3.0107238653917729</v>
      </c>
      <c r="J3324" s="85">
        <f>AVERAGE(925, 1300, 850)</f>
        <v>1025</v>
      </c>
      <c r="K3324" s="131"/>
      <c r="L3324" s="60" t="s">
        <v>1382</v>
      </c>
      <c r="M3324" s="33"/>
    </row>
    <row r="3325" spans="1:14" ht="14" x14ac:dyDescent="0.15">
      <c r="A3325" s="166" t="s">
        <v>2481</v>
      </c>
      <c r="B3325" s="93" t="s">
        <v>5612</v>
      </c>
      <c r="C3325" s="70" t="s">
        <v>3636</v>
      </c>
      <c r="D3325" s="70" t="s">
        <v>4189</v>
      </c>
      <c r="E3325" s="70" t="s">
        <v>4190</v>
      </c>
      <c r="F3325" s="70" t="s">
        <v>2119</v>
      </c>
      <c r="G3325" s="70" t="s">
        <v>6571</v>
      </c>
      <c r="H3325" s="93"/>
      <c r="I3325" s="85">
        <v>-999</v>
      </c>
      <c r="J3325" s="85">
        <v>-999</v>
      </c>
      <c r="K3325" s="131" t="s">
        <v>6391</v>
      </c>
      <c r="L3325" s="60">
        <v>-999</v>
      </c>
      <c r="M3325" s="33" t="s">
        <v>6728</v>
      </c>
    </row>
    <row r="3326" spans="1:14" ht="28" x14ac:dyDescent="0.15">
      <c r="A3326" s="166" t="s">
        <v>2481</v>
      </c>
      <c r="B3326" s="93" t="s">
        <v>2078</v>
      </c>
      <c r="C3326" s="70" t="s">
        <v>3636</v>
      </c>
      <c r="D3326" s="70" t="s">
        <v>1992</v>
      </c>
      <c r="E3326" s="70" t="s">
        <v>3294</v>
      </c>
      <c r="F3326" s="70" t="s">
        <v>5292</v>
      </c>
      <c r="G3326" s="70" t="s">
        <v>5060</v>
      </c>
      <c r="H3326" s="93"/>
      <c r="I3326" s="85">
        <f t="shared" ref="I3326:I3350" si="133">LOG(J3326)</f>
        <v>1.6444385894678386</v>
      </c>
      <c r="J3326" s="85">
        <f>AVERAGE(39.1, 49.1)</f>
        <v>44.1</v>
      </c>
      <c r="K3326" s="131" t="s">
        <v>4943</v>
      </c>
      <c r="L3326" s="60">
        <v>151</v>
      </c>
      <c r="M3326" s="37"/>
    </row>
    <row r="3327" spans="1:14" ht="28" x14ac:dyDescent="0.15">
      <c r="A3327" s="165" t="s">
        <v>2481</v>
      </c>
      <c r="B3327" s="93" t="s">
        <v>2078</v>
      </c>
      <c r="C3327" s="61" t="s">
        <v>3636</v>
      </c>
      <c r="D3327" s="61" t="s">
        <v>1992</v>
      </c>
      <c r="E3327" s="61" t="s">
        <v>4659</v>
      </c>
      <c r="F3327" s="61" t="s">
        <v>2082</v>
      </c>
      <c r="G3327" s="61" t="s">
        <v>2086</v>
      </c>
      <c r="H3327" s="115"/>
      <c r="I3327" s="85">
        <f t="shared" si="133"/>
        <v>1.3010299956639813</v>
      </c>
      <c r="J3327" s="103">
        <f>AVERAGE(19.8, 20.2)</f>
        <v>20</v>
      </c>
      <c r="K3327" s="141" t="s">
        <v>7152</v>
      </c>
      <c r="L3327" s="67">
        <v>151</v>
      </c>
      <c r="M3327" s="35"/>
    </row>
    <row r="3328" spans="1:14" ht="70" x14ac:dyDescent="0.15">
      <c r="A3328" s="165" t="s">
        <v>2481</v>
      </c>
      <c r="B3328" s="93" t="s">
        <v>2078</v>
      </c>
      <c r="C3328" s="62" t="s">
        <v>3636</v>
      </c>
      <c r="D3328" s="62" t="s">
        <v>1992</v>
      </c>
      <c r="E3328" s="61" t="s">
        <v>7065</v>
      </c>
      <c r="F3328" s="62" t="s">
        <v>4803</v>
      </c>
      <c r="G3328" s="62" t="s">
        <v>6076</v>
      </c>
      <c r="H3328" s="97"/>
      <c r="I3328" s="85">
        <f t="shared" si="133"/>
        <v>3.842609239610562</v>
      </c>
      <c r="J3328" s="98">
        <v>6960</v>
      </c>
      <c r="K3328" s="141" t="s">
        <v>6485</v>
      </c>
      <c r="L3328" s="67">
        <v>-999</v>
      </c>
      <c r="M3328" s="35" t="s">
        <v>5137</v>
      </c>
    </row>
    <row r="3329" spans="1:15" ht="56" x14ac:dyDescent="0.15">
      <c r="A3329" s="165" t="s">
        <v>2481</v>
      </c>
      <c r="B3329" s="93" t="s">
        <v>2078</v>
      </c>
      <c r="C3329" s="62" t="s">
        <v>3636</v>
      </c>
      <c r="D3329" s="62" t="s">
        <v>1992</v>
      </c>
      <c r="E3329" s="61" t="s">
        <v>7065</v>
      </c>
      <c r="F3329" s="62" t="s">
        <v>4803</v>
      </c>
      <c r="G3329" s="62" t="s">
        <v>5124</v>
      </c>
      <c r="H3329" s="97"/>
      <c r="I3329" s="85">
        <f t="shared" si="133"/>
        <v>3.9044450410769098</v>
      </c>
      <c r="J3329" s="98">
        <f>AVERAGE(7900, 8150)</f>
        <v>8025</v>
      </c>
      <c r="K3329" s="131" t="s">
        <v>6522</v>
      </c>
      <c r="L3329" s="67">
        <v>151</v>
      </c>
      <c r="M3329" s="53" t="s">
        <v>6390</v>
      </c>
      <c r="N3329" s="32" t="s">
        <v>5551</v>
      </c>
    </row>
    <row r="3330" spans="1:15" ht="28" x14ac:dyDescent="0.15">
      <c r="A3330" s="166" t="s">
        <v>2481</v>
      </c>
      <c r="B3330" s="93" t="s">
        <v>2078</v>
      </c>
      <c r="C3330" s="70" t="s">
        <v>3636</v>
      </c>
      <c r="D3330" s="70" t="s">
        <v>1992</v>
      </c>
      <c r="E3330" s="70" t="s">
        <v>7065</v>
      </c>
      <c r="F3330" s="70" t="s">
        <v>4803</v>
      </c>
      <c r="G3330" s="70" t="s">
        <v>7120</v>
      </c>
      <c r="H3330" s="93"/>
      <c r="I3330" s="85">
        <f t="shared" si="133"/>
        <v>3.9420080530223132</v>
      </c>
      <c r="J3330" s="85">
        <v>8750</v>
      </c>
      <c r="K3330" s="131" t="s">
        <v>6626</v>
      </c>
      <c r="L3330" s="60">
        <v>151</v>
      </c>
      <c r="M3330" s="37"/>
    </row>
    <row r="3331" spans="1:15" ht="14" x14ac:dyDescent="0.15">
      <c r="A3331" s="166" t="s">
        <v>2481</v>
      </c>
      <c r="B3331" s="93" t="s">
        <v>2078</v>
      </c>
      <c r="C3331" s="70" t="s">
        <v>3636</v>
      </c>
      <c r="D3331" s="70" t="s">
        <v>1992</v>
      </c>
      <c r="E3331" s="70" t="s">
        <v>7065</v>
      </c>
      <c r="F3331" s="70" t="s">
        <v>4803</v>
      </c>
      <c r="G3331" s="70" t="s">
        <v>3896</v>
      </c>
      <c r="H3331" s="93"/>
      <c r="I3331" s="85">
        <f t="shared" si="133"/>
        <v>3.9590413923210934</v>
      </c>
      <c r="J3331" s="85">
        <v>9100</v>
      </c>
      <c r="K3331" s="131" t="s">
        <v>7262</v>
      </c>
      <c r="L3331" s="60">
        <v>151</v>
      </c>
      <c r="M3331" s="37"/>
    </row>
    <row r="3332" spans="1:15" ht="56" x14ac:dyDescent="0.15">
      <c r="A3332" s="166" t="s">
        <v>2481</v>
      </c>
      <c r="B3332" s="93" t="s">
        <v>2078</v>
      </c>
      <c r="C3332" s="70" t="s">
        <v>3636</v>
      </c>
      <c r="D3332" s="70" t="s">
        <v>1992</v>
      </c>
      <c r="E3332" s="70" t="s">
        <v>7065</v>
      </c>
      <c r="F3332" s="70" t="s">
        <v>4803</v>
      </c>
      <c r="G3332" s="70" t="s">
        <v>5629</v>
      </c>
      <c r="H3332" s="93"/>
      <c r="I3332" s="85">
        <f t="shared" si="133"/>
        <v>3.9814108401658883</v>
      </c>
      <c r="J3332" s="85">
        <f>AVERAGE(10366, 8796)</f>
        <v>9581</v>
      </c>
      <c r="K3332" s="131" t="s">
        <v>6522</v>
      </c>
      <c r="L3332" s="60">
        <v>151</v>
      </c>
      <c r="M3332" s="53" t="s">
        <v>6728</v>
      </c>
      <c r="N3332" s="32" t="s">
        <v>4762</v>
      </c>
    </row>
    <row r="3333" spans="1:15" ht="28" x14ac:dyDescent="0.2">
      <c r="A3333" s="166" t="s">
        <v>2481</v>
      </c>
      <c r="B3333" s="93" t="s">
        <v>2078</v>
      </c>
      <c r="C3333" s="70" t="s">
        <v>3636</v>
      </c>
      <c r="D3333" s="70" t="s">
        <v>1992</v>
      </c>
      <c r="E3333" s="70" t="s">
        <v>7065</v>
      </c>
      <c r="F3333" s="70" t="s">
        <v>4803</v>
      </c>
      <c r="G3333" s="70" t="s">
        <v>5666</v>
      </c>
      <c r="H3333" s="93"/>
      <c r="I3333" s="85">
        <f t="shared" si="133"/>
        <v>4.01598810538413</v>
      </c>
      <c r="J3333" s="85">
        <f>AVERAGE(11500, 9250)</f>
        <v>10375</v>
      </c>
      <c r="K3333" s="131" t="s">
        <v>7261</v>
      </c>
      <c r="L3333" s="60">
        <v>151</v>
      </c>
      <c r="M3333" s="37"/>
      <c r="N3333" s="48"/>
    </row>
    <row r="3334" spans="1:15" ht="14" x14ac:dyDescent="0.15">
      <c r="A3334" s="166" t="s">
        <v>2481</v>
      </c>
      <c r="B3334" s="93" t="s">
        <v>1277</v>
      </c>
      <c r="C3334" s="70" t="s">
        <v>3636</v>
      </c>
      <c r="D3334" s="70" t="s">
        <v>1992</v>
      </c>
      <c r="E3334" s="70" t="s">
        <v>7065</v>
      </c>
      <c r="F3334" s="70" t="s">
        <v>4803</v>
      </c>
      <c r="G3334" s="70" t="s">
        <v>4467</v>
      </c>
      <c r="H3334" s="93"/>
      <c r="I3334" s="85">
        <f t="shared" si="133"/>
        <v>4.1012313867906993</v>
      </c>
      <c r="J3334" s="85">
        <f>(14000+11250)/2</f>
        <v>12625</v>
      </c>
      <c r="K3334" s="131" t="s">
        <v>6522</v>
      </c>
      <c r="L3334" s="60">
        <v>110</v>
      </c>
      <c r="M3334" s="33" t="s">
        <v>6727</v>
      </c>
    </row>
    <row r="3335" spans="1:15" ht="14" x14ac:dyDescent="0.15">
      <c r="A3335" s="166" t="s">
        <v>2481</v>
      </c>
      <c r="B3335" s="93" t="s">
        <v>2078</v>
      </c>
      <c r="C3335" s="70" t="s">
        <v>3636</v>
      </c>
      <c r="D3335" s="70" t="s">
        <v>1992</v>
      </c>
      <c r="E3335" s="70" t="s">
        <v>7065</v>
      </c>
      <c r="F3335" s="70" t="s">
        <v>4803</v>
      </c>
      <c r="G3335" s="70" t="s">
        <v>4288</v>
      </c>
      <c r="H3335" s="93"/>
      <c r="I3335" s="85">
        <f t="shared" si="133"/>
        <v>4.1222158782728267</v>
      </c>
      <c r="J3335" s="85">
        <f>AVERAGE(10500, 16000)</f>
        <v>13250</v>
      </c>
      <c r="K3335" s="131" t="s">
        <v>6391</v>
      </c>
      <c r="L3335" s="60">
        <v>140</v>
      </c>
      <c r="M3335" s="37" t="s">
        <v>6727</v>
      </c>
    </row>
    <row r="3336" spans="1:15" ht="84" x14ac:dyDescent="0.15">
      <c r="A3336" s="166" t="s">
        <v>2481</v>
      </c>
      <c r="B3336" s="93" t="s">
        <v>2078</v>
      </c>
      <c r="C3336" s="70" t="s">
        <v>3636</v>
      </c>
      <c r="D3336" s="70" t="s">
        <v>1992</v>
      </c>
      <c r="E3336" s="70" t="s">
        <v>7065</v>
      </c>
      <c r="F3336" s="70" t="s">
        <v>4803</v>
      </c>
      <c r="G3336" s="70" t="s">
        <v>4467</v>
      </c>
      <c r="H3336" s="93"/>
      <c r="I3336" s="85">
        <f t="shared" si="133"/>
        <v>4.1283184772596808</v>
      </c>
      <c r="J3336" s="85">
        <f>AVERAGE(15500, 11375)</f>
        <v>13437.5</v>
      </c>
      <c r="K3336" s="131" t="s">
        <v>6522</v>
      </c>
      <c r="L3336" s="60">
        <v>151</v>
      </c>
      <c r="M3336" s="33" t="s">
        <v>6727</v>
      </c>
      <c r="N3336" s="32" t="s">
        <v>7356</v>
      </c>
    </row>
    <row r="3337" spans="1:15" ht="28" x14ac:dyDescent="0.2">
      <c r="A3337" s="166" t="s">
        <v>2481</v>
      </c>
      <c r="B3337" s="93" t="s">
        <v>2078</v>
      </c>
      <c r="C3337" s="70" t="s">
        <v>3636</v>
      </c>
      <c r="D3337" s="70" t="s">
        <v>1992</v>
      </c>
      <c r="E3337" s="70" t="s">
        <v>7065</v>
      </c>
      <c r="F3337" s="70" t="s">
        <v>5667</v>
      </c>
      <c r="G3337" s="70" t="s">
        <v>5396</v>
      </c>
      <c r="H3337" s="93"/>
      <c r="I3337" s="85">
        <f t="shared" si="133"/>
        <v>3.6989700043360187</v>
      </c>
      <c r="J3337" s="85">
        <v>5000</v>
      </c>
      <c r="K3337" s="131" t="s">
        <v>8015</v>
      </c>
      <c r="L3337" s="60">
        <v>151</v>
      </c>
      <c r="M3337" s="37"/>
      <c r="N3337" s="48"/>
    </row>
    <row r="3338" spans="1:15" ht="28" x14ac:dyDescent="0.15">
      <c r="A3338" s="166" t="s">
        <v>2481</v>
      </c>
      <c r="B3338" s="93" t="s">
        <v>2078</v>
      </c>
      <c r="C3338" s="70" t="s">
        <v>3636</v>
      </c>
      <c r="D3338" s="70" t="s">
        <v>1992</v>
      </c>
      <c r="E3338" s="70" t="s">
        <v>7065</v>
      </c>
      <c r="F3338" s="70" t="s">
        <v>5667</v>
      </c>
      <c r="G3338" s="70" t="s">
        <v>6364</v>
      </c>
      <c r="H3338" s="93"/>
      <c r="I3338" s="85">
        <f t="shared" si="133"/>
        <v>3.7403626894942437</v>
      </c>
      <c r="J3338" s="85">
        <v>5500</v>
      </c>
      <c r="K3338" s="131" t="s">
        <v>6627</v>
      </c>
      <c r="L3338" s="60">
        <v>151</v>
      </c>
      <c r="M3338" s="37"/>
    </row>
    <row r="3339" spans="1:15" ht="14" x14ac:dyDescent="0.15">
      <c r="A3339" s="166" t="s">
        <v>2481</v>
      </c>
      <c r="B3339" s="93" t="s">
        <v>2078</v>
      </c>
      <c r="C3339" s="70" t="s">
        <v>3636</v>
      </c>
      <c r="D3339" s="70" t="s">
        <v>1992</v>
      </c>
      <c r="E3339" s="70" t="s">
        <v>7065</v>
      </c>
      <c r="F3339" s="70" t="s">
        <v>5667</v>
      </c>
      <c r="G3339" s="70" t="s">
        <v>5668</v>
      </c>
      <c r="H3339" s="93"/>
      <c r="I3339" s="85">
        <f t="shared" si="133"/>
        <v>3.7720648688517646</v>
      </c>
      <c r="J3339" s="85">
        <f>(7500+4333)/2</f>
        <v>5916.5</v>
      </c>
      <c r="K3339" s="131" t="s">
        <v>3177</v>
      </c>
      <c r="L3339" s="60">
        <v>110</v>
      </c>
      <c r="M3339" s="33"/>
    </row>
    <row r="3340" spans="1:15" ht="14" x14ac:dyDescent="0.15">
      <c r="A3340" s="166" t="s">
        <v>2481</v>
      </c>
      <c r="B3340" s="93" t="s">
        <v>1296</v>
      </c>
      <c r="C3340" s="70" t="s">
        <v>3636</v>
      </c>
      <c r="D3340" s="70" t="s">
        <v>1992</v>
      </c>
      <c r="E3340" s="70" t="s">
        <v>7065</v>
      </c>
      <c r="F3340" s="70" t="s">
        <v>5667</v>
      </c>
      <c r="G3340" s="70" t="s">
        <v>5668</v>
      </c>
      <c r="H3340" s="93"/>
      <c r="I3340" s="85">
        <f t="shared" si="133"/>
        <v>3.7720648688517646</v>
      </c>
      <c r="J3340" s="85">
        <f>(7500+4333)/2</f>
        <v>5916.5</v>
      </c>
      <c r="K3340" s="131" t="s">
        <v>3177</v>
      </c>
      <c r="L3340" s="60">
        <v>110</v>
      </c>
      <c r="M3340" s="33" t="s">
        <v>6728</v>
      </c>
    </row>
    <row r="3341" spans="1:15" ht="14" x14ac:dyDescent="0.15">
      <c r="A3341" s="166" t="s">
        <v>2481</v>
      </c>
      <c r="B3341" s="93" t="s">
        <v>1555</v>
      </c>
      <c r="C3341" s="70" t="s">
        <v>3636</v>
      </c>
      <c r="D3341" s="70" t="s">
        <v>1992</v>
      </c>
      <c r="E3341" s="70" t="s">
        <v>7065</v>
      </c>
      <c r="F3341" s="70" t="s">
        <v>5667</v>
      </c>
      <c r="G3341" s="70" t="s">
        <v>5396</v>
      </c>
      <c r="H3341" s="93"/>
      <c r="I3341" s="85">
        <f t="shared" si="133"/>
        <v>3.7781512503836434</v>
      </c>
      <c r="J3341" s="85">
        <v>6000</v>
      </c>
      <c r="K3341" s="131" t="s">
        <v>3177</v>
      </c>
      <c r="L3341" s="60">
        <v>110</v>
      </c>
      <c r="M3341" s="33" t="s">
        <v>1465</v>
      </c>
    </row>
    <row r="3342" spans="1:15" ht="28" x14ac:dyDescent="0.15">
      <c r="A3342" s="166" t="s">
        <v>2481</v>
      </c>
      <c r="B3342" s="93" t="s">
        <v>2078</v>
      </c>
      <c r="C3342" s="70" t="s">
        <v>3636</v>
      </c>
      <c r="D3342" s="70" t="s">
        <v>1992</v>
      </c>
      <c r="E3342" s="70" t="s">
        <v>7065</v>
      </c>
      <c r="F3342" s="70" t="s">
        <v>5667</v>
      </c>
      <c r="G3342" s="70" t="s">
        <v>5669</v>
      </c>
      <c r="H3342" s="93"/>
      <c r="I3342" s="85">
        <f t="shared" si="133"/>
        <v>3.8029104894190398</v>
      </c>
      <c r="J3342" s="85">
        <f>AVERAGE(9128, 3576)</f>
        <v>6352</v>
      </c>
      <c r="K3342" s="131" t="s">
        <v>7302</v>
      </c>
      <c r="L3342" s="60">
        <v>151</v>
      </c>
      <c r="M3342" s="37"/>
    </row>
    <row r="3343" spans="1:15" ht="126" x14ac:dyDescent="0.15">
      <c r="A3343" s="166" t="s">
        <v>2481</v>
      </c>
      <c r="B3343" s="93" t="s">
        <v>5981</v>
      </c>
      <c r="C3343" s="70" t="s">
        <v>3636</v>
      </c>
      <c r="D3343" s="70" t="s">
        <v>1992</v>
      </c>
      <c r="E3343" s="70" t="s">
        <v>7065</v>
      </c>
      <c r="F3343" s="70" t="s">
        <v>5078</v>
      </c>
      <c r="G3343" s="70" t="s">
        <v>5027</v>
      </c>
      <c r="H3343" s="93"/>
      <c r="I3343" s="85">
        <f t="shared" si="133"/>
        <v>3.2430380486862944</v>
      </c>
      <c r="J3343" s="85">
        <v>1750</v>
      </c>
      <c r="K3343" s="131" t="s">
        <v>3177</v>
      </c>
      <c r="L3343" s="60">
        <v>151</v>
      </c>
      <c r="M3343" s="33"/>
      <c r="O3343" s="32" t="s">
        <v>6591</v>
      </c>
    </row>
    <row r="3344" spans="1:15" ht="126" x14ac:dyDescent="0.15">
      <c r="A3344" s="165" t="s">
        <v>2481</v>
      </c>
      <c r="B3344" s="93" t="s">
        <v>2078</v>
      </c>
      <c r="C3344" s="61" t="s">
        <v>3636</v>
      </c>
      <c r="D3344" s="61" t="s">
        <v>1992</v>
      </c>
      <c r="E3344" s="61" t="s">
        <v>7065</v>
      </c>
      <c r="F3344" s="61" t="s">
        <v>5078</v>
      </c>
      <c r="G3344" s="61" t="s">
        <v>5027</v>
      </c>
      <c r="H3344" s="115"/>
      <c r="I3344" s="85">
        <f t="shared" si="133"/>
        <v>3.2604291755779347</v>
      </c>
      <c r="J3344" s="103">
        <f>AVERAGE(1750, 1893)</f>
        <v>1821.5</v>
      </c>
      <c r="K3344" s="131" t="s">
        <v>7301</v>
      </c>
      <c r="L3344" s="67">
        <v>151</v>
      </c>
      <c r="M3344" s="35" t="s">
        <v>8010</v>
      </c>
    </row>
    <row r="3345" spans="1:14" ht="14" x14ac:dyDescent="0.15">
      <c r="A3345" s="166" t="s">
        <v>2481</v>
      </c>
      <c r="B3345" s="93" t="s">
        <v>2078</v>
      </c>
      <c r="C3345" s="70" t="s">
        <v>3636</v>
      </c>
      <c r="D3345" s="70" t="s">
        <v>1992</v>
      </c>
      <c r="E3345" s="70" t="s">
        <v>7065</v>
      </c>
      <c r="F3345" s="70" t="s">
        <v>5078</v>
      </c>
      <c r="G3345" s="70" t="s">
        <v>5275</v>
      </c>
      <c r="H3345" s="93"/>
      <c r="I3345" s="85">
        <f t="shared" si="133"/>
        <v>3.475380593143361</v>
      </c>
      <c r="J3345" s="85">
        <v>2988</v>
      </c>
      <c r="K3345" s="131" t="s">
        <v>6615</v>
      </c>
      <c r="L3345" s="60">
        <v>151</v>
      </c>
      <c r="M3345" s="37"/>
    </row>
    <row r="3346" spans="1:14" ht="56" x14ac:dyDescent="0.15">
      <c r="A3346" s="165" t="s">
        <v>2481</v>
      </c>
      <c r="B3346" s="93" t="s">
        <v>2078</v>
      </c>
      <c r="C3346" s="62" t="s">
        <v>3636</v>
      </c>
      <c r="D3346" s="62" t="s">
        <v>1992</v>
      </c>
      <c r="E3346" s="62" t="s">
        <v>7065</v>
      </c>
      <c r="F3346" s="62" t="s">
        <v>3574</v>
      </c>
      <c r="G3346" s="62" t="s">
        <v>4218</v>
      </c>
      <c r="H3346" s="97"/>
      <c r="I3346" s="85">
        <f t="shared" si="133"/>
        <v>4.1760912590556813</v>
      </c>
      <c r="J3346" s="98">
        <v>15000</v>
      </c>
      <c r="K3346" s="131" t="s">
        <v>6708</v>
      </c>
      <c r="L3346" s="67">
        <v>59</v>
      </c>
      <c r="M3346" s="35" t="s">
        <v>8012</v>
      </c>
    </row>
    <row r="3347" spans="1:14" ht="210" x14ac:dyDescent="0.15">
      <c r="A3347" s="166" t="s">
        <v>2481</v>
      </c>
      <c r="B3347" s="93" t="s">
        <v>4261</v>
      </c>
      <c r="C3347" s="70" t="s">
        <v>3636</v>
      </c>
      <c r="D3347" s="70" t="s">
        <v>1992</v>
      </c>
      <c r="E3347" s="70" t="s">
        <v>7065</v>
      </c>
      <c r="F3347" s="70" t="s">
        <v>7272</v>
      </c>
      <c r="G3347" s="70" t="s">
        <v>5315</v>
      </c>
      <c r="H3347" s="93"/>
      <c r="I3347" s="85">
        <f t="shared" si="133"/>
        <v>3.5587085705331658</v>
      </c>
      <c r="J3347" s="98">
        <f>1000*3.62</f>
        <v>3620</v>
      </c>
      <c r="K3347" s="131" t="s">
        <v>6817</v>
      </c>
      <c r="L3347" s="60" t="s">
        <v>1739</v>
      </c>
      <c r="M3347" s="32" t="s">
        <v>6728</v>
      </c>
      <c r="N3347" s="32" t="s">
        <v>7318</v>
      </c>
    </row>
    <row r="3348" spans="1:14" ht="126" x14ac:dyDescent="0.15">
      <c r="A3348" s="166" t="s">
        <v>2481</v>
      </c>
      <c r="B3348" s="93" t="s">
        <v>2078</v>
      </c>
      <c r="C3348" s="70" t="s">
        <v>3636</v>
      </c>
      <c r="D3348" s="70" t="s">
        <v>1992</v>
      </c>
      <c r="E3348" s="70" t="s">
        <v>7065</v>
      </c>
      <c r="F3348" s="70" t="s">
        <v>7272</v>
      </c>
      <c r="G3348" s="70" t="s">
        <v>7904</v>
      </c>
      <c r="H3348" s="93"/>
      <c r="I3348" s="103">
        <f t="shared" si="133"/>
        <v>3.6360999673821475</v>
      </c>
      <c r="J3348" s="85">
        <v>4326.134</v>
      </c>
      <c r="K3348" s="131" t="s">
        <v>229</v>
      </c>
      <c r="L3348" s="60">
        <v>151</v>
      </c>
      <c r="M3348" s="37"/>
    </row>
    <row r="3349" spans="1:14" ht="56" x14ac:dyDescent="0.15">
      <c r="A3349" s="166" t="s">
        <v>2481</v>
      </c>
      <c r="B3349" s="93" t="s">
        <v>2078</v>
      </c>
      <c r="C3349" s="70" t="s">
        <v>3636</v>
      </c>
      <c r="D3349" s="70" t="s">
        <v>1992</v>
      </c>
      <c r="E3349" s="70" t="s">
        <v>7065</v>
      </c>
      <c r="F3349" s="70" t="s">
        <v>7272</v>
      </c>
      <c r="G3349" s="70" t="s">
        <v>6825</v>
      </c>
      <c r="H3349" s="93"/>
      <c r="I3349" s="85">
        <f t="shared" si="133"/>
        <v>3.6627578316815739</v>
      </c>
      <c r="J3349" s="85">
        <v>4600</v>
      </c>
      <c r="K3349" s="131" t="s">
        <v>7905</v>
      </c>
      <c r="L3349" s="60">
        <v>151</v>
      </c>
      <c r="M3349" s="37" t="s">
        <v>6761</v>
      </c>
    </row>
    <row r="3350" spans="1:14" ht="56" x14ac:dyDescent="0.15">
      <c r="A3350" s="166" t="s">
        <v>2481</v>
      </c>
      <c r="B3350" s="93" t="s">
        <v>2078</v>
      </c>
      <c r="C3350" s="70" t="s">
        <v>3636</v>
      </c>
      <c r="D3350" s="70" t="s">
        <v>1992</v>
      </c>
      <c r="E3350" s="70" t="s">
        <v>7065</v>
      </c>
      <c r="F3350" s="70" t="s">
        <v>7272</v>
      </c>
      <c r="G3350" s="70" t="s">
        <v>7819</v>
      </c>
      <c r="H3350" s="93"/>
      <c r="I3350" s="85">
        <f t="shared" si="133"/>
        <v>3.7386220279179425</v>
      </c>
      <c r="J3350" s="85">
        <f>AVERAGE(6618, 4338)</f>
        <v>5478</v>
      </c>
      <c r="K3350" s="131" t="s">
        <v>6817</v>
      </c>
      <c r="L3350" s="60">
        <v>151</v>
      </c>
      <c r="M3350" s="32" t="s">
        <v>6728</v>
      </c>
      <c r="N3350" s="32" t="s">
        <v>7818</v>
      </c>
    </row>
    <row r="3351" spans="1:14" ht="126" x14ac:dyDescent="0.15">
      <c r="A3351" s="166" t="s">
        <v>2481</v>
      </c>
      <c r="B3351" s="93" t="s">
        <v>2078</v>
      </c>
      <c r="C3351" s="70" t="s">
        <v>3636</v>
      </c>
      <c r="D3351" s="70" t="s">
        <v>1992</v>
      </c>
      <c r="E3351" s="70" t="s">
        <v>4086</v>
      </c>
      <c r="F3351" s="70" t="s">
        <v>3606</v>
      </c>
      <c r="G3351" s="70" t="s">
        <v>4217</v>
      </c>
      <c r="H3351" s="93"/>
      <c r="I3351" s="85">
        <v>-999</v>
      </c>
      <c r="J3351" s="85">
        <v>-999</v>
      </c>
      <c r="K3351" s="131" t="s">
        <v>6816</v>
      </c>
      <c r="L3351" s="60">
        <v>151</v>
      </c>
      <c r="M3351" s="37" t="s">
        <v>6728</v>
      </c>
      <c r="N3351" s="32" t="s">
        <v>8048</v>
      </c>
    </row>
    <row r="3352" spans="1:14" ht="14" x14ac:dyDescent="0.15">
      <c r="A3352" s="166" t="s">
        <v>2481</v>
      </c>
      <c r="B3352" s="93" t="s">
        <v>1371</v>
      </c>
      <c r="C3352" s="70" t="s">
        <v>3636</v>
      </c>
      <c r="D3352" s="70" t="s">
        <v>1992</v>
      </c>
      <c r="E3352" s="70" t="s">
        <v>4086</v>
      </c>
      <c r="F3352" s="70" t="s">
        <v>3606</v>
      </c>
      <c r="G3352" s="70" t="s">
        <v>4921</v>
      </c>
      <c r="H3352" s="93"/>
      <c r="I3352" s="85">
        <f t="shared" ref="I3352:I3392" si="134">LOG(J3352)</f>
        <v>2.4014005407815442</v>
      </c>
      <c r="J3352" s="85">
        <v>252</v>
      </c>
      <c r="K3352" s="131" t="s">
        <v>3177</v>
      </c>
      <c r="L3352" s="60">
        <v>110</v>
      </c>
      <c r="M3352" s="33" t="s">
        <v>6390</v>
      </c>
    </row>
    <row r="3353" spans="1:14" ht="28" x14ac:dyDescent="0.15">
      <c r="A3353" s="166" t="s">
        <v>2481</v>
      </c>
      <c r="B3353" s="93" t="s">
        <v>2078</v>
      </c>
      <c r="C3353" s="70" t="s">
        <v>3636</v>
      </c>
      <c r="D3353" s="70" t="s">
        <v>1992</v>
      </c>
      <c r="E3353" s="70" t="s">
        <v>4086</v>
      </c>
      <c r="F3353" s="70" t="s">
        <v>3606</v>
      </c>
      <c r="G3353" s="70" t="s">
        <v>4920</v>
      </c>
      <c r="H3353" s="93"/>
      <c r="I3353" s="85">
        <f t="shared" si="134"/>
        <v>2.5998830720736876</v>
      </c>
      <c r="J3353" s="85">
        <f>AVERAGE(486, 310)</f>
        <v>398</v>
      </c>
      <c r="K3353" s="131" t="s">
        <v>7294</v>
      </c>
      <c r="L3353" s="60">
        <v>151</v>
      </c>
      <c r="M3353" s="37"/>
    </row>
    <row r="3354" spans="1:14" ht="28" x14ac:dyDescent="0.15">
      <c r="A3354" s="166" t="s">
        <v>2481</v>
      </c>
      <c r="B3354" s="93" t="s">
        <v>2078</v>
      </c>
      <c r="C3354" s="70" t="s">
        <v>3636</v>
      </c>
      <c r="D3354" s="70" t="s">
        <v>1992</v>
      </c>
      <c r="E3354" s="70" t="s">
        <v>4086</v>
      </c>
      <c r="F3354" s="70" t="s">
        <v>3606</v>
      </c>
      <c r="G3354" s="70" t="s">
        <v>3607</v>
      </c>
      <c r="H3354" s="93"/>
      <c r="I3354" s="85">
        <f t="shared" si="134"/>
        <v>2.6064351111018751</v>
      </c>
      <c r="J3354" s="85">
        <f>AVERAGE(448.1, 360)</f>
        <v>404.05</v>
      </c>
      <c r="K3354" s="131" t="s">
        <v>7434</v>
      </c>
      <c r="L3354" s="60">
        <v>151</v>
      </c>
      <c r="M3354" s="37"/>
    </row>
    <row r="3355" spans="1:14" ht="28" x14ac:dyDescent="0.15">
      <c r="A3355" s="165" t="s">
        <v>2481</v>
      </c>
      <c r="B3355" s="93" t="s">
        <v>2078</v>
      </c>
      <c r="C3355" s="61" t="s">
        <v>3636</v>
      </c>
      <c r="D3355" s="61" t="s">
        <v>1992</v>
      </c>
      <c r="E3355" s="61" t="s">
        <v>4086</v>
      </c>
      <c r="F3355" s="61" t="s">
        <v>4087</v>
      </c>
      <c r="G3355" s="61" t="s">
        <v>4088</v>
      </c>
      <c r="H3355" s="115"/>
      <c r="I3355" s="85">
        <f t="shared" si="134"/>
        <v>1.9296743179485878</v>
      </c>
      <c r="J3355" s="103">
        <f>AVERAGE(88.5, 81.6)</f>
        <v>85.05</v>
      </c>
      <c r="K3355" s="131" t="s">
        <v>6731</v>
      </c>
      <c r="L3355" s="67">
        <v>151</v>
      </c>
      <c r="M3355" s="35"/>
    </row>
    <row r="3356" spans="1:14" ht="28" x14ac:dyDescent="0.15">
      <c r="A3356" s="166" t="s">
        <v>2481</v>
      </c>
      <c r="B3356" s="93" t="s">
        <v>2078</v>
      </c>
      <c r="C3356" s="70" t="s">
        <v>3636</v>
      </c>
      <c r="D3356" s="70" t="s">
        <v>1992</v>
      </c>
      <c r="E3356" s="70" t="s">
        <v>4086</v>
      </c>
      <c r="F3356" s="70" t="s">
        <v>4087</v>
      </c>
      <c r="G3356" s="70" t="s">
        <v>5291</v>
      </c>
      <c r="H3356" s="93"/>
      <c r="I3356" s="85">
        <f t="shared" si="134"/>
        <v>2.4440447959180762</v>
      </c>
      <c r="J3356" s="85">
        <f>AVERAGE(328, 228)</f>
        <v>278</v>
      </c>
      <c r="K3356" s="131" t="s">
        <v>7435</v>
      </c>
      <c r="L3356" s="60">
        <v>151</v>
      </c>
      <c r="M3356" s="37"/>
    </row>
    <row r="3357" spans="1:14" ht="17" x14ac:dyDescent="0.2">
      <c r="A3357" s="166" t="s">
        <v>2481</v>
      </c>
      <c r="B3357" s="82" t="s">
        <v>2487</v>
      </c>
      <c r="C3357" s="70" t="s">
        <v>3636</v>
      </c>
      <c r="D3357" s="70" t="s">
        <v>1992</v>
      </c>
      <c r="E3357" s="70" t="s">
        <v>3612</v>
      </c>
      <c r="F3357" s="70" t="s">
        <v>5079</v>
      </c>
      <c r="G3357" s="70" t="s">
        <v>4288</v>
      </c>
      <c r="H3357" s="93"/>
      <c r="I3357" s="85">
        <f t="shared" si="134"/>
        <v>4</v>
      </c>
      <c r="J3357" s="85">
        <v>10000</v>
      </c>
      <c r="K3357" s="131" t="s">
        <v>6522</v>
      </c>
      <c r="L3357" s="60">
        <v>110</v>
      </c>
      <c r="M3357" s="33" t="s">
        <v>6727</v>
      </c>
      <c r="N3357" s="47" t="s">
        <v>1285</v>
      </c>
    </row>
    <row r="3358" spans="1:14" ht="42" x14ac:dyDescent="0.2">
      <c r="A3358" s="166" t="s">
        <v>2481</v>
      </c>
      <c r="B3358" s="82" t="s">
        <v>1331</v>
      </c>
      <c r="C3358" s="70" t="s">
        <v>3636</v>
      </c>
      <c r="D3358" s="70" t="s">
        <v>1992</v>
      </c>
      <c r="E3358" s="70" t="s">
        <v>3612</v>
      </c>
      <c r="F3358" s="70" t="s">
        <v>5079</v>
      </c>
      <c r="G3358" s="70" t="s">
        <v>4288</v>
      </c>
      <c r="H3358" s="93"/>
      <c r="I3358" s="85">
        <f t="shared" si="134"/>
        <v>4</v>
      </c>
      <c r="J3358" s="85">
        <v>10000</v>
      </c>
      <c r="K3358" s="131" t="s">
        <v>6522</v>
      </c>
      <c r="L3358" s="60">
        <v>110</v>
      </c>
      <c r="M3358" s="33" t="s">
        <v>6727</v>
      </c>
      <c r="N3358" s="47" t="s">
        <v>1285</v>
      </c>
    </row>
    <row r="3359" spans="1:14" ht="14" x14ac:dyDescent="0.15">
      <c r="A3359" s="166" t="s">
        <v>2481</v>
      </c>
      <c r="B3359" s="93" t="s">
        <v>2487</v>
      </c>
      <c r="C3359" s="70" t="s">
        <v>3636</v>
      </c>
      <c r="D3359" s="70" t="s">
        <v>1992</v>
      </c>
      <c r="E3359" s="70" t="s">
        <v>3612</v>
      </c>
      <c r="F3359" s="70" t="s">
        <v>3616</v>
      </c>
      <c r="G3359" s="70" t="s">
        <v>5085</v>
      </c>
      <c r="H3359" s="93"/>
      <c r="I3359" s="85">
        <f t="shared" si="134"/>
        <v>2.9618954736678504</v>
      </c>
      <c r="J3359" s="85">
        <f>1000*0.916</f>
        <v>916</v>
      </c>
      <c r="K3359" s="131" t="s">
        <v>3177</v>
      </c>
      <c r="L3359" s="60">
        <v>60</v>
      </c>
      <c r="M3359" s="33"/>
    </row>
    <row r="3360" spans="1:14" ht="14" x14ac:dyDescent="0.15">
      <c r="A3360" s="166" t="s">
        <v>2481</v>
      </c>
      <c r="B3360" s="93" t="s">
        <v>2487</v>
      </c>
      <c r="C3360" s="70" t="s">
        <v>3636</v>
      </c>
      <c r="D3360" s="70" t="s">
        <v>1992</v>
      </c>
      <c r="E3360" s="70" t="s">
        <v>3612</v>
      </c>
      <c r="F3360" s="70" t="s">
        <v>3616</v>
      </c>
      <c r="G3360" s="70" t="s">
        <v>3996</v>
      </c>
      <c r="H3360" s="93"/>
      <c r="I3360" s="85">
        <f t="shared" si="134"/>
        <v>3.1351326513767748</v>
      </c>
      <c r="J3360" s="85">
        <f>(1450+1280)/2</f>
        <v>1365</v>
      </c>
      <c r="K3360" s="131" t="s">
        <v>6630</v>
      </c>
      <c r="L3360" s="60">
        <v>110</v>
      </c>
      <c r="M3360" s="33" t="s">
        <v>6728</v>
      </c>
    </row>
    <row r="3361" spans="1:14" ht="16" x14ac:dyDescent="0.2">
      <c r="A3361" s="166" t="s">
        <v>2481</v>
      </c>
      <c r="B3361" s="93" t="s">
        <v>2078</v>
      </c>
      <c r="C3361" s="70" t="s">
        <v>3636</v>
      </c>
      <c r="D3361" s="70" t="s">
        <v>1992</v>
      </c>
      <c r="E3361" s="70" t="s">
        <v>3612</v>
      </c>
      <c r="F3361" s="70" t="s">
        <v>3616</v>
      </c>
      <c r="G3361" s="70" t="s">
        <v>5084</v>
      </c>
      <c r="H3361" s="93"/>
      <c r="I3361" s="85">
        <f t="shared" si="134"/>
        <v>3.1903316981702914</v>
      </c>
      <c r="J3361" s="85">
        <v>1550</v>
      </c>
      <c r="K3361" s="131" t="s">
        <v>7432</v>
      </c>
      <c r="L3361" s="60">
        <v>151</v>
      </c>
      <c r="M3361" s="48"/>
    </row>
    <row r="3362" spans="1:14" ht="14" x14ac:dyDescent="0.15">
      <c r="A3362" s="166" t="s">
        <v>2481</v>
      </c>
      <c r="B3362" s="93" t="s">
        <v>2078</v>
      </c>
      <c r="C3362" s="70" t="s">
        <v>3636</v>
      </c>
      <c r="D3362" s="70" t="s">
        <v>1992</v>
      </c>
      <c r="E3362" s="70" t="s">
        <v>3612</v>
      </c>
      <c r="F3362" s="70" t="s">
        <v>3616</v>
      </c>
      <c r="G3362" s="70" t="s">
        <v>5676</v>
      </c>
      <c r="H3362" s="93"/>
      <c r="I3362" s="85">
        <f t="shared" si="134"/>
        <v>3.2128531899471113</v>
      </c>
      <c r="J3362" s="85">
        <f>AVERAGE(1495, 1770)</f>
        <v>1632.5</v>
      </c>
      <c r="K3362" s="131" t="s">
        <v>7679</v>
      </c>
      <c r="L3362" s="60">
        <v>99</v>
      </c>
    </row>
    <row r="3363" spans="1:14" ht="28" x14ac:dyDescent="0.2">
      <c r="A3363" s="166" t="s">
        <v>2481</v>
      </c>
      <c r="B3363" s="93" t="s">
        <v>2078</v>
      </c>
      <c r="C3363" s="70" t="s">
        <v>3636</v>
      </c>
      <c r="D3363" s="70" t="s">
        <v>1992</v>
      </c>
      <c r="E3363" s="70" t="s">
        <v>3612</v>
      </c>
      <c r="F3363" s="70" t="s">
        <v>3616</v>
      </c>
      <c r="G3363" s="70" t="s">
        <v>5107</v>
      </c>
      <c r="H3363" s="93"/>
      <c r="I3363" s="85">
        <f t="shared" si="134"/>
        <v>3.242417184417719</v>
      </c>
      <c r="J3363" s="85">
        <f>AVERAGE(1825, 1670)</f>
        <v>1747.5</v>
      </c>
      <c r="K3363" s="131" t="s">
        <v>5082</v>
      </c>
      <c r="L3363" s="60">
        <v>151</v>
      </c>
      <c r="M3363" s="48"/>
    </row>
    <row r="3364" spans="1:14" ht="42" x14ac:dyDescent="0.15">
      <c r="A3364" s="166" t="s">
        <v>2481</v>
      </c>
      <c r="B3364" s="93" t="s">
        <v>4458</v>
      </c>
      <c r="C3364" s="70" t="s">
        <v>3636</v>
      </c>
      <c r="D3364" s="70" t="s">
        <v>1992</v>
      </c>
      <c r="E3364" s="70" t="s">
        <v>3612</v>
      </c>
      <c r="F3364" s="70" t="s">
        <v>3616</v>
      </c>
      <c r="G3364" s="70" t="s">
        <v>4724</v>
      </c>
      <c r="H3364" s="93"/>
      <c r="I3364" s="85">
        <f t="shared" si="134"/>
        <v>3.2522460504731181</v>
      </c>
      <c r="J3364" s="85">
        <f>(1775+1800)/2</f>
        <v>1787.5</v>
      </c>
      <c r="K3364" s="131" t="s">
        <v>3177</v>
      </c>
      <c r="L3364" s="60">
        <v>110</v>
      </c>
      <c r="M3364" s="33"/>
      <c r="N3364" s="33" t="s">
        <v>1465</v>
      </c>
    </row>
    <row r="3365" spans="1:14" ht="57" x14ac:dyDescent="0.2">
      <c r="A3365" s="166" t="s">
        <v>2481</v>
      </c>
      <c r="B3365" s="93" t="s">
        <v>2078</v>
      </c>
      <c r="C3365" s="70" t="s">
        <v>3636</v>
      </c>
      <c r="D3365" s="70" t="s">
        <v>1992</v>
      </c>
      <c r="E3365" s="70" t="s">
        <v>3612</v>
      </c>
      <c r="F3365" s="70" t="s">
        <v>3616</v>
      </c>
      <c r="G3365" s="70" t="s">
        <v>5333</v>
      </c>
      <c r="H3365" s="93"/>
      <c r="I3365" s="85">
        <f t="shared" si="134"/>
        <v>3.2671717284030137</v>
      </c>
      <c r="J3365" s="85">
        <f>AVERAGE(1767, 1933)</f>
        <v>1850</v>
      </c>
      <c r="K3365" s="131" t="s">
        <v>6630</v>
      </c>
      <c r="L3365" s="60">
        <v>151</v>
      </c>
      <c r="M3365" s="48" t="s">
        <v>6728</v>
      </c>
      <c r="N3365" s="32" t="s">
        <v>6814</v>
      </c>
    </row>
    <row r="3366" spans="1:14" ht="42" x14ac:dyDescent="0.2">
      <c r="A3366" s="166" t="s">
        <v>2481</v>
      </c>
      <c r="B3366" s="93" t="s">
        <v>2078</v>
      </c>
      <c r="C3366" s="70" t="s">
        <v>3636</v>
      </c>
      <c r="D3366" s="70" t="s">
        <v>1992</v>
      </c>
      <c r="E3366" s="70" t="s">
        <v>3612</v>
      </c>
      <c r="F3366" s="70" t="s">
        <v>3616</v>
      </c>
      <c r="G3366" s="70" t="s">
        <v>3068</v>
      </c>
      <c r="H3366" s="93"/>
      <c r="I3366" s="85">
        <f t="shared" si="134"/>
        <v>3.3016809492935764</v>
      </c>
      <c r="J3366" s="85">
        <f>AVERAGE(2039, 1967)</f>
        <v>2003</v>
      </c>
      <c r="K3366" s="131" t="s">
        <v>4795</v>
      </c>
      <c r="L3366" s="60">
        <v>151</v>
      </c>
      <c r="M3366" s="48"/>
    </row>
    <row r="3367" spans="1:14" ht="42" x14ac:dyDescent="0.15">
      <c r="A3367" s="166" t="s">
        <v>2481</v>
      </c>
      <c r="B3367" s="93" t="s">
        <v>2078</v>
      </c>
      <c r="C3367" s="70" t="s">
        <v>3636</v>
      </c>
      <c r="D3367" s="70" t="s">
        <v>1992</v>
      </c>
      <c r="E3367" s="70" t="s">
        <v>3612</v>
      </c>
      <c r="F3367" s="70" t="s">
        <v>3616</v>
      </c>
      <c r="G3367" s="70" t="s">
        <v>5080</v>
      </c>
      <c r="H3367" s="93"/>
      <c r="I3367" s="85">
        <f t="shared" si="134"/>
        <v>3.3112239104324561</v>
      </c>
      <c r="J3367" s="85">
        <f>AVERAGE(1870,2225)</f>
        <v>2047.5</v>
      </c>
      <c r="K3367" s="131" t="s">
        <v>5108</v>
      </c>
      <c r="L3367" s="60">
        <v>151</v>
      </c>
      <c r="M3367" s="37"/>
    </row>
    <row r="3368" spans="1:14" ht="42" x14ac:dyDescent="0.2">
      <c r="A3368" s="166" t="s">
        <v>2481</v>
      </c>
      <c r="B3368" s="93" t="s">
        <v>2078</v>
      </c>
      <c r="C3368" s="70" t="s">
        <v>3636</v>
      </c>
      <c r="D3368" s="70" t="s">
        <v>1992</v>
      </c>
      <c r="E3368" s="70" t="s">
        <v>3612</v>
      </c>
      <c r="F3368" s="70" t="s">
        <v>3616</v>
      </c>
      <c r="G3368" s="70" t="s">
        <v>3624</v>
      </c>
      <c r="H3368" s="93"/>
      <c r="I3368" s="85">
        <f t="shared" si="134"/>
        <v>3.3957630894177631</v>
      </c>
      <c r="J3368" s="85">
        <f>AVERAGE(2500, 2475)</f>
        <v>2487.5</v>
      </c>
      <c r="K3368" s="131" t="s">
        <v>4789</v>
      </c>
      <c r="L3368" s="60">
        <v>151</v>
      </c>
      <c r="M3368" s="48"/>
    </row>
    <row r="3369" spans="1:14" ht="28" x14ac:dyDescent="0.2">
      <c r="A3369" s="166" t="s">
        <v>2481</v>
      </c>
      <c r="B3369" s="93" t="s">
        <v>2078</v>
      </c>
      <c r="C3369" s="70" t="s">
        <v>3636</v>
      </c>
      <c r="D3369" s="70" t="s">
        <v>1992</v>
      </c>
      <c r="E3369" s="70" t="s">
        <v>3612</v>
      </c>
      <c r="F3369" s="70" t="s">
        <v>4070</v>
      </c>
      <c r="G3369" s="70" t="s">
        <v>3333</v>
      </c>
      <c r="H3369" s="93"/>
      <c r="I3369" s="85">
        <f t="shared" si="134"/>
        <v>3.5813237507247329</v>
      </c>
      <c r="J3369" s="85">
        <f>AVERAGE(4567, 3060)</f>
        <v>3813.5</v>
      </c>
      <c r="K3369" s="131" t="s">
        <v>7401</v>
      </c>
      <c r="L3369" s="60">
        <v>151</v>
      </c>
      <c r="M3369" s="48"/>
    </row>
    <row r="3370" spans="1:14" ht="43" x14ac:dyDescent="0.2">
      <c r="A3370" s="166" t="s">
        <v>2481</v>
      </c>
      <c r="B3370" s="93" t="s">
        <v>2078</v>
      </c>
      <c r="C3370" s="70" t="s">
        <v>3636</v>
      </c>
      <c r="D3370" s="70" t="s">
        <v>1992</v>
      </c>
      <c r="E3370" s="70" t="s">
        <v>3612</v>
      </c>
      <c r="F3370" s="70" t="s">
        <v>4070</v>
      </c>
      <c r="G3370" s="70" t="s">
        <v>5086</v>
      </c>
      <c r="H3370" s="93"/>
      <c r="I3370" s="85">
        <f t="shared" si="134"/>
        <v>3.7781512503836434</v>
      </c>
      <c r="J3370" s="85">
        <f>AVERAGE(5500, 6500)</f>
        <v>6000</v>
      </c>
      <c r="K3370" s="131" t="s">
        <v>6817</v>
      </c>
      <c r="L3370" s="60">
        <v>151</v>
      </c>
      <c r="M3370" s="48" t="s">
        <v>6390</v>
      </c>
      <c r="N3370" s="32" t="s">
        <v>7293</v>
      </c>
    </row>
    <row r="3371" spans="1:14" ht="14" x14ac:dyDescent="0.15">
      <c r="A3371" s="166" t="s">
        <v>2481</v>
      </c>
      <c r="B3371" s="93" t="s">
        <v>2487</v>
      </c>
      <c r="C3371" s="70" t="s">
        <v>3636</v>
      </c>
      <c r="D3371" s="70" t="s">
        <v>1992</v>
      </c>
      <c r="E3371" s="70" t="s">
        <v>3612</v>
      </c>
      <c r="F3371" s="70" t="s">
        <v>5302</v>
      </c>
      <c r="G3371" s="70" t="s">
        <v>6242</v>
      </c>
      <c r="H3371" s="93"/>
      <c r="I3371" s="85">
        <f t="shared" si="134"/>
        <v>2.6989700043360187</v>
      </c>
      <c r="J3371" s="85">
        <v>500</v>
      </c>
      <c r="K3371" s="131" t="s">
        <v>6522</v>
      </c>
      <c r="L3371" s="60" t="s">
        <v>230</v>
      </c>
      <c r="M3371" s="33" t="s">
        <v>6727</v>
      </c>
    </row>
    <row r="3372" spans="1:14" ht="42" x14ac:dyDescent="0.15">
      <c r="A3372" s="166" t="s">
        <v>2481</v>
      </c>
      <c r="B3372" s="93" t="s">
        <v>2487</v>
      </c>
      <c r="C3372" s="70" t="s">
        <v>3636</v>
      </c>
      <c r="D3372" s="70" t="s">
        <v>1992</v>
      </c>
      <c r="E3372" s="70" t="s">
        <v>3612</v>
      </c>
      <c r="F3372" s="70" t="s">
        <v>5302</v>
      </c>
      <c r="G3372" s="70" t="s">
        <v>3039</v>
      </c>
      <c r="H3372" s="93"/>
      <c r="I3372" s="85">
        <f t="shared" si="134"/>
        <v>3.4321672694425884</v>
      </c>
      <c r="J3372" s="85">
        <f>AVERAGE(3000, 2410)</f>
        <v>2705</v>
      </c>
      <c r="K3372" s="131" t="s">
        <v>5106</v>
      </c>
      <c r="L3372" s="60">
        <v>151</v>
      </c>
      <c r="M3372" s="33"/>
    </row>
    <row r="3373" spans="1:14" ht="98" x14ac:dyDescent="0.15">
      <c r="A3373" s="166" t="s">
        <v>2481</v>
      </c>
      <c r="B3373" s="93" t="s">
        <v>2078</v>
      </c>
      <c r="C3373" s="70" t="s">
        <v>3636</v>
      </c>
      <c r="D3373" s="70" t="s">
        <v>1992</v>
      </c>
      <c r="E3373" s="70" t="s">
        <v>3612</v>
      </c>
      <c r="F3373" s="70" t="s">
        <v>5302</v>
      </c>
      <c r="G3373" s="70" t="s">
        <v>3039</v>
      </c>
      <c r="H3373" s="93"/>
      <c r="I3373" s="85">
        <f t="shared" si="134"/>
        <v>3.4321672694425884</v>
      </c>
      <c r="J3373" s="85">
        <f>AVERAGE(3000, 2410)</f>
        <v>2705</v>
      </c>
      <c r="K3373" s="131" t="s">
        <v>5106</v>
      </c>
      <c r="L3373" s="60">
        <v>151</v>
      </c>
      <c r="M3373" s="37" t="s">
        <v>4944</v>
      </c>
    </row>
    <row r="3374" spans="1:14" ht="14" x14ac:dyDescent="0.15">
      <c r="A3374" s="166" t="s">
        <v>2481</v>
      </c>
      <c r="B3374" s="93" t="s">
        <v>7305</v>
      </c>
      <c r="C3374" s="70" t="s">
        <v>3636</v>
      </c>
      <c r="D3374" s="70" t="s">
        <v>1992</v>
      </c>
      <c r="E3374" s="70" t="s">
        <v>3612</v>
      </c>
      <c r="F3374" s="70" t="s">
        <v>3618</v>
      </c>
      <c r="G3374" s="70" t="s">
        <v>5303</v>
      </c>
      <c r="H3374" s="93"/>
      <c r="I3374" s="85">
        <f t="shared" si="134"/>
        <v>3.1139433523068369</v>
      </c>
      <c r="J3374" s="85">
        <v>1300</v>
      </c>
      <c r="K3374" s="131" t="s">
        <v>3177</v>
      </c>
      <c r="L3374" s="60">
        <v>75</v>
      </c>
    </row>
    <row r="3375" spans="1:14" ht="28" x14ac:dyDescent="0.15">
      <c r="A3375" s="166" t="s">
        <v>2481</v>
      </c>
      <c r="B3375" s="93" t="s">
        <v>2078</v>
      </c>
      <c r="C3375" s="70" t="s">
        <v>3636</v>
      </c>
      <c r="D3375" s="70" t="s">
        <v>1992</v>
      </c>
      <c r="E3375" s="70" t="s">
        <v>3485</v>
      </c>
      <c r="F3375" s="70" t="s">
        <v>7034</v>
      </c>
      <c r="G3375" s="70" t="s">
        <v>5634</v>
      </c>
      <c r="H3375" s="93"/>
      <c r="I3375" s="85">
        <f t="shared" si="134"/>
        <v>2.1811286997472954</v>
      </c>
      <c r="J3375" s="85">
        <f>AVERAGE(149, 154.5)</f>
        <v>151.75</v>
      </c>
      <c r="K3375" s="131" t="s">
        <v>6732</v>
      </c>
      <c r="L3375" s="60">
        <v>151</v>
      </c>
      <c r="M3375" s="37"/>
    </row>
    <row r="3376" spans="1:14" ht="28" x14ac:dyDescent="0.15">
      <c r="A3376" s="166" t="s">
        <v>2481</v>
      </c>
      <c r="B3376" s="93" t="s">
        <v>2078</v>
      </c>
      <c r="C3376" s="70" t="s">
        <v>3636</v>
      </c>
      <c r="D3376" s="70" t="s">
        <v>1992</v>
      </c>
      <c r="E3376" s="70" t="s">
        <v>3485</v>
      </c>
      <c r="F3376" s="70" t="s">
        <v>7034</v>
      </c>
      <c r="G3376" s="70" t="s">
        <v>5553</v>
      </c>
      <c r="H3376" s="93"/>
      <c r="I3376" s="85">
        <f t="shared" si="134"/>
        <v>2.4385423487861106</v>
      </c>
      <c r="J3376" s="85">
        <v>274.5</v>
      </c>
      <c r="K3376" s="131" t="s">
        <v>6391</v>
      </c>
      <c r="L3376" s="60">
        <v>151</v>
      </c>
      <c r="M3376" s="37" t="s">
        <v>6727</v>
      </c>
      <c r="N3376" s="32" t="s">
        <v>6651</v>
      </c>
    </row>
    <row r="3377" spans="1:14" ht="28" x14ac:dyDescent="0.15">
      <c r="A3377" s="166" t="s">
        <v>2481</v>
      </c>
      <c r="B3377" s="82" t="s">
        <v>7382</v>
      </c>
      <c r="C3377" s="70" t="s">
        <v>3636</v>
      </c>
      <c r="D3377" s="70" t="s">
        <v>1992</v>
      </c>
      <c r="E3377" s="70" t="s">
        <v>3485</v>
      </c>
      <c r="F3377" s="70" t="s">
        <v>7034</v>
      </c>
      <c r="G3377" s="70" t="s">
        <v>4193</v>
      </c>
      <c r="H3377" s="93"/>
      <c r="I3377" s="85">
        <f t="shared" si="134"/>
        <v>2.4771212547196626</v>
      </c>
      <c r="J3377" s="85">
        <f>AVERAGE(235,365)</f>
        <v>300</v>
      </c>
      <c r="K3377" s="131" t="s">
        <v>6647</v>
      </c>
      <c r="L3377" s="60">
        <v>151</v>
      </c>
      <c r="M3377" s="33" t="s">
        <v>6727</v>
      </c>
    </row>
    <row r="3378" spans="1:14" ht="28" x14ac:dyDescent="0.15">
      <c r="A3378" s="166" t="s">
        <v>2481</v>
      </c>
      <c r="B3378" s="93" t="s">
        <v>2078</v>
      </c>
      <c r="C3378" s="70" t="s">
        <v>3636</v>
      </c>
      <c r="D3378" s="70" t="s">
        <v>1992</v>
      </c>
      <c r="E3378" s="70" t="s">
        <v>3485</v>
      </c>
      <c r="F3378" s="70" t="s">
        <v>7034</v>
      </c>
      <c r="G3378" s="70" t="s">
        <v>4193</v>
      </c>
      <c r="H3378" s="93"/>
      <c r="I3378" s="85">
        <f t="shared" si="134"/>
        <v>2.4771212547196626</v>
      </c>
      <c r="J3378" s="85">
        <f>AVERAGE(235,365)</f>
        <v>300</v>
      </c>
      <c r="K3378" s="131" t="s">
        <v>6647</v>
      </c>
      <c r="L3378" s="60">
        <v>151</v>
      </c>
      <c r="M3378" s="37" t="s">
        <v>6727</v>
      </c>
    </row>
    <row r="3379" spans="1:14" ht="14" x14ac:dyDescent="0.15">
      <c r="A3379" s="166" t="s">
        <v>2481</v>
      </c>
      <c r="B3379" s="93" t="s">
        <v>2078</v>
      </c>
      <c r="C3379" s="70" t="s">
        <v>3636</v>
      </c>
      <c r="D3379" s="70" t="s">
        <v>1992</v>
      </c>
      <c r="E3379" s="70" t="s">
        <v>3485</v>
      </c>
      <c r="F3379" s="70" t="s">
        <v>7034</v>
      </c>
      <c r="G3379" s="70" t="s">
        <v>5837</v>
      </c>
      <c r="H3379" s="93"/>
      <c r="I3379" s="85">
        <f t="shared" si="134"/>
        <v>2.6434526764861874</v>
      </c>
      <c r="J3379" s="85">
        <v>440</v>
      </c>
      <c r="K3379" s="131" t="s">
        <v>6648</v>
      </c>
      <c r="L3379" s="60">
        <v>151</v>
      </c>
      <c r="M3379" s="37" t="s">
        <v>6727</v>
      </c>
    </row>
    <row r="3380" spans="1:14" ht="28" x14ac:dyDescent="0.15">
      <c r="A3380" s="166" t="s">
        <v>2481</v>
      </c>
      <c r="B3380" s="93" t="s">
        <v>2078</v>
      </c>
      <c r="C3380" s="70" t="s">
        <v>3636</v>
      </c>
      <c r="D3380" s="70" t="s">
        <v>1992</v>
      </c>
      <c r="E3380" s="70" t="s">
        <v>3485</v>
      </c>
      <c r="F3380" s="70" t="s">
        <v>7034</v>
      </c>
      <c r="G3380" s="70" t="s">
        <v>6182</v>
      </c>
      <c r="H3380" s="93"/>
      <c r="I3380" s="85">
        <f t="shared" si="134"/>
        <v>2.8122446968003691</v>
      </c>
      <c r="J3380" s="85">
        <f>AVERAGE(732, 566)</f>
        <v>649</v>
      </c>
      <c r="K3380" s="131" t="s">
        <v>6746</v>
      </c>
      <c r="L3380" s="60">
        <v>151</v>
      </c>
      <c r="M3380" s="37"/>
    </row>
    <row r="3381" spans="1:14" ht="70" x14ac:dyDescent="0.15">
      <c r="A3381" s="166" t="s">
        <v>2481</v>
      </c>
      <c r="B3381" s="93" t="s">
        <v>2487</v>
      </c>
      <c r="C3381" s="70" t="s">
        <v>3636</v>
      </c>
      <c r="D3381" s="70" t="s">
        <v>1992</v>
      </c>
      <c r="E3381" s="70" t="s">
        <v>3485</v>
      </c>
      <c r="F3381" s="70" t="s">
        <v>6989</v>
      </c>
      <c r="G3381" s="70" t="s">
        <v>5554</v>
      </c>
      <c r="H3381" s="93"/>
      <c r="I3381" s="85">
        <f t="shared" si="134"/>
        <v>2.8947866626088907</v>
      </c>
      <c r="J3381" s="85">
        <f>AVERAGE(813, 756.7)</f>
        <v>784.85</v>
      </c>
      <c r="K3381" s="131" t="s">
        <v>6630</v>
      </c>
      <c r="L3381" s="60">
        <v>151</v>
      </c>
      <c r="M3381" s="33" t="s">
        <v>6728</v>
      </c>
      <c r="N3381" s="32" t="s">
        <v>6743</v>
      </c>
    </row>
    <row r="3382" spans="1:14" ht="70" x14ac:dyDescent="0.15">
      <c r="A3382" s="166" t="s">
        <v>2481</v>
      </c>
      <c r="B3382" s="93" t="s">
        <v>2078</v>
      </c>
      <c r="C3382" s="70" t="s">
        <v>3636</v>
      </c>
      <c r="D3382" s="70" t="s">
        <v>1992</v>
      </c>
      <c r="E3382" s="70" t="s">
        <v>3485</v>
      </c>
      <c r="F3382" s="70" t="s">
        <v>6989</v>
      </c>
      <c r="G3382" s="70" t="s">
        <v>5554</v>
      </c>
      <c r="H3382" s="93"/>
      <c r="I3382" s="85">
        <f t="shared" si="134"/>
        <v>2.8947866626088907</v>
      </c>
      <c r="J3382" s="85">
        <f>AVERAGE(813, 756.7)</f>
        <v>784.85</v>
      </c>
      <c r="K3382" s="131" t="s">
        <v>6630</v>
      </c>
      <c r="L3382" s="60">
        <v>151</v>
      </c>
      <c r="M3382" s="37" t="s">
        <v>6728</v>
      </c>
      <c r="N3382" s="32" t="s">
        <v>6743</v>
      </c>
    </row>
    <row r="3383" spans="1:14" ht="56" x14ac:dyDescent="0.15">
      <c r="A3383" s="166" t="s">
        <v>2481</v>
      </c>
      <c r="B3383" s="93" t="s">
        <v>2078</v>
      </c>
      <c r="C3383" s="70" t="s">
        <v>3636</v>
      </c>
      <c r="D3383" s="70" t="s">
        <v>1992</v>
      </c>
      <c r="E3383" s="70" t="s">
        <v>3485</v>
      </c>
      <c r="F3383" s="70" t="s">
        <v>6989</v>
      </c>
      <c r="G3383" s="70" t="s">
        <v>4924</v>
      </c>
      <c r="H3383" s="93"/>
      <c r="I3383" s="85">
        <f t="shared" si="134"/>
        <v>3.0503797562614579</v>
      </c>
      <c r="J3383" s="85">
        <f>AVERAGE(1056, 1190)</f>
        <v>1123</v>
      </c>
      <c r="K3383" s="131" t="s">
        <v>6630</v>
      </c>
      <c r="L3383" s="60">
        <v>151</v>
      </c>
      <c r="M3383" s="37" t="s">
        <v>6728</v>
      </c>
      <c r="N3383" s="32" t="s">
        <v>6466</v>
      </c>
    </row>
    <row r="3384" spans="1:14" ht="14" x14ac:dyDescent="0.15">
      <c r="A3384" s="166" t="s">
        <v>2481</v>
      </c>
      <c r="B3384" s="93" t="s">
        <v>2078</v>
      </c>
      <c r="C3384" s="70" t="s">
        <v>3636</v>
      </c>
      <c r="D3384" s="70" t="s">
        <v>1992</v>
      </c>
      <c r="E3384" s="70" t="s">
        <v>3485</v>
      </c>
      <c r="F3384" s="70" t="s">
        <v>6989</v>
      </c>
      <c r="G3384" s="70" t="s">
        <v>5470</v>
      </c>
      <c r="H3384" s="93"/>
      <c r="I3384" s="85">
        <f t="shared" si="134"/>
        <v>3.1760912590556813</v>
      </c>
      <c r="J3384" s="85">
        <v>1500</v>
      </c>
      <c r="K3384" s="131" t="s">
        <v>6467</v>
      </c>
      <c r="L3384" s="60">
        <v>151</v>
      </c>
      <c r="M3384" s="37"/>
    </row>
    <row r="3385" spans="1:14" ht="42" x14ac:dyDescent="0.15">
      <c r="A3385" s="166" t="s">
        <v>2481</v>
      </c>
      <c r="B3385" s="93" t="s">
        <v>2078</v>
      </c>
      <c r="C3385" s="70" t="s">
        <v>3636</v>
      </c>
      <c r="D3385" s="70" t="s">
        <v>1992</v>
      </c>
      <c r="E3385" s="70" t="s">
        <v>3485</v>
      </c>
      <c r="F3385" s="70" t="s">
        <v>6989</v>
      </c>
      <c r="G3385" s="70" t="s">
        <v>4602</v>
      </c>
      <c r="H3385" s="93"/>
      <c r="I3385" s="85">
        <f t="shared" si="134"/>
        <v>3.2366631987034093</v>
      </c>
      <c r="J3385" s="85">
        <f>AVERAGE(1769, 1680)</f>
        <v>1724.5</v>
      </c>
      <c r="K3385" s="131" t="s">
        <v>6462</v>
      </c>
      <c r="L3385" s="60">
        <v>151</v>
      </c>
      <c r="M3385" s="37"/>
    </row>
    <row r="3386" spans="1:14" ht="16" x14ac:dyDescent="0.2">
      <c r="A3386" s="166" t="s">
        <v>2481</v>
      </c>
      <c r="B3386" s="82" t="s">
        <v>2018</v>
      </c>
      <c r="C3386" s="70" t="s">
        <v>3636</v>
      </c>
      <c r="D3386" s="70" t="s">
        <v>7012</v>
      </c>
      <c r="E3386" s="70" t="s">
        <v>6985</v>
      </c>
      <c r="F3386" s="70" t="s">
        <v>5817</v>
      </c>
      <c r="G3386" s="70" t="s">
        <v>5816</v>
      </c>
      <c r="H3386" s="93"/>
      <c r="I3386" s="85">
        <f t="shared" si="134"/>
        <v>2.9809119377768436</v>
      </c>
      <c r="J3386" s="85">
        <v>957</v>
      </c>
      <c r="K3386" s="131" t="s">
        <v>6485</v>
      </c>
      <c r="L3386" s="60" t="s">
        <v>5705</v>
      </c>
      <c r="M3386" s="47"/>
    </row>
    <row r="3387" spans="1:14" ht="14" x14ac:dyDescent="0.15">
      <c r="A3387" s="166" t="s">
        <v>2481</v>
      </c>
      <c r="B3387" s="93" t="s">
        <v>3080</v>
      </c>
      <c r="C3387" s="70" t="s">
        <v>3636</v>
      </c>
      <c r="D3387" s="70" t="s">
        <v>7012</v>
      </c>
      <c r="E3387" s="70" t="s">
        <v>6985</v>
      </c>
      <c r="F3387" s="70" t="s">
        <v>7867</v>
      </c>
      <c r="G3387" s="70" t="s">
        <v>3197</v>
      </c>
      <c r="H3387" s="93"/>
      <c r="I3387" s="85">
        <f t="shared" si="134"/>
        <v>1.7745169657285496</v>
      </c>
      <c r="J3387" s="85">
        <f>AVERAGE(50, 69)</f>
        <v>59.5</v>
      </c>
      <c r="K3387" s="131" t="s">
        <v>6630</v>
      </c>
      <c r="L3387" s="60" t="s">
        <v>1169</v>
      </c>
      <c r="M3387" s="33" t="s">
        <v>6390</v>
      </c>
      <c r="N3387" s="37" t="s">
        <v>208</v>
      </c>
    </row>
    <row r="3388" spans="1:14" ht="14" x14ac:dyDescent="0.15">
      <c r="A3388" s="166" t="s">
        <v>2481</v>
      </c>
      <c r="B3388" s="82" t="s">
        <v>2018</v>
      </c>
      <c r="C3388" s="73" t="s">
        <v>3636</v>
      </c>
      <c r="D3388" s="73" t="s">
        <v>7012</v>
      </c>
      <c r="E3388" s="73" t="s">
        <v>6985</v>
      </c>
      <c r="F3388" s="73" t="s">
        <v>7867</v>
      </c>
      <c r="G3388" s="73" t="s">
        <v>3231</v>
      </c>
      <c r="H3388" s="108"/>
      <c r="I3388" s="85">
        <f t="shared" si="134"/>
        <v>1.8303747831935504</v>
      </c>
      <c r="J3388" s="95">
        <f>AVERAGE(59, 80, 64)</f>
        <v>67.666666666666671</v>
      </c>
      <c r="K3388" s="131" t="s">
        <v>6816</v>
      </c>
      <c r="L3388" s="60" t="s">
        <v>7536</v>
      </c>
      <c r="M3388" s="33" t="s">
        <v>6809</v>
      </c>
    </row>
    <row r="3389" spans="1:14" ht="28" x14ac:dyDescent="0.15">
      <c r="A3389" s="166" t="s">
        <v>2481</v>
      </c>
      <c r="B3389" s="93" t="s">
        <v>5852</v>
      </c>
      <c r="C3389" s="70" t="s">
        <v>3636</v>
      </c>
      <c r="D3389" s="70" t="s">
        <v>7012</v>
      </c>
      <c r="E3389" s="70" t="s">
        <v>6985</v>
      </c>
      <c r="F3389" s="70" t="s">
        <v>3198</v>
      </c>
      <c r="G3389" s="70" t="s">
        <v>6085</v>
      </c>
      <c r="H3389" s="93"/>
      <c r="I3389" s="85">
        <f t="shared" si="134"/>
        <v>2.0569048513364727</v>
      </c>
      <c r="J3389" s="85">
        <v>114</v>
      </c>
      <c r="K3389" s="131" t="s">
        <v>7875</v>
      </c>
      <c r="L3389" s="60">
        <v>60</v>
      </c>
      <c r="M3389" s="33" t="s">
        <v>6390</v>
      </c>
    </row>
    <row r="3390" spans="1:14" ht="28" x14ac:dyDescent="0.15">
      <c r="A3390" s="166" t="s">
        <v>2481</v>
      </c>
      <c r="B3390" s="93" t="s">
        <v>5852</v>
      </c>
      <c r="C3390" s="70" t="s">
        <v>3636</v>
      </c>
      <c r="D3390" s="70" t="s">
        <v>7012</v>
      </c>
      <c r="E3390" s="70" t="s">
        <v>6985</v>
      </c>
      <c r="F3390" s="70" t="s">
        <v>3198</v>
      </c>
      <c r="G3390" s="70" t="s">
        <v>3199</v>
      </c>
      <c r="H3390" s="93"/>
      <c r="I3390" s="85">
        <f t="shared" si="134"/>
        <v>2.3926969532596658</v>
      </c>
      <c r="J3390" s="85">
        <v>247</v>
      </c>
      <c r="K3390" s="131" t="s">
        <v>7875</v>
      </c>
      <c r="L3390" s="60">
        <v>60</v>
      </c>
      <c r="M3390" s="33" t="s">
        <v>6390</v>
      </c>
    </row>
    <row r="3391" spans="1:14" ht="16" x14ac:dyDescent="0.2">
      <c r="A3391" s="166" t="s">
        <v>2481</v>
      </c>
      <c r="B3391" s="93" t="s">
        <v>2425</v>
      </c>
      <c r="C3391" s="70" t="s">
        <v>3636</v>
      </c>
      <c r="D3391" s="70" t="s">
        <v>7012</v>
      </c>
      <c r="E3391" s="70" t="s">
        <v>3361</v>
      </c>
      <c r="F3391" s="70" t="s">
        <v>6497</v>
      </c>
      <c r="G3391" s="70" t="s">
        <v>5952</v>
      </c>
      <c r="H3391" s="93"/>
      <c r="I3391" s="85">
        <f t="shared" si="134"/>
        <v>2.8129133566428557</v>
      </c>
      <c r="J3391" s="85">
        <v>650</v>
      </c>
      <c r="K3391" s="131" t="s">
        <v>3177</v>
      </c>
      <c r="L3391" s="60">
        <v>140</v>
      </c>
      <c r="M3391" s="47"/>
    </row>
    <row r="3392" spans="1:14" ht="14" x14ac:dyDescent="0.15">
      <c r="A3392" s="166" t="s">
        <v>2481</v>
      </c>
      <c r="B3392" s="93" t="s">
        <v>2019</v>
      </c>
      <c r="C3392" s="70" t="s">
        <v>3636</v>
      </c>
      <c r="D3392" s="70" t="s">
        <v>7012</v>
      </c>
      <c r="E3392" s="70" t="s">
        <v>3361</v>
      </c>
      <c r="F3392" s="70" t="s">
        <v>6497</v>
      </c>
      <c r="G3392" s="70" t="s">
        <v>5294</v>
      </c>
      <c r="H3392" s="93"/>
      <c r="I3392" s="85">
        <f t="shared" si="134"/>
        <v>2.9542425094393248</v>
      </c>
      <c r="J3392" s="85">
        <v>900</v>
      </c>
      <c r="K3392" s="131" t="s">
        <v>6485</v>
      </c>
      <c r="L3392" s="60">
        <v>68</v>
      </c>
    </row>
    <row r="3393" spans="1:14" ht="28" x14ac:dyDescent="0.15">
      <c r="A3393" s="166" t="s">
        <v>2481</v>
      </c>
      <c r="B3393" s="93" t="s">
        <v>2427</v>
      </c>
      <c r="C3393" s="70" t="s">
        <v>3636</v>
      </c>
      <c r="D3393" s="70" t="s">
        <v>7012</v>
      </c>
      <c r="E3393" s="70" t="s">
        <v>4722</v>
      </c>
      <c r="F3393" s="70" t="s">
        <v>6138</v>
      </c>
      <c r="G3393" s="70" t="s">
        <v>6419</v>
      </c>
      <c r="H3393" s="93"/>
      <c r="I3393" s="85">
        <v>-999</v>
      </c>
      <c r="J3393" s="85">
        <v>-999</v>
      </c>
      <c r="K3393" s="131" t="s">
        <v>7875</v>
      </c>
      <c r="L3393" s="60">
        <v>-999</v>
      </c>
      <c r="M3393" s="33" t="s">
        <v>6809</v>
      </c>
    </row>
    <row r="3394" spans="1:14" ht="28" x14ac:dyDescent="0.15">
      <c r="A3394" s="166" t="s">
        <v>2481</v>
      </c>
      <c r="B3394" s="93" t="s">
        <v>2018</v>
      </c>
      <c r="C3394" s="70" t="s">
        <v>3636</v>
      </c>
      <c r="D3394" s="70" t="s">
        <v>7012</v>
      </c>
      <c r="E3394" s="70" t="s">
        <v>4722</v>
      </c>
      <c r="F3394" s="70" t="s">
        <v>6138</v>
      </c>
      <c r="G3394" s="70" t="s">
        <v>7025</v>
      </c>
      <c r="H3394" s="93"/>
      <c r="I3394" s="85">
        <f>LOG(J3394)</f>
        <v>1.4913616938342726</v>
      </c>
      <c r="J3394" s="85">
        <f>1000*0.031</f>
        <v>31</v>
      </c>
      <c r="K3394" s="131" t="s">
        <v>7875</v>
      </c>
      <c r="L3394" s="60">
        <v>60</v>
      </c>
      <c r="M3394" s="33" t="s">
        <v>6390</v>
      </c>
    </row>
    <row r="3395" spans="1:14" ht="14" x14ac:dyDescent="0.15">
      <c r="A3395" s="166" t="s">
        <v>2481</v>
      </c>
      <c r="B3395" s="82" t="s">
        <v>2018</v>
      </c>
      <c r="C3395" s="70" t="s">
        <v>3636</v>
      </c>
      <c r="D3395" s="70" t="s">
        <v>7012</v>
      </c>
      <c r="E3395" s="70" t="s">
        <v>4722</v>
      </c>
      <c r="F3395" s="70" t="s">
        <v>6138</v>
      </c>
      <c r="G3395" s="70" t="s">
        <v>5436</v>
      </c>
      <c r="H3395" s="93"/>
      <c r="I3395" s="85">
        <f>LOG(J3395)</f>
        <v>1.505149978319906</v>
      </c>
      <c r="J3395" s="85">
        <f>1000*0.032</f>
        <v>32</v>
      </c>
      <c r="K3395" s="131" t="s">
        <v>3177</v>
      </c>
      <c r="L3395" s="60">
        <v>60</v>
      </c>
      <c r="M3395" s="33"/>
    </row>
    <row r="3396" spans="1:14" ht="14" x14ac:dyDescent="0.15">
      <c r="A3396" s="166" t="s">
        <v>2481</v>
      </c>
      <c r="B3396" s="93" t="s">
        <v>5797</v>
      </c>
      <c r="C3396" s="70" t="s">
        <v>3636</v>
      </c>
      <c r="D3396" s="70" t="s">
        <v>7012</v>
      </c>
      <c r="E3396" s="70" t="s">
        <v>4722</v>
      </c>
      <c r="F3396" s="70" t="s">
        <v>6138</v>
      </c>
      <c r="G3396" s="70" t="s">
        <v>5437</v>
      </c>
      <c r="H3396" s="93"/>
      <c r="I3396" s="85">
        <f>LOG(J3396)</f>
        <v>1.505149978319906</v>
      </c>
      <c r="J3396" s="85">
        <v>32</v>
      </c>
      <c r="K3396" s="131" t="s">
        <v>6331</v>
      </c>
      <c r="L3396" s="60">
        <v>142</v>
      </c>
      <c r="M3396" s="33"/>
    </row>
    <row r="3397" spans="1:14" ht="28" x14ac:dyDescent="0.15">
      <c r="A3397" s="166" t="s">
        <v>2481</v>
      </c>
      <c r="B3397" s="82" t="s">
        <v>2413</v>
      </c>
      <c r="C3397" s="70" t="s">
        <v>3636</v>
      </c>
      <c r="D3397" s="70" t="s">
        <v>7012</v>
      </c>
      <c r="E3397" s="70" t="s">
        <v>4722</v>
      </c>
      <c r="F3397" s="70" t="s">
        <v>4865</v>
      </c>
      <c r="G3397" s="70" t="s">
        <v>3200</v>
      </c>
      <c r="H3397" s="93"/>
      <c r="I3397" s="85">
        <v>-999</v>
      </c>
      <c r="J3397" s="85">
        <v>-999</v>
      </c>
      <c r="K3397" s="131" t="s">
        <v>6630</v>
      </c>
      <c r="L3397" s="60">
        <v>-999</v>
      </c>
      <c r="M3397" s="33" t="s">
        <v>6727</v>
      </c>
    </row>
    <row r="3398" spans="1:14" ht="28" x14ac:dyDescent="0.15">
      <c r="A3398" s="166" t="s">
        <v>2481</v>
      </c>
      <c r="B3398" s="82" t="s">
        <v>2395</v>
      </c>
      <c r="C3398" s="70" t="s">
        <v>3636</v>
      </c>
      <c r="D3398" s="70" t="s">
        <v>7012</v>
      </c>
      <c r="E3398" s="70" t="s">
        <v>4722</v>
      </c>
      <c r="F3398" s="70" t="s">
        <v>4865</v>
      </c>
      <c r="G3398" s="70" t="s">
        <v>7898</v>
      </c>
      <c r="H3398" s="93"/>
      <c r="I3398" s="85">
        <v>-999</v>
      </c>
      <c r="J3398" s="85">
        <v>-999</v>
      </c>
      <c r="K3398" s="131" t="s">
        <v>7875</v>
      </c>
      <c r="L3398" s="60">
        <v>-999</v>
      </c>
      <c r="M3398" s="33" t="s">
        <v>6390</v>
      </c>
    </row>
    <row r="3399" spans="1:14" ht="14" x14ac:dyDescent="0.15">
      <c r="A3399" s="166" t="s">
        <v>2481</v>
      </c>
      <c r="B3399" s="93" t="s">
        <v>2397</v>
      </c>
      <c r="C3399" s="70" t="s">
        <v>3636</v>
      </c>
      <c r="D3399" s="70" t="s">
        <v>7012</v>
      </c>
      <c r="E3399" s="70" t="s">
        <v>4722</v>
      </c>
      <c r="F3399" s="70" t="s">
        <v>4865</v>
      </c>
      <c r="G3399" s="70" t="s">
        <v>5270</v>
      </c>
      <c r="H3399" s="93"/>
      <c r="I3399" s="85">
        <v>-999</v>
      </c>
      <c r="J3399" s="85">
        <v>-999</v>
      </c>
      <c r="K3399" s="131" t="s">
        <v>3177</v>
      </c>
      <c r="L3399" s="60">
        <v>-999</v>
      </c>
      <c r="M3399" s="33"/>
    </row>
    <row r="3400" spans="1:14" ht="28" x14ac:dyDescent="0.15">
      <c r="A3400" s="166" t="s">
        <v>2481</v>
      </c>
      <c r="B3400" s="93" t="s">
        <v>2508</v>
      </c>
      <c r="C3400" s="70" t="s">
        <v>3636</v>
      </c>
      <c r="D3400" s="70" t="s">
        <v>7012</v>
      </c>
      <c r="E3400" s="70" t="s">
        <v>4722</v>
      </c>
      <c r="F3400" s="70" t="s">
        <v>4865</v>
      </c>
      <c r="G3400" s="70" t="s">
        <v>6343</v>
      </c>
      <c r="H3400" s="93"/>
      <c r="I3400" s="85">
        <v>-999</v>
      </c>
      <c r="J3400" s="85">
        <v>-999</v>
      </c>
      <c r="K3400" s="131" t="s">
        <v>7875</v>
      </c>
      <c r="L3400" s="60">
        <v>-999</v>
      </c>
      <c r="M3400" s="33" t="s">
        <v>6390</v>
      </c>
      <c r="N3400" s="37" t="s">
        <v>1632</v>
      </c>
    </row>
    <row r="3401" spans="1:14" ht="28" x14ac:dyDescent="0.15">
      <c r="A3401" s="166" t="s">
        <v>2481</v>
      </c>
      <c r="B3401" s="93" t="s">
        <v>2501</v>
      </c>
      <c r="C3401" s="70" t="s">
        <v>3636</v>
      </c>
      <c r="D3401" s="70" t="s">
        <v>7012</v>
      </c>
      <c r="E3401" s="70" t="s">
        <v>4722</v>
      </c>
      <c r="F3401" s="70" t="s">
        <v>4865</v>
      </c>
      <c r="G3401" s="70" t="s">
        <v>5147</v>
      </c>
      <c r="H3401" s="93"/>
      <c r="I3401" s="85">
        <v>-999</v>
      </c>
      <c r="J3401" s="85">
        <v>-999</v>
      </c>
      <c r="K3401" s="141" t="s">
        <v>7875</v>
      </c>
      <c r="L3401" s="60">
        <v>-999</v>
      </c>
      <c r="M3401" s="33" t="s">
        <v>6390</v>
      </c>
    </row>
    <row r="3402" spans="1:14" ht="14" x14ac:dyDescent="0.15">
      <c r="A3402" s="166" t="s">
        <v>2481</v>
      </c>
      <c r="B3402" s="93" t="s">
        <v>2426</v>
      </c>
      <c r="C3402" s="70" t="s">
        <v>3636</v>
      </c>
      <c r="D3402" s="70" t="s">
        <v>7012</v>
      </c>
      <c r="E3402" s="70" t="s">
        <v>4722</v>
      </c>
      <c r="F3402" s="70" t="s">
        <v>4865</v>
      </c>
      <c r="G3402" s="70" t="s">
        <v>4937</v>
      </c>
      <c r="H3402" s="93"/>
      <c r="I3402" s="85">
        <v>-999</v>
      </c>
      <c r="J3402" s="85">
        <v>-999</v>
      </c>
      <c r="K3402" s="131" t="s">
        <v>3177</v>
      </c>
      <c r="L3402" s="60">
        <v>-999</v>
      </c>
      <c r="M3402" s="33" t="s">
        <v>6727</v>
      </c>
    </row>
    <row r="3403" spans="1:14" ht="14" x14ac:dyDescent="0.15">
      <c r="A3403" s="166" t="s">
        <v>2481</v>
      </c>
      <c r="B3403" s="93" t="s">
        <v>2395</v>
      </c>
      <c r="C3403" s="70" t="s">
        <v>3636</v>
      </c>
      <c r="D3403" s="70" t="s">
        <v>7012</v>
      </c>
      <c r="E3403" s="70" t="s">
        <v>4722</v>
      </c>
      <c r="F3403" s="70" t="s">
        <v>4865</v>
      </c>
      <c r="G3403" s="70" t="s">
        <v>5463</v>
      </c>
      <c r="H3403" s="93"/>
      <c r="I3403" s="85">
        <v>-999</v>
      </c>
      <c r="J3403" s="85">
        <v>-999</v>
      </c>
      <c r="K3403" s="131" t="s">
        <v>3177</v>
      </c>
      <c r="L3403" s="60">
        <v>-999</v>
      </c>
      <c r="M3403" s="33"/>
    </row>
    <row r="3404" spans="1:14" ht="28" x14ac:dyDescent="0.15">
      <c r="A3404" s="166" t="s">
        <v>2481</v>
      </c>
      <c r="B3404" s="93" t="s">
        <v>5852</v>
      </c>
      <c r="C3404" s="70" t="s">
        <v>3636</v>
      </c>
      <c r="D3404" s="70" t="s">
        <v>7012</v>
      </c>
      <c r="E3404" s="70" t="s">
        <v>4722</v>
      </c>
      <c r="F3404" s="70" t="s">
        <v>4865</v>
      </c>
      <c r="G3404" s="70" t="s">
        <v>5237</v>
      </c>
      <c r="H3404" s="93"/>
      <c r="I3404" s="85">
        <v>-999</v>
      </c>
      <c r="J3404" s="85">
        <v>-999</v>
      </c>
      <c r="K3404" s="131" t="s">
        <v>7875</v>
      </c>
      <c r="L3404" s="60">
        <v>-999</v>
      </c>
      <c r="M3404" s="33" t="s">
        <v>6809</v>
      </c>
    </row>
    <row r="3405" spans="1:14" ht="28" x14ac:dyDescent="0.15">
      <c r="A3405" s="166" t="s">
        <v>2481</v>
      </c>
      <c r="B3405" s="93" t="s">
        <v>2106</v>
      </c>
      <c r="C3405" s="70" t="s">
        <v>3636</v>
      </c>
      <c r="D3405" s="70" t="s">
        <v>7012</v>
      </c>
      <c r="E3405" s="70" t="s">
        <v>4722</v>
      </c>
      <c r="F3405" s="70" t="s">
        <v>4865</v>
      </c>
      <c r="G3405" s="70" t="s">
        <v>4635</v>
      </c>
      <c r="H3405" s="93"/>
      <c r="I3405" s="85">
        <v>-999</v>
      </c>
      <c r="J3405" s="85">
        <v>-999</v>
      </c>
      <c r="K3405" s="131" t="s">
        <v>7875</v>
      </c>
      <c r="L3405" s="60">
        <v>-999</v>
      </c>
      <c r="M3405" s="33" t="s">
        <v>6728</v>
      </c>
    </row>
    <row r="3406" spans="1:14" ht="28" x14ac:dyDescent="0.15">
      <c r="A3406" s="166" t="s">
        <v>2481</v>
      </c>
      <c r="B3406" s="93" t="s">
        <v>5852</v>
      </c>
      <c r="C3406" s="70" t="s">
        <v>3636</v>
      </c>
      <c r="D3406" s="70" t="s">
        <v>7012</v>
      </c>
      <c r="E3406" s="70" t="s">
        <v>4722</v>
      </c>
      <c r="F3406" s="70" t="s">
        <v>4865</v>
      </c>
      <c r="G3406" s="70" t="s">
        <v>4636</v>
      </c>
      <c r="H3406" s="93"/>
      <c r="I3406" s="85">
        <v>-999</v>
      </c>
      <c r="J3406" s="85">
        <v>-999</v>
      </c>
      <c r="K3406" s="131" t="s">
        <v>7875</v>
      </c>
      <c r="L3406" s="60">
        <v>-999</v>
      </c>
      <c r="M3406" s="33" t="s">
        <v>6728</v>
      </c>
    </row>
    <row r="3407" spans="1:14" ht="42" x14ac:dyDescent="0.15">
      <c r="A3407" s="166" t="s">
        <v>2481</v>
      </c>
      <c r="B3407" s="93" t="s">
        <v>2469</v>
      </c>
      <c r="C3407" s="70" t="s">
        <v>3636</v>
      </c>
      <c r="D3407" s="70" t="s">
        <v>7012</v>
      </c>
      <c r="E3407" s="70" t="s">
        <v>4722</v>
      </c>
      <c r="F3407" s="70" t="s">
        <v>4865</v>
      </c>
      <c r="G3407" s="70" t="s">
        <v>4548</v>
      </c>
      <c r="H3407" s="93"/>
      <c r="I3407" s="85">
        <v>-999</v>
      </c>
      <c r="J3407" s="85">
        <v>-999</v>
      </c>
      <c r="K3407" s="141" t="s">
        <v>1621</v>
      </c>
      <c r="L3407" s="60">
        <v>-999</v>
      </c>
      <c r="M3407" s="33" t="s">
        <v>6728</v>
      </c>
    </row>
    <row r="3408" spans="1:14" ht="16" x14ac:dyDescent="0.2">
      <c r="A3408" s="166" t="s">
        <v>2481</v>
      </c>
      <c r="B3408" s="93" t="s">
        <v>2428</v>
      </c>
      <c r="C3408" s="70" t="s">
        <v>3636</v>
      </c>
      <c r="D3408" s="70" t="s">
        <v>7012</v>
      </c>
      <c r="E3408" s="70" t="s">
        <v>4722</v>
      </c>
      <c r="F3408" s="70" t="s">
        <v>4865</v>
      </c>
      <c r="G3408" s="70" t="s">
        <v>5637</v>
      </c>
      <c r="H3408" s="93"/>
      <c r="I3408" s="85">
        <f t="shared" ref="I3408:I3429" si="135">LOG(J3408)</f>
        <v>0.24797326636180664</v>
      </c>
      <c r="J3408" s="85">
        <f>1000*0.00177</f>
        <v>1.77</v>
      </c>
      <c r="K3408" s="131" t="s">
        <v>3177</v>
      </c>
      <c r="L3408" s="60">
        <v>60</v>
      </c>
      <c r="M3408" s="47"/>
    </row>
    <row r="3409" spans="1:14" ht="28" x14ac:dyDescent="0.15">
      <c r="A3409" s="166" t="s">
        <v>2481</v>
      </c>
      <c r="B3409" s="93" t="s">
        <v>2398</v>
      </c>
      <c r="C3409" s="70" t="s">
        <v>3636</v>
      </c>
      <c r="D3409" s="70" t="s">
        <v>7012</v>
      </c>
      <c r="E3409" s="70" t="s">
        <v>4722</v>
      </c>
      <c r="F3409" s="70" t="s">
        <v>4865</v>
      </c>
      <c r="G3409" s="70" t="s">
        <v>5721</v>
      </c>
      <c r="H3409" s="93"/>
      <c r="I3409" s="85">
        <f t="shared" si="135"/>
        <v>0.69897000433601886</v>
      </c>
      <c r="J3409" s="85">
        <v>5</v>
      </c>
      <c r="K3409" s="131" t="s">
        <v>1517</v>
      </c>
      <c r="L3409" s="60">
        <v>60</v>
      </c>
      <c r="M3409" s="33"/>
    </row>
    <row r="3410" spans="1:14" ht="16" x14ac:dyDescent="0.2">
      <c r="A3410" s="166" t="s">
        <v>2481</v>
      </c>
      <c r="B3410" s="93" t="s">
        <v>2428</v>
      </c>
      <c r="C3410" s="70" t="s">
        <v>3636</v>
      </c>
      <c r="D3410" s="70" t="s">
        <v>7012</v>
      </c>
      <c r="E3410" s="70" t="s">
        <v>4722</v>
      </c>
      <c r="F3410" s="70" t="s">
        <v>4865</v>
      </c>
      <c r="G3410" s="70" t="s">
        <v>5558</v>
      </c>
      <c r="H3410" s="93"/>
      <c r="I3410" s="85">
        <f t="shared" si="135"/>
        <v>0.81954393554186866</v>
      </c>
      <c r="J3410" s="85">
        <v>6.6</v>
      </c>
      <c r="K3410" s="131" t="s">
        <v>3177</v>
      </c>
      <c r="L3410" s="60">
        <v>60</v>
      </c>
      <c r="M3410" s="47"/>
    </row>
    <row r="3411" spans="1:14" ht="14" x14ac:dyDescent="0.15">
      <c r="A3411" s="166" t="s">
        <v>2481</v>
      </c>
      <c r="B3411" s="93" t="s">
        <v>2368</v>
      </c>
      <c r="C3411" s="70" t="s">
        <v>3636</v>
      </c>
      <c r="D3411" s="70" t="s">
        <v>7012</v>
      </c>
      <c r="E3411" s="70" t="s">
        <v>4722</v>
      </c>
      <c r="F3411" s="70" t="s">
        <v>4865</v>
      </c>
      <c r="G3411" s="70" t="s">
        <v>3866</v>
      </c>
      <c r="H3411" s="93"/>
      <c r="I3411" s="85">
        <f t="shared" si="135"/>
        <v>0.81954393554186866</v>
      </c>
      <c r="J3411" s="85">
        <v>6.6</v>
      </c>
      <c r="K3411" s="131" t="s">
        <v>3177</v>
      </c>
      <c r="L3411" s="60">
        <v>60</v>
      </c>
      <c r="M3411" s="33"/>
    </row>
    <row r="3412" spans="1:14" ht="28" x14ac:dyDescent="0.15">
      <c r="A3412" s="166" t="s">
        <v>2481</v>
      </c>
      <c r="B3412" s="82" t="s">
        <v>2539</v>
      </c>
      <c r="C3412" s="70" t="s">
        <v>3636</v>
      </c>
      <c r="D3412" s="70" t="s">
        <v>7012</v>
      </c>
      <c r="E3412" s="70" t="s">
        <v>4722</v>
      </c>
      <c r="F3412" s="70" t="s">
        <v>4865</v>
      </c>
      <c r="G3412" s="70" t="s">
        <v>4545</v>
      </c>
      <c r="H3412" s="93"/>
      <c r="I3412" s="85">
        <f t="shared" si="135"/>
        <v>0.83884909073725533</v>
      </c>
      <c r="J3412" s="85">
        <v>6.9</v>
      </c>
      <c r="K3412" s="131" t="s">
        <v>3177</v>
      </c>
      <c r="L3412" s="60">
        <v>182</v>
      </c>
      <c r="M3412" s="33"/>
    </row>
    <row r="3413" spans="1:14" ht="28" x14ac:dyDescent="0.15">
      <c r="A3413" s="166" t="s">
        <v>2481</v>
      </c>
      <c r="B3413" s="82"/>
      <c r="C3413" s="70" t="s">
        <v>3636</v>
      </c>
      <c r="D3413" s="70" t="s">
        <v>7012</v>
      </c>
      <c r="E3413" s="70" t="s">
        <v>4722</v>
      </c>
      <c r="F3413" s="70" t="s">
        <v>4865</v>
      </c>
      <c r="G3413" s="70" t="s">
        <v>5295</v>
      </c>
      <c r="H3413" s="93"/>
      <c r="I3413" s="85">
        <f t="shared" si="135"/>
        <v>0.87506126339170009</v>
      </c>
      <c r="J3413" s="85">
        <v>7.5</v>
      </c>
      <c r="K3413" s="131" t="s">
        <v>7875</v>
      </c>
      <c r="L3413" s="60">
        <v>68</v>
      </c>
      <c r="M3413" s="33" t="s">
        <v>6728</v>
      </c>
    </row>
    <row r="3414" spans="1:14" ht="28" x14ac:dyDescent="0.15">
      <c r="A3414" s="166" t="s">
        <v>2481</v>
      </c>
      <c r="B3414" s="82" t="s">
        <v>2160</v>
      </c>
      <c r="C3414" s="70" t="s">
        <v>3636</v>
      </c>
      <c r="D3414" s="70" t="s">
        <v>7012</v>
      </c>
      <c r="E3414" s="70" t="s">
        <v>4722</v>
      </c>
      <c r="F3414" s="70" t="s">
        <v>4865</v>
      </c>
      <c r="G3414" s="70" t="s">
        <v>6454</v>
      </c>
      <c r="H3414" s="93"/>
      <c r="I3414" s="85">
        <f t="shared" si="135"/>
        <v>0.87679497620070057</v>
      </c>
      <c r="J3414" s="85">
        <f>1000*0.00753</f>
        <v>7.53</v>
      </c>
      <c r="K3414" s="131" t="s">
        <v>3177</v>
      </c>
      <c r="L3414" s="60">
        <v>60</v>
      </c>
      <c r="M3414" s="33"/>
    </row>
    <row r="3415" spans="1:14" ht="28" x14ac:dyDescent="0.15">
      <c r="A3415" s="166" t="s">
        <v>2481</v>
      </c>
      <c r="B3415" s="93" t="s">
        <v>2395</v>
      </c>
      <c r="C3415" s="70" t="s">
        <v>3636</v>
      </c>
      <c r="D3415" s="70" t="s">
        <v>7012</v>
      </c>
      <c r="E3415" s="70" t="s">
        <v>4722</v>
      </c>
      <c r="F3415" s="70" t="s">
        <v>4865</v>
      </c>
      <c r="G3415" s="70" t="s">
        <v>4778</v>
      </c>
      <c r="H3415" s="93"/>
      <c r="I3415" s="85">
        <f t="shared" si="135"/>
        <v>0.91539983521226975</v>
      </c>
      <c r="J3415" s="85">
        <f>1000*0.00823</f>
        <v>8.2299999999999986</v>
      </c>
      <c r="K3415" s="131" t="s">
        <v>7875</v>
      </c>
      <c r="L3415" s="60">
        <v>60</v>
      </c>
      <c r="M3415" s="33" t="s">
        <v>6390</v>
      </c>
    </row>
    <row r="3416" spans="1:14" ht="28" x14ac:dyDescent="0.15">
      <c r="A3416" s="166" t="s">
        <v>2481</v>
      </c>
      <c r="B3416" s="82" t="s">
        <v>2487</v>
      </c>
      <c r="C3416" s="70" t="s">
        <v>3636</v>
      </c>
      <c r="D3416" s="70" t="s">
        <v>7012</v>
      </c>
      <c r="E3416" s="70" t="s">
        <v>4722</v>
      </c>
      <c r="F3416" s="70" t="s">
        <v>4865</v>
      </c>
      <c r="G3416" s="70" t="s">
        <v>5077</v>
      </c>
      <c r="H3416" s="93"/>
      <c r="I3416" s="85">
        <f t="shared" si="135"/>
        <v>0.97451169273732841</v>
      </c>
      <c r="J3416" s="85">
        <f>1000*0.00943</f>
        <v>9.43</v>
      </c>
      <c r="K3416" s="141" t="s">
        <v>7875</v>
      </c>
      <c r="L3416" s="60">
        <v>60</v>
      </c>
      <c r="M3416" s="33" t="s">
        <v>6728</v>
      </c>
    </row>
    <row r="3417" spans="1:14" ht="28" x14ac:dyDescent="0.15">
      <c r="A3417" s="166" t="s">
        <v>2481</v>
      </c>
      <c r="B3417" s="93" t="s">
        <v>2330</v>
      </c>
      <c r="C3417" s="70" t="s">
        <v>3636</v>
      </c>
      <c r="D3417" s="70" t="s">
        <v>7012</v>
      </c>
      <c r="E3417" s="70" t="s">
        <v>4722</v>
      </c>
      <c r="F3417" s="70" t="s">
        <v>4865</v>
      </c>
      <c r="G3417" s="70" t="s">
        <v>4938</v>
      </c>
      <c r="H3417" s="93"/>
      <c r="I3417" s="85">
        <f t="shared" si="135"/>
        <v>1.0086001717619175</v>
      </c>
      <c r="J3417" s="85">
        <f>1000*0.0102</f>
        <v>10.200000000000001</v>
      </c>
      <c r="K3417" s="131" t="s">
        <v>6391</v>
      </c>
      <c r="L3417" s="60" t="s">
        <v>1738</v>
      </c>
      <c r="M3417" s="33" t="s">
        <v>6816</v>
      </c>
      <c r="N3417" s="32" t="s">
        <v>1318</v>
      </c>
    </row>
    <row r="3418" spans="1:14" ht="14" x14ac:dyDescent="0.15">
      <c r="A3418" s="166" t="s">
        <v>2481</v>
      </c>
      <c r="B3418" s="93" t="s">
        <v>2594</v>
      </c>
      <c r="C3418" s="70" t="s">
        <v>3636</v>
      </c>
      <c r="D3418" s="70" t="s">
        <v>7012</v>
      </c>
      <c r="E3418" s="70" t="s">
        <v>4722</v>
      </c>
      <c r="F3418" s="70" t="s">
        <v>4865</v>
      </c>
      <c r="G3418" s="70" t="s">
        <v>5687</v>
      </c>
      <c r="H3418" s="93"/>
      <c r="I3418" s="85">
        <f t="shared" si="135"/>
        <v>1.0090257420869102</v>
      </c>
      <c r="J3418" s="85">
        <f>AVERAGE(9.38, 9.25, 12)</f>
        <v>10.210000000000001</v>
      </c>
      <c r="K3418" s="131" t="s">
        <v>3177</v>
      </c>
      <c r="L3418" s="60">
        <v>60</v>
      </c>
      <c r="M3418" s="33"/>
    </row>
    <row r="3419" spans="1:14" ht="28" x14ac:dyDescent="0.15">
      <c r="A3419" s="166" t="s">
        <v>2481</v>
      </c>
      <c r="B3419" s="93" t="s">
        <v>5852</v>
      </c>
      <c r="C3419" s="70" t="s">
        <v>3636</v>
      </c>
      <c r="D3419" s="70" t="s">
        <v>7012</v>
      </c>
      <c r="E3419" s="70" t="s">
        <v>4722</v>
      </c>
      <c r="F3419" s="70" t="s">
        <v>4865</v>
      </c>
      <c r="G3419" s="70" t="s">
        <v>5689</v>
      </c>
      <c r="H3419" s="93"/>
      <c r="I3419" s="85">
        <f t="shared" si="135"/>
        <v>1.0128372247051722</v>
      </c>
      <c r="J3419" s="85">
        <v>10.3</v>
      </c>
      <c r="K3419" s="131" t="s">
        <v>7875</v>
      </c>
      <c r="L3419" s="60">
        <v>121</v>
      </c>
      <c r="M3419" s="33" t="s">
        <v>6728</v>
      </c>
    </row>
    <row r="3420" spans="1:14" ht="28" x14ac:dyDescent="0.15">
      <c r="A3420" s="166" t="s">
        <v>2481</v>
      </c>
      <c r="B3420" s="82" t="s">
        <v>5852</v>
      </c>
      <c r="C3420" s="70" t="s">
        <v>3636</v>
      </c>
      <c r="D3420" s="70" t="s">
        <v>7012</v>
      </c>
      <c r="E3420" s="70" t="s">
        <v>4722</v>
      </c>
      <c r="F3420" s="70" t="s">
        <v>4865</v>
      </c>
      <c r="G3420" s="70" t="s">
        <v>3201</v>
      </c>
      <c r="H3420" s="93"/>
      <c r="I3420" s="85">
        <f t="shared" si="135"/>
        <v>1.0232524596337116</v>
      </c>
      <c r="J3420" s="85">
        <f>AVERAGE(11.2, 11, 11, 9)</f>
        <v>10.55</v>
      </c>
      <c r="K3420" s="131" t="s">
        <v>7875</v>
      </c>
      <c r="L3420" s="60">
        <v>122</v>
      </c>
      <c r="M3420" s="33" t="s">
        <v>6728</v>
      </c>
    </row>
    <row r="3421" spans="1:14" ht="16" x14ac:dyDescent="0.2">
      <c r="A3421" s="166" t="s">
        <v>2481</v>
      </c>
      <c r="B3421" s="93" t="s">
        <v>2424</v>
      </c>
      <c r="C3421" s="70" t="s">
        <v>3636</v>
      </c>
      <c r="D3421" s="70" t="s">
        <v>7012</v>
      </c>
      <c r="E3421" s="70" t="s">
        <v>4722</v>
      </c>
      <c r="F3421" s="70" t="s">
        <v>4865</v>
      </c>
      <c r="G3421" s="70" t="s">
        <v>5722</v>
      </c>
      <c r="H3421" s="93"/>
      <c r="I3421" s="85">
        <f t="shared" si="135"/>
        <v>1.1003705451175629</v>
      </c>
      <c r="J3421" s="85">
        <f>1000*0.0126</f>
        <v>12.6</v>
      </c>
      <c r="K3421" s="131" t="s">
        <v>6816</v>
      </c>
      <c r="L3421" s="60">
        <v>60</v>
      </c>
      <c r="M3421" s="33" t="s">
        <v>6727</v>
      </c>
      <c r="N3421" s="48"/>
    </row>
    <row r="3422" spans="1:14" ht="16" x14ac:dyDescent="0.2">
      <c r="A3422" s="166" t="s">
        <v>2481</v>
      </c>
      <c r="B3422" s="93" t="s">
        <v>2507</v>
      </c>
      <c r="C3422" s="70" t="s">
        <v>3636</v>
      </c>
      <c r="D3422" s="70" t="s">
        <v>7012</v>
      </c>
      <c r="E3422" s="70" t="s">
        <v>4722</v>
      </c>
      <c r="F3422" s="70" t="s">
        <v>4865</v>
      </c>
      <c r="G3422" s="70" t="s">
        <v>6339</v>
      </c>
      <c r="H3422" s="93"/>
      <c r="I3422" s="85">
        <f t="shared" si="135"/>
        <v>1.146128035678238</v>
      </c>
      <c r="J3422" s="85">
        <f>1000*0.014</f>
        <v>14</v>
      </c>
      <c r="K3422" s="131" t="s">
        <v>3177</v>
      </c>
      <c r="L3422" s="60">
        <v>60</v>
      </c>
      <c r="M3422" s="47"/>
    </row>
    <row r="3423" spans="1:14" ht="14" x14ac:dyDescent="0.15">
      <c r="A3423" s="166" t="s">
        <v>2481</v>
      </c>
      <c r="B3423" s="93" t="s">
        <v>5852</v>
      </c>
      <c r="C3423" s="70" t="s">
        <v>3636</v>
      </c>
      <c r="D3423" s="70" t="s">
        <v>7012</v>
      </c>
      <c r="E3423" s="70" t="s">
        <v>4722</v>
      </c>
      <c r="F3423" s="70" t="s">
        <v>4865</v>
      </c>
      <c r="G3423" s="70" t="s">
        <v>4912</v>
      </c>
      <c r="H3423" s="93"/>
      <c r="I3423" s="85">
        <f t="shared" si="135"/>
        <v>1.1542717759930952</v>
      </c>
      <c r="J3423" s="85">
        <f>AVERAGE(1000*0.0191, 1000*0.00943)</f>
        <v>14.264999999999999</v>
      </c>
      <c r="K3423" s="131" t="s">
        <v>3177</v>
      </c>
      <c r="L3423" s="60">
        <v>60</v>
      </c>
      <c r="M3423" s="33"/>
    </row>
    <row r="3424" spans="1:14" ht="28" x14ac:dyDescent="0.15">
      <c r="A3424" s="166" t="s">
        <v>2481</v>
      </c>
      <c r="B3424" s="93" t="s">
        <v>2327</v>
      </c>
      <c r="C3424" s="70" t="s">
        <v>3636</v>
      </c>
      <c r="D3424" s="70" t="s">
        <v>7012</v>
      </c>
      <c r="E3424" s="70" t="s">
        <v>4722</v>
      </c>
      <c r="F3424" s="70" t="s">
        <v>4865</v>
      </c>
      <c r="G3424" s="70" t="s">
        <v>4912</v>
      </c>
      <c r="H3424" s="93"/>
      <c r="I3424" s="85">
        <f t="shared" si="135"/>
        <v>1.1542717759930952</v>
      </c>
      <c r="J3424" s="85">
        <f>AVERAGE(1000*0.0191, 1000*0.00943)</f>
        <v>14.264999999999999</v>
      </c>
      <c r="K3424" s="131" t="s">
        <v>3177</v>
      </c>
      <c r="L3424" s="60">
        <v>60</v>
      </c>
      <c r="M3424" s="33"/>
    </row>
    <row r="3425" spans="1:14" ht="28" x14ac:dyDescent="0.15">
      <c r="A3425" s="166" t="s">
        <v>2481</v>
      </c>
      <c r="B3425" s="93" t="s">
        <v>5797</v>
      </c>
      <c r="C3425" s="70" t="s">
        <v>3636</v>
      </c>
      <c r="D3425" s="70" t="s">
        <v>7012</v>
      </c>
      <c r="E3425" s="70" t="s">
        <v>4722</v>
      </c>
      <c r="F3425" s="70" t="s">
        <v>4865</v>
      </c>
      <c r="G3425" s="70" t="s">
        <v>4634</v>
      </c>
      <c r="H3425" s="93"/>
      <c r="I3425" s="85">
        <f t="shared" si="135"/>
        <v>1.1583624920952498</v>
      </c>
      <c r="J3425" s="85">
        <f>1000*0.0144</f>
        <v>14.4</v>
      </c>
      <c r="K3425" s="131" t="s">
        <v>7875</v>
      </c>
      <c r="L3425" s="60">
        <v>60</v>
      </c>
      <c r="M3425" s="33" t="s">
        <v>6390</v>
      </c>
    </row>
    <row r="3426" spans="1:14" ht="16" x14ac:dyDescent="0.2">
      <c r="A3426" s="166" t="s">
        <v>2481</v>
      </c>
      <c r="B3426" s="93" t="s">
        <v>2507</v>
      </c>
      <c r="C3426" s="70" t="s">
        <v>3636</v>
      </c>
      <c r="D3426" s="70" t="s">
        <v>7012</v>
      </c>
      <c r="E3426" s="70" t="s">
        <v>4722</v>
      </c>
      <c r="F3426" s="70" t="s">
        <v>4865</v>
      </c>
      <c r="G3426" s="70" t="s">
        <v>5688</v>
      </c>
      <c r="H3426" s="93"/>
      <c r="I3426" s="85">
        <f t="shared" si="135"/>
        <v>1.2504200023088941</v>
      </c>
      <c r="J3426" s="85">
        <v>17.8</v>
      </c>
      <c r="K3426" s="131" t="s">
        <v>3177</v>
      </c>
      <c r="L3426" s="60">
        <v>60</v>
      </c>
      <c r="M3426" s="47"/>
    </row>
    <row r="3427" spans="1:14" ht="28" x14ac:dyDescent="0.15">
      <c r="A3427" s="166" t="s">
        <v>2481</v>
      </c>
      <c r="B3427" s="93" t="s">
        <v>5852</v>
      </c>
      <c r="C3427" s="70" t="s">
        <v>3636</v>
      </c>
      <c r="D3427" s="70" t="s">
        <v>7012</v>
      </c>
      <c r="E3427" s="70" t="s">
        <v>4722</v>
      </c>
      <c r="F3427" s="70" t="s">
        <v>4865</v>
      </c>
      <c r="G3427" s="70" t="s">
        <v>4936</v>
      </c>
      <c r="H3427" s="93"/>
      <c r="I3427" s="85">
        <f t="shared" si="135"/>
        <v>1.255272505103306</v>
      </c>
      <c r="J3427" s="85">
        <v>18</v>
      </c>
      <c r="K3427" s="131" t="s">
        <v>7875</v>
      </c>
      <c r="L3427" s="60">
        <v>60</v>
      </c>
      <c r="M3427" s="33" t="s">
        <v>6390</v>
      </c>
    </row>
    <row r="3428" spans="1:14" ht="14" x14ac:dyDescent="0.15">
      <c r="A3428" s="166" t="s">
        <v>2481</v>
      </c>
      <c r="B3428" s="93" t="s">
        <v>2463</v>
      </c>
      <c r="C3428" s="70" t="s">
        <v>3636</v>
      </c>
      <c r="D3428" s="70" t="s">
        <v>7012</v>
      </c>
      <c r="E3428" s="70" t="s">
        <v>4722</v>
      </c>
      <c r="F3428" s="70" t="s">
        <v>4865</v>
      </c>
      <c r="G3428" s="70" t="s">
        <v>5238</v>
      </c>
      <c r="H3428" s="93"/>
      <c r="I3428" s="85">
        <f t="shared" si="135"/>
        <v>1.4608978427565478</v>
      </c>
      <c r="J3428" s="85">
        <f>1000*0.0289</f>
        <v>28.9</v>
      </c>
      <c r="K3428" s="131" t="s">
        <v>6630</v>
      </c>
      <c r="L3428" s="60">
        <v>60</v>
      </c>
      <c r="M3428" s="33" t="s">
        <v>6727</v>
      </c>
    </row>
    <row r="3429" spans="1:14" ht="28" x14ac:dyDescent="0.15">
      <c r="A3429" s="166" t="s">
        <v>2481</v>
      </c>
      <c r="B3429" s="93" t="s">
        <v>2330</v>
      </c>
      <c r="C3429" s="70" t="s">
        <v>3636</v>
      </c>
      <c r="D3429" s="70" t="s">
        <v>7012</v>
      </c>
      <c r="E3429" s="70" t="s">
        <v>4722</v>
      </c>
      <c r="F3429" s="70" t="s">
        <v>5596</v>
      </c>
      <c r="G3429" s="70" t="s">
        <v>5740</v>
      </c>
      <c r="H3429" s="93"/>
      <c r="I3429" s="85">
        <f t="shared" si="135"/>
        <v>1.5563025007672873</v>
      </c>
      <c r="J3429" s="85">
        <v>36</v>
      </c>
      <c r="K3429" s="131" t="s">
        <v>7875</v>
      </c>
      <c r="L3429" s="60">
        <v>140</v>
      </c>
      <c r="M3429" s="33" t="s">
        <v>6390</v>
      </c>
    </row>
    <row r="3430" spans="1:14" ht="28" x14ac:dyDescent="0.15">
      <c r="A3430" s="166" t="s">
        <v>2481</v>
      </c>
      <c r="B3430" s="93" t="s">
        <v>2330</v>
      </c>
      <c r="C3430" s="70" t="s">
        <v>3636</v>
      </c>
      <c r="D3430" s="70" t="s">
        <v>7012</v>
      </c>
      <c r="E3430" s="70" t="s">
        <v>4722</v>
      </c>
      <c r="F3430" s="70" t="s">
        <v>5343</v>
      </c>
      <c r="G3430" s="70" t="s">
        <v>3489</v>
      </c>
      <c r="H3430" s="93"/>
      <c r="I3430" s="85">
        <v>-999</v>
      </c>
      <c r="J3430" s="85">
        <v>-999</v>
      </c>
      <c r="K3430" s="131" t="s">
        <v>7875</v>
      </c>
      <c r="L3430" s="60">
        <v>132</v>
      </c>
      <c r="M3430" s="33" t="s">
        <v>6390</v>
      </c>
      <c r="N3430" s="32" t="s">
        <v>1711</v>
      </c>
    </row>
    <row r="3431" spans="1:14" ht="14" x14ac:dyDescent="0.15">
      <c r="A3431" s="166" t="s">
        <v>2481</v>
      </c>
      <c r="B3431" s="93" t="s">
        <v>4900</v>
      </c>
      <c r="C3431" s="70" t="s">
        <v>3636</v>
      </c>
      <c r="D3431" s="70" t="s">
        <v>7012</v>
      </c>
      <c r="E3431" s="70" t="s">
        <v>4722</v>
      </c>
      <c r="F3431" s="70" t="s">
        <v>6932</v>
      </c>
      <c r="G3431" s="70" t="s">
        <v>4918</v>
      </c>
      <c r="H3431" s="93"/>
      <c r="I3431" s="85">
        <v>-999</v>
      </c>
      <c r="J3431" s="85">
        <v>-999</v>
      </c>
      <c r="K3431" s="131" t="s">
        <v>3177</v>
      </c>
      <c r="L3431" s="60">
        <v>-999</v>
      </c>
      <c r="M3431" s="33"/>
    </row>
    <row r="3432" spans="1:14" ht="28" x14ac:dyDescent="0.15">
      <c r="A3432" s="166" t="s">
        <v>2481</v>
      </c>
      <c r="B3432" s="93" t="s">
        <v>4646</v>
      </c>
      <c r="C3432" s="70" t="s">
        <v>3636</v>
      </c>
      <c r="D3432" s="70" t="s">
        <v>7012</v>
      </c>
      <c r="E3432" s="70" t="s">
        <v>4722</v>
      </c>
      <c r="F3432" s="70" t="s">
        <v>6932</v>
      </c>
      <c r="G3432" s="70" t="s">
        <v>3864</v>
      </c>
      <c r="H3432" s="93"/>
      <c r="I3432" s="85">
        <v>-999</v>
      </c>
      <c r="J3432" s="85">
        <v>-999</v>
      </c>
      <c r="K3432" s="131" t="s">
        <v>7875</v>
      </c>
      <c r="L3432" s="60">
        <v>-999</v>
      </c>
      <c r="M3432" s="33" t="s">
        <v>6728</v>
      </c>
    </row>
    <row r="3433" spans="1:14" ht="17" x14ac:dyDescent="0.2">
      <c r="A3433" s="166" t="s">
        <v>2481</v>
      </c>
      <c r="B3433" s="93" t="s">
        <v>5797</v>
      </c>
      <c r="C3433" s="70" t="s">
        <v>3636</v>
      </c>
      <c r="D3433" s="70" t="s">
        <v>7012</v>
      </c>
      <c r="E3433" s="70" t="s">
        <v>4722</v>
      </c>
      <c r="F3433" s="70" t="s">
        <v>6932</v>
      </c>
      <c r="G3433" s="70" t="s">
        <v>7444</v>
      </c>
      <c r="H3433" s="93"/>
      <c r="I3433" s="85">
        <v>-999</v>
      </c>
      <c r="J3433" s="85">
        <v>-999</v>
      </c>
      <c r="K3433" s="131" t="s">
        <v>6630</v>
      </c>
      <c r="L3433" s="60">
        <v>-999</v>
      </c>
      <c r="M3433" s="47" t="s">
        <v>6390</v>
      </c>
    </row>
    <row r="3434" spans="1:14" ht="14" x14ac:dyDescent="0.15">
      <c r="A3434" s="166" t="s">
        <v>2481</v>
      </c>
      <c r="B3434" s="93" t="s">
        <v>5797</v>
      </c>
      <c r="C3434" s="70" t="s">
        <v>3636</v>
      </c>
      <c r="D3434" s="70" t="s">
        <v>7012</v>
      </c>
      <c r="E3434" s="70" t="s">
        <v>4722</v>
      </c>
      <c r="F3434" s="70" t="s">
        <v>6932</v>
      </c>
      <c r="G3434" s="70" t="s">
        <v>7796</v>
      </c>
      <c r="H3434" s="93"/>
      <c r="I3434" s="85">
        <f t="shared" ref="I3434:I3445" si="136">LOG(J3434)</f>
        <v>0.37106786227173627</v>
      </c>
      <c r="J3434" s="85">
        <f>AVERAGE(1.5, 3.2)</f>
        <v>2.35</v>
      </c>
      <c r="K3434" s="131" t="s">
        <v>3177</v>
      </c>
      <c r="L3434" s="60">
        <v>140</v>
      </c>
      <c r="M3434" s="33"/>
    </row>
    <row r="3435" spans="1:14" ht="28" x14ac:dyDescent="0.15">
      <c r="A3435" s="166" t="s">
        <v>2481</v>
      </c>
      <c r="B3435" s="93" t="s">
        <v>5797</v>
      </c>
      <c r="C3435" s="70" t="s">
        <v>3636</v>
      </c>
      <c r="D3435" s="70" t="s">
        <v>7012</v>
      </c>
      <c r="E3435" s="70" t="s">
        <v>4722</v>
      </c>
      <c r="F3435" s="70" t="s">
        <v>6932</v>
      </c>
      <c r="G3435" s="70" t="s">
        <v>5860</v>
      </c>
      <c r="H3435" s="93"/>
      <c r="I3435" s="85">
        <f t="shared" si="136"/>
        <v>0.51188336097887432</v>
      </c>
      <c r="J3435" s="85">
        <f>1000*0.00325</f>
        <v>3.25</v>
      </c>
      <c r="K3435" s="131" t="s">
        <v>7875</v>
      </c>
      <c r="L3435" s="60">
        <v>60</v>
      </c>
      <c r="M3435" s="33" t="s">
        <v>6728</v>
      </c>
    </row>
    <row r="3436" spans="1:14" ht="28" x14ac:dyDescent="0.2">
      <c r="A3436" s="166" t="s">
        <v>2481</v>
      </c>
      <c r="B3436" s="93" t="s">
        <v>7516</v>
      </c>
      <c r="C3436" s="70" t="s">
        <v>3636</v>
      </c>
      <c r="D3436" s="70" t="s">
        <v>7012</v>
      </c>
      <c r="E3436" s="70" t="s">
        <v>4722</v>
      </c>
      <c r="F3436" s="70" t="s">
        <v>6932</v>
      </c>
      <c r="G3436" s="70" t="s">
        <v>5043</v>
      </c>
      <c r="H3436" s="93"/>
      <c r="I3436" s="85">
        <f t="shared" si="136"/>
        <v>0.54406804435027567</v>
      </c>
      <c r="J3436" s="85">
        <v>3.5</v>
      </c>
      <c r="K3436" s="131" t="s">
        <v>6750</v>
      </c>
      <c r="L3436" s="60" t="s">
        <v>256</v>
      </c>
      <c r="M3436" s="47" t="s">
        <v>6390</v>
      </c>
    </row>
    <row r="3437" spans="1:14" ht="28" x14ac:dyDescent="0.2">
      <c r="A3437" s="166" t="s">
        <v>2481</v>
      </c>
      <c r="B3437" s="93" t="s">
        <v>4644</v>
      </c>
      <c r="C3437" s="70" t="s">
        <v>3636</v>
      </c>
      <c r="D3437" s="70" t="s">
        <v>7012</v>
      </c>
      <c r="E3437" s="70" t="s">
        <v>4722</v>
      </c>
      <c r="F3437" s="70" t="s">
        <v>6932</v>
      </c>
      <c r="G3437" s="70" t="s">
        <v>3875</v>
      </c>
      <c r="H3437" s="93"/>
      <c r="I3437" s="85">
        <f t="shared" si="136"/>
        <v>0.54406804435027567</v>
      </c>
      <c r="J3437" s="85">
        <v>3.5</v>
      </c>
      <c r="K3437" s="131" t="s">
        <v>6750</v>
      </c>
      <c r="L3437" s="60" t="s">
        <v>256</v>
      </c>
      <c r="M3437" s="47" t="s">
        <v>6390</v>
      </c>
    </row>
    <row r="3438" spans="1:14" ht="14" x14ac:dyDescent="0.15">
      <c r="A3438" s="166" t="s">
        <v>2481</v>
      </c>
      <c r="B3438" s="93" t="s">
        <v>5797</v>
      </c>
      <c r="C3438" s="70" t="s">
        <v>3636</v>
      </c>
      <c r="D3438" s="70" t="s">
        <v>7012</v>
      </c>
      <c r="E3438" s="70" t="s">
        <v>4722</v>
      </c>
      <c r="F3438" s="70" t="s">
        <v>6932</v>
      </c>
      <c r="G3438" s="70" t="s">
        <v>4918</v>
      </c>
      <c r="H3438" s="93"/>
      <c r="I3438" s="85">
        <f t="shared" si="136"/>
        <v>0.64345267648618742</v>
      </c>
      <c r="J3438" s="110">
        <v>4.4000000000000004</v>
      </c>
      <c r="K3438" s="131" t="s">
        <v>3177</v>
      </c>
      <c r="L3438" s="63">
        <v>227</v>
      </c>
      <c r="M3438" s="33"/>
      <c r="N3438" s="37" t="s">
        <v>7525</v>
      </c>
    </row>
    <row r="3439" spans="1:14" ht="16" x14ac:dyDescent="0.2">
      <c r="A3439" s="166" t="s">
        <v>2481</v>
      </c>
      <c r="B3439" s="93" t="s">
        <v>5797</v>
      </c>
      <c r="C3439" s="70" t="s">
        <v>3636</v>
      </c>
      <c r="D3439" s="70" t="s">
        <v>7012</v>
      </c>
      <c r="E3439" s="70" t="s">
        <v>4722</v>
      </c>
      <c r="F3439" s="70" t="s">
        <v>6932</v>
      </c>
      <c r="G3439" s="70" t="s">
        <v>7447</v>
      </c>
      <c r="H3439" s="93"/>
      <c r="I3439" s="85">
        <f t="shared" si="136"/>
        <v>0.77815125038364363</v>
      </c>
      <c r="J3439" s="85">
        <f>AVERAGE(7.4, 6.6, 5.2, 4.8)</f>
        <v>6</v>
      </c>
      <c r="K3439" s="131" t="s">
        <v>3177</v>
      </c>
      <c r="L3439" s="60">
        <v>60</v>
      </c>
      <c r="M3439" s="47"/>
    </row>
    <row r="3440" spans="1:14" ht="28" x14ac:dyDescent="0.2">
      <c r="A3440" s="166" t="s">
        <v>2481</v>
      </c>
      <c r="B3440" s="93" t="s">
        <v>5461</v>
      </c>
      <c r="C3440" s="70" t="s">
        <v>3636</v>
      </c>
      <c r="D3440" s="70" t="s">
        <v>7012</v>
      </c>
      <c r="E3440" s="70" t="s">
        <v>4722</v>
      </c>
      <c r="F3440" s="70" t="s">
        <v>6932</v>
      </c>
      <c r="G3440" s="70" t="s">
        <v>6296</v>
      </c>
      <c r="H3440" s="93"/>
      <c r="I3440" s="85">
        <f t="shared" si="136"/>
        <v>0.83186977428050168</v>
      </c>
      <c r="J3440" s="85">
        <f>1000*0.00679</f>
        <v>6.79</v>
      </c>
      <c r="K3440" s="131" t="s">
        <v>3177</v>
      </c>
      <c r="L3440" s="60">
        <v>60</v>
      </c>
      <c r="M3440" s="33"/>
      <c r="N3440" s="48"/>
    </row>
    <row r="3441" spans="1:14" ht="14" x14ac:dyDescent="0.15">
      <c r="A3441" s="166" t="s">
        <v>2481</v>
      </c>
      <c r="B3441" s="93" t="s">
        <v>7824</v>
      </c>
      <c r="C3441" s="70" t="s">
        <v>3636</v>
      </c>
      <c r="D3441" s="70" t="s">
        <v>7012</v>
      </c>
      <c r="E3441" s="70" t="s">
        <v>4722</v>
      </c>
      <c r="F3441" s="70" t="s">
        <v>6932</v>
      </c>
      <c r="G3441" s="70" t="s">
        <v>6578</v>
      </c>
      <c r="H3441" s="93"/>
      <c r="I3441" s="85">
        <f t="shared" si="136"/>
        <v>0.87506126339170009</v>
      </c>
      <c r="J3441" s="85">
        <f>AVERAGE(5,10)</f>
        <v>7.5</v>
      </c>
      <c r="K3441" s="131" t="s">
        <v>3177</v>
      </c>
      <c r="L3441" s="60" t="s">
        <v>256</v>
      </c>
      <c r="M3441" s="33"/>
    </row>
    <row r="3442" spans="1:14" ht="28" x14ac:dyDescent="0.15">
      <c r="A3442" s="166" t="s">
        <v>2481</v>
      </c>
      <c r="B3442" s="93" t="s">
        <v>4643</v>
      </c>
      <c r="C3442" s="70" t="s">
        <v>3636</v>
      </c>
      <c r="D3442" s="70" t="s">
        <v>7012</v>
      </c>
      <c r="E3442" s="70" t="s">
        <v>4722</v>
      </c>
      <c r="F3442" s="70" t="s">
        <v>6932</v>
      </c>
      <c r="G3442" s="70" t="s">
        <v>7795</v>
      </c>
      <c r="H3442" s="93"/>
      <c r="I3442" s="85">
        <f t="shared" si="136"/>
        <v>0.91381385238371671</v>
      </c>
      <c r="J3442" s="85">
        <v>8.1999999999999993</v>
      </c>
      <c r="K3442" s="131" t="s">
        <v>3177</v>
      </c>
      <c r="L3442" s="60">
        <v>180</v>
      </c>
      <c r="M3442" s="33"/>
    </row>
    <row r="3443" spans="1:14" ht="14" x14ac:dyDescent="0.15">
      <c r="A3443" s="166" t="s">
        <v>2481</v>
      </c>
      <c r="B3443" s="93" t="s">
        <v>5797</v>
      </c>
      <c r="C3443" s="70" t="s">
        <v>3636</v>
      </c>
      <c r="D3443" s="70" t="s">
        <v>7012</v>
      </c>
      <c r="E3443" s="70" t="s">
        <v>4722</v>
      </c>
      <c r="F3443" s="70" t="s">
        <v>6932</v>
      </c>
      <c r="G3443" s="70" t="s">
        <v>5308</v>
      </c>
      <c r="H3443" s="93"/>
      <c r="I3443" s="85">
        <f t="shared" si="136"/>
        <v>0.9956351945975499</v>
      </c>
      <c r="J3443" s="85">
        <v>9.9</v>
      </c>
      <c r="K3443" s="131" t="s">
        <v>3177</v>
      </c>
      <c r="L3443" s="60">
        <v>60</v>
      </c>
      <c r="M3443" s="33"/>
    </row>
    <row r="3444" spans="1:14" ht="14" x14ac:dyDescent="0.15">
      <c r="A3444" s="166" t="s">
        <v>2481</v>
      </c>
      <c r="B3444" s="93" t="s">
        <v>7824</v>
      </c>
      <c r="C3444" s="70" t="s">
        <v>3636</v>
      </c>
      <c r="D3444" s="70" t="s">
        <v>7012</v>
      </c>
      <c r="E3444" s="70" t="s">
        <v>4722</v>
      </c>
      <c r="F3444" s="70" t="s">
        <v>6932</v>
      </c>
      <c r="G3444" s="70" t="s">
        <v>5308</v>
      </c>
      <c r="H3444" s="93"/>
      <c r="I3444" s="85">
        <f t="shared" si="136"/>
        <v>0.9956351945975499</v>
      </c>
      <c r="J3444" s="85">
        <v>9.9</v>
      </c>
      <c r="K3444" s="131" t="s">
        <v>3177</v>
      </c>
      <c r="L3444" s="60">
        <v>60</v>
      </c>
      <c r="M3444" s="33"/>
    </row>
    <row r="3445" spans="1:14" ht="14" x14ac:dyDescent="0.15">
      <c r="A3445" s="166" t="s">
        <v>2481</v>
      </c>
      <c r="B3445" s="93" t="s">
        <v>1856</v>
      </c>
      <c r="C3445" s="70" t="s">
        <v>3636</v>
      </c>
      <c r="D3445" s="70" t="s">
        <v>7012</v>
      </c>
      <c r="E3445" s="70" t="s">
        <v>4722</v>
      </c>
      <c r="F3445" s="70" t="s">
        <v>7448</v>
      </c>
      <c r="G3445" s="70" t="s">
        <v>7449</v>
      </c>
      <c r="H3445" s="93"/>
      <c r="I3445" s="85">
        <f t="shared" si="136"/>
        <v>0.82801506422397686</v>
      </c>
      <c r="J3445" s="85">
        <f>AVERAGE(1000*0.00672, 1000*0.00674)</f>
        <v>6.73</v>
      </c>
      <c r="K3445" s="131" t="s">
        <v>3177</v>
      </c>
      <c r="L3445" s="60">
        <v>60</v>
      </c>
      <c r="M3445" s="33"/>
    </row>
    <row r="3446" spans="1:14" ht="28" x14ac:dyDescent="0.15">
      <c r="A3446" s="166" t="s">
        <v>2481</v>
      </c>
      <c r="B3446" s="82" t="s">
        <v>2330</v>
      </c>
      <c r="C3446" s="70" t="s">
        <v>3636</v>
      </c>
      <c r="D3446" s="70" t="s">
        <v>7012</v>
      </c>
      <c r="E3446" s="70" t="s">
        <v>4722</v>
      </c>
      <c r="F3446" s="70" t="s">
        <v>6902</v>
      </c>
      <c r="G3446" s="70" t="s">
        <v>5573</v>
      </c>
      <c r="H3446" s="93"/>
      <c r="I3446" s="85">
        <v>-999</v>
      </c>
      <c r="J3446" s="85">
        <v>-999</v>
      </c>
      <c r="K3446" s="131" t="s">
        <v>7875</v>
      </c>
      <c r="L3446" s="60">
        <v>132</v>
      </c>
      <c r="M3446" s="33" t="s">
        <v>6390</v>
      </c>
      <c r="N3446" s="32" t="s">
        <v>1514</v>
      </c>
    </row>
    <row r="3447" spans="1:14" ht="28" x14ac:dyDescent="0.15">
      <c r="A3447" s="166" t="s">
        <v>2481</v>
      </c>
      <c r="B3447" s="93" t="s">
        <v>7403</v>
      </c>
      <c r="C3447" s="70" t="s">
        <v>3636</v>
      </c>
      <c r="D3447" s="70" t="s">
        <v>7012</v>
      </c>
      <c r="E3447" s="70" t="s">
        <v>4722</v>
      </c>
      <c r="F3447" s="70" t="s">
        <v>6902</v>
      </c>
      <c r="G3447" s="70" t="s">
        <v>5447</v>
      </c>
      <c r="H3447" s="93"/>
      <c r="I3447" s="85">
        <v>-999</v>
      </c>
      <c r="J3447" s="85">
        <v>-999</v>
      </c>
      <c r="K3447" s="131" t="s">
        <v>7875</v>
      </c>
      <c r="L3447" s="60">
        <v>-999</v>
      </c>
      <c r="M3447" s="33" t="s">
        <v>6728</v>
      </c>
    </row>
    <row r="3448" spans="1:14" ht="14" x14ac:dyDescent="0.15">
      <c r="A3448" s="166" t="s">
        <v>2481</v>
      </c>
      <c r="B3448" s="93" t="s">
        <v>1351</v>
      </c>
      <c r="C3448" s="70" t="s">
        <v>3636</v>
      </c>
      <c r="D3448" s="70" t="s">
        <v>7012</v>
      </c>
      <c r="E3448" s="70" t="s">
        <v>4722</v>
      </c>
      <c r="F3448" s="70" t="s">
        <v>6902</v>
      </c>
      <c r="G3448" s="70" t="s">
        <v>7845</v>
      </c>
      <c r="H3448" s="93"/>
      <c r="I3448" s="85">
        <f t="shared" ref="I3448:I3457" si="137">LOG(J3448)</f>
        <v>0.54406804435027567</v>
      </c>
      <c r="J3448" s="85">
        <v>3.5</v>
      </c>
      <c r="K3448" s="131" t="s">
        <v>6132</v>
      </c>
      <c r="L3448" s="60">
        <v>150</v>
      </c>
      <c r="M3448" s="33"/>
    </row>
    <row r="3449" spans="1:14" ht="28" x14ac:dyDescent="0.15">
      <c r="A3449" s="166" t="s">
        <v>2481</v>
      </c>
      <c r="B3449" s="93" t="s">
        <v>6718</v>
      </c>
      <c r="C3449" s="70" t="s">
        <v>3636</v>
      </c>
      <c r="D3449" s="70" t="s">
        <v>7012</v>
      </c>
      <c r="E3449" s="70" t="s">
        <v>4722</v>
      </c>
      <c r="F3449" s="70" t="s">
        <v>6902</v>
      </c>
      <c r="G3449" s="70" t="s">
        <v>7845</v>
      </c>
      <c r="H3449" s="93"/>
      <c r="I3449" s="85">
        <f t="shared" si="137"/>
        <v>0.54406804435027567</v>
      </c>
      <c r="J3449" s="85">
        <v>3.5</v>
      </c>
      <c r="K3449" s="131" t="s">
        <v>6132</v>
      </c>
      <c r="L3449" s="60">
        <v>150</v>
      </c>
      <c r="M3449" s="37"/>
    </row>
    <row r="3450" spans="1:14" ht="28" x14ac:dyDescent="0.15">
      <c r="A3450" s="166" t="s">
        <v>2481</v>
      </c>
      <c r="B3450" s="93" t="s">
        <v>5005</v>
      </c>
      <c r="C3450" s="70" t="s">
        <v>3636</v>
      </c>
      <c r="D3450" s="70" t="s">
        <v>7012</v>
      </c>
      <c r="E3450" s="70" t="s">
        <v>4722</v>
      </c>
      <c r="F3450" s="70" t="s">
        <v>6902</v>
      </c>
      <c r="G3450" s="70" t="s">
        <v>5574</v>
      </c>
      <c r="H3450" s="93"/>
      <c r="I3450" s="85">
        <f t="shared" si="137"/>
        <v>0.90036712865647028</v>
      </c>
      <c r="J3450" s="85">
        <f>1000*0.00795</f>
        <v>7.95</v>
      </c>
      <c r="K3450" s="131" t="s">
        <v>7875</v>
      </c>
      <c r="L3450" s="60">
        <v>60</v>
      </c>
      <c r="M3450" s="53" t="s">
        <v>6809</v>
      </c>
    </row>
    <row r="3451" spans="1:14" ht="28" x14ac:dyDescent="0.15">
      <c r="A3451" s="166" t="s">
        <v>2481</v>
      </c>
      <c r="B3451" s="82" t="s">
        <v>2018</v>
      </c>
      <c r="C3451" s="70" t="s">
        <v>3636</v>
      </c>
      <c r="D3451" s="70" t="s">
        <v>7012</v>
      </c>
      <c r="E3451" s="70" t="s">
        <v>4722</v>
      </c>
      <c r="F3451" s="70" t="s">
        <v>6902</v>
      </c>
      <c r="G3451" s="70" t="s">
        <v>5748</v>
      </c>
      <c r="H3451" s="93"/>
      <c r="I3451" s="85">
        <f t="shared" si="137"/>
        <v>1.0453229787866574</v>
      </c>
      <c r="J3451" s="85">
        <f>1000*0.0111</f>
        <v>11.1</v>
      </c>
      <c r="K3451" s="131" t="s">
        <v>7875</v>
      </c>
      <c r="L3451" s="60">
        <v>60</v>
      </c>
      <c r="M3451" s="33" t="s">
        <v>6809</v>
      </c>
    </row>
    <row r="3452" spans="1:14" ht="28" x14ac:dyDescent="0.15">
      <c r="A3452" s="166" t="s">
        <v>2481</v>
      </c>
      <c r="B3452" s="93" t="s">
        <v>2330</v>
      </c>
      <c r="C3452" s="70" t="s">
        <v>3636</v>
      </c>
      <c r="D3452" s="70" t="s">
        <v>7012</v>
      </c>
      <c r="E3452" s="70" t="s">
        <v>4722</v>
      </c>
      <c r="F3452" s="70" t="s">
        <v>6902</v>
      </c>
      <c r="G3452" s="70" t="s">
        <v>3804</v>
      </c>
      <c r="H3452" s="93"/>
      <c r="I3452" s="85">
        <f t="shared" si="137"/>
        <v>1.255272505103306</v>
      </c>
      <c r="J3452" s="85">
        <f>1000*0.018</f>
        <v>18</v>
      </c>
      <c r="K3452" s="131" t="s">
        <v>7875</v>
      </c>
      <c r="L3452" s="60">
        <v>60</v>
      </c>
      <c r="M3452" s="37" t="s">
        <v>6728</v>
      </c>
    </row>
    <row r="3453" spans="1:14" ht="28" x14ac:dyDescent="0.15">
      <c r="A3453" s="166" t="s">
        <v>2481</v>
      </c>
      <c r="B3453" s="93" t="s">
        <v>2330</v>
      </c>
      <c r="C3453" s="70" t="s">
        <v>3636</v>
      </c>
      <c r="D3453" s="70" t="s">
        <v>7012</v>
      </c>
      <c r="E3453" s="70" t="s">
        <v>4722</v>
      </c>
      <c r="F3453" s="70" t="s">
        <v>6902</v>
      </c>
      <c r="G3453" s="70" t="s">
        <v>4983</v>
      </c>
      <c r="H3453" s="93"/>
      <c r="I3453" s="85">
        <f t="shared" si="137"/>
        <v>1.4742162640762553</v>
      </c>
      <c r="J3453" s="85">
        <f>1000*0.0298</f>
        <v>29.8</v>
      </c>
      <c r="K3453" s="131" t="s">
        <v>7875</v>
      </c>
      <c r="L3453" s="60" t="s">
        <v>1738</v>
      </c>
      <c r="M3453" s="33" t="s">
        <v>6390</v>
      </c>
      <c r="N3453" s="32" t="s">
        <v>1515</v>
      </c>
    </row>
    <row r="3454" spans="1:14" ht="127" x14ac:dyDescent="0.2">
      <c r="A3454" s="166" t="s">
        <v>2481</v>
      </c>
      <c r="B3454" s="93" t="s">
        <v>5941</v>
      </c>
      <c r="C3454" s="70" t="s">
        <v>3636</v>
      </c>
      <c r="D3454" s="70" t="s">
        <v>7012</v>
      </c>
      <c r="E3454" s="70" t="s">
        <v>4722</v>
      </c>
      <c r="F3454" s="70" t="s">
        <v>6902</v>
      </c>
      <c r="G3454" s="70" t="s">
        <v>4375</v>
      </c>
      <c r="H3454" s="93"/>
      <c r="I3454" s="85">
        <f t="shared" si="137"/>
        <v>1.6020599913279623</v>
      </c>
      <c r="J3454" s="85">
        <v>40</v>
      </c>
      <c r="K3454" s="131" t="s">
        <v>1614</v>
      </c>
      <c r="L3454" s="60">
        <v>150</v>
      </c>
      <c r="M3454" s="37" t="s">
        <v>5968</v>
      </c>
      <c r="N3454" s="48"/>
    </row>
    <row r="3455" spans="1:14" ht="42" x14ac:dyDescent="0.15">
      <c r="A3455" s="166" t="s">
        <v>2481</v>
      </c>
      <c r="B3455" s="93" t="s">
        <v>1423</v>
      </c>
      <c r="C3455" s="70" t="s">
        <v>3636</v>
      </c>
      <c r="D3455" s="70" t="s">
        <v>7012</v>
      </c>
      <c r="E3455" s="70" t="s">
        <v>4722</v>
      </c>
      <c r="F3455" s="70" t="s">
        <v>6902</v>
      </c>
      <c r="G3455" s="70" t="s">
        <v>4375</v>
      </c>
      <c r="H3455" s="93"/>
      <c r="I3455" s="85">
        <f t="shared" si="137"/>
        <v>1.7297046213121872</v>
      </c>
      <c r="J3455" s="85">
        <f>AVERAGE(40, 61, 60)</f>
        <v>53.666666666666664</v>
      </c>
      <c r="K3455" s="131" t="s">
        <v>2541</v>
      </c>
      <c r="L3455" s="60" t="s">
        <v>2765</v>
      </c>
      <c r="M3455" s="33"/>
    </row>
    <row r="3456" spans="1:14" ht="42" x14ac:dyDescent="0.15">
      <c r="A3456" s="166" t="s">
        <v>2481</v>
      </c>
      <c r="B3456" s="93" t="s">
        <v>2018</v>
      </c>
      <c r="C3456" s="70" t="s">
        <v>3636</v>
      </c>
      <c r="D3456" s="70" t="s">
        <v>7012</v>
      </c>
      <c r="E3456" s="70" t="s">
        <v>4722</v>
      </c>
      <c r="F3456" s="70" t="s">
        <v>6902</v>
      </c>
      <c r="G3456" s="70" t="s">
        <v>4375</v>
      </c>
      <c r="H3456" s="93"/>
      <c r="I3456" s="85">
        <f t="shared" si="137"/>
        <v>1.7423322823571483</v>
      </c>
      <c r="J3456" s="85">
        <f>AVERAGE(40, 61, 60, 60)</f>
        <v>55.25</v>
      </c>
      <c r="K3456" s="131" t="s">
        <v>2541</v>
      </c>
      <c r="L3456" s="60" t="s">
        <v>7535</v>
      </c>
      <c r="M3456" s="33"/>
    </row>
    <row r="3457" spans="1:15" ht="28" x14ac:dyDescent="0.15">
      <c r="A3457" s="166" t="s">
        <v>2481</v>
      </c>
      <c r="B3457" s="93" t="s">
        <v>5797</v>
      </c>
      <c r="C3457" s="70" t="s">
        <v>3636</v>
      </c>
      <c r="D3457" s="70" t="s">
        <v>7012</v>
      </c>
      <c r="E3457" s="70" t="s">
        <v>2088</v>
      </c>
      <c r="F3457" s="70" t="s">
        <v>5354</v>
      </c>
      <c r="G3457" s="70" t="s">
        <v>5171</v>
      </c>
      <c r="H3457" s="93"/>
      <c r="I3457" s="85">
        <f t="shared" si="137"/>
        <v>1.5498611884719427</v>
      </c>
      <c r="J3457" s="85">
        <v>35.47</v>
      </c>
      <c r="K3457" s="131" t="s">
        <v>7875</v>
      </c>
      <c r="L3457" s="60" t="s">
        <v>7735</v>
      </c>
      <c r="M3457" s="53" t="s">
        <v>6728</v>
      </c>
      <c r="N3457" s="37" t="s">
        <v>7962</v>
      </c>
      <c r="O3457" s="37">
        <f>-8.5215 + 3.4845*LOG(107)</f>
        <v>-1.4501122266558859</v>
      </c>
    </row>
    <row r="3458" spans="1:15" ht="14" x14ac:dyDescent="0.15">
      <c r="A3458" s="166" t="s">
        <v>2481</v>
      </c>
      <c r="B3458" s="93" t="s">
        <v>5797</v>
      </c>
      <c r="C3458" s="70" t="s">
        <v>3636</v>
      </c>
      <c r="D3458" s="70" t="s">
        <v>7012</v>
      </c>
      <c r="E3458" s="70" t="s">
        <v>2088</v>
      </c>
      <c r="F3458" s="70" t="s">
        <v>4929</v>
      </c>
      <c r="G3458" s="70" t="s">
        <v>6329</v>
      </c>
      <c r="H3458" s="93"/>
      <c r="I3458" s="85">
        <v>-999</v>
      </c>
      <c r="J3458" s="85">
        <v>-999</v>
      </c>
      <c r="K3458" s="131" t="s">
        <v>3177</v>
      </c>
      <c r="L3458" s="60">
        <v>-999</v>
      </c>
      <c r="M3458" s="33" t="s">
        <v>6390</v>
      </c>
    </row>
    <row r="3459" spans="1:15" ht="14" x14ac:dyDescent="0.15">
      <c r="A3459" s="166" t="s">
        <v>2481</v>
      </c>
      <c r="B3459" s="93" t="s">
        <v>4569</v>
      </c>
      <c r="C3459" s="70" t="s">
        <v>3636</v>
      </c>
      <c r="D3459" s="70" t="s">
        <v>7012</v>
      </c>
      <c r="E3459" s="70" t="s">
        <v>2088</v>
      </c>
      <c r="F3459" s="70" t="s">
        <v>4929</v>
      </c>
      <c r="G3459" s="70" t="s">
        <v>7995</v>
      </c>
      <c r="H3459" s="93"/>
      <c r="I3459" s="85">
        <v>-999</v>
      </c>
      <c r="J3459" s="85">
        <v>-999</v>
      </c>
      <c r="K3459" s="131" t="s">
        <v>3177</v>
      </c>
      <c r="L3459" s="60">
        <v>-999</v>
      </c>
      <c r="M3459" s="33"/>
    </row>
    <row r="3460" spans="1:15" ht="14" x14ac:dyDescent="0.15">
      <c r="A3460" s="166" t="s">
        <v>2481</v>
      </c>
      <c r="B3460" s="93" t="s">
        <v>5797</v>
      </c>
      <c r="C3460" s="70" t="s">
        <v>3636</v>
      </c>
      <c r="D3460" s="70" t="s">
        <v>7012</v>
      </c>
      <c r="E3460" s="70" t="s">
        <v>2088</v>
      </c>
      <c r="F3460" s="70" t="s">
        <v>4929</v>
      </c>
      <c r="G3460" s="70" t="s">
        <v>6330</v>
      </c>
      <c r="H3460" s="93"/>
      <c r="I3460" s="85">
        <v>-999</v>
      </c>
      <c r="J3460" s="85">
        <v>-999</v>
      </c>
      <c r="K3460" s="131" t="s">
        <v>3177</v>
      </c>
      <c r="L3460" s="60">
        <v>-999</v>
      </c>
      <c r="M3460" s="52" t="e">
        <f xml:space="preserve"> AVERAGE(J3461, J3462, J3463,#REF!)</f>
        <v>#REF!</v>
      </c>
    </row>
    <row r="3461" spans="1:15" ht="28" x14ac:dyDescent="0.15">
      <c r="A3461" s="166" t="s">
        <v>2481</v>
      </c>
      <c r="B3461" s="93" t="s">
        <v>5797</v>
      </c>
      <c r="C3461" s="70" t="s">
        <v>3636</v>
      </c>
      <c r="D3461" s="70" t="s">
        <v>7012</v>
      </c>
      <c r="E3461" s="70" t="s">
        <v>2088</v>
      </c>
      <c r="F3461" s="70" t="s">
        <v>4929</v>
      </c>
      <c r="G3461" s="70" t="s">
        <v>2913</v>
      </c>
      <c r="H3461" s="93"/>
      <c r="I3461" s="85">
        <f>LOG(J3461)</f>
        <v>1.9420080530223132</v>
      </c>
      <c r="J3461" s="85">
        <f>AVERAGE(48, 127)</f>
        <v>87.5</v>
      </c>
      <c r="K3461" s="131" t="s">
        <v>7660</v>
      </c>
      <c r="L3461" s="60" t="s">
        <v>6646</v>
      </c>
      <c r="M3461" s="33"/>
    </row>
    <row r="3462" spans="1:15" ht="42" x14ac:dyDescent="0.15">
      <c r="A3462" s="166" t="s">
        <v>2481</v>
      </c>
      <c r="B3462" s="93" t="s">
        <v>5797</v>
      </c>
      <c r="C3462" s="70" t="s">
        <v>3636</v>
      </c>
      <c r="D3462" s="70" t="s">
        <v>7012</v>
      </c>
      <c r="E3462" s="70" t="s">
        <v>2088</v>
      </c>
      <c r="F3462" s="70" t="s">
        <v>4929</v>
      </c>
      <c r="G3462" s="70" t="s">
        <v>6124</v>
      </c>
      <c r="H3462" s="93"/>
      <c r="I3462" s="85">
        <f>LOG(J3462)</f>
        <v>2.0472748673841794</v>
      </c>
      <c r="J3462" s="85">
        <f>AVERAGE(48, 175)</f>
        <v>111.5</v>
      </c>
      <c r="K3462" s="131" t="s">
        <v>6584</v>
      </c>
      <c r="L3462" s="60" t="s">
        <v>6646</v>
      </c>
      <c r="M3462" s="33"/>
    </row>
    <row r="3463" spans="1:15" ht="84" x14ac:dyDescent="0.15">
      <c r="A3463" s="166" t="s">
        <v>2481</v>
      </c>
      <c r="B3463" s="93" t="s">
        <v>5797</v>
      </c>
      <c r="C3463" s="70" t="s">
        <v>3636</v>
      </c>
      <c r="D3463" s="70" t="s">
        <v>7012</v>
      </c>
      <c r="E3463" s="70" t="s">
        <v>2088</v>
      </c>
      <c r="F3463" s="70" t="s">
        <v>4929</v>
      </c>
      <c r="G3463" s="70" t="s">
        <v>6123</v>
      </c>
      <c r="H3463" s="93"/>
      <c r="I3463" s="85">
        <f>LOG(J3463)</f>
        <v>2.1122697684172707</v>
      </c>
      <c r="J3463" s="85">
        <f>AVERAGE(95, 164)</f>
        <v>129.5</v>
      </c>
      <c r="K3463" s="131" t="s">
        <v>6816</v>
      </c>
      <c r="L3463" s="60" t="s">
        <v>6646</v>
      </c>
      <c r="M3463" s="33" t="s">
        <v>6390</v>
      </c>
      <c r="N3463" s="37" t="s">
        <v>6583</v>
      </c>
    </row>
    <row r="3464" spans="1:15" ht="14" x14ac:dyDescent="0.15">
      <c r="A3464" s="166" t="s">
        <v>2481</v>
      </c>
      <c r="B3464" s="93" t="s">
        <v>5797</v>
      </c>
      <c r="C3464" s="70" t="s">
        <v>3636</v>
      </c>
      <c r="D3464" s="70" t="s">
        <v>7012</v>
      </c>
      <c r="E3464" s="70" t="s">
        <v>2088</v>
      </c>
      <c r="F3464" s="70" t="s">
        <v>6126</v>
      </c>
      <c r="G3464" s="70" t="s">
        <v>5355</v>
      </c>
      <c r="H3464" s="93"/>
      <c r="I3464" s="85">
        <v>-999</v>
      </c>
      <c r="J3464" s="85">
        <v>-999</v>
      </c>
      <c r="K3464" s="131" t="s">
        <v>6816</v>
      </c>
      <c r="L3464" s="60">
        <v>-999</v>
      </c>
      <c r="M3464" s="33" t="s">
        <v>6390</v>
      </c>
    </row>
    <row r="3465" spans="1:15" ht="14" x14ac:dyDescent="0.15">
      <c r="A3465" s="166" t="s">
        <v>2481</v>
      </c>
      <c r="B3465" s="93" t="s">
        <v>7266</v>
      </c>
      <c r="C3465" s="70" t="s">
        <v>3636</v>
      </c>
      <c r="D3465" s="70" t="s">
        <v>7012</v>
      </c>
      <c r="E3465" s="70" t="s">
        <v>2088</v>
      </c>
      <c r="F3465" s="70" t="s">
        <v>5074</v>
      </c>
      <c r="G3465" s="70" t="s">
        <v>3521</v>
      </c>
      <c r="H3465" s="93"/>
      <c r="I3465" s="85">
        <v>-999</v>
      </c>
      <c r="J3465" s="85">
        <v>-999</v>
      </c>
      <c r="K3465" s="131" t="s">
        <v>3177</v>
      </c>
      <c r="L3465" s="60">
        <v>-999</v>
      </c>
      <c r="M3465" s="33"/>
    </row>
    <row r="3466" spans="1:15" ht="14" x14ac:dyDescent="0.15">
      <c r="A3466" s="166" t="s">
        <v>2481</v>
      </c>
      <c r="B3466" s="93" t="s">
        <v>5797</v>
      </c>
      <c r="C3466" s="70" t="s">
        <v>3636</v>
      </c>
      <c r="D3466" s="70" t="s">
        <v>7012</v>
      </c>
      <c r="E3466" s="70" t="s">
        <v>2088</v>
      </c>
      <c r="F3466" s="70" t="s">
        <v>8005</v>
      </c>
      <c r="G3466" s="70" t="s">
        <v>7956</v>
      </c>
      <c r="H3466" s="93"/>
      <c r="I3466" s="85">
        <f t="shared" ref="I3466:I3496" si="138">LOG(J3466)</f>
        <v>1.2081725266671217</v>
      </c>
      <c r="J3466" s="85">
        <f>AVERAGE(1000*0.0108, 21.5)</f>
        <v>16.149999999999999</v>
      </c>
      <c r="K3466" s="131" t="s">
        <v>3177</v>
      </c>
      <c r="L3466" s="60">
        <v>60</v>
      </c>
      <c r="M3466" s="33"/>
    </row>
    <row r="3467" spans="1:15" ht="14" x14ac:dyDescent="0.15">
      <c r="A3467" s="166" t="s">
        <v>2481</v>
      </c>
      <c r="B3467" s="93" t="s">
        <v>5797</v>
      </c>
      <c r="C3467" s="70" t="s">
        <v>3636</v>
      </c>
      <c r="D3467" s="70" t="s">
        <v>7012</v>
      </c>
      <c r="E3467" s="70" t="s">
        <v>2088</v>
      </c>
      <c r="F3467" s="70" t="s">
        <v>8005</v>
      </c>
      <c r="G3467" s="70" t="s">
        <v>4013</v>
      </c>
      <c r="H3467" s="93"/>
      <c r="I3467" s="85">
        <f t="shared" si="138"/>
        <v>1.6532125137753437</v>
      </c>
      <c r="J3467" s="85">
        <f>AVERAGE(30, 60)</f>
        <v>45</v>
      </c>
      <c r="K3467" s="131" t="s">
        <v>3177</v>
      </c>
      <c r="L3467" s="60">
        <v>140</v>
      </c>
      <c r="M3467" s="33"/>
    </row>
    <row r="3468" spans="1:15" ht="14" x14ac:dyDescent="0.15">
      <c r="A3468" s="166" t="s">
        <v>2481</v>
      </c>
      <c r="B3468" s="93" t="s">
        <v>2480</v>
      </c>
      <c r="C3468" s="70" t="s">
        <v>3636</v>
      </c>
      <c r="D3468" s="70" t="s">
        <v>7012</v>
      </c>
      <c r="E3468" s="70" t="s">
        <v>7157</v>
      </c>
      <c r="F3468" s="70" t="s">
        <v>5277</v>
      </c>
      <c r="G3468" s="70" t="s">
        <v>5956</v>
      </c>
      <c r="H3468" s="93"/>
      <c r="I3468" s="85">
        <f t="shared" si="138"/>
        <v>2.255272505103306</v>
      </c>
      <c r="J3468" s="85">
        <v>180</v>
      </c>
      <c r="K3468" s="131" t="s">
        <v>6485</v>
      </c>
      <c r="L3468" s="60">
        <v>68</v>
      </c>
    </row>
    <row r="3469" spans="1:15" ht="14" x14ac:dyDescent="0.15">
      <c r="A3469" s="166" t="s">
        <v>2481</v>
      </c>
      <c r="B3469" s="93" t="s">
        <v>2480</v>
      </c>
      <c r="C3469" s="70" t="s">
        <v>3636</v>
      </c>
      <c r="D3469" s="70" t="s">
        <v>7012</v>
      </c>
      <c r="E3469" s="70" t="s">
        <v>7157</v>
      </c>
      <c r="F3469" s="70" t="s">
        <v>6258</v>
      </c>
      <c r="G3469" s="70" t="s">
        <v>4199</v>
      </c>
      <c r="H3469" s="93"/>
      <c r="I3469" s="85">
        <f t="shared" si="138"/>
        <v>0.84509804001425681</v>
      </c>
      <c r="J3469" s="85">
        <v>7</v>
      </c>
      <c r="K3469" s="131" t="s">
        <v>6485</v>
      </c>
      <c r="L3469" s="60">
        <v>68</v>
      </c>
    </row>
    <row r="3470" spans="1:15" ht="14" x14ac:dyDescent="0.15">
      <c r="A3470" s="166" t="s">
        <v>2481</v>
      </c>
      <c r="B3470" s="93" t="s">
        <v>2480</v>
      </c>
      <c r="C3470" s="70" t="s">
        <v>3636</v>
      </c>
      <c r="D3470" s="70" t="s">
        <v>7012</v>
      </c>
      <c r="E3470" s="70" t="s">
        <v>7157</v>
      </c>
      <c r="F3470" s="70" t="s">
        <v>6044</v>
      </c>
      <c r="G3470" s="70" t="s">
        <v>5777</v>
      </c>
      <c r="H3470" s="93"/>
      <c r="I3470" s="85">
        <f t="shared" si="138"/>
        <v>2.0530784434834195</v>
      </c>
      <c r="J3470" s="85">
        <v>113</v>
      </c>
      <c r="K3470" s="131" t="s">
        <v>5778</v>
      </c>
      <c r="L3470" s="60">
        <v>154</v>
      </c>
      <c r="M3470" s="37"/>
    </row>
    <row r="3471" spans="1:15" ht="98" x14ac:dyDescent="0.15">
      <c r="A3471" s="166" t="s">
        <v>2481</v>
      </c>
      <c r="B3471" s="93" t="s">
        <v>2480</v>
      </c>
      <c r="C3471" s="70" t="s">
        <v>3636</v>
      </c>
      <c r="D3471" s="70" t="s">
        <v>7012</v>
      </c>
      <c r="E3471" s="70" t="s">
        <v>7157</v>
      </c>
      <c r="F3471" s="70" t="s">
        <v>6044</v>
      </c>
      <c r="G3471" s="70" t="s">
        <v>4902</v>
      </c>
      <c r="H3471" s="93"/>
      <c r="I3471" s="85">
        <f t="shared" si="138"/>
        <v>2.1392492175716069</v>
      </c>
      <c r="J3471" s="85">
        <v>137.80000000000001</v>
      </c>
      <c r="K3471" s="131" t="s">
        <v>6485</v>
      </c>
      <c r="L3471" s="60" t="s">
        <v>1168</v>
      </c>
      <c r="M3471" s="37" t="s">
        <v>5699</v>
      </c>
    </row>
    <row r="3472" spans="1:15" ht="28" x14ac:dyDescent="0.15">
      <c r="A3472" s="166" t="s">
        <v>2481</v>
      </c>
      <c r="B3472" s="93" t="s">
        <v>2480</v>
      </c>
      <c r="C3472" s="70" t="s">
        <v>3636</v>
      </c>
      <c r="D3472" s="70" t="s">
        <v>7012</v>
      </c>
      <c r="E3472" s="70" t="s">
        <v>7157</v>
      </c>
      <c r="F3472" s="70" t="s">
        <v>6045</v>
      </c>
      <c r="G3472" s="70" t="s">
        <v>6046</v>
      </c>
      <c r="H3472" s="93"/>
      <c r="I3472" s="85">
        <f t="shared" si="138"/>
        <v>1.8904210188009143</v>
      </c>
      <c r="J3472" s="85">
        <v>77.7</v>
      </c>
      <c r="K3472" s="142" t="s">
        <v>6308</v>
      </c>
      <c r="L3472" s="60">
        <v>154</v>
      </c>
      <c r="M3472" s="37" t="s">
        <v>6390</v>
      </c>
    </row>
    <row r="3473" spans="1:14" ht="14" x14ac:dyDescent="0.15">
      <c r="A3473" s="166" t="s">
        <v>2481</v>
      </c>
      <c r="B3473" s="93" t="s">
        <v>2480</v>
      </c>
      <c r="C3473" s="73" t="s">
        <v>3636</v>
      </c>
      <c r="D3473" s="73" t="s">
        <v>7012</v>
      </c>
      <c r="E3473" s="73" t="s">
        <v>7157</v>
      </c>
      <c r="F3473" s="73" t="s">
        <v>6045</v>
      </c>
      <c r="G3473" s="73" t="s">
        <v>6046</v>
      </c>
      <c r="H3473" s="108"/>
      <c r="I3473" s="85">
        <f t="shared" si="138"/>
        <v>1.9003671286564703</v>
      </c>
      <c r="J3473" s="95">
        <v>79.5</v>
      </c>
      <c r="K3473" s="131" t="s">
        <v>6485</v>
      </c>
      <c r="L3473" s="60">
        <v>68</v>
      </c>
    </row>
    <row r="3474" spans="1:14" ht="28" x14ac:dyDescent="0.15">
      <c r="A3474" s="166" t="s">
        <v>2481</v>
      </c>
      <c r="B3474" s="82" t="s">
        <v>2480</v>
      </c>
      <c r="C3474" s="70" t="s">
        <v>3636</v>
      </c>
      <c r="D3474" s="70" t="s">
        <v>7012</v>
      </c>
      <c r="E3474" s="70" t="s">
        <v>7157</v>
      </c>
      <c r="F3474" s="70" t="s">
        <v>6376</v>
      </c>
      <c r="G3474" s="70" t="s">
        <v>7164</v>
      </c>
      <c r="H3474" s="93"/>
      <c r="I3474" s="85">
        <f t="shared" si="138"/>
        <v>0.53147891704225514</v>
      </c>
      <c r="J3474" s="85">
        <v>3.4</v>
      </c>
      <c r="K3474" s="142" t="s">
        <v>7875</v>
      </c>
      <c r="L3474" s="60">
        <v>154</v>
      </c>
      <c r="M3474" s="37" t="s">
        <v>6390</v>
      </c>
    </row>
    <row r="3475" spans="1:14" ht="14" x14ac:dyDescent="0.15">
      <c r="A3475" s="166" t="s">
        <v>2481</v>
      </c>
      <c r="B3475" s="82" t="s">
        <v>2480</v>
      </c>
      <c r="C3475" s="70" t="s">
        <v>3636</v>
      </c>
      <c r="D3475" s="70" t="s">
        <v>7012</v>
      </c>
      <c r="E3475" s="70" t="s">
        <v>7157</v>
      </c>
      <c r="F3475" s="70" t="s">
        <v>6376</v>
      </c>
      <c r="G3475" s="70" t="s">
        <v>7156</v>
      </c>
      <c r="H3475" s="93"/>
      <c r="I3475" s="85">
        <f t="shared" si="138"/>
        <v>0.53147891704225514</v>
      </c>
      <c r="J3475" s="85">
        <v>3.4</v>
      </c>
      <c r="K3475" s="131" t="s">
        <v>1221</v>
      </c>
      <c r="L3475" s="60">
        <v>154</v>
      </c>
      <c r="M3475" s="37"/>
    </row>
    <row r="3476" spans="1:14" ht="14" x14ac:dyDescent="0.15">
      <c r="A3476" s="166" t="s">
        <v>2481</v>
      </c>
      <c r="B3476" s="82" t="s">
        <v>2480</v>
      </c>
      <c r="C3476" s="70" t="s">
        <v>3636</v>
      </c>
      <c r="D3476" s="70" t="s">
        <v>7012</v>
      </c>
      <c r="E3476" s="70" t="s">
        <v>7157</v>
      </c>
      <c r="F3476" s="70" t="s">
        <v>6376</v>
      </c>
      <c r="G3476" s="70" t="s">
        <v>7219</v>
      </c>
      <c r="H3476" s="93"/>
      <c r="I3476" s="85">
        <f t="shared" si="138"/>
        <v>0.86332286012045589</v>
      </c>
      <c r="J3476" s="85">
        <v>7.3</v>
      </c>
      <c r="K3476" s="131" t="s">
        <v>5938</v>
      </c>
      <c r="L3476" s="60">
        <v>154</v>
      </c>
      <c r="M3476" s="37"/>
    </row>
    <row r="3477" spans="1:14" ht="57" x14ac:dyDescent="0.2">
      <c r="A3477" s="165" t="s">
        <v>2481</v>
      </c>
      <c r="B3477" s="97" t="s">
        <v>2480</v>
      </c>
      <c r="C3477" s="62" t="s">
        <v>3636</v>
      </c>
      <c r="D3477" s="62" t="s">
        <v>7012</v>
      </c>
      <c r="E3477" s="62" t="s">
        <v>7157</v>
      </c>
      <c r="F3477" s="62" t="s">
        <v>6376</v>
      </c>
      <c r="G3477" s="70" t="s">
        <v>5836</v>
      </c>
      <c r="H3477" s="93"/>
      <c r="I3477" s="85">
        <f t="shared" si="138"/>
        <v>0.88649072517248184</v>
      </c>
      <c r="J3477" s="85">
        <v>7.7</v>
      </c>
      <c r="K3477" s="131"/>
      <c r="L3477" s="60">
        <v>154</v>
      </c>
      <c r="M3477" s="37" t="s">
        <v>5835</v>
      </c>
      <c r="N3477" s="48"/>
    </row>
    <row r="3478" spans="1:14" ht="28" x14ac:dyDescent="0.15">
      <c r="A3478" s="166" t="s">
        <v>2481</v>
      </c>
      <c r="B3478" s="82" t="s">
        <v>2480</v>
      </c>
      <c r="C3478" s="70" t="s">
        <v>3636</v>
      </c>
      <c r="D3478" s="70" t="s">
        <v>7012</v>
      </c>
      <c r="E3478" s="70" t="s">
        <v>7157</v>
      </c>
      <c r="F3478" s="70" t="s">
        <v>6376</v>
      </c>
      <c r="G3478" s="70" t="s">
        <v>5068</v>
      </c>
      <c r="H3478" s="93"/>
      <c r="I3478" s="85">
        <f t="shared" si="138"/>
        <v>1.0086001717619175</v>
      </c>
      <c r="J3478" s="85">
        <v>10.199999999999999</v>
      </c>
      <c r="K3478" s="141" t="s">
        <v>7875</v>
      </c>
      <c r="L3478" s="60">
        <v>154</v>
      </c>
      <c r="M3478" s="37" t="s">
        <v>6390</v>
      </c>
    </row>
    <row r="3479" spans="1:14" ht="14" x14ac:dyDescent="0.15">
      <c r="A3479" s="166" t="s">
        <v>2481</v>
      </c>
      <c r="B3479" s="93" t="s">
        <v>2480</v>
      </c>
      <c r="C3479" s="70" t="s">
        <v>3636</v>
      </c>
      <c r="D3479" s="70" t="s">
        <v>7012</v>
      </c>
      <c r="E3479" s="70" t="s">
        <v>7157</v>
      </c>
      <c r="F3479" s="70" t="s">
        <v>6376</v>
      </c>
      <c r="G3479" s="70" t="s">
        <v>5934</v>
      </c>
      <c r="H3479" s="93"/>
      <c r="I3479" s="85">
        <f t="shared" si="138"/>
        <v>1.0211892990699381</v>
      </c>
      <c r="J3479" s="85">
        <v>10.5</v>
      </c>
      <c r="K3479" s="131"/>
      <c r="L3479" s="60">
        <v>154</v>
      </c>
      <c r="M3479" s="37"/>
    </row>
    <row r="3480" spans="1:14" ht="14" x14ac:dyDescent="0.15">
      <c r="A3480" s="166" t="s">
        <v>2481</v>
      </c>
      <c r="B3480" s="82" t="s">
        <v>2480</v>
      </c>
      <c r="C3480" s="70" t="s">
        <v>3636</v>
      </c>
      <c r="D3480" s="70" t="s">
        <v>7012</v>
      </c>
      <c r="E3480" s="70" t="s">
        <v>7157</v>
      </c>
      <c r="F3480" s="70" t="s">
        <v>6376</v>
      </c>
      <c r="G3480" s="70" t="s">
        <v>4497</v>
      </c>
      <c r="H3480" s="93"/>
      <c r="I3480" s="85">
        <f t="shared" si="138"/>
        <v>1.0530784434834197</v>
      </c>
      <c r="J3480" s="85">
        <v>11.3</v>
      </c>
      <c r="K3480" s="131" t="s">
        <v>5914</v>
      </c>
      <c r="L3480" s="60">
        <v>154</v>
      </c>
      <c r="M3480" s="37"/>
    </row>
    <row r="3481" spans="1:14" ht="14" x14ac:dyDescent="0.15">
      <c r="A3481" s="166" t="s">
        <v>2481</v>
      </c>
      <c r="B3481" s="93" t="s">
        <v>2480</v>
      </c>
      <c r="C3481" s="70" t="s">
        <v>3636</v>
      </c>
      <c r="D3481" s="70" t="s">
        <v>7012</v>
      </c>
      <c r="E3481" s="70" t="s">
        <v>7157</v>
      </c>
      <c r="F3481" s="70" t="s">
        <v>6376</v>
      </c>
      <c r="G3481" s="70" t="s">
        <v>1222</v>
      </c>
      <c r="H3481" s="93"/>
      <c r="I3481" s="85">
        <f t="shared" si="138"/>
        <v>1.0934216851622351</v>
      </c>
      <c r="J3481" s="85">
        <v>12.4</v>
      </c>
      <c r="K3481" s="131" t="s">
        <v>1223</v>
      </c>
      <c r="L3481" s="60">
        <v>154</v>
      </c>
      <c r="M3481" s="37"/>
    </row>
    <row r="3482" spans="1:14" ht="14" x14ac:dyDescent="0.15">
      <c r="A3482" s="166" t="s">
        <v>2481</v>
      </c>
      <c r="B3482" s="82" t="s">
        <v>2480</v>
      </c>
      <c r="C3482" s="70" t="s">
        <v>3636</v>
      </c>
      <c r="D3482" s="70" t="s">
        <v>7012</v>
      </c>
      <c r="E3482" s="70" t="s">
        <v>7157</v>
      </c>
      <c r="F3482" s="70" t="s">
        <v>6376</v>
      </c>
      <c r="G3482" s="70" t="s">
        <v>5067</v>
      </c>
      <c r="H3482" s="93"/>
      <c r="I3482" s="85">
        <f t="shared" si="138"/>
        <v>1.1398790864012365</v>
      </c>
      <c r="J3482" s="85">
        <v>13.8</v>
      </c>
      <c r="K3482" s="131" t="s">
        <v>6131</v>
      </c>
      <c r="L3482" s="60">
        <v>154</v>
      </c>
      <c r="M3482" s="37"/>
    </row>
    <row r="3483" spans="1:14" ht="16" x14ac:dyDescent="0.2">
      <c r="A3483" s="166" t="s">
        <v>2481</v>
      </c>
      <c r="B3483" s="82" t="s">
        <v>2480</v>
      </c>
      <c r="C3483" s="70" t="s">
        <v>3636</v>
      </c>
      <c r="D3483" s="70" t="s">
        <v>7012</v>
      </c>
      <c r="E3483" s="70" t="s">
        <v>7157</v>
      </c>
      <c r="F3483" s="70" t="s">
        <v>6376</v>
      </c>
      <c r="G3483" s="70" t="s">
        <v>3866</v>
      </c>
      <c r="H3483" s="93"/>
      <c r="I3483" s="85">
        <f t="shared" si="138"/>
        <v>1.1430148002540952</v>
      </c>
      <c r="J3483" s="85">
        <v>13.9</v>
      </c>
      <c r="K3483" s="131"/>
      <c r="L3483" s="60">
        <v>154</v>
      </c>
      <c r="M3483" s="48"/>
    </row>
    <row r="3484" spans="1:14" ht="56" x14ac:dyDescent="0.15">
      <c r="A3484" s="165" t="s">
        <v>2481</v>
      </c>
      <c r="B3484" s="97" t="s">
        <v>2480</v>
      </c>
      <c r="C3484" s="62" t="s">
        <v>3636</v>
      </c>
      <c r="D3484" s="62" t="s">
        <v>7012</v>
      </c>
      <c r="E3484" s="62" t="s">
        <v>7157</v>
      </c>
      <c r="F3484" s="62" t="s">
        <v>6376</v>
      </c>
      <c r="G3484" s="70" t="s">
        <v>5935</v>
      </c>
      <c r="H3484" s="93"/>
      <c r="I3484" s="85">
        <f t="shared" si="138"/>
        <v>1.2600713879850747</v>
      </c>
      <c r="J3484" s="85">
        <v>18.2</v>
      </c>
      <c r="K3484" s="131" t="s">
        <v>5936</v>
      </c>
      <c r="L3484" s="60">
        <v>154</v>
      </c>
      <c r="M3484" s="37" t="s">
        <v>5961</v>
      </c>
    </row>
    <row r="3485" spans="1:14" ht="14" x14ac:dyDescent="0.15">
      <c r="A3485" s="165" t="s">
        <v>2481</v>
      </c>
      <c r="B3485" s="97" t="s">
        <v>2480</v>
      </c>
      <c r="C3485" s="62" t="s">
        <v>3636</v>
      </c>
      <c r="D3485" s="62" t="s">
        <v>7012</v>
      </c>
      <c r="E3485" s="62" t="s">
        <v>7157</v>
      </c>
      <c r="F3485" s="62" t="s">
        <v>6376</v>
      </c>
      <c r="G3485" s="70" t="s">
        <v>5101</v>
      </c>
      <c r="H3485" s="93"/>
      <c r="I3485" s="85">
        <f t="shared" si="138"/>
        <v>1.271841606536499</v>
      </c>
      <c r="J3485" s="85">
        <v>18.7</v>
      </c>
      <c r="K3485" s="131" t="s">
        <v>5960</v>
      </c>
      <c r="L3485" s="60">
        <v>154</v>
      </c>
      <c r="M3485" s="37"/>
    </row>
    <row r="3486" spans="1:14" ht="28" x14ac:dyDescent="0.15">
      <c r="A3486" s="166" t="s">
        <v>2481</v>
      </c>
      <c r="B3486" s="82" t="s">
        <v>2480</v>
      </c>
      <c r="C3486" s="70" t="s">
        <v>3636</v>
      </c>
      <c r="D3486" s="70" t="s">
        <v>7012</v>
      </c>
      <c r="E3486" s="70" t="s">
        <v>7157</v>
      </c>
      <c r="F3486" s="70" t="s">
        <v>6376</v>
      </c>
      <c r="G3486" s="70" t="s">
        <v>4669</v>
      </c>
      <c r="H3486" s="93"/>
      <c r="I3486" s="85">
        <f t="shared" si="138"/>
        <v>1.3598354823398879</v>
      </c>
      <c r="J3486" s="85">
        <v>22.9</v>
      </c>
      <c r="K3486" s="141" t="s">
        <v>7875</v>
      </c>
      <c r="L3486" s="60">
        <v>154</v>
      </c>
      <c r="M3486" s="35" t="s">
        <v>6728</v>
      </c>
    </row>
    <row r="3487" spans="1:14" ht="28" x14ac:dyDescent="0.15">
      <c r="A3487" s="166" t="s">
        <v>2481</v>
      </c>
      <c r="B3487" s="82" t="s">
        <v>2480</v>
      </c>
      <c r="C3487" s="70" t="s">
        <v>3636</v>
      </c>
      <c r="D3487" s="70" t="s">
        <v>7012</v>
      </c>
      <c r="E3487" s="70" t="s">
        <v>7157</v>
      </c>
      <c r="F3487" s="70" t="s">
        <v>6376</v>
      </c>
      <c r="G3487" s="70" t="s">
        <v>3605</v>
      </c>
      <c r="H3487" s="93"/>
      <c r="I3487" s="85">
        <f t="shared" si="138"/>
        <v>1.3673559210260189</v>
      </c>
      <c r="J3487" s="85">
        <v>23.3</v>
      </c>
      <c r="K3487" s="142" t="s">
        <v>7875</v>
      </c>
      <c r="L3487" s="60">
        <v>154</v>
      </c>
      <c r="M3487" s="37" t="s">
        <v>6728</v>
      </c>
    </row>
    <row r="3488" spans="1:14" ht="14" x14ac:dyDescent="0.15">
      <c r="A3488" s="166" t="s">
        <v>2481</v>
      </c>
      <c r="B3488" s="82" t="s">
        <v>2480</v>
      </c>
      <c r="C3488" s="70" t="s">
        <v>3636</v>
      </c>
      <c r="D3488" s="70" t="s">
        <v>7012</v>
      </c>
      <c r="E3488" s="70" t="s">
        <v>7157</v>
      </c>
      <c r="F3488" s="70" t="s">
        <v>6376</v>
      </c>
      <c r="G3488" s="70" t="s">
        <v>2323</v>
      </c>
      <c r="H3488" s="93"/>
      <c r="I3488" s="85">
        <f t="shared" si="138"/>
        <v>1.3979400086720377</v>
      </c>
      <c r="J3488" s="85">
        <v>25</v>
      </c>
      <c r="K3488" s="131"/>
      <c r="L3488" s="60">
        <v>150</v>
      </c>
      <c r="M3488" s="37"/>
    </row>
    <row r="3489" spans="1:13" ht="14" x14ac:dyDescent="0.15">
      <c r="A3489" s="166" t="s">
        <v>2481</v>
      </c>
      <c r="B3489" s="93" t="s">
        <v>2480</v>
      </c>
      <c r="C3489" s="70" t="s">
        <v>3636</v>
      </c>
      <c r="D3489" s="70" t="s">
        <v>7012</v>
      </c>
      <c r="E3489" s="70" t="s">
        <v>7157</v>
      </c>
      <c r="F3489" s="70" t="s">
        <v>6376</v>
      </c>
      <c r="G3489" s="70" t="s">
        <v>5059</v>
      </c>
      <c r="H3489" s="93"/>
      <c r="I3489" s="85">
        <f t="shared" si="138"/>
        <v>1.5797835966168101</v>
      </c>
      <c r="J3489" s="85">
        <v>38</v>
      </c>
      <c r="K3489" s="131" t="s">
        <v>6485</v>
      </c>
      <c r="L3489" s="60">
        <v>68</v>
      </c>
    </row>
    <row r="3490" spans="1:13" ht="28" x14ac:dyDescent="0.15">
      <c r="A3490" s="166" t="s">
        <v>2481</v>
      </c>
      <c r="B3490" s="82" t="s">
        <v>2480</v>
      </c>
      <c r="C3490" s="70" t="s">
        <v>3636</v>
      </c>
      <c r="D3490" s="70" t="s">
        <v>7012</v>
      </c>
      <c r="E3490" s="70" t="s">
        <v>7157</v>
      </c>
      <c r="F3490" s="70" t="s">
        <v>6376</v>
      </c>
      <c r="G3490" s="70" t="s">
        <v>4219</v>
      </c>
      <c r="H3490" s="93"/>
      <c r="I3490" s="85">
        <f t="shared" si="138"/>
        <v>1.6020599913279623</v>
      </c>
      <c r="J3490" s="85">
        <v>40</v>
      </c>
      <c r="K3490" s="142" t="s">
        <v>7875</v>
      </c>
      <c r="L3490" s="60">
        <v>150</v>
      </c>
      <c r="M3490" s="37" t="s">
        <v>6809</v>
      </c>
    </row>
    <row r="3491" spans="1:13" ht="14" x14ac:dyDescent="0.15">
      <c r="A3491" s="166" t="s">
        <v>2481</v>
      </c>
      <c r="B3491" s="93" t="s">
        <v>2480</v>
      </c>
      <c r="C3491" s="70" t="s">
        <v>3636</v>
      </c>
      <c r="D3491" s="70" t="s">
        <v>7012</v>
      </c>
      <c r="E3491" s="70" t="s">
        <v>7157</v>
      </c>
      <c r="F3491" s="70" t="s">
        <v>6376</v>
      </c>
      <c r="G3491" s="70" t="s">
        <v>5655</v>
      </c>
      <c r="H3491" s="93"/>
      <c r="I3491" s="85">
        <f t="shared" si="138"/>
        <v>1.6812412373755872</v>
      </c>
      <c r="J3491" s="85">
        <v>48</v>
      </c>
      <c r="K3491" s="131" t="s">
        <v>6485</v>
      </c>
      <c r="L3491" s="60">
        <v>68</v>
      </c>
    </row>
    <row r="3492" spans="1:13" ht="14" x14ac:dyDescent="0.15">
      <c r="A3492" s="166" t="s">
        <v>2481</v>
      </c>
      <c r="B3492" s="82" t="s">
        <v>2480</v>
      </c>
      <c r="C3492" s="70" t="s">
        <v>3636</v>
      </c>
      <c r="D3492" s="70" t="s">
        <v>7012</v>
      </c>
      <c r="E3492" s="70" t="s">
        <v>7157</v>
      </c>
      <c r="F3492" s="70" t="s">
        <v>3369</v>
      </c>
      <c r="G3492" s="70" t="s">
        <v>4013</v>
      </c>
      <c r="H3492" s="93"/>
      <c r="I3492" s="85">
        <f t="shared" si="138"/>
        <v>1.5440680443502757</v>
      </c>
      <c r="J3492" s="85">
        <v>35</v>
      </c>
      <c r="K3492" s="131" t="s">
        <v>1228</v>
      </c>
      <c r="L3492" s="60">
        <v>150</v>
      </c>
      <c r="M3492" s="37"/>
    </row>
    <row r="3493" spans="1:13" ht="14" x14ac:dyDescent="0.15">
      <c r="A3493" s="166" t="s">
        <v>2481</v>
      </c>
      <c r="B3493" s="82" t="s">
        <v>2480</v>
      </c>
      <c r="C3493" s="70" t="s">
        <v>3636</v>
      </c>
      <c r="D3493" s="70" t="s">
        <v>7012</v>
      </c>
      <c r="E3493" s="70" t="s">
        <v>7157</v>
      </c>
      <c r="F3493" s="70" t="s">
        <v>3369</v>
      </c>
      <c r="G3493" s="70" t="s">
        <v>3623</v>
      </c>
      <c r="H3493" s="93"/>
      <c r="I3493" s="85">
        <f t="shared" si="138"/>
        <v>1.5563025007672873</v>
      </c>
      <c r="J3493" s="85">
        <v>36</v>
      </c>
      <c r="K3493" s="131" t="s">
        <v>5937</v>
      </c>
      <c r="L3493" s="60">
        <v>154</v>
      </c>
      <c r="M3493" s="37"/>
    </row>
    <row r="3494" spans="1:13" ht="14" x14ac:dyDescent="0.15">
      <c r="A3494" s="166" t="s">
        <v>2481</v>
      </c>
      <c r="B3494" s="82" t="s">
        <v>2480</v>
      </c>
      <c r="C3494" s="70" t="s">
        <v>3636</v>
      </c>
      <c r="D3494" s="70" t="s">
        <v>7012</v>
      </c>
      <c r="E3494" s="70" t="s">
        <v>7157</v>
      </c>
      <c r="F3494" s="70" t="s">
        <v>3369</v>
      </c>
      <c r="G3494" s="70" t="s">
        <v>3370</v>
      </c>
      <c r="H3494" s="93"/>
      <c r="I3494" s="85">
        <f t="shared" si="138"/>
        <v>1.5622928644564746</v>
      </c>
      <c r="J3494" s="85">
        <v>36.5</v>
      </c>
      <c r="K3494" s="131" t="s">
        <v>1228</v>
      </c>
      <c r="L3494" s="60">
        <v>154</v>
      </c>
      <c r="M3494" s="37"/>
    </row>
    <row r="3495" spans="1:13" ht="14" x14ac:dyDescent="0.15">
      <c r="A3495" s="166" t="s">
        <v>2481</v>
      </c>
      <c r="B3495" s="93" t="s">
        <v>2480</v>
      </c>
      <c r="C3495" s="70" t="s">
        <v>3636</v>
      </c>
      <c r="D3495" s="70" t="s">
        <v>7012</v>
      </c>
      <c r="E3495" s="70" t="s">
        <v>7157</v>
      </c>
      <c r="F3495" s="70" t="s">
        <v>5656</v>
      </c>
      <c r="G3495" s="70" t="s">
        <v>4630</v>
      </c>
      <c r="H3495" s="93"/>
      <c r="I3495" s="85">
        <f t="shared" si="138"/>
        <v>2.4683473304121573</v>
      </c>
      <c r="J3495" s="85">
        <v>294</v>
      </c>
      <c r="K3495" s="131" t="s">
        <v>6485</v>
      </c>
      <c r="L3495" s="60">
        <v>68</v>
      </c>
    </row>
    <row r="3496" spans="1:13" ht="14" x14ac:dyDescent="0.15">
      <c r="A3496" s="166" t="s">
        <v>2481</v>
      </c>
      <c r="B3496" s="93" t="s">
        <v>2480</v>
      </c>
      <c r="C3496" s="70" t="s">
        <v>3636</v>
      </c>
      <c r="D3496" s="70" t="s">
        <v>7012</v>
      </c>
      <c r="E3496" s="70" t="s">
        <v>7157</v>
      </c>
      <c r="F3496" s="70" t="s">
        <v>5657</v>
      </c>
      <c r="G3496" s="70" t="s">
        <v>5622</v>
      </c>
      <c r="H3496" s="93"/>
      <c r="I3496" s="85">
        <f t="shared" si="138"/>
        <v>2.9385197251764921</v>
      </c>
      <c r="J3496" s="85">
        <v>868</v>
      </c>
      <c r="K3496" s="131" t="s">
        <v>6485</v>
      </c>
      <c r="L3496" s="60">
        <v>68</v>
      </c>
    </row>
    <row r="3497" spans="1:13" ht="14" x14ac:dyDescent="0.15">
      <c r="A3497" s="166" t="s">
        <v>2481</v>
      </c>
      <c r="B3497" s="93" t="s">
        <v>5797</v>
      </c>
      <c r="C3497" s="70" t="s">
        <v>3636</v>
      </c>
      <c r="D3497" s="70" t="s">
        <v>7077</v>
      </c>
      <c r="E3497" s="70" t="s">
        <v>7078</v>
      </c>
      <c r="F3497" s="70" t="s">
        <v>7072</v>
      </c>
      <c r="G3497" s="70" t="s">
        <v>2115</v>
      </c>
      <c r="H3497" s="93"/>
      <c r="I3497" s="85">
        <v>-999</v>
      </c>
      <c r="J3497" s="85">
        <v>-999</v>
      </c>
      <c r="K3497" s="131" t="s">
        <v>3177</v>
      </c>
      <c r="L3497" s="60">
        <v>-999</v>
      </c>
      <c r="M3497" s="33"/>
    </row>
    <row r="3498" spans="1:13" ht="28" x14ac:dyDescent="0.15">
      <c r="A3498" s="166" t="s">
        <v>2481</v>
      </c>
      <c r="B3498" s="93" t="s">
        <v>4572</v>
      </c>
      <c r="C3498" s="70" t="s">
        <v>3636</v>
      </c>
      <c r="D3498" s="70" t="s">
        <v>7077</v>
      </c>
      <c r="E3498" s="70" t="s">
        <v>7078</v>
      </c>
      <c r="F3498" s="70" t="s">
        <v>7072</v>
      </c>
      <c r="G3498" s="70" t="s">
        <v>7995</v>
      </c>
      <c r="H3498" s="93"/>
      <c r="I3498" s="85">
        <v>-999</v>
      </c>
      <c r="J3498" s="85">
        <v>-999</v>
      </c>
      <c r="K3498" s="131" t="s">
        <v>7875</v>
      </c>
      <c r="L3498" s="60">
        <v>-999</v>
      </c>
      <c r="M3498" s="33" t="s">
        <v>6392</v>
      </c>
    </row>
    <row r="3499" spans="1:13" ht="14" x14ac:dyDescent="0.15">
      <c r="A3499" s="170" t="s">
        <v>2481</v>
      </c>
      <c r="B3499" s="93" t="s">
        <v>1856</v>
      </c>
      <c r="C3499" s="70" t="s">
        <v>3636</v>
      </c>
      <c r="D3499" s="70" t="s">
        <v>7077</v>
      </c>
      <c r="E3499" s="70" t="s">
        <v>7078</v>
      </c>
      <c r="F3499" s="70" t="s">
        <v>7072</v>
      </c>
      <c r="G3499" s="70" t="s">
        <v>4784</v>
      </c>
      <c r="H3499" s="93"/>
      <c r="I3499" s="85">
        <f>LOG(J3499)</f>
        <v>3.1789769472931693</v>
      </c>
      <c r="J3499" s="85">
        <v>1510</v>
      </c>
      <c r="K3499" s="131" t="s">
        <v>3177</v>
      </c>
      <c r="L3499" s="60">
        <v>60</v>
      </c>
      <c r="M3499" s="33"/>
    </row>
    <row r="3500" spans="1:13" ht="14" x14ac:dyDescent="0.15">
      <c r="A3500" s="166" t="s">
        <v>2481</v>
      </c>
      <c r="B3500" s="93" t="s">
        <v>3080</v>
      </c>
      <c r="C3500" s="70" t="s">
        <v>3636</v>
      </c>
      <c r="D3500" s="70" t="s">
        <v>7077</v>
      </c>
      <c r="E3500" s="70" t="s">
        <v>7078</v>
      </c>
      <c r="F3500" s="70" t="s">
        <v>7072</v>
      </c>
      <c r="G3500" s="70" t="s">
        <v>5561</v>
      </c>
      <c r="H3500" s="93"/>
      <c r="I3500" s="85">
        <f>LOG(J3500)</f>
        <v>3.3010299956639813</v>
      </c>
      <c r="J3500" s="85">
        <v>2000</v>
      </c>
      <c r="K3500" s="131" t="s">
        <v>6817</v>
      </c>
      <c r="L3500" s="60">
        <v>208</v>
      </c>
      <c r="M3500" s="33" t="s">
        <v>6728</v>
      </c>
    </row>
    <row r="3501" spans="1:13" ht="14" x14ac:dyDescent="0.15">
      <c r="A3501" s="166" t="s">
        <v>2481</v>
      </c>
      <c r="B3501" s="82" t="s">
        <v>2330</v>
      </c>
      <c r="C3501" s="70" t="s">
        <v>3636</v>
      </c>
      <c r="D3501" s="70" t="s">
        <v>7077</v>
      </c>
      <c r="E3501" s="70" t="s">
        <v>7078</v>
      </c>
      <c r="F3501" s="70" t="s">
        <v>7072</v>
      </c>
      <c r="G3501" s="70" t="s">
        <v>7073</v>
      </c>
      <c r="H3501" s="93"/>
      <c r="I3501" s="85">
        <f>LOG(J3501)</f>
        <v>3.3974185423513479</v>
      </c>
      <c r="J3501" s="85">
        <f>AVERAGE((454*4.75), (454*5), (454*6), (454*6.25))</f>
        <v>2497</v>
      </c>
      <c r="K3501" s="131" t="s">
        <v>3177</v>
      </c>
      <c r="L3501" s="67">
        <v>132</v>
      </c>
      <c r="M3501" s="33"/>
    </row>
    <row r="3502" spans="1:13" ht="14" x14ac:dyDescent="0.15">
      <c r="A3502" s="166" t="s">
        <v>2481</v>
      </c>
      <c r="B3502" s="93" t="s">
        <v>2178</v>
      </c>
      <c r="C3502" s="70" t="s">
        <v>3636</v>
      </c>
      <c r="D3502" s="70" t="s">
        <v>7077</v>
      </c>
      <c r="E3502" s="70" t="s">
        <v>7078</v>
      </c>
      <c r="F3502" s="70" t="s">
        <v>4791</v>
      </c>
      <c r="G3502" s="70" t="s">
        <v>4792</v>
      </c>
      <c r="H3502" s="93"/>
      <c r="I3502" s="85">
        <f>LOG(J3502)</f>
        <v>3.1760912590556813</v>
      </c>
      <c r="J3502" s="85">
        <v>1500</v>
      </c>
      <c r="K3502" s="131" t="s">
        <v>6391</v>
      </c>
      <c r="L3502" s="60" t="s">
        <v>7478</v>
      </c>
      <c r="M3502" s="33" t="s">
        <v>6809</v>
      </c>
    </row>
    <row r="3503" spans="1:13" ht="14" x14ac:dyDescent="0.15">
      <c r="A3503" s="166" t="s">
        <v>2481</v>
      </c>
      <c r="B3503" s="93" t="s">
        <v>5797</v>
      </c>
      <c r="C3503" s="70" t="s">
        <v>3636</v>
      </c>
      <c r="D3503" s="70" t="s">
        <v>7077</v>
      </c>
      <c r="E3503" s="70" t="s">
        <v>7078</v>
      </c>
      <c r="F3503" s="70" t="s">
        <v>4793</v>
      </c>
      <c r="G3503" s="70" t="s">
        <v>5742</v>
      </c>
      <c r="H3503" s="93"/>
      <c r="I3503" s="85">
        <f>LOG(J3503)</f>
        <v>3.3795321258861191</v>
      </c>
      <c r="J3503" s="85">
        <f>AVERAGE(2030, 2675, 2000, 2880)</f>
        <v>2396.25</v>
      </c>
      <c r="K3503" s="131" t="s">
        <v>6391</v>
      </c>
      <c r="L3503" s="60">
        <v>275</v>
      </c>
      <c r="M3503" s="33" t="s">
        <v>6390</v>
      </c>
    </row>
    <row r="3504" spans="1:13" ht="28" x14ac:dyDescent="0.15">
      <c r="A3504" s="166" t="s">
        <v>2481</v>
      </c>
      <c r="B3504" s="93" t="s">
        <v>7386</v>
      </c>
      <c r="C3504" s="70" t="s">
        <v>3636</v>
      </c>
      <c r="D3504" s="70" t="s">
        <v>7077</v>
      </c>
      <c r="E3504" s="70" t="s">
        <v>7078</v>
      </c>
      <c r="F3504" s="70" t="s">
        <v>2002</v>
      </c>
      <c r="G3504" s="70" t="s">
        <v>4992</v>
      </c>
      <c r="H3504" s="93"/>
      <c r="I3504" s="85">
        <v>-999</v>
      </c>
      <c r="J3504" s="85">
        <v>-999</v>
      </c>
      <c r="K3504" s="131" t="s">
        <v>6457</v>
      </c>
      <c r="L3504" s="60">
        <v>-999</v>
      </c>
      <c r="M3504" s="33" t="s">
        <v>6392</v>
      </c>
    </row>
    <row r="3505" spans="1:14" ht="14" x14ac:dyDescent="0.15">
      <c r="A3505" s="166" t="s">
        <v>2481</v>
      </c>
      <c r="B3505" s="93" t="s">
        <v>5797</v>
      </c>
      <c r="C3505" s="70" t="s">
        <v>3636</v>
      </c>
      <c r="D3505" s="70" t="s">
        <v>7077</v>
      </c>
      <c r="E3505" s="70" t="s">
        <v>7274</v>
      </c>
      <c r="F3505" s="70" t="s">
        <v>4057</v>
      </c>
      <c r="G3505" s="70" t="s">
        <v>7389</v>
      </c>
      <c r="H3505" s="93"/>
      <c r="I3505" s="85">
        <f t="shared" ref="I3505:I3515" si="139">LOG(J3505)</f>
        <v>2.0791812460476247</v>
      </c>
      <c r="J3505" s="85">
        <v>120</v>
      </c>
      <c r="K3505" s="131" t="s">
        <v>3177</v>
      </c>
      <c r="L3505" s="60" t="s">
        <v>124</v>
      </c>
      <c r="M3505" s="33"/>
    </row>
    <row r="3506" spans="1:14" ht="42" x14ac:dyDescent="0.15">
      <c r="A3506" s="166" t="s">
        <v>2481</v>
      </c>
      <c r="B3506" s="93" t="s">
        <v>2078</v>
      </c>
      <c r="C3506" s="70" t="s">
        <v>3636</v>
      </c>
      <c r="D3506" s="70" t="s">
        <v>6849</v>
      </c>
      <c r="E3506" s="70" t="s">
        <v>4293</v>
      </c>
      <c r="F3506" s="70" t="s">
        <v>4294</v>
      </c>
      <c r="G3506" s="70" t="s">
        <v>6848</v>
      </c>
      <c r="H3506" s="93"/>
      <c r="I3506" s="85">
        <f t="shared" si="139"/>
        <v>3.1903316981702914</v>
      </c>
      <c r="J3506" s="85">
        <v>1550</v>
      </c>
      <c r="K3506" s="131" t="s">
        <v>6703</v>
      </c>
      <c r="L3506" s="60">
        <v>151</v>
      </c>
      <c r="M3506" s="37"/>
    </row>
    <row r="3507" spans="1:14" ht="28" x14ac:dyDescent="0.15">
      <c r="A3507" s="167" t="s">
        <v>2481</v>
      </c>
      <c r="B3507" s="93" t="s">
        <v>2078</v>
      </c>
      <c r="C3507" s="88" t="s">
        <v>3636</v>
      </c>
      <c r="D3507" s="86" t="s">
        <v>6849</v>
      </c>
      <c r="E3507" s="86" t="s">
        <v>4293</v>
      </c>
      <c r="F3507" s="86" t="s">
        <v>5624</v>
      </c>
      <c r="G3507" s="86" t="s">
        <v>6721</v>
      </c>
      <c r="H3507" s="87"/>
      <c r="I3507" s="85">
        <f t="shared" si="139"/>
        <v>3.8920946026904804</v>
      </c>
      <c r="J3507" s="89">
        <v>7800</v>
      </c>
      <c r="K3507" s="146" t="s">
        <v>6817</v>
      </c>
      <c r="L3507" s="63">
        <v>151</v>
      </c>
      <c r="M3507" s="37" t="s">
        <v>6390</v>
      </c>
      <c r="N3507" s="34" t="s">
        <v>7820</v>
      </c>
    </row>
    <row r="3508" spans="1:14" ht="84" x14ac:dyDescent="0.15">
      <c r="A3508" s="165" t="s">
        <v>2481</v>
      </c>
      <c r="B3508" s="93" t="s">
        <v>2078</v>
      </c>
      <c r="C3508" s="61" t="s">
        <v>3636</v>
      </c>
      <c r="D3508" s="61" t="s">
        <v>2439</v>
      </c>
      <c r="E3508" s="61" t="s">
        <v>2440</v>
      </c>
      <c r="F3508" s="61" t="s">
        <v>2445</v>
      </c>
      <c r="G3508" s="61" t="s">
        <v>2250</v>
      </c>
      <c r="H3508" s="115"/>
      <c r="I3508" s="85">
        <f t="shared" si="139"/>
        <v>3.2041199826559246</v>
      </c>
      <c r="J3508" s="103">
        <v>1600</v>
      </c>
      <c r="K3508" s="131" t="s">
        <v>4704</v>
      </c>
      <c r="L3508" s="67">
        <v>151</v>
      </c>
      <c r="M3508" s="35" t="s">
        <v>6761</v>
      </c>
    </row>
    <row r="3509" spans="1:14" ht="98" x14ac:dyDescent="0.15">
      <c r="A3509" s="166" t="s">
        <v>2481</v>
      </c>
      <c r="B3509" s="82" t="s">
        <v>1644</v>
      </c>
      <c r="C3509" s="70" t="s">
        <v>3636</v>
      </c>
      <c r="D3509" s="70" t="s">
        <v>2439</v>
      </c>
      <c r="E3509" s="70" t="s">
        <v>6962</v>
      </c>
      <c r="F3509" s="70" t="s">
        <v>7006</v>
      </c>
      <c r="G3509" s="70" t="s">
        <v>5626</v>
      </c>
      <c r="H3509" s="93"/>
      <c r="I3509" s="85">
        <f t="shared" si="139"/>
        <v>2.8407332346118066</v>
      </c>
      <c r="J3509" s="85">
        <f>(893+493)/2</f>
        <v>693</v>
      </c>
      <c r="K3509" s="131"/>
      <c r="L3509" s="60">
        <v>110</v>
      </c>
      <c r="M3509" s="33" t="s">
        <v>1442</v>
      </c>
    </row>
    <row r="3510" spans="1:14" ht="14" x14ac:dyDescent="0.15">
      <c r="A3510" s="166" t="s">
        <v>2481</v>
      </c>
      <c r="B3510" s="82"/>
      <c r="C3510" s="70" t="s">
        <v>3636</v>
      </c>
      <c r="D3510" s="70" t="s">
        <v>2439</v>
      </c>
      <c r="E3510" s="70" t="s">
        <v>6962</v>
      </c>
      <c r="F3510" s="70" t="s">
        <v>7006</v>
      </c>
      <c r="G3510" s="70" t="s">
        <v>5626</v>
      </c>
      <c r="H3510" s="93"/>
      <c r="I3510" s="85">
        <f t="shared" si="139"/>
        <v>2.8419848045901137</v>
      </c>
      <c r="J3510" s="85">
        <v>695</v>
      </c>
      <c r="K3510" s="131" t="s">
        <v>6485</v>
      </c>
      <c r="L3510" s="60">
        <v>-999</v>
      </c>
    </row>
    <row r="3511" spans="1:14" ht="17" x14ac:dyDescent="0.2">
      <c r="A3511" s="166" t="s">
        <v>2481</v>
      </c>
      <c r="B3511" s="93" t="s">
        <v>2487</v>
      </c>
      <c r="C3511" s="70" t="s">
        <v>3636</v>
      </c>
      <c r="D3511" s="70" t="s">
        <v>2439</v>
      </c>
      <c r="E3511" s="70" t="s">
        <v>6962</v>
      </c>
      <c r="F3511" s="70" t="s">
        <v>7006</v>
      </c>
      <c r="G3511" s="70" t="s">
        <v>4623</v>
      </c>
      <c r="H3511" s="93"/>
      <c r="I3511" s="85">
        <f t="shared" si="139"/>
        <v>2.9777236052888476</v>
      </c>
      <c r="J3511" s="85">
        <v>950</v>
      </c>
      <c r="K3511" s="131" t="s">
        <v>3177</v>
      </c>
      <c r="L3511" s="60">
        <v>110</v>
      </c>
      <c r="M3511" s="47" t="s">
        <v>1285</v>
      </c>
    </row>
    <row r="3512" spans="1:14" ht="28" x14ac:dyDescent="0.15">
      <c r="A3512" s="166" t="s">
        <v>2481</v>
      </c>
      <c r="B3512" s="108" t="s">
        <v>2078</v>
      </c>
      <c r="C3512" s="70" t="s">
        <v>3636</v>
      </c>
      <c r="D3512" s="70" t="s">
        <v>2439</v>
      </c>
      <c r="E3512" s="70" t="s">
        <v>6962</v>
      </c>
      <c r="F3512" s="70" t="s">
        <v>7006</v>
      </c>
      <c r="G3512" s="70" t="s">
        <v>5626</v>
      </c>
      <c r="H3512" s="93"/>
      <c r="I3512" s="85">
        <f t="shared" si="139"/>
        <v>2.9815921172140816</v>
      </c>
      <c r="J3512" s="85">
        <f>AVERAGE(1313, 604)</f>
        <v>958.5</v>
      </c>
      <c r="K3512" s="131" t="s">
        <v>6740</v>
      </c>
      <c r="L3512" s="60">
        <v>151</v>
      </c>
      <c r="M3512" s="37"/>
    </row>
    <row r="3513" spans="1:14" ht="28" x14ac:dyDescent="0.15">
      <c r="A3513" s="166" t="s">
        <v>2481</v>
      </c>
      <c r="B3513" s="93" t="s">
        <v>2078</v>
      </c>
      <c r="C3513" s="70" t="s">
        <v>3636</v>
      </c>
      <c r="D3513" s="70" t="s">
        <v>2439</v>
      </c>
      <c r="E3513" s="70" t="s">
        <v>6962</v>
      </c>
      <c r="F3513" s="70" t="s">
        <v>7006</v>
      </c>
      <c r="G3513" s="70" t="s">
        <v>5746</v>
      </c>
      <c r="H3513" s="93"/>
      <c r="I3513" s="85">
        <f t="shared" si="139"/>
        <v>3</v>
      </c>
      <c r="J3513" s="85">
        <v>1000</v>
      </c>
      <c r="K3513" s="131" t="s">
        <v>7016</v>
      </c>
      <c r="L3513" s="60">
        <v>151</v>
      </c>
      <c r="M3513" s="37"/>
    </row>
    <row r="3514" spans="1:14" ht="84" x14ac:dyDescent="0.15">
      <c r="A3514" s="166" t="s">
        <v>2481</v>
      </c>
      <c r="B3514" s="93" t="s">
        <v>2078</v>
      </c>
      <c r="C3514" s="70" t="s">
        <v>3636</v>
      </c>
      <c r="D3514" s="70" t="s">
        <v>2439</v>
      </c>
      <c r="E3514" s="70" t="s">
        <v>6962</v>
      </c>
      <c r="F3514" s="70" t="s">
        <v>7006</v>
      </c>
      <c r="G3514" s="70" t="s">
        <v>4265</v>
      </c>
      <c r="H3514" s="93"/>
      <c r="I3514" s="85">
        <f t="shared" si="139"/>
        <v>3.0413926851582249</v>
      </c>
      <c r="J3514" s="85">
        <v>1100</v>
      </c>
      <c r="K3514" s="131" t="s">
        <v>6767</v>
      </c>
      <c r="L3514" s="60">
        <v>151</v>
      </c>
      <c r="M3514" s="37" t="s">
        <v>6761</v>
      </c>
    </row>
    <row r="3515" spans="1:14" ht="56" x14ac:dyDescent="0.15">
      <c r="A3515" s="166" t="s">
        <v>2481</v>
      </c>
      <c r="B3515" s="93" t="s">
        <v>2078</v>
      </c>
      <c r="C3515" s="70" t="s">
        <v>3636</v>
      </c>
      <c r="D3515" s="70" t="s">
        <v>2439</v>
      </c>
      <c r="E3515" s="70" t="s">
        <v>6962</v>
      </c>
      <c r="F3515" s="70" t="s">
        <v>7006</v>
      </c>
      <c r="G3515" s="70" t="s">
        <v>4622</v>
      </c>
      <c r="H3515" s="93"/>
      <c r="I3515" s="85">
        <f t="shared" si="139"/>
        <v>3.0921941206973163</v>
      </c>
      <c r="J3515" s="85">
        <f>AVERAGE(1490, 983)</f>
        <v>1236.5</v>
      </c>
      <c r="K3515" s="131" t="s">
        <v>6817</v>
      </c>
      <c r="L3515" s="60">
        <v>151</v>
      </c>
      <c r="M3515" s="37" t="s">
        <v>6727</v>
      </c>
      <c r="N3515" s="32" t="s">
        <v>6851</v>
      </c>
    </row>
    <row r="3516" spans="1:14" ht="56" x14ac:dyDescent="0.15">
      <c r="A3516" s="166" t="s">
        <v>2481</v>
      </c>
      <c r="B3516" s="93" t="s">
        <v>2078</v>
      </c>
      <c r="C3516" s="70" t="s">
        <v>3636</v>
      </c>
      <c r="D3516" s="70" t="s">
        <v>2439</v>
      </c>
      <c r="E3516" s="70" t="s">
        <v>6962</v>
      </c>
      <c r="F3516" s="70" t="s">
        <v>4976</v>
      </c>
      <c r="G3516" s="70" t="s">
        <v>4125</v>
      </c>
      <c r="H3516" s="93"/>
      <c r="I3516" s="85">
        <v>-999</v>
      </c>
      <c r="J3516" s="85">
        <v>-999</v>
      </c>
      <c r="K3516" s="131" t="s">
        <v>7493</v>
      </c>
      <c r="L3516" s="60">
        <v>151</v>
      </c>
      <c r="M3516" s="49" t="s">
        <v>6727</v>
      </c>
      <c r="N3516" s="37" t="s">
        <v>6769</v>
      </c>
    </row>
    <row r="3517" spans="1:14" ht="28" x14ac:dyDescent="0.15">
      <c r="A3517" s="166" t="s">
        <v>2481</v>
      </c>
      <c r="B3517" s="93" t="s">
        <v>2078</v>
      </c>
      <c r="C3517" s="70" t="s">
        <v>3636</v>
      </c>
      <c r="D3517" s="70" t="s">
        <v>2439</v>
      </c>
      <c r="E3517" s="70" t="s">
        <v>6962</v>
      </c>
      <c r="F3517" s="70" t="s">
        <v>4976</v>
      </c>
      <c r="G3517" s="70" t="s">
        <v>5342</v>
      </c>
      <c r="H3517" s="93"/>
      <c r="I3517" s="85">
        <f>LOG(J3517)</f>
        <v>2.1986570869544226</v>
      </c>
      <c r="J3517" s="85">
        <f>AVERAGE(168, 148)</f>
        <v>158</v>
      </c>
      <c r="K3517" s="131" t="s">
        <v>7380</v>
      </c>
      <c r="L3517" s="60">
        <v>151</v>
      </c>
      <c r="M3517" s="37"/>
    </row>
    <row r="3518" spans="1:14" ht="28" x14ac:dyDescent="0.15">
      <c r="A3518" s="166" t="s">
        <v>2481</v>
      </c>
      <c r="B3518" s="93" t="s">
        <v>2078</v>
      </c>
      <c r="C3518" s="70" t="s">
        <v>3636</v>
      </c>
      <c r="D3518" s="70" t="s">
        <v>2439</v>
      </c>
      <c r="E3518" s="70" t="s">
        <v>6962</v>
      </c>
      <c r="F3518" s="70" t="s">
        <v>4976</v>
      </c>
      <c r="G3518" s="70" t="s">
        <v>6451</v>
      </c>
      <c r="H3518" s="93"/>
      <c r="I3518" s="85">
        <f>LOG(J3518)</f>
        <v>2.7307822756663893</v>
      </c>
      <c r="J3518" s="85">
        <f>AVERAGE(478, 598)</f>
        <v>538</v>
      </c>
      <c r="K3518" s="131" t="s">
        <v>6768</v>
      </c>
      <c r="L3518" s="60">
        <v>151</v>
      </c>
      <c r="M3518" s="37"/>
    </row>
    <row r="3519" spans="1:14" ht="28" x14ac:dyDescent="0.15">
      <c r="A3519" s="166" t="s">
        <v>2481</v>
      </c>
      <c r="B3519" s="93" t="s">
        <v>2078</v>
      </c>
      <c r="C3519" s="70" t="s">
        <v>3636</v>
      </c>
      <c r="D3519" s="70" t="s">
        <v>2439</v>
      </c>
      <c r="E3519" s="70" t="s">
        <v>6962</v>
      </c>
      <c r="F3519" s="70" t="s">
        <v>4633</v>
      </c>
      <c r="G3519" s="70" t="s">
        <v>5727</v>
      </c>
      <c r="H3519" s="93"/>
      <c r="I3519" s="85">
        <f>LOG(J3519)</f>
        <v>2.9235030669421045</v>
      </c>
      <c r="J3519" s="85">
        <f>AVERAGE(865, 812)</f>
        <v>838.5</v>
      </c>
      <c r="K3519" s="131" t="s">
        <v>7495</v>
      </c>
      <c r="L3519" s="60">
        <v>151</v>
      </c>
      <c r="M3519" s="37"/>
    </row>
    <row r="3520" spans="1:14" ht="70" x14ac:dyDescent="0.15">
      <c r="A3520" s="166" t="s">
        <v>2481</v>
      </c>
      <c r="B3520" s="93" t="s">
        <v>2078</v>
      </c>
      <c r="C3520" s="70" t="s">
        <v>3636</v>
      </c>
      <c r="D3520" s="70" t="s">
        <v>2439</v>
      </c>
      <c r="E3520" s="70" t="s">
        <v>6962</v>
      </c>
      <c r="F3520" s="70" t="s">
        <v>4633</v>
      </c>
      <c r="G3520" s="70" t="s">
        <v>5726</v>
      </c>
      <c r="H3520" s="93"/>
      <c r="I3520" s="85">
        <f>LOG(J3520)</f>
        <v>3.6812412373755872</v>
      </c>
      <c r="J3520" s="85">
        <v>4800</v>
      </c>
      <c r="K3520" s="131" t="s">
        <v>6775</v>
      </c>
      <c r="L3520" s="60">
        <v>151</v>
      </c>
      <c r="M3520" s="37" t="s">
        <v>7494</v>
      </c>
    </row>
    <row r="3521" spans="1:14" ht="14" x14ac:dyDescent="0.15">
      <c r="A3521" s="166" t="s">
        <v>2481</v>
      </c>
      <c r="B3521" s="93" t="s">
        <v>2487</v>
      </c>
      <c r="C3521" s="70" t="s">
        <v>3636</v>
      </c>
      <c r="D3521" s="70" t="s">
        <v>2439</v>
      </c>
      <c r="E3521" s="70" t="s">
        <v>6962</v>
      </c>
      <c r="F3521" s="70" t="s">
        <v>5728</v>
      </c>
      <c r="G3521" s="70" t="s">
        <v>5505</v>
      </c>
      <c r="H3521" s="93"/>
      <c r="I3521" s="85">
        <v>-999</v>
      </c>
      <c r="J3521" s="85">
        <v>-999</v>
      </c>
      <c r="K3521" s="131" t="s">
        <v>6816</v>
      </c>
      <c r="L3521" s="60">
        <v>-999</v>
      </c>
      <c r="M3521" s="33" t="s">
        <v>6727</v>
      </c>
    </row>
    <row r="3522" spans="1:14" ht="16" x14ac:dyDescent="0.2">
      <c r="A3522" s="166" t="s">
        <v>2481</v>
      </c>
      <c r="B3522" s="82" t="s">
        <v>2018</v>
      </c>
      <c r="C3522" s="70" t="s">
        <v>3636</v>
      </c>
      <c r="D3522" s="70" t="s">
        <v>7007</v>
      </c>
      <c r="E3522" s="70" t="s">
        <v>2406</v>
      </c>
      <c r="F3522" s="70" t="s">
        <v>6235</v>
      </c>
      <c r="G3522" s="70" t="s">
        <v>5945</v>
      </c>
      <c r="H3522" s="93"/>
      <c r="I3522" s="85">
        <f>LOG(J3522)</f>
        <v>6.1026624561851541</v>
      </c>
      <c r="J3522" s="85">
        <v>1266667</v>
      </c>
      <c r="K3522" s="131" t="s">
        <v>6485</v>
      </c>
      <c r="L3522" s="60" t="s">
        <v>5705</v>
      </c>
      <c r="M3522" s="47"/>
    </row>
    <row r="3523" spans="1:14" ht="17" x14ac:dyDescent="0.2">
      <c r="A3523" s="166" t="s">
        <v>2481</v>
      </c>
      <c r="B3523" s="82" t="s">
        <v>2330</v>
      </c>
      <c r="C3523" s="70" t="s">
        <v>3636</v>
      </c>
      <c r="D3523" s="70" t="s">
        <v>4638</v>
      </c>
      <c r="E3523" s="70" t="s">
        <v>4639</v>
      </c>
      <c r="F3523" s="70" t="s">
        <v>4862</v>
      </c>
      <c r="G3523" s="70" t="s">
        <v>4321</v>
      </c>
      <c r="H3523" s="93"/>
      <c r="I3523" s="85">
        <f>LOG(J3523)</f>
        <v>4.1144330493810095</v>
      </c>
      <c r="J3523" s="85">
        <f>AVERAGE((454*42), (454*24), (454*20))</f>
        <v>13014.666666666666</v>
      </c>
      <c r="K3523" s="134"/>
      <c r="L3523" s="63">
        <v>132</v>
      </c>
      <c r="M3523" s="47" t="s">
        <v>6392</v>
      </c>
    </row>
    <row r="3524" spans="1:14" ht="14" x14ac:dyDescent="0.15">
      <c r="A3524" s="166" t="s">
        <v>2481</v>
      </c>
      <c r="B3524" s="93" t="s">
        <v>2605</v>
      </c>
      <c r="C3524" s="70" t="s">
        <v>3636</v>
      </c>
      <c r="D3524" s="70" t="s">
        <v>6983</v>
      </c>
      <c r="E3524" s="70" t="s">
        <v>6984</v>
      </c>
      <c r="F3524" s="70" t="s">
        <v>1857</v>
      </c>
      <c r="G3524" s="70" t="s">
        <v>5338</v>
      </c>
      <c r="H3524" s="93"/>
      <c r="I3524" s="85">
        <f>LOG(J3524)</f>
        <v>2.7573960287930244</v>
      </c>
      <c r="J3524" s="85">
        <v>572</v>
      </c>
      <c r="K3524" s="131" t="s">
        <v>6817</v>
      </c>
      <c r="L3524" s="60">
        <v>148</v>
      </c>
      <c r="M3524" s="33" t="s">
        <v>6809</v>
      </c>
    </row>
    <row r="3525" spans="1:14" ht="14" x14ac:dyDescent="0.15">
      <c r="A3525" s="166" t="s">
        <v>2481</v>
      </c>
      <c r="B3525" s="82" t="s">
        <v>2504</v>
      </c>
      <c r="C3525" s="70" t="s">
        <v>3636</v>
      </c>
      <c r="D3525" s="70" t="s">
        <v>6983</v>
      </c>
      <c r="E3525" s="70" t="s">
        <v>4872</v>
      </c>
      <c r="F3525" s="70" t="s">
        <v>4873</v>
      </c>
      <c r="G3525" s="70" t="s">
        <v>5339</v>
      </c>
      <c r="H3525" s="93"/>
      <c r="I3525" s="85">
        <v>-999</v>
      </c>
      <c r="J3525" s="85">
        <v>-999</v>
      </c>
      <c r="K3525" s="131" t="s">
        <v>6817</v>
      </c>
      <c r="L3525" s="60">
        <v>-999</v>
      </c>
      <c r="M3525" s="33" t="s">
        <v>6390</v>
      </c>
    </row>
    <row r="3526" spans="1:14" ht="28" x14ac:dyDescent="0.15">
      <c r="A3526" s="166" t="s">
        <v>2481</v>
      </c>
      <c r="B3526" s="93" t="s">
        <v>5930</v>
      </c>
      <c r="C3526" s="70" t="s">
        <v>3636</v>
      </c>
      <c r="D3526" s="70" t="s">
        <v>6983</v>
      </c>
      <c r="E3526" s="70" t="s">
        <v>6059</v>
      </c>
      <c r="F3526" s="70" t="s">
        <v>7752</v>
      </c>
      <c r="G3526" s="70" t="s">
        <v>4989</v>
      </c>
      <c r="H3526" s="93"/>
      <c r="I3526" s="85">
        <f t="shared" ref="I3526:I3557" si="140">LOG(J3526)</f>
        <v>3.4149733479708178</v>
      </c>
      <c r="J3526" s="85">
        <v>2600</v>
      </c>
      <c r="K3526" s="131" t="s">
        <v>6391</v>
      </c>
      <c r="L3526" s="60">
        <v>148</v>
      </c>
      <c r="M3526" s="33" t="s">
        <v>6727</v>
      </c>
    </row>
    <row r="3527" spans="1:14" ht="14" x14ac:dyDescent="0.15">
      <c r="A3527" s="166" t="s">
        <v>2481</v>
      </c>
      <c r="B3527" s="93" t="s">
        <v>2330</v>
      </c>
      <c r="C3527" s="70" t="s">
        <v>3636</v>
      </c>
      <c r="D3527" s="70" t="s">
        <v>6983</v>
      </c>
      <c r="E3527" s="70" t="s">
        <v>6059</v>
      </c>
      <c r="F3527" s="70" t="s">
        <v>7752</v>
      </c>
      <c r="G3527" s="70" t="s">
        <v>5422</v>
      </c>
      <c r="H3527" s="93"/>
      <c r="I3527" s="85">
        <f t="shared" si="140"/>
        <v>3.5550944485783194</v>
      </c>
      <c r="J3527" s="85">
        <v>3590</v>
      </c>
      <c r="K3527" s="131" t="s">
        <v>6391</v>
      </c>
      <c r="L3527" s="60">
        <v>68</v>
      </c>
      <c r="M3527" s="33" t="s">
        <v>6728</v>
      </c>
    </row>
    <row r="3528" spans="1:14" ht="14" x14ac:dyDescent="0.15">
      <c r="A3528" s="166" t="s">
        <v>2481</v>
      </c>
      <c r="B3528" s="82" t="s">
        <v>2018</v>
      </c>
      <c r="C3528" s="70" t="s">
        <v>3636</v>
      </c>
      <c r="D3528" s="70" t="s">
        <v>6983</v>
      </c>
      <c r="E3528" s="70" t="s">
        <v>6059</v>
      </c>
      <c r="F3528" s="70" t="s">
        <v>7752</v>
      </c>
      <c r="G3528" s="70" t="s">
        <v>5426</v>
      </c>
      <c r="H3528" s="93"/>
      <c r="I3528" s="85">
        <f t="shared" si="140"/>
        <v>3.6766936096248664</v>
      </c>
      <c r="J3528" s="85">
        <f>AVERAGE(6000, 3500)</f>
        <v>4750</v>
      </c>
      <c r="K3528" s="131" t="s">
        <v>6817</v>
      </c>
      <c r="L3528" s="60">
        <v>118</v>
      </c>
      <c r="M3528" s="33" t="s">
        <v>6392</v>
      </c>
    </row>
    <row r="3529" spans="1:14" ht="14" x14ac:dyDescent="0.15">
      <c r="A3529" s="166" t="s">
        <v>2481</v>
      </c>
      <c r="B3529" s="93" t="s">
        <v>2021</v>
      </c>
      <c r="C3529" s="70" t="s">
        <v>3636</v>
      </c>
      <c r="D3529" s="70" t="s">
        <v>6983</v>
      </c>
      <c r="E3529" s="70" t="s">
        <v>6059</v>
      </c>
      <c r="F3529" s="70" t="s">
        <v>7752</v>
      </c>
      <c r="G3529" s="70" t="s">
        <v>5714</v>
      </c>
      <c r="H3529" s="93"/>
      <c r="I3529" s="85">
        <f t="shared" si="140"/>
        <v>3.7781512503836434</v>
      </c>
      <c r="J3529" s="85">
        <v>6000</v>
      </c>
      <c r="K3529" s="131" t="s">
        <v>6817</v>
      </c>
      <c r="L3529" s="60">
        <v>139</v>
      </c>
      <c r="M3529" s="33" t="s">
        <v>6728</v>
      </c>
    </row>
    <row r="3530" spans="1:14" ht="14" x14ac:dyDescent="0.15">
      <c r="A3530" s="166" t="s">
        <v>2481</v>
      </c>
      <c r="B3530" s="93" t="s">
        <v>2428</v>
      </c>
      <c r="C3530" s="70" t="s">
        <v>3636</v>
      </c>
      <c r="D3530" s="70" t="s">
        <v>6983</v>
      </c>
      <c r="E3530" s="70" t="s">
        <v>6059</v>
      </c>
      <c r="F3530" s="70" t="s">
        <v>7752</v>
      </c>
      <c r="G3530" s="70" t="s">
        <v>5429</v>
      </c>
      <c r="H3530" s="93"/>
      <c r="I3530" s="85">
        <f t="shared" si="140"/>
        <v>3.8061799739838871</v>
      </c>
      <c r="J3530" s="85">
        <v>6400</v>
      </c>
      <c r="K3530" s="131" t="s">
        <v>6391</v>
      </c>
      <c r="L3530" s="60">
        <v>68</v>
      </c>
      <c r="M3530" s="33" t="s">
        <v>6390</v>
      </c>
    </row>
    <row r="3531" spans="1:14" ht="17" x14ac:dyDescent="0.2">
      <c r="A3531" s="166" t="s">
        <v>2481</v>
      </c>
      <c r="B3531" s="82" t="s">
        <v>2018</v>
      </c>
      <c r="C3531" s="70" t="s">
        <v>3636</v>
      </c>
      <c r="D3531" s="70" t="s">
        <v>6983</v>
      </c>
      <c r="E3531" s="70" t="s">
        <v>6059</v>
      </c>
      <c r="F3531" s="70" t="s">
        <v>7752</v>
      </c>
      <c r="G3531" s="70" t="s">
        <v>5428</v>
      </c>
      <c r="H3531" s="93"/>
      <c r="I3531" s="85">
        <f t="shared" si="140"/>
        <v>3.8129133566428557</v>
      </c>
      <c r="J3531" s="85">
        <f>AVERAGE(8000, 5000)</f>
        <v>6500</v>
      </c>
      <c r="K3531" s="131" t="s">
        <v>6817</v>
      </c>
      <c r="L3531" s="60">
        <v>118</v>
      </c>
      <c r="M3531" s="47" t="s">
        <v>6728</v>
      </c>
    </row>
    <row r="3532" spans="1:14" ht="28" x14ac:dyDescent="0.15">
      <c r="A3532" s="166" t="s">
        <v>2481</v>
      </c>
      <c r="B3532" s="93" t="s">
        <v>5613</v>
      </c>
      <c r="C3532" s="70" t="s">
        <v>3636</v>
      </c>
      <c r="D3532" s="70" t="s">
        <v>6983</v>
      </c>
      <c r="E3532" s="70" t="s">
        <v>6059</v>
      </c>
      <c r="F3532" s="70" t="s">
        <v>7752</v>
      </c>
      <c r="G3532" s="70" t="s">
        <v>4988</v>
      </c>
      <c r="H3532" s="93"/>
      <c r="I3532" s="85">
        <f t="shared" si="140"/>
        <v>3.8633228601204559</v>
      </c>
      <c r="J3532" s="85">
        <f>AVERAGE(5100, 9500)</f>
        <v>7300</v>
      </c>
      <c r="K3532" s="131" t="s">
        <v>6391</v>
      </c>
      <c r="L3532" s="60">
        <v>74</v>
      </c>
      <c r="M3532" s="33" t="s">
        <v>6390</v>
      </c>
      <c r="N3532" s="32" t="s">
        <v>1344</v>
      </c>
    </row>
    <row r="3533" spans="1:14" ht="17" x14ac:dyDescent="0.2">
      <c r="A3533" s="166" t="s">
        <v>2481</v>
      </c>
      <c r="B3533" s="93" t="s">
        <v>2487</v>
      </c>
      <c r="C3533" s="70" t="s">
        <v>3636</v>
      </c>
      <c r="D3533" s="70" t="s">
        <v>6983</v>
      </c>
      <c r="E3533" s="70" t="s">
        <v>6059</v>
      </c>
      <c r="F3533" s="70" t="s">
        <v>7752</v>
      </c>
      <c r="G3533" s="70" t="s">
        <v>5201</v>
      </c>
      <c r="H3533" s="93"/>
      <c r="I3533" s="85">
        <f t="shared" si="140"/>
        <v>3.9542425094393248</v>
      </c>
      <c r="J3533" s="85">
        <v>9000</v>
      </c>
      <c r="K3533" s="131" t="s">
        <v>6391</v>
      </c>
      <c r="L3533" s="60">
        <v>148</v>
      </c>
      <c r="M3533" s="47" t="s">
        <v>6392</v>
      </c>
    </row>
    <row r="3534" spans="1:14" ht="56" x14ac:dyDescent="0.15">
      <c r="A3534" s="166" t="s">
        <v>2481</v>
      </c>
      <c r="B3534" s="93" t="s">
        <v>5797</v>
      </c>
      <c r="C3534" s="70" t="s">
        <v>3636</v>
      </c>
      <c r="D3534" s="70" t="s">
        <v>6983</v>
      </c>
      <c r="E3534" s="70" t="s">
        <v>6059</v>
      </c>
      <c r="F3534" s="70" t="s">
        <v>7752</v>
      </c>
      <c r="G3534" s="70" t="s">
        <v>5715</v>
      </c>
      <c r="H3534" s="93"/>
      <c r="I3534" s="85">
        <f t="shared" si="140"/>
        <v>4.0170333392987807</v>
      </c>
      <c r="J3534" s="85">
        <f>AVERAGE(9100, 11700)</f>
        <v>10400</v>
      </c>
      <c r="K3534" s="131" t="s">
        <v>6817</v>
      </c>
      <c r="L3534" s="60">
        <v>74</v>
      </c>
      <c r="M3534" s="33" t="s">
        <v>6727</v>
      </c>
      <c r="N3534" s="32" t="s">
        <v>1417</v>
      </c>
    </row>
    <row r="3535" spans="1:14" ht="28" x14ac:dyDescent="0.15">
      <c r="A3535" s="166" t="s">
        <v>2481</v>
      </c>
      <c r="B3535" s="93" t="s">
        <v>2650</v>
      </c>
      <c r="C3535" s="70" t="s">
        <v>3636</v>
      </c>
      <c r="D3535" s="70" t="s">
        <v>6983</v>
      </c>
      <c r="E3535" s="70" t="s">
        <v>6059</v>
      </c>
      <c r="F3535" s="70" t="s">
        <v>5169</v>
      </c>
      <c r="G3535" s="70" t="s">
        <v>3388</v>
      </c>
      <c r="H3535" s="93"/>
      <c r="I3535" s="85">
        <f t="shared" si="140"/>
        <v>3.8512583487190755</v>
      </c>
      <c r="J3535" s="85">
        <v>7100</v>
      </c>
      <c r="K3535" s="131" t="s">
        <v>6853</v>
      </c>
      <c r="L3535" s="60">
        <v>139</v>
      </c>
      <c r="M3535" s="33" t="s">
        <v>6390</v>
      </c>
    </row>
    <row r="3536" spans="1:14" ht="14" x14ac:dyDescent="0.15">
      <c r="A3536" s="166" t="s">
        <v>2481</v>
      </c>
      <c r="B3536" s="93" t="s">
        <v>2018</v>
      </c>
      <c r="C3536" s="70" t="s">
        <v>3636</v>
      </c>
      <c r="D3536" s="70" t="s">
        <v>6983</v>
      </c>
      <c r="E3536" s="70" t="s">
        <v>6059</v>
      </c>
      <c r="F3536" s="70" t="s">
        <v>5169</v>
      </c>
      <c r="G3536" s="70" t="s">
        <v>5630</v>
      </c>
      <c r="H3536" s="93"/>
      <c r="I3536" s="85">
        <f t="shared" si="140"/>
        <v>3.9542425094393248</v>
      </c>
      <c r="J3536" s="85">
        <v>9000</v>
      </c>
      <c r="K3536" s="131" t="s">
        <v>6817</v>
      </c>
      <c r="L3536" s="60">
        <v>68</v>
      </c>
      <c r="M3536" s="49" t="s">
        <v>6390</v>
      </c>
    </row>
    <row r="3537" spans="1:14" ht="14" x14ac:dyDescent="0.15">
      <c r="A3537" s="166" t="s">
        <v>2481</v>
      </c>
      <c r="B3537" s="93" t="s">
        <v>2018</v>
      </c>
      <c r="C3537" s="70" t="s">
        <v>3636</v>
      </c>
      <c r="D3537" s="70" t="s">
        <v>6983</v>
      </c>
      <c r="E3537" s="70" t="s">
        <v>6059</v>
      </c>
      <c r="F3537" s="70" t="s">
        <v>5212</v>
      </c>
      <c r="G3537" s="70" t="s">
        <v>5206</v>
      </c>
      <c r="H3537" s="93"/>
      <c r="I3537" s="85">
        <f t="shared" si="140"/>
        <v>3.781755374652469</v>
      </c>
      <c r="J3537" s="85">
        <f>AVERAGE(5600, 6500)</f>
        <v>6050</v>
      </c>
      <c r="K3537" s="131" t="s">
        <v>6391</v>
      </c>
      <c r="L3537" s="60">
        <v>139</v>
      </c>
      <c r="M3537" s="33" t="s">
        <v>6727</v>
      </c>
    </row>
    <row r="3538" spans="1:14" ht="14" x14ac:dyDescent="0.15">
      <c r="A3538" s="166" t="s">
        <v>2481</v>
      </c>
      <c r="B3538" s="93" t="s">
        <v>2426</v>
      </c>
      <c r="C3538" s="70" t="s">
        <v>3636</v>
      </c>
      <c r="D3538" s="70" t="s">
        <v>6983</v>
      </c>
      <c r="E3538" s="70" t="s">
        <v>6059</v>
      </c>
      <c r="F3538" s="70" t="s">
        <v>5212</v>
      </c>
      <c r="G3538" s="70" t="s">
        <v>5213</v>
      </c>
      <c r="H3538" s="93"/>
      <c r="I3538" s="85">
        <f t="shared" si="140"/>
        <v>3.7958800173440754</v>
      </c>
      <c r="J3538" s="85">
        <v>6250</v>
      </c>
      <c r="K3538" s="131" t="s">
        <v>6391</v>
      </c>
      <c r="L3538" s="60">
        <v>74</v>
      </c>
      <c r="M3538" s="49" t="s">
        <v>6390</v>
      </c>
    </row>
    <row r="3539" spans="1:14" ht="28" x14ac:dyDescent="0.15">
      <c r="A3539" s="166" t="s">
        <v>2481</v>
      </c>
      <c r="B3539" s="93" t="s">
        <v>2427</v>
      </c>
      <c r="C3539" s="70" t="s">
        <v>3636</v>
      </c>
      <c r="D3539" s="70" t="s">
        <v>6983</v>
      </c>
      <c r="E3539" s="70" t="s">
        <v>6059</v>
      </c>
      <c r="F3539" s="70" t="s">
        <v>5212</v>
      </c>
      <c r="G3539" s="70" t="s">
        <v>5214</v>
      </c>
      <c r="H3539" s="93"/>
      <c r="I3539" s="85">
        <f t="shared" si="140"/>
        <v>3.7993405494535817</v>
      </c>
      <c r="J3539" s="85">
        <v>6300</v>
      </c>
      <c r="K3539" s="131" t="s">
        <v>6391</v>
      </c>
      <c r="L3539" s="60">
        <v>-999</v>
      </c>
      <c r="M3539" s="33" t="s">
        <v>6392</v>
      </c>
      <c r="N3539" s="32" t="s">
        <v>6485</v>
      </c>
    </row>
    <row r="3540" spans="1:14" ht="14" x14ac:dyDescent="0.15">
      <c r="A3540" s="166" t="s">
        <v>2481</v>
      </c>
      <c r="B3540" s="93" t="s">
        <v>2018</v>
      </c>
      <c r="C3540" s="70" t="s">
        <v>3636</v>
      </c>
      <c r="D3540" s="70" t="s">
        <v>6983</v>
      </c>
      <c r="E3540" s="70" t="s">
        <v>6059</v>
      </c>
      <c r="F3540" s="70" t="s">
        <v>5212</v>
      </c>
      <c r="G3540" s="70" t="s">
        <v>5199</v>
      </c>
      <c r="H3540" s="93"/>
      <c r="I3540" s="85">
        <f t="shared" si="140"/>
        <v>3.7993405494535817</v>
      </c>
      <c r="J3540" s="85">
        <v>6300</v>
      </c>
      <c r="K3540" s="131" t="s">
        <v>6485</v>
      </c>
      <c r="L3540" s="60">
        <v>74</v>
      </c>
    </row>
    <row r="3541" spans="1:14" ht="28" x14ac:dyDescent="0.15">
      <c r="A3541" s="166" t="s">
        <v>2481</v>
      </c>
      <c r="B3541" s="93" t="s">
        <v>2487</v>
      </c>
      <c r="C3541" s="70" t="s">
        <v>3636</v>
      </c>
      <c r="D3541" s="70" t="s">
        <v>6983</v>
      </c>
      <c r="E3541" s="70" t="s">
        <v>6059</v>
      </c>
      <c r="F3541" s="70" t="s">
        <v>5212</v>
      </c>
      <c r="G3541" s="70" t="s">
        <v>5207</v>
      </c>
      <c r="H3541" s="93"/>
      <c r="I3541" s="85">
        <f t="shared" si="140"/>
        <v>3.8095597146352675</v>
      </c>
      <c r="J3541" s="85">
        <f>AVERAGE(6400, 6500)</f>
        <v>6450</v>
      </c>
      <c r="K3541" s="131" t="s">
        <v>6391</v>
      </c>
      <c r="L3541" s="60">
        <v>74</v>
      </c>
      <c r="M3541" s="33" t="s">
        <v>6728</v>
      </c>
      <c r="N3541" s="32" t="s">
        <v>5703</v>
      </c>
    </row>
    <row r="3542" spans="1:14" ht="14" x14ac:dyDescent="0.15">
      <c r="A3542" s="166" t="s">
        <v>2481</v>
      </c>
      <c r="B3542" s="93" t="s">
        <v>2018</v>
      </c>
      <c r="C3542" s="70" t="s">
        <v>3636</v>
      </c>
      <c r="D3542" s="70" t="s">
        <v>6983</v>
      </c>
      <c r="E3542" s="70" t="s">
        <v>6059</v>
      </c>
      <c r="F3542" s="70" t="s">
        <v>5212</v>
      </c>
      <c r="G3542" s="70" t="s">
        <v>5447</v>
      </c>
      <c r="H3542" s="93"/>
      <c r="I3542" s="85">
        <f t="shared" si="140"/>
        <v>3.8129133566428557</v>
      </c>
      <c r="J3542" s="85">
        <v>6500</v>
      </c>
      <c r="K3542" s="131" t="s">
        <v>6391</v>
      </c>
      <c r="L3542" s="60">
        <v>118</v>
      </c>
      <c r="M3542" s="33" t="s">
        <v>6727</v>
      </c>
    </row>
    <row r="3543" spans="1:14" ht="14" x14ac:dyDescent="0.15">
      <c r="A3543" s="166" t="s">
        <v>2481</v>
      </c>
      <c r="B3543" s="93" t="s">
        <v>2178</v>
      </c>
      <c r="C3543" s="70" t="s">
        <v>3636</v>
      </c>
      <c r="D3543" s="70" t="s">
        <v>6983</v>
      </c>
      <c r="E3543" s="70" t="s">
        <v>6059</v>
      </c>
      <c r="F3543" s="70" t="s">
        <v>5212</v>
      </c>
      <c r="G3543" s="70" t="s">
        <v>4669</v>
      </c>
      <c r="H3543" s="93"/>
      <c r="I3543" s="85">
        <f t="shared" si="140"/>
        <v>3.8254261177678233</v>
      </c>
      <c r="J3543" s="85">
        <v>6690</v>
      </c>
      <c r="K3543" s="131" t="s">
        <v>6391</v>
      </c>
      <c r="L3543" s="60">
        <v>148</v>
      </c>
      <c r="M3543" s="49" t="s">
        <v>6392</v>
      </c>
    </row>
    <row r="3544" spans="1:14" ht="14" x14ac:dyDescent="0.15">
      <c r="A3544" s="166" t="s">
        <v>2481</v>
      </c>
      <c r="B3544" s="93" t="s">
        <v>2487</v>
      </c>
      <c r="C3544" s="70" t="s">
        <v>3636</v>
      </c>
      <c r="D3544" s="70" t="s">
        <v>6983</v>
      </c>
      <c r="E3544" s="70" t="s">
        <v>6059</v>
      </c>
      <c r="F3544" s="70" t="s">
        <v>5212</v>
      </c>
      <c r="G3544" s="70" t="s">
        <v>5202</v>
      </c>
      <c r="H3544" s="93"/>
      <c r="I3544" s="85">
        <f t="shared" si="140"/>
        <v>3.8450980400142569</v>
      </c>
      <c r="J3544" s="85">
        <f>AVERAGE(5900, 8100)</f>
        <v>7000</v>
      </c>
      <c r="K3544" s="131" t="s">
        <v>6391</v>
      </c>
      <c r="L3544" s="60">
        <v>141</v>
      </c>
      <c r="M3544" s="33" t="s">
        <v>6392</v>
      </c>
    </row>
    <row r="3545" spans="1:14" ht="14" x14ac:dyDescent="0.15">
      <c r="A3545" s="166" t="s">
        <v>2481</v>
      </c>
      <c r="B3545" s="93" t="s">
        <v>7471</v>
      </c>
      <c r="C3545" s="70" t="s">
        <v>3636</v>
      </c>
      <c r="D3545" s="70" t="s">
        <v>6983</v>
      </c>
      <c r="E3545" s="70" t="s">
        <v>6059</v>
      </c>
      <c r="F3545" s="70" t="s">
        <v>4538</v>
      </c>
      <c r="G3545" s="70" t="s">
        <v>7440</v>
      </c>
      <c r="H3545" s="93"/>
      <c r="I3545" s="85">
        <f t="shared" si="140"/>
        <v>3.9196010237841108</v>
      </c>
      <c r="J3545" s="85">
        <f>AVERAGE(8180, 8440)</f>
        <v>8310</v>
      </c>
      <c r="K3545" s="131" t="s">
        <v>3177</v>
      </c>
      <c r="L3545" s="60">
        <v>148</v>
      </c>
      <c r="M3545" s="33"/>
    </row>
    <row r="3546" spans="1:14" ht="14" x14ac:dyDescent="0.15">
      <c r="A3546" s="166" t="s">
        <v>2481</v>
      </c>
      <c r="B3546" s="82" t="s">
        <v>2330</v>
      </c>
      <c r="C3546" s="70" t="s">
        <v>3636</v>
      </c>
      <c r="D3546" s="70" t="s">
        <v>6983</v>
      </c>
      <c r="E3546" s="73" t="s">
        <v>6059</v>
      </c>
      <c r="F3546" s="70" t="s">
        <v>4919</v>
      </c>
      <c r="G3546" s="70" t="s">
        <v>4541</v>
      </c>
      <c r="H3546" s="93"/>
      <c r="I3546" s="85">
        <f t="shared" si="140"/>
        <v>3.958085848521085</v>
      </c>
      <c r="J3546" s="85">
        <f>AVERAGE((18*454), (22*454))</f>
        <v>9080</v>
      </c>
      <c r="K3546" s="134"/>
      <c r="L3546" s="63">
        <v>133</v>
      </c>
      <c r="M3546" s="33"/>
    </row>
    <row r="3547" spans="1:14" ht="14" x14ac:dyDescent="0.15">
      <c r="A3547" s="166" t="s">
        <v>2481</v>
      </c>
      <c r="B3547" s="82" t="s">
        <v>2330</v>
      </c>
      <c r="C3547" s="70" t="s">
        <v>3636</v>
      </c>
      <c r="D3547" s="70" t="s">
        <v>6983</v>
      </c>
      <c r="E3547" s="73" t="s">
        <v>6059</v>
      </c>
      <c r="F3547" s="70" t="s">
        <v>4919</v>
      </c>
      <c r="G3547" s="70" t="s">
        <v>4541</v>
      </c>
      <c r="H3547" s="93"/>
      <c r="I3547" s="85">
        <f t="shared" si="140"/>
        <v>4.0417675957953865</v>
      </c>
      <c r="J3547" s="85">
        <f>AVERAGE(13393, 8626)</f>
        <v>11009.5</v>
      </c>
      <c r="K3547" s="134"/>
      <c r="L3547" s="63">
        <v>132</v>
      </c>
      <c r="M3547" s="33"/>
    </row>
    <row r="3548" spans="1:14" ht="14" x14ac:dyDescent="0.15">
      <c r="A3548" s="166" t="s">
        <v>2481</v>
      </c>
      <c r="B3548" s="93" t="s">
        <v>2426</v>
      </c>
      <c r="C3548" s="70" t="s">
        <v>3636</v>
      </c>
      <c r="D3548" s="70" t="s">
        <v>6983</v>
      </c>
      <c r="E3548" s="70" t="s">
        <v>6059</v>
      </c>
      <c r="F3548" s="70" t="s">
        <v>4542</v>
      </c>
      <c r="G3548" s="70" t="s">
        <v>2242</v>
      </c>
      <c r="H3548" s="93"/>
      <c r="I3548" s="85">
        <f t="shared" si="140"/>
        <v>3.8512583487190755</v>
      </c>
      <c r="J3548" s="85">
        <v>7100</v>
      </c>
      <c r="K3548" s="131" t="s">
        <v>6391</v>
      </c>
      <c r="L3548" s="60" t="s">
        <v>7616</v>
      </c>
      <c r="M3548" s="33" t="s">
        <v>6390</v>
      </c>
    </row>
    <row r="3549" spans="1:14" ht="14" x14ac:dyDescent="0.15">
      <c r="A3549" s="166" t="s">
        <v>2481</v>
      </c>
      <c r="B3549" s="93" t="s">
        <v>2330</v>
      </c>
      <c r="C3549" s="70" t="s">
        <v>3636</v>
      </c>
      <c r="D3549" s="70" t="s">
        <v>6983</v>
      </c>
      <c r="E3549" s="70" t="s">
        <v>6059</v>
      </c>
      <c r="F3549" s="70" t="s">
        <v>4542</v>
      </c>
      <c r="G3549" s="70" t="s">
        <v>7050</v>
      </c>
      <c r="H3549" s="93"/>
      <c r="I3549" s="85">
        <f t="shared" si="140"/>
        <v>3.9459607035775686</v>
      </c>
      <c r="J3549" s="85">
        <v>8830</v>
      </c>
      <c r="K3549" s="131" t="s">
        <v>6391</v>
      </c>
      <c r="L3549" s="60">
        <v>68</v>
      </c>
      <c r="M3549" s="33" t="s">
        <v>6390</v>
      </c>
    </row>
    <row r="3550" spans="1:14" ht="14" x14ac:dyDescent="0.15">
      <c r="A3550" s="166" t="s">
        <v>2481</v>
      </c>
      <c r="B3550" s="82" t="s">
        <v>2330</v>
      </c>
      <c r="C3550" s="70" t="s">
        <v>3636</v>
      </c>
      <c r="D3550" s="70" t="s">
        <v>6983</v>
      </c>
      <c r="E3550" s="70" t="s">
        <v>6059</v>
      </c>
      <c r="F3550" s="70" t="s">
        <v>4542</v>
      </c>
      <c r="G3550" s="70" t="s">
        <v>5641</v>
      </c>
      <c r="H3550" s="93"/>
      <c r="I3550" s="85">
        <f t="shared" si="140"/>
        <v>4.0187836888746968</v>
      </c>
      <c r="J3550" s="85">
        <f>454*23</f>
        <v>10442</v>
      </c>
      <c r="K3550" s="131" t="s">
        <v>6817</v>
      </c>
      <c r="L3550" s="60">
        <v>133</v>
      </c>
      <c r="M3550" s="33" t="s">
        <v>6728</v>
      </c>
    </row>
    <row r="3551" spans="1:14" ht="14" x14ac:dyDescent="0.15">
      <c r="A3551" s="166" t="s">
        <v>2481</v>
      </c>
      <c r="B3551" s="82" t="s">
        <v>2480</v>
      </c>
      <c r="C3551" s="70" t="s">
        <v>3636</v>
      </c>
      <c r="D3551" s="70" t="s">
        <v>6983</v>
      </c>
      <c r="E3551" s="70" t="s">
        <v>6486</v>
      </c>
      <c r="F3551" s="70" t="s">
        <v>5508</v>
      </c>
      <c r="G3551" s="70" t="s">
        <v>3928</v>
      </c>
      <c r="H3551" s="93"/>
      <c r="I3551" s="85">
        <f t="shared" si="140"/>
        <v>1.8893017025063104</v>
      </c>
      <c r="J3551" s="85">
        <v>77.5</v>
      </c>
      <c r="K3551" s="142" t="s">
        <v>6391</v>
      </c>
      <c r="L3551" s="60">
        <v>150</v>
      </c>
      <c r="M3551" s="37" t="s">
        <v>6390</v>
      </c>
    </row>
    <row r="3552" spans="1:14" ht="84" x14ac:dyDescent="0.15">
      <c r="A3552" s="166" t="s">
        <v>2481</v>
      </c>
      <c r="B3552" s="93" t="s">
        <v>2480</v>
      </c>
      <c r="C3552" s="70" t="s">
        <v>3636</v>
      </c>
      <c r="D3552" s="70" t="s">
        <v>6983</v>
      </c>
      <c r="E3552" s="70" t="s">
        <v>6486</v>
      </c>
      <c r="F3552" s="70" t="s">
        <v>5643</v>
      </c>
      <c r="G3552" s="70" t="s">
        <v>4923</v>
      </c>
      <c r="H3552" s="93"/>
      <c r="I3552" s="85">
        <f t="shared" si="140"/>
        <v>2.2576785748691846</v>
      </c>
      <c r="J3552" s="85">
        <v>181</v>
      </c>
      <c r="K3552" s="131" t="s">
        <v>6485</v>
      </c>
      <c r="L3552" s="60">
        <v>68</v>
      </c>
      <c r="M3552" s="37" t="s">
        <v>1195</v>
      </c>
    </row>
    <row r="3553" spans="1:14" ht="14" x14ac:dyDescent="0.15">
      <c r="A3553" s="166" t="s">
        <v>2481</v>
      </c>
      <c r="B3553" s="93" t="s">
        <v>2140</v>
      </c>
      <c r="C3553" s="70" t="s">
        <v>3636</v>
      </c>
      <c r="D3553" s="70" t="s">
        <v>6983</v>
      </c>
      <c r="E3553" s="70" t="s">
        <v>6486</v>
      </c>
      <c r="F3553" s="70" t="s">
        <v>5643</v>
      </c>
      <c r="G3553" s="70" t="s">
        <v>4923</v>
      </c>
      <c r="H3553" s="93"/>
      <c r="I3553" s="85">
        <f t="shared" si="140"/>
        <v>2.2576785748691846</v>
      </c>
      <c r="J3553" s="85">
        <v>181</v>
      </c>
      <c r="K3553" s="131" t="s">
        <v>6485</v>
      </c>
      <c r="L3553" s="60">
        <v>68</v>
      </c>
    </row>
    <row r="3554" spans="1:14" ht="168" x14ac:dyDescent="0.15">
      <c r="A3554" s="166" t="s">
        <v>2481</v>
      </c>
      <c r="B3554" s="93" t="s">
        <v>2480</v>
      </c>
      <c r="C3554" s="70" t="s">
        <v>3636</v>
      </c>
      <c r="D3554" s="70" t="s">
        <v>6983</v>
      </c>
      <c r="E3554" s="70" t="s">
        <v>6486</v>
      </c>
      <c r="F3554" s="70" t="s">
        <v>5643</v>
      </c>
      <c r="G3554" s="70" t="s">
        <v>5644</v>
      </c>
      <c r="H3554" s="93"/>
      <c r="I3554" s="85">
        <f t="shared" si="140"/>
        <v>2.6532125137753435</v>
      </c>
      <c r="J3554" s="85">
        <v>450</v>
      </c>
      <c r="K3554" s="131" t="s">
        <v>6485</v>
      </c>
      <c r="L3554" s="60">
        <v>68</v>
      </c>
      <c r="M3554" s="37" t="s">
        <v>5779</v>
      </c>
    </row>
    <row r="3555" spans="1:14" ht="14" x14ac:dyDescent="0.15">
      <c r="A3555" s="166" t="s">
        <v>2481</v>
      </c>
      <c r="B3555" s="93" t="s">
        <v>2140</v>
      </c>
      <c r="C3555" s="70" t="s">
        <v>3636</v>
      </c>
      <c r="D3555" s="70" t="s">
        <v>6983</v>
      </c>
      <c r="E3555" s="70" t="s">
        <v>6486</v>
      </c>
      <c r="F3555" s="70" t="s">
        <v>5643</v>
      </c>
      <c r="G3555" s="70" t="s">
        <v>5644</v>
      </c>
      <c r="H3555" s="93"/>
      <c r="I3555" s="85">
        <f t="shared" si="140"/>
        <v>2.6532125137753435</v>
      </c>
      <c r="J3555" s="85">
        <v>450</v>
      </c>
      <c r="K3555" s="131" t="s">
        <v>6485</v>
      </c>
      <c r="L3555" s="60">
        <v>68</v>
      </c>
    </row>
    <row r="3556" spans="1:14" ht="14" x14ac:dyDescent="0.15">
      <c r="A3556" s="166" t="s">
        <v>2481</v>
      </c>
      <c r="B3556" s="82" t="s">
        <v>2480</v>
      </c>
      <c r="C3556" s="70" t="s">
        <v>3636</v>
      </c>
      <c r="D3556" s="70" t="s">
        <v>6983</v>
      </c>
      <c r="E3556" s="70" t="s">
        <v>6486</v>
      </c>
      <c r="F3556" s="70" t="s">
        <v>5388</v>
      </c>
      <c r="G3556" s="70" t="s">
        <v>3280</v>
      </c>
      <c r="H3556" s="93"/>
      <c r="I3556" s="85">
        <f t="shared" si="140"/>
        <v>1.4771212547196624</v>
      </c>
      <c r="J3556" s="85">
        <v>30</v>
      </c>
      <c r="K3556" s="142" t="s">
        <v>6816</v>
      </c>
      <c r="L3556" s="60">
        <v>150</v>
      </c>
      <c r="M3556" s="37" t="s">
        <v>6390</v>
      </c>
    </row>
    <row r="3557" spans="1:14" ht="28" x14ac:dyDescent="0.15">
      <c r="A3557" s="166" t="s">
        <v>2481</v>
      </c>
      <c r="B3557" s="82" t="s">
        <v>2480</v>
      </c>
      <c r="C3557" s="70" t="s">
        <v>3636</v>
      </c>
      <c r="D3557" s="70" t="s">
        <v>6983</v>
      </c>
      <c r="E3557" s="70" t="s">
        <v>6486</v>
      </c>
      <c r="F3557" s="70" t="s">
        <v>5388</v>
      </c>
      <c r="G3557" s="70" t="s">
        <v>2230</v>
      </c>
      <c r="H3557" s="93"/>
      <c r="I3557" s="85">
        <f t="shared" si="140"/>
        <v>1.6283889300503116</v>
      </c>
      <c r="J3557" s="85">
        <v>42.5</v>
      </c>
      <c r="K3557" s="131" t="s">
        <v>5915</v>
      </c>
      <c r="L3557" s="60">
        <v>150</v>
      </c>
      <c r="M3557" s="37"/>
    </row>
    <row r="3558" spans="1:14" ht="14" x14ac:dyDescent="0.15">
      <c r="A3558" s="166" t="s">
        <v>2481</v>
      </c>
      <c r="B3558" s="82" t="s">
        <v>2480</v>
      </c>
      <c r="C3558" s="70" t="s">
        <v>3636</v>
      </c>
      <c r="D3558" s="70" t="s">
        <v>6983</v>
      </c>
      <c r="E3558" s="70" t="s">
        <v>6486</v>
      </c>
      <c r="F3558" s="70" t="s">
        <v>5388</v>
      </c>
      <c r="G3558" s="70" t="s">
        <v>5858</v>
      </c>
      <c r="H3558" s="93"/>
      <c r="I3558" s="85">
        <f t="shared" ref="I3558:I3589" si="141">LOG(J3558)</f>
        <v>1.7403626894942439</v>
      </c>
      <c r="J3558" s="85">
        <v>55</v>
      </c>
      <c r="K3558" s="142" t="s">
        <v>6630</v>
      </c>
      <c r="L3558" s="60">
        <v>150</v>
      </c>
      <c r="M3558" s="37" t="s">
        <v>6390</v>
      </c>
    </row>
    <row r="3559" spans="1:14" ht="112" x14ac:dyDescent="0.15">
      <c r="A3559" s="166" t="s">
        <v>2481</v>
      </c>
      <c r="B3559" s="93" t="s">
        <v>2480</v>
      </c>
      <c r="C3559" s="70" t="s">
        <v>3636</v>
      </c>
      <c r="D3559" s="70" t="s">
        <v>6983</v>
      </c>
      <c r="E3559" s="70" t="s">
        <v>6486</v>
      </c>
      <c r="F3559" s="70" t="s">
        <v>5388</v>
      </c>
      <c r="G3559" s="70" t="s">
        <v>4375</v>
      </c>
      <c r="H3559" s="93"/>
      <c r="I3559" s="85">
        <f t="shared" si="141"/>
        <v>1.8388490907372552</v>
      </c>
      <c r="J3559" s="85">
        <v>69</v>
      </c>
      <c r="K3559" s="131" t="s">
        <v>6485</v>
      </c>
      <c r="L3559" s="60">
        <v>68</v>
      </c>
      <c r="M3559" s="37" t="s">
        <v>2945</v>
      </c>
    </row>
    <row r="3560" spans="1:14" ht="14" x14ac:dyDescent="0.15">
      <c r="A3560" s="166" t="s">
        <v>2481</v>
      </c>
      <c r="B3560" s="93" t="s">
        <v>2140</v>
      </c>
      <c r="C3560" s="70" t="s">
        <v>3636</v>
      </c>
      <c r="D3560" s="70" t="s">
        <v>6983</v>
      </c>
      <c r="E3560" s="70" t="s">
        <v>6486</v>
      </c>
      <c r="F3560" s="70" t="s">
        <v>5388</v>
      </c>
      <c r="G3560" s="70" t="s">
        <v>4375</v>
      </c>
      <c r="H3560" s="93"/>
      <c r="I3560" s="85">
        <f t="shared" si="141"/>
        <v>1.8388490907372552</v>
      </c>
      <c r="J3560" s="85">
        <v>69</v>
      </c>
      <c r="K3560" s="131" t="s">
        <v>6485</v>
      </c>
      <c r="L3560" s="60">
        <v>68</v>
      </c>
    </row>
    <row r="3561" spans="1:14" ht="14" x14ac:dyDescent="0.15">
      <c r="A3561" s="166" t="s">
        <v>2481</v>
      </c>
      <c r="B3561" s="93" t="s">
        <v>2140</v>
      </c>
      <c r="C3561" s="70" t="s">
        <v>3636</v>
      </c>
      <c r="D3561" s="70" t="s">
        <v>6983</v>
      </c>
      <c r="E3561" s="70" t="s">
        <v>6486</v>
      </c>
      <c r="F3561" s="70" t="s">
        <v>5388</v>
      </c>
      <c r="G3561" s="70" t="s">
        <v>5389</v>
      </c>
      <c r="H3561" s="93"/>
      <c r="I3561" s="85">
        <f t="shared" si="141"/>
        <v>2.4885507165004443</v>
      </c>
      <c r="J3561" s="85">
        <v>308</v>
      </c>
      <c r="K3561" s="131" t="s">
        <v>6485</v>
      </c>
      <c r="L3561" s="60">
        <v>68</v>
      </c>
    </row>
    <row r="3562" spans="1:14" ht="28" x14ac:dyDescent="0.15">
      <c r="A3562" s="166" t="s">
        <v>2481</v>
      </c>
      <c r="B3562" s="93" t="s">
        <v>2480</v>
      </c>
      <c r="C3562" s="70" t="s">
        <v>3636</v>
      </c>
      <c r="D3562" s="70" t="s">
        <v>6983</v>
      </c>
      <c r="E3562" s="70" t="s">
        <v>6486</v>
      </c>
      <c r="F3562" s="70" t="s">
        <v>1196</v>
      </c>
      <c r="G3562" s="70" t="s">
        <v>5389</v>
      </c>
      <c r="H3562" s="93"/>
      <c r="I3562" s="85">
        <f t="shared" si="141"/>
        <v>2.4885507165004443</v>
      </c>
      <c r="J3562" s="85">
        <v>308</v>
      </c>
      <c r="K3562" s="141" t="s">
        <v>7251</v>
      </c>
      <c r="L3562" s="60">
        <v>68</v>
      </c>
      <c r="M3562" s="35" t="s">
        <v>6728</v>
      </c>
    </row>
    <row r="3563" spans="1:14" ht="14" x14ac:dyDescent="0.15">
      <c r="A3563" s="166" t="s">
        <v>2481</v>
      </c>
      <c r="B3563" s="93" t="s">
        <v>2140</v>
      </c>
      <c r="C3563" s="70" t="s">
        <v>3636</v>
      </c>
      <c r="D3563" s="70" t="s">
        <v>6983</v>
      </c>
      <c r="E3563" s="70" t="s">
        <v>6486</v>
      </c>
      <c r="F3563" s="70" t="s">
        <v>5390</v>
      </c>
      <c r="G3563" s="70" t="s">
        <v>5391</v>
      </c>
      <c r="H3563" s="93"/>
      <c r="I3563" s="85">
        <f t="shared" si="141"/>
        <v>2.6020599913279625</v>
      </c>
      <c r="J3563" s="85">
        <v>400</v>
      </c>
      <c r="K3563" s="131" t="s">
        <v>6485</v>
      </c>
      <c r="L3563" s="60">
        <v>68</v>
      </c>
    </row>
    <row r="3564" spans="1:14" ht="14" x14ac:dyDescent="0.15">
      <c r="A3564" s="166" t="s">
        <v>2481</v>
      </c>
      <c r="B3564" s="93" t="s">
        <v>2480</v>
      </c>
      <c r="C3564" s="70" t="s">
        <v>3636</v>
      </c>
      <c r="D3564" s="70" t="s">
        <v>6983</v>
      </c>
      <c r="E3564" s="70" t="s">
        <v>6486</v>
      </c>
      <c r="F3564" s="70" t="s">
        <v>5390</v>
      </c>
      <c r="G3564" s="70" t="s">
        <v>5391</v>
      </c>
      <c r="H3564" s="93"/>
      <c r="I3564" s="85">
        <f t="shared" si="141"/>
        <v>2.6020599913279625</v>
      </c>
      <c r="J3564" s="85">
        <v>400</v>
      </c>
      <c r="K3564" s="142" t="s">
        <v>6391</v>
      </c>
      <c r="L3564" s="60">
        <v>68</v>
      </c>
      <c r="M3564" s="35" t="s">
        <v>6392</v>
      </c>
    </row>
    <row r="3565" spans="1:14" ht="14" x14ac:dyDescent="0.15">
      <c r="A3565" s="166" t="s">
        <v>2481</v>
      </c>
      <c r="B3565" s="93" t="s">
        <v>2480</v>
      </c>
      <c r="C3565" s="70" t="s">
        <v>3636</v>
      </c>
      <c r="D3565" s="70" t="s">
        <v>6983</v>
      </c>
      <c r="E3565" s="70" t="s">
        <v>3384</v>
      </c>
      <c r="F3565" s="70" t="s">
        <v>7844</v>
      </c>
      <c r="G3565" s="70" t="s">
        <v>7845</v>
      </c>
      <c r="H3565" s="93"/>
      <c r="I3565" s="85">
        <f t="shared" si="141"/>
        <v>3.3979400086720375</v>
      </c>
      <c r="J3565" s="85">
        <v>2500</v>
      </c>
      <c r="K3565" s="141" t="s">
        <v>6817</v>
      </c>
      <c r="L3565" s="60">
        <v>68</v>
      </c>
      <c r="M3565" s="37" t="s">
        <v>6390</v>
      </c>
    </row>
    <row r="3566" spans="1:14" ht="14" x14ac:dyDescent="0.15">
      <c r="A3566" s="166" t="s">
        <v>2481</v>
      </c>
      <c r="B3566" s="93" t="s">
        <v>2018</v>
      </c>
      <c r="C3566" s="70" t="s">
        <v>3636</v>
      </c>
      <c r="D3566" s="70" t="s">
        <v>6983</v>
      </c>
      <c r="E3566" s="70" t="s">
        <v>6114</v>
      </c>
      <c r="F3566" s="70" t="s">
        <v>4927</v>
      </c>
      <c r="G3566" s="70" t="s">
        <v>6967</v>
      </c>
      <c r="H3566" s="93"/>
      <c r="I3566" s="85">
        <f t="shared" si="141"/>
        <v>4.568201724066995</v>
      </c>
      <c r="J3566" s="85">
        <v>37000</v>
      </c>
      <c r="K3566" s="131" t="s">
        <v>6817</v>
      </c>
      <c r="L3566" s="60">
        <v>68</v>
      </c>
      <c r="M3566" s="49" t="s">
        <v>6390</v>
      </c>
    </row>
    <row r="3567" spans="1:14" ht="28" x14ac:dyDescent="0.15">
      <c r="A3567" s="166" t="s">
        <v>2481</v>
      </c>
      <c r="B3567" s="82"/>
      <c r="C3567" s="70" t="s">
        <v>3636</v>
      </c>
      <c r="D3567" s="70" t="s">
        <v>6983</v>
      </c>
      <c r="E3567" s="70" t="s">
        <v>3385</v>
      </c>
      <c r="F3567" s="70" t="s">
        <v>5392</v>
      </c>
      <c r="G3567" s="70" t="s">
        <v>5394</v>
      </c>
      <c r="H3567" s="93"/>
      <c r="I3567" s="85">
        <f t="shared" si="141"/>
        <v>3.7634279935629373</v>
      </c>
      <c r="J3567" s="85">
        <v>5800</v>
      </c>
      <c r="K3567" s="131" t="s">
        <v>6391</v>
      </c>
      <c r="L3567" s="60">
        <v>74</v>
      </c>
      <c r="M3567" s="33" t="s">
        <v>6728</v>
      </c>
      <c r="N3567" s="32" t="s">
        <v>3273</v>
      </c>
    </row>
    <row r="3568" spans="1:14" ht="14" x14ac:dyDescent="0.15">
      <c r="A3568" s="166" t="s">
        <v>2481</v>
      </c>
      <c r="B3568" s="93" t="s">
        <v>2018</v>
      </c>
      <c r="C3568" s="70" t="s">
        <v>3636</v>
      </c>
      <c r="D3568" s="70" t="s">
        <v>6983</v>
      </c>
      <c r="E3568" s="70" t="s">
        <v>3385</v>
      </c>
      <c r="F3568" s="70" t="s">
        <v>5392</v>
      </c>
      <c r="G3568" s="70" t="s">
        <v>5396</v>
      </c>
      <c r="H3568" s="93"/>
      <c r="I3568" s="85">
        <f t="shared" si="141"/>
        <v>3.7781512503836434</v>
      </c>
      <c r="J3568" s="85">
        <v>6000</v>
      </c>
      <c r="K3568" s="131" t="s">
        <v>6630</v>
      </c>
      <c r="L3568" s="60">
        <v>-999</v>
      </c>
      <c r="M3568" s="33" t="s">
        <v>6392</v>
      </c>
    </row>
    <row r="3569" spans="1:14" ht="14" x14ac:dyDescent="0.15">
      <c r="A3569" s="166" t="s">
        <v>2481</v>
      </c>
      <c r="B3569" s="93" t="s">
        <v>3080</v>
      </c>
      <c r="C3569" s="70" t="s">
        <v>3636</v>
      </c>
      <c r="D3569" s="70" t="s">
        <v>6983</v>
      </c>
      <c r="E3569" s="70" t="s">
        <v>3385</v>
      </c>
      <c r="F3569" s="70" t="s">
        <v>5392</v>
      </c>
      <c r="G3569" s="70" t="s">
        <v>3388</v>
      </c>
      <c r="H3569" s="93"/>
      <c r="I3569" s="85">
        <f t="shared" si="141"/>
        <v>3.8250689276246232</v>
      </c>
      <c r="J3569" s="85">
        <f>AVERAGE(5749, 7620)</f>
        <v>6684.5</v>
      </c>
      <c r="K3569" s="131" t="s">
        <v>6391</v>
      </c>
      <c r="L3569" s="60">
        <v>148</v>
      </c>
      <c r="M3569" s="49" t="s">
        <v>6390</v>
      </c>
    </row>
    <row r="3570" spans="1:14" ht="14" x14ac:dyDescent="0.15">
      <c r="A3570" s="166" t="s">
        <v>2481</v>
      </c>
      <c r="B3570" s="93" t="s">
        <v>2480</v>
      </c>
      <c r="C3570" s="70" t="s">
        <v>3636</v>
      </c>
      <c r="D3570" s="70" t="s">
        <v>6983</v>
      </c>
      <c r="E3570" s="70" t="s">
        <v>6488</v>
      </c>
      <c r="F3570" s="70" t="s">
        <v>7847</v>
      </c>
      <c r="G3570" s="70" t="s">
        <v>4660</v>
      </c>
      <c r="H3570" s="93"/>
      <c r="I3570" s="85">
        <f t="shared" si="141"/>
        <v>2.9030899869919438</v>
      </c>
      <c r="J3570" s="85">
        <v>800</v>
      </c>
      <c r="K3570" s="141" t="s">
        <v>6391</v>
      </c>
      <c r="L3570" s="60">
        <v>150</v>
      </c>
      <c r="M3570" s="37" t="s">
        <v>6728</v>
      </c>
    </row>
    <row r="3571" spans="1:14" ht="14" x14ac:dyDescent="0.15">
      <c r="A3571" s="166" t="s">
        <v>2481</v>
      </c>
      <c r="B3571" s="93" t="s">
        <v>2480</v>
      </c>
      <c r="C3571" s="70" t="s">
        <v>3636</v>
      </c>
      <c r="D3571" s="70" t="s">
        <v>6983</v>
      </c>
      <c r="E3571" s="70" t="s">
        <v>6488</v>
      </c>
      <c r="F3571" s="70" t="s">
        <v>7847</v>
      </c>
      <c r="G3571" s="70" t="s">
        <v>7221</v>
      </c>
      <c r="H3571" s="93"/>
      <c r="I3571" s="85">
        <f t="shared" si="141"/>
        <v>2.9542425094393248</v>
      </c>
      <c r="J3571" s="85">
        <v>900</v>
      </c>
      <c r="K3571" s="141" t="s">
        <v>6391</v>
      </c>
      <c r="L3571" s="60">
        <v>68</v>
      </c>
      <c r="M3571" s="37" t="s">
        <v>6392</v>
      </c>
    </row>
    <row r="3572" spans="1:14" ht="14" x14ac:dyDescent="0.15">
      <c r="A3572" s="166" t="s">
        <v>2481</v>
      </c>
      <c r="B3572" s="93" t="s">
        <v>2140</v>
      </c>
      <c r="C3572" s="70" t="s">
        <v>3636</v>
      </c>
      <c r="D3572" s="70" t="s">
        <v>6983</v>
      </c>
      <c r="E3572" s="70" t="s">
        <v>6488</v>
      </c>
      <c r="F3572" s="70" t="s">
        <v>7847</v>
      </c>
      <c r="G3572" s="70" t="s">
        <v>7221</v>
      </c>
      <c r="H3572" s="93"/>
      <c r="I3572" s="85">
        <f t="shared" si="141"/>
        <v>2.9542425094393248</v>
      </c>
      <c r="J3572" s="85">
        <v>900</v>
      </c>
      <c r="K3572" s="131" t="s">
        <v>6391</v>
      </c>
      <c r="L3572" s="60">
        <v>68</v>
      </c>
      <c r="M3572" s="49" t="s">
        <v>6392</v>
      </c>
    </row>
    <row r="3573" spans="1:14" ht="16" x14ac:dyDescent="0.2">
      <c r="A3573" s="166" t="s">
        <v>2481</v>
      </c>
      <c r="B3573" s="93" t="s">
        <v>2480</v>
      </c>
      <c r="C3573" s="70" t="s">
        <v>3636</v>
      </c>
      <c r="D3573" s="70" t="s">
        <v>6983</v>
      </c>
      <c r="E3573" s="70" t="s">
        <v>6488</v>
      </c>
      <c r="F3573" s="70" t="s">
        <v>7848</v>
      </c>
      <c r="G3573" s="70" t="s">
        <v>7849</v>
      </c>
      <c r="H3573" s="93"/>
      <c r="I3573" s="85">
        <f t="shared" si="141"/>
        <v>3.9030899869919438</v>
      </c>
      <c r="J3573" s="85">
        <v>8000</v>
      </c>
      <c r="K3573" s="141" t="s">
        <v>6817</v>
      </c>
      <c r="L3573" s="60">
        <v>68</v>
      </c>
      <c r="M3573" s="37" t="s">
        <v>6390</v>
      </c>
      <c r="N3573" s="48"/>
    </row>
    <row r="3574" spans="1:14" ht="14" x14ac:dyDescent="0.15">
      <c r="A3574" s="166" t="s">
        <v>2481</v>
      </c>
      <c r="B3574" s="93" t="s">
        <v>2480</v>
      </c>
      <c r="C3574" s="70" t="s">
        <v>3636</v>
      </c>
      <c r="D3574" s="70" t="s">
        <v>6983</v>
      </c>
      <c r="E3574" s="70" t="s">
        <v>6488</v>
      </c>
      <c r="F3574" s="70" t="s">
        <v>5467</v>
      </c>
      <c r="G3574" s="70" t="s">
        <v>5468</v>
      </c>
      <c r="H3574" s="93"/>
      <c r="I3574" s="85">
        <f t="shared" si="141"/>
        <v>3.5415792439465807</v>
      </c>
      <c r="J3574" s="85">
        <v>3480</v>
      </c>
      <c r="K3574" s="141" t="s">
        <v>6817</v>
      </c>
      <c r="L3574" s="60">
        <v>68</v>
      </c>
      <c r="M3574" s="35" t="s">
        <v>6728</v>
      </c>
    </row>
    <row r="3575" spans="1:14" ht="14" x14ac:dyDescent="0.15">
      <c r="A3575" s="166" t="s">
        <v>2481</v>
      </c>
      <c r="B3575" s="93" t="s">
        <v>2480</v>
      </c>
      <c r="C3575" s="70" t="s">
        <v>3636</v>
      </c>
      <c r="D3575" s="70" t="s">
        <v>6983</v>
      </c>
      <c r="E3575" s="70" t="s">
        <v>6488</v>
      </c>
      <c r="F3575" s="70" t="s">
        <v>5467</v>
      </c>
      <c r="G3575" s="70" t="s">
        <v>5584</v>
      </c>
      <c r="H3575" s="93"/>
      <c r="I3575" s="85">
        <f t="shared" si="141"/>
        <v>3.5440680443502757</v>
      </c>
      <c r="J3575" s="85">
        <v>3500</v>
      </c>
      <c r="K3575" s="141" t="s">
        <v>6817</v>
      </c>
      <c r="L3575" s="60">
        <v>150</v>
      </c>
      <c r="M3575" s="35" t="s">
        <v>6809</v>
      </c>
    </row>
    <row r="3576" spans="1:14" ht="14" x14ac:dyDescent="0.15">
      <c r="A3576" s="166" t="s">
        <v>2481</v>
      </c>
      <c r="B3576" s="93" t="s">
        <v>2480</v>
      </c>
      <c r="C3576" s="70" t="s">
        <v>3636</v>
      </c>
      <c r="D3576" s="70" t="s">
        <v>6983</v>
      </c>
      <c r="E3576" s="70" t="s">
        <v>6488</v>
      </c>
      <c r="F3576" s="70" t="s">
        <v>5467</v>
      </c>
      <c r="G3576" s="70" t="s">
        <v>5329</v>
      </c>
      <c r="H3576" s="93"/>
      <c r="I3576" s="85">
        <f t="shared" si="141"/>
        <v>3.8750612633917001</v>
      </c>
      <c r="J3576" s="85">
        <v>7500</v>
      </c>
      <c r="K3576" s="141" t="s">
        <v>6817</v>
      </c>
      <c r="L3576" s="60">
        <v>74</v>
      </c>
      <c r="M3576" s="35" t="s">
        <v>6390</v>
      </c>
    </row>
    <row r="3577" spans="1:14" ht="14" x14ac:dyDescent="0.15">
      <c r="A3577" s="166" t="s">
        <v>2481</v>
      </c>
      <c r="B3577" s="93" t="s">
        <v>2480</v>
      </c>
      <c r="C3577" s="70" t="s">
        <v>3636</v>
      </c>
      <c r="D3577" s="70" t="s">
        <v>6983</v>
      </c>
      <c r="E3577" s="70" t="s">
        <v>7859</v>
      </c>
      <c r="F3577" s="70" t="s">
        <v>5469</v>
      </c>
      <c r="G3577" s="70" t="s">
        <v>5457</v>
      </c>
      <c r="H3577" s="93"/>
      <c r="I3577" s="85">
        <f t="shared" si="141"/>
        <v>3.1461280356782382</v>
      </c>
      <c r="J3577" s="85">
        <v>1400</v>
      </c>
      <c r="K3577" s="141" t="s">
        <v>6391</v>
      </c>
      <c r="L3577" s="60">
        <v>68</v>
      </c>
      <c r="M3577" s="37" t="s">
        <v>6728</v>
      </c>
    </row>
    <row r="3578" spans="1:14" ht="28" x14ac:dyDescent="0.15">
      <c r="A3578" s="166" t="s">
        <v>2481</v>
      </c>
      <c r="B3578" s="93" t="s">
        <v>2480</v>
      </c>
      <c r="C3578" s="70" t="s">
        <v>3636</v>
      </c>
      <c r="D3578" s="70" t="s">
        <v>6983</v>
      </c>
      <c r="E3578" s="70" t="s">
        <v>7859</v>
      </c>
      <c r="F3578" s="70" t="s">
        <v>5469</v>
      </c>
      <c r="G3578" s="70" t="s">
        <v>5097</v>
      </c>
      <c r="H3578" s="93"/>
      <c r="I3578" s="85">
        <f t="shared" si="141"/>
        <v>3.2041199826559246</v>
      </c>
      <c r="J3578" s="85">
        <v>1600</v>
      </c>
      <c r="K3578" s="141" t="s">
        <v>6602</v>
      </c>
      <c r="L3578" s="60">
        <v>68</v>
      </c>
      <c r="M3578" s="37" t="s">
        <v>6728</v>
      </c>
    </row>
    <row r="3579" spans="1:14" ht="14" x14ac:dyDescent="0.15">
      <c r="A3579" s="166" t="s">
        <v>2481</v>
      </c>
      <c r="B3579" s="93" t="s">
        <v>2480</v>
      </c>
      <c r="C3579" s="70" t="s">
        <v>3636</v>
      </c>
      <c r="D3579" s="70" t="s">
        <v>6983</v>
      </c>
      <c r="E3579" s="70" t="s">
        <v>7859</v>
      </c>
      <c r="F3579" s="70" t="s">
        <v>5469</v>
      </c>
      <c r="G3579" s="70" t="s">
        <v>5470</v>
      </c>
      <c r="H3579" s="93"/>
      <c r="I3579" s="85">
        <f t="shared" si="141"/>
        <v>3.2174839442139063</v>
      </c>
      <c r="J3579" s="85">
        <v>1650</v>
      </c>
      <c r="K3579" s="141" t="s">
        <v>6817</v>
      </c>
      <c r="L3579" s="60">
        <v>150</v>
      </c>
      <c r="M3579" s="37" t="s">
        <v>6728</v>
      </c>
    </row>
    <row r="3580" spans="1:14" ht="14" x14ac:dyDescent="0.15">
      <c r="A3580" s="166" t="s">
        <v>2481</v>
      </c>
      <c r="B3580" s="93" t="s">
        <v>2480</v>
      </c>
      <c r="C3580" s="70" t="s">
        <v>3636</v>
      </c>
      <c r="D3580" s="70" t="s">
        <v>6983</v>
      </c>
      <c r="E3580" s="70" t="s">
        <v>7859</v>
      </c>
      <c r="F3580" s="70" t="s">
        <v>5469</v>
      </c>
      <c r="G3580" s="70" t="s">
        <v>5471</v>
      </c>
      <c r="H3580" s="93"/>
      <c r="I3580" s="85">
        <f t="shared" si="141"/>
        <v>3.3096301674258988</v>
      </c>
      <c r="J3580" s="85">
        <v>2040</v>
      </c>
      <c r="K3580" s="141" t="s">
        <v>6391</v>
      </c>
      <c r="L3580" s="60">
        <v>68</v>
      </c>
      <c r="M3580" s="37" t="s">
        <v>6728</v>
      </c>
    </row>
    <row r="3581" spans="1:14" ht="266" x14ac:dyDescent="0.15">
      <c r="A3581" s="166" t="s">
        <v>2481</v>
      </c>
      <c r="B3581" s="93" t="s">
        <v>2480</v>
      </c>
      <c r="C3581" s="70" t="s">
        <v>3636</v>
      </c>
      <c r="D3581" s="70" t="s">
        <v>6983</v>
      </c>
      <c r="E3581" s="70" t="s">
        <v>7859</v>
      </c>
      <c r="F3581" s="70" t="s">
        <v>5469</v>
      </c>
      <c r="G3581" s="70" t="s">
        <v>6284</v>
      </c>
      <c r="H3581" s="93"/>
      <c r="I3581" s="85">
        <f t="shared" si="141"/>
        <v>3.4983105537896004</v>
      </c>
      <c r="J3581" s="85">
        <v>3150</v>
      </c>
      <c r="K3581" s="131" t="s">
        <v>6485</v>
      </c>
      <c r="L3581" s="60">
        <v>68</v>
      </c>
      <c r="M3581" s="37" t="s">
        <v>6516</v>
      </c>
    </row>
    <row r="3582" spans="1:14" ht="84" x14ac:dyDescent="0.15">
      <c r="A3582" s="166" t="s">
        <v>2481</v>
      </c>
      <c r="B3582" s="93" t="s">
        <v>2480</v>
      </c>
      <c r="C3582" s="70" t="s">
        <v>3636</v>
      </c>
      <c r="D3582" s="70" t="s">
        <v>6983</v>
      </c>
      <c r="E3582" s="70" t="s">
        <v>7859</v>
      </c>
      <c r="F3582" s="70" t="s">
        <v>5458</v>
      </c>
      <c r="G3582" s="70" t="s">
        <v>2118</v>
      </c>
      <c r="H3582" s="93"/>
      <c r="I3582" s="85">
        <f t="shared" si="141"/>
        <v>2.9030899869919438</v>
      </c>
      <c r="J3582" s="85">
        <v>800</v>
      </c>
      <c r="K3582" s="131" t="s">
        <v>6485</v>
      </c>
      <c r="L3582" s="60">
        <v>68</v>
      </c>
      <c r="M3582" s="37" t="s">
        <v>1309</v>
      </c>
    </row>
    <row r="3583" spans="1:14" ht="14" x14ac:dyDescent="0.15">
      <c r="A3583" s="166" t="s">
        <v>2481</v>
      </c>
      <c r="B3583" s="93" t="s">
        <v>2480</v>
      </c>
      <c r="C3583" s="70" t="s">
        <v>3636</v>
      </c>
      <c r="D3583" s="70" t="s">
        <v>6983</v>
      </c>
      <c r="E3583" s="70" t="s">
        <v>7859</v>
      </c>
      <c r="F3583" s="70" t="s">
        <v>5458</v>
      </c>
      <c r="G3583" s="70" t="s">
        <v>7096</v>
      </c>
      <c r="H3583" s="93"/>
      <c r="I3583" s="85">
        <f t="shared" si="141"/>
        <v>3.1972805581256192</v>
      </c>
      <c r="J3583" s="85">
        <v>1575</v>
      </c>
      <c r="K3583" s="141" t="s">
        <v>6391</v>
      </c>
      <c r="L3583" s="60">
        <v>150</v>
      </c>
      <c r="M3583" s="37" t="s">
        <v>6809</v>
      </c>
    </row>
    <row r="3584" spans="1:14" ht="14" x14ac:dyDescent="0.15">
      <c r="A3584" s="166" t="s">
        <v>2481</v>
      </c>
      <c r="B3584" s="93" t="s">
        <v>2140</v>
      </c>
      <c r="C3584" s="70" t="s">
        <v>3636</v>
      </c>
      <c r="D3584" s="70" t="s">
        <v>6983</v>
      </c>
      <c r="E3584" s="70" t="s">
        <v>7859</v>
      </c>
      <c r="F3584" s="70" t="s">
        <v>5458</v>
      </c>
      <c r="G3584" s="70" t="s">
        <v>2118</v>
      </c>
      <c r="H3584" s="93"/>
      <c r="I3584" s="85">
        <f t="shared" si="141"/>
        <v>3.3010299956639813</v>
      </c>
      <c r="J3584" s="85">
        <v>2000</v>
      </c>
      <c r="K3584" s="131" t="s">
        <v>6485</v>
      </c>
      <c r="L3584" s="60">
        <v>74</v>
      </c>
    </row>
    <row r="3585" spans="1:13" ht="14" x14ac:dyDescent="0.15">
      <c r="A3585" s="166" t="s">
        <v>2481</v>
      </c>
      <c r="B3585" s="93" t="s">
        <v>2480</v>
      </c>
      <c r="C3585" s="70" t="s">
        <v>3636</v>
      </c>
      <c r="D3585" s="70" t="s">
        <v>6983</v>
      </c>
      <c r="E3585" s="70" t="s">
        <v>7859</v>
      </c>
      <c r="F3585" s="70" t="s">
        <v>5458</v>
      </c>
      <c r="G3585" s="70" t="s">
        <v>7937</v>
      </c>
      <c r="H3585" s="93"/>
      <c r="I3585" s="85">
        <f t="shared" si="141"/>
        <v>3.3710678622717363</v>
      </c>
      <c r="J3585" s="85">
        <v>2350</v>
      </c>
      <c r="K3585" s="141" t="s">
        <v>6391</v>
      </c>
      <c r="L3585" s="60">
        <v>150</v>
      </c>
      <c r="M3585" s="37" t="s">
        <v>6809</v>
      </c>
    </row>
    <row r="3586" spans="1:13" ht="28" x14ac:dyDescent="0.15">
      <c r="A3586" s="166" t="s">
        <v>2481</v>
      </c>
      <c r="B3586" s="93" t="s">
        <v>2480</v>
      </c>
      <c r="C3586" s="70" t="s">
        <v>3636</v>
      </c>
      <c r="D3586" s="70" t="s">
        <v>6983</v>
      </c>
      <c r="E3586" s="70" t="s">
        <v>7859</v>
      </c>
      <c r="F3586" s="70" t="s">
        <v>5455</v>
      </c>
      <c r="G3586" s="70" t="s">
        <v>7850</v>
      </c>
      <c r="H3586" s="93"/>
      <c r="I3586" s="85">
        <f t="shared" si="141"/>
        <v>3.4623979978989561</v>
      </c>
      <c r="J3586" s="85">
        <v>2900</v>
      </c>
      <c r="K3586" s="135" t="s">
        <v>6654</v>
      </c>
      <c r="L3586" s="60">
        <v>68</v>
      </c>
      <c r="M3586" s="37" t="s">
        <v>6728</v>
      </c>
    </row>
    <row r="3587" spans="1:13" ht="14" x14ac:dyDescent="0.15">
      <c r="A3587" s="166" t="s">
        <v>2481</v>
      </c>
      <c r="B3587" s="93" t="s">
        <v>2480</v>
      </c>
      <c r="C3587" s="70" t="s">
        <v>3636</v>
      </c>
      <c r="D3587" s="70" t="s">
        <v>6983</v>
      </c>
      <c r="E3587" s="70" t="s">
        <v>7859</v>
      </c>
      <c r="F3587" s="70" t="s">
        <v>7851</v>
      </c>
      <c r="G3587" s="70" t="s">
        <v>5456</v>
      </c>
      <c r="H3587" s="93"/>
      <c r="I3587" s="85">
        <f t="shared" si="141"/>
        <v>3.5854607295085006</v>
      </c>
      <c r="J3587" s="85">
        <v>3850</v>
      </c>
      <c r="K3587" s="131" t="s">
        <v>6485</v>
      </c>
      <c r="L3587" s="60">
        <v>68</v>
      </c>
    </row>
    <row r="3588" spans="1:13" ht="14" x14ac:dyDescent="0.15">
      <c r="A3588" s="166" t="s">
        <v>2481</v>
      </c>
      <c r="B3588" s="93" t="s">
        <v>2480</v>
      </c>
      <c r="C3588" s="70" t="s">
        <v>3636</v>
      </c>
      <c r="D3588" s="70" t="s">
        <v>6983</v>
      </c>
      <c r="E3588" s="70" t="s">
        <v>7859</v>
      </c>
      <c r="F3588" s="70" t="s">
        <v>7851</v>
      </c>
      <c r="G3588" s="70" t="s">
        <v>5456</v>
      </c>
      <c r="H3588" s="93"/>
      <c r="I3588" s="85">
        <f t="shared" si="141"/>
        <v>3.5854607295085006</v>
      </c>
      <c r="J3588" s="85">
        <v>3850</v>
      </c>
      <c r="K3588" s="141" t="s">
        <v>6817</v>
      </c>
      <c r="L3588" s="60">
        <v>68</v>
      </c>
      <c r="M3588" s="35" t="s">
        <v>6390</v>
      </c>
    </row>
    <row r="3589" spans="1:13" ht="14" x14ac:dyDescent="0.15">
      <c r="A3589" s="166" t="s">
        <v>2481</v>
      </c>
      <c r="B3589" s="82" t="s">
        <v>2330</v>
      </c>
      <c r="C3589" s="70" t="s">
        <v>3636</v>
      </c>
      <c r="D3589" s="70" t="s">
        <v>6983</v>
      </c>
      <c r="E3589" s="70" t="s">
        <v>3052</v>
      </c>
      <c r="F3589" s="70" t="s">
        <v>5798</v>
      </c>
      <c r="G3589" s="70" t="s">
        <v>5047</v>
      </c>
      <c r="H3589" s="93"/>
      <c r="I3589" s="85">
        <f t="shared" si="141"/>
        <v>2.3790320709599277</v>
      </c>
      <c r="J3589" s="85">
        <f>AVERAGE(189.167, 179.083, 272.4, 317.8, 264.833, 212.8125)</f>
        <v>239.34925000000001</v>
      </c>
      <c r="K3589" s="131" t="s">
        <v>6391</v>
      </c>
      <c r="L3589" s="60">
        <v>132</v>
      </c>
      <c r="M3589" s="33" t="s">
        <v>6728</v>
      </c>
    </row>
    <row r="3590" spans="1:13" ht="14" x14ac:dyDescent="0.15">
      <c r="A3590" s="166" t="s">
        <v>2481</v>
      </c>
      <c r="B3590" s="82" t="s">
        <v>2018</v>
      </c>
      <c r="C3590" s="70" t="s">
        <v>3636</v>
      </c>
      <c r="D3590" s="70" t="s">
        <v>6983</v>
      </c>
      <c r="E3590" s="70" t="s">
        <v>3052</v>
      </c>
      <c r="F3590" s="70" t="s">
        <v>5081</v>
      </c>
      <c r="G3590" s="70" t="s">
        <v>5674</v>
      </c>
      <c r="H3590" s="93"/>
      <c r="I3590" s="85">
        <f t="shared" ref="I3590:I3609" si="142">LOG(J3590)</f>
        <v>2.6232492903979003</v>
      </c>
      <c r="J3590" s="85">
        <f>AVERAGE(230, 610)</f>
        <v>420</v>
      </c>
      <c r="K3590" s="131"/>
      <c r="L3590" s="60">
        <v>118</v>
      </c>
      <c r="M3590" s="33"/>
    </row>
    <row r="3591" spans="1:13" ht="14" x14ac:dyDescent="0.15">
      <c r="A3591" s="166" t="s">
        <v>2481</v>
      </c>
      <c r="B3591" s="93" t="s">
        <v>2480</v>
      </c>
      <c r="C3591" s="70" t="s">
        <v>3636</v>
      </c>
      <c r="D3591" s="70" t="s">
        <v>6983</v>
      </c>
      <c r="E3591" s="70" t="s">
        <v>3159</v>
      </c>
      <c r="F3591" s="70" t="s">
        <v>5677</v>
      </c>
      <c r="G3591" s="70" t="s">
        <v>3449</v>
      </c>
      <c r="H3591" s="93"/>
      <c r="I3591" s="85">
        <f t="shared" si="142"/>
        <v>2.6989700043360187</v>
      </c>
      <c r="J3591" s="85">
        <v>500</v>
      </c>
      <c r="K3591" s="142" t="s">
        <v>6391</v>
      </c>
      <c r="L3591" s="60">
        <v>150</v>
      </c>
      <c r="M3591" s="37" t="s">
        <v>6728</v>
      </c>
    </row>
    <row r="3592" spans="1:13" ht="14" x14ac:dyDescent="0.15">
      <c r="A3592" s="166" t="s">
        <v>2481</v>
      </c>
      <c r="B3592" s="93" t="s">
        <v>2480</v>
      </c>
      <c r="C3592" s="70" t="s">
        <v>3636</v>
      </c>
      <c r="D3592" s="70" t="s">
        <v>6983</v>
      </c>
      <c r="E3592" s="70" t="s">
        <v>3159</v>
      </c>
      <c r="F3592" s="70" t="s">
        <v>5677</v>
      </c>
      <c r="G3592" s="70" t="s">
        <v>7224</v>
      </c>
      <c r="H3592" s="93"/>
      <c r="I3592" s="85">
        <f t="shared" si="142"/>
        <v>2.7781512503836434</v>
      </c>
      <c r="J3592" s="85">
        <v>600</v>
      </c>
      <c r="K3592" s="142" t="s">
        <v>6391</v>
      </c>
      <c r="L3592" s="60">
        <v>150</v>
      </c>
      <c r="M3592" s="37" t="s">
        <v>6392</v>
      </c>
    </row>
    <row r="3593" spans="1:13" ht="14" x14ac:dyDescent="0.15">
      <c r="A3593" s="166" t="s">
        <v>2481</v>
      </c>
      <c r="B3593" s="93" t="s">
        <v>2480</v>
      </c>
      <c r="C3593" s="70" t="s">
        <v>3636</v>
      </c>
      <c r="D3593" s="70" t="s">
        <v>6983</v>
      </c>
      <c r="E3593" s="70" t="s">
        <v>3159</v>
      </c>
      <c r="F3593" s="70" t="s">
        <v>5677</v>
      </c>
      <c r="G3593" s="70" t="s">
        <v>5511</v>
      </c>
      <c r="H3593" s="93"/>
      <c r="I3593" s="85">
        <f t="shared" si="142"/>
        <v>2.8129133566428557</v>
      </c>
      <c r="J3593" s="85">
        <v>650</v>
      </c>
      <c r="K3593" s="142" t="s">
        <v>6817</v>
      </c>
      <c r="L3593" s="60">
        <v>150</v>
      </c>
      <c r="M3593" s="37" t="s">
        <v>6392</v>
      </c>
    </row>
    <row r="3594" spans="1:13" ht="14" x14ac:dyDescent="0.15">
      <c r="A3594" s="166" t="s">
        <v>2481</v>
      </c>
      <c r="B3594" s="93" t="s">
        <v>2480</v>
      </c>
      <c r="C3594" s="70" t="s">
        <v>3636</v>
      </c>
      <c r="D3594" s="70" t="s">
        <v>6983</v>
      </c>
      <c r="E3594" s="70" t="s">
        <v>3159</v>
      </c>
      <c r="F3594" s="70" t="s">
        <v>5677</v>
      </c>
      <c r="G3594" s="70" t="s">
        <v>3879</v>
      </c>
      <c r="H3594" s="93"/>
      <c r="I3594" s="85">
        <f t="shared" si="142"/>
        <v>2.8450980400142569</v>
      </c>
      <c r="J3594" s="85">
        <v>700</v>
      </c>
      <c r="K3594" s="142" t="s">
        <v>6391</v>
      </c>
      <c r="L3594" s="60">
        <v>150</v>
      </c>
      <c r="M3594" s="37" t="s">
        <v>6392</v>
      </c>
    </row>
    <row r="3595" spans="1:13" ht="14" x14ac:dyDescent="0.15">
      <c r="A3595" s="166" t="s">
        <v>2481</v>
      </c>
      <c r="B3595" s="93" t="s">
        <v>2480</v>
      </c>
      <c r="C3595" s="70" t="s">
        <v>3636</v>
      </c>
      <c r="D3595" s="70" t="s">
        <v>6983</v>
      </c>
      <c r="E3595" s="70" t="s">
        <v>3159</v>
      </c>
      <c r="F3595" s="70" t="s">
        <v>5677</v>
      </c>
      <c r="G3595" s="70" t="s">
        <v>7224</v>
      </c>
      <c r="H3595" s="93"/>
      <c r="I3595" s="85">
        <f t="shared" si="142"/>
        <v>2.8450980400142569</v>
      </c>
      <c r="J3595" s="85">
        <v>700</v>
      </c>
      <c r="K3595" s="131" t="s">
        <v>3177</v>
      </c>
      <c r="L3595" s="60">
        <v>75</v>
      </c>
    </row>
    <row r="3596" spans="1:13" ht="14" x14ac:dyDescent="0.15">
      <c r="A3596" s="166" t="s">
        <v>2481</v>
      </c>
      <c r="B3596" s="93" t="s">
        <v>2480</v>
      </c>
      <c r="C3596" s="70" t="s">
        <v>3636</v>
      </c>
      <c r="D3596" s="70" t="s">
        <v>6983</v>
      </c>
      <c r="E3596" s="70" t="s">
        <v>3159</v>
      </c>
      <c r="F3596" s="70" t="s">
        <v>5677</v>
      </c>
      <c r="G3596" s="70" t="s">
        <v>5511</v>
      </c>
      <c r="H3596" s="93"/>
      <c r="I3596" s="85">
        <f t="shared" si="142"/>
        <v>2.8750612633917001</v>
      </c>
      <c r="J3596" s="85">
        <v>750</v>
      </c>
      <c r="K3596" s="131" t="s">
        <v>3177</v>
      </c>
      <c r="L3596" s="60">
        <v>74</v>
      </c>
    </row>
    <row r="3597" spans="1:13" ht="14" x14ac:dyDescent="0.15">
      <c r="A3597" s="166" t="s">
        <v>2481</v>
      </c>
      <c r="B3597" s="93" t="s">
        <v>2480</v>
      </c>
      <c r="C3597" s="70" t="s">
        <v>3636</v>
      </c>
      <c r="D3597" s="70" t="s">
        <v>6983</v>
      </c>
      <c r="E3597" s="70" t="s">
        <v>3159</v>
      </c>
      <c r="F3597" s="70" t="s">
        <v>5677</v>
      </c>
      <c r="G3597" s="70" t="s">
        <v>5737</v>
      </c>
      <c r="H3597" s="93"/>
      <c r="I3597" s="85">
        <f t="shared" si="142"/>
        <v>2.8750612633917001</v>
      </c>
      <c r="J3597" s="85">
        <v>750</v>
      </c>
      <c r="K3597" s="142" t="s">
        <v>6391</v>
      </c>
      <c r="L3597" s="60">
        <v>150</v>
      </c>
      <c r="M3597" s="37" t="s">
        <v>6728</v>
      </c>
    </row>
    <row r="3598" spans="1:13" ht="14" x14ac:dyDescent="0.15">
      <c r="A3598" s="166" t="s">
        <v>2481</v>
      </c>
      <c r="B3598" s="93" t="s">
        <v>2480</v>
      </c>
      <c r="C3598" s="70" t="s">
        <v>3636</v>
      </c>
      <c r="D3598" s="70" t="s">
        <v>6983</v>
      </c>
      <c r="E3598" s="70" t="s">
        <v>3159</v>
      </c>
      <c r="F3598" s="70" t="s">
        <v>5677</v>
      </c>
      <c r="G3598" s="70" t="s">
        <v>5678</v>
      </c>
      <c r="H3598" s="93"/>
      <c r="I3598" s="85">
        <f t="shared" si="142"/>
        <v>2.888179493918325</v>
      </c>
      <c r="J3598" s="85">
        <v>773</v>
      </c>
      <c r="K3598" s="142" t="s">
        <v>6391</v>
      </c>
      <c r="L3598" s="60">
        <v>68</v>
      </c>
      <c r="M3598" s="37" t="s">
        <v>6392</v>
      </c>
    </row>
    <row r="3599" spans="1:13" ht="14" x14ac:dyDescent="0.15">
      <c r="A3599" s="166" t="s">
        <v>2481</v>
      </c>
      <c r="B3599" s="93" t="s">
        <v>2480</v>
      </c>
      <c r="C3599" s="70" t="s">
        <v>3636</v>
      </c>
      <c r="D3599" s="70" t="s">
        <v>6983</v>
      </c>
      <c r="E3599" s="70" t="s">
        <v>3159</v>
      </c>
      <c r="F3599" s="70" t="s">
        <v>5677</v>
      </c>
      <c r="G3599" s="70" t="s">
        <v>1908</v>
      </c>
      <c r="H3599" s="93"/>
      <c r="I3599" s="85">
        <f t="shared" si="142"/>
        <v>2.9542425094393248</v>
      </c>
      <c r="J3599" s="85">
        <v>900</v>
      </c>
      <c r="K3599" s="142" t="s">
        <v>6391</v>
      </c>
      <c r="L3599" s="60">
        <v>150</v>
      </c>
      <c r="M3599" s="37" t="s">
        <v>6392</v>
      </c>
    </row>
    <row r="3600" spans="1:13" ht="14" x14ac:dyDescent="0.15">
      <c r="A3600" s="166" t="s">
        <v>2481</v>
      </c>
      <c r="B3600" s="93" t="s">
        <v>5613</v>
      </c>
      <c r="C3600" s="70" t="s">
        <v>3636</v>
      </c>
      <c r="D3600" s="70" t="s">
        <v>6983</v>
      </c>
      <c r="E3600" s="70" t="s">
        <v>3394</v>
      </c>
      <c r="F3600" s="70" t="s">
        <v>5679</v>
      </c>
      <c r="G3600" s="70" t="s">
        <v>5586</v>
      </c>
      <c r="H3600" s="93"/>
      <c r="I3600" s="85">
        <f t="shared" si="142"/>
        <v>1.4393326938302626</v>
      </c>
      <c r="J3600" s="85">
        <f>1000*0.0275</f>
        <v>27.5</v>
      </c>
      <c r="K3600" s="131" t="s">
        <v>6391</v>
      </c>
      <c r="L3600" s="60">
        <v>60</v>
      </c>
      <c r="M3600" s="33" t="s">
        <v>6727</v>
      </c>
    </row>
    <row r="3601" spans="1:13" ht="14" x14ac:dyDescent="0.15">
      <c r="A3601" s="166" t="s">
        <v>2481</v>
      </c>
      <c r="B3601" s="93" t="s">
        <v>5613</v>
      </c>
      <c r="C3601" s="70" t="s">
        <v>3636</v>
      </c>
      <c r="D3601" s="70" t="s">
        <v>6983</v>
      </c>
      <c r="E3601" s="70" t="s">
        <v>3394</v>
      </c>
      <c r="F3601" s="70" t="s">
        <v>5679</v>
      </c>
      <c r="G3601" s="70" t="s">
        <v>5736</v>
      </c>
      <c r="H3601" s="93"/>
      <c r="I3601" s="85">
        <f t="shared" si="142"/>
        <v>2.0293837776852097</v>
      </c>
      <c r="J3601" s="85">
        <v>107</v>
      </c>
      <c r="K3601" s="131" t="s">
        <v>6630</v>
      </c>
      <c r="L3601" s="60">
        <v>148</v>
      </c>
      <c r="M3601" s="33" t="s">
        <v>6392</v>
      </c>
    </row>
    <row r="3602" spans="1:13" ht="14" x14ac:dyDescent="0.15">
      <c r="A3602" s="170" t="s">
        <v>2481</v>
      </c>
      <c r="B3602" s="82" t="s">
        <v>2487</v>
      </c>
      <c r="C3602" s="83" t="s">
        <v>3636</v>
      </c>
      <c r="D3602" s="83" t="s">
        <v>6983</v>
      </c>
      <c r="E3602" s="81" t="s">
        <v>3394</v>
      </c>
      <c r="F3602" s="83" t="s">
        <v>5679</v>
      </c>
      <c r="G3602" s="83" t="s">
        <v>5680</v>
      </c>
      <c r="H3602" s="82"/>
      <c r="I3602" s="85">
        <f t="shared" si="142"/>
        <v>2.0433622780211294</v>
      </c>
      <c r="J3602" s="84">
        <f>AVERAGE(86, 135)</f>
        <v>110.5</v>
      </c>
      <c r="K3602" s="139"/>
      <c r="L3602" s="72">
        <v>118</v>
      </c>
      <c r="M3602" s="31"/>
    </row>
    <row r="3603" spans="1:13" ht="14" x14ac:dyDescent="0.15">
      <c r="A3603" s="166" t="s">
        <v>2481</v>
      </c>
      <c r="B3603" s="93" t="s">
        <v>4705</v>
      </c>
      <c r="C3603" s="70" t="s">
        <v>3636</v>
      </c>
      <c r="D3603" s="70" t="s">
        <v>6983</v>
      </c>
      <c r="E3603" s="70" t="s">
        <v>3394</v>
      </c>
      <c r="F3603" s="70" t="s">
        <v>5679</v>
      </c>
      <c r="G3603" s="70" t="s">
        <v>5466</v>
      </c>
      <c r="H3603" s="93"/>
      <c r="I3603" s="85">
        <f t="shared" si="142"/>
        <v>2.0549958615291417</v>
      </c>
      <c r="J3603" s="85">
        <f>AVERAGE(104, 123)</f>
        <v>113.5</v>
      </c>
      <c r="K3603" s="131" t="s">
        <v>6630</v>
      </c>
      <c r="L3603" s="60" t="s">
        <v>1755</v>
      </c>
      <c r="M3603" s="49" t="s">
        <v>6727</v>
      </c>
    </row>
    <row r="3604" spans="1:13" ht="14" x14ac:dyDescent="0.15">
      <c r="A3604" s="166" t="s">
        <v>2481</v>
      </c>
      <c r="B3604" s="93" t="s">
        <v>5613</v>
      </c>
      <c r="C3604" s="70" t="s">
        <v>3636</v>
      </c>
      <c r="D3604" s="70" t="s">
        <v>6983</v>
      </c>
      <c r="E3604" s="70" t="s">
        <v>3394</v>
      </c>
      <c r="F3604" s="70" t="s">
        <v>5679</v>
      </c>
      <c r="G3604" s="70" t="s">
        <v>5587</v>
      </c>
      <c r="H3604" s="93"/>
      <c r="I3604" s="85">
        <f t="shared" si="142"/>
        <v>2.3010299956639813</v>
      </c>
      <c r="J3604" s="85">
        <v>200</v>
      </c>
      <c r="K3604" s="131" t="s">
        <v>6391</v>
      </c>
      <c r="L3604" s="70">
        <v>74</v>
      </c>
      <c r="M3604" s="49" t="s">
        <v>6392</v>
      </c>
    </row>
    <row r="3605" spans="1:13" ht="14" x14ac:dyDescent="0.15">
      <c r="A3605" s="166" t="s">
        <v>2481</v>
      </c>
      <c r="B3605" s="82" t="s">
        <v>2487</v>
      </c>
      <c r="C3605" s="70" t="s">
        <v>3636</v>
      </c>
      <c r="D3605" s="70" t="s">
        <v>3902</v>
      </c>
      <c r="E3605" s="70" t="s">
        <v>3432</v>
      </c>
      <c r="F3605" s="70" t="s">
        <v>5262</v>
      </c>
      <c r="G3605" s="70" t="s">
        <v>3249</v>
      </c>
      <c r="H3605" s="93"/>
      <c r="I3605" s="85">
        <f t="shared" si="142"/>
        <v>6.4345689040341991</v>
      </c>
      <c r="J3605" s="85">
        <v>2720000</v>
      </c>
      <c r="K3605" s="131" t="s">
        <v>6485</v>
      </c>
      <c r="L3605" s="63" t="s">
        <v>5705</v>
      </c>
      <c r="M3605" s="33" t="s">
        <v>6390</v>
      </c>
    </row>
    <row r="3606" spans="1:13" ht="14" x14ac:dyDescent="0.15">
      <c r="A3606" s="166" t="s">
        <v>2481</v>
      </c>
      <c r="B3606" s="82" t="s">
        <v>2330</v>
      </c>
      <c r="C3606" s="70" t="s">
        <v>3636</v>
      </c>
      <c r="D3606" s="70" t="s">
        <v>3902</v>
      </c>
      <c r="E3606" s="70" t="s">
        <v>3432</v>
      </c>
      <c r="F3606" s="70" t="s">
        <v>5262</v>
      </c>
      <c r="G3606" s="70" t="s">
        <v>3249</v>
      </c>
      <c r="H3606" s="93"/>
      <c r="I3606" s="85">
        <f t="shared" si="142"/>
        <v>6.5191872321701414</v>
      </c>
      <c r="J3606" s="85">
        <f>7280*454</f>
        <v>3305120</v>
      </c>
      <c r="K3606" s="131">
        <f>2240*3 + 112*5</f>
        <v>7280</v>
      </c>
      <c r="L3606" s="60">
        <v>132</v>
      </c>
      <c r="M3606" s="33" t="s">
        <v>6390</v>
      </c>
    </row>
    <row r="3607" spans="1:13" ht="14" x14ac:dyDescent="0.15">
      <c r="A3607" s="166" t="s">
        <v>2481</v>
      </c>
      <c r="B3607" s="93" t="s">
        <v>2425</v>
      </c>
      <c r="C3607" s="70" t="s">
        <v>3636</v>
      </c>
      <c r="D3607" s="70" t="s">
        <v>3437</v>
      </c>
      <c r="E3607" s="70" t="s">
        <v>3598</v>
      </c>
      <c r="F3607" s="70" t="s">
        <v>5104</v>
      </c>
      <c r="G3607" s="70" t="s">
        <v>5827</v>
      </c>
      <c r="H3607" s="93"/>
      <c r="I3607" s="85">
        <f t="shared" si="142"/>
        <v>3.7520484478194387</v>
      </c>
      <c r="J3607" s="85">
        <v>5650</v>
      </c>
      <c r="K3607" s="131" t="s">
        <v>6485</v>
      </c>
      <c r="L3607" s="60">
        <v>68</v>
      </c>
    </row>
    <row r="3608" spans="1:13" ht="14" x14ac:dyDescent="0.15">
      <c r="A3608" s="166" t="s">
        <v>2481</v>
      </c>
      <c r="B3608" s="93" t="s">
        <v>1476</v>
      </c>
      <c r="C3608" s="70" t="s">
        <v>3636</v>
      </c>
      <c r="D3608" s="70" t="s">
        <v>3437</v>
      </c>
      <c r="E3608" s="70" t="s">
        <v>3598</v>
      </c>
      <c r="F3608" s="70" t="s">
        <v>5803</v>
      </c>
      <c r="G3608" s="70" t="s">
        <v>6401</v>
      </c>
      <c r="H3608" s="93"/>
      <c r="I3608" s="85">
        <f t="shared" si="142"/>
        <v>2.9030899869919438</v>
      </c>
      <c r="J3608" s="85">
        <f>AVERAGE(700, 900)</f>
        <v>800</v>
      </c>
      <c r="K3608" s="131" t="s">
        <v>3177</v>
      </c>
      <c r="L3608" s="60">
        <v>138</v>
      </c>
      <c r="M3608" s="33"/>
    </row>
    <row r="3609" spans="1:13" ht="14" x14ac:dyDescent="0.15">
      <c r="A3609" s="166" t="s">
        <v>2481</v>
      </c>
      <c r="B3609" s="93" t="s">
        <v>1901</v>
      </c>
      <c r="C3609" s="70" t="s">
        <v>3636</v>
      </c>
      <c r="D3609" s="70" t="s">
        <v>3437</v>
      </c>
      <c r="E3609" s="70" t="s">
        <v>3598</v>
      </c>
      <c r="F3609" s="70" t="s">
        <v>5803</v>
      </c>
      <c r="G3609" s="70" t="s">
        <v>5829</v>
      </c>
      <c r="H3609" s="93"/>
      <c r="I3609" s="85">
        <f t="shared" si="142"/>
        <v>3.1760912590556813</v>
      </c>
      <c r="J3609" s="85">
        <v>1500</v>
      </c>
      <c r="K3609" s="131" t="s">
        <v>6817</v>
      </c>
      <c r="L3609" s="60">
        <v>68</v>
      </c>
      <c r="M3609" s="49" t="s">
        <v>6728</v>
      </c>
    </row>
    <row r="3610" spans="1:13" ht="28" x14ac:dyDescent="0.15">
      <c r="A3610" s="166" t="s">
        <v>2481</v>
      </c>
      <c r="B3610" s="93" t="s">
        <v>5615</v>
      </c>
      <c r="C3610" s="70" t="s">
        <v>3636</v>
      </c>
      <c r="D3610" s="70" t="s">
        <v>3437</v>
      </c>
      <c r="E3610" s="70" t="s">
        <v>3598</v>
      </c>
      <c r="F3610" s="70" t="s">
        <v>5008</v>
      </c>
      <c r="G3610" s="70" t="s">
        <v>2820</v>
      </c>
      <c r="H3610" s="93"/>
      <c r="I3610" s="85">
        <v>-999</v>
      </c>
      <c r="J3610" s="85">
        <v>-999</v>
      </c>
      <c r="K3610" s="131" t="s">
        <v>3177</v>
      </c>
      <c r="L3610" s="60">
        <v>-999</v>
      </c>
      <c r="M3610" s="33"/>
    </row>
    <row r="3611" spans="1:13" ht="28" x14ac:dyDescent="0.15">
      <c r="A3611" s="166" t="s">
        <v>2481</v>
      </c>
      <c r="B3611" s="93" t="s">
        <v>5615</v>
      </c>
      <c r="C3611" s="70" t="s">
        <v>3636</v>
      </c>
      <c r="D3611" s="70" t="s">
        <v>3437</v>
      </c>
      <c r="E3611" s="70" t="s">
        <v>3598</v>
      </c>
      <c r="F3611" s="70" t="s">
        <v>5009</v>
      </c>
      <c r="G3611" s="70" t="s">
        <v>3804</v>
      </c>
      <c r="H3611" s="93"/>
      <c r="I3611" s="85">
        <v>-999</v>
      </c>
      <c r="J3611" s="85">
        <v>-999</v>
      </c>
      <c r="K3611" s="131" t="s">
        <v>3177</v>
      </c>
      <c r="L3611" s="60">
        <v>-999</v>
      </c>
      <c r="M3611" s="33"/>
    </row>
    <row r="3612" spans="1:13" ht="14" x14ac:dyDescent="0.15">
      <c r="A3612" s="166" t="s">
        <v>2481</v>
      </c>
      <c r="B3612" s="93" t="s">
        <v>5616</v>
      </c>
      <c r="C3612" s="70" t="s">
        <v>3636</v>
      </c>
      <c r="D3612" s="70" t="s">
        <v>3437</v>
      </c>
      <c r="E3612" s="70" t="s">
        <v>3598</v>
      </c>
      <c r="F3612" s="70" t="s">
        <v>5009</v>
      </c>
      <c r="G3612" s="70" t="s">
        <v>5010</v>
      </c>
      <c r="H3612" s="93"/>
      <c r="I3612" s="85">
        <v>-999</v>
      </c>
      <c r="J3612" s="85">
        <v>-999</v>
      </c>
      <c r="K3612" s="131" t="s">
        <v>3177</v>
      </c>
      <c r="L3612" s="60">
        <v>-999</v>
      </c>
      <c r="M3612" s="33"/>
    </row>
    <row r="3613" spans="1:13" ht="14" x14ac:dyDescent="0.15">
      <c r="A3613" s="166" t="s">
        <v>2481</v>
      </c>
      <c r="B3613" s="82" t="s">
        <v>2425</v>
      </c>
      <c r="C3613" s="70" t="s">
        <v>3636</v>
      </c>
      <c r="D3613" s="70" t="s">
        <v>3437</v>
      </c>
      <c r="E3613" s="70" t="s">
        <v>3598</v>
      </c>
      <c r="F3613" s="70" t="s">
        <v>3374</v>
      </c>
      <c r="G3613" s="70" t="s">
        <v>5001</v>
      </c>
      <c r="H3613" s="93"/>
      <c r="I3613" s="85">
        <v>-999</v>
      </c>
      <c r="J3613" s="85">
        <v>-999</v>
      </c>
      <c r="K3613" s="131" t="s">
        <v>3177</v>
      </c>
      <c r="L3613" s="60">
        <v>-999</v>
      </c>
      <c r="M3613" s="33"/>
    </row>
    <row r="3614" spans="1:13" ht="14" x14ac:dyDescent="0.15">
      <c r="A3614" s="166" t="s">
        <v>2481</v>
      </c>
      <c r="B3614" s="93" t="s">
        <v>2425</v>
      </c>
      <c r="C3614" s="73" t="s">
        <v>3636</v>
      </c>
      <c r="D3614" s="73" t="s">
        <v>3437</v>
      </c>
      <c r="E3614" s="73" t="s">
        <v>3598</v>
      </c>
      <c r="F3614" s="73" t="s">
        <v>3374</v>
      </c>
      <c r="G3614" s="73" t="s">
        <v>7117</v>
      </c>
      <c r="H3614" s="108"/>
      <c r="I3614" s="85">
        <v>-999</v>
      </c>
      <c r="J3614" s="95">
        <v>-999</v>
      </c>
      <c r="K3614" s="134" t="s">
        <v>3177</v>
      </c>
      <c r="L3614" s="63">
        <v>-999</v>
      </c>
      <c r="M3614" s="33"/>
    </row>
    <row r="3615" spans="1:13" ht="14" x14ac:dyDescent="0.15">
      <c r="A3615" s="166" t="s">
        <v>2481</v>
      </c>
      <c r="B3615" s="93" t="s">
        <v>2425</v>
      </c>
      <c r="C3615" s="70" t="s">
        <v>3636</v>
      </c>
      <c r="D3615" s="70" t="s">
        <v>3437</v>
      </c>
      <c r="E3615" s="70" t="s">
        <v>3598</v>
      </c>
      <c r="F3615" s="70" t="s">
        <v>3374</v>
      </c>
      <c r="G3615" s="70" t="s">
        <v>2085</v>
      </c>
      <c r="H3615" s="93"/>
      <c r="I3615" s="85">
        <v>-999</v>
      </c>
      <c r="J3615" s="85">
        <v>-999</v>
      </c>
      <c r="K3615" s="131" t="s">
        <v>3177</v>
      </c>
      <c r="L3615" s="60">
        <v>-999</v>
      </c>
      <c r="M3615" s="33"/>
    </row>
    <row r="3616" spans="1:13" ht="14" x14ac:dyDescent="0.15">
      <c r="A3616" s="166" t="s">
        <v>2481</v>
      </c>
      <c r="B3616" s="93" t="s">
        <v>2425</v>
      </c>
      <c r="C3616" s="70" t="s">
        <v>3636</v>
      </c>
      <c r="D3616" s="70" t="s">
        <v>3437</v>
      </c>
      <c r="E3616" s="70" t="s">
        <v>3598</v>
      </c>
      <c r="F3616" s="70" t="s">
        <v>3374</v>
      </c>
      <c r="G3616" s="70" t="s">
        <v>4852</v>
      </c>
      <c r="H3616" s="93"/>
      <c r="I3616" s="85">
        <v>-999</v>
      </c>
      <c r="J3616" s="85">
        <v>-999</v>
      </c>
      <c r="K3616" s="131" t="s">
        <v>3177</v>
      </c>
      <c r="L3616" s="60">
        <v>-999</v>
      </c>
      <c r="M3616" s="33"/>
    </row>
    <row r="3617" spans="1:13" ht="14" x14ac:dyDescent="0.15">
      <c r="A3617" s="166" t="s">
        <v>2481</v>
      </c>
      <c r="B3617" s="93" t="s">
        <v>2425</v>
      </c>
      <c r="C3617" s="70" t="s">
        <v>3636</v>
      </c>
      <c r="D3617" s="70" t="s">
        <v>3437</v>
      </c>
      <c r="E3617" s="70" t="s">
        <v>3598</v>
      </c>
      <c r="F3617" s="70" t="s">
        <v>5016</v>
      </c>
      <c r="G3617" s="70" t="s">
        <v>5017</v>
      </c>
      <c r="H3617" s="93"/>
      <c r="I3617" s="85">
        <v>-999</v>
      </c>
      <c r="J3617" s="85">
        <v>-999</v>
      </c>
      <c r="K3617" s="131" t="s">
        <v>3177</v>
      </c>
      <c r="L3617" s="60">
        <v>-999</v>
      </c>
      <c r="M3617" s="33"/>
    </row>
    <row r="3618" spans="1:13" ht="14" x14ac:dyDescent="0.15">
      <c r="A3618" s="166" t="s">
        <v>2481</v>
      </c>
      <c r="B3618" s="93" t="s">
        <v>2637</v>
      </c>
      <c r="C3618" s="73" t="s">
        <v>3636</v>
      </c>
      <c r="D3618" s="73" t="s">
        <v>3437</v>
      </c>
      <c r="E3618" s="73" t="s">
        <v>3598</v>
      </c>
      <c r="F3618" s="73" t="s">
        <v>5016</v>
      </c>
      <c r="G3618" s="73" t="s">
        <v>5018</v>
      </c>
      <c r="H3618" s="108"/>
      <c r="I3618" s="85">
        <v>-999</v>
      </c>
      <c r="J3618" s="95">
        <v>-999</v>
      </c>
      <c r="K3618" s="131" t="s">
        <v>3177</v>
      </c>
      <c r="L3618" s="60">
        <v>-999</v>
      </c>
      <c r="M3618" s="33"/>
    </row>
    <row r="3619" spans="1:13" ht="14" x14ac:dyDescent="0.15">
      <c r="A3619" s="166" t="s">
        <v>2481</v>
      </c>
      <c r="B3619" s="93" t="s">
        <v>2425</v>
      </c>
      <c r="C3619" s="70" t="s">
        <v>3636</v>
      </c>
      <c r="D3619" s="70" t="s">
        <v>3437</v>
      </c>
      <c r="E3619" s="73" t="s">
        <v>3598</v>
      </c>
      <c r="F3619" s="70" t="s">
        <v>5016</v>
      </c>
      <c r="G3619" s="70" t="s">
        <v>3426</v>
      </c>
      <c r="H3619" s="93"/>
      <c r="I3619" s="85">
        <v>-999</v>
      </c>
      <c r="J3619" s="85">
        <v>-999</v>
      </c>
      <c r="K3619" s="131" t="s">
        <v>3177</v>
      </c>
      <c r="L3619" s="60">
        <v>-999</v>
      </c>
      <c r="M3619" s="33"/>
    </row>
    <row r="3620" spans="1:13" ht="14" x14ac:dyDescent="0.15">
      <c r="A3620" s="166" t="s">
        <v>2481</v>
      </c>
      <c r="B3620" s="93" t="s">
        <v>2637</v>
      </c>
      <c r="C3620" s="70" t="s">
        <v>3636</v>
      </c>
      <c r="D3620" s="70" t="s">
        <v>3437</v>
      </c>
      <c r="E3620" s="70" t="s">
        <v>3598</v>
      </c>
      <c r="F3620" s="70" t="s">
        <v>5016</v>
      </c>
      <c r="G3620" s="70" t="s">
        <v>5019</v>
      </c>
      <c r="H3620" s="93"/>
      <c r="I3620" s="85">
        <v>-999</v>
      </c>
      <c r="J3620" s="85">
        <v>-999</v>
      </c>
      <c r="K3620" s="131" t="s">
        <v>3177</v>
      </c>
      <c r="L3620" s="60">
        <v>-999</v>
      </c>
      <c r="M3620" s="33"/>
    </row>
    <row r="3621" spans="1:13" ht="14" x14ac:dyDescent="0.15">
      <c r="A3621" s="166" t="s">
        <v>2481</v>
      </c>
      <c r="B3621" s="93" t="s">
        <v>2425</v>
      </c>
      <c r="C3621" s="70" t="s">
        <v>3636</v>
      </c>
      <c r="D3621" s="70" t="s">
        <v>3437</v>
      </c>
      <c r="E3621" s="70" t="s">
        <v>3598</v>
      </c>
      <c r="F3621" s="70" t="s">
        <v>5016</v>
      </c>
      <c r="G3621" s="70" t="s">
        <v>5670</v>
      </c>
      <c r="H3621" s="93"/>
      <c r="I3621" s="85">
        <v>-999</v>
      </c>
      <c r="J3621" s="85">
        <v>-999</v>
      </c>
      <c r="K3621" s="131" t="s">
        <v>3177</v>
      </c>
      <c r="L3621" s="60">
        <v>-999</v>
      </c>
      <c r="M3621" s="33"/>
    </row>
    <row r="3622" spans="1:13" ht="14" x14ac:dyDescent="0.15">
      <c r="A3622" s="166" t="s">
        <v>2481</v>
      </c>
      <c r="B3622" s="93" t="s">
        <v>2019</v>
      </c>
      <c r="C3622" s="70" t="s">
        <v>3636</v>
      </c>
      <c r="D3622" s="70" t="s">
        <v>3437</v>
      </c>
      <c r="E3622" s="70" t="s">
        <v>3598</v>
      </c>
      <c r="F3622" s="70" t="s">
        <v>5645</v>
      </c>
      <c r="G3622" s="70" t="s">
        <v>5646</v>
      </c>
      <c r="H3622" s="93"/>
      <c r="I3622" s="85">
        <f>LOG(J3622)</f>
        <v>3.1027766148834415</v>
      </c>
      <c r="J3622" s="85">
        <v>1267</v>
      </c>
      <c r="K3622" s="131" t="s">
        <v>6485</v>
      </c>
      <c r="L3622" s="60">
        <v>68</v>
      </c>
    </row>
    <row r="3623" spans="1:13" ht="14" x14ac:dyDescent="0.15">
      <c r="A3623" s="166" t="s">
        <v>2481</v>
      </c>
      <c r="B3623" s="93" t="s">
        <v>2480</v>
      </c>
      <c r="C3623" s="70" t="s">
        <v>3636</v>
      </c>
      <c r="D3623" s="70" t="s">
        <v>3437</v>
      </c>
      <c r="E3623" s="70" t="s">
        <v>3161</v>
      </c>
      <c r="F3623" s="70" t="s">
        <v>4849</v>
      </c>
      <c r="G3623" s="70" t="s">
        <v>4850</v>
      </c>
      <c r="H3623" s="93"/>
      <c r="I3623" s="85">
        <f>LOG(J3623)</f>
        <v>2.287801729930226</v>
      </c>
      <c r="J3623" s="85">
        <v>194</v>
      </c>
      <c r="K3623" s="131" t="s">
        <v>6485</v>
      </c>
      <c r="L3623" s="60">
        <v>68</v>
      </c>
      <c r="M3623" s="37"/>
    </row>
    <row r="3624" spans="1:13" ht="14" x14ac:dyDescent="0.15">
      <c r="A3624" s="166" t="s">
        <v>2481</v>
      </c>
      <c r="B3624" s="82" t="s">
        <v>2639</v>
      </c>
      <c r="C3624" s="70" t="s">
        <v>3636</v>
      </c>
      <c r="D3624" s="70" t="s">
        <v>3437</v>
      </c>
      <c r="E3624" s="70" t="s">
        <v>3070</v>
      </c>
      <c r="F3624" s="70" t="s">
        <v>2781</v>
      </c>
      <c r="G3624" s="70" t="s">
        <v>7425</v>
      </c>
      <c r="H3624" s="93"/>
      <c r="I3624" s="85">
        <v>-999</v>
      </c>
      <c r="J3624" s="85">
        <v>-999</v>
      </c>
      <c r="K3624" s="131" t="s">
        <v>6817</v>
      </c>
      <c r="L3624" s="60">
        <v>-999</v>
      </c>
      <c r="M3624" s="33" t="s">
        <v>6390</v>
      </c>
    </row>
    <row r="3625" spans="1:13" ht="14" x14ac:dyDescent="0.15">
      <c r="A3625" s="166" t="s">
        <v>2481</v>
      </c>
      <c r="B3625" s="93" t="s">
        <v>2162</v>
      </c>
      <c r="C3625" s="70" t="s">
        <v>3636</v>
      </c>
      <c r="D3625" s="70" t="s">
        <v>3437</v>
      </c>
      <c r="E3625" s="70" t="s">
        <v>3070</v>
      </c>
      <c r="F3625" s="70" t="s">
        <v>2781</v>
      </c>
      <c r="G3625" s="70" t="s">
        <v>4916</v>
      </c>
      <c r="H3625" s="93"/>
      <c r="I3625" s="85">
        <v>-999</v>
      </c>
      <c r="J3625" s="85">
        <v>-999</v>
      </c>
      <c r="K3625" s="131" t="s">
        <v>6817</v>
      </c>
      <c r="L3625" s="60">
        <v>-999</v>
      </c>
      <c r="M3625" s="33" t="s">
        <v>6390</v>
      </c>
    </row>
    <row r="3626" spans="1:13" ht="16" x14ac:dyDescent="0.2">
      <c r="A3626" s="166" t="s">
        <v>2481</v>
      </c>
      <c r="B3626" s="93" t="s">
        <v>7824</v>
      </c>
      <c r="C3626" s="70" t="s">
        <v>3636</v>
      </c>
      <c r="D3626" s="70" t="s">
        <v>3437</v>
      </c>
      <c r="E3626" s="70" t="s">
        <v>5992</v>
      </c>
      <c r="F3626" s="70" t="s">
        <v>5061</v>
      </c>
      <c r="G3626" s="70" t="s">
        <v>7940</v>
      </c>
      <c r="H3626" s="93"/>
      <c r="I3626" s="85">
        <v>-999</v>
      </c>
      <c r="J3626" s="85">
        <v>-999</v>
      </c>
      <c r="K3626" s="131" t="s">
        <v>3177</v>
      </c>
      <c r="L3626" s="60">
        <v>-999</v>
      </c>
      <c r="M3626" s="47"/>
    </row>
    <row r="3627" spans="1:13" ht="14" x14ac:dyDescent="0.15">
      <c r="A3627" s="166" t="s">
        <v>2481</v>
      </c>
      <c r="B3627" s="82" t="s">
        <v>2552</v>
      </c>
      <c r="C3627" s="70" t="s">
        <v>3636</v>
      </c>
      <c r="D3627" s="70" t="s">
        <v>3437</v>
      </c>
      <c r="E3627" s="70" t="s">
        <v>6221</v>
      </c>
      <c r="F3627" s="70" t="s">
        <v>7474</v>
      </c>
      <c r="G3627" s="70" t="s">
        <v>4647</v>
      </c>
      <c r="H3627" s="93"/>
      <c r="I3627" s="85">
        <v>-999</v>
      </c>
      <c r="J3627" s="85">
        <v>-999</v>
      </c>
      <c r="K3627" s="131" t="s">
        <v>3177</v>
      </c>
      <c r="L3627" s="60">
        <v>-999</v>
      </c>
      <c r="M3627" s="33"/>
    </row>
    <row r="3628" spans="1:13" ht="14" x14ac:dyDescent="0.15">
      <c r="A3628" s="166" t="s">
        <v>2481</v>
      </c>
      <c r="B3628" s="82" t="s">
        <v>2552</v>
      </c>
      <c r="C3628" s="70" t="s">
        <v>3636</v>
      </c>
      <c r="D3628" s="70" t="s">
        <v>3437</v>
      </c>
      <c r="E3628" s="70" t="s">
        <v>6221</v>
      </c>
      <c r="F3628" s="70" t="s">
        <v>7474</v>
      </c>
      <c r="G3628" s="70" t="s">
        <v>4648</v>
      </c>
      <c r="H3628" s="93"/>
      <c r="I3628" s="85">
        <v>-999</v>
      </c>
      <c r="J3628" s="85">
        <v>-999</v>
      </c>
      <c r="K3628" s="131" t="s">
        <v>3177</v>
      </c>
      <c r="L3628" s="60">
        <v>-999</v>
      </c>
      <c r="M3628" s="33"/>
    </row>
    <row r="3629" spans="1:13" ht="14" x14ac:dyDescent="0.15">
      <c r="A3629" s="166" t="s">
        <v>2481</v>
      </c>
      <c r="B3629" s="93" t="s">
        <v>2298</v>
      </c>
      <c r="C3629" s="70" t="s">
        <v>3636</v>
      </c>
      <c r="D3629" s="70" t="s">
        <v>3437</v>
      </c>
      <c r="E3629" s="73" t="s">
        <v>6221</v>
      </c>
      <c r="F3629" s="70" t="s">
        <v>4649</v>
      </c>
      <c r="G3629" s="70" t="s">
        <v>4650</v>
      </c>
      <c r="H3629" s="93"/>
      <c r="I3629" s="85">
        <v>-999</v>
      </c>
      <c r="J3629" s="85">
        <v>-999</v>
      </c>
      <c r="K3629" s="131" t="s">
        <v>3177</v>
      </c>
      <c r="L3629" s="60">
        <v>-999</v>
      </c>
      <c r="M3629" s="33"/>
    </row>
    <row r="3630" spans="1:13" ht="28" x14ac:dyDescent="0.15">
      <c r="A3630" s="166" t="s">
        <v>2481</v>
      </c>
      <c r="B3630" s="93" t="s">
        <v>2280</v>
      </c>
      <c r="C3630" s="73" t="s">
        <v>3636</v>
      </c>
      <c r="D3630" s="73" t="s">
        <v>3437</v>
      </c>
      <c r="E3630" s="73" t="s">
        <v>6221</v>
      </c>
      <c r="F3630" s="73" t="s">
        <v>4649</v>
      </c>
      <c r="G3630" s="73" t="s">
        <v>4651</v>
      </c>
      <c r="H3630" s="108"/>
      <c r="I3630" s="85">
        <v>-999</v>
      </c>
      <c r="J3630" s="95">
        <v>-999</v>
      </c>
      <c r="K3630" s="131" t="s">
        <v>3177</v>
      </c>
      <c r="L3630" s="60">
        <v>-999</v>
      </c>
      <c r="M3630" s="33"/>
    </row>
    <row r="3631" spans="1:13" ht="14" x14ac:dyDescent="0.15">
      <c r="A3631" s="166" t="s">
        <v>2481</v>
      </c>
      <c r="B3631" s="93" t="s">
        <v>2281</v>
      </c>
      <c r="C3631" s="70" t="s">
        <v>3636</v>
      </c>
      <c r="D3631" s="70" t="s">
        <v>3437</v>
      </c>
      <c r="E3631" s="73" t="s">
        <v>6221</v>
      </c>
      <c r="F3631" s="70" t="s">
        <v>2973</v>
      </c>
      <c r="G3631" s="70" t="s">
        <v>5191</v>
      </c>
      <c r="H3631" s="93"/>
      <c r="I3631" s="85">
        <v>-999</v>
      </c>
      <c r="J3631" s="85">
        <v>-999</v>
      </c>
      <c r="K3631" s="131" t="s">
        <v>3177</v>
      </c>
      <c r="L3631" s="60">
        <v>-999</v>
      </c>
      <c r="M3631" s="33"/>
    </row>
    <row r="3632" spans="1:13" ht="14" x14ac:dyDescent="0.15">
      <c r="A3632" s="166" t="s">
        <v>2481</v>
      </c>
      <c r="B3632" s="93" t="s">
        <v>2281</v>
      </c>
      <c r="C3632" s="70" t="s">
        <v>3636</v>
      </c>
      <c r="D3632" s="70" t="s">
        <v>3437</v>
      </c>
      <c r="E3632" s="70" t="s">
        <v>6221</v>
      </c>
      <c r="F3632" s="70" t="s">
        <v>2973</v>
      </c>
      <c r="G3632" s="70" t="s">
        <v>5192</v>
      </c>
      <c r="H3632" s="93"/>
      <c r="I3632" s="85">
        <v>-999</v>
      </c>
      <c r="J3632" s="85">
        <v>-999</v>
      </c>
      <c r="K3632" s="131" t="s">
        <v>3177</v>
      </c>
      <c r="L3632" s="60">
        <v>-999</v>
      </c>
      <c r="M3632" s="33"/>
    </row>
    <row r="3633" spans="1:13" ht="14" x14ac:dyDescent="0.15">
      <c r="A3633" s="166" t="s">
        <v>2481</v>
      </c>
      <c r="B3633" s="93" t="s">
        <v>5014</v>
      </c>
      <c r="C3633" s="70" t="s">
        <v>3636</v>
      </c>
      <c r="D3633" s="70" t="s">
        <v>3437</v>
      </c>
      <c r="E3633" s="70" t="s">
        <v>6221</v>
      </c>
      <c r="F3633" s="70" t="s">
        <v>3848</v>
      </c>
      <c r="G3633" s="70" t="s">
        <v>4665</v>
      </c>
      <c r="H3633" s="93"/>
      <c r="I3633" s="85">
        <v>-999</v>
      </c>
      <c r="J3633" s="85">
        <v>-999</v>
      </c>
      <c r="K3633" s="131" t="s">
        <v>3177</v>
      </c>
      <c r="L3633" s="60">
        <v>-999</v>
      </c>
      <c r="M3633" s="33"/>
    </row>
    <row r="3634" spans="1:13" ht="14" x14ac:dyDescent="0.15">
      <c r="A3634" s="166" t="s">
        <v>2481</v>
      </c>
      <c r="B3634" s="82" t="s">
        <v>2147</v>
      </c>
      <c r="C3634" s="70" t="s">
        <v>3636</v>
      </c>
      <c r="D3634" s="70" t="s">
        <v>3437</v>
      </c>
      <c r="E3634" s="70" t="s">
        <v>5865</v>
      </c>
      <c r="F3634" s="70" t="s">
        <v>6397</v>
      </c>
      <c r="G3634" s="70" t="s">
        <v>6375</v>
      </c>
      <c r="H3634" s="93"/>
      <c r="I3634" s="85">
        <v>-999</v>
      </c>
      <c r="J3634" s="85">
        <v>-999</v>
      </c>
      <c r="K3634" s="131" t="s">
        <v>3177</v>
      </c>
      <c r="L3634" s="60">
        <v>-999</v>
      </c>
      <c r="M3634" s="33"/>
    </row>
    <row r="3635" spans="1:13" ht="14" x14ac:dyDescent="0.15">
      <c r="A3635" s="166" t="s">
        <v>2481</v>
      </c>
      <c r="B3635" s="93" t="s">
        <v>1901</v>
      </c>
      <c r="C3635" s="70" t="s">
        <v>3636</v>
      </c>
      <c r="D3635" s="70" t="s">
        <v>3437</v>
      </c>
      <c r="E3635" s="70" t="s">
        <v>5865</v>
      </c>
      <c r="F3635" s="70" t="s">
        <v>6395</v>
      </c>
      <c r="G3635" s="70" t="s">
        <v>6396</v>
      </c>
      <c r="H3635" s="93"/>
      <c r="I3635" s="85">
        <v>-999</v>
      </c>
      <c r="J3635" s="85">
        <v>-999</v>
      </c>
      <c r="K3635" s="131" t="s">
        <v>3177</v>
      </c>
      <c r="L3635" s="60">
        <v>-999</v>
      </c>
      <c r="M3635" s="33"/>
    </row>
    <row r="3636" spans="1:13" ht="14" x14ac:dyDescent="0.15">
      <c r="A3636" s="166" t="s">
        <v>2481</v>
      </c>
      <c r="B3636" s="93" t="s">
        <v>1901</v>
      </c>
      <c r="C3636" s="70" t="s">
        <v>3636</v>
      </c>
      <c r="D3636" s="70" t="s">
        <v>3437</v>
      </c>
      <c r="E3636" s="70" t="s">
        <v>5865</v>
      </c>
      <c r="F3636" s="70" t="s">
        <v>6395</v>
      </c>
      <c r="G3636" s="70" t="s">
        <v>7064</v>
      </c>
      <c r="H3636" s="93"/>
      <c r="I3636" s="85">
        <v>-999</v>
      </c>
      <c r="J3636" s="85">
        <v>-999</v>
      </c>
      <c r="K3636" s="131" t="s">
        <v>3177</v>
      </c>
      <c r="L3636" s="60">
        <v>-999</v>
      </c>
      <c r="M3636" s="33"/>
    </row>
    <row r="3637" spans="1:13" ht="28" x14ac:dyDescent="0.2">
      <c r="A3637" s="166" t="s">
        <v>2481</v>
      </c>
      <c r="B3637" s="93" t="s">
        <v>2471</v>
      </c>
      <c r="C3637" s="73" t="s">
        <v>3636</v>
      </c>
      <c r="D3637" s="73" t="s">
        <v>3437</v>
      </c>
      <c r="E3637" s="73" t="s">
        <v>3826</v>
      </c>
      <c r="F3637" s="73" t="s">
        <v>2847</v>
      </c>
      <c r="G3637" s="73" t="s">
        <v>7852</v>
      </c>
      <c r="H3637" s="108"/>
      <c r="I3637" s="85">
        <v>-999</v>
      </c>
      <c r="J3637" s="95">
        <v>-999</v>
      </c>
      <c r="K3637" s="131" t="s">
        <v>7875</v>
      </c>
      <c r="L3637" s="74">
        <v>-999</v>
      </c>
      <c r="M3637" s="47" t="s">
        <v>6809</v>
      </c>
    </row>
    <row r="3638" spans="1:13" ht="28" x14ac:dyDescent="0.15">
      <c r="A3638" s="166" t="s">
        <v>6660</v>
      </c>
      <c r="B3638" s="93" t="s">
        <v>6661</v>
      </c>
      <c r="C3638" s="70" t="s">
        <v>3636</v>
      </c>
      <c r="D3638" s="70" t="s">
        <v>3437</v>
      </c>
      <c r="E3638" s="70" t="s">
        <v>3826</v>
      </c>
      <c r="F3638" s="70" t="s">
        <v>2847</v>
      </c>
      <c r="G3638" s="70" t="s">
        <v>7995</v>
      </c>
      <c r="H3638" s="93"/>
      <c r="I3638" s="85">
        <f t="shared" ref="I3638:I3647" si="143">LOG(J3638)</f>
        <v>1.5826314394896364</v>
      </c>
      <c r="J3638" s="85">
        <f>AVERAGE(42.2, 34.3)</f>
        <v>38.25</v>
      </c>
      <c r="K3638" s="131" t="s">
        <v>7875</v>
      </c>
      <c r="L3638" s="60">
        <v>84</v>
      </c>
      <c r="M3638" s="49" t="s">
        <v>6809</v>
      </c>
    </row>
    <row r="3639" spans="1:13" ht="42" x14ac:dyDescent="0.15">
      <c r="A3639" s="166" t="s">
        <v>2481</v>
      </c>
      <c r="B3639" s="93" t="s">
        <v>2562</v>
      </c>
      <c r="C3639" s="70" t="s">
        <v>3636</v>
      </c>
      <c r="D3639" s="70" t="s">
        <v>3437</v>
      </c>
      <c r="E3639" s="70" t="s">
        <v>3826</v>
      </c>
      <c r="F3639" s="70" t="s">
        <v>2847</v>
      </c>
      <c r="G3639" s="70" t="s">
        <v>2953</v>
      </c>
      <c r="H3639" s="93"/>
      <c r="I3639" s="85">
        <f t="shared" si="143"/>
        <v>1.6924062348336306</v>
      </c>
      <c r="J3639" s="85">
        <f>AVERAGE(46, 44, 47, 60)</f>
        <v>49.25</v>
      </c>
      <c r="K3639" s="131" t="s">
        <v>6595</v>
      </c>
      <c r="L3639" s="60">
        <v>83</v>
      </c>
    </row>
    <row r="3640" spans="1:13" ht="14" x14ac:dyDescent="0.15">
      <c r="A3640" s="166" t="s">
        <v>2481</v>
      </c>
      <c r="B3640" s="93" t="s">
        <v>4705</v>
      </c>
      <c r="C3640" s="70" t="s">
        <v>3636</v>
      </c>
      <c r="D3640" s="70" t="s">
        <v>3437</v>
      </c>
      <c r="E3640" s="70" t="s">
        <v>6973</v>
      </c>
      <c r="F3640" s="70" t="s">
        <v>6976</v>
      </c>
      <c r="G3640" s="70" t="s">
        <v>5297</v>
      </c>
      <c r="H3640" s="93"/>
      <c r="I3640" s="85">
        <f t="shared" si="143"/>
        <v>3.4377505628203879</v>
      </c>
      <c r="J3640" s="85">
        <v>2740</v>
      </c>
      <c r="K3640" s="131" t="s">
        <v>6485</v>
      </c>
      <c r="L3640" s="60">
        <v>68</v>
      </c>
    </row>
    <row r="3641" spans="1:13" ht="14" x14ac:dyDescent="0.15">
      <c r="A3641" s="166" t="s">
        <v>2481</v>
      </c>
      <c r="B3641" s="93" t="s">
        <v>2178</v>
      </c>
      <c r="C3641" s="70" t="s">
        <v>3636</v>
      </c>
      <c r="D3641" s="70" t="s">
        <v>3437</v>
      </c>
      <c r="E3641" s="70" t="s">
        <v>6973</v>
      </c>
      <c r="F3641" s="70" t="s">
        <v>6976</v>
      </c>
      <c r="G3641" s="70" t="s">
        <v>7309</v>
      </c>
      <c r="H3641" s="93"/>
      <c r="I3641" s="85">
        <f t="shared" si="143"/>
        <v>3.5132176000679389</v>
      </c>
      <c r="J3641" s="85">
        <f>1000*3.26</f>
        <v>3260</v>
      </c>
      <c r="K3641" s="131" t="s">
        <v>3177</v>
      </c>
      <c r="L3641" s="60">
        <v>60</v>
      </c>
      <c r="M3641" s="33"/>
    </row>
    <row r="3642" spans="1:13" ht="14" x14ac:dyDescent="0.15">
      <c r="A3642" s="166" t="s">
        <v>2481</v>
      </c>
      <c r="B3642" s="93" t="s">
        <v>2018</v>
      </c>
      <c r="C3642" s="70" t="s">
        <v>3636</v>
      </c>
      <c r="D3642" s="70" t="s">
        <v>3437</v>
      </c>
      <c r="E3642" s="70" t="s">
        <v>6973</v>
      </c>
      <c r="F3642" s="70" t="s">
        <v>6976</v>
      </c>
      <c r="G3642" s="70" t="s">
        <v>5093</v>
      </c>
      <c r="H3642" s="93"/>
      <c r="I3642" s="85">
        <f t="shared" si="143"/>
        <v>3.7359999999999989</v>
      </c>
      <c r="J3642" s="85">
        <v>5445.0265284241996</v>
      </c>
      <c r="K3642" s="131" t="s">
        <v>3177</v>
      </c>
      <c r="L3642" s="60">
        <v>165</v>
      </c>
      <c r="M3642" s="33" t="s">
        <v>6392</v>
      </c>
    </row>
    <row r="3643" spans="1:13" ht="14" x14ac:dyDescent="0.15">
      <c r="A3643" s="166" t="s">
        <v>2481</v>
      </c>
      <c r="B3643" s="82" t="s">
        <v>2018</v>
      </c>
      <c r="C3643" s="70" t="s">
        <v>3636</v>
      </c>
      <c r="D3643" s="70" t="s">
        <v>3437</v>
      </c>
      <c r="E3643" s="70" t="s">
        <v>6973</v>
      </c>
      <c r="F3643" s="70" t="s">
        <v>6976</v>
      </c>
      <c r="G3643" s="70" t="s">
        <v>5296</v>
      </c>
      <c r="H3643" s="93"/>
      <c r="I3643" s="85">
        <f t="shared" si="143"/>
        <v>3.9493900066449128</v>
      </c>
      <c r="J3643" s="85">
        <f>AVERAGE(8000, 9800)</f>
        <v>8900</v>
      </c>
      <c r="K3643" s="131" t="s">
        <v>6485</v>
      </c>
      <c r="L3643" s="60" t="s">
        <v>7536</v>
      </c>
      <c r="M3643" s="33" t="s">
        <v>6728</v>
      </c>
    </row>
    <row r="3644" spans="1:13" ht="14" x14ac:dyDescent="0.15">
      <c r="A3644" s="166" t="s">
        <v>2481</v>
      </c>
      <c r="B3644" s="82" t="s">
        <v>2330</v>
      </c>
      <c r="C3644" s="70" t="s">
        <v>3636</v>
      </c>
      <c r="D3644" s="70" t="s">
        <v>3437</v>
      </c>
      <c r="E3644" s="70" t="s">
        <v>6973</v>
      </c>
      <c r="F3644" s="70" t="s">
        <v>6976</v>
      </c>
      <c r="G3644" s="70" t="s">
        <v>3926</v>
      </c>
      <c r="H3644" s="93"/>
      <c r="I3644" s="85">
        <f t="shared" si="143"/>
        <v>4.0095212717240525</v>
      </c>
      <c r="J3644" s="85">
        <f>AVERAGE((29*454), (32*454), (29*454), (26.625))</f>
        <v>10221.65625</v>
      </c>
      <c r="K3644" s="131"/>
      <c r="L3644" s="60">
        <v>132</v>
      </c>
      <c r="M3644" s="33"/>
    </row>
    <row r="3645" spans="1:13" ht="16" x14ac:dyDescent="0.2">
      <c r="A3645" s="166" t="s">
        <v>2481</v>
      </c>
      <c r="B3645" s="93" t="s">
        <v>1348</v>
      </c>
      <c r="C3645" s="70" t="s">
        <v>3636</v>
      </c>
      <c r="D3645" s="70" t="s">
        <v>3437</v>
      </c>
      <c r="E3645" s="70" t="s">
        <v>6973</v>
      </c>
      <c r="F3645" s="70" t="s">
        <v>6976</v>
      </c>
      <c r="G3645" s="70" t="s">
        <v>5424</v>
      </c>
      <c r="H3645" s="93"/>
      <c r="I3645" s="85">
        <f t="shared" si="143"/>
        <v>4.3620000000000001</v>
      </c>
      <c r="J3645" s="85">
        <v>23014.418174085102</v>
      </c>
      <c r="K3645" s="131" t="s">
        <v>3177</v>
      </c>
      <c r="L3645" s="60">
        <v>165</v>
      </c>
      <c r="M3645" s="47"/>
    </row>
    <row r="3646" spans="1:13" ht="14" x14ac:dyDescent="0.15">
      <c r="A3646" s="166" t="s">
        <v>2481</v>
      </c>
      <c r="B3646" s="93" t="s">
        <v>7910</v>
      </c>
      <c r="C3646" s="70" t="s">
        <v>3636</v>
      </c>
      <c r="D3646" s="70" t="s">
        <v>3437</v>
      </c>
      <c r="E3646" s="70" t="s">
        <v>6973</v>
      </c>
      <c r="F3646" s="70" t="s">
        <v>7310</v>
      </c>
      <c r="G3646" s="70" t="s">
        <v>7311</v>
      </c>
      <c r="H3646" s="93"/>
      <c r="I3646" s="85">
        <f t="shared" si="143"/>
        <v>3.2430380486862944</v>
      </c>
      <c r="J3646" s="85">
        <f>AVERAGE(1500, 2000)</f>
        <v>1750</v>
      </c>
      <c r="K3646" s="131" t="s">
        <v>3177</v>
      </c>
      <c r="L3646" s="60" t="s">
        <v>7532</v>
      </c>
      <c r="M3646" s="33"/>
    </row>
    <row r="3647" spans="1:13" ht="14" x14ac:dyDescent="0.15">
      <c r="A3647" s="166" t="s">
        <v>2481</v>
      </c>
      <c r="B3647" s="82" t="s">
        <v>5852</v>
      </c>
      <c r="C3647" s="70" t="s">
        <v>3636</v>
      </c>
      <c r="D3647" s="70" t="s">
        <v>3437</v>
      </c>
      <c r="E3647" s="70" t="s">
        <v>3457</v>
      </c>
      <c r="F3647" s="70" t="s">
        <v>2909</v>
      </c>
      <c r="G3647" s="70" t="s">
        <v>2910</v>
      </c>
      <c r="H3647" s="93"/>
      <c r="I3647" s="85">
        <f t="shared" si="143"/>
        <v>2.4297522800024081</v>
      </c>
      <c r="J3647" s="85">
        <f>1000*0.269</f>
        <v>269</v>
      </c>
      <c r="K3647" s="131" t="s">
        <v>6630</v>
      </c>
      <c r="L3647" s="60">
        <v>60</v>
      </c>
      <c r="M3647" s="33" t="s">
        <v>6728</v>
      </c>
    </row>
    <row r="3648" spans="1:13" ht="14" x14ac:dyDescent="0.15">
      <c r="A3648" s="166" t="s">
        <v>2481</v>
      </c>
      <c r="B3648" s="82" t="s">
        <v>2457</v>
      </c>
      <c r="C3648" s="70" t="s">
        <v>3636</v>
      </c>
      <c r="D3648" s="70" t="s">
        <v>3437</v>
      </c>
      <c r="E3648" s="70" t="s">
        <v>3457</v>
      </c>
      <c r="F3648" s="70" t="s">
        <v>3458</v>
      </c>
      <c r="G3648" s="70" t="s">
        <v>3917</v>
      </c>
      <c r="H3648" s="93"/>
      <c r="I3648" s="85">
        <v>-999</v>
      </c>
      <c r="J3648" s="85">
        <v>-999</v>
      </c>
      <c r="K3648" s="131" t="s">
        <v>6630</v>
      </c>
      <c r="L3648" s="60">
        <v>-999</v>
      </c>
      <c r="M3648" s="33" t="s">
        <v>6727</v>
      </c>
    </row>
    <row r="3649" spans="1:14" ht="28" x14ac:dyDescent="0.15">
      <c r="A3649" s="166" t="s">
        <v>2481</v>
      </c>
      <c r="B3649" s="82" t="s">
        <v>2456</v>
      </c>
      <c r="C3649" s="70" t="s">
        <v>3636</v>
      </c>
      <c r="D3649" s="70" t="s">
        <v>3437</v>
      </c>
      <c r="E3649" s="70" t="s">
        <v>3457</v>
      </c>
      <c r="F3649" s="70" t="s">
        <v>3458</v>
      </c>
      <c r="G3649" s="70" t="s">
        <v>6153</v>
      </c>
      <c r="H3649" s="93"/>
      <c r="I3649" s="85">
        <f>LOG(J3649)</f>
        <v>1.7958800173440752</v>
      </c>
      <c r="J3649" s="85">
        <f>(40+85)/2</f>
        <v>62.5</v>
      </c>
      <c r="K3649" s="131" t="s">
        <v>3177</v>
      </c>
      <c r="L3649" s="60">
        <v>134</v>
      </c>
      <c r="M3649" s="33" t="s">
        <v>6529</v>
      </c>
      <c r="N3649" s="46"/>
    </row>
    <row r="3650" spans="1:14" ht="14" x14ac:dyDescent="0.15">
      <c r="A3650" s="166" t="s">
        <v>2481</v>
      </c>
      <c r="B3650" s="82" t="s">
        <v>2263</v>
      </c>
      <c r="C3650" s="70" t="s">
        <v>3636</v>
      </c>
      <c r="D3650" s="70" t="s">
        <v>3437</v>
      </c>
      <c r="E3650" s="70" t="s">
        <v>3457</v>
      </c>
      <c r="F3650" s="70" t="s">
        <v>6947</v>
      </c>
      <c r="G3650" s="70" t="s">
        <v>2305</v>
      </c>
      <c r="H3650" s="93"/>
      <c r="I3650" s="85">
        <v>-999</v>
      </c>
      <c r="J3650" s="85">
        <v>-999</v>
      </c>
      <c r="K3650" s="131" t="s">
        <v>3177</v>
      </c>
      <c r="L3650" s="60">
        <v>-999</v>
      </c>
      <c r="M3650" s="33"/>
    </row>
    <row r="3651" spans="1:14" ht="14" x14ac:dyDescent="0.15">
      <c r="A3651" s="166" t="s">
        <v>2481</v>
      </c>
      <c r="B3651" s="93" t="s">
        <v>2138</v>
      </c>
      <c r="C3651" s="70" t="s">
        <v>3636</v>
      </c>
      <c r="D3651" s="70" t="s">
        <v>3437</v>
      </c>
      <c r="E3651" s="70" t="s">
        <v>3457</v>
      </c>
      <c r="F3651" s="70" t="s">
        <v>6947</v>
      </c>
      <c r="G3651" s="70" t="s">
        <v>5229</v>
      </c>
      <c r="H3651" s="93"/>
      <c r="I3651" s="85">
        <v>-999</v>
      </c>
      <c r="J3651" s="85">
        <v>-999</v>
      </c>
      <c r="K3651" s="131" t="s">
        <v>3177</v>
      </c>
      <c r="L3651" s="60">
        <v>-999</v>
      </c>
      <c r="M3651" s="33"/>
    </row>
    <row r="3652" spans="1:14" ht="28" x14ac:dyDescent="0.15">
      <c r="A3652" s="166" t="s">
        <v>2481</v>
      </c>
      <c r="B3652" s="93" t="s">
        <v>2078</v>
      </c>
      <c r="C3652" s="70" t="s">
        <v>3636</v>
      </c>
      <c r="D3652" s="70" t="s">
        <v>3437</v>
      </c>
      <c r="E3652" s="70" t="s">
        <v>3457</v>
      </c>
      <c r="F3652" s="70" t="s">
        <v>7971</v>
      </c>
      <c r="G3652" s="70" t="s">
        <v>7811</v>
      </c>
      <c r="H3652" s="93"/>
      <c r="I3652" s="85">
        <f>LOG(J3652)</f>
        <v>2.7079957464229292</v>
      </c>
      <c r="J3652" s="85">
        <f>AVERAGE(508, 513)</f>
        <v>510.5</v>
      </c>
      <c r="K3652" s="131" t="s">
        <v>6765</v>
      </c>
      <c r="L3652" s="60">
        <v>151</v>
      </c>
      <c r="M3652" s="37"/>
    </row>
    <row r="3653" spans="1:14" ht="17" x14ac:dyDescent="0.2">
      <c r="A3653" s="166" t="s">
        <v>2481</v>
      </c>
      <c r="B3653" s="93" t="s">
        <v>5852</v>
      </c>
      <c r="C3653" s="70" t="s">
        <v>3636</v>
      </c>
      <c r="D3653" s="70" t="s">
        <v>3437</v>
      </c>
      <c r="E3653" s="70" t="s">
        <v>3457</v>
      </c>
      <c r="F3653" s="70" t="s">
        <v>7812</v>
      </c>
      <c r="G3653" s="70" t="s">
        <v>5683</v>
      </c>
      <c r="H3653" s="93"/>
      <c r="I3653" s="85">
        <v>-999</v>
      </c>
      <c r="J3653" s="85">
        <v>-999</v>
      </c>
      <c r="K3653" s="131" t="s">
        <v>6391</v>
      </c>
      <c r="L3653" s="60">
        <v>-999</v>
      </c>
      <c r="M3653" s="47" t="s">
        <v>6728</v>
      </c>
    </row>
    <row r="3654" spans="1:14" ht="14" x14ac:dyDescent="0.15">
      <c r="A3654" s="166" t="s">
        <v>2481</v>
      </c>
      <c r="B3654" s="93" t="s">
        <v>5797</v>
      </c>
      <c r="C3654" s="70" t="s">
        <v>3636</v>
      </c>
      <c r="D3654" s="70" t="s">
        <v>3437</v>
      </c>
      <c r="E3654" s="73" t="s">
        <v>3457</v>
      </c>
      <c r="F3654" s="70" t="s">
        <v>5072</v>
      </c>
      <c r="G3654" s="70" t="s">
        <v>6018</v>
      </c>
      <c r="H3654" s="93"/>
      <c r="I3654" s="85">
        <v>-999</v>
      </c>
      <c r="J3654" s="85">
        <v>-999</v>
      </c>
      <c r="K3654" s="131" t="s">
        <v>3177</v>
      </c>
      <c r="L3654" s="60">
        <v>-999</v>
      </c>
      <c r="M3654" s="33"/>
    </row>
    <row r="3655" spans="1:14" ht="16" x14ac:dyDescent="0.2">
      <c r="A3655" s="166" t="s">
        <v>2481</v>
      </c>
      <c r="B3655" s="82" t="s">
        <v>1856</v>
      </c>
      <c r="C3655" s="70" t="s">
        <v>3636</v>
      </c>
      <c r="D3655" s="70" t="s">
        <v>3437</v>
      </c>
      <c r="E3655" s="70" t="s">
        <v>3457</v>
      </c>
      <c r="F3655" s="70" t="s">
        <v>5072</v>
      </c>
      <c r="G3655" s="70" t="s">
        <v>6027</v>
      </c>
      <c r="H3655" s="93"/>
      <c r="I3655" s="85">
        <v>-999</v>
      </c>
      <c r="J3655" s="85">
        <v>-999</v>
      </c>
      <c r="K3655" s="131" t="s">
        <v>6630</v>
      </c>
      <c r="L3655" s="60">
        <v>-999</v>
      </c>
      <c r="M3655" s="33" t="s">
        <v>6392</v>
      </c>
      <c r="N3655" s="48"/>
    </row>
    <row r="3656" spans="1:14" ht="14" x14ac:dyDescent="0.15">
      <c r="A3656" s="166" t="s">
        <v>2481</v>
      </c>
      <c r="B3656" s="82" t="s">
        <v>5797</v>
      </c>
      <c r="C3656" s="70" t="s">
        <v>3636</v>
      </c>
      <c r="D3656" s="70" t="s">
        <v>3437</v>
      </c>
      <c r="E3656" s="70" t="s">
        <v>3457</v>
      </c>
      <c r="F3656" s="70" t="s">
        <v>5072</v>
      </c>
      <c r="G3656" s="70" t="s">
        <v>4484</v>
      </c>
      <c r="H3656" s="93"/>
      <c r="I3656" s="85">
        <f t="shared" ref="I3656:I3683" si="144">LOG(J3656)</f>
        <v>1.5289167002776547</v>
      </c>
      <c r="J3656" s="85">
        <v>33.799999999999997</v>
      </c>
      <c r="K3656" s="131" t="s">
        <v>3177</v>
      </c>
      <c r="L3656" s="60">
        <v>173</v>
      </c>
      <c r="M3656" s="33"/>
    </row>
    <row r="3657" spans="1:14" ht="14" x14ac:dyDescent="0.15">
      <c r="A3657" s="166" t="s">
        <v>2481</v>
      </c>
      <c r="B3657" s="93" t="s">
        <v>5852</v>
      </c>
      <c r="C3657" s="70" t="s">
        <v>3636</v>
      </c>
      <c r="D3657" s="70" t="s">
        <v>3437</v>
      </c>
      <c r="E3657" s="70" t="s">
        <v>3457</v>
      </c>
      <c r="F3657" s="70" t="s">
        <v>7708</v>
      </c>
      <c r="G3657" s="70" t="s">
        <v>4126</v>
      </c>
      <c r="H3657" s="93"/>
      <c r="I3657" s="85">
        <f t="shared" si="144"/>
        <v>1.3263358609287514</v>
      </c>
      <c r="J3657" s="85">
        <v>21.2</v>
      </c>
      <c r="K3657" s="131" t="s">
        <v>3177</v>
      </c>
      <c r="L3657" s="60">
        <v>121</v>
      </c>
      <c r="M3657" s="33"/>
    </row>
    <row r="3658" spans="1:14" ht="14" x14ac:dyDescent="0.15">
      <c r="A3658" s="166" t="s">
        <v>2481</v>
      </c>
      <c r="B3658" s="93" t="s">
        <v>5852</v>
      </c>
      <c r="C3658" s="70" t="s">
        <v>3636</v>
      </c>
      <c r="D3658" s="70" t="s">
        <v>3437</v>
      </c>
      <c r="E3658" s="70" t="s">
        <v>3457</v>
      </c>
      <c r="F3658" s="70" t="s">
        <v>7708</v>
      </c>
      <c r="G3658" s="70" t="s">
        <v>6217</v>
      </c>
      <c r="H3658" s="93"/>
      <c r="I3658" s="85">
        <f t="shared" si="144"/>
        <v>1.4756711883244296</v>
      </c>
      <c r="J3658" s="85">
        <f>1000*0.0299</f>
        <v>29.9</v>
      </c>
      <c r="K3658" s="131" t="s">
        <v>3177</v>
      </c>
      <c r="L3658" s="60">
        <v>60</v>
      </c>
      <c r="M3658" s="33"/>
    </row>
    <row r="3659" spans="1:14" ht="16" x14ac:dyDescent="0.2">
      <c r="A3659" s="166" t="s">
        <v>2481</v>
      </c>
      <c r="B3659" s="93" t="s">
        <v>5852</v>
      </c>
      <c r="C3659" s="70" t="s">
        <v>3636</v>
      </c>
      <c r="D3659" s="70" t="s">
        <v>3437</v>
      </c>
      <c r="E3659" s="70" t="s">
        <v>3457</v>
      </c>
      <c r="F3659" s="70" t="s">
        <v>7708</v>
      </c>
      <c r="G3659" s="70" t="s">
        <v>5580</v>
      </c>
      <c r="H3659" s="93"/>
      <c r="I3659" s="85">
        <f t="shared" si="144"/>
        <v>1.4906606533561368</v>
      </c>
      <c r="J3659" s="85">
        <f>AVERAGE(30.3, 32.5, 30, 31)</f>
        <v>30.95</v>
      </c>
      <c r="K3659" s="131" t="s">
        <v>3177</v>
      </c>
      <c r="L3659" s="60">
        <v>122</v>
      </c>
      <c r="M3659" s="47"/>
    </row>
    <row r="3660" spans="1:14" ht="14" x14ac:dyDescent="0.15">
      <c r="A3660" s="166" t="s">
        <v>2481</v>
      </c>
      <c r="B3660" s="93" t="s">
        <v>5852</v>
      </c>
      <c r="C3660" s="70" t="s">
        <v>3636</v>
      </c>
      <c r="D3660" s="70" t="s">
        <v>3437</v>
      </c>
      <c r="E3660" s="70" t="s">
        <v>3457</v>
      </c>
      <c r="F3660" s="70" t="s">
        <v>7708</v>
      </c>
      <c r="G3660" s="70" t="s">
        <v>1908</v>
      </c>
      <c r="H3660" s="93"/>
      <c r="I3660" s="85">
        <f t="shared" si="144"/>
        <v>1.5453071164658241</v>
      </c>
      <c r="J3660" s="85">
        <v>35.1</v>
      </c>
      <c r="K3660" s="131" t="s">
        <v>3177</v>
      </c>
      <c r="L3660" s="60">
        <v>121</v>
      </c>
      <c r="M3660" s="33"/>
    </row>
    <row r="3661" spans="1:14" ht="16" x14ac:dyDescent="0.2">
      <c r="A3661" s="166" t="s">
        <v>2481</v>
      </c>
      <c r="B3661" s="93" t="s">
        <v>5852</v>
      </c>
      <c r="C3661" s="70" t="s">
        <v>3636</v>
      </c>
      <c r="D3661" s="70" t="s">
        <v>3437</v>
      </c>
      <c r="E3661" s="70" t="s">
        <v>3457</v>
      </c>
      <c r="F3661" s="70" t="s">
        <v>7708</v>
      </c>
      <c r="G3661" s="70" t="s">
        <v>7706</v>
      </c>
      <c r="H3661" s="93"/>
      <c r="I3661" s="85">
        <f t="shared" si="144"/>
        <v>1.6541765418779606</v>
      </c>
      <c r="J3661" s="85">
        <f>1000*0.0451</f>
        <v>45.1</v>
      </c>
      <c r="K3661" s="131" t="s">
        <v>3177</v>
      </c>
      <c r="L3661" s="60">
        <v>60</v>
      </c>
      <c r="M3661" s="47"/>
    </row>
    <row r="3662" spans="1:14" ht="16" x14ac:dyDescent="0.2">
      <c r="A3662" s="166" t="s">
        <v>2481</v>
      </c>
      <c r="B3662" s="93" t="s">
        <v>5852</v>
      </c>
      <c r="C3662" s="70" t="s">
        <v>3636</v>
      </c>
      <c r="D3662" s="70" t="s">
        <v>3437</v>
      </c>
      <c r="E3662" s="70" t="s">
        <v>3457</v>
      </c>
      <c r="F3662" s="70" t="s">
        <v>7708</v>
      </c>
      <c r="G3662" s="70" t="s">
        <v>7709</v>
      </c>
      <c r="H3662" s="93"/>
      <c r="I3662" s="85">
        <f t="shared" si="144"/>
        <v>1.7528164311882715</v>
      </c>
      <c r="J3662" s="85">
        <f>1000*0.0566</f>
        <v>56.599999999999994</v>
      </c>
      <c r="K3662" s="131" t="s">
        <v>3177</v>
      </c>
      <c r="L3662" s="60">
        <v>60</v>
      </c>
      <c r="M3662" s="47"/>
    </row>
    <row r="3663" spans="1:14" ht="14" x14ac:dyDescent="0.15">
      <c r="A3663" s="166" t="s">
        <v>2481</v>
      </c>
      <c r="B3663" s="93" t="s">
        <v>5852</v>
      </c>
      <c r="C3663" s="70" t="s">
        <v>3636</v>
      </c>
      <c r="D3663" s="70" t="s">
        <v>3437</v>
      </c>
      <c r="E3663" s="70" t="s">
        <v>3457</v>
      </c>
      <c r="F3663" s="70" t="s">
        <v>7708</v>
      </c>
      <c r="G3663" s="70" t="s">
        <v>7707</v>
      </c>
      <c r="H3663" s="93"/>
      <c r="I3663" s="85">
        <f t="shared" si="144"/>
        <v>1.9159272116971158</v>
      </c>
      <c r="J3663" s="85">
        <f>1000*0.0824</f>
        <v>82.4</v>
      </c>
      <c r="K3663" s="131" t="s">
        <v>6391</v>
      </c>
      <c r="L3663" s="60">
        <v>60</v>
      </c>
      <c r="M3663" s="33" t="s">
        <v>6728</v>
      </c>
    </row>
    <row r="3664" spans="1:14" ht="16" x14ac:dyDescent="0.2">
      <c r="A3664" s="166" t="s">
        <v>2481</v>
      </c>
      <c r="B3664" s="93" t="s">
        <v>5852</v>
      </c>
      <c r="C3664" s="73" t="s">
        <v>3636</v>
      </c>
      <c r="D3664" s="73" t="s">
        <v>3437</v>
      </c>
      <c r="E3664" s="70" t="s">
        <v>3457</v>
      </c>
      <c r="F3664" s="73" t="s">
        <v>7708</v>
      </c>
      <c r="G3664" s="73" t="s">
        <v>7705</v>
      </c>
      <c r="H3664" s="108"/>
      <c r="I3664" s="85">
        <f t="shared" si="144"/>
        <v>2.0253058652647704</v>
      </c>
      <c r="J3664" s="85">
        <v>106</v>
      </c>
      <c r="K3664" s="131" t="s">
        <v>3177</v>
      </c>
      <c r="L3664" s="60">
        <v>60</v>
      </c>
      <c r="M3664" s="47"/>
    </row>
    <row r="3665" spans="1:13" ht="14" x14ac:dyDescent="0.15">
      <c r="A3665" s="165" t="s">
        <v>2481</v>
      </c>
      <c r="B3665" s="97" t="s">
        <v>5852</v>
      </c>
      <c r="C3665" s="70" t="s">
        <v>3636</v>
      </c>
      <c r="D3665" s="70" t="s">
        <v>3437</v>
      </c>
      <c r="E3665" s="70" t="s">
        <v>3457</v>
      </c>
      <c r="F3665" s="70" t="s">
        <v>5164</v>
      </c>
      <c r="G3665" s="70" t="s">
        <v>5165</v>
      </c>
      <c r="H3665" s="93"/>
      <c r="I3665" s="85">
        <f t="shared" si="144"/>
        <v>1.5490032620257879</v>
      </c>
      <c r="J3665" s="85">
        <v>35.4</v>
      </c>
      <c r="K3665" s="131" t="s">
        <v>6391</v>
      </c>
      <c r="L3665" s="60">
        <v>121</v>
      </c>
      <c r="M3665" s="33" t="s">
        <v>6390</v>
      </c>
    </row>
    <row r="3666" spans="1:13" ht="14" x14ac:dyDescent="0.15">
      <c r="A3666" s="166" t="s">
        <v>2481</v>
      </c>
      <c r="B3666" s="82" t="s">
        <v>2330</v>
      </c>
      <c r="C3666" s="70" t="s">
        <v>3636</v>
      </c>
      <c r="D3666" s="70" t="s">
        <v>3437</v>
      </c>
      <c r="E3666" s="70" t="s">
        <v>3457</v>
      </c>
      <c r="F3666" s="70" t="s">
        <v>5546</v>
      </c>
      <c r="G3666" s="70" t="s">
        <v>5957</v>
      </c>
      <c r="H3666" s="93"/>
      <c r="I3666" s="85">
        <f t="shared" si="144"/>
        <v>2.3560258571931225</v>
      </c>
      <c r="J3666" s="85">
        <f>454*0.5</f>
        <v>227</v>
      </c>
      <c r="K3666" s="131"/>
      <c r="L3666" s="60">
        <v>132</v>
      </c>
      <c r="M3666" s="33"/>
    </row>
    <row r="3667" spans="1:13" ht="14" x14ac:dyDescent="0.15">
      <c r="A3667" s="166" t="s">
        <v>2481</v>
      </c>
      <c r="B3667" s="82" t="s">
        <v>2330</v>
      </c>
      <c r="C3667" s="70" t="s">
        <v>3636</v>
      </c>
      <c r="D3667" s="70" t="s">
        <v>3437</v>
      </c>
      <c r="E3667" s="70" t="s">
        <v>3457</v>
      </c>
      <c r="F3667" s="70" t="s">
        <v>5546</v>
      </c>
      <c r="G3667" s="70" t="s">
        <v>3926</v>
      </c>
      <c r="H3667" s="93"/>
      <c r="I3667" s="85">
        <f t="shared" si="144"/>
        <v>2.9730917571460433</v>
      </c>
      <c r="J3667" s="85">
        <f>AVERAGE((454*1.75), (454*2.375), (454*1.90625), (454*2.25))</f>
        <v>939.921875</v>
      </c>
      <c r="K3667" s="131"/>
      <c r="L3667" s="60">
        <v>132</v>
      </c>
      <c r="M3667" s="33"/>
    </row>
    <row r="3668" spans="1:13" ht="14" x14ac:dyDescent="0.15">
      <c r="A3668" s="165" t="s">
        <v>2481</v>
      </c>
      <c r="B3668" s="97" t="s">
        <v>5852</v>
      </c>
      <c r="C3668" s="70" t="s">
        <v>3636</v>
      </c>
      <c r="D3668" s="70" t="s">
        <v>3437</v>
      </c>
      <c r="E3668" s="70" t="s">
        <v>3457</v>
      </c>
      <c r="F3668" s="70" t="s">
        <v>5168</v>
      </c>
      <c r="G3668" s="70" t="s">
        <v>7015</v>
      </c>
      <c r="H3668" s="93"/>
      <c r="I3668" s="85">
        <f t="shared" si="144"/>
        <v>2.249931756634195</v>
      </c>
      <c r="J3668" s="85">
        <v>177.8</v>
      </c>
      <c r="K3668" s="131" t="s">
        <v>3177</v>
      </c>
      <c r="L3668" s="60">
        <v>121</v>
      </c>
      <c r="M3668" s="33"/>
    </row>
    <row r="3669" spans="1:13" ht="14" x14ac:dyDescent="0.15">
      <c r="A3669" s="165" t="s">
        <v>2481</v>
      </c>
      <c r="B3669" s="97" t="s">
        <v>5852</v>
      </c>
      <c r="C3669" s="70" t="s">
        <v>3636</v>
      </c>
      <c r="D3669" s="70" t="s">
        <v>3437</v>
      </c>
      <c r="E3669" s="70" t="s">
        <v>3457</v>
      </c>
      <c r="F3669" s="70" t="s">
        <v>5168</v>
      </c>
      <c r="G3669" s="70" t="s">
        <v>5162</v>
      </c>
      <c r="H3669" s="93"/>
      <c r="I3669" s="85">
        <f t="shared" si="144"/>
        <v>2.271841606536499</v>
      </c>
      <c r="J3669" s="85">
        <f>AVERAGE(205, 178, 220, 145)</f>
        <v>187</v>
      </c>
      <c r="K3669" s="131" t="s">
        <v>3177</v>
      </c>
      <c r="L3669" s="60">
        <v>122</v>
      </c>
      <c r="M3669" s="33"/>
    </row>
    <row r="3670" spans="1:13" ht="14" x14ac:dyDescent="0.15">
      <c r="A3670" s="166" t="s">
        <v>2481</v>
      </c>
      <c r="B3670" s="82" t="s">
        <v>5852</v>
      </c>
      <c r="C3670" s="70" t="s">
        <v>3636</v>
      </c>
      <c r="D3670" s="70" t="s">
        <v>3437</v>
      </c>
      <c r="E3670" s="70" t="s">
        <v>3457</v>
      </c>
      <c r="F3670" s="70" t="s">
        <v>5168</v>
      </c>
      <c r="G3670" s="70" t="s">
        <v>5161</v>
      </c>
      <c r="H3670" s="93"/>
      <c r="I3670" s="85">
        <f t="shared" si="144"/>
        <v>2.2922560713564759</v>
      </c>
      <c r="J3670" s="85">
        <v>196</v>
      </c>
      <c r="K3670" s="131" t="s">
        <v>6630</v>
      </c>
      <c r="L3670" s="60">
        <v>60</v>
      </c>
      <c r="M3670" s="33" t="s">
        <v>6727</v>
      </c>
    </row>
    <row r="3671" spans="1:13" ht="14" x14ac:dyDescent="0.15">
      <c r="A3671" s="166" t="s">
        <v>2481</v>
      </c>
      <c r="B3671" s="82" t="s">
        <v>2480</v>
      </c>
      <c r="C3671" s="70" t="s">
        <v>3636</v>
      </c>
      <c r="D3671" s="70" t="s">
        <v>3437</v>
      </c>
      <c r="E3671" s="70" t="s">
        <v>3457</v>
      </c>
      <c r="F3671" s="70" t="s">
        <v>3964</v>
      </c>
      <c r="G3671" s="70" t="s">
        <v>6831</v>
      </c>
      <c r="H3671" s="93"/>
      <c r="I3671" s="85">
        <f t="shared" si="144"/>
        <v>2.3010299956639813</v>
      </c>
      <c r="J3671" s="85">
        <v>200</v>
      </c>
      <c r="K3671" s="131" t="s">
        <v>5931</v>
      </c>
      <c r="L3671" s="60">
        <v>150</v>
      </c>
      <c r="M3671" s="37"/>
    </row>
    <row r="3672" spans="1:13" ht="70" x14ac:dyDescent="0.15">
      <c r="A3672" s="166" t="s">
        <v>2481</v>
      </c>
      <c r="B3672" s="82" t="s">
        <v>2480</v>
      </c>
      <c r="C3672" s="70" t="s">
        <v>3636</v>
      </c>
      <c r="D3672" s="70" t="s">
        <v>3437</v>
      </c>
      <c r="E3672" s="70" t="s">
        <v>3457</v>
      </c>
      <c r="F3672" s="70" t="s">
        <v>3964</v>
      </c>
      <c r="G3672" s="70" t="s">
        <v>5933</v>
      </c>
      <c r="H3672" s="93"/>
      <c r="I3672" s="85">
        <f t="shared" si="144"/>
        <v>2.3424226808222062</v>
      </c>
      <c r="J3672" s="85">
        <v>220</v>
      </c>
      <c r="K3672" s="131" t="s">
        <v>5931</v>
      </c>
      <c r="L3672" s="60">
        <v>150</v>
      </c>
      <c r="M3672" s="37" t="s">
        <v>2503</v>
      </c>
    </row>
    <row r="3673" spans="1:13" ht="14" x14ac:dyDescent="0.15">
      <c r="A3673" s="166" t="s">
        <v>2481</v>
      </c>
      <c r="B3673" s="82" t="s">
        <v>2480</v>
      </c>
      <c r="C3673" s="70" t="s">
        <v>3636</v>
      </c>
      <c r="D3673" s="70" t="s">
        <v>3437</v>
      </c>
      <c r="E3673" s="70" t="s">
        <v>3457</v>
      </c>
      <c r="F3673" s="70" t="s">
        <v>5859</v>
      </c>
      <c r="G3673" s="70" t="s">
        <v>3278</v>
      </c>
      <c r="H3673" s="93"/>
      <c r="I3673" s="85">
        <f t="shared" si="144"/>
        <v>1.954242509439325</v>
      </c>
      <c r="J3673" s="85">
        <v>90</v>
      </c>
      <c r="K3673" s="142" t="s">
        <v>6630</v>
      </c>
      <c r="L3673" s="60">
        <v>150</v>
      </c>
      <c r="M3673" s="37" t="s">
        <v>6392</v>
      </c>
    </row>
    <row r="3674" spans="1:13" ht="14" x14ac:dyDescent="0.15">
      <c r="A3674" s="166" t="s">
        <v>2481</v>
      </c>
      <c r="B3674" s="82" t="s">
        <v>2480</v>
      </c>
      <c r="C3674" s="70" t="s">
        <v>3636</v>
      </c>
      <c r="D3674" s="70" t="s">
        <v>3437</v>
      </c>
      <c r="E3674" s="70" t="s">
        <v>3457</v>
      </c>
      <c r="F3674" s="70" t="s">
        <v>5859</v>
      </c>
      <c r="G3674" s="70" t="s">
        <v>3277</v>
      </c>
      <c r="H3674" s="93"/>
      <c r="I3674" s="85">
        <f t="shared" si="144"/>
        <v>1.9661417327390327</v>
      </c>
      <c r="J3674" s="85">
        <v>92.5</v>
      </c>
      <c r="K3674" s="142" t="s">
        <v>6630</v>
      </c>
      <c r="L3674" s="60">
        <v>150</v>
      </c>
      <c r="M3674" s="37" t="s">
        <v>6392</v>
      </c>
    </row>
    <row r="3675" spans="1:13" ht="14" x14ac:dyDescent="0.15">
      <c r="A3675" s="166" t="s">
        <v>2481</v>
      </c>
      <c r="B3675" s="93" t="s">
        <v>5852</v>
      </c>
      <c r="C3675" s="70" t="s">
        <v>3636</v>
      </c>
      <c r="D3675" s="70" t="s">
        <v>3437</v>
      </c>
      <c r="E3675" s="70" t="s">
        <v>3457</v>
      </c>
      <c r="F3675" s="70" t="s">
        <v>6008</v>
      </c>
      <c r="G3675" s="70" t="s">
        <v>6169</v>
      </c>
      <c r="H3675" s="93"/>
      <c r="I3675" s="85">
        <f t="shared" si="144"/>
        <v>2.635986111800833</v>
      </c>
      <c r="J3675" s="85">
        <f>AVERAGE(445, 425, 520, 340)</f>
        <v>432.5</v>
      </c>
      <c r="K3675" s="131" t="s">
        <v>3177</v>
      </c>
      <c r="L3675" s="60">
        <v>122</v>
      </c>
      <c r="M3675" s="33"/>
    </row>
    <row r="3676" spans="1:13" ht="14" x14ac:dyDescent="0.15">
      <c r="A3676" s="166" t="s">
        <v>2481</v>
      </c>
      <c r="B3676" s="93" t="s">
        <v>5852</v>
      </c>
      <c r="C3676" s="70" t="s">
        <v>3636</v>
      </c>
      <c r="D3676" s="70" t="s">
        <v>3437</v>
      </c>
      <c r="E3676" s="70" t="s">
        <v>3457</v>
      </c>
      <c r="F3676" s="70" t="s">
        <v>6008</v>
      </c>
      <c r="G3676" s="70" t="s">
        <v>7831</v>
      </c>
      <c r="H3676" s="93"/>
      <c r="I3676" s="85">
        <f t="shared" si="144"/>
        <v>2.6483600109809315</v>
      </c>
      <c r="J3676" s="85">
        <v>445</v>
      </c>
      <c r="K3676" s="131" t="s">
        <v>3177</v>
      </c>
      <c r="L3676" s="60">
        <v>60</v>
      </c>
      <c r="M3676" s="33"/>
    </row>
    <row r="3677" spans="1:13" ht="17" x14ac:dyDescent="0.2">
      <c r="A3677" s="166" t="s">
        <v>2481</v>
      </c>
      <c r="B3677" s="93" t="s">
        <v>2428</v>
      </c>
      <c r="C3677" s="70" t="s">
        <v>3636</v>
      </c>
      <c r="D3677" s="70" t="s">
        <v>3437</v>
      </c>
      <c r="E3677" s="70" t="s">
        <v>3457</v>
      </c>
      <c r="F3677" s="70" t="s">
        <v>7832</v>
      </c>
      <c r="G3677" s="70" t="s">
        <v>6319</v>
      </c>
      <c r="H3677" s="93"/>
      <c r="I3677" s="85">
        <f t="shared" si="144"/>
        <v>1.9881128402683519</v>
      </c>
      <c r="J3677" s="85">
        <f>1000*0.0973</f>
        <v>97.3</v>
      </c>
      <c r="K3677" s="131" t="s">
        <v>6391</v>
      </c>
      <c r="L3677" s="67">
        <v>60</v>
      </c>
      <c r="M3677" s="47" t="s">
        <v>6392</v>
      </c>
    </row>
    <row r="3678" spans="1:13" ht="14" x14ac:dyDescent="0.15">
      <c r="A3678" s="166" t="s">
        <v>2481</v>
      </c>
      <c r="B3678" s="93" t="s">
        <v>2428</v>
      </c>
      <c r="C3678" s="70" t="s">
        <v>3636</v>
      </c>
      <c r="D3678" s="70" t="s">
        <v>3437</v>
      </c>
      <c r="E3678" s="73" t="s">
        <v>3457</v>
      </c>
      <c r="F3678" s="70" t="s">
        <v>7832</v>
      </c>
      <c r="G3678" s="70" t="s">
        <v>7833</v>
      </c>
      <c r="H3678" s="93"/>
      <c r="I3678" s="85">
        <f t="shared" si="144"/>
        <v>2.0644579892269186</v>
      </c>
      <c r="J3678" s="85">
        <v>116</v>
      </c>
      <c r="K3678" s="131" t="s">
        <v>3177</v>
      </c>
      <c r="L3678" s="67">
        <v>60</v>
      </c>
      <c r="M3678" s="33"/>
    </row>
    <row r="3679" spans="1:13" ht="14" x14ac:dyDescent="0.15">
      <c r="A3679" s="166" t="s">
        <v>2481</v>
      </c>
      <c r="B3679" s="93" t="s">
        <v>2428</v>
      </c>
      <c r="C3679" s="70" t="s">
        <v>3636</v>
      </c>
      <c r="D3679" s="70" t="s">
        <v>3437</v>
      </c>
      <c r="E3679" s="70" t="s">
        <v>3457</v>
      </c>
      <c r="F3679" s="70" t="s">
        <v>7832</v>
      </c>
      <c r="G3679" s="70" t="s">
        <v>7834</v>
      </c>
      <c r="H3679" s="93"/>
      <c r="I3679" s="85">
        <f t="shared" si="144"/>
        <v>2.0791812460476247</v>
      </c>
      <c r="J3679" s="85">
        <v>120</v>
      </c>
      <c r="K3679" s="131" t="s">
        <v>6391</v>
      </c>
      <c r="L3679" s="67">
        <v>60</v>
      </c>
      <c r="M3679" s="33" t="s">
        <v>6390</v>
      </c>
    </row>
    <row r="3680" spans="1:13" ht="16" x14ac:dyDescent="0.2">
      <c r="A3680" s="166" t="s">
        <v>2481</v>
      </c>
      <c r="B3680" s="93" t="s">
        <v>2428</v>
      </c>
      <c r="C3680" s="70" t="s">
        <v>3636</v>
      </c>
      <c r="D3680" s="70" t="s">
        <v>3437</v>
      </c>
      <c r="E3680" s="70" t="s">
        <v>3457</v>
      </c>
      <c r="F3680" s="70" t="s">
        <v>7832</v>
      </c>
      <c r="G3680" s="70" t="s">
        <v>3395</v>
      </c>
      <c r="H3680" s="93"/>
      <c r="I3680" s="85">
        <f t="shared" si="144"/>
        <v>2.0969100130080562</v>
      </c>
      <c r="J3680" s="85">
        <v>125</v>
      </c>
      <c r="K3680" s="131" t="s">
        <v>3177</v>
      </c>
      <c r="L3680" s="60">
        <v>60</v>
      </c>
      <c r="M3680" s="47"/>
    </row>
    <row r="3681" spans="1:13" ht="14" x14ac:dyDescent="0.15">
      <c r="A3681" s="166" t="s">
        <v>2481</v>
      </c>
      <c r="B3681" s="93" t="s">
        <v>2428</v>
      </c>
      <c r="C3681" s="70" t="s">
        <v>3636</v>
      </c>
      <c r="D3681" s="70" t="s">
        <v>3437</v>
      </c>
      <c r="E3681" s="70" t="s">
        <v>3457</v>
      </c>
      <c r="F3681" s="70" t="s">
        <v>7832</v>
      </c>
      <c r="G3681" s="70" t="s">
        <v>7837</v>
      </c>
      <c r="H3681" s="93"/>
      <c r="I3681" s="85">
        <f t="shared" si="144"/>
        <v>2.1172712956557644</v>
      </c>
      <c r="J3681" s="85">
        <v>131</v>
      </c>
      <c r="K3681" s="131" t="s">
        <v>6391</v>
      </c>
      <c r="L3681" s="67">
        <v>60</v>
      </c>
      <c r="M3681" s="33" t="s">
        <v>6390</v>
      </c>
    </row>
    <row r="3682" spans="1:13" ht="14" x14ac:dyDescent="0.15">
      <c r="A3682" s="166" t="s">
        <v>2481</v>
      </c>
      <c r="B3682" s="93" t="s">
        <v>2428</v>
      </c>
      <c r="C3682" s="70" t="s">
        <v>3636</v>
      </c>
      <c r="D3682" s="70" t="s">
        <v>3437</v>
      </c>
      <c r="E3682" s="70" t="s">
        <v>3457</v>
      </c>
      <c r="F3682" s="70" t="s">
        <v>7832</v>
      </c>
      <c r="G3682" s="70" t="s">
        <v>7835</v>
      </c>
      <c r="H3682" s="93"/>
      <c r="I3682" s="85">
        <f t="shared" si="144"/>
        <v>2.1303337684950061</v>
      </c>
      <c r="J3682" s="85">
        <v>135</v>
      </c>
      <c r="K3682" s="131" t="s">
        <v>3177</v>
      </c>
      <c r="L3682" s="67">
        <v>60</v>
      </c>
      <c r="M3682" s="33" t="s">
        <v>6392</v>
      </c>
    </row>
    <row r="3683" spans="1:13" ht="16" x14ac:dyDescent="0.2">
      <c r="A3683" s="166" t="s">
        <v>2481</v>
      </c>
      <c r="B3683" s="93" t="s">
        <v>2428</v>
      </c>
      <c r="C3683" s="70" t="s">
        <v>3636</v>
      </c>
      <c r="D3683" s="70" t="s">
        <v>3437</v>
      </c>
      <c r="E3683" s="70" t="s">
        <v>3457</v>
      </c>
      <c r="F3683" s="70" t="s">
        <v>7832</v>
      </c>
      <c r="G3683" s="70" t="s">
        <v>7836</v>
      </c>
      <c r="H3683" s="93"/>
      <c r="I3683" s="85">
        <f t="shared" si="144"/>
        <v>2.2304489213782741</v>
      </c>
      <c r="J3683" s="85">
        <v>170</v>
      </c>
      <c r="K3683" s="131" t="s">
        <v>3177</v>
      </c>
      <c r="L3683" s="67">
        <v>60</v>
      </c>
      <c r="M3683" s="47"/>
    </row>
    <row r="3684" spans="1:13" ht="14" x14ac:dyDescent="0.15">
      <c r="A3684" s="166" t="s">
        <v>2481</v>
      </c>
      <c r="B3684" s="82" t="s">
        <v>2283</v>
      </c>
      <c r="C3684" s="73" t="s">
        <v>3636</v>
      </c>
      <c r="D3684" s="73" t="s">
        <v>3437</v>
      </c>
      <c r="E3684" s="73" t="s">
        <v>3457</v>
      </c>
      <c r="F3684" s="73" t="s">
        <v>7838</v>
      </c>
      <c r="G3684" s="73" t="s">
        <v>7839</v>
      </c>
      <c r="H3684" s="108"/>
      <c r="I3684" s="85">
        <v>-999</v>
      </c>
      <c r="J3684" s="95">
        <v>-999</v>
      </c>
      <c r="K3684" s="131" t="s">
        <v>3177</v>
      </c>
      <c r="L3684" s="60">
        <v>-999</v>
      </c>
      <c r="M3684" s="33"/>
    </row>
    <row r="3685" spans="1:13" ht="14" x14ac:dyDescent="0.15">
      <c r="A3685" s="166" t="s">
        <v>2481</v>
      </c>
      <c r="B3685" s="82" t="s">
        <v>5852</v>
      </c>
      <c r="C3685" s="70" t="s">
        <v>3636</v>
      </c>
      <c r="D3685" s="70" t="s">
        <v>3437</v>
      </c>
      <c r="E3685" s="70" t="s">
        <v>3457</v>
      </c>
      <c r="F3685" s="70" t="s">
        <v>7840</v>
      </c>
      <c r="G3685" s="70" t="s">
        <v>3426</v>
      </c>
      <c r="H3685" s="93"/>
      <c r="I3685" s="85">
        <v>-999</v>
      </c>
      <c r="J3685" s="85">
        <v>-999</v>
      </c>
      <c r="K3685" s="131" t="s">
        <v>6630</v>
      </c>
      <c r="L3685" s="60">
        <v>-999</v>
      </c>
      <c r="M3685" s="33" t="s">
        <v>6727</v>
      </c>
    </row>
    <row r="3686" spans="1:13" ht="14" x14ac:dyDescent="0.15">
      <c r="A3686" s="166" t="s">
        <v>2481</v>
      </c>
      <c r="B3686" s="82" t="s">
        <v>5852</v>
      </c>
      <c r="C3686" s="73" t="s">
        <v>3636</v>
      </c>
      <c r="D3686" s="73" t="s">
        <v>3437</v>
      </c>
      <c r="E3686" s="73" t="s">
        <v>3457</v>
      </c>
      <c r="F3686" s="73" t="s">
        <v>7840</v>
      </c>
      <c r="G3686" s="73" t="s">
        <v>7841</v>
      </c>
      <c r="H3686" s="108"/>
      <c r="I3686" s="85">
        <v>-999</v>
      </c>
      <c r="J3686" s="95">
        <v>-999</v>
      </c>
      <c r="K3686" s="131" t="s">
        <v>6630</v>
      </c>
      <c r="L3686" s="60">
        <v>-999</v>
      </c>
      <c r="M3686" s="33" t="s">
        <v>6727</v>
      </c>
    </row>
    <row r="3687" spans="1:13" ht="14" x14ac:dyDescent="0.15">
      <c r="A3687" s="166" t="s">
        <v>2481</v>
      </c>
      <c r="B3687" s="82" t="s">
        <v>5852</v>
      </c>
      <c r="C3687" s="73" t="s">
        <v>3636</v>
      </c>
      <c r="D3687" s="73" t="s">
        <v>3437</v>
      </c>
      <c r="E3687" s="73" t="s">
        <v>3457</v>
      </c>
      <c r="F3687" s="73" t="s">
        <v>7842</v>
      </c>
      <c r="G3687" s="73" t="s">
        <v>7843</v>
      </c>
      <c r="H3687" s="108"/>
      <c r="I3687" s="85">
        <v>-999</v>
      </c>
      <c r="J3687" s="95">
        <v>-999</v>
      </c>
      <c r="K3687" s="131" t="s">
        <v>6630</v>
      </c>
      <c r="L3687" s="60">
        <v>-999</v>
      </c>
      <c r="M3687" s="33" t="s">
        <v>6392</v>
      </c>
    </row>
    <row r="3688" spans="1:13" ht="14" x14ac:dyDescent="0.15">
      <c r="A3688" s="166" t="s">
        <v>2481</v>
      </c>
      <c r="B3688" s="93" t="s">
        <v>2018</v>
      </c>
      <c r="C3688" s="70" t="s">
        <v>3636</v>
      </c>
      <c r="D3688" s="70" t="s">
        <v>3437</v>
      </c>
      <c r="E3688" s="70" t="s">
        <v>3457</v>
      </c>
      <c r="F3688" s="70" t="s">
        <v>5796</v>
      </c>
      <c r="G3688" s="70" t="s">
        <v>4291</v>
      </c>
      <c r="H3688" s="93"/>
      <c r="I3688" s="85">
        <v>-999</v>
      </c>
      <c r="J3688" s="85">
        <v>-999</v>
      </c>
      <c r="K3688" s="131" t="s">
        <v>3177</v>
      </c>
      <c r="L3688" s="60">
        <v>-999</v>
      </c>
      <c r="M3688" s="33"/>
    </row>
    <row r="3689" spans="1:13" ht="14" x14ac:dyDescent="0.15">
      <c r="A3689" s="166" t="s">
        <v>2481</v>
      </c>
      <c r="B3689" s="93" t="s">
        <v>2018</v>
      </c>
      <c r="C3689" s="70" t="s">
        <v>3636</v>
      </c>
      <c r="D3689" s="70" t="s">
        <v>3437</v>
      </c>
      <c r="E3689" s="70" t="s">
        <v>3457</v>
      </c>
      <c r="F3689" s="70" t="s">
        <v>5796</v>
      </c>
      <c r="G3689" s="70" t="s">
        <v>6177</v>
      </c>
      <c r="H3689" s="93"/>
      <c r="I3689" s="85">
        <f t="shared" ref="I3689:I3697" si="145">LOG(J3689)</f>
        <v>1.214843848047698</v>
      </c>
      <c r="J3689" s="85">
        <f>1000*0.0164</f>
        <v>16.400000000000002</v>
      </c>
      <c r="K3689" s="131" t="s">
        <v>6391</v>
      </c>
      <c r="L3689" s="60">
        <v>60</v>
      </c>
      <c r="M3689" s="33" t="s">
        <v>6392</v>
      </c>
    </row>
    <row r="3690" spans="1:13" ht="14" x14ac:dyDescent="0.15">
      <c r="A3690" s="166" t="s">
        <v>2481</v>
      </c>
      <c r="B3690" s="82" t="s">
        <v>2487</v>
      </c>
      <c r="C3690" s="70" t="s">
        <v>3636</v>
      </c>
      <c r="D3690" s="70" t="s">
        <v>3437</v>
      </c>
      <c r="E3690" s="70" t="s">
        <v>3457</v>
      </c>
      <c r="F3690" s="70" t="s">
        <v>5796</v>
      </c>
      <c r="G3690" s="70" t="s">
        <v>6998</v>
      </c>
      <c r="H3690" s="93"/>
      <c r="I3690" s="85">
        <f t="shared" si="145"/>
        <v>1.255272505103306</v>
      </c>
      <c r="J3690" s="85">
        <f>AVERAGE(14, 22)</f>
        <v>18</v>
      </c>
      <c r="K3690" s="131"/>
      <c r="L3690" s="60">
        <v>118</v>
      </c>
      <c r="M3690" s="33"/>
    </row>
    <row r="3691" spans="1:13" ht="14" x14ac:dyDescent="0.15">
      <c r="A3691" s="166" t="s">
        <v>2481</v>
      </c>
      <c r="B3691" s="93" t="s">
        <v>2487</v>
      </c>
      <c r="C3691" s="70" t="s">
        <v>3636</v>
      </c>
      <c r="D3691" s="70" t="s">
        <v>3437</v>
      </c>
      <c r="E3691" s="70" t="s">
        <v>3457</v>
      </c>
      <c r="F3691" s="70" t="s">
        <v>5796</v>
      </c>
      <c r="G3691" s="70" t="s">
        <v>6185</v>
      </c>
      <c r="H3691" s="93"/>
      <c r="I3691" s="85">
        <f t="shared" si="145"/>
        <v>1.4638929889859074</v>
      </c>
      <c r="J3691" s="85">
        <f>1000*0.0291</f>
        <v>29.1</v>
      </c>
      <c r="K3691" s="131" t="s">
        <v>6391</v>
      </c>
      <c r="L3691" s="60">
        <v>60</v>
      </c>
      <c r="M3691" s="33" t="s">
        <v>6390</v>
      </c>
    </row>
    <row r="3692" spans="1:13" ht="14" x14ac:dyDescent="0.15">
      <c r="A3692" s="166" t="s">
        <v>2481</v>
      </c>
      <c r="B3692" s="93" t="s">
        <v>5852</v>
      </c>
      <c r="C3692" s="73" t="s">
        <v>3636</v>
      </c>
      <c r="D3692" s="73" t="s">
        <v>3437</v>
      </c>
      <c r="E3692" s="73" t="s">
        <v>3457</v>
      </c>
      <c r="F3692" s="73" t="s">
        <v>5796</v>
      </c>
      <c r="G3692" s="73" t="s">
        <v>5248</v>
      </c>
      <c r="H3692" s="108"/>
      <c r="I3692" s="85">
        <f t="shared" si="145"/>
        <v>1.6074550232146685</v>
      </c>
      <c r="J3692" s="85">
        <f>1000*0.0405</f>
        <v>40.5</v>
      </c>
      <c r="K3692" s="131" t="s">
        <v>3177</v>
      </c>
      <c r="L3692" s="60">
        <v>60</v>
      </c>
      <c r="M3692" s="33"/>
    </row>
    <row r="3693" spans="1:13" ht="14" x14ac:dyDescent="0.15">
      <c r="A3693" s="166" t="s">
        <v>2481</v>
      </c>
      <c r="B3693" s="93" t="s">
        <v>2018</v>
      </c>
      <c r="C3693" s="73" t="s">
        <v>3636</v>
      </c>
      <c r="D3693" s="73" t="s">
        <v>3437</v>
      </c>
      <c r="E3693" s="73" t="s">
        <v>3457</v>
      </c>
      <c r="F3693" s="73" t="s">
        <v>5796</v>
      </c>
      <c r="G3693" s="73" t="s">
        <v>5644</v>
      </c>
      <c r="H3693" s="108"/>
      <c r="I3693" s="85">
        <f t="shared" si="145"/>
        <v>1.6232492903979006</v>
      </c>
      <c r="J3693" s="85">
        <v>42</v>
      </c>
      <c r="K3693" s="131" t="s">
        <v>3177</v>
      </c>
      <c r="L3693" s="60">
        <v>257</v>
      </c>
      <c r="M3693" s="33"/>
    </row>
    <row r="3694" spans="1:13" ht="28" x14ac:dyDescent="0.15">
      <c r="A3694" s="166" t="s">
        <v>2481</v>
      </c>
      <c r="B3694" s="93" t="s">
        <v>2078</v>
      </c>
      <c r="C3694" s="70" t="s">
        <v>3636</v>
      </c>
      <c r="D3694" s="70" t="s">
        <v>3437</v>
      </c>
      <c r="E3694" s="70" t="s">
        <v>3457</v>
      </c>
      <c r="F3694" s="70" t="s">
        <v>6181</v>
      </c>
      <c r="G3694" s="70" t="s">
        <v>6183</v>
      </c>
      <c r="H3694" s="93"/>
      <c r="I3694" s="85">
        <f t="shared" si="145"/>
        <v>1.658488381309017</v>
      </c>
      <c r="J3694" s="85">
        <f>AVERAGE(47.7, 43.4)</f>
        <v>45.55</v>
      </c>
      <c r="K3694" s="131" t="s">
        <v>6588</v>
      </c>
      <c r="L3694" s="60">
        <v>151</v>
      </c>
      <c r="M3694" s="37"/>
    </row>
    <row r="3695" spans="1:13" ht="42" x14ac:dyDescent="0.15">
      <c r="A3695" s="166" t="s">
        <v>2481</v>
      </c>
      <c r="B3695" s="93" t="s">
        <v>2078</v>
      </c>
      <c r="C3695" s="70" t="s">
        <v>3636</v>
      </c>
      <c r="D3695" s="70" t="s">
        <v>3437</v>
      </c>
      <c r="E3695" s="70" t="s">
        <v>3457</v>
      </c>
      <c r="F3695" s="70" t="s">
        <v>6181</v>
      </c>
      <c r="G3695" s="70" t="s">
        <v>7060</v>
      </c>
      <c r="H3695" s="93"/>
      <c r="I3695" s="85">
        <f t="shared" si="145"/>
        <v>1.6739419986340878</v>
      </c>
      <c r="J3695" s="85">
        <f>AVERAGE(50.4, 44)</f>
        <v>47.2</v>
      </c>
      <c r="K3695" s="131" t="s">
        <v>6840</v>
      </c>
      <c r="L3695" s="60">
        <v>151</v>
      </c>
      <c r="M3695" s="37" t="s">
        <v>6875</v>
      </c>
    </row>
    <row r="3696" spans="1:13" ht="28" x14ac:dyDescent="0.15">
      <c r="A3696" s="166" t="s">
        <v>2481</v>
      </c>
      <c r="B3696" s="93" t="s">
        <v>1235</v>
      </c>
      <c r="C3696" s="70" t="s">
        <v>3636</v>
      </c>
      <c r="D3696" s="70" t="s">
        <v>3437</v>
      </c>
      <c r="E3696" s="70" t="s">
        <v>3457</v>
      </c>
      <c r="F3696" s="70" t="s">
        <v>6181</v>
      </c>
      <c r="G3696" s="70" t="s">
        <v>6182</v>
      </c>
      <c r="H3696" s="93"/>
      <c r="I3696" s="85">
        <f t="shared" si="145"/>
        <v>2.0218092770223399</v>
      </c>
      <c r="J3696" s="85">
        <f>(106+104.3)/2</f>
        <v>105.15</v>
      </c>
      <c r="K3696" s="131" t="s">
        <v>3177</v>
      </c>
      <c r="L3696" s="60">
        <v>110</v>
      </c>
      <c r="M3696" s="33" t="s">
        <v>1465</v>
      </c>
    </row>
    <row r="3697" spans="1:14" ht="140" x14ac:dyDescent="0.15">
      <c r="A3697" s="166" t="s">
        <v>2481</v>
      </c>
      <c r="B3697" s="93" t="s">
        <v>2078</v>
      </c>
      <c r="C3697" s="70" t="s">
        <v>3636</v>
      </c>
      <c r="D3697" s="70" t="s">
        <v>3437</v>
      </c>
      <c r="E3697" s="70" t="s">
        <v>3457</v>
      </c>
      <c r="F3697" s="70" t="s">
        <v>6181</v>
      </c>
      <c r="G3697" s="70" t="s">
        <v>6182</v>
      </c>
      <c r="H3697" s="93"/>
      <c r="I3697" s="85">
        <f t="shared" si="145"/>
        <v>2.0218092770223399</v>
      </c>
      <c r="J3697" s="85">
        <f>(106+104.3)/2</f>
        <v>105.15</v>
      </c>
      <c r="K3697" s="131" t="s">
        <v>6766</v>
      </c>
      <c r="L3697" s="60">
        <v>110</v>
      </c>
      <c r="M3697" s="32" t="s">
        <v>7283</v>
      </c>
    </row>
    <row r="3698" spans="1:14" ht="14" x14ac:dyDescent="0.15">
      <c r="A3698" s="166" t="s">
        <v>2481</v>
      </c>
      <c r="B3698" s="93" t="s">
        <v>5852</v>
      </c>
      <c r="C3698" s="70" t="s">
        <v>3636</v>
      </c>
      <c r="D3698" s="70" t="s">
        <v>3437</v>
      </c>
      <c r="E3698" s="70" t="s">
        <v>3457</v>
      </c>
      <c r="F3698" s="70" t="s">
        <v>6352</v>
      </c>
      <c r="G3698" s="70" t="s">
        <v>5683</v>
      </c>
      <c r="H3698" s="93"/>
      <c r="I3698" s="85">
        <v>-999</v>
      </c>
      <c r="J3698" s="85">
        <v>-999</v>
      </c>
      <c r="K3698" s="131" t="s">
        <v>3177</v>
      </c>
      <c r="L3698" s="60">
        <v>-999</v>
      </c>
      <c r="M3698" s="33"/>
    </row>
    <row r="3699" spans="1:14" ht="14" x14ac:dyDescent="0.15">
      <c r="A3699" s="166" t="s">
        <v>2481</v>
      </c>
      <c r="B3699" s="93" t="s">
        <v>5852</v>
      </c>
      <c r="C3699" s="70" t="s">
        <v>3636</v>
      </c>
      <c r="D3699" s="70" t="s">
        <v>3437</v>
      </c>
      <c r="E3699" s="70" t="s">
        <v>3457</v>
      </c>
      <c r="F3699" s="70" t="s">
        <v>6352</v>
      </c>
      <c r="G3699" s="70" t="s">
        <v>6353</v>
      </c>
      <c r="H3699" s="93"/>
      <c r="I3699" s="85">
        <f>LOG(J3699)</f>
        <v>2.1467480136306398</v>
      </c>
      <c r="J3699" s="85">
        <v>140.19999999999999</v>
      </c>
      <c r="K3699" s="131" t="s">
        <v>6630</v>
      </c>
      <c r="L3699" s="60">
        <v>121</v>
      </c>
      <c r="M3699" s="53" t="s">
        <v>6809</v>
      </c>
    </row>
    <row r="3700" spans="1:14" ht="14" x14ac:dyDescent="0.15">
      <c r="A3700" s="166" t="s">
        <v>2481</v>
      </c>
      <c r="B3700" s="93" t="s">
        <v>5852</v>
      </c>
      <c r="C3700" s="70" t="s">
        <v>3636</v>
      </c>
      <c r="D3700" s="70" t="s">
        <v>3437</v>
      </c>
      <c r="E3700" s="70" t="s">
        <v>3457</v>
      </c>
      <c r="F3700" s="70" t="s">
        <v>6352</v>
      </c>
      <c r="G3700" s="70" t="s">
        <v>5305</v>
      </c>
      <c r="H3700" s="93"/>
      <c r="I3700" s="85">
        <f>LOG(J3700)</f>
        <v>2.1481911962420113</v>
      </c>
      <c r="J3700" s="85">
        <f>1000*AVERAGE(0.141, 0.145, 0.136)</f>
        <v>140.66666666666666</v>
      </c>
      <c r="K3700" s="131" t="s">
        <v>6630</v>
      </c>
      <c r="L3700" s="60">
        <v>60</v>
      </c>
      <c r="M3700" s="33" t="s">
        <v>6728</v>
      </c>
    </row>
    <row r="3701" spans="1:14" ht="14" x14ac:dyDescent="0.15">
      <c r="A3701" s="166" t="s">
        <v>2481</v>
      </c>
      <c r="B3701" s="93" t="s">
        <v>2150</v>
      </c>
      <c r="C3701" s="70" t="s">
        <v>3636</v>
      </c>
      <c r="D3701" s="70" t="s">
        <v>3437</v>
      </c>
      <c r="E3701" s="70" t="s">
        <v>3457</v>
      </c>
      <c r="F3701" s="70" t="s">
        <v>4039</v>
      </c>
      <c r="G3701" s="70" t="s">
        <v>6237</v>
      </c>
      <c r="H3701" s="93"/>
      <c r="I3701" s="85">
        <v>-999</v>
      </c>
      <c r="J3701" s="85">
        <v>-999</v>
      </c>
      <c r="K3701" s="131" t="s">
        <v>6630</v>
      </c>
      <c r="L3701" s="60">
        <v>-999</v>
      </c>
      <c r="M3701" s="33" t="s">
        <v>6392</v>
      </c>
    </row>
    <row r="3702" spans="1:14" ht="98" x14ac:dyDescent="0.15">
      <c r="A3702" s="166" t="s">
        <v>2481</v>
      </c>
      <c r="B3702" s="93" t="s">
        <v>2078</v>
      </c>
      <c r="C3702" s="70" t="s">
        <v>3636</v>
      </c>
      <c r="D3702" s="70" t="s">
        <v>3437</v>
      </c>
      <c r="E3702" s="70" t="s">
        <v>3457</v>
      </c>
      <c r="F3702" s="70" t="s">
        <v>6354</v>
      </c>
      <c r="G3702" s="70" t="s">
        <v>6355</v>
      </c>
      <c r="H3702" s="93"/>
      <c r="I3702" s="85">
        <v>-999</v>
      </c>
      <c r="J3702" s="85">
        <v>-999</v>
      </c>
      <c r="K3702" s="131" t="s">
        <v>6630</v>
      </c>
      <c r="L3702" s="60">
        <v>151</v>
      </c>
      <c r="M3702" s="37" t="s">
        <v>6390</v>
      </c>
      <c r="N3702" s="32" t="s">
        <v>6672</v>
      </c>
    </row>
    <row r="3703" spans="1:14" ht="28" x14ac:dyDescent="0.15">
      <c r="A3703" s="166" t="s">
        <v>2481</v>
      </c>
      <c r="B3703" s="93" t="s">
        <v>2078</v>
      </c>
      <c r="C3703" s="70" t="s">
        <v>3636</v>
      </c>
      <c r="D3703" s="70" t="s">
        <v>3437</v>
      </c>
      <c r="E3703" s="70" t="s">
        <v>3457</v>
      </c>
      <c r="F3703" s="70" t="s">
        <v>6354</v>
      </c>
      <c r="G3703" s="70" t="s">
        <v>6356</v>
      </c>
      <c r="H3703" s="93"/>
      <c r="I3703" s="85">
        <f>LOG(J3703)</f>
        <v>1.4727564493172123</v>
      </c>
      <c r="J3703" s="85">
        <f>AVERAGE(33.4, 26)</f>
        <v>29.7</v>
      </c>
      <c r="K3703" s="131" t="s">
        <v>6795</v>
      </c>
      <c r="L3703" s="60">
        <v>151</v>
      </c>
      <c r="M3703" s="37"/>
    </row>
    <row r="3704" spans="1:14" ht="56" x14ac:dyDescent="0.15">
      <c r="A3704" s="165" t="s">
        <v>2481</v>
      </c>
      <c r="B3704" s="93" t="s">
        <v>2078</v>
      </c>
      <c r="C3704" s="62" t="s">
        <v>3636</v>
      </c>
      <c r="D3704" s="62" t="s">
        <v>3437</v>
      </c>
      <c r="E3704" s="62" t="s">
        <v>3457</v>
      </c>
      <c r="F3704" s="62" t="s">
        <v>3556</v>
      </c>
      <c r="G3704" s="62" t="s">
        <v>2982</v>
      </c>
      <c r="H3704" s="97"/>
      <c r="I3704" s="85">
        <f>LOG(J3704)</f>
        <v>2.1861083798132053</v>
      </c>
      <c r="J3704" s="98">
        <v>153.5</v>
      </c>
      <c r="K3704" s="141" t="s">
        <v>5029</v>
      </c>
      <c r="L3704" s="67">
        <v>59</v>
      </c>
      <c r="M3704" s="35" t="s">
        <v>6761</v>
      </c>
    </row>
    <row r="3705" spans="1:14" ht="14" x14ac:dyDescent="0.15">
      <c r="A3705" s="166" t="s">
        <v>2481</v>
      </c>
      <c r="B3705" s="93" t="s">
        <v>2467</v>
      </c>
      <c r="C3705" s="70" t="s">
        <v>3636</v>
      </c>
      <c r="D3705" s="70" t="s">
        <v>3437</v>
      </c>
      <c r="E3705" s="73" t="s">
        <v>3457</v>
      </c>
      <c r="F3705" s="70" t="s">
        <v>6357</v>
      </c>
      <c r="G3705" s="70" t="s">
        <v>6358</v>
      </c>
      <c r="H3705" s="93"/>
      <c r="I3705" s="85">
        <v>-999</v>
      </c>
      <c r="J3705" s="85">
        <v>-999</v>
      </c>
      <c r="K3705" s="131" t="s">
        <v>3177</v>
      </c>
      <c r="L3705" s="60">
        <v>-999</v>
      </c>
      <c r="M3705" s="33"/>
    </row>
    <row r="3706" spans="1:14" ht="14" x14ac:dyDescent="0.15">
      <c r="A3706" s="166" t="s">
        <v>2481</v>
      </c>
      <c r="B3706" s="93" t="s">
        <v>5852</v>
      </c>
      <c r="C3706" s="70" t="s">
        <v>3636</v>
      </c>
      <c r="D3706" s="70" t="s">
        <v>3437</v>
      </c>
      <c r="E3706" s="70" t="s">
        <v>3457</v>
      </c>
      <c r="F3706" s="70" t="s">
        <v>6360</v>
      </c>
      <c r="G3706" s="70" t="s">
        <v>3608</v>
      </c>
      <c r="H3706" s="93"/>
      <c r="I3706" s="85">
        <f>LOG(J3706)</f>
        <v>2.6483600109809315</v>
      </c>
      <c r="J3706" s="85">
        <v>445</v>
      </c>
      <c r="K3706" s="131" t="s">
        <v>3177</v>
      </c>
      <c r="L3706" s="60">
        <v>60</v>
      </c>
      <c r="M3706" s="33"/>
    </row>
    <row r="3707" spans="1:14" ht="14" x14ac:dyDescent="0.15">
      <c r="A3707" s="166" t="s">
        <v>2481</v>
      </c>
      <c r="B3707" s="93" t="s">
        <v>5852</v>
      </c>
      <c r="C3707" s="70" t="s">
        <v>3636</v>
      </c>
      <c r="D3707" s="70" t="s">
        <v>3437</v>
      </c>
      <c r="E3707" s="70" t="s">
        <v>3457</v>
      </c>
      <c r="F3707" s="70" t="s">
        <v>6360</v>
      </c>
      <c r="G3707" s="70" t="s">
        <v>3110</v>
      </c>
      <c r="H3707" s="93"/>
      <c r="I3707" s="85">
        <f>LOG(J3707)</f>
        <v>3.0211892990699383</v>
      </c>
      <c r="J3707" s="85">
        <f>1000*1.05</f>
        <v>1050</v>
      </c>
      <c r="K3707" s="131" t="s">
        <v>3177</v>
      </c>
      <c r="L3707" s="67">
        <v>60</v>
      </c>
      <c r="M3707" s="33"/>
    </row>
    <row r="3708" spans="1:14" ht="14" x14ac:dyDescent="0.15">
      <c r="A3708" s="166" t="s">
        <v>2481</v>
      </c>
      <c r="B3708" s="93" t="s">
        <v>2078</v>
      </c>
      <c r="C3708" s="70" t="s">
        <v>3636</v>
      </c>
      <c r="D3708" s="70" t="s">
        <v>3437</v>
      </c>
      <c r="E3708" s="70" t="s">
        <v>3457</v>
      </c>
      <c r="F3708" s="70" t="s">
        <v>2951</v>
      </c>
      <c r="G3708" s="70" t="s">
        <v>2954</v>
      </c>
      <c r="H3708" s="93"/>
      <c r="I3708" s="85">
        <f>LOG(J3708)</f>
        <v>2.2174839442139063</v>
      </c>
      <c r="J3708" s="85">
        <v>165</v>
      </c>
      <c r="K3708" s="131" t="s">
        <v>6307</v>
      </c>
      <c r="L3708" s="60">
        <v>151</v>
      </c>
      <c r="M3708" s="37"/>
    </row>
    <row r="3709" spans="1:14" ht="14" x14ac:dyDescent="0.15">
      <c r="A3709" s="166" t="s">
        <v>2481</v>
      </c>
      <c r="B3709" s="93" t="s">
        <v>5852</v>
      </c>
      <c r="C3709" s="70" t="s">
        <v>3636</v>
      </c>
      <c r="D3709" s="70" t="s">
        <v>3437</v>
      </c>
      <c r="E3709" s="70" t="s">
        <v>3457</v>
      </c>
      <c r="F3709" s="70" t="s">
        <v>6202</v>
      </c>
      <c r="G3709" s="70" t="s">
        <v>6023</v>
      </c>
      <c r="H3709" s="93"/>
      <c r="I3709" s="85">
        <v>-999</v>
      </c>
      <c r="J3709" s="85">
        <v>-999</v>
      </c>
      <c r="K3709" s="131" t="s">
        <v>3177</v>
      </c>
      <c r="L3709" s="60">
        <v>-999</v>
      </c>
      <c r="M3709" s="33"/>
    </row>
    <row r="3710" spans="1:14" ht="17" x14ac:dyDescent="0.2">
      <c r="A3710" s="166" t="s">
        <v>2481</v>
      </c>
      <c r="B3710" s="93" t="s">
        <v>5852</v>
      </c>
      <c r="C3710" s="70" t="s">
        <v>3636</v>
      </c>
      <c r="D3710" s="70" t="s">
        <v>3437</v>
      </c>
      <c r="E3710" s="70" t="s">
        <v>3457</v>
      </c>
      <c r="F3710" s="70" t="s">
        <v>6202</v>
      </c>
      <c r="G3710" s="70" t="s">
        <v>3601</v>
      </c>
      <c r="H3710" s="93"/>
      <c r="I3710" s="85">
        <f>LOG(J3710)</f>
        <v>1.5740312677277188</v>
      </c>
      <c r="J3710" s="85">
        <f>1000*0.0375</f>
        <v>37.5</v>
      </c>
      <c r="K3710" s="131" t="s">
        <v>6391</v>
      </c>
      <c r="L3710" s="60">
        <v>60</v>
      </c>
      <c r="M3710" s="47" t="s">
        <v>6809</v>
      </c>
    </row>
    <row r="3711" spans="1:14" ht="14" x14ac:dyDescent="0.15">
      <c r="A3711" s="166" t="s">
        <v>2481</v>
      </c>
      <c r="B3711" s="93" t="s">
        <v>5852</v>
      </c>
      <c r="C3711" s="73" t="s">
        <v>3636</v>
      </c>
      <c r="D3711" s="73" t="s">
        <v>3437</v>
      </c>
      <c r="E3711" s="73" t="s">
        <v>3457</v>
      </c>
      <c r="F3711" s="73" t="s">
        <v>6202</v>
      </c>
      <c r="G3711" s="73" t="s">
        <v>2956</v>
      </c>
      <c r="H3711" s="108"/>
      <c r="I3711" s="85">
        <f>LOG(J3711)</f>
        <v>1.6283889300503116</v>
      </c>
      <c r="J3711" s="85">
        <f>1000*0.0425</f>
        <v>42.5</v>
      </c>
      <c r="K3711" s="131" t="s">
        <v>3177</v>
      </c>
      <c r="L3711" s="60">
        <v>60</v>
      </c>
      <c r="M3711" s="33"/>
    </row>
    <row r="3712" spans="1:14" ht="14" x14ac:dyDescent="0.15">
      <c r="A3712" s="166" t="s">
        <v>2481</v>
      </c>
      <c r="B3712" s="93" t="s">
        <v>2507</v>
      </c>
      <c r="C3712" s="70" t="s">
        <v>3636</v>
      </c>
      <c r="D3712" s="70" t="s">
        <v>3437</v>
      </c>
      <c r="E3712" s="70" t="s">
        <v>3457</v>
      </c>
      <c r="F3712" s="70" t="s">
        <v>6202</v>
      </c>
      <c r="G3712" s="70" t="s">
        <v>6242</v>
      </c>
      <c r="H3712" s="93"/>
      <c r="I3712" s="85">
        <f>LOG(J3712)</f>
        <v>1.7403626894942439</v>
      </c>
      <c r="J3712" s="85">
        <f>1000*AVERAGE(0.055, 0.055)</f>
        <v>55</v>
      </c>
      <c r="K3712" s="131" t="s">
        <v>6391</v>
      </c>
      <c r="L3712" s="60">
        <v>60</v>
      </c>
      <c r="M3712" s="33" t="s">
        <v>6390</v>
      </c>
    </row>
    <row r="3713" spans="1:14" ht="17" x14ac:dyDescent="0.2">
      <c r="A3713" s="166" t="s">
        <v>2481</v>
      </c>
      <c r="B3713" s="93" t="s">
        <v>2064</v>
      </c>
      <c r="C3713" s="70" t="s">
        <v>3636</v>
      </c>
      <c r="D3713" s="70" t="s">
        <v>3437</v>
      </c>
      <c r="E3713" s="70" t="s">
        <v>3457</v>
      </c>
      <c r="F3713" s="70" t="s">
        <v>4227</v>
      </c>
      <c r="G3713" s="70" t="s">
        <v>6238</v>
      </c>
      <c r="H3713" s="93"/>
      <c r="I3713" s="85">
        <v>-999</v>
      </c>
      <c r="J3713" s="85">
        <v>-999</v>
      </c>
      <c r="K3713" s="131" t="s">
        <v>3177</v>
      </c>
      <c r="L3713" s="60">
        <v>-999</v>
      </c>
      <c r="M3713" s="47" t="s">
        <v>6727</v>
      </c>
    </row>
    <row r="3714" spans="1:14" ht="16" x14ac:dyDescent="0.2">
      <c r="A3714" s="166" t="s">
        <v>2481</v>
      </c>
      <c r="B3714" s="93" t="s">
        <v>2196</v>
      </c>
      <c r="C3714" s="73" t="s">
        <v>3636</v>
      </c>
      <c r="D3714" s="73" t="s">
        <v>3437</v>
      </c>
      <c r="E3714" s="73" t="s">
        <v>3457</v>
      </c>
      <c r="F3714" s="73" t="s">
        <v>4227</v>
      </c>
      <c r="G3714" s="73" t="s">
        <v>5793</v>
      </c>
      <c r="H3714" s="108"/>
      <c r="I3714" s="85">
        <v>-999</v>
      </c>
      <c r="J3714" s="95">
        <v>-999</v>
      </c>
      <c r="K3714" s="131" t="s">
        <v>3177</v>
      </c>
      <c r="L3714" s="60">
        <v>-999</v>
      </c>
      <c r="M3714" s="47"/>
      <c r="N3714" s="48"/>
    </row>
    <row r="3715" spans="1:14" ht="28" x14ac:dyDescent="0.2">
      <c r="A3715" s="166" t="s">
        <v>2481</v>
      </c>
      <c r="B3715" s="93" t="s">
        <v>2403</v>
      </c>
      <c r="C3715" s="70" t="s">
        <v>3636</v>
      </c>
      <c r="D3715" s="70" t="s">
        <v>3437</v>
      </c>
      <c r="E3715" s="70" t="s">
        <v>3457</v>
      </c>
      <c r="F3715" s="70" t="s">
        <v>4227</v>
      </c>
      <c r="G3715" s="70" t="s">
        <v>6246</v>
      </c>
      <c r="H3715" s="93"/>
      <c r="I3715" s="85">
        <v>-999</v>
      </c>
      <c r="J3715" s="85">
        <v>-999</v>
      </c>
      <c r="K3715" s="131" t="s">
        <v>3177</v>
      </c>
      <c r="L3715" s="60">
        <v>-999</v>
      </c>
      <c r="M3715" s="47" t="s">
        <v>6727</v>
      </c>
    </row>
    <row r="3716" spans="1:14" ht="28" x14ac:dyDescent="0.2">
      <c r="A3716" s="166" t="s">
        <v>2481</v>
      </c>
      <c r="B3716" s="93" t="s">
        <v>2065</v>
      </c>
      <c r="C3716" s="70" t="s">
        <v>3636</v>
      </c>
      <c r="D3716" s="70" t="s">
        <v>3437</v>
      </c>
      <c r="E3716" s="73" t="s">
        <v>3457</v>
      </c>
      <c r="F3716" s="70" t="s">
        <v>4227</v>
      </c>
      <c r="G3716" s="70" t="s">
        <v>7858</v>
      </c>
      <c r="H3716" s="93"/>
      <c r="I3716" s="85">
        <v>-999</v>
      </c>
      <c r="J3716" s="85">
        <v>-999</v>
      </c>
      <c r="K3716" s="131" t="s">
        <v>7875</v>
      </c>
      <c r="L3716" s="60">
        <v>-999</v>
      </c>
      <c r="M3716" s="47" t="s">
        <v>6809</v>
      </c>
    </row>
    <row r="3717" spans="1:14" ht="17" x14ac:dyDescent="0.2">
      <c r="A3717" s="166" t="s">
        <v>2481</v>
      </c>
      <c r="B3717" s="93" t="s">
        <v>5797</v>
      </c>
      <c r="C3717" s="70" t="s">
        <v>3636</v>
      </c>
      <c r="D3717" s="70" t="s">
        <v>3437</v>
      </c>
      <c r="E3717" s="73" t="s">
        <v>3457</v>
      </c>
      <c r="F3717" s="70" t="s">
        <v>7860</v>
      </c>
      <c r="G3717" s="70" t="s">
        <v>7061</v>
      </c>
      <c r="H3717" s="93"/>
      <c r="I3717" s="85">
        <v>-999</v>
      </c>
      <c r="J3717" s="85">
        <v>-999</v>
      </c>
      <c r="K3717" s="131" t="s">
        <v>6391</v>
      </c>
      <c r="L3717" s="60">
        <v>-999</v>
      </c>
      <c r="M3717" s="47" t="s">
        <v>6390</v>
      </c>
    </row>
    <row r="3718" spans="1:14" ht="14" x14ac:dyDescent="0.15">
      <c r="A3718" s="166" t="s">
        <v>2481</v>
      </c>
      <c r="B3718" s="93" t="s">
        <v>2507</v>
      </c>
      <c r="C3718" s="70" t="s">
        <v>3636</v>
      </c>
      <c r="D3718" s="70" t="s">
        <v>3437</v>
      </c>
      <c r="E3718" s="70" t="s">
        <v>3457</v>
      </c>
      <c r="F3718" s="70" t="s">
        <v>7861</v>
      </c>
      <c r="G3718" s="70" t="s">
        <v>2444</v>
      </c>
      <c r="H3718" s="93"/>
      <c r="I3718" s="85">
        <v>-999</v>
      </c>
      <c r="J3718" s="85">
        <v>-999</v>
      </c>
      <c r="K3718" s="131" t="s">
        <v>3177</v>
      </c>
      <c r="L3718" s="60">
        <v>-999</v>
      </c>
      <c r="M3718" s="33"/>
    </row>
    <row r="3719" spans="1:14" ht="14" x14ac:dyDescent="0.15">
      <c r="A3719" s="166" t="s">
        <v>2481</v>
      </c>
      <c r="B3719" s="93" t="s">
        <v>2480</v>
      </c>
      <c r="C3719" s="70" t="s">
        <v>3636</v>
      </c>
      <c r="D3719" s="70" t="s">
        <v>3437</v>
      </c>
      <c r="E3719" s="70" t="s">
        <v>3457</v>
      </c>
      <c r="F3719" s="70" t="s">
        <v>3279</v>
      </c>
      <c r="G3719" s="70" t="s">
        <v>2913</v>
      </c>
      <c r="H3719" s="93"/>
      <c r="I3719" s="85">
        <f t="shared" ref="I3719:I3727" si="146">LOG(J3719)</f>
        <v>1.5740312677277188</v>
      </c>
      <c r="J3719" s="85">
        <v>37.5</v>
      </c>
      <c r="K3719" s="131" t="s">
        <v>6055</v>
      </c>
      <c r="L3719" s="60">
        <v>150</v>
      </c>
      <c r="M3719" s="37"/>
    </row>
    <row r="3720" spans="1:14" ht="14" x14ac:dyDescent="0.15">
      <c r="A3720" s="166" t="s">
        <v>2481</v>
      </c>
      <c r="B3720" s="93" t="s">
        <v>2480</v>
      </c>
      <c r="C3720" s="70" t="s">
        <v>3636</v>
      </c>
      <c r="D3720" s="70" t="s">
        <v>3437</v>
      </c>
      <c r="E3720" s="70" t="s">
        <v>3457</v>
      </c>
      <c r="F3720" s="70" t="s">
        <v>3279</v>
      </c>
      <c r="G3720" s="70" t="s">
        <v>3280</v>
      </c>
      <c r="H3720" s="93"/>
      <c r="I3720" s="85">
        <f t="shared" si="146"/>
        <v>1.8450980400142569</v>
      </c>
      <c r="J3720" s="85">
        <v>70</v>
      </c>
      <c r="K3720" s="131" t="s">
        <v>5967</v>
      </c>
      <c r="L3720" s="60">
        <v>150</v>
      </c>
      <c r="M3720" s="37"/>
    </row>
    <row r="3721" spans="1:14" ht="56" x14ac:dyDescent="0.15">
      <c r="A3721" s="166" t="s">
        <v>2481</v>
      </c>
      <c r="B3721" s="93" t="s">
        <v>2480</v>
      </c>
      <c r="C3721" s="70" t="s">
        <v>3636</v>
      </c>
      <c r="D3721" s="70" t="s">
        <v>3437</v>
      </c>
      <c r="E3721" s="70" t="s">
        <v>3457</v>
      </c>
      <c r="F3721" s="70" t="s">
        <v>3279</v>
      </c>
      <c r="G3721" s="70" t="s">
        <v>2908</v>
      </c>
      <c r="H3721" s="93"/>
      <c r="I3721" s="85">
        <f t="shared" si="146"/>
        <v>1.8750612633917001</v>
      </c>
      <c r="J3721" s="85">
        <v>75</v>
      </c>
      <c r="K3721" s="131"/>
      <c r="L3721" s="60">
        <v>150</v>
      </c>
      <c r="M3721" s="37" t="s">
        <v>5932</v>
      </c>
    </row>
    <row r="3722" spans="1:14" ht="14" x14ac:dyDescent="0.15">
      <c r="A3722" s="166" t="s">
        <v>2481</v>
      </c>
      <c r="B3722" s="93" t="s">
        <v>2480</v>
      </c>
      <c r="C3722" s="70" t="s">
        <v>3636</v>
      </c>
      <c r="D3722" s="70" t="s">
        <v>3437</v>
      </c>
      <c r="E3722" s="70" t="s">
        <v>3457</v>
      </c>
      <c r="F3722" s="70" t="s">
        <v>3279</v>
      </c>
      <c r="G3722" s="70" t="s">
        <v>3474</v>
      </c>
      <c r="H3722" s="93"/>
      <c r="I3722" s="85">
        <f t="shared" si="146"/>
        <v>1.8750612633917001</v>
      </c>
      <c r="J3722" s="85">
        <v>75</v>
      </c>
      <c r="K3722" s="142" t="s">
        <v>6391</v>
      </c>
      <c r="L3722" s="60">
        <v>150</v>
      </c>
      <c r="M3722" s="37" t="s">
        <v>6392</v>
      </c>
    </row>
    <row r="3723" spans="1:14" ht="42" x14ac:dyDescent="0.15">
      <c r="A3723" s="166" t="s">
        <v>2481</v>
      </c>
      <c r="B3723" s="93" t="s">
        <v>2480</v>
      </c>
      <c r="C3723" s="70" t="s">
        <v>3636</v>
      </c>
      <c r="D3723" s="70" t="s">
        <v>3437</v>
      </c>
      <c r="E3723" s="70" t="s">
        <v>3457</v>
      </c>
      <c r="F3723" s="70" t="s">
        <v>3279</v>
      </c>
      <c r="G3723" s="70" t="s">
        <v>3281</v>
      </c>
      <c r="H3723" s="93"/>
      <c r="I3723" s="85">
        <f t="shared" si="146"/>
        <v>1.954242509439325</v>
      </c>
      <c r="J3723" s="85">
        <v>90</v>
      </c>
      <c r="K3723" s="131" t="s">
        <v>2580</v>
      </c>
      <c r="L3723" s="60">
        <v>150</v>
      </c>
      <c r="M3723" s="37"/>
    </row>
    <row r="3724" spans="1:14" ht="56" x14ac:dyDescent="0.15">
      <c r="A3724" s="166" t="s">
        <v>2481</v>
      </c>
      <c r="B3724" s="93" t="s">
        <v>2480</v>
      </c>
      <c r="C3724" s="70" t="s">
        <v>3636</v>
      </c>
      <c r="D3724" s="70" t="s">
        <v>3437</v>
      </c>
      <c r="E3724" s="70" t="s">
        <v>3457</v>
      </c>
      <c r="F3724" s="70" t="s">
        <v>3279</v>
      </c>
      <c r="G3724" s="70" t="s">
        <v>7924</v>
      </c>
      <c r="H3724" s="93"/>
      <c r="I3724" s="85">
        <f t="shared" si="146"/>
        <v>2</v>
      </c>
      <c r="J3724" s="85">
        <v>100</v>
      </c>
      <c r="K3724" s="131" t="s">
        <v>5931</v>
      </c>
      <c r="L3724" s="60">
        <v>150</v>
      </c>
      <c r="M3724" s="37" t="s">
        <v>5932</v>
      </c>
    </row>
    <row r="3725" spans="1:14" ht="14" x14ac:dyDescent="0.15">
      <c r="A3725" s="166" t="s">
        <v>2481</v>
      </c>
      <c r="B3725" s="93" t="s">
        <v>2480</v>
      </c>
      <c r="C3725" s="70" t="s">
        <v>3636</v>
      </c>
      <c r="D3725" s="70" t="s">
        <v>3437</v>
      </c>
      <c r="E3725" s="70" t="s">
        <v>3457</v>
      </c>
      <c r="F3725" s="70" t="s">
        <v>3279</v>
      </c>
      <c r="G3725" s="70" t="s">
        <v>5285</v>
      </c>
      <c r="H3725" s="93"/>
      <c r="I3725" s="85">
        <f t="shared" si="146"/>
        <v>2</v>
      </c>
      <c r="J3725" s="85">
        <v>100</v>
      </c>
      <c r="K3725" s="142" t="s">
        <v>6391</v>
      </c>
      <c r="L3725" s="60">
        <v>150</v>
      </c>
      <c r="M3725" s="37" t="s">
        <v>6390</v>
      </c>
    </row>
    <row r="3726" spans="1:14" ht="14" x14ac:dyDescent="0.15">
      <c r="A3726" s="166" t="s">
        <v>2481</v>
      </c>
      <c r="B3726" s="93" t="s">
        <v>2480</v>
      </c>
      <c r="C3726" s="70" t="s">
        <v>3636</v>
      </c>
      <c r="D3726" s="70" t="s">
        <v>3437</v>
      </c>
      <c r="E3726" s="70" t="s">
        <v>3457</v>
      </c>
      <c r="F3726" s="70" t="s">
        <v>3279</v>
      </c>
      <c r="G3726" s="70" t="s">
        <v>2982</v>
      </c>
      <c r="H3726" s="93"/>
      <c r="I3726" s="85">
        <f t="shared" si="146"/>
        <v>2</v>
      </c>
      <c r="J3726" s="85">
        <v>100</v>
      </c>
      <c r="K3726" s="142" t="s">
        <v>6391</v>
      </c>
      <c r="L3726" s="60">
        <v>150</v>
      </c>
      <c r="M3726" s="37" t="s">
        <v>6809</v>
      </c>
    </row>
    <row r="3727" spans="1:14" ht="14" x14ac:dyDescent="0.15">
      <c r="A3727" s="170" t="s">
        <v>2481</v>
      </c>
      <c r="B3727" s="93" t="s">
        <v>2021</v>
      </c>
      <c r="C3727" s="70" t="s">
        <v>3636</v>
      </c>
      <c r="D3727" s="70" t="s">
        <v>3437</v>
      </c>
      <c r="E3727" s="70" t="s">
        <v>3457</v>
      </c>
      <c r="F3727" s="70" t="s">
        <v>3820</v>
      </c>
      <c r="G3727" s="70" t="s">
        <v>6542</v>
      </c>
      <c r="H3727" s="93"/>
      <c r="I3727" s="85">
        <f t="shared" si="146"/>
        <v>1.4313637641589874</v>
      </c>
      <c r="J3727" s="85">
        <v>27</v>
      </c>
      <c r="K3727" s="131" t="s">
        <v>3177</v>
      </c>
      <c r="L3727" s="70" t="s">
        <v>6687</v>
      </c>
      <c r="M3727" s="33"/>
    </row>
    <row r="3728" spans="1:14" ht="14" x14ac:dyDescent="0.15">
      <c r="A3728" s="166" t="s">
        <v>2481</v>
      </c>
      <c r="B3728" s="93" t="s">
        <v>2507</v>
      </c>
      <c r="C3728" s="70" t="s">
        <v>3636</v>
      </c>
      <c r="D3728" s="70" t="s">
        <v>3437</v>
      </c>
      <c r="E3728" s="70" t="s">
        <v>3457</v>
      </c>
      <c r="F3728" s="70" t="s">
        <v>6211</v>
      </c>
      <c r="G3728" s="70" t="s">
        <v>6016</v>
      </c>
      <c r="H3728" s="93"/>
      <c r="I3728" s="85">
        <v>-999</v>
      </c>
      <c r="J3728" s="85">
        <v>-999</v>
      </c>
      <c r="K3728" s="131" t="s">
        <v>6391</v>
      </c>
      <c r="L3728" s="60">
        <v>-999</v>
      </c>
      <c r="M3728" s="33" t="s">
        <v>6390</v>
      </c>
    </row>
    <row r="3729" spans="1:18" ht="14" x14ac:dyDescent="0.15">
      <c r="A3729" s="166" t="s">
        <v>2481</v>
      </c>
      <c r="B3729" s="82" t="s">
        <v>2330</v>
      </c>
      <c r="C3729" s="70" t="s">
        <v>3636</v>
      </c>
      <c r="D3729" s="70" t="s">
        <v>3437</v>
      </c>
      <c r="E3729" s="70" t="s">
        <v>3457</v>
      </c>
      <c r="F3729" s="70" t="s">
        <v>8024</v>
      </c>
      <c r="G3729" s="70" t="s">
        <v>5806</v>
      </c>
      <c r="H3729" s="93"/>
      <c r="I3729" s="85">
        <f>LOG(J3729)</f>
        <v>1.8129133566428555</v>
      </c>
      <c r="J3729" s="85">
        <f>AVERAGE(50, 80)</f>
        <v>65</v>
      </c>
      <c r="K3729" s="131" t="s">
        <v>3177</v>
      </c>
      <c r="L3729" s="60">
        <v>117</v>
      </c>
      <c r="M3729" s="33"/>
    </row>
    <row r="3730" spans="1:18" ht="14" x14ac:dyDescent="0.15">
      <c r="A3730" s="166" t="s">
        <v>2481</v>
      </c>
      <c r="B3730" s="93" t="s">
        <v>2480</v>
      </c>
      <c r="C3730" s="70" t="s">
        <v>3636</v>
      </c>
      <c r="D3730" s="70" t="s">
        <v>3437</v>
      </c>
      <c r="E3730" s="70" t="s">
        <v>3457</v>
      </c>
      <c r="F3730" s="70" t="s">
        <v>3475</v>
      </c>
      <c r="G3730" s="70" t="s">
        <v>4483</v>
      </c>
      <c r="H3730" s="93"/>
      <c r="I3730" s="85">
        <f>LOG(J3730)</f>
        <v>1.9890046156985368</v>
      </c>
      <c r="J3730" s="85">
        <v>97.5</v>
      </c>
      <c r="K3730" s="142" t="s">
        <v>6457</v>
      </c>
      <c r="L3730" s="60">
        <v>150</v>
      </c>
      <c r="M3730" s="37" t="s">
        <v>6728</v>
      </c>
    </row>
    <row r="3731" spans="1:18" ht="14" x14ac:dyDescent="0.15">
      <c r="A3731" s="166" t="s">
        <v>2481</v>
      </c>
      <c r="B3731" s="82" t="s">
        <v>3062</v>
      </c>
      <c r="C3731" s="70" t="s">
        <v>3636</v>
      </c>
      <c r="D3731" s="70" t="s">
        <v>3437</v>
      </c>
      <c r="E3731" s="70" t="s">
        <v>3457</v>
      </c>
      <c r="F3731" s="70" t="s">
        <v>5807</v>
      </c>
      <c r="G3731" s="70" t="s">
        <v>4291</v>
      </c>
      <c r="H3731" s="93"/>
      <c r="I3731" s="85">
        <f>LOG(J3731)</f>
        <v>1.0170333392987803</v>
      </c>
      <c r="J3731" s="85">
        <v>10.4</v>
      </c>
      <c r="K3731" s="131" t="s">
        <v>6630</v>
      </c>
      <c r="L3731" s="67">
        <v>60</v>
      </c>
      <c r="M3731" s="33" t="s">
        <v>6728</v>
      </c>
    </row>
    <row r="3732" spans="1:18" ht="14" x14ac:dyDescent="0.15">
      <c r="A3732" s="166" t="s">
        <v>2481</v>
      </c>
      <c r="B3732" s="82" t="s">
        <v>2018</v>
      </c>
      <c r="C3732" s="70" t="s">
        <v>3636</v>
      </c>
      <c r="D3732" s="70" t="s">
        <v>3437</v>
      </c>
      <c r="E3732" s="73" t="s">
        <v>3457</v>
      </c>
      <c r="F3732" s="70" t="s">
        <v>5807</v>
      </c>
      <c r="G3732" s="70" t="s">
        <v>5808</v>
      </c>
      <c r="H3732" s="93"/>
      <c r="I3732" s="85">
        <f>LOG(J3732)</f>
        <v>1.1038037209559568</v>
      </c>
      <c r="J3732" s="85">
        <f>1000*0.0127</f>
        <v>12.7</v>
      </c>
      <c r="K3732" s="131" t="s">
        <v>6630</v>
      </c>
      <c r="L3732" s="60">
        <v>60</v>
      </c>
      <c r="M3732" s="33" t="s">
        <v>6728</v>
      </c>
    </row>
    <row r="3733" spans="1:18" ht="14" x14ac:dyDescent="0.15">
      <c r="A3733" s="166" t="s">
        <v>2481</v>
      </c>
      <c r="B3733" s="82" t="s">
        <v>5780</v>
      </c>
      <c r="C3733" s="73" t="s">
        <v>3636</v>
      </c>
      <c r="D3733" s="73" t="s">
        <v>3437</v>
      </c>
      <c r="E3733" s="73" t="s">
        <v>3457</v>
      </c>
      <c r="F3733" s="73" t="s">
        <v>5807</v>
      </c>
      <c r="G3733" s="73" t="s">
        <v>5809</v>
      </c>
      <c r="H3733" s="108"/>
      <c r="I3733" s="85">
        <f>LOG(J3733)</f>
        <v>1.167317334748176</v>
      </c>
      <c r="J3733" s="85">
        <v>14.7</v>
      </c>
      <c r="K3733" s="131" t="s">
        <v>3177</v>
      </c>
      <c r="L3733" s="60">
        <v>60</v>
      </c>
      <c r="M3733" s="33"/>
    </row>
    <row r="3734" spans="1:18" ht="14" x14ac:dyDescent="0.15">
      <c r="A3734" s="166" t="s">
        <v>2481</v>
      </c>
      <c r="B3734" s="93" t="s">
        <v>5922</v>
      </c>
      <c r="C3734" s="70" t="s">
        <v>3636</v>
      </c>
      <c r="D3734" s="70" t="s">
        <v>3437</v>
      </c>
      <c r="E3734" s="70" t="s">
        <v>3457</v>
      </c>
      <c r="F3734" s="70" t="s">
        <v>3241</v>
      </c>
      <c r="G3734" s="70" t="s">
        <v>5618</v>
      </c>
      <c r="H3734" s="93"/>
      <c r="I3734" s="85">
        <v>-999</v>
      </c>
      <c r="J3734" s="85">
        <v>-999</v>
      </c>
      <c r="K3734" s="131" t="s">
        <v>6630</v>
      </c>
      <c r="L3734" s="60">
        <v>-999</v>
      </c>
      <c r="M3734" s="33" t="s">
        <v>6392</v>
      </c>
    </row>
    <row r="3735" spans="1:18" ht="56" x14ac:dyDescent="0.15">
      <c r="A3735" s="166" t="s">
        <v>2481</v>
      </c>
      <c r="B3735" s="93" t="s">
        <v>2078</v>
      </c>
      <c r="C3735" s="70" t="s">
        <v>3636</v>
      </c>
      <c r="D3735" s="70" t="s">
        <v>3437</v>
      </c>
      <c r="E3735" s="70" t="s">
        <v>3457</v>
      </c>
      <c r="F3735" s="70" t="s">
        <v>4094</v>
      </c>
      <c r="G3735" s="70" t="s">
        <v>5619</v>
      </c>
      <c r="H3735" s="93"/>
      <c r="I3735" s="103">
        <v>-999</v>
      </c>
      <c r="J3735" s="85">
        <v>-999</v>
      </c>
      <c r="K3735" s="131" t="s">
        <v>6630</v>
      </c>
      <c r="L3735" s="60">
        <v>151</v>
      </c>
      <c r="M3735" s="37" t="s">
        <v>6392</v>
      </c>
      <c r="N3735" s="32" t="s">
        <v>6744</v>
      </c>
      <c r="O3735" s="37" t="s">
        <v>6876</v>
      </c>
    </row>
    <row r="3736" spans="1:18" ht="210" x14ac:dyDescent="0.15">
      <c r="A3736" s="166" t="s">
        <v>2481</v>
      </c>
      <c r="B3736" s="93" t="s">
        <v>2078</v>
      </c>
      <c r="C3736" s="70" t="s">
        <v>3636</v>
      </c>
      <c r="D3736" s="70" t="s">
        <v>3437</v>
      </c>
      <c r="E3736" s="70" t="s">
        <v>3457</v>
      </c>
      <c r="F3736" s="70" t="s">
        <v>4094</v>
      </c>
      <c r="G3736" s="70" t="s">
        <v>5620</v>
      </c>
      <c r="H3736" s="93"/>
      <c r="I3736" s="103">
        <v>-999</v>
      </c>
      <c r="J3736" s="85">
        <v>-999</v>
      </c>
      <c r="K3736" s="131" t="s">
        <v>6391</v>
      </c>
      <c r="L3736" s="60">
        <v>151</v>
      </c>
      <c r="M3736" s="49" t="s">
        <v>6392</v>
      </c>
      <c r="N3736" s="32" t="s">
        <v>7387</v>
      </c>
    </row>
    <row r="3737" spans="1:18" ht="56" x14ac:dyDescent="0.15">
      <c r="A3737" s="166" t="s">
        <v>2481</v>
      </c>
      <c r="B3737" s="93" t="s">
        <v>1427</v>
      </c>
      <c r="C3737" s="70" t="s">
        <v>3636</v>
      </c>
      <c r="D3737" s="70" t="s">
        <v>3437</v>
      </c>
      <c r="E3737" s="73" t="s">
        <v>3457</v>
      </c>
      <c r="F3737" s="70" t="s">
        <v>4094</v>
      </c>
      <c r="G3737" s="70" t="s">
        <v>6508</v>
      </c>
      <c r="H3737" s="93"/>
      <c r="I3737" s="85">
        <v>-999</v>
      </c>
      <c r="J3737" s="85">
        <v>-999</v>
      </c>
      <c r="K3737" s="131" t="s">
        <v>3177</v>
      </c>
      <c r="L3737" s="60">
        <v>-999</v>
      </c>
      <c r="M3737" s="33"/>
      <c r="O3737" s="37" t="s">
        <v>7020</v>
      </c>
    </row>
    <row r="3738" spans="1:18" ht="112" x14ac:dyDescent="0.15">
      <c r="A3738" s="166" t="s">
        <v>2481</v>
      </c>
      <c r="B3738" s="93" t="s">
        <v>2078</v>
      </c>
      <c r="C3738" s="70" t="s">
        <v>3636</v>
      </c>
      <c r="D3738" s="70" t="s">
        <v>3437</v>
      </c>
      <c r="E3738" s="73" t="s">
        <v>3457</v>
      </c>
      <c r="F3738" s="70" t="s">
        <v>4094</v>
      </c>
      <c r="G3738" s="70" t="s">
        <v>6509</v>
      </c>
      <c r="H3738" s="93"/>
      <c r="I3738" s="103">
        <v>-999</v>
      </c>
      <c r="J3738" s="85">
        <v>-999</v>
      </c>
      <c r="K3738" s="131" t="s">
        <v>6630</v>
      </c>
      <c r="L3738" s="60">
        <v>151</v>
      </c>
      <c r="M3738" s="49" t="s">
        <v>6392</v>
      </c>
      <c r="N3738" s="32" t="s">
        <v>7295</v>
      </c>
    </row>
    <row r="3739" spans="1:18" ht="28" x14ac:dyDescent="0.15">
      <c r="A3739" s="166" t="s">
        <v>2481</v>
      </c>
      <c r="B3739" s="93" t="s">
        <v>2078</v>
      </c>
      <c r="C3739" s="70" t="s">
        <v>3636</v>
      </c>
      <c r="D3739" s="70" t="s">
        <v>3437</v>
      </c>
      <c r="E3739" s="70" t="s">
        <v>3457</v>
      </c>
      <c r="F3739" s="70" t="s">
        <v>4094</v>
      </c>
      <c r="G3739" s="70" t="s">
        <v>4095</v>
      </c>
      <c r="H3739" s="93"/>
      <c r="I3739" s="85">
        <f>LOG(J3739)</f>
        <v>2.5483894181329183</v>
      </c>
      <c r="J3739" s="85">
        <f>AVERAGE(397, 310)</f>
        <v>353.5</v>
      </c>
      <c r="K3739" s="131" t="s">
        <v>6459</v>
      </c>
      <c r="L3739" s="60">
        <v>151</v>
      </c>
      <c r="M3739" s="37"/>
    </row>
    <row r="3740" spans="1:18" ht="28" x14ac:dyDescent="0.15">
      <c r="A3740" s="166" t="s">
        <v>2481</v>
      </c>
      <c r="B3740" s="93" t="s">
        <v>2078</v>
      </c>
      <c r="C3740" s="70" t="s">
        <v>3636</v>
      </c>
      <c r="D3740" s="70" t="s">
        <v>3437</v>
      </c>
      <c r="E3740" s="70" t="s">
        <v>3457</v>
      </c>
      <c r="F3740" s="70" t="s">
        <v>6371</v>
      </c>
      <c r="G3740" s="70" t="s">
        <v>6373</v>
      </c>
      <c r="H3740" s="93"/>
      <c r="I3740" s="85">
        <f>LOG(J3740)</f>
        <v>2.9124877613323239</v>
      </c>
      <c r="J3740" s="85">
        <f>AVERAGE(753, 882)</f>
        <v>817.5</v>
      </c>
      <c r="K3740" s="131" t="s">
        <v>6597</v>
      </c>
      <c r="L3740" s="60">
        <v>151</v>
      </c>
      <c r="M3740" s="37"/>
    </row>
    <row r="3741" spans="1:18" ht="14" x14ac:dyDescent="0.15">
      <c r="A3741" s="166" t="s">
        <v>2481</v>
      </c>
      <c r="B3741" s="93" t="s">
        <v>2078</v>
      </c>
      <c r="C3741" s="70" t="s">
        <v>3636</v>
      </c>
      <c r="D3741" s="70" t="s">
        <v>3437</v>
      </c>
      <c r="E3741" s="70" t="s">
        <v>3457</v>
      </c>
      <c r="F3741" s="70" t="s">
        <v>6371</v>
      </c>
      <c r="G3741" s="70" t="s">
        <v>6372</v>
      </c>
      <c r="H3741" s="93"/>
      <c r="I3741" s="85">
        <f>LOG(J3741)</f>
        <v>2.9696488404807253</v>
      </c>
      <c r="J3741" s="85">
        <f>AVERAGE(880, 985)</f>
        <v>932.5</v>
      </c>
      <c r="K3741" s="131" t="s">
        <v>6719</v>
      </c>
      <c r="L3741" s="60">
        <v>151</v>
      </c>
      <c r="M3741" s="37"/>
    </row>
    <row r="3742" spans="1:18" ht="14" x14ac:dyDescent="0.15">
      <c r="A3742" s="166" t="s">
        <v>2481</v>
      </c>
      <c r="B3742" s="93" t="s">
        <v>2140</v>
      </c>
      <c r="C3742" s="70" t="s">
        <v>3636</v>
      </c>
      <c r="D3742" s="70" t="s">
        <v>3437</v>
      </c>
      <c r="E3742" s="70" t="s">
        <v>3457</v>
      </c>
      <c r="F3742" s="70" t="s">
        <v>7927</v>
      </c>
      <c r="G3742" s="70" t="s">
        <v>8045</v>
      </c>
      <c r="H3742" s="93"/>
      <c r="I3742" s="85">
        <f>LOG(J3742)</f>
        <v>3.0969100130080562</v>
      </c>
      <c r="J3742" s="85">
        <v>1250</v>
      </c>
      <c r="K3742" s="131" t="s">
        <v>6485</v>
      </c>
      <c r="L3742" s="60">
        <v>68</v>
      </c>
    </row>
    <row r="3743" spans="1:18" ht="14" x14ac:dyDescent="0.15">
      <c r="A3743" s="166" t="s">
        <v>2481</v>
      </c>
      <c r="B3743" s="93" t="s">
        <v>2480</v>
      </c>
      <c r="C3743" s="70" t="s">
        <v>3636</v>
      </c>
      <c r="D3743" s="70" t="s">
        <v>3437</v>
      </c>
      <c r="E3743" s="70" t="s">
        <v>3457</v>
      </c>
      <c r="F3743" s="70" t="s">
        <v>7927</v>
      </c>
      <c r="G3743" s="70" t="s">
        <v>8045</v>
      </c>
      <c r="H3743" s="93"/>
      <c r="I3743" s="85">
        <f>LOG(J3743)</f>
        <v>3.0969100130080562</v>
      </c>
      <c r="J3743" s="85">
        <v>1250</v>
      </c>
      <c r="K3743" s="135" t="s">
        <v>6391</v>
      </c>
      <c r="L3743" s="60">
        <v>68</v>
      </c>
      <c r="M3743" s="37" t="s">
        <v>6390</v>
      </c>
    </row>
    <row r="3744" spans="1:18" ht="14" x14ac:dyDescent="0.15">
      <c r="A3744" s="166" t="s">
        <v>2481</v>
      </c>
      <c r="B3744" s="93" t="s">
        <v>2426</v>
      </c>
      <c r="C3744" s="70" t="s">
        <v>3636</v>
      </c>
      <c r="D3744" s="70" t="s">
        <v>3437</v>
      </c>
      <c r="E3744" s="70" t="s">
        <v>3457</v>
      </c>
      <c r="F3744" s="70" t="s">
        <v>2965</v>
      </c>
      <c r="G3744" s="70" t="s">
        <v>3823</v>
      </c>
      <c r="H3744" s="93"/>
      <c r="I3744" s="85">
        <v>-999</v>
      </c>
      <c r="J3744" s="85">
        <v>-999</v>
      </c>
      <c r="K3744" s="131" t="s">
        <v>6630</v>
      </c>
      <c r="L3744" s="60">
        <v>-999</v>
      </c>
      <c r="M3744" s="33" t="s">
        <v>6392</v>
      </c>
      <c r="Q3744" s="6"/>
      <c r="R3744" s="6"/>
    </row>
    <row r="3745" spans="1:18" ht="70" x14ac:dyDescent="0.15">
      <c r="A3745" s="166" t="s">
        <v>2481</v>
      </c>
      <c r="B3745" s="82" t="s">
        <v>4460</v>
      </c>
      <c r="C3745" s="70" t="s">
        <v>3636</v>
      </c>
      <c r="D3745" s="70" t="s">
        <v>3437</v>
      </c>
      <c r="E3745" s="70" t="s">
        <v>3457</v>
      </c>
      <c r="F3745" s="70" t="s">
        <v>4018</v>
      </c>
      <c r="G3745" s="70" t="s">
        <v>4017</v>
      </c>
      <c r="H3745" s="93"/>
      <c r="I3745" s="85">
        <v>-999</v>
      </c>
      <c r="J3745" s="85">
        <v>-999</v>
      </c>
      <c r="K3745" s="131" t="s">
        <v>6391</v>
      </c>
      <c r="L3745" s="60">
        <v>-999</v>
      </c>
      <c r="M3745" s="33" t="s">
        <v>6728</v>
      </c>
      <c r="Q3745" s="6"/>
      <c r="R3745" s="6"/>
    </row>
    <row r="3746" spans="1:18" ht="14" x14ac:dyDescent="0.15">
      <c r="A3746" s="166" t="s">
        <v>2481</v>
      </c>
      <c r="B3746" s="93" t="s">
        <v>5613</v>
      </c>
      <c r="C3746" s="70" t="s">
        <v>3636</v>
      </c>
      <c r="D3746" s="70" t="s">
        <v>3437</v>
      </c>
      <c r="E3746" s="70" t="s">
        <v>3457</v>
      </c>
      <c r="F3746" s="70" t="s">
        <v>3168</v>
      </c>
      <c r="G3746" s="70" t="s">
        <v>5794</v>
      </c>
      <c r="H3746" s="93"/>
      <c r="I3746" s="85">
        <v>-999</v>
      </c>
      <c r="J3746" s="85">
        <v>-999</v>
      </c>
      <c r="K3746" s="131" t="s">
        <v>3177</v>
      </c>
      <c r="L3746" s="60">
        <v>-999</v>
      </c>
      <c r="M3746" s="33"/>
      <c r="Q3746" s="6"/>
      <c r="R3746" s="6"/>
    </row>
    <row r="3747" spans="1:18" ht="42" x14ac:dyDescent="0.2">
      <c r="A3747" s="166" t="s">
        <v>2481</v>
      </c>
      <c r="B3747" s="93" t="s">
        <v>1964</v>
      </c>
      <c r="C3747" s="70" t="s">
        <v>3636</v>
      </c>
      <c r="D3747" s="70" t="s">
        <v>3437</v>
      </c>
      <c r="E3747" s="70" t="s">
        <v>3457</v>
      </c>
      <c r="F3747" s="70" t="s">
        <v>6247</v>
      </c>
      <c r="G3747" s="70" t="s">
        <v>6016</v>
      </c>
      <c r="H3747" s="93"/>
      <c r="I3747" s="85">
        <f>LOG(J3747)</f>
        <v>2.1760912590556813</v>
      </c>
      <c r="J3747" s="85">
        <f>AVERAGE(80, 220)</f>
        <v>150</v>
      </c>
      <c r="K3747" s="131" t="s">
        <v>3177</v>
      </c>
      <c r="L3747" s="60" t="s">
        <v>7532</v>
      </c>
      <c r="M3747" s="33"/>
      <c r="N3747" s="48"/>
      <c r="Q3747" s="6"/>
      <c r="R3747" s="6"/>
    </row>
    <row r="3748" spans="1:18" ht="14" x14ac:dyDescent="0.15">
      <c r="A3748" s="166" t="s">
        <v>2481</v>
      </c>
      <c r="B3748" s="93" t="s">
        <v>2178</v>
      </c>
      <c r="C3748" s="70" t="s">
        <v>3636</v>
      </c>
      <c r="D3748" s="70" t="s">
        <v>3437</v>
      </c>
      <c r="E3748" s="70" t="s">
        <v>3457</v>
      </c>
      <c r="F3748" s="70" t="s">
        <v>6248</v>
      </c>
      <c r="G3748" s="70" t="s">
        <v>3879</v>
      </c>
      <c r="H3748" s="93"/>
      <c r="I3748" s="85">
        <f>LOG(J3748)</f>
        <v>2.4771212547196626</v>
      </c>
      <c r="J3748" s="85">
        <v>300</v>
      </c>
      <c r="K3748" s="131" t="s">
        <v>3177</v>
      </c>
      <c r="L3748" s="60">
        <v>119</v>
      </c>
      <c r="M3748" s="33"/>
      <c r="Q3748"/>
      <c r="R3748"/>
    </row>
    <row r="3749" spans="1:18" ht="14" x14ac:dyDescent="0.15">
      <c r="A3749" s="166" t="s">
        <v>2481</v>
      </c>
      <c r="B3749" s="93" t="s">
        <v>2328</v>
      </c>
      <c r="C3749" s="70" t="s">
        <v>3636</v>
      </c>
      <c r="D3749" s="70" t="s">
        <v>3437</v>
      </c>
      <c r="E3749" s="70" t="s">
        <v>3457</v>
      </c>
      <c r="F3749" s="70" t="s">
        <v>6248</v>
      </c>
      <c r="G3749" s="70" t="s">
        <v>3207</v>
      </c>
      <c r="H3749" s="93"/>
      <c r="I3749" s="85">
        <f>LOG(J3749)</f>
        <v>2.5220092865677088</v>
      </c>
      <c r="J3749" s="85">
        <f>AVERAGE(216, 250, 532)</f>
        <v>332.66666666666669</v>
      </c>
      <c r="K3749" s="131" t="s">
        <v>3177</v>
      </c>
      <c r="L3749" s="70" t="s">
        <v>7532</v>
      </c>
      <c r="M3749" s="33"/>
      <c r="Q3749"/>
      <c r="R3749"/>
    </row>
    <row r="3750" spans="1:18" ht="28" x14ac:dyDescent="0.15">
      <c r="A3750" s="166" t="s">
        <v>2481</v>
      </c>
      <c r="B3750" s="93" t="s">
        <v>2217</v>
      </c>
      <c r="C3750" s="70" t="s">
        <v>3636</v>
      </c>
      <c r="D3750" s="70" t="s">
        <v>3437</v>
      </c>
      <c r="E3750" s="70" t="s">
        <v>3457</v>
      </c>
      <c r="F3750" s="70" t="s">
        <v>6248</v>
      </c>
      <c r="G3750" s="70" t="s">
        <v>3208</v>
      </c>
      <c r="H3750" s="93"/>
      <c r="I3750" s="85">
        <f>LOG(J3750)</f>
        <v>2.7604224834232118</v>
      </c>
      <c r="J3750" s="85">
        <v>576</v>
      </c>
      <c r="K3750" s="131" t="s">
        <v>6391</v>
      </c>
      <c r="L3750" s="60">
        <v>60</v>
      </c>
      <c r="M3750" s="33" t="s">
        <v>6728</v>
      </c>
      <c r="Q3750"/>
      <c r="R3750"/>
    </row>
    <row r="3751" spans="1:18" ht="28" x14ac:dyDescent="0.15">
      <c r="A3751" s="166" t="s">
        <v>2481</v>
      </c>
      <c r="B3751" s="93" t="s">
        <v>2078</v>
      </c>
      <c r="C3751" s="73" t="s">
        <v>3636</v>
      </c>
      <c r="D3751" s="73" t="s">
        <v>3437</v>
      </c>
      <c r="E3751" s="73" t="s">
        <v>3457</v>
      </c>
      <c r="F3751" s="73" t="s">
        <v>2832</v>
      </c>
      <c r="G3751" s="73" t="s">
        <v>3857</v>
      </c>
      <c r="H3751" s="108"/>
      <c r="I3751" s="103">
        <v>-999</v>
      </c>
      <c r="J3751" s="95">
        <v>-999</v>
      </c>
      <c r="K3751" s="131" t="s">
        <v>7410</v>
      </c>
      <c r="L3751" s="60">
        <v>151</v>
      </c>
      <c r="M3751" s="37"/>
      <c r="Q3751"/>
      <c r="R3751"/>
    </row>
    <row r="3752" spans="1:18" ht="28" x14ac:dyDescent="0.15">
      <c r="A3752" s="166" t="s">
        <v>2481</v>
      </c>
      <c r="B3752" s="93" t="s">
        <v>2078</v>
      </c>
      <c r="C3752" s="70" t="s">
        <v>3636</v>
      </c>
      <c r="D3752" s="70" t="s">
        <v>3437</v>
      </c>
      <c r="E3752" s="70" t="s">
        <v>3457</v>
      </c>
      <c r="F3752" s="70" t="s">
        <v>2832</v>
      </c>
      <c r="G3752" s="70" t="s">
        <v>2830</v>
      </c>
      <c r="H3752" s="93"/>
      <c r="I3752" s="85">
        <f>LOG(J3752)</f>
        <v>1.6319508262592171</v>
      </c>
      <c r="J3752" s="85">
        <f>AVERAGE(43.7, 42)</f>
        <v>42.85</v>
      </c>
      <c r="K3752" s="131" t="s">
        <v>7409</v>
      </c>
      <c r="L3752" s="60">
        <v>151</v>
      </c>
      <c r="M3752" s="37"/>
      <c r="Q3752"/>
      <c r="R3752"/>
    </row>
    <row r="3753" spans="1:18" ht="56" x14ac:dyDescent="0.15">
      <c r="A3753" s="166" t="s">
        <v>2481</v>
      </c>
      <c r="B3753" s="93" t="s">
        <v>2078</v>
      </c>
      <c r="C3753" s="70" t="s">
        <v>3636</v>
      </c>
      <c r="D3753" s="70" t="s">
        <v>3437</v>
      </c>
      <c r="E3753" s="70" t="s">
        <v>3457</v>
      </c>
      <c r="F3753" s="70" t="s">
        <v>2832</v>
      </c>
      <c r="G3753" s="70" t="s">
        <v>1989</v>
      </c>
      <c r="H3753" s="93"/>
      <c r="I3753" s="85">
        <f>LOG(J3753)</f>
        <v>1.9281397068751198</v>
      </c>
      <c r="J3753" s="85">
        <f>AVERAGE(90.5, 79)</f>
        <v>84.75</v>
      </c>
      <c r="K3753" s="131" t="s">
        <v>6391</v>
      </c>
      <c r="L3753" s="60">
        <v>151</v>
      </c>
      <c r="M3753" s="37" t="s">
        <v>6809</v>
      </c>
      <c r="N3753" s="32" t="s">
        <v>8014</v>
      </c>
      <c r="Q3753"/>
      <c r="R3753"/>
    </row>
    <row r="3754" spans="1:18" ht="14" x14ac:dyDescent="0.15">
      <c r="A3754" s="166" t="s">
        <v>2481</v>
      </c>
      <c r="B3754" s="93" t="s">
        <v>5852</v>
      </c>
      <c r="C3754" s="70" t="s">
        <v>3636</v>
      </c>
      <c r="D3754" s="70" t="s">
        <v>3437</v>
      </c>
      <c r="E3754" s="70" t="s">
        <v>3457</v>
      </c>
      <c r="F3754" s="70" t="s">
        <v>3400</v>
      </c>
      <c r="G3754" s="70" t="s">
        <v>3401</v>
      </c>
      <c r="H3754" s="93"/>
      <c r="I3754" s="85">
        <v>-999</v>
      </c>
      <c r="J3754" s="85">
        <v>-999</v>
      </c>
      <c r="K3754" s="131" t="s">
        <v>3177</v>
      </c>
      <c r="L3754" s="60">
        <v>-999</v>
      </c>
      <c r="M3754" s="33"/>
      <c r="Q3754"/>
      <c r="R3754"/>
    </row>
    <row r="3755" spans="1:18" ht="28" x14ac:dyDescent="0.15">
      <c r="A3755" s="166" t="s">
        <v>2481</v>
      </c>
      <c r="B3755" s="93" t="s">
        <v>2078</v>
      </c>
      <c r="C3755" s="70" t="s">
        <v>3636</v>
      </c>
      <c r="D3755" s="70" t="s">
        <v>3437</v>
      </c>
      <c r="E3755" s="70" t="s">
        <v>3457</v>
      </c>
      <c r="F3755" s="70" t="s">
        <v>2991</v>
      </c>
      <c r="G3755" s="70" t="s">
        <v>2992</v>
      </c>
      <c r="H3755" s="93"/>
      <c r="I3755" s="85">
        <f>LOG(J3755)</f>
        <v>1.1522883443830565</v>
      </c>
      <c r="J3755" s="85">
        <f>AVERAGE(14.3, 14.1)</f>
        <v>14.2</v>
      </c>
      <c r="K3755" s="131" t="s">
        <v>7903</v>
      </c>
      <c r="L3755" s="60">
        <v>151</v>
      </c>
      <c r="M3755" s="37"/>
      <c r="Q3755"/>
      <c r="R3755"/>
    </row>
    <row r="3756" spans="1:18" ht="14" x14ac:dyDescent="0.15">
      <c r="A3756" s="166" t="s">
        <v>2481</v>
      </c>
      <c r="B3756" s="93" t="s">
        <v>2480</v>
      </c>
      <c r="C3756" s="70" t="s">
        <v>3636</v>
      </c>
      <c r="D3756" s="70" t="s">
        <v>3437</v>
      </c>
      <c r="E3756" s="70" t="s">
        <v>3457</v>
      </c>
      <c r="F3756" s="70" t="s">
        <v>3476</v>
      </c>
      <c r="G3756" s="70" t="s">
        <v>5404</v>
      </c>
      <c r="H3756" s="93"/>
      <c r="I3756" s="85">
        <f>LOG(J3756)</f>
        <v>1.3979400086720377</v>
      </c>
      <c r="J3756" s="85">
        <v>25</v>
      </c>
      <c r="K3756" s="131" t="s">
        <v>1185</v>
      </c>
      <c r="L3756" s="70">
        <v>150</v>
      </c>
      <c r="M3756" s="37"/>
    </row>
    <row r="3757" spans="1:18" ht="14" x14ac:dyDescent="0.15">
      <c r="A3757" s="166" t="s">
        <v>2481</v>
      </c>
      <c r="B3757" s="93" t="s">
        <v>2480</v>
      </c>
      <c r="C3757" s="70" t="s">
        <v>3636</v>
      </c>
      <c r="D3757" s="70" t="s">
        <v>3437</v>
      </c>
      <c r="E3757" s="70" t="s">
        <v>3457</v>
      </c>
      <c r="F3757" s="70" t="s">
        <v>3476</v>
      </c>
      <c r="G3757" s="70" t="s">
        <v>2985</v>
      </c>
      <c r="H3757" s="93"/>
      <c r="I3757" s="85">
        <f>LOG(J3757)</f>
        <v>1.7403626894942439</v>
      </c>
      <c r="J3757" s="85">
        <v>55</v>
      </c>
      <c r="K3757" s="142" t="s">
        <v>6391</v>
      </c>
      <c r="L3757" s="70">
        <v>150</v>
      </c>
      <c r="M3757" s="37" t="s">
        <v>6809</v>
      </c>
    </row>
    <row r="3758" spans="1:18" ht="84" x14ac:dyDescent="0.15">
      <c r="A3758" s="166" t="s">
        <v>2481</v>
      </c>
      <c r="B3758" s="93" t="s">
        <v>2078</v>
      </c>
      <c r="C3758" s="73" t="s">
        <v>3636</v>
      </c>
      <c r="D3758" s="73" t="s">
        <v>3437</v>
      </c>
      <c r="E3758" s="73" t="s">
        <v>3457</v>
      </c>
      <c r="F3758" s="73" t="s">
        <v>3032</v>
      </c>
      <c r="G3758" s="73" t="s">
        <v>1989</v>
      </c>
      <c r="H3758" s="108"/>
      <c r="I3758" s="103">
        <v>-999</v>
      </c>
      <c r="J3758" s="95">
        <v>-999</v>
      </c>
      <c r="K3758" s="131" t="s">
        <v>6618</v>
      </c>
      <c r="L3758" s="60">
        <v>151</v>
      </c>
      <c r="M3758" s="37" t="s">
        <v>6809</v>
      </c>
    </row>
    <row r="3759" spans="1:18" ht="14" x14ac:dyDescent="0.15">
      <c r="A3759" s="166" t="s">
        <v>2481</v>
      </c>
      <c r="B3759" s="93" t="s">
        <v>2078</v>
      </c>
      <c r="C3759" s="70" t="s">
        <v>3636</v>
      </c>
      <c r="D3759" s="70" t="s">
        <v>3437</v>
      </c>
      <c r="E3759" s="70" t="s">
        <v>3457</v>
      </c>
      <c r="F3759" s="70" t="s">
        <v>3032</v>
      </c>
      <c r="G3759" s="70" t="s">
        <v>5644</v>
      </c>
      <c r="H3759" s="93"/>
      <c r="I3759" s="85">
        <f t="shared" ref="I3759:I3783" si="147">LOG(J3759)</f>
        <v>2.5440680443502757</v>
      </c>
      <c r="J3759" s="85">
        <v>350</v>
      </c>
      <c r="K3759" s="131" t="s">
        <v>7431</v>
      </c>
      <c r="L3759" s="60">
        <v>151</v>
      </c>
      <c r="M3759" s="37" t="s">
        <v>6390</v>
      </c>
    </row>
    <row r="3760" spans="1:18" ht="28" x14ac:dyDescent="0.15">
      <c r="A3760" s="166" t="s">
        <v>2481</v>
      </c>
      <c r="B3760" s="93" t="s">
        <v>2078</v>
      </c>
      <c r="C3760" s="70" t="s">
        <v>3636</v>
      </c>
      <c r="D3760" s="70" t="s">
        <v>3437</v>
      </c>
      <c r="E3760" s="70" t="s">
        <v>3457</v>
      </c>
      <c r="F3760" s="70" t="s">
        <v>6070</v>
      </c>
      <c r="G3760" s="70" t="s">
        <v>3996</v>
      </c>
      <c r="H3760" s="93"/>
      <c r="I3760" s="85">
        <f t="shared" si="147"/>
        <v>3.0635209996899908</v>
      </c>
      <c r="J3760" s="85">
        <f>AVERAGE(1087, 1228)</f>
        <v>1157.5</v>
      </c>
      <c r="K3760" s="131" t="s">
        <v>6734</v>
      </c>
      <c r="L3760" s="60">
        <v>151</v>
      </c>
      <c r="M3760" s="37"/>
    </row>
    <row r="3761" spans="1:13" ht="42" x14ac:dyDescent="0.15">
      <c r="A3761" s="166" t="s">
        <v>2481</v>
      </c>
      <c r="B3761" s="93" t="s">
        <v>2078</v>
      </c>
      <c r="C3761" s="70" t="s">
        <v>3636</v>
      </c>
      <c r="D3761" s="70" t="s">
        <v>3437</v>
      </c>
      <c r="E3761" s="70" t="s">
        <v>3457</v>
      </c>
      <c r="F3761" s="70" t="s">
        <v>6070</v>
      </c>
      <c r="G3761" s="70" t="s">
        <v>3025</v>
      </c>
      <c r="H3761" s="93"/>
      <c r="I3761" s="85">
        <f t="shared" si="147"/>
        <v>3.2211533219547053</v>
      </c>
      <c r="J3761" s="85">
        <f>AVERAGE(1800, 1528)</f>
        <v>1664</v>
      </c>
      <c r="K3761" s="131" t="s">
        <v>6745</v>
      </c>
      <c r="L3761" s="60">
        <v>151</v>
      </c>
      <c r="M3761" s="37"/>
    </row>
    <row r="3762" spans="1:13" ht="14" x14ac:dyDescent="0.15">
      <c r="A3762" s="166" t="s">
        <v>2481</v>
      </c>
      <c r="B3762" s="93" t="s">
        <v>2078</v>
      </c>
      <c r="C3762" s="70" t="s">
        <v>3636</v>
      </c>
      <c r="D3762" s="70" t="s">
        <v>3437</v>
      </c>
      <c r="E3762" s="70" t="s">
        <v>3457</v>
      </c>
      <c r="F3762" s="70" t="s">
        <v>6070</v>
      </c>
      <c r="G3762" s="70" t="s">
        <v>3027</v>
      </c>
      <c r="H3762" s="93"/>
      <c r="I3762" s="85">
        <f t="shared" si="147"/>
        <v>3.2900346113625178</v>
      </c>
      <c r="J3762" s="85">
        <v>1950</v>
      </c>
      <c r="K3762" s="131" t="s">
        <v>7151</v>
      </c>
      <c r="L3762" s="60">
        <v>151</v>
      </c>
      <c r="M3762" s="37" t="s">
        <v>6392</v>
      </c>
    </row>
    <row r="3763" spans="1:13" ht="14" x14ac:dyDescent="0.15">
      <c r="A3763" s="166" t="s">
        <v>2481</v>
      </c>
      <c r="B3763" s="93" t="s">
        <v>2078</v>
      </c>
      <c r="C3763" s="70" t="s">
        <v>3636</v>
      </c>
      <c r="D3763" s="70" t="s">
        <v>3437</v>
      </c>
      <c r="E3763" s="70" t="s">
        <v>3457</v>
      </c>
      <c r="F3763" s="70" t="s">
        <v>6070</v>
      </c>
      <c r="G3763" s="70" t="s">
        <v>3026</v>
      </c>
      <c r="H3763" s="93"/>
      <c r="I3763" s="85">
        <f t="shared" si="147"/>
        <v>3.3010299956639813</v>
      </c>
      <c r="J3763" s="85">
        <v>2000</v>
      </c>
      <c r="K3763" s="131" t="s">
        <v>7150</v>
      </c>
      <c r="L3763" s="60">
        <v>151</v>
      </c>
      <c r="M3763" s="37" t="s">
        <v>6809</v>
      </c>
    </row>
    <row r="3764" spans="1:13" ht="14" x14ac:dyDescent="0.15">
      <c r="A3764" s="166" t="s">
        <v>2481</v>
      </c>
      <c r="B3764" s="93" t="s">
        <v>5613</v>
      </c>
      <c r="C3764" s="70" t="s">
        <v>3636</v>
      </c>
      <c r="D3764" s="70" t="s">
        <v>3437</v>
      </c>
      <c r="E3764" s="70" t="s">
        <v>3457</v>
      </c>
      <c r="F3764" s="70" t="s">
        <v>3029</v>
      </c>
      <c r="G3764" s="70" t="s">
        <v>7064</v>
      </c>
      <c r="H3764" s="93"/>
      <c r="I3764" s="85">
        <f t="shared" si="147"/>
        <v>1.5065050324048721</v>
      </c>
      <c r="J3764" s="85">
        <f>1000*AVERAGE(0.0346, 0.0296)</f>
        <v>32.1</v>
      </c>
      <c r="K3764" s="131" t="s">
        <v>3177</v>
      </c>
      <c r="L3764" s="60">
        <v>60</v>
      </c>
      <c r="M3764" s="33" t="s">
        <v>6728</v>
      </c>
    </row>
    <row r="3765" spans="1:13" ht="14" x14ac:dyDescent="0.15">
      <c r="A3765" s="166" t="s">
        <v>2481</v>
      </c>
      <c r="B3765" s="93" t="s">
        <v>5613</v>
      </c>
      <c r="C3765" s="70" t="s">
        <v>3636</v>
      </c>
      <c r="D3765" s="70" t="s">
        <v>3437</v>
      </c>
      <c r="E3765" s="70" t="s">
        <v>3457</v>
      </c>
      <c r="F3765" s="70" t="s">
        <v>3029</v>
      </c>
      <c r="G3765" s="70" t="s">
        <v>7898</v>
      </c>
      <c r="H3765" s="93"/>
      <c r="I3765" s="85">
        <f t="shared" si="147"/>
        <v>1.8472641017707645</v>
      </c>
      <c r="J3765" s="85">
        <f>1000*AVERAGE(0.0783, 0.0624)</f>
        <v>70.349999999999994</v>
      </c>
      <c r="K3765" s="131" t="s">
        <v>3177</v>
      </c>
      <c r="L3765" s="60">
        <v>60</v>
      </c>
      <c r="M3765" s="33"/>
    </row>
    <row r="3766" spans="1:13" ht="14" x14ac:dyDescent="0.15">
      <c r="A3766" s="166" t="s">
        <v>2481</v>
      </c>
      <c r="B3766" s="93" t="s">
        <v>5613</v>
      </c>
      <c r="C3766" s="70" t="s">
        <v>3636</v>
      </c>
      <c r="D3766" s="70" t="s">
        <v>3437</v>
      </c>
      <c r="E3766" s="70" t="s">
        <v>3457</v>
      </c>
      <c r="F3766" s="70" t="s">
        <v>3029</v>
      </c>
      <c r="G3766" s="70" t="s">
        <v>1989</v>
      </c>
      <c r="H3766" s="93"/>
      <c r="I3766" s="85">
        <f t="shared" si="147"/>
        <v>2.0827853703164503</v>
      </c>
      <c r="J3766" s="85">
        <f>1000*AVERAGE(0.125, 0.117)</f>
        <v>121</v>
      </c>
      <c r="K3766" s="131" t="s">
        <v>3177</v>
      </c>
      <c r="L3766" s="60">
        <v>60</v>
      </c>
      <c r="M3766" s="33" t="s">
        <v>6728</v>
      </c>
    </row>
    <row r="3767" spans="1:13" ht="14" x14ac:dyDescent="0.15">
      <c r="A3767" s="166" t="s">
        <v>2481</v>
      </c>
      <c r="B3767" s="93" t="s">
        <v>2178</v>
      </c>
      <c r="C3767" s="70" t="s">
        <v>3636</v>
      </c>
      <c r="D3767" s="70" t="s">
        <v>3437</v>
      </c>
      <c r="E3767" s="73" t="s">
        <v>3457</v>
      </c>
      <c r="F3767" s="70" t="s">
        <v>8047</v>
      </c>
      <c r="G3767" s="70" t="s">
        <v>3048</v>
      </c>
      <c r="H3767" s="93"/>
      <c r="I3767" s="85">
        <f t="shared" si="147"/>
        <v>1.7528164311882715</v>
      </c>
      <c r="J3767" s="85">
        <f>1000*0.0566</f>
        <v>56.599999999999994</v>
      </c>
      <c r="K3767" s="131" t="s">
        <v>3177</v>
      </c>
      <c r="L3767" s="60">
        <v>60</v>
      </c>
      <c r="M3767" s="33" t="s">
        <v>6392</v>
      </c>
    </row>
    <row r="3768" spans="1:13" ht="14" x14ac:dyDescent="0.15">
      <c r="A3768" s="166" t="s">
        <v>2481</v>
      </c>
      <c r="B3768" s="82" t="s">
        <v>2487</v>
      </c>
      <c r="C3768" s="70" t="s">
        <v>3636</v>
      </c>
      <c r="D3768" s="70" t="s">
        <v>3437</v>
      </c>
      <c r="E3768" s="70" t="s">
        <v>3457</v>
      </c>
      <c r="F3768" s="70" t="s">
        <v>8047</v>
      </c>
      <c r="G3768" s="70" t="s">
        <v>5305</v>
      </c>
      <c r="H3768" s="93"/>
      <c r="I3768" s="85">
        <f t="shared" si="147"/>
        <v>1.7610921743529879</v>
      </c>
      <c r="J3768" s="85">
        <f>AVERAGE(30, 83, 50, 52.3, 51.9, 74.3, 62.4, 67.7, 47.6)</f>
        <v>57.688888888888883</v>
      </c>
      <c r="K3768" s="131"/>
      <c r="L3768" s="60" t="s">
        <v>1436</v>
      </c>
      <c r="M3768" s="33"/>
    </row>
    <row r="3769" spans="1:13" ht="14" x14ac:dyDescent="0.15">
      <c r="A3769" s="166" t="s">
        <v>2481</v>
      </c>
      <c r="B3769" s="93" t="s">
        <v>2018</v>
      </c>
      <c r="C3769" s="70" t="s">
        <v>3636</v>
      </c>
      <c r="D3769" s="70" t="s">
        <v>3437</v>
      </c>
      <c r="E3769" s="70" t="s">
        <v>3457</v>
      </c>
      <c r="F3769" s="70" t="s">
        <v>8047</v>
      </c>
      <c r="G3769" s="70" t="s">
        <v>3811</v>
      </c>
      <c r="H3769" s="93"/>
      <c r="I3769" s="85">
        <f t="shared" si="147"/>
        <v>1.8438554226231612</v>
      </c>
      <c r="J3769" s="85">
        <f>1000*0.0698</f>
        <v>69.8</v>
      </c>
      <c r="K3769" s="131" t="s">
        <v>3177</v>
      </c>
      <c r="L3769" s="60">
        <v>60</v>
      </c>
      <c r="M3769" s="33" t="s">
        <v>6390</v>
      </c>
    </row>
    <row r="3770" spans="1:13" ht="14" x14ac:dyDescent="0.15">
      <c r="A3770" s="166" t="s">
        <v>2481</v>
      </c>
      <c r="B3770" s="93" t="s">
        <v>5613</v>
      </c>
      <c r="C3770" s="73" t="s">
        <v>3636</v>
      </c>
      <c r="D3770" s="73" t="s">
        <v>3437</v>
      </c>
      <c r="E3770" s="73" t="s">
        <v>3457</v>
      </c>
      <c r="F3770" s="73" t="s">
        <v>8047</v>
      </c>
      <c r="G3770" s="73" t="s">
        <v>5513</v>
      </c>
      <c r="H3770" s="108"/>
      <c r="I3770" s="85">
        <f t="shared" si="147"/>
        <v>1.9283958522567137</v>
      </c>
      <c r="J3770" s="85">
        <f>1000*0.0848</f>
        <v>84.8</v>
      </c>
      <c r="K3770" s="134" t="s">
        <v>3177</v>
      </c>
      <c r="L3770" s="60">
        <v>60</v>
      </c>
      <c r="M3770" s="33"/>
    </row>
    <row r="3771" spans="1:13" ht="14" x14ac:dyDescent="0.15">
      <c r="A3771" s="166" t="s">
        <v>2481</v>
      </c>
      <c r="B3771" s="93" t="s">
        <v>2018</v>
      </c>
      <c r="C3771" s="70" t="s">
        <v>3636</v>
      </c>
      <c r="D3771" s="70" t="s">
        <v>3437</v>
      </c>
      <c r="E3771" s="70" t="s">
        <v>3457</v>
      </c>
      <c r="F3771" s="70" t="s">
        <v>8047</v>
      </c>
      <c r="G3771" s="70" t="s">
        <v>5183</v>
      </c>
      <c r="H3771" s="93"/>
      <c r="I3771" s="85">
        <f t="shared" si="147"/>
        <v>1.954242509439325</v>
      </c>
      <c r="J3771" s="85">
        <v>90</v>
      </c>
      <c r="K3771" s="131" t="s">
        <v>3177</v>
      </c>
      <c r="L3771" s="60">
        <v>257</v>
      </c>
      <c r="M3771" s="33" t="s">
        <v>6390</v>
      </c>
    </row>
    <row r="3772" spans="1:13" ht="14" x14ac:dyDescent="0.15">
      <c r="A3772" s="166" t="s">
        <v>2481</v>
      </c>
      <c r="B3772" s="93" t="s">
        <v>2018</v>
      </c>
      <c r="C3772" s="70" t="s">
        <v>3636</v>
      </c>
      <c r="D3772" s="70" t="s">
        <v>3437</v>
      </c>
      <c r="E3772" s="70" t="s">
        <v>3457</v>
      </c>
      <c r="F3772" s="70" t="s">
        <v>8047</v>
      </c>
      <c r="G3772" s="70" t="s">
        <v>5681</v>
      </c>
      <c r="H3772" s="93"/>
      <c r="I3772" s="85">
        <f t="shared" si="147"/>
        <v>1.9867717342662448</v>
      </c>
      <c r="J3772" s="85">
        <f>AVERAGE(92.5, 101.5)</f>
        <v>97</v>
      </c>
      <c r="K3772" s="131" t="s">
        <v>3177</v>
      </c>
      <c r="L3772" s="60">
        <v>257</v>
      </c>
      <c r="M3772" s="33"/>
    </row>
    <row r="3773" spans="1:13" ht="14" x14ac:dyDescent="0.15">
      <c r="A3773" s="166" t="s">
        <v>2481</v>
      </c>
      <c r="B3773" s="93" t="s">
        <v>2426</v>
      </c>
      <c r="C3773" s="70" t="s">
        <v>3636</v>
      </c>
      <c r="D3773" s="70" t="s">
        <v>3437</v>
      </c>
      <c r="E3773" s="70" t="s">
        <v>3457</v>
      </c>
      <c r="F3773" s="70" t="s">
        <v>8047</v>
      </c>
      <c r="G3773" s="70" t="s">
        <v>3812</v>
      </c>
      <c r="H3773" s="93"/>
      <c r="I3773" s="85">
        <f t="shared" si="147"/>
        <v>2.0086001717619175</v>
      </c>
      <c r="J3773" s="85">
        <v>102</v>
      </c>
      <c r="K3773" s="131" t="s">
        <v>3177</v>
      </c>
      <c r="L3773" s="60">
        <v>60</v>
      </c>
      <c r="M3773" s="33"/>
    </row>
    <row r="3774" spans="1:13" ht="14" x14ac:dyDescent="0.15">
      <c r="A3774" s="166" t="s">
        <v>2481</v>
      </c>
      <c r="B3774" s="93" t="s">
        <v>5613</v>
      </c>
      <c r="C3774" s="70" t="s">
        <v>3636</v>
      </c>
      <c r="D3774" s="70" t="s">
        <v>3437</v>
      </c>
      <c r="E3774" s="70" t="s">
        <v>3457</v>
      </c>
      <c r="F3774" s="70" t="s">
        <v>8047</v>
      </c>
      <c r="G3774" s="70" t="s">
        <v>3813</v>
      </c>
      <c r="H3774" s="93"/>
      <c r="I3774" s="85">
        <f t="shared" si="147"/>
        <v>2.0791812460476247</v>
      </c>
      <c r="J3774" s="85">
        <v>120</v>
      </c>
      <c r="K3774" s="131" t="s">
        <v>3177</v>
      </c>
      <c r="L3774" s="60">
        <v>60</v>
      </c>
      <c r="M3774" s="33" t="s">
        <v>6728</v>
      </c>
    </row>
    <row r="3775" spans="1:13" ht="14" x14ac:dyDescent="0.15">
      <c r="A3775" s="166" t="s">
        <v>2481</v>
      </c>
      <c r="B3775" s="93" t="s">
        <v>5613</v>
      </c>
      <c r="C3775" s="70" t="s">
        <v>3636</v>
      </c>
      <c r="D3775" s="70" t="s">
        <v>3437</v>
      </c>
      <c r="E3775" s="73" t="s">
        <v>3457</v>
      </c>
      <c r="F3775" s="70" t="s">
        <v>8047</v>
      </c>
      <c r="G3775" s="70" t="s">
        <v>5486</v>
      </c>
      <c r="H3775" s="93"/>
      <c r="I3775" s="85">
        <f t="shared" si="147"/>
        <v>2.167317334748176</v>
      </c>
      <c r="J3775" s="85">
        <v>147</v>
      </c>
      <c r="K3775" s="131" t="s">
        <v>3177</v>
      </c>
      <c r="L3775" s="60">
        <v>60</v>
      </c>
      <c r="M3775" s="33" t="s">
        <v>6390</v>
      </c>
    </row>
    <row r="3776" spans="1:13" ht="28" x14ac:dyDescent="0.15">
      <c r="A3776" s="166" t="s">
        <v>2481</v>
      </c>
      <c r="B3776" s="93" t="s">
        <v>2329</v>
      </c>
      <c r="C3776" s="70" t="s">
        <v>3636</v>
      </c>
      <c r="D3776" s="70" t="s">
        <v>3437</v>
      </c>
      <c r="E3776" s="70" t="s">
        <v>3457</v>
      </c>
      <c r="F3776" s="70" t="s">
        <v>8047</v>
      </c>
      <c r="G3776" s="70" t="s">
        <v>5484</v>
      </c>
      <c r="H3776" s="93"/>
      <c r="I3776" s="85">
        <f t="shared" si="147"/>
        <v>2.1775364999298623</v>
      </c>
      <c r="J3776" s="85">
        <f>AVERAGE(95, 218, 71, 218)</f>
        <v>150.5</v>
      </c>
      <c r="K3776" s="131" t="s">
        <v>3177</v>
      </c>
      <c r="L3776" s="70" t="s">
        <v>7532</v>
      </c>
      <c r="M3776" s="33"/>
    </row>
    <row r="3777" spans="1:18" ht="14" x14ac:dyDescent="0.15">
      <c r="A3777" s="166" t="s">
        <v>2481</v>
      </c>
      <c r="B3777" s="93" t="s">
        <v>2178</v>
      </c>
      <c r="C3777" s="70" t="s">
        <v>3636</v>
      </c>
      <c r="D3777" s="70" t="s">
        <v>3437</v>
      </c>
      <c r="E3777" s="73" t="s">
        <v>3457</v>
      </c>
      <c r="F3777" s="70" t="s">
        <v>8047</v>
      </c>
      <c r="G3777" s="70" t="s">
        <v>5842</v>
      </c>
      <c r="H3777" s="93"/>
      <c r="I3777" s="85">
        <f t="shared" si="147"/>
        <v>2.1818435879447726</v>
      </c>
      <c r="J3777" s="85">
        <v>152</v>
      </c>
      <c r="K3777" s="131" t="s">
        <v>3177</v>
      </c>
      <c r="L3777" s="60">
        <v>60</v>
      </c>
      <c r="M3777" s="33"/>
    </row>
    <row r="3778" spans="1:18" ht="28" x14ac:dyDescent="0.15">
      <c r="A3778" s="166" t="s">
        <v>2481</v>
      </c>
      <c r="B3778" s="93" t="s">
        <v>3079</v>
      </c>
      <c r="C3778" s="70" t="s">
        <v>3636</v>
      </c>
      <c r="D3778" s="70" t="s">
        <v>3437</v>
      </c>
      <c r="E3778" s="73" t="s">
        <v>3457</v>
      </c>
      <c r="F3778" s="70" t="s">
        <v>8047</v>
      </c>
      <c r="G3778" s="70" t="s">
        <v>5485</v>
      </c>
      <c r="H3778" s="93"/>
      <c r="I3778" s="85">
        <f t="shared" si="147"/>
        <v>2.2087483868379958</v>
      </c>
      <c r="J3778" s="85">
        <f>1000*AVERAGE(0.17, 0.177, 0.15, 0.13, 0.155, 0.15, 0.2)</f>
        <v>161.71428571428572</v>
      </c>
      <c r="K3778" s="131" t="s">
        <v>3177</v>
      </c>
      <c r="L3778" s="60" t="s">
        <v>7539</v>
      </c>
      <c r="M3778" s="33"/>
      <c r="Q3778" s="6"/>
      <c r="R3778" s="6"/>
    </row>
    <row r="3779" spans="1:18" ht="56" x14ac:dyDescent="0.15">
      <c r="A3779" s="166" t="s">
        <v>2481</v>
      </c>
      <c r="B3779" s="93" t="s">
        <v>3064</v>
      </c>
      <c r="C3779" s="70" t="s">
        <v>3636</v>
      </c>
      <c r="D3779" s="70" t="s">
        <v>3437</v>
      </c>
      <c r="E3779" s="70" t="s">
        <v>3457</v>
      </c>
      <c r="F3779" s="70" t="s">
        <v>8047</v>
      </c>
      <c r="G3779" s="70" t="s">
        <v>5483</v>
      </c>
      <c r="H3779" s="93"/>
      <c r="I3779" s="85">
        <f t="shared" si="147"/>
        <v>2.2764618041732443</v>
      </c>
      <c r="J3779" s="85">
        <v>189</v>
      </c>
      <c r="K3779" s="131" t="s">
        <v>3177</v>
      </c>
      <c r="L3779" s="60">
        <v>60</v>
      </c>
      <c r="M3779" s="33" t="s">
        <v>6392</v>
      </c>
      <c r="Q3779" s="6"/>
      <c r="R3779" s="6"/>
    </row>
    <row r="3780" spans="1:18" ht="28" x14ac:dyDescent="0.15">
      <c r="A3780" s="170" t="s">
        <v>2481</v>
      </c>
      <c r="B3780" s="93" t="s">
        <v>2217</v>
      </c>
      <c r="C3780" s="70" t="s">
        <v>3636</v>
      </c>
      <c r="D3780" s="70" t="s">
        <v>3437</v>
      </c>
      <c r="E3780" s="70" t="s">
        <v>3457</v>
      </c>
      <c r="F3780" s="70" t="s">
        <v>8047</v>
      </c>
      <c r="G3780" s="70" t="s">
        <v>5482</v>
      </c>
      <c r="H3780" s="93"/>
      <c r="I3780" s="85">
        <f t="shared" si="147"/>
        <v>2.2922560713564759</v>
      </c>
      <c r="J3780" s="85">
        <v>196</v>
      </c>
      <c r="K3780" s="131" t="s">
        <v>3177</v>
      </c>
      <c r="L3780" s="60">
        <v>60</v>
      </c>
      <c r="M3780" s="33" t="s">
        <v>6392</v>
      </c>
      <c r="Q3780" s="6"/>
      <c r="R3780" s="6"/>
    </row>
    <row r="3781" spans="1:18" ht="14" x14ac:dyDescent="0.15">
      <c r="A3781" s="166" t="s">
        <v>2481</v>
      </c>
      <c r="B3781" s="93" t="s">
        <v>5613</v>
      </c>
      <c r="C3781" s="70" t="s">
        <v>3636</v>
      </c>
      <c r="D3781" s="70" t="s">
        <v>3437</v>
      </c>
      <c r="E3781" s="70" t="s">
        <v>3457</v>
      </c>
      <c r="F3781" s="70" t="s">
        <v>8047</v>
      </c>
      <c r="G3781" s="70" t="s">
        <v>3047</v>
      </c>
      <c r="H3781" s="93"/>
      <c r="I3781" s="85">
        <f t="shared" si="147"/>
        <v>2.307496037913213</v>
      </c>
      <c r="J3781" s="85">
        <v>203</v>
      </c>
      <c r="K3781" s="131" t="s">
        <v>3177</v>
      </c>
      <c r="L3781" s="60">
        <v>60</v>
      </c>
      <c r="M3781" s="33"/>
      <c r="Q3781" s="6"/>
      <c r="R3781" s="6"/>
    </row>
    <row r="3782" spans="1:18" ht="28" x14ac:dyDescent="0.15">
      <c r="A3782" s="166" t="s">
        <v>2481</v>
      </c>
      <c r="B3782" s="93" t="s">
        <v>2078</v>
      </c>
      <c r="C3782" s="70" t="s">
        <v>3636</v>
      </c>
      <c r="D3782" s="70" t="s">
        <v>3437</v>
      </c>
      <c r="E3782" s="70" t="s">
        <v>3457</v>
      </c>
      <c r="F3782" s="70" t="s">
        <v>7923</v>
      </c>
      <c r="G3782" s="70" t="s">
        <v>7924</v>
      </c>
      <c r="H3782" s="93"/>
      <c r="I3782" s="85">
        <f t="shared" si="147"/>
        <v>1.3521825181113625</v>
      </c>
      <c r="J3782" s="85">
        <v>22.5</v>
      </c>
      <c r="K3782" s="131" t="s">
        <v>7018</v>
      </c>
      <c r="L3782" s="60">
        <v>151</v>
      </c>
      <c r="M3782" s="37" t="s">
        <v>6728</v>
      </c>
      <c r="Q3782" s="6"/>
      <c r="R3782" s="6"/>
    </row>
    <row r="3783" spans="1:18" ht="14" x14ac:dyDescent="0.15">
      <c r="A3783" s="166" t="s">
        <v>2481</v>
      </c>
      <c r="B3783" s="93" t="s">
        <v>5613</v>
      </c>
      <c r="C3783" s="70" t="s">
        <v>3636</v>
      </c>
      <c r="D3783" s="70" t="s">
        <v>3437</v>
      </c>
      <c r="E3783" s="70" t="s">
        <v>3457</v>
      </c>
      <c r="F3783" s="70" t="s">
        <v>7925</v>
      </c>
      <c r="G3783" s="70" t="s">
        <v>6823</v>
      </c>
      <c r="H3783" s="93"/>
      <c r="I3783" s="85">
        <f t="shared" si="147"/>
        <v>1.6762362167633114</v>
      </c>
      <c r="J3783" s="85">
        <f>1000*AVERAGE(0.0508, 0.0441)</f>
        <v>47.449999999999996</v>
      </c>
      <c r="K3783" s="131" t="s">
        <v>3177</v>
      </c>
      <c r="L3783" s="60">
        <v>60</v>
      </c>
      <c r="M3783" s="33" t="s">
        <v>6390</v>
      </c>
      <c r="Q3783" s="6"/>
      <c r="R3783" s="6"/>
    </row>
    <row r="3784" spans="1:18" ht="112" x14ac:dyDescent="0.15">
      <c r="A3784" s="166" t="s">
        <v>2481</v>
      </c>
      <c r="B3784" s="93" t="s">
        <v>2078</v>
      </c>
      <c r="C3784" s="70" t="s">
        <v>3636</v>
      </c>
      <c r="D3784" s="70" t="s">
        <v>3437</v>
      </c>
      <c r="E3784" s="70" t="s">
        <v>3457</v>
      </c>
      <c r="F3784" s="70" t="s">
        <v>3760</v>
      </c>
      <c r="G3784" s="70" t="s">
        <v>3605</v>
      </c>
      <c r="H3784" s="93"/>
      <c r="I3784" s="103">
        <v>-999</v>
      </c>
      <c r="J3784" s="85">
        <v>-999</v>
      </c>
      <c r="K3784" s="131" t="s">
        <v>6536</v>
      </c>
      <c r="L3784" s="60">
        <v>151</v>
      </c>
      <c r="M3784" s="37"/>
      <c r="Q3784" s="6"/>
      <c r="R3784" s="6"/>
    </row>
    <row r="3785" spans="1:18" ht="14" x14ac:dyDescent="0.15">
      <c r="A3785" s="166" t="s">
        <v>2481</v>
      </c>
      <c r="B3785" s="82" t="s">
        <v>5908</v>
      </c>
      <c r="C3785" s="70" t="s">
        <v>3636</v>
      </c>
      <c r="D3785" s="70" t="s">
        <v>3437</v>
      </c>
      <c r="E3785" s="70" t="s">
        <v>3457</v>
      </c>
      <c r="F3785" s="70" t="s">
        <v>3760</v>
      </c>
      <c r="G3785" s="70" t="s">
        <v>7754</v>
      </c>
      <c r="H3785" s="93"/>
      <c r="I3785" s="85">
        <v>-999</v>
      </c>
      <c r="J3785" s="85">
        <v>-999</v>
      </c>
      <c r="K3785" s="131" t="s">
        <v>3177</v>
      </c>
      <c r="L3785" s="60">
        <v>-999</v>
      </c>
      <c r="M3785" s="33"/>
      <c r="Q3785" s="6"/>
      <c r="R3785" s="6"/>
    </row>
    <row r="3786" spans="1:18" ht="28" x14ac:dyDescent="0.15">
      <c r="A3786" s="165" t="s">
        <v>2481</v>
      </c>
      <c r="B3786" s="93" t="s">
        <v>2078</v>
      </c>
      <c r="C3786" s="70" t="s">
        <v>3636</v>
      </c>
      <c r="D3786" s="70" t="s">
        <v>3437</v>
      </c>
      <c r="E3786" s="70" t="s">
        <v>3457</v>
      </c>
      <c r="F3786" s="70" t="s">
        <v>3760</v>
      </c>
      <c r="G3786" s="70" t="s">
        <v>5258</v>
      </c>
      <c r="H3786" s="93"/>
      <c r="I3786" s="85">
        <f t="shared" ref="I3786:I3807" si="148">LOG(J3786)</f>
        <v>1.6679196853173615</v>
      </c>
      <c r="J3786" s="85">
        <f>AVERAGE(48.2, 44.9)</f>
        <v>46.55</v>
      </c>
      <c r="K3786" s="131" t="s">
        <v>6794</v>
      </c>
      <c r="L3786" s="60">
        <v>151</v>
      </c>
      <c r="M3786" s="37"/>
      <c r="Q3786" s="6"/>
      <c r="R3786" s="6"/>
    </row>
    <row r="3787" spans="1:18" ht="17" x14ac:dyDescent="0.2">
      <c r="A3787" s="166" t="s">
        <v>2481</v>
      </c>
      <c r="B3787" s="82" t="s">
        <v>6133</v>
      </c>
      <c r="C3787" s="73" t="s">
        <v>3636</v>
      </c>
      <c r="D3787" s="73" t="s">
        <v>3437</v>
      </c>
      <c r="E3787" s="73" t="s">
        <v>3457</v>
      </c>
      <c r="F3787" s="73" t="s">
        <v>3760</v>
      </c>
      <c r="G3787" s="73" t="s">
        <v>5151</v>
      </c>
      <c r="H3787" s="108"/>
      <c r="I3787" s="85">
        <f t="shared" si="148"/>
        <v>1.679427896612119</v>
      </c>
      <c r="J3787" s="85">
        <f>1000*0.0478</f>
        <v>47.800000000000004</v>
      </c>
      <c r="K3787" s="134" t="s">
        <v>3177</v>
      </c>
      <c r="L3787" s="67">
        <v>60</v>
      </c>
      <c r="M3787" s="47" t="s">
        <v>6392</v>
      </c>
      <c r="Q3787" s="6"/>
      <c r="R3787" s="6"/>
    </row>
    <row r="3788" spans="1:18" ht="28" x14ac:dyDescent="0.2">
      <c r="A3788" s="165" t="s">
        <v>2481</v>
      </c>
      <c r="B3788" s="93" t="s">
        <v>2078</v>
      </c>
      <c r="C3788" s="70" t="s">
        <v>3636</v>
      </c>
      <c r="D3788" s="70" t="s">
        <v>3437</v>
      </c>
      <c r="E3788" s="70" t="s">
        <v>3457</v>
      </c>
      <c r="F3788" s="70" t="s">
        <v>3760</v>
      </c>
      <c r="G3788" s="70" t="s">
        <v>4265</v>
      </c>
      <c r="H3788" s="93"/>
      <c r="I3788" s="85">
        <f t="shared" si="148"/>
        <v>1.7788744720027394</v>
      </c>
      <c r="J3788" s="85">
        <f>AVERAGE(60.4, 59.8)</f>
        <v>60.099999999999994</v>
      </c>
      <c r="K3788" s="131" t="s">
        <v>6756</v>
      </c>
      <c r="L3788" s="60">
        <v>151</v>
      </c>
      <c r="M3788" s="48"/>
      <c r="Q3788" s="6"/>
      <c r="R3788" s="6"/>
    </row>
    <row r="3789" spans="1:18" ht="112" x14ac:dyDescent="0.15">
      <c r="A3789" s="165" t="s">
        <v>2481</v>
      </c>
      <c r="B3789" s="93" t="s">
        <v>2078</v>
      </c>
      <c r="C3789" s="61" t="s">
        <v>3636</v>
      </c>
      <c r="D3789" s="61" t="s">
        <v>3437</v>
      </c>
      <c r="E3789" s="61" t="s">
        <v>3457</v>
      </c>
      <c r="F3789" s="61" t="s">
        <v>3760</v>
      </c>
      <c r="G3789" s="61" t="s">
        <v>3761</v>
      </c>
      <c r="H3789" s="115"/>
      <c r="I3789" s="85">
        <f t="shared" si="148"/>
        <v>1.8356905714924256</v>
      </c>
      <c r="J3789" s="103">
        <v>68.5</v>
      </c>
      <c r="K3789" s="131" t="s">
        <v>7259</v>
      </c>
      <c r="L3789" s="67">
        <v>59</v>
      </c>
      <c r="M3789" s="35" t="s">
        <v>7454</v>
      </c>
      <c r="Q3789" s="6"/>
      <c r="R3789" s="6"/>
    </row>
    <row r="3790" spans="1:18" ht="14" x14ac:dyDescent="0.15">
      <c r="A3790" s="166" t="s">
        <v>2481</v>
      </c>
      <c r="B3790" s="93" t="s">
        <v>2487</v>
      </c>
      <c r="C3790" s="70" t="s">
        <v>3636</v>
      </c>
      <c r="D3790" s="70" t="s">
        <v>3437</v>
      </c>
      <c r="E3790" s="70" t="s">
        <v>3457</v>
      </c>
      <c r="F3790" s="70" t="s">
        <v>3760</v>
      </c>
      <c r="G3790" s="70" t="s">
        <v>5256</v>
      </c>
      <c r="H3790" s="93"/>
      <c r="I3790" s="85">
        <f t="shared" si="148"/>
        <v>1.8512583487190752</v>
      </c>
      <c r="J3790" s="85">
        <f>(74+68)/2</f>
        <v>71</v>
      </c>
      <c r="K3790" s="131" t="s">
        <v>3177</v>
      </c>
      <c r="L3790" s="60">
        <v>110</v>
      </c>
      <c r="M3790" s="33" t="s">
        <v>6392</v>
      </c>
      <c r="N3790" s="33" t="s">
        <v>1465</v>
      </c>
    </row>
    <row r="3791" spans="1:18" ht="28" x14ac:dyDescent="0.2">
      <c r="A3791" s="165" t="s">
        <v>2481</v>
      </c>
      <c r="B3791" s="93" t="s">
        <v>2078</v>
      </c>
      <c r="C3791" s="70" t="s">
        <v>3636</v>
      </c>
      <c r="D3791" s="70" t="s">
        <v>3437</v>
      </c>
      <c r="E3791" s="70" t="s">
        <v>3457</v>
      </c>
      <c r="F3791" s="70" t="s">
        <v>3760</v>
      </c>
      <c r="G3791" s="70" t="s">
        <v>7772</v>
      </c>
      <c r="H3791" s="93"/>
      <c r="I3791" s="85">
        <f t="shared" si="148"/>
        <v>1.885926339801431</v>
      </c>
      <c r="J3791" s="85">
        <f>AVERAGE(84.7, 69.1)</f>
        <v>76.900000000000006</v>
      </c>
      <c r="K3791" s="131" t="s">
        <v>6669</v>
      </c>
      <c r="L3791" s="60">
        <v>151</v>
      </c>
      <c r="M3791" s="48"/>
      <c r="N3791" s="48"/>
    </row>
    <row r="3792" spans="1:18" ht="14" x14ac:dyDescent="0.15">
      <c r="A3792" s="166" t="s">
        <v>2481</v>
      </c>
      <c r="B3792" s="93" t="s">
        <v>2078</v>
      </c>
      <c r="C3792" s="70" t="s">
        <v>3636</v>
      </c>
      <c r="D3792" s="70" t="s">
        <v>3437</v>
      </c>
      <c r="E3792" s="70" t="s">
        <v>3457</v>
      </c>
      <c r="F3792" s="70" t="s">
        <v>3760</v>
      </c>
      <c r="G3792" s="70" t="s">
        <v>7926</v>
      </c>
      <c r="H3792" s="93"/>
      <c r="I3792" s="85">
        <f t="shared" si="148"/>
        <v>1.9084850188786497</v>
      </c>
      <c r="J3792" s="85">
        <v>81</v>
      </c>
      <c r="K3792" s="131" t="s">
        <v>7433</v>
      </c>
      <c r="L3792" s="60">
        <v>151</v>
      </c>
      <c r="M3792" s="37"/>
    </row>
    <row r="3793" spans="1:14" ht="70" x14ac:dyDescent="0.15">
      <c r="A3793" s="165" t="s">
        <v>2481</v>
      </c>
      <c r="B3793" s="97" t="s">
        <v>1542</v>
      </c>
      <c r="C3793" s="70" t="s">
        <v>3636</v>
      </c>
      <c r="D3793" s="70" t="s">
        <v>3437</v>
      </c>
      <c r="E3793" s="70" t="s">
        <v>3457</v>
      </c>
      <c r="F3793" s="70" t="s">
        <v>3760</v>
      </c>
      <c r="G3793" s="70" t="s">
        <v>4265</v>
      </c>
      <c r="H3793" s="93"/>
      <c r="I3793" s="85">
        <f t="shared" si="148"/>
        <v>1.9084850188786497</v>
      </c>
      <c r="J3793" s="85">
        <f>(78+84)/2</f>
        <v>81</v>
      </c>
      <c r="K3793" s="131" t="s">
        <v>3177</v>
      </c>
      <c r="L3793" s="60">
        <v>110</v>
      </c>
      <c r="M3793" s="33" t="s">
        <v>1465</v>
      </c>
    </row>
    <row r="3794" spans="1:14" ht="28" x14ac:dyDescent="0.15">
      <c r="A3794" s="166" t="s">
        <v>2481</v>
      </c>
      <c r="B3794" s="82" t="s">
        <v>1284</v>
      </c>
      <c r="C3794" s="70" t="s">
        <v>3636</v>
      </c>
      <c r="D3794" s="70" t="s">
        <v>3437</v>
      </c>
      <c r="E3794" s="70" t="s">
        <v>3457</v>
      </c>
      <c r="F3794" s="70" t="s">
        <v>3760</v>
      </c>
      <c r="G3794" s="70" t="s">
        <v>2442</v>
      </c>
      <c r="H3794" s="93"/>
      <c r="I3794" s="85">
        <f t="shared" si="148"/>
        <v>1.9344984512435677</v>
      </c>
      <c r="J3794" s="85">
        <v>86</v>
      </c>
      <c r="K3794" s="131" t="s">
        <v>3177</v>
      </c>
      <c r="L3794" s="60">
        <v>110</v>
      </c>
      <c r="M3794" s="33" t="s">
        <v>1285</v>
      </c>
    </row>
    <row r="3795" spans="1:14" ht="42" x14ac:dyDescent="0.15">
      <c r="A3795" s="166" t="s">
        <v>2481</v>
      </c>
      <c r="B3795" s="93" t="s">
        <v>2078</v>
      </c>
      <c r="C3795" s="70" t="s">
        <v>3636</v>
      </c>
      <c r="D3795" s="70" t="s">
        <v>3437</v>
      </c>
      <c r="E3795" s="70" t="s">
        <v>3457</v>
      </c>
      <c r="F3795" s="70" t="s">
        <v>3760</v>
      </c>
      <c r="G3795" s="70" t="s">
        <v>2091</v>
      </c>
      <c r="H3795" s="93"/>
      <c r="I3795" s="85">
        <f t="shared" si="148"/>
        <v>1.9380190974762104</v>
      </c>
      <c r="J3795" s="103">
        <f>1000*AVERAGE(0.0885, 0.0782, 0.0951, 0.085)</f>
        <v>86.700000000000017</v>
      </c>
      <c r="K3795" s="131" t="s">
        <v>6464</v>
      </c>
      <c r="L3795" s="60" t="s">
        <v>1739</v>
      </c>
      <c r="M3795" s="37" t="s">
        <v>6465</v>
      </c>
    </row>
    <row r="3796" spans="1:14" ht="28" x14ac:dyDescent="0.15">
      <c r="A3796" s="166" t="s">
        <v>2481</v>
      </c>
      <c r="B3796" s="93" t="s">
        <v>2078</v>
      </c>
      <c r="C3796" s="70" t="s">
        <v>3636</v>
      </c>
      <c r="D3796" s="70" t="s">
        <v>3437</v>
      </c>
      <c r="E3796" s="70" t="s">
        <v>3457</v>
      </c>
      <c r="F3796" s="70" t="s">
        <v>3760</v>
      </c>
      <c r="G3796" s="70" t="s">
        <v>6424</v>
      </c>
      <c r="H3796" s="93"/>
      <c r="I3796" s="85">
        <f t="shared" si="148"/>
        <v>1.954483717155552</v>
      </c>
      <c r="J3796" s="85">
        <f>AVERAGE(95.1, 85)</f>
        <v>90.05</v>
      </c>
      <c r="K3796" s="131" t="s">
        <v>4557</v>
      </c>
      <c r="L3796" s="60">
        <v>151</v>
      </c>
      <c r="M3796" s="37"/>
    </row>
    <row r="3797" spans="1:14" ht="14" x14ac:dyDescent="0.15">
      <c r="A3797" s="166" t="s">
        <v>2481</v>
      </c>
      <c r="B3797" s="93" t="s">
        <v>1372</v>
      </c>
      <c r="C3797" s="70" t="s">
        <v>3636</v>
      </c>
      <c r="D3797" s="70" t="s">
        <v>3437</v>
      </c>
      <c r="E3797" s="70" t="s">
        <v>3457</v>
      </c>
      <c r="F3797" s="70" t="s">
        <v>3760</v>
      </c>
      <c r="G3797" s="70" t="s">
        <v>2954</v>
      </c>
      <c r="H3797" s="93"/>
      <c r="I3797" s="85">
        <f t="shared" si="148"/>
        <v>1.9795483747040952</v>
      </c>
      <c r="J3797" s="85">
        <f>(101+89.8)/2</f>
        <v>95.4</v>
      </c>
      <c r="K3797" s="131" t="s">
        <v>3177</v>
      </c>
      <c r="L3797" s="60">
        <v>110</v>
      </c>
      <c r="M3797" s="33" t="s">
        <v>1465</v>
      </c>
    </row>
    <row r="3798" spans="1:14" ht="28" x14ac:dyDescent="0.15">
      <c r="A3798" s="166" t="s">
        <v>2481</v>
      </c>
      <c r="B3798" s="93" t="s">
        <v>2078</v>
      </c>
      <c r="C3798" s="70" t="s">
        <v>3636</v>
      </c>
      <c r="D3798" s="70" t="s">
        <v>3437</v>
      </c>
      <c r="E3798" s="70" t="s">
        <v>3457</v>
      </c>
      <c r="F3798" s="70" t="s">
        <v>3760</v>
      </c>
      <c r="G3798" s="70" t="s">
        <v>2954</v>
      </c>
      <c r="H3798" s="93"/>
      <c r="I3798" s="85">
        <f t="shared" si="148"/>
        <v>1.9795483747040952</v>
      </c>
      <c r="J3798" s="85">
        <f>(101+89.8)/2</f>
        <v>95.4</v>
      </c>
      <c r="K3798" s="131" t="s">
        <v>7036</v>
      </c>
      <c r="L3798" s="60">
        <v>110</v>
      </c>
      <c r="M3798" s="37"/>
    </row>
    <row r="3799" spans="1:14" ht="17" x14ac:dyDescent="0.2">
      <c r="A3799" s="166" t="s">
        <v>2481</v>
      </c>
      <c r="B3799" s="82" t="s">
        <v>6133</v>
      </c>
      <c r="C3799" s="70" t="s">
        <v>3636</v>
      </c>
      <c r="D3799" s="70" t="s">
        <v>3437</v>
      </c>
      <c r="E3799" s="73" t="s">
        <v>3457</v>
      </c>
      <c r="F3799" s="70" t="s">
        <v>3760</v>
      </c>
      <c r="G3799" s="70" t="s">
        <v>7185</v>
      </c>
      <c r="H3799" s="93"/>
      <c r="I3799" s="85">
        <f t="shared" si="148"/>
        <v>1.9881128402683519</v>
      </c>
      <c r="J3799" s="85">
        <f>1000*0.0973</f>
        <v>97.3</v>
      </c>
      <c r="K3799" s="131" t="s">
        <v>3177</v>
      </c>
      <c r="L3799" s="67">
        <v>60</v>
      </c>
      <c r="M3799" s="47" t="s">
        <v>6392</v>
      </c>
    </row>
    <row r="3800" spans="1:14" ht="28" x14ac:dyDescent="0.15">
      <c r="A3800" s="166" t="s">
        <v>2481</v>
      </c>
      <c r="B3800" s="82" t="s">
        <v>2487</v>
      </c>
      <c r="C3800" s="70" t="s">
        <v>3636</v>
      </c>
      <c r="D3800" s="70" t="s">
        <v>3437</v>
      </c>
      <c r="E3800" s="70" t="s">
        <v>3457</v>
      </c>
      <c r="F3800" s="70" t="s">
        <v>3760</v>
      </c>
      <c r="G3800" s="70" t="s">
        <v>3864</v>
      </c>
      <c r="H3800" s="93"/>
      <c r="I3800" s="85">
        <f t="shared" si="148"/>
        <v>2.0354297381845483</v>
      </c>
      <c r="J3800" s="85">
        <f>AVERAGE(121, 96)</f>
        <v>108.5</v>
      </c>
      <c r="K3800" s="131" t="s">
        <v>6463</v>
      </c>
      <c r="L3800" s="60">
        <v>151</v>
      </c>
      <c r="M3800" s="33"/>
    </row>
    <row r="3801" spans="1:14" ht="28" x14ac:dyDescent="0.15">
      <c r="A3801" s="166" t="s">
        <v>2481</v>
      </c>
      <c r="B3801" s="93" t="s">
        <v>2078</v>
      </c>
      <c r="C3801" s="70" t="s">
        <v>3636</v>
      </c>
      <c r="D3801" s="70" t="s">
        <v>3437</v>
      </c>
      <c r="E3801" s="70" t="s">
        <v>3457</v>
      </c>
      <c r="F3801" s="70" t="s">
        <v>3760</v>
      </c>
      <c r="G3801" s="70" t="s">
        <v>3864</v>
      </c>
      <c r="H3801" s="93"/>
      <c r="I3801" s="85">
        <f t="shared" si="148"/>
        <v>2.0354297381845483</v>
      </c>
      <c r="J3801" s="85">
        <f>AVERAGE(121, 96)</f>
        <v>108.5</v>
      </c>
      <c r="K3801" s="131" t="s">
        <v>6463</v>
      </c>
      <c r="L3801" s="60">
        <v>151</v>
      </c>
      <c r="M3801" s="37"/>
    </row>
    <row r="3802" spans="1:14" ht="28" x14ac:dyDescent="0.15">
      <c r="A3802" s="166" t="s">
        <v>2481</v>
      </c>
      <c r="B3802" s="93" t="s">
        <v>2078</v>
      </c>
      <c r="C3802" s="70" t="s">
        <v>3636</v>
      </c>
      <c r="D3802" s="70" t="s">
        <v>3437</v>
      </c>
      <c r="E3802" s="70" t="s">
        <v>3457</v>
      </c>
      <c r="F3802" s="70" t="s">
        <v>3760</v>
      </c>
      <c r="G3802" s="70" t="s">
        <v>3246</v>
      </c>
      <c r="H3802" s="93"/>
      <c r="I3802" s="85">
        <f t="shared" si="148"/>
        <v>2.0689276116820721</v>
      </c>
      <c r="J3802" s="85">
        <f>AVERAGE(122, 112.4)</f>
        <v>117.2</v>
      </c>
      <c r="K3802" s="131" t="s">
        <v>6472</v>
      </c>
      <c r="L3802" s="60">
        <v>151</v>
      </c>
      <c r="M3802" s="37"/>
    </row>
    <row r="3803" spans="1:14" ht="56" x14ac:dyDescent="0.15">
      <c r="A3803" s="165" t="s">
        <v>2481</v>
      </c>
      <c r="B3803" s="97" t="s">
        <v>1518</v>
      </c>
      <c r="C3803" s="70" t="s">
        <v>3636</v>
      </c>
      <c r="D3803" s="70" t="s">
        <v>3437</v>
      </c>
      <c r="E3803" s="70" t="s">
        <v>3457</v>
      </c>
      <c r="F3803" s="70" t="s">
        <v>3760</v>
      </c>
      <c r="G3803" s="70" t="s">
        <v>7772</v>
      </c>
      <c r="H3803" s="93"/>
      <c r="I3803" s="85">
        <f t="shared" si="148"/>
        <v>2.1189257528257768</v>
      </c>
      <c r="J3803" s="85">
        <f>(130+133)/2</f>
        <v>131.5</v>
      </c>
      <c r="K3803" s="131" t="s">
        <v>3177</v>
      </c>
      <c r="L3803" s="60">
        <v>110</v>
      </c>
      <c r="M3803" s="33" t="s">
        <v>1465</v>
      </c>
    </row>
    <row r="3804" spans="1:14" ht="14" x14ac:dyDescent="0.15">
      <c r="A3804" s="165" t="s">
        <v>2481</v>
      </c>
      <c r="B3804" s="97" t="s">
        <v>1519</v>
      </c>
      <c r="C3804" s="70" t="s">
        <v>3636</v>
      </c>
      <c r="D3804" s="70" t="s">
        <v>3437</v>
      </c>
      <c r="E3804" s="70" t="s">
        <v>3457</v>
      </c>
      <c r="F3804" s="70" t="s">
        <v>3760</v>
      </c>
      <c r="G3804" s="70" t="s">
        <v>1525</v>
      </c>
      <c r="H3804" s="93"/>
      <c r="I3804" s="85">
        <f t="shared" si="148"/>
        <v>2.1613680022349748</v>
      </c>
      <c r="J3804" s="85">
        <v>145</v>
      </c>
      <c r="K3804" s="131" t="s">
        <v>3177</v>
      </c>
      <c r="L3804" s="70">
        <v>110</v>
      </c>
      <c r="M3804" s="33" t="s">
        <v>1430</v>
      </c>
    </row>
    <row r="3805" spans="1:14" ht="14" x14ac:dyDescent="0.15">
      <c r="A3805" s="166" t="s">
        <v>2481</v>
      </c>
      <c r="B3805" s="93" t="s">
        <v>1352</v>
      </c>
      <c r="C3805" s="73" t="s">
        <v>3636</v>
      </c>
      <c r="D3805" s="73" t="s">
        <v>3437</v>
      </c>
      <c r="E3805" s="70" t="s">
        <v>3457</v>
      </c>
      <c r="F3805" s="73" t="s">
        <v>3760</v>
      </c>
      <c r="G3805" s="73" t="s">
        <v>6071</v>
      </c>
      <c r="H3805" s="108"/>
      <c r="I3805" s="85">
        <f t="shared" si="148"/>
        <v>2.1760912590556813</v>
      </c>
      <c r="J3805" s="85">
        <v>150</v>
      </c>
      <c r="K3805" s="131" t="s">
        <v>3177</v>
      </c>
      <c r="L3805" s="60">
        <v>110</v>
      </c>
      <c r="M3805" s="33" t="s">
        <v>1430</v>
      </c>
    </row>
    <row r="3806" spans="1:14" ht="112" x14ac:dyDescent="0.15">
      <c r="A3806" s="166" t="s">
        <v>2481</v>
      </c>
      <c r="B3806" s="93" t="s">
        <v>2078</v>
      </c>
      <c r="C3806" s="70" t="s">
        <v>3636</v>
      </c>
      <c r="D3806" s="70" t="s">
        <v>3437</v>
      </c>
      <c r="E3806" s="70" t="s">
        <v>3457</v>
      </c>
      <c r="F3806" s="70" t="s">
        <v>3760</v>
      </c>
      <c r="G3806" s="70" t="s">
        <v>6071</v>
      </c>
      <c r="H3806" s="93"/>
      <c r="I3806" s="85">
        <f t="shared" si="148"/>
        <v>2.1760912590556813</v>
      </c>
      <c r="J3806" s="85">
        <v>150</v>
      </c>
      <c r="K3806" s="131" t="s">
        <v>6667</v>
      </c>
      <c r="L3806" s="60">
        <v>110</v>
      </c>
      <c r="M3806" s="37"/>
    </row>
    <row r="3807" spans="1:14" ht="28" x14ac:dyDescent="0.2">
      <c r="A3807" s="165" t="s">
        <v>2481</v>
      </c>
      <c r="B3807" s="93" t="s">
        <v>2078</v>
      </c>
      <c r="C3807" s="70" t="s">
        <v>3636</v>
      </c>
      <c r="D3807" s="70" t="s">
        <v>3437</v>
      </c>
      <c r="E3807" s="70" t="s">
        <v>3457</v>
      </c>
      <c r="F3807" s="70" t="s">
        <v>3760</v>
      </c>
      <c r="G3807" s="70" t="s">
        <v>5257</v>
      </c>
      <c r="H3807" s="93"/>
      <c r="I3807" s="85">
        <f t="shared" si="148"/>
        <v>2.3211840273023143</v>
      </c>
      <c r="J3807" s="85">
        <f>AVERAGE(215, 204)</f>
        <v>209.5</v>
      </c>
      <c r="K3807" s="131" t="s">
        <v>7316</v>
      </c>
      <c r="L3807" s="60">
        <v>151</v>
      </c>
      <c r="M3807" s="48"/>
    </row>
    <row r="3808" spans="1:14" ht="28" x14ac:dyDescent="0.2">
      <c r="A3808" s="166" t="s">
        <v>2481</v>
      </c>
      <c r="B3808" s="93" t="s">
        <v>2078</v>
      </c>
      <c r="C3808" s="73" t="s">
        <v>3636</v>
      </c>
      <c r="D3808" s="73" t="s">
        <v>3437</v>
      </c>
      <c r="E3808" s="73" t="s">
        <v>3457</v>
      </c>
      <c r="F3808" s="73" t="s">
        <v>4981</v>
      </c>
      <c r="G3808" s="73" t="s">
        <v>6446</v>
      </c>
      <c r="H3808" s="108"/>
      <c r="I3808" s="103">
        <v>-999</v>
      </c>
      <c r="J3808" s="95">
        <v>-999</v>
      </c>
      <c r="K3808" s="149" t="s">
        <v>5193</v>
      </c>
      <c r="L3808" s="60">
        <v>151</v>
      </c>
      <c r="M3808" s="48"/>
      <c r="N3808" s="48"/>
    </row>
    <row r="3809" spans="1:18" ht="28" x14ac:dyDescent="0.2">
      <c r="A3809" s="166" t="s">
        <v>2481</v>
      </c>
      <c r="B3809" s="93" t="s">
        <v>2078</v>
      </c>
      <c r="C3809" s="70" t="s">
        <v>3636</v>
      </c>
      <c r="D3809" s="70" t="s">
        <v>3437</v>
      </c>
      <c r="E3809" s="70" t="s">
        <v>3457</v>
      </c>
      <c r="F3809" s="70" t="s">
        <v>4981</v>
      </c>
      <c r="G3809" s="70" t="s">
        <v>4024</v>
      </c>
      <c r="H3809" s="93"/>
      <c r="I3809" s="85">
        <f>LOG(J3809)</f>
        <v>1.0107238653917732</v>
      </c>
      <c r="J3809" s="85">
        <f>AVERAGE(9, 11.5)</f>
        <v>10.25</v>
      </c>
      <c r="K3809" s="131" t="s">
        <v>5002</v>
      </c>
      <c r="L3809" s="60">
        <v>151</v>
      </c>
      <c r="M3809" s="48" t="s">
        <v>6392</v>
      </c>
    </row>
    <row r="3810" spans="1:18" ht="17" x14ac:dyDescent="0.2">
      <c r="A3810" s="166" t="s">
        <v>2481</v>
      </c>
      <c r="B3810" s="93" t="s">
        <v>2293</v>
      </c>
      <c r="C3810" s="73" t="s">
        <v>3636</v>
      </c>
      <c r="D3810" s="73" t="s">
        <v>3437</v>
      </c>
      <c r="E3810" s="70" t="s">
        <v>3457</v>
      </c>
      <c r="F3810" s="73" t="s">
        <v>4046</v>
      </c>
      <c r="G3810" s="73" t="s">
        <v>5492</v>
      </c>
      <c r="H3810" s="108"/>
      <c r="I3810" s="85">
        <v>-999</v>
      </c>
      <c r="J3810" s="95">
        <v>-999</v>
      </c>
      <c r="K3810" s="131" t="s">
        <v>3177</v>
      </c>
      <c r="L3810" s="60">
        <v>-999</v>
      </c>
      <c r="M3810" s="47" t="s">
        <v>6392</v>
      </c>
    </row>
    <row r="3811" spans="1:18" ht="14" x14ac:dyDescent="0.15">
      <c r="A3811" s="166" t="s">
        <v>2481</v>
      </c>
      <c r="B3811" s="93" t="s">
        <v>2295</v>
      </c>
      <c r="C3811" s="70" t="s">
        <v>3636</v>
      </c>
      <c r="D3811" s="70" t="s">
        <v>3437</v>
      </c>
      <c r="E3811" s="70" t="s">
        <v>3457</v>
      </c>
      <c r="F3811" s="70" t="s">
        <v>4046</v>
      </c>
      <c r="G3811" s="70" t="s">
        <v>5493</v>
      </c>
      <c r="H3811" s="93"/>
      <c r="I3811" s="85">
        <f>LOG(J3811)</f>
        <v>1.3010299956639813</v>
      </c>
      <c r="J3811" s="85">
        <v>20</v>
      </c>
      <c r="K3811" s="131" t="s">
        <v>3177</v>
      </c>
      <c r="L3811" s="60">
        <v>134</v>
      </c>
      <c r="M3811" s="33" t="s">
        <v>6480</v>
      </c>
      <c r="N3811" s="46"/>
    </row>
    <row r="3812" spans="1:18" ht="14" x14ac:dyDescent="0.15">
      <c r="A3812" s="166" t="s">
        <v>2481</v>
      </c>
      <c r="B3812" s="93" t="s">
        <v>5797</v>
      </c>
      <c r="C3812" s="70" t="s">
        <v>3636</v>
      </c>
      <c r="D3812" s="70" t="s">
        <v>3437</v>
      </c>
      <c r="E3812" s="70" t="s">
        <v>3457</v>
      </c>
      <c r="F3812" s="70" t="s">
        <v>4046</v>
      </c>
      <c r="G3812" s="70" t="s">
        <v>7768</v>
      </c>
      <c r="H3812" s="93"/>
      <c r="I3812" s="85">
        <f>LOG(J3812)</f>
        <v>1.600428325732131</v>
      </c>
      <c r="J3812" s="85">
        <f>1000*AVERAGE(0.0419, 0.0378)</f>
        <v>39.849999999999994</v>
      </c>
      <c r="K3812" s="131" t="s">
        <v>3177</v>
      </c>
      <c r="L3812" s="60">
        <v>60</v>
      </c>
      <c r="M3812" s="33"/>
    </row>
    <row r="3813" spans="1:18" ht="28" x14ac:dyDescent="0.2">
      <c r="A3813" s="166" t="s">
        <v>2481</v>
      </c>
      <c r="B3813" s="93" t="s">
        <v>2015</v>
      </c>
      <c r="C3813" s="70" t="s">
        <v>3636</v>
      </c>
      <c r="D3813" s="70" t="s">
        <v>3437</v>
      </c>
      <c r="E3813" s="70" t="s">
        <v>3457</v>
      </c>
      <c r="F3813" s="70" t="s">
        <v>4046</v>
      </c>
      <c r="G3813" s="70" t="s">
        <v>2235</v>
      </c>
      <c r="H3813" s="93"/>
      <c r="I3813" s="85">
        <f>LOG(J3813)</f>
        <v>1.7323937598229686</v>
      </c>
      <c r="J3813" s="85">
        <f>AVERAGE(45.1, 62.9)</f>
        <v>54</v>
      </c>
      <c r="K3813" s="131" t="s">
        <v>6816</v>
      </c>
      <c r="L3813" s="60" t="s">
        <v>256</v>
      </c>
      <c r="M3813" s="47" t="s">
        <v>6392</v>
      </c>
    </row>
    <row r="3814" spans="1:18" ht="28" x14ac:dyDescent="0.15">
      <c r="A3814" s="166" t="s">
        <v>2481</v>
      </c>
      <c r="B3814" s="93" t="s">
        <v>5753</v>
      </c>
      <c r="C3814" s="73" t="s">
        <v>3636</v>
      </c>
      <c r="D3814" s="73" t="s">
        <v>3437</v>
      </c>
      <c r="E3814" s="73" t="s">
        <v>3457</v>
      </c>
      <c r="F3814" s="73" t="s">
        <v>4046</v>
      </c>
      <c r="G3814" s="73" t="s">
        <v>6064</v>
      </c>
      <c r="H3814" s="108"/>
      <c r="I3814" s="85">
        <f>LOG(J3814)</f>
        <v>1.7923916894982539</v>
      </c>
      <c r="J3814" s="95">
        <f>AVERAGE(45,79)</f>
        <v>62</v>
      </c>
      <c r="K3814" s="131" t="s">
        <v>3177</v>
      </c>
      <c r="L3814" s="60" t="s">
        <v>256</v>
      </c>
      <c r="M3814" s="33" t="s">
        <v>6727</v>
      </c>
    </row>
    <row r="3815" spans="1:18" ht="84" x14ac:dyDescent="0.15">
      <c r="A3815" s="166" t="s">
        <v>2481</v>
      </c>
      <c r="B3815" s="93" t="s">
        <v>2480</v>
      </c>
      <c r="C3815" s="70" t="s">
        <v>3636</v>
      </c>
      <c r="D3815" s="70" t="s">
        <v>3437</v>
      </c>
      <c r="E3815" s="70" t="s">
        <v>3457</v>
      </c>
      <c r="F3815" s="70" t="s">
        <v>6130</v>
      </c>
      <c r="G3815" s="70" t="s">
        <v>6052</v>
      </c>
      <c r="H3815" s="93"/>
      <c r="I3815" s="85">
        <f>LOG(J3815)</f>
        <v>1.3979400086720377</v>
      </c>
      <c r="J3815" s="85">
        <v>25</v>
      </c>
      <c r="K3815" s="131"/>
      <c r="L3815" s="70">
        <v>150</v>
      </c>
      <c r="M3815" s="37" t="s">
        <v>5706</v>
      </c>
    </row>
    <row r="3816" spans="1:18" ht="14" x14ac:dyDescent="0.15">
      <c r="A3816" s="166" t="s">
        <v>2481</v>
      </c>
      <c r="B3816" s="93" t="s">
        <v>2330</v>
      </c>
      <c r="C3816" s="73" t="s">
        <v>3636</v>
      </c>
      <c r="D3816" s="73" t="s">
        <v>3437</v>
      </c>
      <c r="E3816" s="73" t="s">
        <v>3457</v>
      </c>
      <c r="F3816" s="73" t="s">
        <v>6292</v>
      </c>
      <c r="G3816" s="73" t="s">
        <v>5955</v>
      </c>
      <c r="H3816" s="108"/>
      <c r="I3816" s="85">
        <v>-999</v>
      </c>
      <c r="J3816" s="85">
        <v>-999</v>
      </c>
      <c r="K3816" s="131" t="s">
        <v>3177</v>
      </c>
      <c r="L3816" s="60">
        <v>-999</v>
      </c>
      <c r="M3816" s="33"/>
    </row>
    <row r="3817" spans="1:18" ht="14" x14ac:dyDescent="0.15">
      <c r="A3817" s="166" t="s">
        <v>2481</v>
      </c>
      <c r="B3817" s="93" t="s">
        <v>2330</v>
      </c>
      <c r="C3817" s="73" t="s">
        <v>3636</v>
      </c>
      <c r="D3817" s="73" t="s">
        <v>3437</v>
      </c>
      <c r="E3817" s="73" t="s">
        <v>3457</v>
      </c>
      <c r="F3817" s="73" t="s">
        <v>6292</v>
      </c>
      <c r="G3817" s="73" t="s">
        <v>4610</v>
      </c>
      <c r="H3817" s="108"/>
      <c r="I3817" s="85">
        <v>-999</v>
      </c>
      <c r="J3817" s="85">
        <v>-999</v>
      </c>
      <c r="K3817" s="131" t="s">
        <v>3177</v>
      </c>
      <c r="L3817" s="60">
        <v>-999</v>
      </c>
      <c r="M3817" s="33" t="s">
        <v>6392</v>
      </c>
    </row>
    <row r="3818" spans="1:18" ht="14" x14ac:dyDescent="0.15">
      <c r="A3818" s="166" t="s">
        <v>2481</v>
      </c>
      <c r="B3818" s="93" t="s">
        <v>2330</v>
      </c>
      <c r="C3818" s="70" t="s">
        <v>3636</v>
      </c>
      <c r="D3818" s="70" t="s">
        <v>3437</v>
      </c>
      <c r="E3818" s="70" t="s">
        <v>3457</v>
      </c>
      <c r="F3818" s="70" t="s">
        <v>6292</v>
      </c>
      <c r="G3818" s="70" t="s">
        <v>7886</v>
      </c>
      <c r="H3818" s="93"/>
      <c r="I3818" s="85">
        <f>LOG(J3818)</f>
        <v>1.0255106728525807</v>
      </c>
      <c r="J3818" s="85">
        <f>1000*AVERAGE(0.0089, 0.0094, 0.00954, 0.0104, 0.00855, 0.0123, 0.013, 0.01275)</f>
        <v>10.605</v>
      </c>
      <c r="K3818" s="131"/>
      <c r="L3818" s="60">
        <v>60</v>
      </c>
      <c r="M3818" s="33"/>
    </row>
    <row r="3819" spans="1:18" ht="14" x14ac:dyDescent="0.15">
      <c r="A3819" s="166" t="s">
        <v>2481</v>
      </c>
      <c r="B3819" s="93" t="s">
        <v>5797</v>
      </c>
      <c r="C3819" s="70" t="s">
        <v>3636</v>
      </c>
      <c r="D3819" s="70" t="s">
        <v>3437</v>
      </c>
      <c r="E3819" s="70" t="s">
        <v>3457</v>
      </c>
      <c r="F3819" s="70" t="s">
        <v>6292</v>
      </c>
      <c r="G3819" s="70" t="s">
        <v>5837</v>
      </c>
      <c r="H3819" s="93"/>
      <c r="I3819" s="85">
        <f>LOG(J3819)</f>
        <v>1.0511525224473812</v>
      </c>
      <c r="J3819" s="85">
        <f>1000*AVERAGE(0.011, 0.011, 0.011, 0.012)</f>
        <v>11.25</v>
      </c>
      <c r="K3819" s="131" t="s">
        <v>3177</v>
      </c>
      <c r="L3819" s="60">
        <v>60</v>
      </c>
      <c r="M3819" s="33"/>
    </row>
    <row r="3820" spans="1:18" ht="14" x14ac:dyDescent="0.15">
      <c r="A3820" s="166" t="s">
        <v>2481</v>
      </c>
      <c r="B3820" s="93" t="s">
        <v>4569</v>
      </c>
      <c r="C3820" s="73" t="s">
        <v>3636</v>
      </c>
      <c r="D3820" s="73" t="s">
        <v>3437</v>
      </c>
      <c r="E3820" s="73" t="s">
        <v>3457</v>
      </c>
      <c r="F3820" s="73" t="s">
        <v>6292</v>
      </c>
      <c r="G3820" s="73" t="s">
        <v>5837</v>
      </c>
      <c r="H3820" s="108"/>
      <c r="I3820" s="85">
        <f>LOG(J3820)</f>
        <v>1.0511525224473812</v>
      </c>
      <c r="J3820" s="85">
        <f>1000*AVERAGE(0.011, 0.011, 0.011, 0.012)</f>
        <v>11.25</v>
      </c>
      <c r="K3820" s="131" t="s">
        <v>3177</v>
      </c>
      <c r="L3820" s="60">
        <v>60</v>
      </c>
      <c r="M3820" s="33"/>
    </row>
    <row r="3821" spans="1:18" ht="14" x14ac:dyDescent="0.15">
      <c r="A3821" s="166" t="s">
        <v>2481</v>
      </c>
      <c r="B3821" s="93" t="s">
        <v>2426</v>
      </c>
      <c r="C3821" s="70" t="s">
        <v>3636</v>
      </c>
      <c r="D3821" s="70" t="s">
        <v>3437</v>
      </c>
      <c r="E3821" s="70" t="s">
        <v>3457</v>
      </c>
      <c r="F3821" s="70" t="s">
        <v>6292</v>
      </c>
      <c r="G3821" s="70" t="s">
        <v>6215</v>
      </c>
      <c r="H3821" s="93"/>
      <c r="I3821" s="85">
        <f>LOG(J3821)</f>
        <v>1.3053513694466237</v>
      </c>
      <c r="J3821" s="85">
        <f>1000*0.0202</f>
        <v>20.2</v>
      </c>
      <c r="K3821" s="131" t="s">
        <v>3177</v>
      </c>
      <c r="L3821" s="60">
        <v>60</v>
      </c>
      <c r="M3821" s="33" t="s">
        <v>6392</v>
      </c>
    </row>
    <row r="3822" spans="1:18" ht="14" x14ac:dyDescent="0.15">
      <c r="A3822" s="166" t="s">
        <v>2481</v>
      </c>
      <c r="B3822" s="93" t="s">
        <v>2178</v>
      </c>
      <c r="C3822" s="73" t="s">
        <v>3636</v>
      </c>
      <c r="D3822" s="73" t="s">
        <v>3437</v>
      </c>
      <c r="E3822" s="73" t="s">
        <v>3457</v>
      </c>
      <c r="F3822" s="73" t="s">
        <v>6292</v>
      </c>
      <c r="G3822" s="73" t="s">
        <v>5954</v>
      </c>
      <c r="H3822" s="108"/>
      <c r="I3822" s="85">
        <f>LOG(J3822)</f>
        <v>1.4578818967339924</v>
      </c>
      <c r="J3822" s="85">
        <f>1000*0.0287</f>
        <v>28.7</v>
      </c>
      <c r="K3822" s="131" t="s">
        <v>3177</v>
      </c>
      <c r="L3822" s="67">
        <v>60</v>
      </c>
      <c r="M3822" s="33"/>
    </row>
    <row r="3823" spans="1:18" ht="14" x14ac:dyDescent="0.15">
      <c r="A3823" s="166" t="s">
        <v>2481</v>
      </c>
      <c r="B3823" s="93" t="s">
        <v>5014</v>
      </c>
      <c r="C3823" s="70" t="s">
        <v>3636</v>
      </c>
      <c r="D3823" s="70" t="s">
        <v>3437</v>
      </c>
      <c r="E3823" s="70" t="s">
        <v>3457</v>
      </c>
      <c r="F3823" s="70" t="s">
        <v>3093</v>
      </c>
      <c r="G3823" s="70" t="s">
        <v>5105</v>
      </c>
      <c r="H3823" s="93"/>
      <c r="I3823" s="85">
        <v>-999</v>
      </c>
      <c r="J3823" s="85">
        <v>-999</v>
      </c>
      <c r="K3823" s="131" t="s">
        <v>3177</v>
      </c>
      <c r="L3823" s="60">
        <v>-999</v>
      </c>
      <c r="M3823" s="33"/>
    </row>
    <row r="3824" spans="1:18" ht="28" x14ac:dyDescent="0.15">
      <c r="A3824" s="166" t="s">
        <v>2481</v>
      </c>
      <c r="B3824" s="93" t="s">
        <v>2078</v>
      </c>
      <c r="C3824" s="70" t="s">
        <v>3636</v>
      </c>
      <c r="D3824" s="70" t="s">
        <v>3437</v>
      </c>
      <c r="E3824" s="70" t="s">
        <v>3457</v>
      </c>
      <c r="F3824" s="70" t="s">
        <v>6050</v>
      </c>
      <c r="G3824" s="70" t="s">
        <v>4664</v>
      </c>
      <c r="H3824" s="93"/>
      <c r="I3824" s="85">
        <f>LOG(J3824)</f>
        <v>1.2730012720637376</v>
      </c>
      <c r="J3824" s="85">
        <f>AVERAGE(19.5, 18)</f>
        <v>18.75</v>
      </c>
      <c r="K3824" s="131" t="s">
        <v>5024</v>
      </c>
      <c r="L3824" s="60">
        <v>151</v>
      </c>
      <c r="M3824" s="37" t="s">
        <v>6728</v>
      </c>
      <c r="Q3824"/>
      <c r="R3824"/>
    </row>
    <row r="3825" spans="1:14" ht="28" x14ac:dyDescent="0.15">
      <c r="A3825" s="166" t="s">
        <v>2481</v>
      </c>
      <c r="B3825" s="93" t="s">
        <v>5176</v>
      </c>
      <c r="C3825" s="70" t="s">
        <v>3636</v>
      </c>
      <c r="D3825" s="70" t="s">
        <v>3437</v>
      </c>
      <c r="E3825" s="70" t="s">
        <v>3457</v>
      </c>
      <c r="F3825" s="70" t="s">
        <v>2980</v>
      </c>
      <c r="G3825" s="70" t="s">
        <v>5132</v>
      </c>
      <c r="H3825" s="93"/>
      <c r="I3825" s="85">
        <v>-999</v>
      </c>
      <c r="J3825" s="85">
        <v>-999</v>
      </c>
      <c r="K3825" s="131" t="s">
        <v>3177</v>
      </c>
      <c r="L3825" s="60">
        <v>-999</v>
      </c>
      <c r="M3825" s="33" t="s">
        <v>6390</v>
      </c>
    </row>
    <row r="3826" spans="1:14" ht="14" x14ac:dyDescent="0.15">
      <c r="A3826" s="166" t="s">
        <v>2481</v>
      </c>
      <c r="B3826" s="82" t="s">
        <v>7286</v>
      </c>
      <c r="C3826" s="70" t="s">
        <v>3636</v>
      </c>
      <c r="D3826" s="70" t="s">
        <v>3437</v>
      </c>
      <c r="E3826" s="70" t="s">
        <v>3457</v>
      </c>
      <c r="F3826" s="70" t="s">
        <v>2980</v>
      </c>
      <c r="G3826" s="70" t="s">
        <v>5804</v>
      </c>
      <c r="H3826" s="93"/>
      <c r="I3826" s="85">
        <f t="shared" ref="I3826:I3831" si="149">LOG(J3826)</f>
        <v>2.2600713879850747</v>
      </c>
      <c r="J3826" s="85">
        <v>182</v>
      </c>
      <c r="K3826" s="131" t="s">
        <v>3177</v>
      </c>
      <c r="L3826" s="60">
        <v>98</v>
      </c>
      <c r="M3826" s="49" t="s">
        <v>6390</v>
      </c>
    </row>
    <row r="3827" spans="1:14" ht="28" x14ac:dyDescent="0.15">
      <c r="A3827" s="166" t="s">
        <v>2481</v>
      </c>
      <c r="B3827" s="82" t="s">
        <v>7130</v>
      </c>
      <c r="C3827" s="70" t="s">
        <v>3636</v>
      </c>
      <c r="D3827" s="70" t="s">
        <v>3437</v>
      </c>
      <c r="E3827" s="70" t="s">
        <v>3457</v>
      </c>
      <c r="F3827" s="70" t="s">
        <v>2980</v>
      </c>
      <c r="G3827" s="70" t="s">
        <v>5290</v>
      </c>
      <c r="H3827" s="93"/>
      <c r="I3827" s="85">
        <f t="shared" si="149"/>
        <v>2.2909245593827543</v>
      </c>
      <c r="J3827" s="85">
        <f>AVERAGE(221, 169.8)</f>
        <v>195.4</v>
      </c>
      <c r="K3827" s="131" t="s">
        <v>7934</v>
      </c>
      <c r="L3827" s="60">
        <v>102</v>
      </c>
      <c r="M3827" s="49" t="s">
        <v>6390</v>
      </c>
    </row>
    <row r="3828" spans="1:14" ht="14" x14ac:dyDescent="0.15">
      <c r="A3828" s="166" t="s">
        <v>2481</v>
      </c>
      <c r="B3828" s="93" t="s">
        <v>1370</v>
      </c>
      <c r="C3828" s="70" t="s">
        <v>3636</v>
      </c>
      <c r="D3828" s="70" t="s">
        <v>3437</v>
      </c>
      <c r="E3828" s="73" t="s">
        <v>3457</v>
      </c>
      <c r="F3828" s="70" t="s">
        <v>2980</v>
      </c>
      <c r="G3828" s="70" t="s">
        <v>5131</v>
      </c>
      <c r="H3828" s="93"/>
      <c r="I3828" s="85">
        <f t="shared" si="149"/>
        <v>2.3909351071033793</v>
      </c>
      <c r="J3828" s="85">
        <v>246</v>
      </c>
      <c r="K3828" s="131" t="s">
        <v>3177</v>
      </c>
      <c r="L3828" s="60" t="s">
        <v>251</v>
      </c>
      <c r="M3828" s="33" t="s">
        <v>6390</v>
      </c>
    </row>
    <row r="3829" spans="1:14" ht="28" x14ac:dyDescent="0.15">
      <c r="A3829" s="166" t="s">
        <v>2481</v>
      </c>
      <c r="B3829" s="93" t="s">
        <v>2480</v>
      </c>
      <c r="C3829" s="70" t="s">
        <v>3636</v>
      </c>
      <c r="D3829" s="70" t="s">
        <v>3437</v>
      </c>
      <c r="E3829" s="70" t="s">
        <v>3457</v>
      </c>
      <c r="F3829" s="70" t="s">
        <v>5405</v>
      </c>
      <c r="G3829" s="70" t="s">
        <v>1137</v>
      </c>
      <c r="H3829" s="93"/>
      <c r="I3829" s="85">
        <f t="shared" si="149"/>
        <v>2.1903316981702914</v>
      </c>
      <c r="J3829" s="85">
        <v>155</v>
      </c>
      <c r="K3829" s="131" t="s">
        <v>1138</v>
      </c>
      <c r="L3829" s="70">
        <v>150</v>
      </c>
      <c r="M3829" s="37"/>
    </row>
    <row r="3830" spans="1:14" ht="28" x14ac:dyDescent="0.15">
      <c r="A3830" s="166" t="s">
        <v>2481</v>
      </c>
      <c r="B3830" s="93" t="s">
        <v>2480</v>
      </c>
      <c r="C3830" s="70" t="s">
        <v>3636</v>
      </c>
      <c r="D3830" s="70" t="s">
        <v>3437</v>
      </c>
      <c r="E3830" s="70" t="s">
        <v>3457</v>
      </c>
      <c r="F3830" s="70" t="s">
        <v>5405</v>
      </c>
      <c r="G3830" s="70" t="s">
        <v>2230</v>
      </c>
      <c r="H3830" s="93"/>
      <c r="I3830" s="85">
        <f t="shared" si="149"/>
        <v>2.2108533653148932</v>
      </c>
      <c r="J3830" s="85">
        <v>162.5</v>
      </c>
      <c r="K3830" s="131" t="s">
        <v>2272</v>
      </c>
      <c r="L3830" s="70">
        <v>150</v>
      </c>
      <c r="M3830" s="37"/>
    </row>
    <row r="3831" spans="1:14" ht="28" x14ac:dyDescent="0.15">
      <c r="A3831" s="166" t="s">
        <v>2481</v>
      </c>
      <c r="B3831" s="93" t="s">
        <v>2480</v>
      </c>
      <c r="C3831" s="70" t="s">
        <v>3636</v>
      </c>
      <c r="D3831" s="70" t="s">
        <v>3437</v>
      </c>
      <c r="E3831" s="70" t="s">
        <v>3457</v>
      </c>
      <c r="F3831" s="70" t="s">
        <v>5405</v>
      </c>
      <c r="G3831" s="70" t="s">
        <v>2273</v>
      </c>
      <c r="H3831" s="93"/>
      <c r="I3831" s="85">
        <f t="shared" si="149"/>
        <v>2.3273589343863303</v>
      </c>
      <c r="J3831" s="85">
        <v>212.5</v>
      </c>
      <c r="K3831" s="131" t="s">
        <v>2559</v>
      </c>
      <c r="L3831" s="70">
        <v>150</v>
      </c>
      <c r="M3831" s="37"/>
    </row>
    <row r="3832" spans="1:14" ht="42" x14ac:dyDescent="0.15">
      <c r="A3832" s="166" t="s">
        <v>2481</v>
      </c>
      <c r="B3832" s="93" t="s">
        <v>4837</v>
      </c>
      <c r="C3832" s="70" t="s">
        <v>3636</v>
      </c>
      <c r="D3832" s="70" t="s">
        <v>3437</v>
      </c>
      <c r="E3832" s="70" t="s">
        <v>3457</v>
      </c>
      <c r="F3832" s="70" t="s">
        <v>5133</v>
      </c>
      <c r="G3832" s="70" t="s">
        <v>5552</v>
      </c>
      <c r="H3832" s="93"/>
      <c r="I3832" s="85">
        <v>-999</v>
      </c>
      <c r="J3832" s="85">
        <v>-999</v>
      </c>
      <c r="K3832" s="131" t="s">
        <v>8009</v>
      </c>
      <c r="L3832" s="60">
        <v>-999</v>
      </c>
      <c r="M3832" s="33" t="s">
        <v>6728</v>
      </c>
    </row>
    <row r="3833" spans="1:14" ht="14" x14ac:dyDescent="0.15">
      <c r="A3833" s="166" t="s">
        <v>2481</v>
      </c>
      <c r="B3833" s="93" t="s">
        <v>1856</v>
      </c>
      <c r="C3833" s="70" t="s">
        <v>3636</v>
      </c>
      <c r="D3833" s="70" t="s">
        <v>3437</v>
      </c>
      <c r="E3833" s="70" t="s">
        <v>3457</v>
      </c>
      <c r="F3833" s="70" t="s">
        <v>5317</v>
      </c>
      <c r="G3833" s="70" t="s">
        <v>4102</v>
      </c>
      <c r="H3833" s="93"/>
      <c r="I3833" s="85">
        <v>-999</v>
      </c>
      <c r="J3833" s="85">
        <v>-999</v>
      </c>
      <c r="K3833" s="131" t="s">
        <v>3177</v>
      </c>
      <c r="L3833" s="60">
        <v>-999</v>
      </c>
      <c r="M3833" s="33" t="s">
        <v>6392</v>
      </c>
    </row>
    <row r="3834" spans="1:14" ht="14" x14ac:dyDescent="0.15">
      <c r="A3834" s="166" t="s">
        <v>2481</v>
      </c>
      <c r="B3834" s="93" t="s">
        <v>1856</v>
      </c>
      <c r="C3834" s="70" t="s">
        <v>3636</v>
      </c>
      <c r="D3834" s="70" t="s">
        <v>3437</v>
      </c>
      <c r="E3834" s="70" t="s">
        <v>3457</v>
      </c>
      <c r="F3834" s="70" t="s">
        <v>5317</v>
      </c>
      <c r="G3834" s="70" t="s">
        <v>4103</v>
      </c>
      <c r="H3834" s="93"/>
      <c r="I3834" s="85">
        <v>-999</v>
      </c>
      <c r="J3834" s="85">
        <v>-999</v>
      </c>
      <c r="K3834" s="131" t="s">
        <v>3177</v>
      </c>
      <c r="L3834" s="60">
        <v>-999</v>
      </c>
      <c r="M3834" s="33" t="s">
        <v>6392</v>
      </c>
    </row>
    <row r="3835" spans="1:14" ht="14" x14ac:dyDescent="0.15">
      <c r="A3835" s="166" t="s">
        <v>2481</v>
      </c>
      <c r="B3835" s="82" t="s">
        <v>2018</v>
      </c>
      <c r="C3835" s="70" t="s">
        <v>3636</v>
      </c>
      <c r="D3835" s="70" t="s">
        <v>3437</v>
      </c>
      <c r="E3835" s="70" t="s">
        <v>3457</v>
      </c>
      <c r="F3835" s="70" t="s">
        <v>5317</v>
      </c>
      <c r="G3835" s="70" t="s">
        <v>5318</v>
      </c>
      <c r="H3835" s="93"/>
      <c r="I3835" s="85">
        <f>LOG(J3835)</f>
        <v>1.8634715656455874</v>
      </c>
      <c r="J3835" s="85">
        <f>AVERAGE(53, 100, 70.2, 50.5, 83.8, 73.3, 81.6, 71.8)</f>
        <v>73.024999999999991</v>
      </c>
      <c r="K3835" s="131"/>
      <c r="L3835" s="60" t="s">
        <v>1382</v>
      </c>
      <c r="M3835" s="33"/>
    </row>
    <row r="3836" spans="1:14" ht="14" x14ac:dyDescent="0.15">
      <c r="A3836" s="166" t="s">
        <v>2481</v>
      </c>
      <c r="B3836" s="93" t="s">
        <v>7037</v>
      </c>
      <c r="C3836" s="70" t="s">
        <v>3636</v>
      </c>
      <c r="D3836" s="70" t="s">
        <v>3437</v>
      </c>
      <c r="E3836" s="70" t="s">
        <v>3457</v>
      </c>
      <c r="F3836" s="70" t="s">
        <v>5317</v>
      </c>
      <c r="G3836" s="70" t="s">
        <v>3188</v>
      </c>
      <c r="H3836" s="93"/>
      <c r="I3836" s="85">
        <f>LOG(J3836)</f>
        <v>1.9242792860618816</v>
      </c>
      <c r="J3836" s="85">
        <f>AVERAGE(60, 108)</f>
        <v>84</v>
      </c>
      <c r="K3836" s="131" t="s">
        <v>3177</v>
      </c>
      <c r="L3836" s="60">
        <v>120</v>
      </c>
      <c r="M3836" s="33"/>
    </row>
    <row r="3837" spans="1:14" ht="14" x14ac:dyDescent="0.15">
      <c r="A3837" s="166" t="s">
        <v>2481</v>
      </c>
      <c r="B3837" s="93" t="s">
        <v>2487</v>
      </c>
      <c r="C3837" s="70" t="s">
        <v>3636</v>
      </c>
      <c r="D3837" s="70" t="s">
        <v>3437</v>
      </c>
      <c r="E3837" s="70" t="s">
        <v>3457</v>
      </c>
      <c r="F3837" s="70" t="s">
        <v>5317</v>
      </c>
      <c r="G3837" s="70" t="s">
        <v>3188</v>
      </c>
      <c r="H3837" s="93"/>
      <c r="I3837" s="85">
        <f>LOG(J3837)</f>
        <v>1.9242792860618816</v>
      </c>
      <c r="J3837" s="85">
        <f>AVERAGE(60, 108)</f>
        <v>84</v>
      </c>
      <c r="K3837" s="131" t="s">
        <v>3177</v>
      </c>
      <c r="L3837" s="60">
        <v>120</v>
      </c>
      <c r="M3837" s="33"/>
    </row>
    <row r="3838" spans="1:14" ht="16" x14ac:dyDescent="0.2">
      <c r="A3838" s="166" t="s">
        <v>2481</v>
      </c>
      <c r="B3838" s="93" t="s">
        <v>2426</v>
      </c>
      <c r="C3838" s="70" t="s">
        <v>3636</v>
      </c>
      <c r="D3838" s="70" t="s">
        <v>3437</v>
      </c>
      <c r="E3838" s="70" t="s">
        <v>3457</v>
      </c>
      <c r="F3838" s="70" t="s">
        <v>5317</v>
      </c>
      <c r="G3838" s="70" t="s">
        <v>3794</v>
      </c>
      <c r="H3838" s="93"/>
      <c r="I3838" s="85">
        <f>LOG(J3838)</f>
        <v>1.9283958522567137</v>
      </c>
      <c r="J3838" s="85">
        <f>1000*0.0848</f>
        <v>84.8</v>
      </c>
      <c r="K3838" s="131" t="s">
        <v>3177</v>
      </c>
      <c r="L3838" s="60">
        <v>60</v>
      </c>
      <c r="M3838" s="33"/>
      <c r="N3838" s="48"/>
    </row>
    <row r="3839" spans="1:14" ht="14" x14ac:dyDescent="0.15">
      <c r="A3839" s="166" t="s">
        <v>2481</v>
      </c>
      <c r="B3839" s="93" t="s">
        <v>7473</v>
      </c>
      <c r="C3839" s="70" t="s">
        <v>3636</v>
      </c>
      <c r="D3839" s="70" t="s">
        <v>3437</v>
      </c>
      <c r="E3839" s="70" t="s">
        <v>3457</v>
      </c>
      <c r="F3839" s="70" t="s">
        <v>5317</v>
      </c>
      <c r="G3839" s="70" t="s">
        <v>3377</v>
      </c>
      <c r="H3839" s="93"/>
      <c r="I3839" s="85">
        <f>LOG(J3839)</f>
        <v>1.9382694834629113</v>
      </c>
      <c r="J3839" s="85">
        <f>1000*AVERAGE(0.08, 0.0935)</f>
        <v>86.75</v>
      </c>
      <c r="K3839" s="131"/>
      <c r="L3839" s="60">
        <v>60</v>
      </c>
      <c r="M3839" s="33"/>
    </row>
    <row r="3840" spans="1:14" ht="28" x14ac:dyDescent="0.15">
      <c r="A3840" s="166" t="s">
        <v>2481</v>
      </c>
      <c r="B3840" s="93" t="s">
        <v>2269</v>
      </c>
      <c r="C3840" s="70" t="s">
        <v>3636</v>
      </c>
      <c r="D3840" s="70" t="s">
        <v>3437</v>
      </c>
      <c r="E3840" s="73" t="s">
        <v>3457</v>
      </c>
      <c r="F3840" s="70" t="s">
        <v>3646</v>
      </c>
      <c r="G3840" s="70" t="s">
        <v>4844</v>
      </c>
      <c r="H3840" s="93"/>
      <c r="I3840" s="85">
        <v>-999</v>
      </c>
      <c r="J3840" s="85">
        <v>-999</v>
      </c>
      <c r="K3840" s="131" t="s">
        <v>3177</v>
      </c>
      <c r="L3840" s="60">
        <v>-999</v>
      </c>
      <c r="M3840" s="33"/>
    </row>
    <row r="3841" spans="1:15" ht="14" x14ac:dyDescent="0.15">
      <c r="A3841" s="166" t="s">
        <v>2481</v>
      </c>
      <c r="B3841" s="93" t="s">
        <v>2881</v>
      </c>
      <c r="C3841" s="70" t="s">
        <v>3636</v>
      </c>
      <c r="D3841" s="70" t="s">
        <v>3437</v>
      </c>
      <c r="E3841" s="73" t="s">
        <v>3457</v>
      </c>
      <c r="F3841" s="70" t="s">
        <v>3218</v>
      </c>
      <c r="G3841" s="70" t="s">
        <v>6324</v>
      </c>
      <c r="H3841" s="93"/>
      <c r="I3841" s="85">
        <v>-999</v>
      </c>
      <c r="J3841" s="85">
        <v>-999</v>
      </c>
      <c r="K3841" s="131" t="s">
        <v>6457</v>
      </c>
      <c r="L3841" s="60">
        <v>-999</v>
      </c>
      <c r="M3841" s="33" t="s">
        <v>6728</v>
      </c>
    </row>
    <row r="3842" spans="1:15" ht="14" x14ac:dyDescent="0.15">
      <c r="A3842" s="166" t="s">
        <v>2481</v>
      </c>
      <c r="B3842" s="93" t="s">
        <v>5852</v>
      </c>
      <c r="C3842" s="70" t="s">
        <v>3636</v>
      </c>
      <c r="D3842" s="70" t="s">
        <v>3437</v>
      </c>
      <c r="E3842" s="70" t="s">
        <v>3457</v>
      </c>
      <c r="F3842" s="70" t="s">
        <v>5839</v>
      </c>
      <c r="G3842" s="70" t="s">
        <v>3037</v>
      </c>
      <c r="H3842" s="93"/>
      <c r="I3842" s="85">
        <v>-999</v>
      </c>
      <c r="J3842" s="85">
        <v>-999</v>
      </c>
      <c r="K3842" s="131" t="s">
        <v>3177</v>
      </c>
      <c r="L3842" s="60">
        <v>-999</v>
      </c>
      <c r="M3842" s="33" t="s">
        <v>6390</v>
      </c>
    </row>
    <row r="3843" spans="1:15" ht="14" x14ac:dyDescent="0.15">
      <c r="A3843" s="166" t="s">
        <v>2481</v>
      </c>
      <c r="B3843" s="93" t="s">
        <v>6785</v>
      </c>
      <c r="C3843" s="70" t="s">
        <v>3636</v>
      </c>
      <c r="D3843" s="70" t="s">
        <v>3437</v>
      </c>
      <c r="E3843" s="70" t="s">
        <v>3457</v>
      </c>
      <c r="F3843" s="70" t="s">
        <v>5840</v>
      </c>
      <c r="G3843" s="70" t="s">
        <v>5337</v>
      </c>
      <c r="H3843" s="93"/>
      <c r="I3843" s="85">
        <v>-999</v>
      </c>
      <c r="J3843" s="85">
        <v>-999</v>
      </c>
      <c r="K3843" s="131" t="s">
        <v>3177</v>
      </c>
      <c r="L3843" s="60">
        <v>-999</v>
      </c>
      <c r="M3843" s="33" t="s">
        <v>6728</v>
      </c>
    </row>
    <row r="3844" spans="1:15" ht="14" x14ac:dyDescent="0.15">
      <c r="A3844" s="166" t="s">
        <v>2481</v>
      </c>
      <c r="B3844" s="93" t="s">
        <v>6785</v>
      </c>
      <c r="C3844" s="73" t="s">
        <v>3636</v>
      </c>
      <c r="D3844" s="73" t="s">
        <v>3437</v>
      </c>
      <c r="E3844" s="73" t="s">
        <v>3457</v>
      </c>
      <c r="F3844" s="73" t="s">
        <v>5840</v>
      </c>
      <c r="G3844" s="73" t="s">
        <v>5122</v>
      </c>
      <c r="H3844" s="108"/>
      <c r="I3844" s="85">
        <v>-999</v>
      </c>
      <c r="J3844" s="95">
        <v>-999</v>
      </c>
      <c r="K3844" s="134" t="s">
        <v>3177</v>
      </c>
      <c r="L3844" s="63">
        <v>-999</v>
      </c>
      <c r="M3844" s="33" t="s">
        <v>6653</v>
      </c>
    </row>
    <row r="3845" spans="1:15" ht="16" x14ac:dyDescent="0.2">
      <c r="A3845" s="166" t="s">
        <v>2481</v>
      </c>
      <c r="B3845" s="93" t="s">
        <v>2078</v>
      </c>
      <c r="C3845" s="73" t="s">
        <v>3636</v>
      </c>
      <c r="D3845" s="73" t="s">
        <v>3437</v>
      </c>
      <c r="E3845" s="70" t="s">
        <v>3457</v>
      </c>
      <c r="F3845" s="73" t="s">
        <v>5123</v>
      </c>
      <c r="G3845" s="73" t="s">
        <v>5531</v>
      </c>
      <c r="H3845" s="108"/>
      <c r="I3845" s="85">
        <f>LOG(J3845)</f>
        <v>2.7323937598229686</v>
      </c>
      <c r="J3845" s="95">
        <v>540</v>
      </c>
      <c r="K3845" s="131" t="s">
        <v>7019</v>
      </c>
      <c r="L3845" s="60">
        <v>151</v>
      </c>
      <c r="M3845" s="48"/>
    </row>
    <row r="3846" spans="1:15" ht="29" x14ac:dyDescent="0.2">
      <c r="A3846" s="166" t="s">
        <v>2481</v>
      </c>
      <c r="B3846" s="93" t="s">
        <v>2078</v>
      </c>
      <c r="C3846" s="70" t="s">
        <v>3636</v>
      </c>
      <c r="D3846" s="70" t="s">
        <v>3437</v>
      </c>
      <c r="E3846" s="70" t="s">
        <v>3457</v>
      </c>
      <c r="F3846" s="70" t="s">
        <v>5194</v>
      </c>
      <c r="G3846" s="70" t="s">
        <v>5195</v>
      </c>
      <c r="H3846" s="93"/>
      <c r="I3846" s="85">
        <f>LOG(J3846)</f>
        <v>1.5185139398778875</v>
      </c>
      <c r="J3846" s="85">
        <v>33</v>
      </c>
      <c r="L3846" s="60">
        <v>151</v>
      </c>
      <c r="M3846" s="48" t="s">
        <v>6728</v>
      </c>
      <c r="N3846" s="32" t="s">
        <v>5020</v>
      </c>
    </row>
    <row r="3847" spans="1:15" ht="28" x14ac:dyDescent="0.2">
      <c r="A3847" s="166" t="s">
        <v>2481</v>
      </c>
      <c r="B3847" s="93" t="s">
        <v>2078</v>
      </c>
      <c r="C3847" s="70" t="s">
        <v>3636</v>
      </c>
      <c r="D3847" s="70" t="s">
        <v>3437</v>
      </c>
      <c r="E3847" s="70" t="s">
        <v>3457</v>
      </c>
      <c r="F3847" s="70" t="s">
        <v>5194</v>
      </c>
      <c r="G3847" s="70" t="s">
        <v>3894</v>
      </c>
      <c r="H3847" s="93"/>
      <c r="I3847" s="85">
        <f>LOG(J3847)</f>
        <v>1.7403626894942439</v>
      </c>
      <c r="J3847" s="85">
        <f>AVERAGE(54, 56)</f>
        <v>55</v>
      </c>
      <c r="K3847" s="131" t="s">
        <v>7496</v>
      </c>
      <c r="L3847" s="60">
        <v>151</v>
      </c>
      <c r="M3847" s="48"/>
    </row>
    <row r="3848" spans="1:15" ht="14" x14ac:dyDescent="0.15">
      <c r="A3848" s="166" t="s">
        <v>2481</v>
      </c>
      <c r="B3848" s="93" t="s">
        <v>5613</v>
      </c>
      <c r="C3848" s="70" t="s">
        <v>3636</v>
      </c>
      <c r="D3848" s="70" t="s">
        <v>3437</v>
      </c>
      <c r="E3848" s="70" t="s">
        <v>3457</v>
      </c>
      <c r="F3848" s="70" t="s">
        <v>5196</v>
      </c>
      <c r="G3848" s="70" t="s">
        <v>4897</v>
      </c>
      <c r="H3848" s="93"/>
      <c r="I3848" s="85">
        <v>-999</v>
      </c>
      <c r="J3848" s="85">
        <v>-999</v>
      </c>
      <c r="K3848" s="131" t="s">
        <v>3177</v>
      </c>
      <c r="L3848" s="60">
        <v>-999</v>
      </c>
      <c r="M3848" s="33"/>
    </row>
    <row r="3849" spans="1:15" ht="14" x14ac:dyDescent="0.15">
      <c r="A3849" s="166" t="s">
        <v>2481</v>
      </c>
      <c r="B3849" s="93" t="s">
        <v>5613</v>
      </c>
      <c r="C3849" s="70" t="s">
        <v>3636</v>
      </c>
      <c r="D3849" s="70" t="s">
        <v>3437</v>
      </c>
      <c r="E3849" s="70" t="s">
        <v>3457</v>
      </c>
      <c r="F3849" s="70" t="s">
        <v>5196</v>
      </c>
      <c r="G3849" s="70" t="s">
        <v>4288</v>
      </c>
      <c r="H3849" s="93"/>
      <c r="I3849" s="85">
        <v>-999</v>
      </c>
      <c r="J3849" s="85">
        <v>-999</v>
      </c>
      <c r="K3849" s="131" t="s">
        <v>3177</v>
      </c>
      <c r="L3849" s="60">
        <v>-999</v>
      </c>
      <c r="M3849" s="33" t="s">
        <v>6390</v>
      </c>
    </row>
    <row r="3850" spans="1:15" ht="14" x14ac:dyDescent="0.15">
      <c r="A3850" s="166" t="s">
        <v>2481</v>
      </c>
      <c r="B3850" s="93" t="s">
        <v>5215</v>
      </c>
      <c r="C3850" s="70" t="s">
        <v>3636</v>
      </c>
      <c r="D3850" s="70" t="s">
        <v>3437</v>
      </c>
      <c r="E3850" s="70" t="s">
        <v>3457</v>
      </c>
      <c r="F3850" s="70" t="s">
        <v>2993</v>
      </c>
      <c r="G3850" s="70" t="s">
        <v>3346</v>
      </c>
      <c r="H3850" s="93"/>
      <c r="I3850" s="85">
        <v>-999</v>
      </c>
      <c r="J3850" s="85">
        <v>-999</v>
      </c>
      <c r="K3850" s="131" t="s">
        <v>3177</v>
      </c>
      <c r="L3850" s="60">
        <v>-999</v>
      </c>
      <c r="M3850" s="33" t="s">
        <v>6728</v>
      </c>
    </row>
    <row r="3851" spans="1:15" ht="14" x14ac:dyDescent="0.15">
      <c r="A3851" s="166" t="s">
        <v>2481</v>
      </c>
      <c r="B3851" s="93" t="s">
        <v>7165</v>
      </c>
      <c r="C3851" s="70" t="s">
        <v>3636</v>
      </c>
      <c r="D3851" s="70" t="s">
        <v>3437</v>
      </c>
      <c r="E3851" s="70" t="s">
        <v>3457</v>
      </c>
      <c r="F3851" s="70" t="s">
        <v>2993</v>
      </c>
      <c r="G3851" s="70" t="s">
        <v>7125</v>
      </c>
      <c r="H3851" s="93"/>
      <c r="I3851" s="85">
        <v>-999</v>
      </c>
      <c r="J3851" s="85">
        <v>-999</v>
      </c>
      <c r="K3851" s="131" t="s">
        <v>3177</v>
      </c>
      <c r="L3851" s="60">
        <v>659</v>
      </c>
      <c r="M3851" s="33" t="s">
        <v>6390</v>
      </c>
    </row>
    <row r="3852" spans="1:15" ht="42" x14ac:dyDescent="0.15">
      <c r="A3852" s="166" t="s">
        <v>2481</v>
      </c>
      <c r="B3852" s="93" t="s">
        <v>7515</v>
      </c>
      <c r="C3852" s="70" t="s">
        <v>3636</v>
      </c>
      <c r="D3852" s="70" t="s">
        <v>3437</v>
      </c>
      <c r="E3852" s="70" t="s">
        <v>3457</v>
      </c>
      <c r="F3852" s="70" t="s">
        <v>2993</v>
      </c>
      <c r="G3852" s="70" t="s">
        <v>7127</v>
      </c>
      <c r="H3852" s="93"/>
      <c r="I3852" s="85">
        <v>-999</v>
      </c>
      <c r="J3852" s="85">
        <v>-999</v>
      </c>
      <c r="K3852" s="131" t="s">
        <v>3177</v>
      </c>
      <c r="L3852" s="60">
        <v>-999</v>
      </c>
      <c r="M3852" s="33" t="s">
        <v>6392</v>
      </c>
    </row>
    <row r="3853" spans="1:15" ht="14" x14ac:dyDescent="0.15">
      <c r="A3853" s="166" t="s">
        <v>2481</v>
      </c>
      <c r="B3853" s="93" t="s">
        <v>4933</v>
      </c>
      <c r="C3853" s="70" t="s">
        <v>3636</v>
      </c>
      <c r="D3853" s="70" t="s">
        <v>3437</v>
      </c>
      <c r="E3853" s="70" t="s">
        <v>3457</v>
      </c>
      <c r="F3853" s="70" t="s">
        <v>2993</v>
      </c>
      <c r="G3853" s="70" t="s">
        <v>5988</v>
      </c>
      <c r="H3853" s="93"/>
      <c r="I3853" s="85">
        <v>-999</v>
      </c>
      <c r="J3853" s="85">
        <v>-999</v>
      </c>
      <c r="K3853" s="131" t="s">
        <v>3177</v>
      </c>
      <c r="L3853" s="60">
        <v>-999</v>
      </c>
      <c r="M3853" s="33" t="s">
        <v>6728</v>
      </c>
      <c r="O3853" s="37">
        <v>268</v>
      </c>
    </row>
    <row r="3854" spans="1:15" ht="28" x14ac:dyDescent="0.15">
      <c r="A3854" s="166" t="s">
        <v>2481</v>
      </c>
      <c r="B3854" s="93" t="s">
        <v>4698</v>
      </c>
      <c r="C3854" s="73" t="s">
        <v>3636</v>
      </c>
      <c r="D3854" s="73" t="s">
        <v>3437</v>
      </c>
      <c r="E3854" s="73" t="s">
        <v>3457</v>
      </c>
      <c r="F3854" s="73" t="s">
        <v>2993</v>
      </c>
      <c r="G3854" s="73" t="s">
        <v>5198</v>
      </c>
      <c r="H3854" s="108"/>
      <c r="I3854" s="85">
        <v>-999</v>
      </c>
      <c r="J3854" s="95">
        <v>-999</v>
      </c>
      <c r="K3854" s="134" t="s">
        <v>3177</v>
      </c>
      <c r="L3854" s="63">
        <v>-999</v>
      </c>
      <c r="M3854" s="33" t="s">
        <v>6809</v>
      </c>
    </row>
    <row r="3855" spans="1:15" ht="28" x14ac:dyDescent="0.2">
      <c r="A3855" s="166" t="s">
        <v>2481</v>
      </c>
      <c r="B3855" s="93" t="s">
        <v>8035</v>
      </c>
      <c r="C3855" s="70" t="s">
        <v>3636</v>
      </c>
      <c r="D3855" s="70" t="s">
        <v>3437</v>
      </c>
      <c r="E3855" s="70" t="s">
        <v>3457</v>
      </c>
      <c r="F3855" s="70" t="s">
        <v>2993</v>
      </c>
      <c r="G3855" s="70" t="s">
        <v>7514</v>
      </c>
      <c r="H3855" s="93"/>
      <c r="I3855" s="85">
        <v>-999</v>
      </c>
      <c r="J3855" s="85">
        <v>-999</v>
      </c>
      <c r="K3855" s="131" t="s">
        <v>3177</v>
      </c>
      <c r="L3855" s="60">
        <v>658</v>
      </c>
      <c r="M3855" s="47"/>
    </row>
    <row r="3856" spans="1:15" ht="28" x14ac:dyDescent="0.15">
      <c r="A3856" s="166" t="s">
        <v>2481</v>
      </c>
      <c r="B3856" s="93" t="s">
        <v>7451</v>
      </c>
      <c r="C3856" s="70" t="s">
        <v>3636</v>
      </c>
      <c r="D3856" s="70" t="s">
        <v>3437</v>
      </c>
      <c r="E3856" s="70" t="s">
        <v>3457</v>
      </c>
      <c r="F3856" s="70" t="s">
        <v>2993</v>
      </c>
      <c r="G3856" s="70" t="s">
        <v>4609</v>
      </c>
      <c r="H3856" s="93"/>
      <c r="I3856" s="85">
        <v>-999</v>
      </c>
      <c r="J3856" s="85">
        <v>-999</v>
      </c>
      <c r="K3856" s="131"/>
      <c r="L3856" s="60">
        <v>-999</v>
      </c>
      <c r="M3856" s="33" t="s">
        <v>6809</v>
      </c>
    </row>
    <row r="3857" spans="1:14" ht="14" x14ac:dyDescent="0.15">
      <c r="A3857" s="166" t="s">
        <v>2481</v>
      </c>
      <c r="B3857" s="93" t="s">
        <v>7452</v>
      </c>
      <c r="C3857" s="70" t="s">
        <v>3636</v>
      </c>
      <c r="D3857" s="70" t="s">
        <v>3437</v>
      </c>
      <c r="E3857" s="70" t="s">
        <v>3457</v>
      </c>
      <c r="F3857" s="70" t="s">
        <v>2993</v>
      </c>
      <c r="G3857" s="70" t="s">
        <v>4768</v>
      </c>
      <c r="H3857" s="93"/>
      <c r="I3857" s="85">
        <v>-999</v>
      </c>
      <c r="J3857" s="85">
        <v>-999</v>
      </c>
      <c r="K3857" s="131" t="s">
        <v>3177</v>
      </c>
      <c r="L3857" s="60">
        <v>-999</v>
      </c>
      <c r="M3857" s="33" t="s">
        <v>6390</v>
      </c>
    </row>
    <row r="3858" spans="1:14" ht="16" x14ac:dyDescent="0.2">
      <c r="A3858" s="166" t="s">
        <v>2481</v>
      </c>
      <c r="B3858" s="93" t="s">
        <v>5236</v>
      </c>
      <c r="C3858" s="70" t="s">
        <v>3636</v>
      </c>
      <c r="D3858" s="70" t="s">
        <v>3437</v>
      </c>
      <c r="E3858" s="70" t="s">
        <v>3457</v>
      </c>
      <c r="F3858" s="70" t="s">
        <v>2993</v>
      </c>
      <c r="G3858" s="70" t="s">
        <v>7762</v>
      </c>
      <c r="H3858" s="93"/>
      <c r="I3858" s="85">
        <f>LOG(J3858)</f>
        <v>1.255272505103306</v>
      </c>
      <c r="J3858" s="85">
        <f>1000*0.018</f>
        <v>18</v>
      </c>
      <c r="K3858" s="131" t="s">
        <v>3177</v>
      </c>
      <c r="L3858" s="60">
        <v>60</v>
      </c>
      <c r="M3858" s="47"/>
    </row>
    <row r="3859" spans="1:14" ht="42" x14ac:dyDescent="0.15">
      <c r="A3859" s="166" t="s">
        <v>2481</v>
      </c>
      <c r="B3859" s="93" t="s">
        <v>4931</v>
      </c>
      <c r="C3859" s="70" t="s">
        <v>3636</v>
      </c>
      <c r="D3859" s="70" t="s">
        <v>3437</v>
      </c>
      <c r="E3859" s="73" t="s">
        <v>3457</v>
      </c>
      <c r="F3859" s="70" t="s">
        <v>2993</v>
      </c>
      <c r="G3859" s="70" t="s">
        <v>7128</v>
      </c>
      <c r="H3859" s="93"/>
      <c r="I3859" s="85">
        <f>LOG(J3859)</f>
        <v>1.4471580313422192</v>
      </c>
      <c r="J3859" s="85">
        <f>1000*0.028</f>
        <v>28</v>
      </c>
      <c r="K3859" s="134" t="s">
        <v>3177</v>
      </c>
      <c r="L3859" s="63">
        <v>60</v>
      </c>
      <c r="M3859" s="33" t="s">
        <v>6390</v>
      </c>
    </row>
    <row r="3860" spans="1:14" ht="14" x14ac:dyDescent="0.15">
      <c r="A3860" s="166" t="s">
        <v>2481</v>
      </c>
      <c r="B3860" s="82"/>
      <c r="C3860" s="70" t="s">
        <v>3636</v>
      </c>
      <c r="D3860" s="70" t="s">
        <v>3437</v>
      </c>
      <c r="E3860" s="70" t="s">
        <v>3457</v>
      </c>
      <c r="F3860" s="70" t="s">
        <v>2993</v>
      </c>
      <c r="G3860" s="70" t="s">
        <v>5319</v>
      </c>
      <c r="H3860" s="93"/>
      <c r="I3860" s="85">
        <f>LOG(J3860)</f>
        <v>1.4517864355242902</v>
      </c>
      <c r="J3860" s="85">
        <v>28.3</v>
      </c>
      <c r="K3860" s="131" t="s">
        <v>6485</v>
      </c>
      <c r="L3860" s="60">
        <v>68</v>
      </c>
    </row>
    <row r="3861" spans="1:14" ht="14" x14ac:dyDescent="0.15">
      <c r="A3861" s="166" t="s">
        <v>2481</v>
      </c>
      <c r="B3861" s="93" t="s">
        <v>5797</v>
      </c>
      <c r="C3861" s="73" t="s">
        <v>3636</v>
      </c>
      <c r="D3861" s="73" t="s">
        <v>3437</v>
      </c>
      <c r="E3861" s="70" t="s">
        <v>3457</v>
      </c>
      <c r="F3861" s="73" t="s">
        <v>5498</v>
      </c>
      <c r="G3861" s="73" t="s">
        <v>4221</v>
      </c>
      <c r="H3861" s="93"/>
      <c r="I3861" s="85">
        <v>-999</v>
      </c>
      <c r="J3861" s="95">
        <v>-999</v>
      </c>
      <c r="K3861" s="131" t="s">
        <v>3177</v>
      </c>
      <c r="L3861" s="60">
        <v>-999</v>
      </c>
      <c r="M3861" s="53" t="s">
        <v>6728</v>
      </c>
    </row>
    <row r="3862" spans="1:14" ht="14" x14ac:dyDescent="0.15">
      <c r="A3862" s="166" t="s">
        <v>2481</v>
      </c>
      <c r="B3862" s="82" t="s">
        <v>5797</v>
      </c>
      <c r="C3862" s="70" t="s">
        <v>3636</v>
      </c>
      <c r="D3862" s="70" t="s">
        <v>3437</v>
      </c>
      <c r="E3862" s="70" t="s">
        <v>3457</v>
      </c>
      <c r="F3862" s="70" t="s">
        <v>5498</v>
      </c>
      <c r="G3862" s="70" t="s">
        <v>3986</v>
      </c>
      <c r="H3862" s="93"/>
      <c r="I3862" s="85">
        <f>LOG(J3862)</f>
        <v>1.5440680443502757</v>
      </c>
      <c r="J3862" s="85">
        <v>35</v>
      </c>
      <c r="K3862" s="131" t="s">
        <v>3177</v>
      </c>
      <c r="L3862" s="60">
        <v>69</v>
      </c>
    </row>
    <row r="3863" spans="1:14" ht="17" x14ac:dyDescent="0.2">
      <c r="A3863" s="166" t="s">
        <v>2481</v>
      </c>
      <c r="B3863" s="93" t="s">
        <v>5852</v>
      </c>
      <c r="C3863" s="70" t="s">
        <v>3636</v>
      </c>
      <c r="D3863" s="70" t="s">
        <v>3437</v>
      </c>
      <c r="E3863" s="70" t="s">
        <v>3457</v>
      </c>
      <c r="F3863" s="70" t="s">
        <v>5269</v>
      </c>
      <c r="G3863" s="70" t="s">
        <v>5189</v>
      </c>
      <c r="H3863" s="93"/>
      <c r="I3863" s="85">
        <v>-999</v>
      </c>
      <c r="J3863" s="85">
        <v>-999</v>
      </c>
      <c r="K3863" s="131" t="s">
        <v>3177</v>
      </c>
      <c r="L3863" s="60">
        <v>-999</v>
      </c>
      <c r="M3863" s="47" t="s">
        <v>6392</v>
      </c>
    </row>
    <row r="3864" spans="1:14" ht="17" x14ac:dyDescent="0.2">
      <c r="A3864" s="166" t="s">
        <v>2481</v>
      </c>
      <c r="B3864" s="93" t="s">
        <v>5852</v>
      </c>
      <c r="C3864" s="70" t="s">
        <v>3636</v>
      </c>
      <c r="D3864" s="70" t="s">
        <v>3437</v>
      </c>
      <c r="E3864" s="70" t="s">
        <v>3457</v>
      </c>
      <c r="F3864" s="70" t="s">
        <v>5269</v>
      </c>
      <c r="G3864" s="70" t="s">
        <v>5631</v>
      </c>
      <c r="H3864" s="93"/>
      <c r="I3864" s="85">
        <f>LOG(J3864)</f>
        <v>3.2892172205316248</v>
      </c>
      <c r="J3864" s="85">
        <f>AVERAGE(1985, 1920, 2050, 1893, 1850, 1980)</f>
        <v>1946.3333333333333</v>
      </c>
      <c r="K3864" s="131" t="s">
        <v>3177</v>
      </c>
      <c r="L3864" s="60">
        <v>121</v>
      </c>
      <c r="M3864" s="47" t="s">
        <v>6728</v>
      </c>
    </row>
    <row r="3865" spans="1:14" ht="14" x14ac:dyDescent="0.15">
      <c r="A3865" s="166" t="s">
        <v>2481</v>
      </c>
      <c r="B3865" s="82" t="s">
        <v>2426</v>
      </c>
      <c r="C3865" s="70" t="s">
        <v>3636</v>
      </c>
      <c r="D3865" s="70" t="s">
        <v>3437</v>
      </c>
      <c r="E3865" s="70" t="s">
        <v>3457</v>
      </c>
      <c r="F3865" s="70" t="s">
        <v>5632</v>
      </c>
      <c r="G3865" s="70" t="s">
        <v>3426</v>
      </c>
      <c r="H3865" s="93"/>
      <c r="I3865" s="85">
        <f>LOG(J3865)</f>
        <v>2.0334237554869499</v>
      </c>
      <c r="J3865" s="85">
        <f>1000*AVERAGE(0.081, 0.135)</f>
        <v>108.00000000000001</v>
      </c>
      <c r="K3865" s="131" t="s">
        <v>3177</v>
      </c>
      <c r="L3865" s="60">
        <v>60</v>
      </c>
      <c r="M3865" s="33" t="s">
        <v>6392</v>
      </c>
    </row>
    <row r="3866" spans="1:14" ht="113" x14ac:dyDescent="0.2">
      <c r="A3866" s="166" t="s">
        <v>2481</v>
      </c>
      <c r="B3866" s="93" t="s">
        <v>2078</v>
      </c>
      <c r="C3866" s="70" t="s">
        <v>3636</v>
      </c>
      <c r="D3866" s="70" t="s">
        <v>3437</v>
      </c>
      <c r="E3866" s="70" t="s">
        <v>3457</v>
      </c>
      <c r="F3866" s="70" t="s">
        <v>5633</v>
      </c>
      <c r="G3866" s="70" t="s">
        <v>5625</v>
      </c>
      <c r="H3866" s="93"/>
      <c r="I3866" s="103">
        <v>-999</v>
      </c>
      <c r="J3866" s="85">
        <v>-999</v>
      </c>
      <c r="L3866" s="60">
        <v>151</v>
      </c>
      <c r="M3866" s="48" t="s">
        <v>6809</v>
      </c>
      <c r="N3866" s="32" t="s">
        <v>6590</v>
      </c>
    </row>
    <row r="3867" spans="1:14" ht="28" x14ac:dyDescent="0.2">
      <c r="A3867" s="166" t="s">
        <v>2481</v>
      </c>
      <c r="B3867" s="93" t="s">
        <v>2078</v>
      </c>
      <c r="C3867" s="70" t="s">
        <v>3636</v>
      </c>
      <c r="D3867" s="70" t="s">
        <v>3437</v>
      </c>
      <c r="E3867" s="70" t="s">
        <v>3457</v>
      </c>
      <c r="F3867" s="70" t="s">
        <v>5633</v>
      </c>
      <c r="G3867" s="70" t="s">
        <v>5635</v>
      </c>
      <c r="H3867" s="93"/>
      <c r="I3867" s="85">
        <f t="shared" ref="I3867:I3878" si="150">LOG(J3867)</f>
        <v>1.7160033436347992</v>
      </c>
      <c r="J3867" s="85">
        <v>52</v>
      </c>
      <c r="K3867" s="131" t="s">
        <v>6517</v>
      </c>
      <c r="L3867" s="60">
        <v>151</v>
      </c>
      <c r="M3867" s="48"/>
    </row>
    <row r="3868" spans="1:14" ht="16" x14ac:dyDescent="0.2">
      <c r="A3868" s="166" t="s">
        <v>2481</v>
      </c>
      <c r="B3868" s="93" t="s">
        <v>2078</v>
      </c>
      <c r="C3868" s="73" t="s">
        <v>3636</v>
      </c>
      <c r="D3868" s="73" t="s">
        <v>3437</v>
      </c>
      <c r="E3868" s="70" t="s">
        <v>3457</v>
      </c>
      <c r="F3868" s="73" t="s">
        <v>5633</v>
      </c>
      <c r="G3868" s="73" t="s">
        <v>5634</v>
      </c>
      <c r="H3868" s="93"/>
      <c r="I3868" s="85">
        <f t="shared" si="150"/>
        <v>2.0402066275747113</v>
      </c>
      <c r="J3868" s="95">
        <v>109.7</v>
      </c>
      <c r="K3868" s="131" t="s">
        <v>8042</v>
      </c>
      <c r="L3868" s="60">
        <v>151</v>
      </c>
      <c r="M3868" s="48"/>
    </row>
    <row r="3869" spans="1:14" ht="28" x14ac:dyDescent="0.15">
      <c r="A3869" s="166" t="s">
        <v>2481</v>
      </c>
      <c r="B3869" s="93" t="s">
        <v>2078</v>
      </c>
      <c r="C3869" s="70" t="s">
        <v>3636</v>
      </c>
      <c r="D3869" s="70" t="s">
        <v>3437</v>
      </c>
      <c r="E3869" s="70" t="s">
        <v>3457</v>
      </c>
      <c r="F3869" s="70" t="s">
        <v>3995</v>
      </c>
      <c r="G3869" s="70" t="s">
        <v>8036</v>
      </c>
      <c r="H3869" s="93"/>
      <c r="I3869" s="85">
        <f t="shared" si="150"/>
        <v>1.6369891018122291</v>
      </c>
      <c r="J3869" s="85">
        <f>AVERAGE(46.7, 40)</f>
        <v>43.35</v>
      </c>
      <c r="K3869" s="131" t="s">
        <v>6469</v>
      </c>
      <c r="L3869" s="60">
        <v>151</v>
      </c>
      <c r="M3869" s="37"/>
    </row>
    <row r="3870" spans="1:14" ht="28" x14ac:dyDescent="0.15">
      <c r="A3870" s="166" t="s">
        <v>2481</v>
      </c>
      <c r="B3870" s="93" t="s">
        <v>2078</v>
      </c>
      <c r="C3870" s="70" t="s">
        <v>3636</v>
      </c>
      <c r="D3870" s="70" t="s">
        <v>3437</v>
      </c>
      <c r="E3870" s="70" t="s">
        <v>3457</v>
      </c>
      <c r="F3870" s="70" t="s">
        <v>3995</v>
      </c>
      <c r="G3870" s="70" t="s">
        <v>2250</v>
      </c>
      <c r="H3870" s="93"/>
      <c r="I3870" s="85">
        <f t="shared" si="150"/>
        <v>1.6522463410033232</v>
      </c>
      <c r="J3870" s="85">
        <f>AVERAGE(44.7, 45.1)</f>
        <v>44.900000000000006</v>
      </c>
      <c r="K3870" s="131" t="s">
        <v>6470</v>
      </c>
      <c r="L3870" s="60">
        <v>151</v>
      </c>
      <c r="M3870" s="37"/>
    </row>
    <row r="3871" spans="1:14" ht="28" x14ac:dyDescent="0.15">
      <c r="A3871" s="166" t="s">
        <v>2481</v>
      </c>
      <c r="B3871" s="93" t="s">
        <v>2078</v>
      </c>
      <c r="C3871" s="70" t="s">
        <v>3636</v>
      </c>
      <c r="D3871" s="70" t="s">
        <v>3437</v>
      </c>
      <c r="E3871" s="70" t="s">
        <v>3457</v>
      </c>
      <c r="F3871" s="70" t="s">
        <v>3995</v>
      </c>
      <c r="G3871" s="70" t="s">
        <v>5636</v>
      </c>
      <c r="H3871" s="93"/>
      <c r="I3871" s="85">
        <f t="shared" si="150"/>
        <v>1.7028611705729293</v>
      </c>
      <c r="J3871" s="85">
        <f>AVERAGE(49.4, 51.5)</f>
        <v>50.45</v>
      </c>
      <c r="K3871" s="131" t="s">
        <v>8043</v>
      </c>
      <c r="L3871" s="60">
        <v>151</v>
      </c>
      <c r="M3871" s="37"/>
    </row>
    <row r="3872" spans="1:14" ht="14" x14ac:dyDescent="0.15">
      <c r="A3872" s="166" t="s">
        <v>2481</v>
      </c>
      <c r="B3872" s="93" t="s">
        <v>2480</v>
      </c>
      <c r="C3872" s="70" t="s">
        <v>3636</v>
      </c>
      <c r="D3872" s="70" t="s">
        <v>3437</v>
      </c>
      <c r="E3872" s="70" t="s">
        <v>3457</v>
      </c>
      <c r="F3872" s="70" t="s">
        <v>3995</v>
      </c>
      <c r="G3872" s="70" t="s">
        <v>5322</v>
      </c>
      <c r="H3872" s="93"/>
      <c r="I3872" s="85">
        <f t="shared" si="150"/>
        <v>1.9777236052888478</v>
      </c>
      <c r="J3872" s="85">
        <v>95</v>
      </c>
      <c r="K3872" s="131" t="s">
        <v>6485</v>
      </c>
      <c r="L3872" s="60">
        <v>68</v>
      </c>
      <c r="M3872" s="37"/>
    </row>
    <row r="3873" spans="1:14" ht="14" x14ac:dyDescent="0.15">
      <c r="A3873" s="166" t="s">
        <v>2481</v>
      </c>
      <c r="B3873" s="93" t="s">
        <v>2482</v>
      </c>
      <c r="C3873" s="70" t="s">
        <v>3636</v>
      </c>
      <c r="D3873" s="70" t="s">
        <v>3437</v>
      </c>
      <c r="E3873" s="70" t="s">
        <v>3457</v>
      </c>
      <c r="F3873" s="70" t="s">
        <v>3995</v>
      </c>
      <c r="G3873" s="70" t="s">
        <v>5322</v>
      </c>
      <c r="H3873" s="93"/>
      <c r="I3873" s="85">
        <f t="shared" si="150"/>
        <v>1.9777236052888478</v>
      </c>
      <c r="J3873" s="85">
        <v>95</v>
      </c>
      <c r="K3873" s="131" t="s">
        <v>6485</v>
      </c>
      <c r="L3873" s="60">
        <v>68</v>
      </c>
    </row>
    <row r="3874" spans="1:14" ht="28" x14ac:dyDescent="0.15">
      <c r="A3874" s="166" t="s">
        <v>2481</v>
      </c>
      <c r="B3874" s="93" t="s">
        <v>2078</v>
      </c>
      <c r="C3874" s="70" t="s">
        <v>3636</v>
      </c>
      <c r="D3874" s="70" t="s">
        <v>3437</v>
      </c>
      <c r="E3874" s="70" t="s">
        <v>3457</v>
      </c>
      <c r="F3874" s="70" t="s">
        <v>3995</v>
      </c>
      <c r="G3874" s="70" t="s">
        <v>5322</v>
      </c>
      <c r="H3874" s="93"/>
      <c r="I3874" s="85">
        <f t="shared" si="150"/>
        <v>1.9795483747040952</v>
      </c>
      <c r="J3874" s="85">
        <f>AVERAGE(94.4, 96.4)</f>
        <v>95.4</v>
      </c>
      <c r="K3874" s="131" t="s">
        <v>8044</v>
      </c>
      <c r="L3874" s="60">
        <v>151</v>
      </c>
      <c r="M3874" s="37"/>
    </row>
    <row r="3875" spans="1:14" ht="28" x14ac:dyDescent="0.15">
      <c r="A3875" s="166" t="s">
        <v>2481</v>
      </c>
      <c r="B3875" s="93" t="s">
        <v>2078</v>
      </c>
      <c r="C3875" s="70" t="s">
        <v>3636</v>
      </c>
      <c r="D3875" s="70" t="s">
        <v>3437</v>
      </c>
      <c r="E3875" s="70" t="s">
        <v>3457</v>
      </c>
      <c r="F3875" s="70" t="s">
        <v>7237</v>
      </c>
      <c r="G3875" s="70" t="s">
        <v>4375</v>
      </c>
      <c r="H3875" s="93"/>
      <c r="I3875" s="85">
        <f t="shared" si="150"/>
        <v>1.2253092817258628</v>
      </c>
      <c r="J3875" s="85">
        <f>AVERAGE(16.2, 17.4)</f>
        <v>16.799999999999997</v>
      </c>
      <c r="K3875" s="131" t="s">
        <v>5021</v>
      </c>
      <c r="L3875" s="60">
        <v>151</v>
      </c>
      <c r="M3875" s="37"/>
    </row>
    <row r="3876" spans="1:14" ht="42" x14ac:dyDescent="0.15">
      <c r="A3876" s="166" t="s">
        <v>2481</v>
      </c>
      <c r="B3876" s="93" t="s">
        <v>2078</v>
      </c>
      <c r="C3876" s="70" t="s">
        <v>3636</v>
      </c>
      <c r="D3876" s="70" t="s">
        <v>3437</v>
      </c>
      <c r="E3876" s="70" t="s">
        <v>3457</v>
      </c>
      <c r="F3876" s="70" t="s">
        <v>7237</v>
      </c>
      <c r="G3876" s="70" t="s">
        <v>4660</v>
      </c>
      <c r="H3876" s="93"/>
      <c r="I3876" s="85">
        <f t="shared" si="150"/>
        <v>1.3404441148401183</v>
      </c>
      <c r="J3876" s="85">
        <f>AVERAGE(24, 19.8)</f>
        <v>21.9</v>
      </c>
      <c r="L3876" s="60">
        <v>151</v>
      </c>
      <c r="M3876" s="37" t="s">
        <v>6728</v>
      </c>
      <c r="N3876" s="32" t="s">
        <v>5022</v>
      </c>
    </row>
    <row r="3877" spans="1:14" ht="70" x14ac:dyDescent="0.15">
      <c r="A3877" s="166" t="s">
        <v>2481</v>
      </c>
      <c r="B3877" s="93" t="s">
        <v>2078</v>
      </c>
      <c r="C3877" s="70" t="s">
        <v>3636</v>
      </c>
      <c r="D3877" s="70" t="s">
        <v>3437</v>
      </c>
      <c r="E3877" s="70" t="s">
        <v>3457</v>
      </c>
      <c r="F3877" s="70" t="s">
        <v>7147</v>
      </c>
      <c r="G3877" s="70" t="s">
        <v>7148</v>
      </c>
      <c r="H3877" s="93"/>
      <c r="I3877" s="85">
        <f t="shared" si="150"/>
        <v>1.0413926851582251</v>
      </c>
      <c r="J3877" s="85">
        <v>11</v>
      </c>
      <c r="K3877" s="131" t="s">
        <v>5025</v>
      </c>
      <c r="L3877" s="60">
        <v>59</v>
      </c>
      <c r="M3877" s="37" t="s">
        <v>6761</v>
      </c>
    </row>
    <row r="3878" spans="1:14" ht="14" x14ac:dyDescent="0.15">
      <c r="A3878" s="166" t="s">
        <v>2481</v>
      </c>
      <c r="B3878" s="93" t="s">
        <v>6673</v>
      </c>
      <c r="C3878" s="70" t="s">
        <v>3636</v>
      </c>
      <c r="D3878" s="70" t="s">
        <v>3437</v>
      </c>
      <c r="E3878" s="70" t="s">
        <v>3457</v>
      </c>
      <c r="F3878" s="70" t="s">
        <v>7147</v>
      </c>
      <c r="G3878" s="70" t="s">
        <v>5568</v>
      </c>
      <c r="H3878" s="93"/>
      <c r="I3878" s="85">
        <f t="shared" si="150"/>
        <v>1.6532125137753437</v>
      </c>
      <c r="J3878" s="85">
        <f>1000*0.045</f>
        <v>45</v>
      </c>
      <c r="K3878" s="131" t="s">
        <v>3177</v>
      </c>
      <c r="L3878" s="60">
        <v>60</v>
      </c>
      <c r="M3878" s="33"/>
    </row>
    <row r="3879" spans="1:14" ht="28" x14ac:dyDescent="0.15">
      <c r="A3879" s="166" t="s">
        <v>2481</v>
      </c>
      <c r="B3879" s="93" t="s">
        <v>4855</v>
      </c>
      <c r="C3879" s="73" t="s">
        <v>3636</v>
      </c>
      <c r="D3879" s="73" t="s">
        <v>3437</v>
      </c>
      <c r="E3879" s="70" t="s">
        <v>3457</v>
      </c>
      <c r="F3879" s="73" t="s">
        <v>7374</v>
      </c>
      <c r="G3879" s="73" t="s">
        <v>7902</v>
      </c>
      <c r="H3879" s="93"/>
      <c r="I3879" s="85">
        <v>-999</v>
      </c>
      <c r="J3879" s="95">
        <v>-999</v>
      </c>
      <c r="K3879" s="131" t="s">
        <v>3177</v>
      </c>
      <c r="L3879" s="60">
        <v>-999</v>
      </c>
      <c r="M3879" s="33" t="s">
        <v>6728</v>
      </c>
    </row>
    <row r="3880" spans="1:14" ht="14" x14ac:dyDescent="0.15">
      <c r="A3880" s="166" t="s">
        <v>2481</v>
      </c>
      <c r="B3880" s="93" t="s">
        <v>5613</v>
      </c>
      <c r="C3880" s="70" t="s">
        <v>3636</v>
      </c>
      <c r="D3880" s="70" t="s">
        <v>3437</v>
      </c>
      <c r="E3880" s="70" t="s">
        <v>3457</v>
      </c>
      <c r="F3880" s="70" t="s">
        <v>7374</v>
      </c>
      <c r="G3880" s="70" t="s">
        <v>4540</v>
      </c>
      <c r="H3880" s="93"/>
      <c r="I3880" s="85">
        <v>-999</v>
      </c>
      <c r="J3880" s="85">
        <v>-999</v>
      </c>
      <c r="K3880" s="131" t="s">
        <v>3177</v>
      </c>
      <c r="L3880" s="60">
        <v>-999</v>
      </c>
      <c r="M3880" s="33" t="s">
        <v>6392</v>
      </c>
    </row>
    <row r="3881" spans="1:14" ht="42" x14ac:dyDescent="0.15">
      <c r="A3881" s="166" t="s">
        <v>2481</v>
      </c>
      <c r="B3881" s="93" t="s">
        <v>2078</v>
      </c>
      <c r="C3881" s="70" t="s">
        <v>3636</v>
      </c>
      <c r="D3881" s="70" t="s">
        <v>3437</v>
      </c>
      <c r="E3881" s="70" t="s">
        <v>3457</v>
      </c>
      <c r="F3881" s="70" t="s">
        <v>7374</v>
      </c>
      <c r="G3881" s="70" t="s">
        <v>4543</v>
      </c>
      <c r="H3881" s="93"/>
      <c r="I3881" s="103">
        <v>-999</v>
      </c>
      <c r="J3881" s="85">
        <v>-999</v>
      </c>
      <c r="K3881" s="131" t="s">
        <v>6786</v>
      </c>
      <c r="L3881" s="63">
        <v>151</v>
      </c>
      <c r="M3881" s="37"/>
    </row>
    <row r="3882" spans="1:14" ht="14" x14ac:dyDescent="0.15">
      <c r="A3882" s="166" t="s">
        <v>2481</v>
      </c>
      <c r="B3882" s="93" t="s">
        <v>5005</v>
      </c>
      <c r="C3882" s="70" t="s">
        <v>3636</v>
      </c>
      <c r="D3882" s="70" t="s">
        <v>3437</v>
      </c>
      <c r="E3882" s="70" t="s">
        <v>3457</v>
      </c>
      <c r="F3882" s="70" t="s">
        <v>7374</v>
      </c>
      <c r="G3882" s="70" t="s">
        <v>4544</v>
      </c>
      <c r="H3882" s="93"/>
      <c r="I3882" s="85">
        <v>-999</v>
      </c>
      <c r="J3882" s="85">
        <v>-999</v>
      </c>
      <c r="K3882" s="131" t="s">
        <v>3177</v>
      </c>
      <c r="L3882" s="60">
        <v>-999</v>
      </c>
      <c r="M3882" s="33" t="s">
        <v>6392</v>
      </c>
    </row>
    <row r="3883" spans="1:14" ht="14" x14ac:dyDescent="0.15">
      <c r="A3883" s="166" t="s">
        <v>2481</v>
      </c>
      <c r="B3883" s="93" t="s">
        <v>5006</v>
      </c>
      <c r="C3883" s="70" t="s">
        <v>3636</v>
      </c>
      <c r="D3883" s="70" t="s">
        <v>3437</v>
      </c>
      <c r="E3883" s="70" t="s">
        <v>3457</v>
      </c>
      <c r="F3883" s="70" t="s">
        <v>7374</v>
      </c>
      <c r="G3883" s="70" t="s">
        <v>6052</v>
      </c>
      <c r="H3883" s="93"/>
      <c r="I3883" s="85">
        <v>-999</v>
      </c>
      <c r="J3883" s="85">
        <v>-999</v>
      </c>
      <c r="K3883" s="131" t="s">
        <v>3177</v>
      </c>
      <c r="L3883" s="60">
        <v>-999</v>
      </c>
      <c r="M3883" s="33" t="s">
        <v>6392</v>
      </c>
    </row>
    <row r="3884" spans="1:14" ht="14" x14ac:dyDescent="0.15">
      <c r="A3884" s="166" t="s">
        <v>2481</v>
      </c>
      <c r="B3884" s="93" t="s">
        <v>5613</v>
      </c>
      <c r="C3884" s="70" t="s">
        <v>3636</v>
      </c>
      <c r="D3884" s="70" t="s">
        <v>3437</v>
      </c>
      <c r="E3884" s="70" t="s">
        <v>3457</v>
      </c>
      <c r="F3884" s="70" t="s">
        <v>7374</v>
      </c>
      <c r="G3884" s="70" t="s">
        <v>5055</v>
      </c>
      <c r="H3884" s="93"/>
      <c r="I3884" s="85">
        <v>-999</v>
      </c>
      <c r="J3884" s="85">
        <v>-999</v>
      </c>
      <c r="K3884" s="131" t="s">
        <v>3177</v>
      </c>
      <c r="L3884" s="60">
        <v>-999</v>
      </c>
      <c r="M3884" s="33" t="s">
        <v>6728</v>
      </c>
    </row>
    <row r="3885" spans="1:14" ht="14" x14ac:dyDescent="0.15">
      <c r="A3885" s="166" t="s">
        <v>2481</v>
      </c>
      <c r="B3885" s="93" t="s">
        <v>2487</v>
      </c>
      <c r="C3885" s="70" t="s">
        <v>3636</v>
      </c>
      <c r="D3885" s="70" t="s">
        <v>3437</v>
      </c>
      <c r="E3885" s="70" t="s">
        <v>3457</v>
      </c>
      <c r="F3885" s="70" t="s">
        <v>7374</v>
      </c>
      <c r="G3885" s="70" t="s">
        <v>5594</v>
      </c>
      <c r="H3885" s="93"/>
      <c r="I3885" s="85">
        <v>-999</v>
      </c>
      <c r="J3885" s="85">
        <v>-999</v>
      </c>
      <c r="K3885" s="131" t="s">
        <v>3177</v>
      </c>
      <c r="L3885" s="60">
        <v>-999</v>
      </c>
      <c r="M3885" s="33" t="s">
        <v>6728</v>
      </c>
    </row>
    <row r="3886" spans="1:14" ht="14" x14ac:dyDescent="0.15">
      <c r="A3886" s="166" t="s">
        <v>2481</v>
      </c>
      <c r="B3886" s="93" t="s">
        <v>7267</v>
      </c>
      <c r="C3886" s="70" t="s">
        <v>3636</v>
      </c>
      <c r="D3886" s="70" t="s">
        <v>3437</v>
      </c>
      <c r="E3886" s="70" t="s">
        <v>3457</v>
      </c>
      <c r="F3886" s="70" t="s">
        <v>7374</v>
      </c>
      <c r="G3886" s="70" t="s">
        <v>4999</v>
      </c>
      <c r="H3886" s="93"/>
      <c r="I3886" s="85">
        <v>-999</v>
      </c>
      <c r="J3886" s="85">
        <v>-999</v>
      </c>
      <c r="K3886" s="131" t="s">
        <v>3177</v>
      </c>
      <c r="L3886" s="60">
        <v>-999</v>
      </c>
      <c r="M3886" s="33"/>
    </row>
    <row r="3887" spans="1:14" ht="14" x14ac:dyDescent="0.15">
      <c r="A3887" s="166" t="s">
        <v>2481</v>
      </c>
      <c r="B3887" s="93" t="s">
        <v>2487</v>
      </c>
      <c r="C3887" s="70" t="s">
        <v>3636</v>
      </c>
      <c r="D3887" s="70" t="s">
        <v>3437</v>
      </c>
      <c r="E3887" s="73" t="s">
        <v>3457</v>
      </c>
      <c r="F3887" s="70" t="s">
        <v>7374</v>
      </c>
      <c r="G3887" s="70" t="s">
        <v>4984</v>
      </c>
      <c r="H3887" s="93"/>
      <c r="I3887" s="85">
        <v>-999</v>
      </c>
      <c r="J3887" s="85">
        <v>-999</v>
      </c>
      <c r="K3887" s="131" t="s">
        <v>3177</v>
      </c>
      <c r="L3887" s="60">
        <v>-999</v>
      </c>
      <c r="M3887" s="33"/>
    </row>
    <row r="3888" spans="1:14" ht="14" x14ac:dyDescent="0.15">
      <c r="A3888" s="166" t="s">
        <v>2481</v>
      </c>
      <c r="B3888" s="93" t="s">
        <v>2487</v>
      </c>
      <c r="C3888" s="70" t="s">
        <v>3636</v>
      </c>
      <c r="D3888" s="70" t="s">
        <v>3437</v>
      </c>
      <c r="E3888" s="70" t="s">
        <v>3457</v>
      </c>
      <c r="F3888" s="70" t="s">
        <v>7374</v>
      </c>
      <c r="G3888" s="70" t="s">
        <v>3728</v>
      </c>
      <c r="H3888" s="93"/>
      <c r="I3888" s="85">
        <v>-999</v>
      </c>
      <c r="J3888" s="85">
        <v>-999</v>
      </c>
      <c r="K3888" s="131" t="s">
        <v>3177</v>
      </c>
      <c r="L3888" s="60">
        <v>-999</v>
      </c>
      <c r="M3888" s="33" t="s">
        <v>6727</v>
      </c>
    </row>
    <row r="3889" spans="1:13" ht="14" x14ac:dyDescent="0.15">
      <c r="A3889" s="170" t="s">
        <v>2481</v>
      </c>
      <c r="B3889" s="82" t="s">
        <v>2018</v>
      </c>
      <c r="C3889" s="83" t="s">
        <v>3636</v>
      </c>
      <c r="D3889" s="83" t="s">
        <v>3437</v>
      </c>
      <c r="E3889" s="83" t="s">
        <v>3457</v>
      </c>
      <c r="F3889" s="83" t="s">
        <v>7374</v>
      </c>
      <c r="G3889" s="83" t="s">
        <v>7257</v>
      </c>
      <c r="H3889" s="82"/>
      <c r="I3889" s="85">
        <f t="shared" ref="I3889:I3933" si="151">LOG(J3889)</f>
        <v>1.7343997425205671</v>
      </c>
      <c r="J3889" s="85">
        <f>AVERAGE(42, 65, 45, 65)</f>
        <v>54.25</v>
      </c>
      <c r="K3889" s="139"/>
      <c r="L3889" s="72" t="s">
        <v>7532</v>
      </c>
      <c r="M3889" s="31"/>
    </row>
    <row r="3890" spans="1:13" ht="14" x14ac:dyDescent="0.15">
      <c r="A3890" s="170" t="s">
        <v>2481</v>
      </c>
      <c r="B3890" s="82" t="s">
        <v>5852</v>
      </c>
      <c r="C3890" s="83" t="s">
        <v>3636</v>
      </c>
      <c r="D3890" s="83" t="s">
        <v>3437</v>
      </c>
      <c r="E3890" s="83" t="s">
        <v>3457</v>
      </c>
      <c r="F3890" s="83" t="s">
        <v>7374</v>
      </c>
      <c r="G3890" s="83" t="s">
        <v>7257</v>
      </c>
      <c r="H3890" s="82"/>
      <c r="I3890" s="85">
        <f t="shared" si="151"/>
        <v>1.7403626894942439</v>
      </c>
      <c r="J3890" s="85">
        <f>AVERAGE(45, 65)</f>
        <v>55</v>
      </c>
      <c r="K3890" s="139"/>
      <c r="L3890" s="72">
        <v>118</v>
      </c>
      <c r="M3890" s="31"/>
    </row>
    <row r="3891" spans="1:13" ht="14" x14ac:dyDescent="0.15">
      <c r="A3891" s="166" t="s">
        <v>2481</v>
      </c>
      <c r="B3891" s="93" t="s">
        <v>1856</v>
      </c>
      <c r="C3891" s="70" t="s">
        <v>3636</v>
      </c>
      <c r="D3891" s="70" t="s">
        <v>3437</v>
      </c>
      <c r="E3891" s="70" t="s">
        <v>3457</v>
      </c>
      <c r="F3891" s="70" t="s">
        <v>7374</v>
      </c>
      <c r="G3891" s="70" t="s">
        <v>5052</v>
      </c>
      <c r="H3891" s="93"/>
      <c r="I3891" s="85">
        <f t="shared" si="151"/>
        <v>1.8864907251724818</v>
      </c>
      <c r="J3891" s="85">
        <v>77</v>
      </c>
      <c r="K3891" s="131" t="s">
        <v>3177</v>
      </c>
      <c r="L3891" s="60">
        <v>60</v>
      </c>
      <c r="M3891" s="33"/>
    </row>
    <row r="3892" spans="1:13" ht="14" x14ac:dyDescent="0.15">
      <c r="A3892" s="166" t="s">
        <v>2481</v>
      </c>
      <c r="B3892" s="93" t="s">
        <v>2487</v>
      </c>
      <c r="C3892" s="70" t="s">
        <v>3636</v>
      </c>
      <c r="D3892" s="70" t="s">
        <v>3437</v>
      </c>
      <c r="E3892" s="70" t="s">
        <v>3457</v>
      </c>
      <c r="F3892" s="70" t="s">
        <v>7374</v>
      </c>
      <c r="G3892" s="70" t="s">
        <v>4987</v>
      </c>
      <c r="H3892" s="93"/>
      <c r="I3892" s="85">
        <f t="shared" si="151"/>
        <v>1.9395192526186185</v>
      </c>
      <c r="J3892" s="85">
        <f>AVERAGE(92, 82)</f>
        <v>87</v>
      </c>
      <c r="K3892" s="131" t="s">
        <v>3177</v>
      </c>
      <c r="L3892" s="60">
        <v>123</v>
      </c>
      <c r="M3892" s="33"/>
    </row>
    <row r="3893" spans="1:13" ht="14" x14ac:dyDescent="0.15">
      <c r="A3893" s="166" t="s">
        <v>2481</v>
      </c>
      <c r="B3893" s="93" t="s">
        <v>2018</v>
      </c>
      <c r="C3893" s="70" t="s">
        <v>3636</v>
      </c>
      <c r="D3893" s="70" t="s">
        <v>3437</v>
      </c>
      <c r="E3893" s="70" t="s">
        <v>3457</v>
      </c>
      <c r="F3893" s="70" t="s">
        <v>7374</v>
      </c>
      <c r="G3893" s="70" t="s">
        <v>5895</v>
      </c>
      <c r="H3893" s="93"/>
      <c r="I3893" s="85">
        <f t="shared" si="151"/>
        <v>2.0364292656266749</v>
      </c>
      <c r="J3893" s="85">
        <f>AVERAGE(80, 135, 85, 135)</f>
        <v>108.75</v>
      </c>
      <c r="K3893" s="131" t="s">
        <v>3177</v>
      </c>
      <c r="L3893" s="60" t="s">
        <v>7532</v>
      </c>
      <c r="M3893" s="33" t="s">
        <v>6390</v>
      </c>
    </row>
    <row r="3894" spans="1:13" ht="14" x14ac:dyDescent="0.15">
      <c r="A3894" s="166" t="s">
        <v>2481</v>
      </c>
      <c r="B3894" s="93" t="s">
        <v>2178</v>
      </c>
      <c r="C3894" s="70" t="s">
        <v>3636</v>
      </c>
      <c r="D3894" s="70" t="s">
        <v>3437</v>
      </c>
      <c r="E3894" s="70" t="s">
        <v>3457</v>
      </c>
      <c r="F3894" s="70" t="s">
        <v>7374</v>
      </c>
      <c r="G3894" s="70" t="s">
        <v>5051</v>
      </c>
      <c r="H3894" s="93"/>
      <c r="I3894" s="85">
        <f t="shared" si="151"/>
        <v>2.1172712956557644</v>
      </c>
      <c r="J3894" s="85">
        <v>131</v>
      </c>
      <c r="K3894" s="131" t="s">
        <v>3177</v>
      </c>
      <c r="L3894" s="60">
        <v>60</v>
      </c>
      <c r="M3894" s="33"/>
    </row>
    <row r="3895" spans="1:13" ht="14" x14ac:dyDescent="0.15">
      <c r="A3895" s="166" t="s">
        <v>2481</v>
      </c>
      <c r="B3895" s="93" t="s">
        <v>2487</v>
      </c>
      <c r="C3895" s="70" t="s">
        <v>3636</v>
      </c>
      <c r="D3895" s="70" t="s">
        <v>3437</v>
      </c>
      <c r="E3895" s="70" t="s">
        <v>3457</v>
      </c>
      <c r="F3895" s="70" t="s">
        <v>7374</v>
      </c>
      <c r="G3895" s="70" t="s">
        <v>7475</v>
      </c>
      <c r="H3895" s="93"/>
      <c r="I3895" s="85">
        <f t="shared" si="151"/>
        <v>2.1184300771220892</v>
      </c>
      <c r="J3895" s="85">
        <f>(154.7+108)/2</f>
        <v>131.35</v>
      </c>
      <c r="K3895" s="131" t="s">
        <v>3177</v>
      </c>
      <c r="L3895" s="60">
        <v>110</v>
      </c>
      <c r="M3895" s="33" t="s">
        <v>6728</v>
      </c>
    </row>
    <row r="3896" spans="1:13" ht="14" x14ac:dyDescent="0.15">
      <c r="A3896" s="166" t="s">
        <v>2481</v>
      </c>
      <c r="B3896" s="93" t="s">
        <v>1512</v>
      </c>
      <c r="C3896" s="70" t="s">
        <v>3636</v>
      </c>
      <c r="D3896" s="70" t="s">
        <v>3437</v>
      </c>
      <c r="E3896" s="70" t="s">
        <v>3457</v>
      </c>
      <c r="F3896" s="70" t="s">
        <v>7374</v>
      </c>
      <c r="G3896" s="70" t="s">
        <v>7475</v>
      </c>
      <c r="H3896" s="93"/>
      <c r="I3896" s="85">
        <f t="shared" si="151"/>
        <v>2.1184300771220892</v>
      </c>
      <c r="J3896" s="85">
        <f>(154.7+108)/2</f>
        <v>131.35</v>
      </c>
      <c r="K3896" s="131" t="s">
        <v>3177</v>
      </c>
      <c r="L3896" s="60">
        <v>110</v>
      </c>
      <c r="M3896" s="33" t="s">
        <v>6728</v>
      </c>
    </row>
    <row r="3897" spans="1:13" ht="14" x14ac:dyDescent="0.15">
      <c r="A3897" s="166" t="s">
        <v>2481</v>
      </c>
      <c r="B3897" s="82" t="s">
        <v>2018</v>
      </c>
      <c r="C3897" s="70" t="s">
        <v>3636</v>
      </c>
      <c r="D3897" s="70" t="s">
        <v>3437</v>
      </c>
      <c r="E3897" s="70" t="s">
        <v>3457</v>
      </c>
      <c r="F3897" s="70" t="s">
        <v>7374</v>
      </c>
      <c r="G3897" s="70" t="s">
        <v>5323</v>
      </c>
      <c r="H3897" s="93"/>
      <c r="I3897" s="85">
        <f t="shared" si="151"/>
        <v>2.1219207855630375</v>
      </c>
      <c r="J3897" s="85">
        <f>AVERAGE(78, 125, 150, 160, 110, 142.5, 150.6, 172, 78, 158)</f>
        <v>132.41</v>
      </c>
      <c r="K3897" s="131"/>
      <c r="L3897" s="60" t="s">
        <v>7538</v>
      </c>
      <c r="M3897" s="33"/>
    </row>
    <row r="3898" spans="1:13" ht="14" x14ac:dyDescent="0.15">
      <c r="A3898" s="166" t="s">
        <v>2481</v>
      </c>
      <c r="B3898" s="93" t="s">
        <v>2078</v>
      </c>
      <c r="C3898" s="70" t="s">
        <v>3636</v>
      </c>
      <c r="D3898" s="70" t="s">
        <v>3437</v>
      </c>
      <c r="E3898" s="70" t="s">
        <v>3457</v>
      </c>
      <c r="F3898" s="70" t="s">
        <v>7374</v>
      </c>
      <c r="G3898" s="70" t="s">
        <v>7453</v>
      </c>
      <c r="H3898" s="93"/>
      <c r="I3898" s="85">
        <f t="shared" si="151"/>
        <v>2.1222158782728267</v>
      </c>
      <c r="J3898" s="85">
        <f>AVERAGE(85, 180)</f>
        <v>132.5</v>
      </c>
      <c r="K3898" s="131" t="s">
        <v>3177</v>
      </c>
      <c r="L3898" s="60">
        <v>118</v>
      </c>
      <c r="M3898" s="33"/>
    </row>
    <row r="3899" spans="1:13" ht="16" x14ac:dyDescent="0.2">
      <c r="A3899" s="166" t="s">
        <v>2481</v>
      </c>
      <c r="B3899" s="93" t="s">
        <v>5852</v>
      </c>
      <c r="C3899" s="70" t="s">
        <v>3636</v>
      </c>
      <c r="D3899" s="70" t="s">
        <v>3437</v>
      </c>
      <c r="E3899" s="70" t="s">
        <v>3457</v>
      </c>
      <c r="F3899" s="70" t="s">
        <v>7374</v>
      </c>
      <c r="G3899" s="70" t="s">
        <v>7453</v>
      </c>
      <c r="H3899" s="93"/>
      <c r="I3899" s="85">
        <f t="shared" si="151"/>
        <v>2.1222158782728267</v>
      </c>
      <c r="J3899" s="85">
        <f>AVERAGE(85, 180)</f>
        <v>132.5</v>
      </c>
      <c r="K3899" s="131" t="s">
        <v>3177</v>
      </c>
      <c r="L3899" s="60">
        <v>118</v>
      </c>
      <c r="M3899" s="47"/>
    </row>
    <row r="3900" spans="1:13" ht="28" x14ac:dyDescent="0.15">
      <c r="A3900" s="166" t="s">
        <v>2481</v>
      </c>
      <c r="B3900" s="93" t="s">
        <v>2078</v>
      </c>
      <c r="C3900" s="70" t="s">
        <v>3636</v>
      </c>
      <c r="D3900" s="70" t="s">
        <v>3437</v>
      </c>
      <c r="E3900" s="70" t="s">
        <v>3457</v>
      </c>
      <c r="F3900" s="70" t="s">
        <v>7374</v>
      </c>
      <c r="G3900" s="70" t="s">
        <v>4994</v>
      </c>
      <c r="H3900" s="93"/>
      <c r="I3900" s="85">
        <f t="shared" si="151"/>
        <v>2.1238516409670858</v>
      </c>
      <c r="J3900" s="85">
        <f>AVERAGE(137, 129)</f>
        <v>133</v>
      </c>
      <c r="K3900" s="131" t="s">
        <v>6378</v>
      </c>
      <c r="L3900" s="60">
        <v>151</v>
      </c>
      <c r="M3900" s="37"/>
    </row>
    <row r="3901" spans="1:13" ht="14" x14ac:dyDescent="0.15">
      <c r="A3901" s="166" t="s">
        <v>2481</v>
      </c>
      <c r="B3901" s="93" t="s">
        <v>7471</v>
      </c>
      <c r="C3901" s="70" t="s">
        <v>3636</v>
      </c>
      <c r="D3901" s="70" t="s">
        <v>3437</v>
      </c>
      <c r="E3901" s="70" t="s">
        <v>3457</v>
      </c>
      <c r="F3901" s="70" t="s">
        <v>7374</v>
      </c>
      <c r="G3901" s="70" t="s">
        <v>3845</v>
      </c>
      <c r="H3901" s="93"/>
      <c r="I3901" s="85">
        <f t="shared" si="151"/>
        <v>2.1254812657005941</v>
      </c>
      <c r="J3901" s="85">
        <f>1000*AVERAGE(0.145, 0.122)</f>
        <v>133.5</v>
      </c>
      <c r="K3901" s="131" t="s">
        <v>3177</v>
      </c>
      <c r="L3901" s="60">
        <v>60</v>
      </c>
      <c r="M3901" s="33"/>
    </row>
    <row r="3902" spans="1:13" ht="42" x14ac:dyDescent="0.15">
      <c r="A3902" s="166" t="s">
        <v>2481</v>
      </c>
      <c r="B3902" s="93" t="s">
        <v>6770</v>
      </c>
      <c r="C3902" s="70" t="s">
        <v>3636</v>
      </c>
      <c r="D3902" s="70" t="s">
        <v>3437</v>
      </c>
      <c r="E3902" s="70" t="s">
        <v>3457</v>
      </c>
      <c r="F3902" s="70" t="s">
        <v>7374</v>
      </c>
      <c r="G3902" s="70" t="s">
        <v>7453</v>
      </c>
      <c r="H3902" s="93"/>
      <c r="I3902" s="85">
        <f t="shared" si="151"/>
        <v>2.1303337684950061</v>
      </c>
      <c r="J3902" s="85">
        <f>AVERAGE(85, 180, 85, 190)</f>
        <v>135</v>
      </c>
      <c r="K3902" s="131" t="s">
        <v>3177</v>
      </c>
      <c r="L3902" s="60" t="s">
        <v>7532</v>
      </c>
      <c r="M3902" s="33"/>
    </row>
    <row r="3903" spans="1:13" ht="17" x14ac:dyDescent="0.2">
      <c r="A3903" s="166" t="s">
        <v>2481</v>
      </c>
      <c r="B3903" s="93" t="s">
        <v>5852</v>
      </c>
      <c r="C3903" s="70" t="s">
        <v>3636</v>
      </c>
      <c r="D3903" s="70" t="s">
        <v>3437</v>
      </c>
      <c r="E3903" s="70" t="s">
        <v>3457</v>
      </c>
      <c r="F3903" s="70" t="s">
        <v>7374</v>
      </c>
      <c r="G3903" s="70" t="s">
        <v>5683</v>
      </c>
      <c r="H3903" s="93"/>
      <c r="I3903" s="85">
        <f t="shared" si="151"/>
        <v>2.1335389083702174</v>
      </c>
      <c r="J3903" s="85">
        <v>136</v>
      </c>
      <c r="K3903" s="131" t="s">
        <v>3177</v>
      </c>
      <c r="L3903" s="60">
        <v>60</v>
      </c>
      <c r="M3903" s="47" t="s">
        <v>6728</v>
      </c>
    </row>
    <row r="3904" spans="1:13" ht="14" x14ac:dyDescent="0.15">
      <c r="A3904" s="166" t="s">
        <v>2481</v>
      </c>
      <c r="B3904" s="93" t="s">
        <v>2330</v>
      </c>
      <c r="C3904" s="70" t="s">
        <v>3636</v>
      </c>
      <c r="D3904" s="70" t="s">
        <v>3437</v>
      </c>
      <c r="E3904" s="70" t="s">
        <v>3457</v>
      </c>
      <c r="F3904" s="70" t="s">
        <v>7374</v>
      </c>
      <c r="G3904" s="70" t="s">
        <v>3804</v>
      </c>
      <c r="H3904" s="93"/>
      <c r="I3904" s="85">
        <f t="shared" si="151"/>
        <v>2.1335389083702174</v>
      </c>
      <c r="J3904" s="85">
        <v>136</v>
      </c>
      <c r="K3904" s="131" t="s">
        <v>3177</v>
      </c>
      <c r="L3904" s="60">
        <v>60</v>
      </c>
      <c r="M3904" s="33" t="s">
        <v>6809</v>
      </c>
    </row>
    <row r="3905" spans="1:15" ht="14" x14ac:dyDescent="0.15">
      <c r="A3905" s="166" t="s">
        <v>2481</v>
      </c>
      <c r="B3905" s="93" t="s">
        <v>5613</v>
      </c>
      <c r="C3905" s="70" t="s">
        <v>3636</v>
      </c>
      <c r="D3905" s="70" t="s">
        <v>3437</v>
      </c>
      <c r="E3905" s="70" t="s">
        <v>3457</v>
      </c>
      <c r="F3905" s="70" t="s">
        <v>7374</v>
      </c>
      <c r="G3905" s="70" t="s">
        <v>3106</v>
      </c>
      <c r="H3905" s="93"/>
      <c r="I3905" s="85">
        <f t="shared" si="151"/>
        <v>2.167317334748176</v>
      </c>
      <c r="J3905" s="85">
        <v>147</v>
      </c>
      <c r="K3905" s="131" t="s">
        <v>3177</v>
      </c>
      <c r="L3905" s="60">
        <v>60</v>
      </c>
      <c r="M3905" s="33"/>
    </row>
    <row r="3906" spans="1:15" ht="14" x14ac:dyDescent="0.15">
      <c r="A3906" s="166" t="s">
        <v>2481</v>
      </c>
      <c r="B3906" s="93" t="s">
        <v>2487</v>
      </c>
      <c r="C3906" s="70" t="s">
        <v>3636</v>
      </c>
      <c r="D3906" s="70" t="s">
        <v>3437</v>
      </c>
      <c r="E3906" s="70" t="s">
        <v>3457</v>
      </c>
      <c r="F3906" s="70" t="s">
        <v>7374</v>
      </c>
      <c r="G3906" s="70" t="s">
        <v>5056</v>
      </c>
      <c r="H3906" s="93"/>
      <c r="I3906" s="85">
        <f t="shared" si="151"/>
        <v>2.1709947020363001</v>
      </c>
      <c r="J3906" s="85">
        <f>(154+142.5)/2</f>
        <v>148.25</v>
      </c>
      <c r="K3906" s="131" t="s">
        <v>3177</v>
      </c>
      <c r="L3906" s="60">
        <v>110</v>
      </c>
      <c r="M3906" s="33"/>
    </row>
    <row r="3907" spans="1:15" ht="14" x14ac:dyDescent="0.15">
      <c r="A3907" s="166" t="s">
        <v>2481</v>
      </c>
      <c r="B3907" s="93" t="s">
        <v>3078</v>
      </c>
      <c r="C3907" s="70" t="s">
        <v>3636</v>
      </c>
      <c r="D3907" s="70" t="s">
        <v>3437</v>
      </c>
      <c r="E3907" s="70" t="s">
        <v>3457</v>
      </c>
      <c r="F3907" s="70" t="s">
        <v>7374</v>
      </c>
      <c r="G3907" s="70" t="s">
        <v>5056</v>
      </c>
      <c r="H3907" s="93"/>
      <c r="I3907" s="85">
        <f t="shared" si="151"/>
        <v>2.1709947020363001</v>
      </c>
      <c r="J3907" s="85">
        <f>(154+142.5)/2</f>
        <v>148.25</v>
      </c>
      <c r="K3907" s="131" t="s">
        <v>3177</v>
      </c>
      <c r="L3907" s="60">
        <v>110</v>
      </c>
      <c r="M3907" s="33" t="s">
        <v>1465</v>
      </c>
    </row>
    <row r="3908" spans="1:15" ht="28" x14ac:dyDescent="0.15">
      <c r="A3908" s="166" t="s">
        <v>2481</v>
      </c>
      <c r="B3908" s="93" t="s">
        <v>2078</v>
      </c>
      <c r="C3908" s="70" t="s">
        <v>3636</v>
      </c>
      <c r="D3908" s="70" t="s">
        <v>3437</v>
      </c>
      <c r="E3908" s="70" t="s">
        <v>3457</v>
      </c>
      <c r="F3908" s="70" t="s">
        <v>7374</v>
      </c>
      <c r="G3908" s="70" t="s">
        <v>4985</v>
      </c>
      <c r="H3908" s="93"/>
      <c r="I3908" s="85">
        <f t="shared" si="151"/>
        <v>2.1903316981702914</v>
      </c>
      <c r="J3908" s="85">
        <f>AVERAGE(155, 155)</f>
        <v>155</v>
      </c>
      <c r="K3908" s="131" t="s">
        <v>7046</v>
      </c>
      <c r="L3908" s="60">
        <v>151</v>
      </c>
      <c r="M3908" s="37"/>
    </row>
    <row r="3909" spans="1:15" ht="84" x14ac:dyDescent="0.15">
      <c r="A3909" s="166" t="s">
        <v>2481</v>
      </c>
      <c r="B3909" s="93" t="s">
        <v>2078</v>
      </c>
      <c r="C3909" s="62" t="s">
        <v>3636</v>
      </c>
      <c r="D3909" s="62" t="s">
        <v>3437</v>
      </c>
      <c r="E3909" s="62" t="s">
        <v>3457</v>
      </c>
      <c r="F3909" s="62" t="s">
        <v>7374</v>
      </c>
      <c r="G3909" s="62" t="s">
        <v>6483</v>
      </c>
      <c r="H3909" s="97"/>
      <c r="I3909" s="85">
        <f t="shared" si="151"/>
        <v>2.1972805581256192</v>
      </c>
      <c r="J3909" s="98">
        <v>157.5</v>
      </c>
      <c r="L3909" s="67">
        <v>59</v>
      </c>
      <c r="M3909" s="35" t="s">
        <v>6392</v>
      </c>
      <c r="N3909" s="32" t="s">
        <v>7252</v>
      </c>
      <c r="O3909" s="33"/>
    </row>
    <row r="3910" spans="1:15" ht="17" x14ac:dyDescent="0.2">
      <c r="A3910" s="166" t="s">
        <v>2481</v>
      </c>
      <c r="B3910" s="93" t="s">
        <v>2487</v>
      </c>
      <c r="C3910" s="70" t="s">
        <v>3636</v>
      </c>
      <c r="D3910" s="70" t="s">
        <v>3437</v>
      </c>
      <c r="E3910" s="70" t="s">
        <v>3457</v>
      </c>
      <c r="F3910" s="70" t="s">
        <v>7374</v>
      </c>
      <c r="G3910" s="70" t="s">
        <v>3776</v>
      </c>
      <c r="H3910" s="93"/>
      <c r="I3910" s="85">
        <f t="shared" si="151"/>
        <v>2.1986570869544226</v>
      </c>
      <c r="J3910" s="85">
        <v>158</v>
      </c>
      <c r="K3910" s="131" t="s">
        <v>3177</v>
      </c>
      <c r="L3910" s="60">
        <v>60</v>
      </c>
      <c r="M3910" s="47" t="s">
        <v>6728</v>
      </c>
    </row>
    <row r="3911" spans="1:15" ht="14" x14ac:dyDescent="0.15">
      <c r="A3911" s="166" t="s">
        <v>2481</v>
      </c>
      <c r="B3911" s="93" t="s">
        <v>2178</v>
      </c>
      <c r="C3911" s="70" t="s">
        <v>3636</v>
      </c>
      <c r="D3911" s="70" t="s">
        <v>3437</v>
      </c>
      <c r="E3911" s="70" t="s">
        <v>3457</v>
      </c>
      <c r="F3911" s="70" t="s">
        <v>7374</v>
      </c>
      <c r="G3911" s="70" t="s">
        <v>7913</v>
      </c>
      <c r="H3911" s="93"/>
      <c r="I3911" s="85">
        <f t="shared" si="151"/>
        <v>2.2174839442139063</v>
      </c>
      <c r="J3911" s="85">
        <v>165</v>
      </c>
      <c r="K3911" s="131" t="s">
        <v>3177</v>
      </c>
      <c r="L3911" s="60">
        <v>60</v>
      </c>
      <c r="M3911" s="33" t="s">
        <v>6728</v>
      </c>
    </row>
    <row r="3912" spans="1:15" ht="17" x14ac:dyDescent="0.2">
      <c r="A3912" s="166" t="s">
        <v>2481</v>
      </c>
      <c r="B3912" s="93" t="s">
        <v>5852</v>
      </c>
      <c r="C3912" s="70" t="s">
        <v>3636</v>
      </c>
      <c r="D3912" s="70" t="s">
        <v>3437</v>
      </c>
      <c r="E3912" s="70" t="s">
        <v>3457</v>
      </c>
      <c r="F3912" s="70" t="s">
        <v>7374</v>
      </c>
      <c r="G3912" s="70" t="s">
        <v>4534</v>
      </c>
      <c r="H3912" s="93"/>
      <c r="I3912" s="85">
        <f t="shared" si="151"/>
        <v>2.255272505103306</v>
      </c>
      <c r="J3912" s="85">
        <v>180</v>
      </c>
      <c r="K3912" s="131" t="s">
        <v>3177</v>
      </c>
      <c r="L3912" s="66">
        <v>60</v>
      </c>
      <c r="M3912" s="47" t="s">
        <v>6728</v>
      </c>
    </row>
    <row r="3913" spans="1:15" ht="28" x14ac:dyDescent="0.15">
      <c r="A3913" s="166" t="s">
        <v>2481</v>
      </c>
      <c r="B3913" s="93" t="s">
        <v>2078</v>
      </c>
      <c r="C3913" s="73" t="s">
        <v>3636</v>
      </c>
      <c r="D3913" s="73" t="s">
        <v>3437</v>
      </c>
      <c r="E3913" s="73" t="s">
        <v>3457</v>
      </c>
      <c r="F3913" s="73" t="s">
        <v>7374</v>
      </c>
      <c r="G3913" s="73" t="s">
        <v>5595</v>
      </c>
      <c r="H3913" s="93"/>
      <c r="I3913" s="85">
        <f t="shared" si="151"/>
        <v>2.2855573090077739</v>
      </c>
      <c r="J3913" s="95">
        <f>AVERAGE(198, 188)</f>
        <v>193</v>
      </c>
      <c r="K3913" s="131" t="s">
        <v>6642</v>
      </c>
      <c r="L3913" s="60">
        <v>151</v>
      </c>
      <c r="M3913" s="37"/>
    </row>
    <row r="3914" spans="1:15" ht="28" x14ac:dyDescent="0.15">
      <c r="A3914" s="165" t="s">
        <v>2481</v>
      </c>
      <c r="B3914" s="93" t="s">
        <v>2078</v>
      </c>
      <c r="C3914" s="62" t="s">
        <v>3636</v>
      </c>
      <c r="D3914" s="62" t="s">
        <v>3437</v>
      </c>
      <c r="E3914" s="62" t="s">
        <v>3457</v>
      </c>
      <c r="F3914" s="62" t="s">
        <v>7374</v>
      </c>
      <c r="G3914" s="62" t="s">
        <v>7224</v>
      </c>
      <c r="H3914" s="97"/>
      <c r="I3914" s="85">
        <f t="shared" si="151"/>
        <v>2.325207689482919</v>
      </c>
      <c r="J3914" s="98">
        <f>AVERAGE(211.2, 211.7)</f>
        <v>211.45</v>
      </c>
      <c r="K3914" s="131" t="s">
        <v>6704</v>
      </c>
      <c r="L3914" s="67">
        <v>151</v>
      </c>
      <c r="M3914" s="35"/>
    </row>
    <row r="3915" spans="1:15" ht="84" x14ac:dyDescent="0.15">
      <c r="A3915" s="166" t="s">
        <v>2481</v>
      </c>
      <c r="B3915" s="93" t="s">
        <v>1365</v>
      </c>
      <c r="C3915" s="70" t="s">
        <v>3636</v>
      </c>
      <c r="D3915" s="70" t="s">
        <v>3437</v>
      </c>
      <c r="E3915" s="70" t="s">
        <v>3457</v>
      </c>
      <c r="F3915" s="70" t="s">
        <v>7374</v>
      </c>
      <c r="G3915" s="70" t="s">
        <v>5595</v>
      </c>
      <c r="H3915" s="93"/>
      <c r="I3915" s="85">
        <f t="shared" si="151"/>
        <v>2.3329431601256925</v>
      </c>
      <c r="J3915" s="85">
        <f>(240+190.5)/2</f>
        <v>215.25</v>
      </c>
      <c r="K3915" s="131" t="s">
        <v>3177</v>
      </c>
      <c r="L3915" s="60">
        <v>110</v>
      </c>
      <c r="M3915" s="33" t="s">
        <v>1465</v>
      </c>
    </row>
    <row r="3916" spans="1:15" ht="14" x14ac:dyDescent="0.15">
      <c r="A3916" s="166" t="s">
        <v>2481</v>
      </c>
      <c r="B3916" s="93" t="s">
        <v>5613</v>
      </c>
      <c r="C3916" s="70" t="s">
        <v>3636</v>
      </c>
      <c r="D3916" s="70" t="s">
        <v>3437</v>
      </c>
      <c r="E3916" s="70" t="s">
        <v>3457</v>
      </c>
      <c r="F3916" s="70" t="s">
        <v>7374</v>
      </c>
      <c r="G3916" s="70" t="s">
        <v>5054</v>
      </c>
      <c r="H3916" s="93"/>
      <c r="I3916" s="85">
        <f t="shared" si="151"/>
        <v>2.3364597338485296</v>
      </c>
      <c r="J3916" s="85">
        <v>217</v>
      </c>
      <c r="K3916" s="131" t="s">
        <v>3177</v>
      </c>
      <c r="L3916" s="60">
        <v>60</v>
      </c>
      <c r="M3916" s="33"/>
    </row>
    <row r="3917" spans="1:15" ht="28" x14ac:dyDescent="0.2">
      <c r="A3917" s="166" t="s">
        <v>2481</v>
      </c>
      <c r="B3917" s="93" t="s">
        <v>2217</v>
      </c>
      <c r="C3917" s="70" t="s">
        <v>3636</v>
      </c>
      <c r="D3917" s="70" t="s">
        <v>3437</v>
      </c>
      <c r="E3917" s="70" t="s">
        <v>3457</v>
      </c>
      <c r="F3917" s="70" t="s">
        <v>7374</v>
      </c>
      <c r="G3917" s="70" t="s">
        <v>6946</v>
      </c>
      <c r="H3917" s="93"/>
      <c r="I3917" s="85">
        <f t="shared" si="151"/>
        <v>2.3502480183341627</v>
      </c>
      <c r="J3917" s="85">
        <v>224</v>
      </c>
      <c r="K3917" s="131" t="s">
        <v>3177</v>
      </c>
      <c r="L3917" s="60">
        <v>60</v>
      </c>
      <c r="M3917" s="47"/>
    </row>
    <row r="3918" spans="1:15" ht="14" x14ac:dyDescent="0.15">
      <c r="A3918" s="166" t="s">
        <v>2481</v>
      </c>
      <c r="B3918" s="93" t="s">
        <v>5797</v>
      </c>
      <c r="C3918" s="70" t="s">
        <v>3636</v>
      </c>
      <c r="D3918" s="70" t="s">
        <v>3437</v>
      </c>
      <c r="E3918" s="70" t="s">
        <v>3457</v>
      </c>
      <c r="F3918" s="70" t="s">
        <v>7374</v>
      </c>
      <c r="G3918" s="70" t="s">
        <v>4987</v>
      </c>
      <c r="H3918" s="93"/>
      <c r="I3918" s="85">
        <f t="shared" si="151"/>
        <v>2.357934847000454</v>
      </c>
      <c r="J3918" s="85">
        <v>228</v>
      </c>
      <c r="K3918" s="131" t="s">
        <v>3177</v>
      </c>
      <c r="L3918" s="60">
        <v>121</v>
      </c>
      <c r="M3918" s="33"/>
    </row>
    <row r="3919" spans="1:15" ht="70" x14ac:dyDescent="0.15">
      <c r="A3919" s="166" t="s">
        <v>2481</v>
      </c>
      <c r="B3919" s="93" t="s">
        <v>1380</v>
      </c>
      <c r="C3919" s="70" t="s">
        <v>3636</v>
      </c>
      <c r="D3919" s="70" t="s">
        <v>3437</v>
      </c>
      <c r="E3919" s="70" t="s">
        <v>3457</v>
      </c>
      <c r="F3919" s="70" t="s">
        <v>7374</v>
      </c>
      <c r="G3919" s="70" t="s">
        <v>6492</v>
      </c>
      <c r="H3919" s="93"/>
      <c r="I3919" s="85">
        <f t="shared" si="151"/>
        <v>2.3617278360175931</v>
      </c>
      <c r="J3919" s="85">
        <f>(255+205)/2</f>
        <v>230</v>
      </c>
      <c r="K3919" s="131" t="s">
        <v>3177</v>
      </c>
      <c r="L3919" s="60">
        <v>110</v>
      </c>
      <c r="N3919" s="33" t="s">
        <v>1465</v>
      </c>
      <c r="O3919" s="37" t="s">
        <v>6614</v>
      </c>
    </row>
    <row r="3920" spans="1:15" ht="238" x14ac:dyDescent="0.15">
      <c r="A3920" s="166" t="s">
        <v>2481</v>
      </c>
      <c r="B3920" s="93" t="s">
        <v>2078</v>
      </c>
      <c r="C3920" s="70" t="s">
        <v>3636</v>
      </c>
      <c r="D3920" s="70" t="s">
        <v>3437</v>
      </c>
      <c r="E3920" s="70" t="s">
        <v>3457</v>
      </c>
      <c r="F3920" s="70" t="s">
        <v>7374</v>
      </c>
      <c r="G3920" s="70" t="s">
        <v>6492</v>
      </c>
      <c r="H3920" s="93"/>
      <c r="I3920" s="85">
        <f t="shared" si="151"/>
        <v>2.3617278360175931</v>
      </c>
      <c r="J3920" s="85">
        <f>(255+205)/2</f>
        <v>230</v>
      </c>
      <c r="L3920" s="60">
        <v>151</v>
      </c>
      <c r="N3920" s="32" t="s">
        <v>6377</v>
      </c>
    </row>
    <row r="3921" spans="1:14" ht="14" x14ac:dyDescent="0.15">
      <c r="A3921" s="166" t="s">
        <v>2481</v>
      </c>
      <c r="B3921" s="93" t="s">
        <v>2178</v>
      </c>
      <c r="C3921" s="70" t="s">
        <v>3636</v>
      </c>
      <c r="D3921" s="70" t="s">
        <v>3437</v>
      </c>
      <c r="E3921" s="70" t="s">
        <v>3457</v>
      </c>
      <c r="F3921" s="70" t="s">
        <v>7374</v>
      </c>
      <c r="G3921" s="70" t="s">
        <v>4969</v>
      </c>
      <c r="H3921" s="93"/>
      <c r="I3921" s="85">
        <f t="shared" si="151"/>
        <v>2.3705130895985924</v>
      </c>
      <c r="J3921" s="85">
        <f>1000*AVERAGE(0.18, 0.322, 0.279, 0.195, 0.1975)</f>
        <v>234.7</v>
      </c>
      <c r="K3921" s="131"/>
      <c r="L3921" s="60">
        <v>60</v>
      </c>
      <c r="M3921" s="33"/>
    </row>
    <row r="3922" spans="1:14" ht="14" x14ac:dyDescent="0.15">
      <c r="A3922" s="166" t="s">
        <v>2481</v>
      </c>
      <c r="B3922" s="93" t="s">
        <v>5613</v>
      </c>
      <c r="C3922" s="70" t="s">
        <v>3636</v>
      </c>
      <c r="D3922" s="70" t="s">
        <v>3437</v>
      </c>
      <c r="E3922" s="70" t="s">
        <v>3457</v>
      </c>
      <c r="F3922" s="70" t="s">
        <v>7374</v>
      </c>
      <c r="G3922" s="70" t="s">
        <v>7901</v>
      </c>
      <c r="H3922" s="93"/>
      <c r="I3922" s="85">
        <f t="shared" si="151"/>
        <v>2.3783979009481375</v>
      </c>
      <c r="J3922" s="85">
        <v>239</v>
      </c>
      <c r="K3922" s="131" t="s">
        <v>3177</v>
      </c>
      <c r="L3922" s="60">
        <v>60</v>
      </c>
      <c r="M3922" s="33" t="s">
        <v>6728</v>
      </c>
    </row>
    <row r="3923" spans="1:14" ht="16" x14ac:dyDescent="0.2">
      <c r="A3923" s="166" t="s">
        <v>2481</v>
      </c>
      <c r="B3923" s="93" t="s">
        <v>5852</v>
      </c>
      <c r="C3923" s="70" t="s">
        <v>3636</v>
      </c>
      <c r="D3923" s="70" t="s">
        <v>3437</v>
      </c>
      <c r="E3923" s="70" t="s">
        <v>3457</v>
      </c>
      <c r="F3923" s="70" t="s">
        <v>7374</v>
      </c>
      <c r="G3923" s="70" t="s">
        <v>4108</v>
      </c>
      <c r="H3923" s="93"/>
      <c r="I3923" s="85">
        <f t="shared" si="151"/>
        <v>2.4065969472442972</v>
      </c>
      <c r="J3923" s="85">
        <f>AVERAGE(253.2, 260, 249, 278, 242, 248)</f>
        <v>255.03333333333333</v>
      </c>
      <c r="K3923" s="131" t="s">
        <v>3177</v>
      </c>
      <c r="L3923" s="60" t="s">
        <v>4236</v>
      </c>
      <c r="M3923" s="47"/>
    </row>
    <row r="3924" spans="1:14" ht="14" x14ac:dyDescent="0.15">
      <c r="A3924" s="166" t="s">
        <v>2481</v>
      </c>
      <c r="B3924" s="93" t="s">
        <v>5613</v>
      </c>
      <c r="C3924" s="70" t="s">
        <v>3636</v>
      </c>
      <c r="D3924" s="70" t="s">
        <v>3437</v>
      </c>
      <c r="E3924" s="70" t="s">
        <v>3457</v>
      </c>
      <c r="F3924" s="70" t="s">
        <v>7374</v>
      </c>
      <c r="G3924" s="70" t="s">
        <v>4536</v>
      </c>
      <c r="H3924" s="93"/>
      <c r="I3924" s="85">
        <f t="shared" si="151"/>
        <v>2.4814426285023048</v>
      </c>
      <c r="J3924" s="85">
        <v>303</v>
      </c>
      <c r="K3924" s="131" t="s">
        <v>3177</v>
      </c>
      <c r="L3924" s="60">
        <v>60</v>
      </c>
      <c r="M3924" s="33"/>
    </row>
    <row r="3925" spans="1:14" ht="14" x14ac:dyDescent="0.15">
      <c r="A3925" s="70" t="s">
        <v>2481</v>
      </c>
      <c r="B3925" s="93" t="s">
        <v>5003</v>
      </c>
      <c r="C3925" s="70" t="s">
        <v>3636</v>
      </c>
      <c r="D3925" s="70" t="s">
        <v>3437</v>
      </c>
      <c r="E3925" s="70" t="s">
        <v>3457</v>
      </c>
      <c r="F3925" s="70" t="s">
        <v>7374</v>
      </c>
      <c r="G3925" s="70" t="s">
        <v>4949</v>
      </c>
      <c r="H3925" s="93"/>
      <c r="I3925" s="85">
        <f t="shared" si="151"/>
        <v>2.4842998393467859</v>
      </c>
      <c r="J3925" s="85">
        <v>305</v>
      </c>
      <c r="K3925" s="131" t="s">
        <v>3177</v>
      </c>
      <c r="L3925" s="60">
        <v>60</v>
      </c>
      <c r="M3925" s="33" t="s">
        <v>6809</v>
      </c>
    </row>
    <row r="3926" spans="1:14" ht="14" x14ac:dyDescent="0.15">
      <c r="A3926" s="166" t="s">
        <v>2481</v>
      </c>
      <c r="B3926" s="93" t="s">
        <v>5004</v>
      </c>
      <c r="C3926" s="70" t="s">
        <v>3636</v>
      </c>
      <c r="D3926" s="70" t="s">
        <v>3437</v>
      </c>
      <c r="E3926" s="73" t="s">
        <v>3457</v>
      </c>
      <c r="F3926" s="70" t="s">
        <v>7374</v>
      </c>
      <c r="G3926" s="70" t="s">
        <v>4539</v>
      </c>
      <c r="H3926" s="93"/>
      <c r="I3926" s="85">
        <f t="shared" si="151"/>
        <v>2.4857214264815801</v>
      </c>
      <c r="J3926" s="85">
        <f>306</f>
        <v>306</v>
      </c>
      <c r="K3926" s="131" t="s">
        <v>3177</v>
      </c>
      <c r="L3926" s="60">
        <v>110</v>
      </c>
      <c r="M3926" s="49" t="s">
        <v>6809</v>
      </c>
      <c r="N3926" s="33" t="s">
        <v>1430</v>
      </c>
    </row>
    <row r="3927" spans="1:14" ht="14" x14ac:dyDescent="0.15">
      <c r="A3927" s="166" t="s">
        <v>2481</v>
      </c>
      <c r="B3927" s="93" t="s">
        <v>6763</v>
      </c>
      <c r="C3927" s="70" t="s">
        <v>3636</v>
      </c>
      <c r="D3927" s="70" t="s">
        <v>3437</v>
      </c>
      <c r="E3927" s="70" t="s">
        <v>3457</v>
      </c>
      <c r="F3927" s="70" t="s">
        <v>7374</v>
      </c>
      <c r="G3927" s="70" t="s">
        <v>4986</v>
      </c>
      <c r="H3927" s="93"/>
      <c r="I3927" s="85">
        <f t="shared" si="151"/>
        <v>2.509202522331103</v>
      </c>
      <c r="J3927" s="85">
        <v>323</v>
      </c>
      <c r="K3927" s="131" t="s">
        <v>6630</v>
      </c>
      <c r="L3927" s="60">
        <v>60</v>
      </c>
      <c r="M3927" s="33" t="s">
        <v>6728</v>
      </c>
    </row>
    <row r="3928" spans="1:14" ht="14" x14ac:dyDescent="0.15">
      <c r="A3928" s="166" t="s">
        <v>2481</v>
      </c>
      <c r="B3928" s="93" t="s">
        <v>4239</v>
      </c>
      <c r="C3928" s="70" t="s">
        <v>3636</v>
      </c>
      <c r="D3928" s="70" t="s">
        <v>3437</v>
      </c>
      <c r="E3928" s="70" t="s">
        <v>3457</v>
      </c>
      <c r="F3928" s="70" t="s">
        <v>7374</v>
      </c>
      <c r="G3928" s="70" t="s">
        <v>4550</v>
      </c>
      <c r="H3928" s="93"/>
      <c r="I3928" s="85">
        <f t="shared" si="151"/>
        <v>2.5797835966168101</v>
      </c>
      <c r="J3928" s="85">
        <f>(260+500)/2</f>
        <v>380</v>
      </c>
      <c r="K3928" s="131" t="s">
        <v>3177</v>
      </c>
      <c r="L3928" s="60">
        <v>110</v>
      </c>
      <c r="M3928" s="33" t="s">
        <v>6392</v>
      </c>
      <c r="N3928" s="33" t="s">
        <v>1430</v>
      </c>
    </row>
    <row r="3929" spans="1:14" ht="14" x14ac:dyDescent="0.15">
      <c r="A3929" s="166" t="s">
        <v>2481</v>
      </c>
      <c r="B3929" s="93" t="s">
        <v>5026</v>
      </c>
      <c r="C3929" s="70" t="s">
        <v>3636</v>
      </c>
      <c r="D3929" s="70" t="s">
        <v>3437</v>
      </c>
      <c r="E3929" s="70" t="s">
        <v>3457</v>
      </c>
      <c r="F3929" s="70" t="s">
        <v>7374</v>
      </c>
      <c r="G3929" s="70" t="s">
        <v>7997</v>
      </c>
      <c r="H3929" s="93"/>
      <c r="I3929" s="85">
        <f t="shared" si="151"/>
        <v>2.6910814921229687</v>
      </c>
      <c r="J3929" s="85">
        <v>491</v>
      </c>
      <c r="K3929" s="131" t="s">
        <v>6630</v>
      </c>
      <c r="L3929" s="67">
        <v>60</v>
      </c>
      <c r="M3929" s="33" t="s">
        <v>6728</v>
      </c>
    </row>
    <row r="3930" spans="1:14" ht="14" x14ac:dyDescent="0.15">
      <c r="A3930" s="166" t="s">
        <v>2481</v>
      </c>
      <c r="B3930" s="93" t="s">
        <v>7268</v>
      </c>
      <c r="C3930" s="70" t="s">
        <v>3636</v>
      </c>
      <c r="D3930" s="70" t="s">
        <v>3437</v>
      </c>
      <c r="E3930" s="70" t="s">
        <v>3457</v>
      </c>
      <c r="F3930" s="70" t="s">
        <v>4707</v>
      </c>
      <c r="G3930" s="70" t="s">
        <v>5350</v>
      </c>
      <c r="H3930" s="93"/>
      <c r="I3930" s="85">
        <f t="shared" si="151"/>
        <v>1.3053513694466237</v>
      </c>
      <c r="J3930" s="85">
        <v>20.2</v>
      </c>
      <c r="K3930" s="131" t="s">
        <v>3177</v>
      </c>
      <c r="L3930" s="60">
        <v>77</v>
      </c>
      <c r="M3930" s="49" t="s">
        <v>6390</v>
      </c>
    </row>
    <row r="3931" spans="1:14" ht="16" x14ac:dyDescent="0.2">
      <c r="A3931" s="166" t="s">
        <v>2481</v>
      </c>
      <c r="B3931" s="93" t="s">
        <v>2178</v>
      </c>
      <c r="C3931" s="70" t="s">
        <v>3636</v>
      </c>
      <c r="D3931" s="70" t="s">
        <v>3437</v>
      </c>
      <c r="E3931" s="70" t="s">
        <v>3457</v>
      </c>
      <c r="F3931" s="70" t="s">
        <v>5034</v>
      </c>
      <c r="G3931" s="70" t="s">
        <v>5945</v>
      </c>
      <c r="H3931" s="93"/>
      <c r="I3931" s="85">
        <f t="shared" si="151"/>
        <v>3.4771212547196626</v>
      </c>
      <c r="J3931" s="85">
        <f>1000*AVERAGE(2, 4)</f>
        <v>3000</v>
      </c>
      <c r="K3931" s="131" t="s">
        <v>3177</v>
      </c>
      <c r="L3931" s="60">
        <v>60</v>
      </c>
      <c r="M3931" s="47"/>
    </row>
    <row r="3932" spans="1:14" ht="14" x14ac:dyDescent="0.15">
      <c r="A3932" s="166" t="s">
        <v>2481</v>
      </c>
      <c r="B3932" s="93" t="s">
        <v>5852</v>
      </c>
      <c r="C3932" s="70" t="s">
        <v>3636</v>
      </c>
      <c r="D3932" s="70" t="s">
        <v>3437</v>
      </c>
      <c r="E3932" s="70" t="s">
        <v>3457</v>
      </c>
      <c r="F3932" s="70" t="s">
        <v>7888</v>
      </c>
      <c r="G3932" s="70" t="s">
        <v>5841</v>
      </c>
      <c r="H3932" s="93"/>
      <c r="I3932" s="85">
        <f t="shared" si="151"/>
        <v>2.0881360887005513</v>
      </c>
      <c r="J3932" s="85">
        <v>122.5</v>
      </c>
      <c r="K3932" s="131" t="s">
        <v>3177</v>
      </c>
      <c r="L3932" s="60">
        <v>121</v>
      </c>
      <c r="M3932" s="33" t="s">
        <v>6728</v>
      </c>
    </row>
    <row r="3933" spans="1:14" ht="14" x14ac:dyDescent="0.15">
      <c r="A3933" s="166" t="s">
        <v>2481</v>
      </c>
      <c r="B3933" s="93" t="s">
        <v>5852</v>
      </c>
      <c r="C3933" s="70" t="s">
        <v>3636</v>
      </c>
      <c r="D3933" s="70" t="s">
        <v>3437</v>
      </c>
      <c r="E3933" s="70" t="s">
        <v>3457</v>
      </c>
      <c r="F3933" s="70" t="s">
        <v>7888</v>
      </c>
      <c r="G3933" s="70" t="s">
        <v>5101</v>
      </c>
      <c r="H3933" s="93"/>
      <c r="I3933" s="85">
        <f t="shared" si="151"/>
        <v>2.271841606536499</v>
      </c>
      <c r="J3933" s="85">
        <v>187</v>
      </c>
      <c r="K3933" s="131" t="s">
        <v>3177</v>
      </c>
      <c r="L3933" s="60">
        <v>60</v>
      </c>
      <c r="M3933" s="33"/>
    </row>
    <row r="3934" spans="1:14" ht="14" x14ac:dyDescent="0.15">
      <c r="A3934" s="166" t="s">
        <v>2481</v>
      </c>
      <c r="B3934" s="93" t="s">
        <v>7040</v>
      </c>
      <c r="C3934" s="70" t="s">
        <v>3636</v>
      </c>
      <c r="D3934" s="70" t="s">
        <v>3437</v>
      </c>
      <c r="E3934" s="70" t="s">
        <v>3457</v>
      </c>
      <c r="F3934" s="70" t="s">
        <v>5102</v>
      </c>
      <c r="G3934" s="70" t="s">
        <v>4537</v>
      </c>
      <c r="H3934" s="93"/>
      <c r="I3934" s="85">
        <v>-999</v>
      </c>
      <c r="J3934" s="85">
        <v>-999</v>
      </c>
      <c r="K3934" s="131" t="s">
        <v>3177</v>
      </c>
      <c r="L3934" s="60">
        <v>-999</v>
      </c>
      <c r="M3934" s="33"/>
    </row>
    <row r="3935" spans="1:14" ht="16" x14ac:dyDescent="0.2">
      <c r="A3935" s="166" t="s">
        <v>2481</v>
      </c>
      <c r="B3935" s="93" t="s">
        <v>7040</v>
      </c>
      <c r="C3935" s="70" t="s">
        <v>3636</v>
      </c>
      <c r="D3935" s="70" t="s">
        <v>3437</v>
      </c>
      <c r="E3935" s="70" t="s">
        <v>3457</v>
      </c>
      <c r="F3935" s="70" t="s">
        <v>5102</v>
      </c>
      <c r="G3935" s="70" t="s">
        <v>8033</v>
      </c>
      <c r="H3935" s="93"/>
      <c r="I3935" s="85">
        <v>-999</v>
      </c>
      <c r="J3935" s="85">
        <v>-999</v>
      </c>
      <c r="K3935" s="131" t="s">
        <v>3177</v>
      </c>
      <c r="L3935" s="60">
        <v>-999</v>
      </c>
      <c r="M3935" s="47"/>
    </row>
    <row r="3936" spans="1:14" ht="16" x14ac:dyDescent="0.2">
      <c r="A3936" s="166" t="s">
        <v>2481</v>
      </c>
      <c r="B3936" s="93" t="s">
        <v>7040</v>
      </c>
      <c r="C3936" s="70" t="s">
        <v>3636</v>
      </c>
      <c r="D3936" s="70" t="s">
        <v>3437</v>
      </c>
      <c r="E3936" s="70" t="s">
        <v>3457</v>
      </c>
      <c r="F3936" s="70" t="s">
        <v>5102</v>
      </c>
      <c r="G3936" s="70" t="s">
        <v>8034</v>
      </c>
      <c r="H3936" s="93"/>
      <c r="I3936" s="85">
        <v>-999</v>
      </c>
      <c r="J3936" s="85">
        <v>-999</v>
      </c>
      <c r="K3936" s="131" t="s">
        <v>3177</v>
      </c>
      <c r="L3936" s="60">
        <v>-999</v>
      </c>
      <c r="M3936" s="47"/>
    </row>
    <row r="3937" spans="1:13" ht="28" x14ac:dyDescent="0.15">
      <c r="A3937" s="166" t="s">
        <v>2481</v>
      </c>
      <c r="B3937" s="93" t="s">
        <v>1284</v>
      </c>
      <c r="C3937" s="70" t="s">
        <v>3636</v>
      </c>
      <c r="D3937" s="70" t="s">
        <v>3437</v>
      </c>
      <c r="E3937" s="70" t="s">
        <v>3457</v>
      </c>
      <c r="F3937" s="70" t="s">
        <v>5102</v>
      </c>
      <c r="G3937" s="70" t="s">
        <v>5096</v>
      </c>
      <c r="H3937" s="93"/>
      <c r="I3937" s="85">
        <f>LOG(J3937)</f>
        <v>2.5987905067631152</v>
      </c>
      <c r="J3937" s="85">
        <f>(411+383)/2</f>
        <v>397</v>
      </c>
      <c r="K3937" s="131" t="s">
        <v>3177</v>
      </c>
      <c r="L3937" s="60">
        <v>110</v>
      </c>
      <c r="M3937" s="33" t="s">
        <v>1513</v>
      </c>
    </row>
    <row r="3938" spans="1:13" ht="28" x14ac:dyDescent="0.15">
      <c r="A3938" s="166" t="s">
        <v>2481</v>
      </c>
      <c r="B3938" s="93" t="s">
        <v>1284</v>
      </c>
      <c r="C3938" s="70" t="s">
        <v>3636</v>
      </c>
      <c r="D3938" s="70" t="s">
        <v>3437</v>
      </c>
      <c r="E3938" s="70" t="s">
        <v>3457</v>
      </c>
      <c r="F3938" s="70" t="s">
        <v>5102</v>
      </c>
      <c r="G3938" s="70" t="s">
        <v>4970</v>
      </c>
      <c r="H3938" s="93"/>
      <c r="I3938" s="85">
        <f>LOG(J3938)</f>
        <v>3</v>
      </c>
      <c r="J3938" s="85">
        <v>1000</v>
      </c>
      <c r="K3938" s="131" t="s">
        <v>3177</v>
      </c>
      <c r="L3938" s="60">
        <v>110</v>
      </c>
      <c r="M3938" s="33" t="s">
        <v>6390</v>
      </c>
    </row>
    <row r="3939" spans="1:13" ht="14" x14ac:dyDescent="0.15">
      <c r="A3939" s="166" t="s">
        <v>2481</v>
      </c>
      <c r="B3939" s="93" t="s">
        <v>5005</v>
      </c>
      <c r="C3939" s="70" t="s">
        <v>3636</v>
      </c>
      <c r="D3939" s="70" t="s">
        <v>3437</v>
      </c>
      <c r="E3939" s="70" t="s">
        <v>3457</v>
      </c>
      <c r="F3939" s="70" t="s">
        <v>7426</v>
      </c>
      <c r="G3939" s="70" t="s">
        <v>7427</v>
      </c>
      <c r="H3939" s="93"/>
      <c r="I3939" s="85">
        <v>-999</v>
      </c>
      <c r="J3939" s="85">
        <v>-999</v>
      </c>
      <c r="K3939" s="131" t="s">
        <v>3177</v>
      </c>
      <c r="L3939" s="60">
        <v>-999</v>
      </c>
      <c r="M3939" s="33" t="s">
        <v>6653</v>
      </c>
    </row>
    <row r="3940" spans="1:13" ht="14" x14ac:dyDescent="0.15">
      <c r="A3940" s="166" t="s">
        <v>2481</v>
      </c>
      <c r="B3940" s="82" t="s">
        <v>2330</v>
      </c>
      <c r="C3940" s="70" t="s">
        <v>3636</v>
      </c>
      <c r="D3940" s="70" t="s">
        <v>3437</v>
      </c>
      <c r="E3940" s="70" t="s">
        <v>3457</v>
      </c>
      <c r="F3940" s="70" t="s">
        <v>7406</v>
      </c>
      <c r="G3940" s="70" t="s">
        <v>5028</v>
      </c>
      <c r="H3940" s="93"/>
      <c r="I3940" s="85">
        <v>-999</v>
      </c>
      <c r="J3940" s="85">
        <v>-999</v>
      </c>
      <c r="K3940" s="131" t="s">
        <v>3177</v>
      </c>
      <c r="L3940" s="60">
        <v>-999</v>
      </c>
      <c r="M3940" s="33" t="s">
        <v>6392</v>
      </c>
    </row>
    <row r="3941" spans="1:13" ht="14" x14ac:dyDescent="0.15">
      <c r="A3941" s="166" t="s">
        <v>2481</v>
      </c>
      <c r="B3941" s="82" t="s">
        <v>7041</v>
      </c>
      <c r="C3941" s="70" t="s">
        <v>3636</v>
      </c>
      <c r="D3941" s="70" t="s">
        <v>3437</v>
      </c>
      <c r="E3941" s="70" t="s">
        <v>3457</v>
      </c>
      <c r="F3941" s="70" t="s">
        <v>7498</v>
      </c>
      <c r="G3941" s="70" t="s">
        <v>6048</v>
      </c>
      <c r="H3941" s="93"/>
      <c r="I3941" s="85">
        <v>-999</v>
      </c>
      <c r="J3941" s="85">
        <v>-999</v>
      </c>
      <c r="K3941" s="131" t="s">
        <v>3177</v>
      </c>
      <c r="L3941" s="60">
        <v>-999</v>
      </c>
      <c r="M3941" s="33"/>
    </row>
    <row r="3942" spans="1:13" ht="28" x14ac:dyDescent="0.15">
      <c r="A3942" s="166" t="s">
        <v>2481</v>
      </c>
      <c r="B3942" s="93" t="s">
        <v>2078</v>
      </c>
      <c r="C3942" s="70" t="s">
        <v>3636</v>
      </c>
      <c r="D3942" s="70" t="s">
        <v>3437</v>
      </c>
      <c r="E3942" s="70" t="s">
        <v>3457</v>
      </c>
      <c r="F3942" s="70" t="s">
        <v>7498</v>
      </c>
      <c r="G3942" s="70" t="s">
        <v>4150</v>
      </c>
      <c r="H3942" s="93"/>
      <c r="I3942" s="85">
        <f t="shared" ref="I3942:I3955" si="152">LOG(J3942)</f>
        <v>1.6637009253896482</v>
      </c>
      <c r="J3942" s="85">
        <f>AVERAGE(49.9, 42.3)</f>
        <v>46.099999999999994</v>
      </c>
      <c r="K3942" s="131" t="s">
        <v>6678</v>
      </c>
      <c r="L3942" s="60">
        <v>151</v>
      </c>
      <c r="M3942" s="37"/>
    </row>
    <row r="3943" spans="1:13" ht="28" x14ac:dyDescent="0.15">
      <c r="A3943" s="166" t="s">
        <v>2481</v>
      </c>
      <c r="B3943" s="93" t="s">
        <v>2078</v>
      </c>
      <c r="C3943" s="70" t="s">
        <v>3636</v>
      </c>
      <c r="D3943" s="70" t="s">
        <v>3437</v>
      </c>
      <c r="E3943" s="70" t="s">
        <v>3457</v>
      </c>
      <c r="F3943" s="70" t="s">
        <v>7498</v>
      </c>
      <c r="G3943" s="70" t="s">
        <v>4024</v>
      </c>
      <c r="H3943" s="93"/>
      <c r="I3943" s="85">
        <f t="shared" si="152"/>
        <v>1.8082109729242219</v>
      </c>
      <c r="J3943" s="85">
        <f>AVERAGE(69.6, 59)</f>
        <v>64.3</v>
      </c>
      <c r="K3943" s="131" t="s">
        <v>6680</v>
      </c>
      <c r="L3943" s="60">
        <v>151</v>
      </c>
      <c r="M3943" s="37"/>
    </row>
    <row r="3944" spans="1:13" ht="28" x14ac:dyDescent="0.15">
      <c r="A3944" s="166" t="s">
        <v>2481</v>
      </c>
      <c r="B3944" s="93" t="s">
        <v>2078</v>
      </c>
      <c r="C3944" s="70" t="s">
        <v>3636</v>
      </c>
      <c r="D3944" s="70" t="s">
        <v>3437</v>
      </c>
      <c r="E3944" s="70" t="s">
        <v>3457</v>
      </c>
      <c r="F3944" s="70" t="s">
        <v>7498</v>
      </c>
      <c r="G3944" s="70" t="s">
        <v>4913</v>
      </c>
      <c r="H3944" s="93"/>
      <c r="I3944" s="85">
        <f t="shared" si="152"/>
        <v>1.8276922886744456</v>
      </c>
      <c r="J3944" s="85">
        <f>AVERAGE(71, 63.5)</f>
        <v>67.25</v>
      </c>
      <c r="K3944" s="131" t="s">
        <v>6616</v>
      </c>
      <c r="L3944" s="60">
        <v>151</v>
      </c>
      <c r="M3944" s="37"/>
    </row>
    <row r="3945" spans="1:13" ht="154" x14ac:dyDescent="0.15">
      <c r="A3945" s="166" t="s">
        <v>2481</v>
      </c>
      <c r="B3945" s="93" t="s">
        <v>2078</v>
      </c>
      <c r="C3945" s="70" t="s">
        <v>3636</v>
      </c>
      <c r="D3945" s="70" t="s">
        <v>3437</v>
      </c>
      <c r="E3945" s="70" t="s">
        <v>3457</v>
      </c>
      <c r="F3945" s="70" t="s">
        <v>7498</v>
      </c>
      <c r="G3945" s="70" t="s">
        <v>6836</v>
      </c>
      <c r="H3945" s="93"/>
      <c r="I3945" s="85">
        <f t="shared" si="152"/>
        <v>1.8561244442423004</v>
      </c>
      <c r="J3945" s="85">
        <v>71.8</v>
      </c>
      <c r="K3945" s="131" t="s">
        <v>6681</v>
      </c>
      <c r="L3945" s="60">
        <v>151</v>
      </c>
      <c r="M3945" s="37" t="s">
        <v>6679</v>
      </c>
    </row>
    <row r="3946" spans="1:13" ht="28" x14ac:dyDescent="0.15">
      <c r="A3946" s="166" t="s">
        <v>2481</v>
      </c>
      <c r="B3946" s="93" t="s">
        <v>2078</v>
      </c>
      <c r="C3946" s="70" t="s">
        <v>3636</v>
      </c>
      <c r="D3946" s="70" t="s">
        <v>3437</v>
      </c>
      <c r="E3946" s="70" t="s">
        <v>3457</v>
      </c>
      <c r="F3946" s="70" t="s">
        <v>7498</v>
      </c>
      <c r="G3946" s="70" t="s">
        <v>5801</v>
      </c>
      <c r="H3946" s="93"/>
      <c r="I3946" s="85">
        <f t="shared" si="152"/>
        <v>2.0354297381845483</v>
      </c>
      <c r="J3946" s="85">
        <f>AVERAGE(102, 115)</f>
        <v>108.5</v>
      </c>
      <c r="K3946" s="131" t="s">
        <v>6635</v>
      </c>
      <c r="L3946" s="60">
        <v>151</v>
      </c>
      <c r="M3946" s="37"/>
    </row>
    <row r="3947" spans="1:13" ht="14" x14ac:dyDescent="0.15">
      <c r="A3947" s="170" t="s">
        <v>2481</v>
      </c>
      <c r="B3947" s="82" t="s">
        <v>2018</v>
      </c>
      <c r="C3947" s="81" t="s">
        <v>3636</v>
      </c>
      <c r="D3947" s="81" t="s">
        <v>3437</v>
      </c>
      <c r="E3947" s="83" t="s">
        <v>3457</v>
      </c>
      <c r="F3947" s="81" t="s">
        <v>5693</v>
      </c>
      <c r="G3947" s="81" t="s">
        <v>5396</v>
      </c>
      <c r="H3947" s="82"/>
      <c r="I3947" s="85">
        <f t="shared" si="152"/>
        <v>2.3371396627245611</v>
      </c>
      <c r="J3947" s="111">
        <f>AVERAGE(160, 305, 244, 232.5, 219, 208.5, 113, 165.8, 274.1, 251.5)</f>
        <v>217.34</v>
      </c>
      <c r="K3947" s="139"/>
      <c r="L3947" s="72" t="s">
        <v>1382</v>
      </c>
      <c r="M3947" s="31"/>
    </row>
    <row r="3948" spans="1:13" ht="14" x14ac:dyDescent="0.15">
      <c r="A3948" s="70" t="s">
        <v>2481</v>
      </c>
      <c r="B3948" s="93" t="s">
        <v>2426</v>
      </c>
      <c r="C3948" s="70" t="s">
        <v>3636</v>
      </c>
      <c r="D3948" s="70" t="s">
        <v>3437</v>
      </c>
      <c r="E3948" s="70" t="s">
        <v>3457</v>
      </c>
      <c r="F3948" s="70" t="s">
        <v>5693</v>
      </c>
      <c r="G3948" s="70" t="s">
        <v>6454</v>
      </c>
      <c r="H3948" s="93"/>
      <c r="I3948" s="85">
        <f t="shared" si="152"/>
        <v>2.5575072019056577</v>
      </c>
      <c r="J3948" s="85">
        <v>361</v>
      </c>
      <c r="K3948" s="131" t="s">
        <v>3177</v>
      </c>
      <c r="L3948" s="60">
        <v>60</v>
      </c>
      <c r="M3948" s="33" t="s">
        <v>6390</v>
      </c>
    </row>
    <row r="3949" spans="1:13" ht="16" x14ac:dyDescent="0.2">
      <c r="A3949" s="166" t="s">
        <v>2481</v>
      </c>
      <c r="B3949" s="93" t="s">
        <v>2178</v>
      </c>
      <c r="C3949" s="70" t="s">
        <v>3636</v>
      </c>
      <c r="D3949" s="70" t="s">
        <v>3437</v>
      </c>
      <c r="E3949" s="70" t="s">
        <v>3457</v>
      </c>
      <c r="F3949" s="70" t="s">
        <v>5693</v>
      </c>
      <c r="G3949" s="70" t="s">
        <v>6579</v>
      </c>
      <c r="H3949" s="93"/>
      <c r="I3949" s="85">
        <f t="shared" si="152"/>
        <v>2.6216954623292787</v>
      </c>
      <c r="J3949" s="85">
        <f>AVERAGE(237, 600)</f>
        <v>418.5</v>
      </c>
      <c r="K3949" s="131" t="s">
        <v>3177</v>
      </c>
      <c r="L3949" s="60">
        <v>118</v>
      </c>
      <c r="M3949" s="47"/>
    </row>
    <row r="3950" spans="1:13" ht="14" x14ac:dyDescent="0.15">
      <c r="A3950" s="166" t="s">
        <v>2481</v>
      </c>
      <c r="B3950" s="93" t="s">
        <v>2428</v>
      </c>
      <c r="C3950" s="70" t="s">
        <v>3636</v>
      </c>
      <c r="D3950" s="70" t="s">
        <v>3437</v>
      </c>
      <c r="E3950" s="70" t="s">
        <v>3457</v>
      </c>
      <c r="F3950" s="70" t="s">
        <v>6134</v>
      </c>
      <c r="G3950" s="70" t="s">
        <v>5050</v>
      </c>
      <c r="H3950" s="93"/>
      <c r="I3950" s="85">
        <f t="shared" si="152"/>
        <v>2.1398790864012365</v>
      </c>
      <c r="J3950" s="85">
        <v>138</v>
      </c>
      <c r="K3950" s="131" t="s">
        <v>3177</v>
      </c>
      <c r="L3950" s="60">
        <v>60</v>
      </c>
      <c r="M3950" s="33" t="s">
        <v>6392</v>
      </c>
    </row>
    <row r="3951" spans="1:13" ht="14" x14ac:dyDescent="0.15">
      <c r="A3951" s="166" t="s">
        <v>2481</v>
      </c>
      <c r="B3951" s="93" t="s">
        <v>2428</v>
      </c>
      <c r="C3951" s="70" t="s">
        <v>3636</v>
      </c>
      <c r="D3951" s="70" t="s">
        <v>3437</v>
      </c>
      <c r="E3951" s="70" t="s">
        <v>3457</v>
      </c>
      <c r="F3951" s="70" t="s">
        <v>6134</v>
      </c>
      <c r="G3951" s="70" t="s">
        <v>5049</v>
      </c>
      <c r="H3951" s="93"/>
      <c r="I3951" s="85">
        <f t="shared" si="152"/>
        <v>2.2922560713564759</v>
      </c>
      <c r="J3951" s="85">
        <v>196</v>
      </c>
      <c r="K3951" s="131" t="s">
        <v>3177</v>
      </c>
      <c r="L3951" s="60">
        <v>60</v>
      </c>
      <c r="M3951" s="33" t="s">
        <v>6728</v>
      </c>
    </row>
    <row r="3952" spans="1:13" ht="14" x14ac:dyDescent="0.15">
      <c r="A3952" s="166" t="s">
        <v>2481</v>
      </c>
      <c r="B3952" s="82" t="s">
        <v>2189</v>
      </c>
      <c r="C3952" s="70" t="s">
        <v>3636</v>
      </c>
      <c r="D3952" s="70" t="s">
        <v>3437</v>
      </c>
      <c r="E3952" s="70" t="s">
        <v>3457</v>
      </c>
      <c r="F3952" s="70" t="s">
        <v>6134</v>
      </c>
      <c r="G3952" s="70" t="s">
        <v>5113</v>
      </c>
      <c r="H3952" s="93"/>
      <c r="I3952" s="85">
        <f t="shared" si="152"/>
        <v>2.3560258571931225</v>
      </c>
      <c r="J3952" s="85">
        <v>227</v>
      </c>
      <c r="K3952" s="131" t="s">
        <v>3177</v>
      </c>
      <c r="L3952" s="60">
        <v>60</v>
      </c>
      <c r="M3952" s="33" t="s">
        <v>6728</v>
      </c>
    </row>
    <row r="3953" spans="1:15" ht="14" x14ac:dyDescent="0.15">
      <c r="A3953" s="166" t="s">
        <v>2481</v>
      </c>
      <c r="B3953" s="93" t="s">
        <v>2428</v>
      </c>
      <c r="C3953" s="70" t="s">
        <v>3636</v>
      </c>
      <c r="D3953" s="70" t="s">
        <v>3437</v>
      </c>
      <c r="E3953" s="70" t="s">
        <v>3457</v>
      </c>
      <c r="F3953" s="70" t="s">
        <v>6134</v>
      </c>
      <c r="G3953" s="70" t="s">
        <v>5186</v>
      </c>
      <c r="H3953" s="93"/>
      <c r="I3953" s="85">
        <f t="shared" si="152"/>
        <v>2.3926969532596658</v>
      </c>
      <c r="J3953" s="85">
        <v>247</v>
      </c>
      <c r="K3953" s="131" t="s">
        <v>3177</v>
      </c>
      <c r="L3953" s="60">
        <v>60</v>
      </c>
      <c r="M3953" s="33"/>
    </row>
    <row r="3954" spans="1:15" ht="14" x14ac:dyDescent="0.15">
      <c r="A3954" s="166" t="s">
        <v>2481</v>
      </c>
      <c r="B3954" s="82" t="s">
        <v>2428</v>
      </c>
      <c r="C3954" s="70" t="s">
        <v>3636</v>
      </c>
      <c r="D3954" s="73" t="s">
        <v>3437</v>
      </c>
      <c r="E3954" s="73" t="s">
        <v>3457</v>
      </c>
      <c r="F3954" s="73" t="s">
        <v>6134</v>
      </c>
      <c r="G3954" s="73" t="s">
        <v>5048</v>
      </c>
      <c r="H3954" s="93"/>
      <c r="I3954" s="85">
        <f t="shared" si="152"/>
        <v>2.4329692908744058</v>
      </c>
      <c r="J3954" s="95">
        <v>271</v>
      </c>
      <c r="K3954" s="131" t="s">
        <v>3177</v>
      </c>
      <c r="L3954" s="60">
        <v>60</v>
      </c>
      <c r="M3954" s="33"/>
    </row>
    <row r="3955" spans="1:15" ht="14" x14ac:dyDescent="0.15">
      <c r="A3955" s="166" t="s">
        <v>2481</v>
      </c>
      <c r="B3955" s="82" t="s">
        <v>2428</v>
      </c>
      <c r="C3955" s="70" t="s">
        <v>3636</v>
      </c>
      <c r="D3955" s="70" t="s">
        <v>3437</v>
      </c>
      <c r="E3955" s="70" t="s">
        <v>3457</v>
      </c>
      <c r="F3955" s="70" t="s">
        <v>6134</v>
      </c>
      <c r="G3955" s="70" t="s">
        <v>6242</v>
      </c>
      <c r="H3955" s="93"/>
      <c r="I3955" s="85">
        <f t="shared" si="152"/>
        <v>2.509202522331103</v>
      </c>
      <c r="J3955" s="85">
        <v>323</v>
      </c>
      <c r="K3955" s="131" t="s">
        <v>3177</v>
      </c>
      <c r="L3955" s="60">
        <v>60</v>
      </c>
      <c r="M3955" s="33"/>
    </row>
    <row r="3956" spans="1:15" ht="14" x14ac:dyDescent="0.15">
      <c r="A3956" s="166" t="s">
        <v>2481</v>
      </c>
      <c r="B3956" s="93" t="s">
        <v>5852</v>
      </c>
      <c r="C3956" s="70" t="s">
        <v>3636</v>
      </c>
      <c r="D3956" s="70" t="s">
        <v>3437</v>
      </c>
      <c r="E3956" s="70" t="s">
        <v>3457</v>
      </c>
      <c r="F3956" s="70" t="s">
        <v>5187</v>
      </c>
      <c r="G3956" s="70" t="s">
        <v>5188</v>
      </c>
      <c r="H3956" s="93"/>
      <c r="I3956" s="85">
        <v>-999</v>
      </c>
      <c r="J3956" s="85">
        <v>-999</v>
      </c>
      <c r="K3956" s="131" t="s">
        <v>3177</v>
      </c>
      <c r="L3956" s="60">
        <v>-999</v>
      </c>
      <c r="M3956" s="33"/>
    </row>
    <row r="3957" spans="1:15" ht="17" x14ac:dyDescent="0.2">
      <c r="A3957" s="166" t="s">
        <v>2481</v>
      </c>
      <c r="B3957" s="93" t="s">
        <v>5852</v>
      </c>
      <c r="C3957" s="70" t="s">
        <v>3636</v>
      </c>
      <c r="D3957" s="70" t="s">
        <v>3437</v>
      </c>
      <c r="E3957" s="70" t="s">
        <v>3457</v>
      </c>
      <c r="F3957" s="70" t="s">
        <v>5187</v>
      </c>
      <c r="G3957" s="70" t="s">
        <v>5220</v>
      </c>
      <c r="H3957" s="93"/>
      <c r="I3957" s="85">
        <v>-999</v>
      </c>
      <c r="J3957" s="85">
        <v>-999</v>
      </c>
      <c r="K3957" s="131" t="s">
        <v>3177</v>
      </c>
      <c r="L3957" s="60">
        <v>-999</v>
      </c>
      <c r="M3957" s="47" t="s">
        <v>6728</v>
      </c>
    </row>
    <row r="3958" spans="1:15" ht="14" x14ac:dyDescent="0.15">
      <c r="A3958" s="166" t="s">
        <v>2481</v>
      </c>
      <c r="B3958" s="93" t="s">
        <v>2487</v>
      </c>
      <c r="C3958" s="70" t="s">
        <v>3636</v>
      </c>
      <c r="D3958" s="70" t="s">
        <v>3437</v>
      </c>
      <c r="E3958" s="70" t="s">
        <v>3457</v>
      </c>
      <c r="F3958" s="70" t="s">
        <v>5219</v>
      </c>
      <c r="G3958" s="70" t="s">
        <v>4779</v>
      </c>
      <c r="H3958" s="93"/>
      <c r="I3958" s="85">
        <f>LOG(J3958)</f>
        <v>1.6304278750250238</v>
      </c>
      <c r="J3958" s="85">
        <v>42.7</v>
      </c>
      <c r="K3958" s="131" t="s">
        <v>3177</v>
      </c>
      <c r="L3958" s="60">
        <v>60</v>
      </c>
      <c r="M3958" s="33" t="s">
        <v>6728</v>
      </c>
    </row>
    <row r="3959" spans="1:15" ht="14" x14ac:dyDescent="0.15">
      <c r="A3959" s="166" t="s">
        <v>2481</v>
      </c>
      <c r="B3959" s="93" t="s">
        <v>2487</v>
      </c>
      <c r="C3959" s="70" t="s">
        <v>3636</v>
      </c>
      <c r="D3959" s="70" t="s">
        <v>3437</v>
      </c>
      <c r="E3959" s="70" t="s">
        <v>3457</v>
      </c>
      <c r="F3959" s="70" t="s">
        <v>5219</v>
      </c>
      <c r="G3959" s="70" t="s">
        <v>5440</v>
      </c>
      <c r="H3959" s="93"/>
      <c r="I3959" s="85">
        <f>LOG(J3959)</f>
        <v>1.9180303367848801</v>
      </c>
      <c r="J3959" s="85">
        <v>82.8</v>
      </c>
      <c r="K3959" s="131" t="s">
        <v>3177</v>
      </c>
      <c r="L3959" s="60">
        <v>60</v>
      </c>
      <c r="M3959" s="33" t="s">
        <v>6728</v>
      </c>
    </row>
    <row r="3960" spans="1:15" ht="14" x14ac:dyDescent="0.15">
      <c r="A3960" s="166" t="s">
        <v>2481</v>
      </c>
      <c r="B3960" s="82" t="s">
        <v>2330</v>
      </c>
      <c r="C3960" s="70" t="s">
        <v>3636</v>
      </c>
      <c r="D3960" s="70" t="s">
        <v>3437</v>
      </c>
      <c r="E3960" s="70" t="s">
        <v>3457</v>
      </c>
      <c r="F3960" s="70" t="s">
        <v>3309</v>
      </c>
      <c r="G3960" s="70" t="s">
        <v>3926</v>
      </c>
      <c r="H3960" s="93"/>
      <c r="I3960" s="85">
        <f>LOG(J3960)</f>
        <v>2.2243387908596555</v>
      </c>
      <c r="J3960" s="85">
        <f>AVERAGE(165, ((6/16)*454))</f>
        <v>167.625</v>
      </c>
      <c r="K3960" s="131"/>
      <c r="L3960" s="60" t="s">
        <v>1521</v>
      </c>
      <c r="M3960" s="33"/>
      <c r="O3960" s="33"/>
    </row>
    <row r="3961" spans="1:15" ht="14" x14ac:dyDescent="0.15">
      <c r="A3961" s="166" t="s">
        <v>2481</v>
      </c>
      <c r="B3961" s="82" t="s">
        <v>5797</v>
      </c>
      <c r="C3961" s="70" t="s">
        <v>3636</v>
      </c>
      <c r="D3961" s="70" t="s">
        <v>3437</v>
      </c>
      <c r="E3961" s="70" t="s">
        <v>3457</v>
      </c>
      <c r="F3961" s="70" t="s">
        <v>5442</v>
      </c>
      <c r="G3961" s="70" t="s">
        <v>8008</v>
      </c>
      <c r="H3961" s="93"/>
      <c r="I3961" s="85">
        <f>LOG(J3961)</f>
        <v>2.1126050015345745</v>
      </c>
      <c r="J3961" s="85">
        <v>129.6</v>
      </c>
      <c r="K3961" s="131" t="s">
        <v>6630</v>
      </c>
      <c r="L3961" s="60">
        <v>185</v>
      </c>
      <c r="M3961" s="33" t="s">
        <v>6390</v>
      </c>
    </row>
    <row r="3962" spans="1:15" ht="14" x14ac:dyDescent="0.15">
      <c r="A3962" s="166" t="s">
        <v>2481</v>
      </c>
      <c r="B3962" s="82" t="s">
        <v>5797</v>
      </c>
      <c r="C3962" s="70" t="s">
        <v>3636</v>
      </c>
      <c r="D3962" s="70" t="s">
        <v>3437</v>
      </c>
      <c r="E3962" s="70" t="s">
        <v>3457</v>
      </c>
      <c r="F3962" s="70" t="s">
        <v>5442</v>
      </c>
      <c r="G3962" s="70" t="s">
        <v>8007</v>
      </c>
      <c r="H3962" s="93"/>
      <c r="I3962" s="85">
        <f>LOG(J3962)</f>
        <v>2.2489536154957075</v>
      </c>
      <c r="J3962" s="85">
        <v>177.4</v>
      </c>
      <c r="K3962" s="131" t="s">
        <v>6630</v>
      </c>
      <c r="L3962" s="60">
        <v>185</v>
      </c>
      <c r="M3962" s="33" t="s">
        <v>6809</v>
      </c>
    </row>
    <row r="3963" spans="1:15" ht="14" x14ac:dyDescent="0.15">
      <c r="A3963" s="166" t="s">
        <v>2481</v>
      </c>
      <c r="B3963" s="82" t="s">
        <v>5852</v>
      </c>
      <c r="C3963" s="70" t="s">
        <v>3636</v>
      </c>
      <c r="D3963" s="70" t="s">
        <v>3437</v>
      </c>
      <c r="E3963" s="70" t="s">
        <v>3457</v>
      </c>
      <c r="F3963" s="70" t="s">
        <v>6327</v>
      </c>
      <c r="G3963" s="70" t="s">
        <v>3776</v>
      </c>
      <c r="H3963" s="93"/>
      <c r="I3963" s="85">
        <v>-999</v>
      </c>
      <c r="J3963" s="85">
        <v>-999</v>
      </c>
      <c r="K3963" s="131" t="s">
        <v>3177</v>
      </c>
      <c r="L3963" s="63">
        <v>-999</v>
      </c>
      <c r="M3963" s="33" t="s">
        <v>6728</v>
      </c>
    </row>
    <row r="3964" spans="1:15" ht="14" x14ac:dyDescent="0.15">
      <c r="A3964" s="166" t="s">
        <v>2481</v>
      </c>
      <c r="B3964" s="93" t="s">
        <v>6668</v>
      </c>
      <c r="C3964" s="70" t="s">
        <v>3636</v>
      </c>
      <c r="D3964" s="70" t="s">
        <v>3437</v>
      </c>
      <c r="E3964" s="70" t="s">
        <v>3457</v>
      </c>
      <c r="F3964" s="70" t="s">
        <v>3557</v>
      </c>
      <c r="G3964" s="70" t="s">
        <v>6136</v>
      </c>
      <c r="H3964" s="93"/>
      <c r="I3964" s="85">
        <v>-999</v>
      </c>
      <c r="J3964" s="85">
        <v>-999</v>
      </c>
      <c r="K3964" s="131" t="s">
        <v>3177</v>
      </c>
      <c r="L3964" s="60">
        <v>-999</v>
      </c>
      <c r="M3964" s="33"/>
    </row>
    <row r="3965" spans="1:15" ht="14" x14ac:dyDescent="0.15">
      <c r="A3965" s="166" t="s">
        <v>2481</v>
      </c>
      <c r="B3965" s="93" t="s">
        <v>4240</v>
      </c>
      <c r="C3965" s="70" t="s">
        <v>3636</v>
      </c>
      <c r="D3965" s="70" t="s">
        <v>3437</v>
      </c>
      <c r="E3965" s="70" t="s">
        <v>3457</v>
      </c>
      <c r="F3965" s="70" t="s">
        <v>3557</v>
      </c>
      <c r="G3965" s="70" t="s">
        <v>1963</v>
      </c>
      <c r="H3965" s="93"/>
      <c r="I3965" s="85">
        <f t="shared" ref="I3965:I3970" si="153">LOG(J3965)</f>
        <v>2.6232492903979003</v>
      </c>
      <c r="J3965" s="85">
        <v>420</v>
      </c>
      <c r="K3965" s="131" t="s">
        <v>3177</v>
      </c>
      <c r="L3965" s="60">
        <v>110</v>
      </c>
      <c r="M3965" s="33" t="s">
        <v>6390</v>
      </c>
    </row>
    <row r="3966" spans="1:15" ht="28" x14ac:dyDescent="0.15">
      <c r="A3966" s="165" t="s">
        <v>2481</v>
      </c>
      <c r="B3966" s="93" t="s">
        <v>2078</v>
      </c>
      <c r="C3966" s="62" t="s">
        <v>3636</v>
      </c>
      <c r="D3966" s="62" t="s">
        <v>3437</v>
      </c>
      <c r="E3966" s="62" t="s">
        <v>3457</v>
      </c>
      <c r="F3966" s="62" t="s">
        <v>3557</v>
      </c>
      <c r="G3966" s="62" t="s">
        <v>6490</v>
      </c>
      <c r="H3966" s="97"/>
      <c r="I3966" s="85">
        <f t="shared" si="153"/>
        <v>2.7539658658651605</v>
      </c>
      <c r="J3966" s="98">
        <f>AVERAGE(518, 617)</f>
        <v>567.5</v>
      </c>
      <c r="K3966" s="135" t="s">
        <v>6639</v>
      </c>
      <c r="L3966" s="66">
        <v>151</v>
      </c>
      <c r="M3966" s="35"/>
    </row>
    <row r="3967" spans="1:15" ht="14" x14ac:dyDescent="0.15">
      <c r="A3967" s="166" t="s">
        <v>2481</v>
      </c>
      <c r="B3967" s="93" t="s">
        <v>1287</v>
      </c>
      <c r="C3967" s="70" t="s">
        <v>3636</v>
      </c>
      <c r="D3967" s="70" t="s">
        <v>3437</v>
      </c>
      <c r="E3967" s="70" t="s">
        <v>3457</v>
      </c>
      <c r="F3967" s="70" t="s">
        <v>3557</v>
      </c>
      <c r="G3967" s="70" t="s">
        <v>6135</v>
      </c>
      <c r="H3967" s="93"/>
      <c r="I3967" s="85">
        <f t="shared" si="153"/>
        <v>2.7871060930365701</v>
      </c>
      <c r="J3967" s="85">
        <f>(655+570)/2</f>
        <v>612.5</v>
      </c>
      <c r="K3967" s="131" t="s">
        <v>3177</v>
      </c>
      <c r="L3967" s="60">
        <v>110</v>
      </c>
      <c r="M3967" s="33" t="s">
        <v>1465</v>
      </c>
    </row>
    <row r="3968" spans="1:15" ht="42" x14ac:dyDescent="0.15">
      <c r="A3968" s="166" t="s">
        <v>2481</v>
      </c>
      <c r="B3968" s="93" t="s">
        <v>2078</v>
      </c>
      <c r="C3968" s="70" t="s">
        <v>3636</v>
      </c>
      <c r="D3968" s="70" t="s">
        <v>3437</v>
      </c>
      <c r="E3968" s="70" t="s">
        <v>3457</v>
      </c>
      <c r="F3968" s="70" t="s">
        <v>3557</v>
      </c>
      <c r="G3968" s="70" t="s">
        <v>6328</v>
      </c>
      <c r="H3968" s="93"/>
      <c r="I3968" s="85">
        <f t="shared" si="153"/>
        <v>2.8224949852787509</v>
      </c>
      <c r="J3968" s="85">
        <f>AVERAGE(879, 450)</f>
        <v>664.5</v>
      </c>
      <c r="L3968" s="60">
        <v>151</v>
      </c>
      <c r="M3968" s="37" t="s">
        <v>6392</v>
      </c>
      <c r="N3968" s="32" t="s">
        <v>6649</v>
      </c>
    </row>
    <row r="3969" spans="1:13" ht="14" x14ac:dyDescent="0.15">
      <c r="A3969" s="166" t="s">
        <v>2481</v>
      </c>
      <c r="B3969" s="93" t="s">
        <v>2330</v>
      </c>
      <c r="C3969" s="70" t="s">
        <v>3636</v>
      </c>
      <c r="D3969" s="70" t="s">
        <v>3437</v>
      </c>
      <c r="E3969" s="70" t="s">
        <v>3457</v>
      </c>
      <c r="F3969" s="70" t="s">
        <v>5042</v>
      </c>
      <c r="G3969" s="70" t="s">
        <v>5119</v>
      </c>
      <c r="H3969" s="93"/>
      <c r="I3969" s="85">
        <f t="shared" si="153"/>
        <v>1</v>
      </c>
      <c r="J3969" s="85">
        <f>1000*0.01</f>
        <v>10</v>
      </c>
      <c r="K3969" s="131" t="s">
        <v>3177</v>
      </c>
      <c r="L3969" s="60">
        <v>60</v>
      </c>
      <c r="M3969" s="33"/>
    </row>
    <row r="3970" spans="1:13" ht="14" x14ac:dyDescent="0.15">
      <c r="A3970" s="70" t="s">
        <v>2481</v>
      </c>
      <c r="B3970" s="93" t="s">
        <v>2330</v>
      </c>
      <c r="C3970" s="70" t="s">
        <v>3636</v>
      </c>
      <c r="D3970" s="70" t="s">
        <v>3437</v>
      </c>
      <c r="E3970" s="70" t="s">
        <v>3457</v>
      </c>
      <c r="F3970" s="70" t="s">
        <v>5042</v>
      </c>
      <c r="G3970" s="70" t="s">
        <v>5116</v>
      </c>
      <c r="H3970" s="93"/>
      <c r="I3970" s="85">
        <f t="shared" si="153"/>
        <v>1.7528164311882715</v>
      </c>
      <c r="J3970" s="85">
        <v>56.6</v>
      </c>
      <c r="K3970" s="134" t="s">
        <v>3177</v>
      </c>
      <c r="L3970" s="60">
        <v>60</v>
      </c>
      <c r="M3970" s="33" t="s">
        <v>6728</v>
      </c>
    </row>
    <row r="3971" spans="1:13" ht="14" x14ac:dyDescent="0.15">
      <c r="A3971" s="70" t="s">
        <v>2481</v>
      </c>
      <c r="B3971" s="93" t="s">
        <v>1856</v>
      </c>
      <c r="C3971" s="70" t="s">
        <v>3636</v>
      </c>
      <c r="D3971" s="70" t="s">
        <v>3437</v>
      </c>
      <c r="E3971" s="70" t="s">
        <v>3457</v>
      </c>
      <c r="F3971" s="70" t="s">
        <v>6450</v>
      </c>
      <c r="G3971" s="70" t="s">
        <v>6452</v>
      </c>
      <c r="H3971" s="93"/>
      <c r="I3971" s="85">
        <v>-999</v>
      </c>
      <c r="J3971" s="85">
        <v>-999</v>
      </c>
      <c r="K3971" s="131" t="s">
        <v>3177</v>
      </c>
      <c r="L3971" s="60">
        <v>-999</v>
      </c>
      <c r="M3971" s="33" t="s">
        <v>6728</v>
      </c>
    </row>
    <row r="3972" spans="1:13" ht="14" x14ac:dyDescent="0.15">
      <c r="A3972" s="166" t="s">
        <v>2481</v>
      </c>
      <c r="B3972" s="93" t="s">
        <v>2078</v>
      </c>
      <c r="C3972" s="70" t="s">
        <v>3636</v>
      </c>
      <c r="D3972" s="70" t="s">
        <v>3437</v>
      </c>
      <c r="E3972" s="70" t="s">
        <v>3457</v>
      </c>
      <c r="F3972" s="70" t="s">
        <v>5332</v>
      </c>
      <c r="G3972" s="70" t="s">
        <v>6011</v>
      </c>
      <c r="H3972" s="93"/>
      <c r="I3972" s="85">
        <f>LOG(J3972)</f>
        <v>3</v>
      </c>
      <c r="J3972" s="85">
        <v>1000</v>
      </c>
      <c r="K3972" s="131" t="s">
        <v>6738</v>
      </c>
      <c r="L3972" s="63">
        <v>151</v>
      </c>
      <c r="M3972" s="37" t="s">
        <v>6392</v>
      </c>
    </row>
    <row r="3973" spans="1:13" ht="14" x14ac:dyDescent="0.15">
      <c r="A3973" s="166" t="s">
        <v>2481</v>
      </c>
      <c r="B3973" s="93" t="s">
        <v>5797</v>
      </c>
      <c r="C3973" s="70" t="s">
        <v>3636</v>
      </c>
      <c r="D3973" s="70" t="s">
        <v>3437</v>
      </c>
      <c r="E3973" s="70" t="s">
        <v>7763</v>
      </c>
      <c r="F3973" s="70" t="s">
        <v>4967</v>
      </c>
      <c r="G3973" s="70" t="s">
        <v>5091</v>
      </c>
      <c r="H3973" s="93"/>
      <c r="I3973" s="85">
        <v>-999</v>
      </c>
      <c r="J3973" s="85">
        <v>-999</v>
      </c>
      <c r="K3973" s="131" t="s">
        <v>6630</v>
      </c>
      <c r="L3973" s="60">
        <v>-999</v>
      </c>
      <c r="M3973" s="49" t="s">
        <v>6390</v>
      </c>
    </row>
    <row r="3974" spans="1:13" ht="14" x14ac:dyDescent="0.15">
      <c r="A3974" s="166" t="s">
        <v>2481</v>
      </c>
      <c r="B3974" s="82" t="s">
        <v>2018</v>
      </c>
      <c r="C3974" s="70" t="s">
        <v>3636</v>
      </c>
      <c r="D3974" s="70" t="s">
        <v>3437</v>
      </c>
      <c r="E3974" s="70" t="s">
        <v>3258</v>
      </c>
      <c r="F3974" s="70" t="s">
        <v>7727</v>
      </c>
      <c r="G3974" s="70" t="s">
        <v>7728</v>
      </c>
      <c r="H3974" s="93"/>
      <c r="I3974" s="85">
        <f>LOG(J3974)</f>
        <v>2.9542425094393248</v>
      </c>
      <c r="J3974" s="85">
        <v>900</v>
      </c>
      <c r="K3974" s="131" t="s">
        <v>3177</v>
      </c>
      <c r="L3974" s="60" t="s">
        <v>7532</v>
      </c>
      <c r="M3974" s="33"/>
    </row>
    <row r="3975" spans="1:13" ht="14" x14ac:dyDescent="0.15">
      <c r="A3975" s="166" t="s">
        <v>2481</v>
      </c>
      <c r="B3975" s="82" t="s">
        <v>2018</v>
      </c>
      <c r="C3975" s="70" t="s">
        <v>3636</v>
      </c>
      <c r="D3975" s="70" t="s">
        <v>3437</v>
      </c>
      <c r="E3975" s="70" t="s">
        <v>3258</v>
      </c>
      <c r="F3975" s="70" t="s">
        <v>7727</v>
      </c>
      <c r="G3975" s="70" t="s">
        <v>4669</v>
      </c>
      <c r="H3975" s="93"/>
      <c r="I3975" s="85">
        <f>LOG(J3975)</f>
        <v>3.1568519010700111</v>
      </c>
      <c r="J3975" s="85">
        <f>AVERAGE(1380, 1490)</f>
        <v>1435</v>
      </c>
      <c r="K3975" s="131" t="s">
        <v>3177</v>
      </c>
      <c r="L3975" s="60" t="s">
        <v>7532</v>
      </c>
      <c r="M3975" s="33"/>
    </row>
    <row r="3976" spans="1:13" ht="28" x14ac:dyDescent="0.15">
      <c r="A3976" s="166" t="s">
        <v>2481</v>
      </c>
      <c r="B3976" s="93" t="s">
        <v>4572</v>
      </c>
      <c r="C3976" s="70" t="s">
        <v>3636</v>
      </c>
      <c r="D3976" s="70" t="s">
        <v>3437</v>
      </c>
      <c r="E3976" s="70" t="s">
        <v>3258</v>
      </c>
      <c r="F3976" s="70" t="s">
        <v>5717</v>
      </c>
      <c r="G3976" s="70" t="s">
        <v>7995</v>
      </c>
      <c r="H3976" s="93"/>
      <c r="I3976" s="85">
        <v>-999</v>
      </c>
      <c r="J3976" s="85">
        <v>-999</v>
      </c>
      <c r="K3976" s="131"/>
      <c r="L3976" s="60">
        <v>-999</v>
      </c>
      <c r="M3976" s="33"/>
    </row>
    <row r="3977" spans="1:13" ht="14" x14ac:dyDescent="0.15">
      <c r="A3977" s="70" t="s">
        <v>2481</v>
      </c>
      <c r="B3977" s="93" t="s">
        <v>2427</v>
      </c>
      <c r="C3977" s="70" t="s">
        <v>3636</v>
      </c>
      <c r="D3977" s="70" t="s">
        <v>3437</v>
      </c>
      <c r="E3977" s="70" t="s">
        <v>3258</v>
      </c>
      <c r="F3977" s="70" t="s">
        <v>5738</v>
      </c>
      <c r="G3977" s="70" t="s">
        <v>6276</v>
      </c>
      <c r="H3977" s="93"/>
      <c r="I3977" s="85">
        <v>-999</v>
      </c>
      <c r="J3977" s="85">
        <v>-999</v>
      </c>
      <c r="K3977" s="131" t="s">
        <v>3177</v>
      </c>
      <c r="L3977" s="60">
        <v>-999</v>
      </c>
      <c r="M3977" s="33"/>
    </row>
    <row r="3978" spans="1:13" ht="14" x14ac:dyDescent="0.15">
      <c r="A3978" s="166" t="s">
        <v>2481</v>
      </c>
      <c r="B3978" s="93" t="s">
        <v>2018</v>
      </c>
      <c r="C3978" s="70" t="s">
        <v>3636</v>
      </c>
      <c r="D3978" s="70" t="s">
        <v>3437</v>
      </c>
      <c r="E3978" s="70" t="s">
        <v>3258</v>
      </c>
      <c r="F3978" s="70" t="s">
        <v>5738</v>
      </c>
      <c r="G3978" s="70" t="s">
        <v>6546</v>
      </c>
      <c r="H3978" s="93"/>
      <c r="I3978" s="85">
        <f t="shared" ref="I3978:I3987" si="154">LOG(J3978)</f>
        <v>2.1287222843384268</v>
      </c>
      <c r="J3978" s="85">
        <f>AVERAGE(115, 154)</f>
        <v>134.5</v>
      </c>
      <c r="K3978" s="131" t="s">
        <v>3177</v>
      </c>
      <c r="L3978" s="60" t="s">
        <v>7532</v>
      </c>
      <c r="M3978" s="33"/>
    </row>
    <row r="3979" spans="1:13" ht="14" x14ac:dyDescent="0.15">
      <c r="A3979" s="166" t="s">
        <v>2481</v>
      </c>
      <c r="B3979" s="82" t="s">
        <v>2018</v>
      </c>
      <c r="C3979" s="70" t="s">
        <v>3636</v>
      </c>
      <c r="D3979" s="70" t="s">
        <v>3437</v>
      </c>
      <c r="E3979" s="70" t="s">
        <v>3258</v>
      </c>
      <c r="F3979" s="70" t="s">
        <v>5738</v>
      </c>
      <c r="G3979" s="70" t="s">
        <v>7761</v>
      </c>
      <c r="H3979" s="93"/>
      <c r="I3979" s="85">
        <f t="shared" si="154"/>
        <v>2.3117538610557542</v>
      </c>
      <c r="J3979" s="85">
        <f>AVERAGE(150, 280, 197.5, 192.5)</f>
        <v>205</v>
      </c>
      <c r="K3979" s="131"/>
      <c r="L3979" s="60" t="s">
        <v>7538</v>
      </c>
      <c r="M3979" s="33"/>
    </row>
    <row r="3980" spans="1:13" ht="14" x14ac:dyDescent="0.15">
      <c r="A3980" s="166" t="s">
        <v>2481</v>
      </c>
      <c r="B3980" s="82" t="s">
        <v>2487</v>
      </c>
      <c r="C3980" s="70" t="s">
        <v>3636</v>
      </c>
      <c r="D3980" s="70" t="s">
        <v>3437</v>
      </c>
      <c r="E3980" s="70" t="s">
        <v>3258</v>
      </c>
      <c r="F3980" s="70" t="s">
        <v>5738</v>
      </c>
      <c r="G3980" s="70" t="s">
        <v>6542</v>
      </c>
      <c r="H3980" s="93"/>
      <c r="I3980" s="85">
        <f t="shared" si="154"/>
        <v>2.4440447959180762</v>
      </c>
      <c r="J3980" s="85">
        <v>278</v>
      </c>
      <c r="K3980" s="131" t="s">
        <v>3177</v>
      </c>
      <c r="L3980" s="60">
        <v>60</v>
      </c>
      <c r="M3980" s="33"/>
    </row>
    <row r="3981" spans="1:13" ht="14" x14ac:dyDescent="0.15">
      <c r="A3981" s="166" t="s">
        <v>2481</v>
      </c>
      <c r="B3981" s="82" t="s">
        <v>2018</v>
      </c>
      <c r="C3981" s="70" t="s">
        <v>3636</v>
      </c>
      <c r="D3981" s="70" t="s">
        <v>3437</v>
      </c>
      <c r="E3981" s="70" t="s">
        <v>3258</v>
      </c>
      <c r="F3981" s="70" t="s">
        <v>5738</v>
      </c>
      <c r="G3981" s="70" t="s">
        <v>6543</v>
      </c>
      <c r="H3981" s="93"/>
      <c r="I3981" s="85">
        <f t="shared" si="154"/>
        <v>2.4440447959180762</v>
      </c>
      <c r="J3981" s="85">
        <v>278</v>
      </c>
      <c r="K3981" s="131" t="s">
        <v>3177</v>
      </c>
      <c r="L3981" s="60">
        <v>60</v>
      </c>
      <c r="M3981" s="33"/>
    </row>
    <row r="3982" spans="1:13" ht="14" x14ac:dyDescent="0.15">
      <c r="A3982" s="166" t="s">
        <v>2481</v>
      </c>
      <c r="B3982" s="93" t="s">
        <v>2018</v>
      </c>
      <c r="C3982" s="70" t="s">
        <v>3636</v>
      </c>
      <c r="D3982" s="70" t="s">
        <v>3437</v>
      </c>
      <c r="E3982" s="70" t="s">
        <v>3258</v>
      </c>
      <c r="F3982" s="70" t="s">
        <v>5738</v>
      </c>
      <c r="G3982" s="70" t="s">
        <v>5590</v>
      </c>
      <c r="H3982" s="93"/>
      <c r="I3982" s="85">
        <f t="shared" si="154"/>
        <v>2.5090949438113794</v>
      </c>
      <c r="J3982" s="85">
        <f>AVERAGE(250, 500, 350, 275.8, 238.8)</f>
        <v>322.91999999999996</v>
      </c>
      <c r="K3982" s="131" t="s">
        <v>3177</v>
      </c>
      <c r="L3982" s="60" t="s">
        <v>7538</v>
      </c>
      <c r="M3982" s="33"/>
    </row>
    <row r="3983" spans="1:13" ht="14" x14ac:dyDescent="0.15">
      <c r="A3983" s="166" t="s">
        <v>2481</v>
      </c>
      <c r="B3983" s="93" t="s">
        <v>2018</v>
      </c>
      <c r="C3983" s="70" t="s">
        <v>3636</v>
      </c>
      <c r="D3983" s="70" t="s">
        <v>3437</v>
      </c>
      <c r="E3983" s="70" t="s">
        <v>3258</v>
      </c>
      <c r="F3983" s="70" t="s">
        <v>5738</v>
      </c>
      <c r="G3983" s="70" t="s">
        <v>5895</v>
      </c>
      <c r="H3983" s="93"/>
      <c r="I3983" s="85">
        <f t="shared" si="154"/>
        <v>2.5514499979728753</v>
      </c>
      <c r="J3983" s="85">
        <v>356</v>
      </c>
      <c r="K3983" s="131" t="s">
        <v>3177</v>
      </c>
      <c r="L3983" s="60">
        <v>60</v>
      </c>
      <c r="M3983" s="33"/>
    </row>
    <row r="3984" spans="1:13" ht="14" x14ac:dyDescent="0.15">
      <c r="A3984" s="166" t="s">
        <v>2481</v>
      </c>
      <c r="B3984" s="93" t="s">
        <v>2018</v>
      </c>
      <c r="C3984" s="70" t="s">
        <v>3636</v>
      </c>
      <c r="D3984" s="70" t="s">
        <v>3437</v>
      </c>
      <c r="E3984" s="70" t="s">
        <v>3258</v>
      </c>
      <c r="F3984" s="70" t="s">
        <v>5593</v>
      </c>
      <c r="G3984" s="70" t="s">
        <v>4108</v>
      </c>
      <c r="H3984" s="93"/>
      <c r="I3984" s="85">
        <f t="shared" si="154"/>
        <v>2.1687920203141817</v>
      </c>
      <c r="J3984" s="85">
        <f>AVERAGE(75, 185, 145, 185)</f>
        <v>147.5</v>
      </c>
      <c r="K3984" s="131" t="s">
        <v>3177</v>
      </c>
      <c r="L3984" s="60" t="s">
        <v>7532</v>
      </c>
      <c r="M3984" s="33"/>
    </row>
    <row r="3985" spans="1:14" ht="14" x14ac:dyDescent="0.15">
      <c r="A3985" s="166" t="s">
        <v>2481</v>
      </c>
      <c r="B3985" s="93" t="s">
        <v>2592</v>
      </c>
      <c r="C3985" s="70" t="s">
        <v>3636</v>
      </c>
      <c r="D3985" s="70" t="s">
        <v>3437</v>
      </c>
      <c r="E3985" s="70" t="s">
        <v>3258</v>
      </c>
      <c r="F3985" s="70" t="s">
        <v>5361</v>
      </c>
      <c r="G3985" s="70" t="s">
        <v>3126</v>
      </c>
      <c r="H3985" s="93"/>
      <c r="I3985" s="85">
        <f t="shared" si="154"/>
        <v>1.2787536009528289</v>
      </c>
      <c r="J3985" s="85">
        <f>AVERAGE(12, 26)</f>
        <v>19</v>
      </c>
      <c r="K3985" s="131" t="s">
        <v>3177</v>
      </c>
      <c r="L3985" s="60">
        <v>118</v>
      </c>
      <c r="M3985" s="33"/>
    </row>
    <row r="3986" spans="1:14" ht="14" x14ac:dyDescent="0.15">
      <c r="A3986" s="166" t="s">
        <v>2481</v>
      </c>
      <c r="B3986" s="93" t="s">
        <v>2018</v>
      </c>
      <c r="C3986" s="70" t="s">
        <v>3636</v>
      </c>
      <c r="D3986" s="70" t="s">
        <v>3437</v>
      </c>
      <c r="E3986" s="70" t="s">
        <v>3258</v>
      </c>
      <c r="F3986" s="70" t="s">
        <v>5361</v>
      </c>
      <c r="G3986" s="70" t="s">
        <v>5305</v>
      </c>
      <c r="H3986" s="93"/>
      <c r="I3986" s="85">
        <f t="shared" si="154"/>
        <v>1.3010299956639813</v>
      </c>
      <c r="J3986" s="85">
        <v>20</v>
      </c>
      <c r="K3986" s="131" t="s">
        <v>3177</v>
      </c>
      <c r="L3986" s="60">
        <v>257</v>
      </c>
      <c r="M3986" s="33"/>
    </row>
    <row r="3987" spans="1:14" ht="14" x14ac:dyDescent="0.15">
      <c r="A3987" s="166" t="s">
        <v>2481</v>
      </c>
      <c r="B3987" s="93" t="s">
        <v>5852</v>
      </c>
      <c r="C3987" s="70" t="s">
        <v>3636</v>
      </c>
      <c r="D3987" s="70" t="s">
        <v>3437</v>
      </c>
      <c r="E3987" s="70" t="s">
        <v>3258</v>
      </c>
      <c r="F3987" s="70" t="s">
        <v>5361</v>
      </c>
      <c r="G3987" s="70" t="s">
        <v>2084</v>
      </c>
      <c r="H3987" s="93"/>
      <c r="I3987" s="85">
        <f t="shared" si="154"/>
        <v>1.4892551683692605</v>
      </c>
      <c r="J3987" s="85">
        <f>AVERAGE(29.7, 32)</f>
        <v>30.85</v>
      </c>
      <c r="K3987" s="131" t="s">
        <v>3177</v>
      </c>
      <c r="L3987" s="60">
        <v>122</v>
      </c>
      <c r="M3987" s="33"/>
    </row>
    <row r="3988" spans="1:14" ht="14" x14ac:dyDescent="0.15">
      <c r="A3988" s="166" t="s">
        <v>2481</v>
      </c>
      <c r="B3988" s="93" t="s">
        <v>2330</v>
      </c>
      <c r="C3988" s="70" t="s">
        <v>3636</v>
      </c>
      <c r="D3988" s="70" t="s">
        <v>3437</v>
      </c>
      <c r="E3988" s="73" t="s">
        <v>3258</v>
      </c>
      <c r="F3988" s="70" t="s">
        <v>5891</v>
      </c>
      <c r="G3988" s="70" t="s">
        <v>7996</v>
      </c>
      <c r="H3988" s="93"/>
      <c r="I3988" s="85">
        <v>-999</v>
      </c>
      <c r="J3988" s="85">
        <v>-999</v>
      </c>
      <c r="K3988" s="131" t="s">
        <v>3177</v>
      </c>
      <c r="L3988" s="60">
        <v>-999</v>
      </c>
      <c r="M3988" s="33"/>
    </row>
    <row r="3989" spans="1:14" ht="14" x14ac:dyDescent="0.15">
      <c r="A3989" s="166" t="s">
        <v>2481</v>
      </c>
      <c r="B3989" s="93" t="s">
        <v>2330</v>
      </c>
      <c r="C3989" s="70" t="s">
        <v>3636</v>
      </c>
      <c r="D3989" s="70" t="s">
        <v>3437</v>
      </c>
      <c r="E3989" s="70" t="s">
        <v>3258</v>
      </c>
      <c r="F3989" s="70" t="s">
        <v>5891</v>
      </c>
      <c r="G3989" s="70" t="s">
        <v>7997</v>
      </c>
      <c r="H3989" s="93"/>
      <c r="I3989" s="85">
        <v>-999</v>
      </c>
      <c r="J3989" s="85">
        <v>-999</v>
      </c>
      <c r="K3989" s="131" t="s">
        <v>3177</v>
      </c>
      <c r="L3989" s="60">
        <v>-999</v>
      </c>
      <c r="M3989" s="33"/>
    </row>
    <row r="3990" spans="1:14" ht="14" x14ac:dyDescent="0.15">
      <c r="A3990" s="166" t="s">
        <v>2481</v>
      </c>
      <c r="B3990" s="93" t="s">
        <v>2330</v>
      </c>
      <c r="C3990" s="70" t="s">
        <v>3636</v>
      </c>
      <c r="D3990" s="70" t="s">
        <v>3437</v>
      </c>
      <c r="E3990" s="70" t="s">
        <v>3258</v>
      </c>
      <c r="F3990" s="70" t="s">
        <v>5891</v>
      </c>
      <c r="G3990" s="70" t="s">
        <v>3525</v>
      </c>
      <c r="H3990" s="93"/>
      <c r="I3990" s="85">
        <f>LOG(J3990)</f>
        <v>1.8508758788732167</v>
      </c>
      <c r="J3990" s="85">
        <f>454*0.15625</f>
        <v>70.9375</v>
      </c>
      <c r="K3990" s="131"/>
      <c r="L3990" s="60">
        <v>132</v>
      </c>
      <c r="M3990" s="33"/>
    </row>
    <row r="3991" spans="1:14" ht="14" x14ac:dyDescent="0.15">
      <c r="A3991" s="166" t="s">
        <v>2481</v>
      </c>
      <c r="B3991" s="93" t="s">
        <v>2018</v>
      </c>
      <c r="C3991" s="70" t="s">
        <v>3636</v>
      </c>
      <c r="D3991" s="70" t="s">
        <v>3437</v>
      </c>
      <c r="E3991" s="70" t="s">
        <v>3258</v>
      </c>
      <c r="F3991" s="70" t="s">
        <v>8001</v>
      </c>
      <c r="G3991" s="70" t="s">
        <v>7937</v>
      </c>
      <c r="H3991" s="93"/>
      <c r="I3991" s="85">
        <f>LOG(J3991)</f>
        <v>1.6989700043360187</v>
      </c>
      <c r="J3991" s="85">
        <v>50</v>
      </c>
      <c r="K3991" s="131" t="s">
        <v>3177</v>
      </c>
      <c r="L3991" s="60">
        <v>257</v>
      </c>
      <c r="M3991" s="33"/>
    </row>
    <row r="3992" spans="1:14" ht="28" x14ac:dyDescent="0.2">
      <c r="A3992" s="166" t="s">
        <v>2481</v>
      </c>
      <c r="B3992" s="93" t="s">
        <v>2199</v>
      </c>
      <c r="C3992" s="70" t="s">
        <v>3636</v>
      </c>
      <c r="D3992" s="70" t="s">
        <v>3437</v>
      </c>
      <c r="E3992" s="70" t="s">
        <v>3258</v>
      </c>
      <c r="F3992" s="70" t="s">
        <v>2873</v>
      </c>
      <c r="G3992" s="70" t="s">
        <v>5328</v>
      </c>
      <c r="H3992" s="93"/>
      <c r="I3992" s="85">
        <f>LOG(J3992)</f>
        <v>2.5407464642438433</v>
      </c>
      <c r="J3992" s="85">
        <f>AVERAGE(250, 380, 412)</f>
        <v>347.33333333333331</v>
      </c>
      <c r="K3992" s="131" t="s">
        <v>3177</v>
      </c>
      <c r="L3992" s="60" t="s">
        <v>7674</v>
      </c>
      <c r="M3992" s="47"/>
    </row>
    <row r="3993" spans="1:14" ht="14" x14ac:dyDescent="0.15">
      <c r="A3993" s="166" t="s">
        <v>2481</v>
      </c>
      <c r="B3993" s="82"/>
      <c r="C3993" s="70" t="s">
        <v>3636</v>
      </c>
      <c r="D3993" s="70" t="s">
        <v>3437</v>
      </c>
      <c r="E3993" s="70" t="s">
        <v>3258</v>
      </c>
      <c r="F3993" s="70" t="s">
        <v>5379</v>
      </c>
      <c r="G3993" s="70" t="s">
        <v>5384</v>
      </c>
      <c r="H3993" s="93"/>
      <c r="I3993" s="85">
        <v>-999</v>
      </c>
      <c r="J3993" s="85">
        <v>-999</v>
      </c>
      <c r="K3993" s="131" t="s">
        <v>6391</v>
      </c>
      <c r="L3993" s="60">
        <v>-999</v>
      </c>
      <c r="M3993" s="33" t="s">
        <v>6392</v>
      </c>
    </row>
    <row r="3994" spans="1:14" ht="14" x14ac:dyDescent="0.15">
      <c r="A3994" s="166" t="s">
        <v>2481</v>
      </c>
      <c r="B3994" s="93" t="s">
        <v>2178</v>
      </c>
      <c r="C3994" s="70" t="s">
        <v>3636</v>
      </c>
      <c r="D3994" s="70" t="s">
        <v>3437</v>
      </c>
      <c r="E3994" s="70" t="s">
        <v>3258</v>
      </c>
      <c r="F3994" s="70" t="s">
        <v>5379</v>
      </c>
      <c r="G3994" s="70" t="s">
        <v>6196</v>
      </c>
      <c r="H3994" s="93"/>
      <c r="I3994" s="85">
        <v>-999</v>
      </c>
      <c r="J3994" s="85">
        <v>-999</v>
      </c>
      <c r="K3994" s="131" t="s">
        <v>6630</v>
      </c>
      <c r="L3994" s="60">
        <v>-999</v>
      </c>
      <c r="M3994" s="33" t="s">
        <v>6809</v>
      </c>
    </row>
    <row r="3995" spans="1:14" ht="14" x14ac:dyDescent="0.15">
      <c r="A3995" s="166" t="s">
        <v>2481</v>
      </c>
      <c r="B3995" s="93" t="s">
        <v>2368</v>
      </c>
      <c r="C3995" s="70" t="s">
        <v>3636</v>
      </c>
      <c r="D3995" s="70" t="s">
        <v>3437</v>
      </c>
      <c r="E3995" s="70" t="s">
        <v>3258</v>
      </c>
      <c r="F3995" s="70" t="s">
        <v>5379</v>
      </c>
      <c r="G3995" s="70" t="s">
        <v>2083</v>
      </c>
      <c r="H3995" s="93"/>
      <c r="I3995" s="85">
        <f t="shared" ref="I3995:I4000" si="155">LOG(J3995)</f>
        <v>1.6989700043360187</v>
      </c>
      <c r="J3995" s="85">
        <v>50</v>
      </c>
      <c r="K3995" s="131" t="s">
        <v>3177</v>
      </c>
      <c r="L3995" s="70">
        <v>119</v>
      </c>
      <c r="M3995" s="33"/>
    </row>
    <row r="3996" spans="1:14" ht="28" x14ac:dyDescent="0.15">
      <c r="A3996" s="166" t="s">
        <v>2481</v>
      </c>
      <c r="B3996" s="93" t="s">
        <v>2215</v>
      </c>
      <c r="C3996" s="70" t="s">
        <v>3636</v>
      </c>
      <c r="D3996" s="70" t="s">
        <v>3437</v>
      </c>
      <c r="E3996" s="70" t="s">
        <v>3258</v>
      </c>
      <c r="F3996" s="70" t="s">
        <v>5379</v>
      </c>
      <c r="G3996" s="70" t="s">
        <v>6195</v>
      </c>
      <c r="H3996" s="93"/>
      <c r="I3996" s="85">
        <f t="shared" si="155"/>
        <v>1.9503648543761232</v>
      </c>
      <c r="J3996" s="85">
        <f>1000*0.0892</f>
        <v>89.2</v>
      </c>
      <c r="K3996" s="131" t="s">
        <v>7875</v>
      </c>
      <c r="L3996" s="60">
        <v>60</v>
      </c>
      <c r="M3996" s="33" t="s">
        <v>6390</v>
      </c>
    </row>
    <row r="3997" spans="1:14" ht="14" x14ac:dyDescent="0.15">
      <c r="A3997" s="166" t="s">
        <v>2481</v>
      </c>
      <c r="B3997" s="93" t="s">
        <v>2178</v>
      </c>
      <c r="C3997" s="70" t="s">
        <v>3636</v>
      </c>
      <c r="D3997" s="70" t="s">
        <v>3437</v>
      </c>
      <c r="E3997" s="70" t="s">
        <v>3258</v>
      </c>
      <c r="F3997" s="70" t="s">
        <v>5379</v>
      </c>
      <c r="G3997" s="70" t="s">
        <v>6223</v>
      </c>
      <c r="H3997" s="93"/>
      <c r="I3997" s="85">
        <f t="shared" si="155"/>
        <v>2.0737183503461227</v>
      </c>
      <c r="J3997" s="85">
        <f>AVERAGE(80, 157)</f>
        <v>118.5</v>
      </c>
      <c r="K3997" s="131" t="s">
        <v>3177</v>
      </c>
      <c r="L3997" s="60">
        <v>118</v>
      </c>
      <c r="M3997" s="33"/>
    </row>
    <row r="3998" spans="1:14" ht="14" x14ac:dyDescent="0.15">
      <c r="A3998" s="166" t="s">
        <v>2481</v>
      </c>
      <c r="B3998" s="93" t="s">
        <v>5852</v>
      </c>
      <c r="C3998" s="70" t="s">
        <v>3636</v>
      </c>
      <c r="D3998" s="70" t="s">
        <v>3437</v>
      </c>
      <c r="E3998" s="70" t="s">
        <v>3258</v>
      </c>
      <c r="F3998" s="70" t="s">
        <v>5379</v>
      </c>
      <c r="G3998" s="70" t="s">
        <v>4673</v>
      </c>
      <c r="H3998" s="93"/>
      <c r="I3998" s="85">
        <f t="shared" si="155"/>
        <v>2.7275412570285562</v>
      </c>
      <c r="J3998" s="85">
        <v>534</v>
      </c>
      <c r="K3998" s="131" t="s">
        <v>6630</v>
      </c>
      <c r="L3998" s="60">
        <v>60</v>
      </c>
      <c r="M3998" s="33" t="s">
        <v>6392</v>
      </c>
    </row>
    <row r="3999" spans="1:14" ht="14" x14ac:dyDescent="0.15">
      <c r="A3999" s="166" t="s">
        <v>2481</v>
      </c>
      <c r="B3999" s="93" t="s">
        <v>5613</v>
      </c>
      <c r="C3999" s="70" t="s">
        <v>3636</v>
      </c>
      <c r="D3999" s="70" t="s">
        <v>3437</v>
      </c>
      <c r="E3999" s="70" t="s">
        <v>3258</v>
      </c>
      <c r="F3999" s="70" t="s">
        <v>6318</v>
      </c>
      <c r="G3999" s="70" t="s">
        <v>6319</v>
      </c>
      <c r="H3999" s="93"/>
      <c r="I3999" s="85">
        <f t="shared" si="155"/>
        <v>2.4712917110589387</v>
      </c>
      <c r="J3999" s="85">
        <v>296</v>
      </c>
      <c r="K3999" s="131" t="s">
        <v>6630</v>
      </c>
      <c r="L3999" s="60">
        <v>60</v>
      </c>
      <c r="M3999" s="33" t="s">
        <v>6728</v>
      </c>
    </row>
    <row r="4000" spans="1:14" ht="16" x14ac:dyDescent="0.2">
      <c r="A4000" s="166" t="s">
        <v>2481</v>
      </c>
      <c r="B4000" s="93" t="s">
        <v>5613</v>
      </c>
      <c r="C4000" s="70" t="s">
        <v>3636</v>
      </c>
      <c r="D4000" s="70" t="s">
        <v>3437</v>
      </c>
      <c r="E4000" s="70" t="s">
        <v>3258</v>
      </c>
      <c r="F4000" s="70" t="s">
        <v>6318</v>
      </c>
      <c r="G4000" s="70" t="s">
        <v>6320</v>
      </c>
      <c r="H4000" s="93"/>
      <c r="I4000" s="85">
        <f t="shared" si="155"/>
        <v>2.4983105537896004</v>
      </c>
      <c r="J4000" s="85">
        <v>315</v>
      </c>
      <c r="K4000" s="131" t="s">
        <v>6630</v>
      </c>
      <c r="L4000" s="60">
        <v>60</v>
      </c>
      <c r="M4000" s="33" t="s">
        <v>6728</v>
      </c>
      <c r="N4000" s="48"/>
    </row>
    <row r="4001" spans="1:14" ht="14" x14ac:dyDescent="0.15">
      <c r="A4001" s="166" t="s">
        <v>2481</v>
      </c>
      <c r="B4001" s="93" t="s">
        <v>2585</v>
      </c>
      <c r="C4001" s="70" t="s">
        <v>3636</v>
      </c>
      <c r="D4001" s="70" t="s">
        <v>3437</v>
      </c>
      <c r="E4001" s="70" t="s">
        <v>3258</v>
      </c>
      <c r="F4001" s="70" t="s">
        <v>6197</v>
      </c>
      <c r="G4001" s="70" t="s">
        <v>6195</v>
      </c>
      <c r="H4001" s="93"/>
      <c r="I4001" s="85">
        <v>-999</v>
      </c>
      <c r="J4001" s="85">
        <v>-999</v>
      </c>
      <c r="K4001" s="131" t="s">
        <v>6391</v>
      </c>
      <c r="L4001" s="60">
        <v>-999</v>
      </c>
      <c r="M4001" s="33" t="s">
        <v>6728</v>
      </c>
    </row>
    <row r="4002" spans="1:14" ht="14" x14ac:dyDescent="0.15">
      <c r="A4002" s="170" t="s">
        <v>2481</v>
      </c>
      <c r="B4002" s="93" t="s">
        <v>1522</v>
      </c>
      <c r="C4002" s="70" t="s">
        <v>3636</v>
      </c>
      <c r="D4002" s="70" t="s">
        <v>3437</v>
      </c>
      <c r="E4002" s="70" t="s">
        <v>3258</v>
      </c>
      <c r="F4002" s="70" t="s">
        <v>6197</v>
      </c>
      <c r="G4002" s="70" t="s">
        <v>6198</v>
      </c>
      <c r="H4002" s="93"/>
      <c r="I4002" s="85">
        <f>LOG(J4002)</f>
        <v>2.2430380486862944</v>
      </c>
      <c r="J4002" s="85">
        <f>AVERAGE(135, 215)</f>
        <v>175</v>
      </c>
      <c r="K4002" s="131" t="s">
        <v>3177</v>
      </c>
      <c r="L4002" s="60" t="s">
        <v>7532</v>
      </c>
      <c r="M4002" s="33"/>
    </row>
    <row r="4003" spans="1:14" ht="14" x14ac:dyDescent="0.15">
      <c r="A4003" s="166" t="s">
        <v>2481</v>
      </c>
      <c r="B4003" s="93" t="s">
        <v>2392</v>
      </c>
      <c r="C4003" s="70" t="s">
        <v>3636</v>
      </c>
      <c r="D4003" s="70" t="s">
        <v>3437</v>
      </c>
      <c r="E4003" s="70" t="s">
        <v>3258</v>
      </c>
      <c r="F4003" s="70" t="s">
        <v>6294</v>
      </c>
      <c r="G4003" s="70" t="s">
        <v>4150</v>
      </c>
      <c r="H4003" s="93"/>
      <c r="I4003" s="85">
        <v>-999</v>
      </c>
      <c r="J4003" s="85">
        <v>-999</v>
      </c>
      <c r="K4003" s="131" t="s">
        <v>6391</v>
      </c>
      <c r="L4003" s="60">
        <v>-999</v>
      </c>
      <c r="M4003" s="33" t="s">
        <v>6392</v>
      </c>
    </row>
    <row r="4004" spans="1:14" ht="14" x14ac:dyDescent="0.15">
      <c r="A4004" s="166" t="s">
        <v>2481</v>
      </c>
      <c r="B4004" s="93" t="s">
        <v>2178</v>
      </c>
      <c r="C4004" s="70" t="s">
        <v>3636</v>
      </c>
      <c r="D4004" s="70" t="s">
        <v>3437</v>
      </c>
      <c r="E4004" s="70" t="s">
        <v>3258</v>
      </c>
      <c r="F4004" s="70" t="s">
        <v>6294</v>
      </c>
      <c r="G4004" s="70" t="s">
        <v>7275</v>
      </c>
      <c r="H4004" s="93"/>
      <c r="I4004" s="85">
        <v>-999</v>
      </c>
      <c r="J4004" s="85">
        <v>-999</v>
      </c>
      <c r="K4004" s="131" t="s">
        <v>6391</v>
      </c>
      <c r="L4004" s="60">
        <v>-999</v>
      </c>
      <c r="M4004" s="33" t="s">
        <v>6392</v>
      </c>
    </row>
    <row r="4005" spans="1:14" ht="14" x14ac:dyDescent="0.15">
      <c r="A4005" s="166" t="s">
        <v>2481</v>
      </c>
      <c r="B4005" s="93" t="s">
        <v>2018</v>
      </c>
      <c r="C4005" s="70" t="s">
        <v>3636</v>
      </c>
      <c r="D4005" s="70" t="s">
        <v>3437</v>
      </c>
      <c r="E4005" s="70" t="s">
        <v>3258</v>
      </c>
      <c r="F4005" s="70" t="s">
        <v>6294</v>
      </c>
      <c r="G4005" s="70" t="s">
        <v>5447</v>
      </c>
      <c r="H4005" s="93"/>
      <c r="I4005" s="85">
        <f>LOG(J4005)</f>
        <v>2.255272505103306</v>
      </c>
      <c r="J4005" s="85">
        <f>AVERAGE(145, 215)</f>
        <v>180</v>
      </c>
      <c r="K4005" s="131" t="s">
        <v>6391</v>
      </c>
      <c r="L4005" s="60" t="s">
        <v>7532</v>
      </c>
      <c r="M4005" s="33" t="s">
        <v>6728</v>
      </c>
    </row>
    <row r="4006" spans="1:14" ht="14" x14ac:dyDescent="0.15">
      <c r="A4006" s="166" t="s">
        <v>2481</v>
      </c>
      <c r="B4006" s="93" t="s">
        <v>2487</v>
      </c>
      <c r="C4006" s="70" t="s">
        <v>3636</v>
      </c>
      <c r="D4006" s="70" t="s">
        <v>3437</v>
      </c>
      <c r="E4006" s="70" t="s">
        <v>3258</v>
      </c>
      <c r="F4006" s="70" t="s">
        <v>6294</v>
      </c>
      <c r="G4006" s="70" t="s">
        <v>6217</v>
      </c>
      <c r="H4006" s="93"/>
      <c r="I4006" s="85">
        <f>LOG(J4006)</f>
        <v>2.3010299956639813</v>
      </c>
      <c r="J4006" s="85">
        <v>200</v>
      </c>
      <c r="K4006" s="131" t="s">
        <v>3177</v>
      </c>
      <c r="L4006" s="60">
        <v>119</v>
      </c>
      <c r="M4006" s="33"/>
    </row>
    <row r="4007" spans="1:14" ht="28" x14ac:dyDescent="0.15">
      <c r="A4007" s="166" t="s">
        <v>2481</v>
      </c>
      <c r="B4007" s="93" t="s">
        <v>2648</v>
      </c>
      <c r="C4007" s="70" t="s">
        <v>3636</v>
      </c>
      <c r="D4007" s="70" t="s">
        <v>3437</v>
      </c>
      <c r="E4007" s="70" t="s">
        <v>3258</v>
      </c>
      <c r="F4007" s="70" t="s">
        <v>3478</v>
      </c>
      <c r="G4007" s="70" t="s">
        <v>4451</v>
      </c>
      <c r="H4007" s="93"/>
      <c r="I4007" s="85">
        <f>LOG(J4007)</f>
        <v>1.6989700043360187</v>
      </c>
      <c r="J4007" s="85">
        <v>50</v>
      </c>
      <c r="K4007" s="131" t="s">
        <v>7537</v>
      </c>
      <c r="L4007" s="60">
        <v>257</v>
      </c>
      <c r="M4007" s="33"/>
      <c r="N4007" s="35"/>
    </row>
    <row r="4008" spans="1:14" ht="14" x14ac:dyDescent="0.15">
      <c r="A4008" s="166" t="s">
        <v>2481</v>
      </c>
      <c r="B4008" s="93" t="s">
        <v>2018</v>
      </c>
      <c r="C4008" s="70" t="s">
        <v>3636</v>
      </c>
      <c r="D4008" s="70" t="s">
        <v>3437</v>
      </c>
      <c r="E4008" s="70" t="s">
        <v>3258</v>
      </c>
      <c r="F4008" s="70" t="s">
        <v>6199</v>
      </c>
      <c r="G4008" s="70" t="s">
        <v>7133</v>
      </c>
      <c r="H4008" s="93"/>
      <c r="I4008" s="85">
        <f>LOG(J4008)</f>
        <v>1.1303337684950061</v>
      </c>
      <c r="J4008" s="85">
        <v>13.5</v>
      </c>
      <c r="K4008" s="131" t="s">
        <v>3177</v>
      </c>
      <c r="L4008" s="60">
        <v>60</v>
      </c>
      <c r="M4008" s="33"/>
    </row>
    <row r="4009" spans="1:14" ht="14" x14ac:dyDescent="0.15">
      <c r="A4009" s="166" t="s">
        <v>2481</v>
      </c>
      <c r="B4009" s="93" t="s">
        <v>2018</v>
      </c>
      <c r="C4009" s="70" t="s">
        <v>3636</v>
      </c>
      <c r="D4009" s="70" t="s">
        <v>3437</v>
      </c>
      <c r="E4009" s="70" t="s">
        <v>3258</v>
      </c>
      <c r="F4009" s="70" t="s">
        <v>6199</v>
      </c>
      <c r="G4009" s="70" t="s">
        <v>5447</v>
      </c>
      <c r="H4009" s="93"/>
      <c r="I4009" s="85">
        <f>LOG(J4009)</f>
        <v>1.3242824552976926</v>
      </c>
      <c r="J4009" s="85">
        <f>1000*0.0211</f>
        <v>21.1</v>
      </c>
      <c r="K4009" s="131" t="s">
        <v>3177</v>
      </c>
      <c r="L4009" s="67">
        <v>60</v>
      </c>
      <c r="M4009" s="33"/>
    </row>
    <row r="4010" spans="1:14" ht="14" x14ac:dyDescent="0.15">
      <c r="A4010" s="166" t="s">
        <v>2481</v>
      </c>
      <c r="B4010" s="93" t="s">
        <v>5797</v>
      </c>
      <c r="C4010" s="70" t="s">
        <v>3636</v>
      </c>
      <c r="D4010" s="70" t="s">
        <v>3437</v>
      </c>
      <c r="E4010" s="70" t="s">
        <v>3258</v>
      </c>
      <c r="F4010" s="70" t="s">
        <v>7933</v>
      </c>
      <c r="G4010" s="70" t="s">
        <v>3435</v>
      </c>
      <c r="H4010" s="93"/>
      <c r="I4010" s="85">
        <v>-999</v>
      </c>
      <c r="J4010" s="85">
        <v>-999</v>
      </c>
      <c r="K4010" s="131" t="s">
        <v>3177</v>
      </c>
      <c r="L4010" s="60">
        <v>-999</v>
      </c>
      <c r="M4010" s="33"/>
    </row>
    <row r="4011" spans="1:14" ht="16" x14ac:dyDescent="0.2">
      <c r="A4011" s="70" t="s">
        <v>2481</v>
      </c>
      <c r="B4011" s="93" t="s">
        <v>2487</v>
      </c>
      <c r="C4011" s="70" t="s">
        <v>3636</v>
      </c>
      <c r="D4011" s="70" t="s">
        <v>3437</v>
      </c>
      <c r="E4011" s="70" t="s">
        <v>3258</v>
      </c>
      <c r="F4011" s="70" t="s">
        <v>7933</v>
      </c>
      <c r="G4011" s="70" t="s">
        <v>1989</v>
      </c>
      <c r="H4011" s="93"/>
      <c r="I4011" s="85">
        <f t="shared" ref="I4011:I4022" si="156">LOG(J4011)</f>
        <v>3.0170333392987803</v>
      </c>
      <c r="J4011" s="85">
        <f>AVERAGE(840, 1240)</f>
        <v>1040</v>
      </c>
      <c r="K4011" s="131" t="s">
        <v>3177</v>
      </c>
      <c r="L4011" s="60">
        <v>118</v>
      </c>
      <c r="M4011" s="47"/>
    </row>
    <row r="4012" spans="1:14" ht="28" x14ac:dyDescent="0.15">
      <c r="A4012" s="166" t="s">
        <v>2481</v>
      </c>
      <c r="B4012" s="82" t="s">
        <v>1395</v>
      </c>
      <c r="C4012" s="70" t="s">
        <v>3636</v>
      </c>
      <c r="D4012" s="70" t="s">
        <v>3437</v>
      </c>
      <c r="E4012" s="70" t="s">
        <v>3258</v>
      </c>
      <c r="F4012" s="70" t="s">
        <v>7933</v>
      </c>
      <c r="G4012" s="70" t="s">
        <v>5729</v>
      </c>
      <c r="H4012" s="93"/>
      <c r="I4012" s="85">
        <f t="shared" si="156"/>
        <v>3.2180116518689315</v>
      </c>
      <c r="J4012" s="85">
        <f>AVERAGE((454*3.75), (454*4/625), (454*5), (454*4.4375), (454*5))</f>
        <v>1652.00612</v>
      </c>
      <c r="K4012" s="131"/>
      <c r="L4012" s="60" t="s">
        <v>1396</v>
      </c>
      <c r="M4012" s="33"/>
    </row>
    <row r="4013" spans="1:14" ht="16" x14ac:dyDescent="0.2">
      <c r="A4013" s="166" t="s">
        <v>2481</v>
      </c>
      <c r="B4013" s="93" t="s">
        <v>2487</v>
      </c>
      <c r="C4013" s="70" t="s">
        <v>3636</v>
      </c>
      <c r="D4013" s="70" t="s">
        <v>3437</v>
      </c>
      <c r="E4013" s="70" t="s">
        <v>3258</v>
      </c>
      <c r="F4013" s="70" t="s">
        <v>7933</v>
      </c>
      <c r="G4013" s="70" t="s">
        <v>6102</v>
      </c>
      <c r="H4013" s="93"/>
      <c r="I4013" s="85">
        <f t="shared" si="156"/>
        <v>3.2977605110991339</v>
      </c>
      <c r="J4013" s="85">
        <f>AVERAGE(1070, 2900)</f>
        <v>1985</v>
      </c>
      <c r="K4013" s="131" t="s">
        <v>3177</v>
      </c>
      <c r="L4013" s="60">
        <v>118</v>
      </c>
      <c r="M4013" s="47"/>
    </row>
    <row r="4014" spans="1:14" ht="14" x14ac:dyDescent="0.15">
      <c r="A4014" s="166" t="s">
        <v>2481</v>
      </c>
      <c r="B4014" s="93" t="s">
        <v>1856</v>
      </c>
      <c r="C4014" s="70" t="s">
        <v>3636</v>
      </c>
      <c r="D4014" s="70" t="s">
        <v>3437</v>
      </c>
      <c r="E4014" s="70" t="s">
        <v>3258</v>
      </c>
      <c r="F4014" s="70" t="s">
        <v>7933</v>
      </c>
      <c r="G4014" s="70" t="s">
        <v>3154</v>
      </c>
      <c r="H4014" s="93"/>
      <c r="I4014" s="85">
        <f t="shared" si="156"/>
        <v>3.6324572921847245</v>
      </c>
      <c r="J4014" s="85">
        <v>4290</v>
      </c>
      <c r="K4014" s="131" t="s">
        <v>3177</v>
      </c>
      <c r="L4014" s="60">
        <v>60</v>
      </c>
      <c r="M4014" s="33"/>
    </row>
    <row r="4015" spans="1:14" ht="28" x14ac:dyDescent="0.15">
      <c r="A4015" s="166" t="s">
        <v>2481</v>
      </c>
      <c r="B4015" s="93" t="s">
        <v>4951</v>
      </c>
      <c r="C4015" s="70" t="s">
        <v>3636</v>
      </c>
      <c r="D4015" s="70" t="s">
        <v>3437</v>
      </c>
      <c r="E4015" s="70" t="s">
        <v>3258</v>
      </c>
      <c r="F4015" s="70" t="s">
        <v>5730</v>
      </c>
      <c r="G4015" s="70" t="s">
        <v>4630</v>
      </c>
      <c r="H4015" s="93"/>
      <c r="I4015" s="85">
        <f t="shared" si="156"/>
        <v>1.5847551331194918</v>
      </c>
      <c r="J4015" s="85">
        <f>1000*AVERAGE(0.031, 0.058, 0.0265, 0.036, 0.033, 0.045, 0.033, 0.045)</f>
        <v>38.437499999999993</v>
      </c>
      <c r="K4015" s="131" t="s">
        <v>3177</v>
      </c>
      <c r="L4015" s="60">
        <v>60</v>
      </c>
      <c r="M4015" s="33"/>
    </row>
    <row r="4016" spans="1:14" ht="14" x14ac:dyDescent="0.15">
      <c r="A4016" s="166" t="s">
        <v>2481</v>
      </c>
      <c r="B4016" s="93" t="s">
        <v>2018</v>
      </c>
      <c r="C4016" s="70" t="s">
        <v>3636</v>
      </c>
      <c r="D4016" s="70" t="s">
        <v>3437</v>
      </c>
      <c r="E4016" s="70" t="s">
        <v>3258</v>
      </c>
      <c r="F4016" s="70" t="s">
        <v>5730</v>
      </c>
      <c r="G4016" s="70" t="s">
        <v>6365</v>
      </c>
      <c r="H4016" s="93"/>
      <c r="I4016" s="85">
        <f t="shared" si="156"/>
        <v>1.6104235548127643</v>
      </c>
      <c r="J4016" s="85">
        <f>1000*AVERAGE(0.038, 0.049, 0.04, 0.0225, 0.0515, 0.039, 0.044, 0.039, 0.044)</f>
        <v>40.777777777777771</v>
      </c>
      <c r="K4016" s="131" t="s">
        <v>3177</v>
      </c>
      <c r="L4016" s="60">
        <v>60</v>
      </c>
      <c r="M4016" s="33"/>
    </row>
    <row r="4017" spans="1:14" ht="14" x14ac:dyDescent="0.15">
      <c r="A4017" s="166" t="s">
        <v>2481</v>
      </c>
      <c r="B4017" s="93" t="s">
        <v>2426</v>
      </c>
      <c r="C4017" s="70" t="s">
        <v>3636</v>
      </c>
      <c r="D4017" s="70" t="s">
        <v>3437</v>
      </c>
      <c r="E4017" s="70" t="s">
        <v>3258</v>
      </c>
      <c r="F4017" s="70" t="s">
        <v>5730</v>
      </c>
      <c r="G4017" s="70" t="s">
        <v>5064</v>
      </c>
      <c r="H4017" s="93"/>
      <c r="I4017" s="85">
        <f t="shared" si="156"/>
        <v>1.6989700043360187</v>
      </c>
      <c r="J4017" s="85">
        <v>50</v>
      </c>
      <c r="K4017" s="131" t="s">
        <v>3177</v>
      </c>
      <c r="L4017" s="60">
        <v>119</v>
      </c>
      <c r="M4017" s="33"/>
    </row>
    <row r="4018" spans="1:14" ht="14" x14ac:dyDescent="0.15">
      <c r="A4018" s="166" t="s">
        <v>2481</v>
      </c>
      <c r="B4018" s="82" t="s">
        <v>2018</v>
      </c>
      <c r="C4018" s="70" t="s">
        <v>3636</v>
      </c>
      <c r="D4018" s="70" t="s">
        <v>3437</v>
      </c>
      <c r="E4018" s="70" t="s">
        <v>3258</v>
      </c>
      <c r="F4018" s="70" t="s">
        <v>5730</v>
      </c>
      <c r="G4018" s="70" t="s">
        <v>5731</v>
      </c>
      <c r="H4018" s="93"/>
      <c r="I4018" s="85">
        <f t="shared" si="156"/>
        <v>2.0413926851582249</v>
      </c>
      <c r="J4018" s="85">
        <v>110</v>
      </c>
      <c r="K4018" s="131" t="s">
        <v>6485</v>
      </c>
      <c r="L4018" s="60" t="s">
        <v>5705</v>
      </c>
      <c r="M4018" s="33"/>
    </row>
    <row r="4019" spans="1:14" ht="16" x14ac:dyDescent="0.2">
      <c r="A4019" s="166" t="s">
        <v>2481</v>
      </c>
      <c r="B4019" s="93" t="s">
        <v>5852</v>
      </c>
      <c r="C4019" s="70" t="s">
        <v>3636</v>
      </c>
      <c r="D4019" s="70" t="s">
        <v>3437</v>
      </c>
      <c r="E4019" s="70" t="s">
        <v>3258</v>
      </c>
      <c r="F4019" s="70" t="s">
        <v>5730</v>
      </c>
      <c r="G4019" s="70" t="s">
        <v>3654</v>
      </c>
      <c r="H4019" s="93"/>
      <c r="I4019" s="85">
        <f t="shared" si="156"/>
        <v>2.0530784434834195</v>
      </c>
      <c r="J4019" s="85">
        <f>1000*0.113</f>
        <v>113</v>
      </c>
      <c r="K4019" s="131" t="s">
        <v>3177</v>
      </c>
      <c r="L4019" s="60">
        <v>60</v>
      </c>
      <c r="M4019" s="47"/>
    </row>
    <row r="4020" spans="1:14" ht="28" x14ac:dyDescent="0.15">
      <c r="A4020" s="166" t="s">
        <v>2481</v>
      </c>
      <c r="B4020" s="93" t="s">
        <v>4955</v>
      </c>
      <c r="C4020" s="70" t="s">
        <v>3636</v>
      </c>
      <c r="D4020" s="70" t="s">
        <v>3437</v>
      </c>
      <c r="E4020" s="70" t="s">
        <v>3258</v>
      </c>
      <c r="F4020" s="70" t="s">
        <v>5730</v>
      </c>
      <c r="G4020" s="70" t="s">
        <v>6364</v>
      </c>
      <c r="H4020" s="93"/>
      <c r="I4020" s="85">
        <f t="shared" si="156"/>
        <v>2.5888317255942073</v>
      </c>
      <c r="J4020" s="85">
        <v>388</v>
      </c>
      <c r="K4020" s="131" t="s">
        <v>3177</v>
      </c>
      <c r="L4020" s="60">
        <v>60</v>
      </c>
      <c r="M4020" s="33"/>
    </row>
    <row r="4021" spans="1:14" ht="16" x14ac:dyDescent="0.2">
      <c r="A4021" s="166" t="s">
        <v>2481</v>
      </c>
      <c r="B4021" s="93" t="s">
        <v>2178</v>
      </c>
      <c r="C4021" s="70" t="s">
        <v>3636</v>
      </c>
      <c r="D4021" s="70" t="s">
        <v>3437</v>
      </c>
      <c r="E4021" s="70" t="s">
        <v>3258</v>
      </c>
      <c r="F4021" s="70" t="s">
        <v>5730</v>
      </c>
      <c r="G4021" s="70" t="s">
        <v>6946</v>
      </c>
      <c r="H4021" s="93"/>
      <c r="I4021" s="85">
        <f t="shared" si="156"/>
        <v>2.6364878963533656</v>
      </c>
      <c r="J4021" s="85">
        <v>433</v>
      </c>
      <c r="K4021" s="131" t="s">
        <v>6391</v>
      </c>
      <c r="L4021" s="60">
        <v>60</v>
      </c>
      <c r="M4021" s="33" t="s">
        <v>6392</v>
      </c>
      <c r="N4021" s="48"/>
    </row>
    <row r="4022" spans="1:14" ht="14" x14ac:dyDescent="0.15">
      <c r="A4022" s="166" t="s">
        <v>2481</v>
      </c>
      <c r="B4022" s="93" t="s">
        <v>2330</v>
      </c>
      <c r="C4022" s="70" t="s">
        <v>3636</v>
      </c>
      <c r="D4022" s="70" t="s">
        <v>3437</v>
      </c>
      <c r="E4022" s="70" t="s">
        <v>3258</v>
      </c>
      <c r="F4022" s="70" t="s">
        <v>5730</v>
      </c>
      <c r="G4022" s="70" t="s">
        <v>6363</v>
      </c>
      <c r="H4022" s="93"/>
      <c r="I4022" s="85">
        <f t="shared" si="156"/>
        <v>2.9000939015433982</v>
      </c>
      <c r="J4022" s="85">
        <f>454*1.75</f>
        <v>794.5</v>
      </c>
      <c r="K4022" s="131" t="s">
        <v>3177</v>
      </c>
      <c r="L4022" s="60">
        <v>132</v>
      </c>
      <c r="M4022" s="33"/>
    </row>
    <row r="4023" spans="1:14" ht="14" x14ac:dyDescent="0.15">
      <c r="A4023" s="166" t="s">
        <v>2481</v>
      </c>
      <c r="B4023" s="93" t="s">
        <v>5613</v>
      </c>
      <c r="C4023" s="70" t="s">
        <v>3636</v>
      </c>
      <c r="D4023" s="70" t="s">
        <v>3437</v>
      </c>
      <c r="E4023" s="70" t="s">
        <v>3258</v>
      </c>
      <c r="F4023" s="70" t="s">
        <v>6009</v>
      </c>
      <c r="G4023" s="70" t="s">
        <v>3918</v>
      </c>
      <c r="H4023" s="93"/>
      <c r="I4023" s="85">
        <v>-999</v>
      </c>
      <c r="J4023" s="85">
        <v>-999</v>
      </c>
      <c r="K4023" s="131" t="s">
        <v>6630</v>
      </c>
      <c r="L4023" s="60">
        <v>-999</v>
      </c>
      <c r="M4023" s="33" t="s">
        <v>6392</v>
      </c>
    </row>
    <row r="4024" spans="1:14" ht="14" x14ac:dyDescent="0.15">
      <c r="A4024" s="166" t="s">
        <v>2481</v>
      </c>
      <c r="B4024" s="93" t="s">
        <v>5613</v>
      </c>
      <c r="C4024" s="70" t="s">
        <v>3636</v>
      </c>
      <c r="D4024" s="70" t="s">
        <v>3437</v>
      </c>
      <c r="E4024" s="70" t="s">
        <v>3258</v>
      </c>
      <c r="F4024" s="70" t="s">
        <v>6009</v>
      </c>
      <c r="G4024" s="70" t="s">
        <v>4375</v>
      </c>
      <c r="H4024" s="93"/>
      <c r="I4024" s="85">
        <f>LOG(J4024)</f>
        <v>1.8627275283179747</v>
      </c>
      <c r="J4024" s="85">
        <f>1000*0.0729</f>
        <v>72.900000000000006</v>
      </c>
      <c r="K4024" s="131" t="s">
        <v>3177</v>
      </c>
      <c r="L4024" s="60">
        <v>60</v>
      </c>
      <c r="M4024" s="33"/>
    </row>
    <row r="4025" spans="1:14" ht="14" x14ac:dyDescent="0.15">
      <c r="A4025" s="166" t="s">
        <v>2481</v>
      </c>
      <c r="B4025" s="93" t="s">
        <v>5613</v>
      </c>
      <c r="C4025" s="70" t="s">
        <v>3636</v>
      </c>
      <c r="D4025" s="70" t="s">
        <v>3437</v>
      </c>
      <c r="E4025" s="70" t="s">
        <v>3258</v>
      </c>
      <c r="F4025" s="70" t="s">
        <v>6009</v>
      </c>
      <c r="G4025" s="70" t="s">
        <v>6306</v>
      </c>
      <c r="H4025" s="93"/>
      <c r="I4025" s="85">
        <f>LOG(J4025)</f>
        <v>1.8987251815894934</v>
      </c>
      <c r="J4025" s="85">
        <f>1000*0.0792</f>
        <v>79.2</v>
      </c>
      <c r="K4025" s="131" t="s">
        <v>6391</v>
      </c>
      <c r="L4025" s="60">
        <v>60</v>
      </c>
      <c r="M4025" s="33" t="s">
        <v>6728</v>
      </c>
    </row>
    <row r="4026" spans="1:14" ht="14" x14ac:dyDescent="0.15">
      <c r="A4026" s="166" t="s">
        <v>2481</v>
      </c>
      <c r="B4026" s="93" t="s">
        <v>5613</v>
      </c>
      <c r="C4026" s="70" t="s">
        <v>3636</v>
      </c>
      <c r="D4026" s="70" t="s">
        <v>3437</v>
      </c>
      <c r="E4026" s="70" t="s">
        <v>3258</v>
      </c>
      <c r="F4026" s="70" t="s">
        <v>6009</v>
      </c>
      <c r="G4026" s="70" t="s">
        <v>6142</v>
      </c>
      <c r="H4026" s="93"/>
      <c r="I4026" s="85">
        <f>LOG(J4026)</f>
        <v>2.1072099696478683</v>
      </c>
      <c r="J4026" s="85">
        <v>128</v>
      </c>
      <c r="K4026" s="131" t="s">
        <v>3177</v>
      </c>
      <c r="L4026" s="60">
        <v>60</v>
      </c>
      <c r="M4026" s="33"/>
    </row>
    <row r="4027" spans="1:14" ht="14" x14ac:dyDescent="0.15">
      <c r="A4027" s="166" t="s">
        <v>2481</v>
      </c>
      <c r="B4027" s="82" t="s">
        <v>5797</v>
      </c>
      <c r="C4027" s="70" t="s">
        <v>3636</v>
      </c>
      <c r="D4027" s="70" t="s">
        <v>3437</v>
      </c>
      <c r="E4027" s="73" t="s">
        <v>3258</v>
      </c>
      <c r="F4027" s="70" t="s">
        <v>6366</v>
      </c>
      <c r="G4027" s="70" t="s">
        <v>3113</v>
      </c>
      <c r="H4027" s="93"/>
      <c r="I4027" s="85">
        <v>-999</v>
      </c>
      <c r="J4027" s="85">
        <v>-999</v>
      </c>
      <c r="K4027" s="131" t="s">
        <v>3177</v>
      </c>
      <c r="L4027" s="60">
        <v>-999</v>
      </c>
      <c r="M4027" s="33"/>
    </row>
    <row r="4028" spans="1:14" ht="14" x14ac:dyDescent="0.15">
      <c r="A4028" s="166" t="s">
        <v>2481</v>
      </c>
      <c r="B4028" s="82" t="s">
        <v>5797</v>
      </c>
      <c r="C4028" s="70" t="s">
        <v>3636</v>
      </c>
      <c r="D4028" s="70" t="s">
        <v>3437</v>
      </c>
      <c r="E4028" s="70" t="s">
        <v>3258</v>
      </c>
      <c r="F4028" s="70" t="s">
        <v>6366</v>
      </c>
      <c r="G4028" s="70" t="s">
        <v>4268</v>
      </c>
      <c r="H4028" s="93"/>
      <c r="I4028" s="85">
        <f t="shared" ref="I4028:I4033" si="157">LOG(J4028)</f>
        <v>2.1139433523068369</v>
      </c>
      <c r="J4028" s="85">
        <f>AVERAGE(90, 170)</f>
        <v>130</v>
      </c>
      <c r="K4028" s="131"/>
      <c r="L4028" s="60">
        <v>138</v>
      </c>
      <c r="M4028" s="33"/>
    </row>
    <row r="4029" spans="1:14" ht="28" x14ac:dyDescent="0.15">
      <c r="A4029" s="166" t="s">
        <v>2481</v>
      </c>
      <c r="B4029" s="82" t="s">
        <v>4951</v>
      </c>
      <c r="C4029" s="70" t="s">
        <v>3636</v>
      </c>
      <c r="D4029" s="70" t="s">
        <v>3437</v>
      </c>
      <c r="E4029" s="70" t="s">
        <v>3258</v>
      </c>
      <c r="F4029" s="70" t="s">
        <v>3114</v>
      </c>
      <c r="G4029" s="70" t="s">
        <v>3115</v>
      </c>
      <c r="H4029" s="93"/>
      <c r="I4029" s="85">
        <f t="shared" si="157"/>
        <v>2.4289442900355742</v>
      </c>
      <c r="J4029" s="85">
        <f>AVERAGE(232, 305)</f>
        <v>268.5</v>
      </c>
      <c r="K4029" s="131" t="s">
        <v>3177</v>
      </c>
      <c r="L4029" s="60">
        <v>118</v>
      </c>
      <c r="M4029" s="33"/>
    </row>
    <row r="4030" spans="1:14" ht="14" x14ac:dyDescent="0.15">
      <c r="A4030" s="166" t="s">
        <v>2481</v>
      </c>
      <c r="B4030" s="82" t="s">
        <v>2018</v>
      </c>
      <c r="C4030" s="70" t="s">
        <v>3636</v>
      </c>
      <c r="D4030" s="70" t="s">
        <v>3437</v>
      </c>
      <c r="E4030" s="70" t="s">
        <v>3258</v>
      </c>
      <c r="F4030" s="70" t="s">
        <v>5732</v>
      </c>
      <c r="G4030" s="70" t="s">
        <v>7186</v>
      </c>
      <c r="H4030" s="93"/>
      <c r="I4030" s="85">
        <f t="shared" si="157"/>
        <v>3.0746336182969043</v>
      </c>
      <c r="J4030" s="85">
        <f>AVERAGE(875, 1500)</f>
        <v>1187.5</v>
      </c>
      <c r="K4030" s="131"/>
      <c r="L4030" s="60" t="s">
        <v>7532</v>
      </c>
      <c r="M4030" s="33"/>
    </row>
    <row r="4031" spans="1:14" ht="14" x14ac:dyDescent="0.15">
      <c r="A4031" s="166" t="s">
        <v>2481</v>
      </c>
      <c r="B4031" s="82" t="s">
        <v>2330</v>
      </c>
      <c r="C4031" s="70" t="s">
        <v>3636</v>
      </c>
      <c r="D4031" s="70" t="s">
        <v>3437</v>
      </c>
      <c r="E4031" s="70" t="s">
        <v>3258</v>
      </c>
      <c r="F4031" s="70" t="s">
        <v>5732</v>
      </c>
      <c r="G4031" s="70" t="s">
        <v>3652</v>
      </c>
      <c r="H4031" s="93"/>
      <c r="I4031" s="85">
        <f t="shared" si="157"/>
        <v>3.1380375283900044</v>
      </c>
      <c r="J4031" s="85">
        <f>AVERAGE((454*3.25), (454*3.25), (454*3.75), (454*3.625), (454*3.375), (454*3.125), (454*3.0625), (454*3.5625), (454*2.5625), (454*3.1875), (454*2.3125), (454*2.3125), (454*2.5), (454*2.5))</f>
        <v>1374.1607142857142</v>
      </c>
      <c r="K4031" s="131" t="s">
        <v>6391</v>
      </c>
      <c r="L4031" s="60">
        <v>132</v>
      </c>
      <c r="M4031" s="33" t="s">
        <v>6728</v>
      </c>
    </row>
    <row r="4032" spans="1:14" ht="14" x14ac:dyDescent="0.15">
      <c r="A4032" s="166" t="s">
        <v>2481</v>
      </c>
      <c r="B4032" s="93" t="s">
        <v>2018</v>
      </c>
      <c r="C4032" s="70" t="s">
        <v>3636</v>
      </c>
      <c r="D4032" s="70" t="s">
        <v>3437</v>
      </c>
      <c r="E4032" s="70" t="s">
        <v>3258</v>
      </c>
      <c r="F4032" s="70" t="s">
        <v>3701</v>
      </c>
      <c r="G4032" s="70" t="s">
        <v>3959</v>
      </c>
      <c r="H4032" s="93"/>
      <c r="I4032" s="85">
        <f t="shared" si="157"/>
        <v>3.0881360887005513</v>
      </c>
      <c r="J4032" s="85">
        <f>AVERAGE(1170, 1280)</f>
        <v>1225</v>
      </c>
      <c r="K4032" s="131" t="s">
        <v>3177</v>
      </c>
      <c r="L4032" s="60" t="s">
        <v>7532</v>
      </c>
      <c r="M4032" s="33"/>
      <c r="N4032" s="35"/>
    </row>
    <row r="4033" spans="1:13" ht="14" x14ac:dyDescent="0.15">
      <c r="A4033" s="166" t="s">
        <v>2481</v>
      </c>
      <c r="B4033" s="82" t="s">
        <v>2018</v>
      </c>
      <c r="C4033" s="70" t="s">
        <v>3636</v>
      </c>
      <c r="D4033" s="70" t="s">
        <v>3437</v>
      </c>
      <c r="E4033" s="70" t="s">
        <v>3258</v>
      </c>
      <c r="F4033" s="70" t="s">
        <v>5733</v>
      </c>
      <c r="G4033" s="70" t="s">
        <v>5325</v>
      </c>
      <c r="H4033" s="93"/>
      <c r="I4033" s="85">
        <f t="shared" si="157"/>
        <v>2.3719909114649149</v>
      </c>
      <c r="J4033" s="85">
        <f>AVERAGE(221, 250)</f>
        <v>235.5</v>
      </c>
      <c r="K4033" s="131" t="s">
        <v>6485</v>
      </c>
      <c r="L4033" s="60" t="s">
        <v>7536</v>
      </c>
      <c r="M4033" s="33"/>
    </row>
    <row r="4034" spans="1:13" ht="14" x14ac:dyDescent="0.15">
      <c r="A4034" s="166" t="s">
        <v>2481</v>
      </c>
      <c r="B4034" s="93" t="s">
        <v>5613</v>
      </c>
      <c r="C4034" s="70" t="s">
        <v>3636</v>
      </c>
      <c r="D4034" s="70" t="s">
        <v>3437</v>
      </c>
      <c r="E4034" s="70" t="s">
        <v>3258</v>
      </c>
      <c r="F4034" s="70" t="s">
        <v>3067</v>
      </c>
      <c r="G4034" s="70" t="s">
        <v>5457</v>
      </c>
      <c r="H4034" s="93"/>
      <c r="I4034" s="85">
        <v>-999</v>
      </c>
      <c r="J4034" s="85">
        <v>-999</v>
      </c>
      <c r="K4034" s="131" t="s">
        <v>3177</v>
      </c>
      <c r="L4034" s="60">
        <v>-999</v>
      </c>
      <c r="M4034" s="33"/>
    </row>
    <row r="4035" spans="1:13" ht="14" x14ac:dyDescent="0.15">
      <c r="A4035" s="166" t="s">
        <v>2481</v>
      </c>
      <c r="B4035" s="93" t="s">
        <v>5797</v>
      </c>
      <c r="C4035" s="70" t="s">
        <v>3636</v>
      </c>
      <c r="D4035" s="70" t="s">
        <v>3437</v>
      </c>
      <c r="E4035" s="70" t="s">
        <v>3258</v>
      </c>
      <c r="F4035" s="70" t="s">
        <v>3288</v>
      </c>
      <c r="G4035" s="70" t="s">
        <v>2907</v>
      </c>
      <c r="H4035" s="93"/>
      <c r="I4035" s="85">
        <f>LOG(J4035)</f>
        <v>2.4220971631317103</v>
      </c>
      <c r="J4035" s="85">
        <v>264.3</v>
      </c>
      <c r="K4035" s="131" t="s">
        <v>3177</v>
      </c>
      <c r="L4035" s="60" t="s">
        <v>125</v>
      </c>
      <c r="M4035" s="33"/>
    </row>
    <row r="4036" spans="1:13" ht="14" x14ac:dyDescent="0.15">
      <c r="A4036" s="166" t="s">
        <v>2481</v>
      </c>
      <c r="B4036" s="93" t="s">
        <v>5852</v>
      </c>
      <c r="C4036" s="70" t="s">
        <v>3636</v>
      </c>
      <c r="D4036" s="70" t="s">
        <v>3437</v>
      </c>
      <c r="E4036" s="70" t="s">
        <v>3258</v>
      </c>
      <c r="F4036" s="70" t="s">
        <v>5345</v>
      </c>
      <c r="G4036" s="70" t="s">
        <v>5150</v>
      </c>
      <c r="H4036" s="93"/>
      <c r="I4036" s="85">
        <v>-999</v>
      </c>
      <c r="J4036" s="85">
        <v>-999</v>
      </c>
      <c r="K4036" s="131" t="s">
        <v>3177</v>
      </c>
      <c r="L4036" s="60">
        <v>-999</v>
      </c>
      <c r="M4036" s="33"/>
    </row>
    <row r="4037" spans="1:13" ht="16" x14ac:dyDescent="0.2">
      <c r="A4037" s="166" t="s">
        <v>2481</v>
      </c>
      <c r="B4037" s="93" t="s">
        <v>2178</v>
      </c>
      <c r="C4037" s="73" t="s">
        <v>3636</v>
      </c>
      <c r="D4037" s="73" t="s">
        <v>3437</v>
      </c>
      <c r="E4037" s="70" t="s">
        <v>3258</v>
      </c>
      <c r="F4037" s="73" t="s">
        <v>5345</v>
      </c>
      <c r="G4037" s="73" t="s">
        <v>5151</v>
      </c>
      <c r="H4037" s="93"/>
      <c r="I4037" s="85">
        <v>-999</v>
      </c>
      <c r="J4037" s="95">
        <v>-999</v>
      </c>
      <c r="K4037" s="131" t="s">
        <v>3177</v>
      </c>
      <c r="L4037" s="60">
        <v>-999</v>
      </c>
      <c r="M4037" s="47"/>
    </row>
    <row r="4038" spans="1:13" ht="14" x14ac:dyDescent="0.15">
      <c r="A4038" s="166" t="s">
        <v>2481</v>
      </c>
      <c r="B4038" s="93" t="s">
        <v>5852</v>
      </c>
      <c r="C4038" s="70" t="s">
        <v>3636</v>
      </c>
      <c r="D4038" s="70" t="s">
        <v>3437</v>
      </c>
      <c r="E4038" s="70" t="s">
        <v>3258</v>
      </c>
      <c r="F4038" s="70" t="s">
        <v>5345</v>
      </c>
      <c r="G4038" s="70" t="s">
        <v>5152</v>
      </c>
      <c r="H4038" s="93"/>
      <c r="I4038" s="85">
        <v>-999</v>
      </c>
      <c r="J4038" s="85">
        <v>-999</v>
      </c>
      <c r="K4038" s="131" t="s">
        <v>3177</v>
      </c>
      <c r="L4038" s="60">
        <v>-999</v>
      </c>
      <c r="M4038" s="33"/>
    </row>
    <row r="4039" spans="1:13" ht="14" x14ac:dyDescent="0.15">
      <c r="A4039" s="166" t="s">
        <v>2481</v>
      </c>
      <c r="B4039" s="93" t="s">
        <v>5852</v>
      </c>
      <c r="C4039" s="70" t="s">
        <v>3636</v>
      </c>
      <c r="D4039" s="70" t="s">
        <v>3437</v>
      </c>
      <c r="E4039" s="70" t="s">
        <v>3258</v>
      </c>
      <c r="F4039" s="70" t="s">
        <v>5345</v>
      </c>
      <c r="G4039" s="70" t="s">
        <v>7813</v>
      </c>
      <c r="H4039" s="93"/>
      <c r="I4039" s="85">
        <v>-999</v>
      </c>
      <c r="J4039" s="85">
        <v>-999</v>
      </c>
      <c r="K4039" s="131" t="s">
        <v>6391</v>
      </c>
      <c r="L4039" s="60">
        <v>-999</v>
      </c>
      <c r="M4039" s="33" t="s">
        <v>6390</v>
      </c>
    </row>
    <row r="4040" spans="1:13" ht="14" x14ac:dyDescent="0.15">
      <c r="A4040" s="166" t="s">
        <v>2481</v>
      </c>
      <c r="B4040" s="93" t="s">
        <v>5852</v>
      </c>
      <c r="C4040" s="70" t="s">
        <v>3636</v>
      </c>
      <c r="D4040" s="70" t="s">
        <v>3437</v>
      </c>
      <c r="E4040" s="70" t="s">
        <v>3258</v>
      </c>
      <c r="F4040" s="70" t="s">
        <v>5345</v>
      </c>
      <c r="G4040" s="70" t="s">
        <v>7814</v>
      </c>
      <c r="H4040" s="93"/>
      <c r="I4040" s="85">
        <v>-999</v>
      </c>
      <c r="J4040" s="85">
        <v>-999</v>
      </c>
      <c r="K4040" s="131" t="s">
        <v>3177</v>
      </c>
      <c r="L4040" s="60">
        <v>-999</v>
      </c>
      <c r="M4040" s="33"/>
    </row>
    <row r="4041" spans="1:13" ht="14" x14ac:dyDescent="0.15">
      <c r="A4041" s="166" t="s">
        <v>2481</v>
      </c>
      <c r="B4041" s="82" t="s">
        <v>2018</v>
      </c>
      <c r="C4041" s="70" t="s">
        <v>3636</v>
      </c>
      <c r="D4041" s="70" t="s">
        <v>3437</v>
      </c>
      <c r="E4041" s="70" t="s">
        <v>3258</v>
      </c>
      <c r="F4041" s="70" t="s">
        <v>5345</v>
      </c>
      <c r="G4041" s="70" t="s">
        <v>5077</v>
      </c>
      <c r="H4041" s="93"/>
      <c r="I4041" s="85">
        <f t="shared" ref="I4041:I4053" si="158">LOG(J4041)</f>
        <v>1.8603380065709938</v>
      </c>
      <c r="J4041" s="85">
        <f>AVERAGE(75, 70)</f>
        <v>72.5</v>
      </c>
      <c r="K4041" s="131" t="s">
        <v>6485</v>
      </c>
      <c r="L4041" s="60" t="s">
        <v>7536</v>
      </c>
      <c r="M4041" s="33"/>
    </row>
    <row r="4042" spans="1:13" ht="14" x14ac:dyDescent="0.15">
      <c r="A4042" s="166" t="s">
        <v>2481</v>
      </c>
      <c r="B4042" s="93" t="s">
        <v>2018</v>
      </c>
      <c r="C4042" s="70" t="s">
        <v>3636</v>
      </c>
      <c r="D4042" s="70" t="s">
        <v>3437</v>
      </c>
      <c r="E4042" s="70" t="s">
        <v>3258</v>
      </c>
      <c r="F4042" s="70" t="s">
        <v>5345</v>
      </c>
      <c r="G4042" s="70" t="s">
        <v>3863</v>
      </c>
      <c r="H4042" s="93"/>
      <c r="I4042" s="85">
        <f t="shared" si="158"/>
        <v>1.8808135922807914</v>
      </c>
      <c r="J4042" s="85">
        <f>1000*0.076</f>
        <v>76</v>
      </c>
      <c r="K4042" s="131" t="s">
        <v>6391</v>
      </c>
      <c r="L4042" s="60">
        <v>60</v>
      </c>
      <c r="M4042" s="33" t="s">
        <v>6728</v>
      </c>
    </row>
    <row r="4043" spans="1:13" ht="14" x14ac:dyDescent="0.15">
      <c r="A4043" s="166" t="s">
        <v>2481</v>
      </c>
      <c r="B4043" s="93" t="s">
        <v>2018</v>
      </c>
      <c r="C4043" s="70" t="s">
        <v>3636</v>
      </c>
      <c r="D4043" s="70" t="s">
        <v>3437</v>
      </c>
      <c r="E4043" s="70" t="s">
        <v>3258</v>
      </c>
      <c r="F4043" s="70" t="s">
        <v>5345</v>
      </c>
      <c r="G4043" s="70" t="s">
        <v>5057</v>
      </c>
      <c r="H4043" s="93"/>
      <c r="I4043" s="85">
        <f t="shared" si="158"/>
        <v>1.9294189257142926</v>
      </c>
      <c r="J4043" s="85">
        <f>AVERAGE(60, 120, 80, 80)</f>
        <v>85</v>
      </c>
      <c r="K4043" s="131" t="s">
        <v>3177</v>
      </c>
      <c r="L4043" s="60" t="s">
        <v>7538</v>
      </c>
      <c r="M4043" s="33"/>
    </row>
    <row r="4044" spans="1:13" ht="14" x14ac:dyDescent="0.15">
      <c r="A4044" s="166" t="s">
        <v>2481</v>
      </c>
      <c r="B4044" s="93" t="s">
        <v>2018</v>
      </c>
      <c r="C4044" s="70" t="s">
        <v>3636</v>
      </c>
      <c r="D4044" s="70" t="s">
        <v>3437</v>
      </c>
      <c r="E4044" s="70" t="s">
        <v>3258</v>
      </c>
      <c r="F4044" s="70" t="s">
        <v>5345</v>
      </c>
      <c r="G4044" s="70" t="s">
        <v>7649</v>
      </c>
      <c r="H4044" s="93"/>
      <c r="I4044" s="85">
        <f t="shared" si="158"/>
        <v>2.0625819842281632</v>
      </c>
      <c r="J4044" s="85">
        <f>AVERAGE(103, 128)</f>
        <v>115.5</v>
      </c>
      <c r="K4044" s="131" t="s">
        <v>6391</v>
      </c>
      <c r="L4044" s="60" t="s">
        <v>7532</v>
      </c>
      <c r="M4044" s="33" t="s">
        <v>6392</v>
      </c>
    </row>
    <row r="4045" spans="1:13" ht="14" x14ac:dyDescent="0.15">
      <c r="A4045" s="166" t="s">
        <v>2481</v>
      </c>
      <c r="B4045" s="93" t="s">
        <v>5852</v>
      </c>
      <c r="C4045" s="70" t="s">
        <v>3636</v>
      </c>
      <c r="D4045" s="70" t="s">
        <v>3437</v>
      </c>
      <c r="E4045" s="70" t="s">
        <v>3258</v>
      </c>
      <c r="F4045" s="70" t="s">
        <v>5345</v>
      </c>
      <c r="G4045" s="70" t="s">
        <v>6023</v>
      </c>
      <c r="H4045" s="93"/>
      <c r="I4045" s="85">
        <f t="shared" si="158"/>
        <v>2.2121876044039577</v>
      </c>
      <c r="J4045" s="85">
        <v>163</v>
      </c>
      <c r="K4045" s="131" t="s">
        <v>6391</v>
      </c>
      <c r="L4045" s="60">
        <v>60</v>
      </c>
      <c r="M4045" s="33" t="s">
        <v>6728</v>
      </c>
    </row>
    <row r="4046" spans="1:13" ht="14" x14ac:dyDescent="0.15">
      <c r="A4046" s="70" t="s">
        <v>2481</v>
      </c>
      <c r="B4046" s="93" t="s">
        <v>5852</v>
      </c>
      <c r="C4046" s="70" t="s">
        <v>3636</v>
      </c>
      <c r="D4046" s="70" t="s">
        <v>3437</v>
      </c>
      <c r="E4046" s="70" t="s">
        <v>3258</v>
      </c>
      <c r="F4046" s="70" t="s">
        <v>5345</v>
      </c>
      <c r="G4046" s="70" t="s">
        <v>5160</v>
      </c>
      <c r="H4046" s="93"/>
      <c r="I4046" s="85">
        <f t="shared" si="158"/>
        <v>2.3521825181113627</v>
      </c>
      <c r="J4046" s="85">
        <f>AVERAGE(233, 207, 235)</f>
        <v>225</v>
      </c>
      <c r="K4046" s="131" t="s">
        <v>6391</v>
      </c>
      <c r="L4046" s="60">
        <v>122</v>
      </c>
      <c r="M4046" s="33" t="s">
        <v>6728</v>
      </c>
    </row>
    <row r="4047" spans="1:13" ht="14" x14ac:dyDescent="0.15">
      <c r="A4047" s="166" t="s">
        <v>2481</v>
      </c>
      <c r="B4047" s="93" t="s">
        <v>5852</v>
      </c>
      <c r="C4047" s="70" t="s">
        <v>3636</v>
      </c>
      <c r="D4047" s="70" t="s">
        <v>3437</v>
      </c>
      <c r="E4047" s="70" t="s">
        <v>3258</v>
      </c>
      <c r="F4047" s="70" t="s">
        <v>5345</v>
      </c>
      <c r="G4047" s="70" t="s">
        <v>6022</v>
      </c>
      <c r="H4047" s="93"/>
      <c r="I4047" s="85">
        <f t="shared" si="158"/>
        <v>2.3873898263387292</v>
      </c>
      <c r="J4047" s="85">
        <v>244</v>
      </c>
      <c r="K4047" s="131" t="s">
        <v>3177</v>
      </c>
      <c r="L4047" s="60">
        <v>60</v>
      </c>
      <c r="M4047" s="33"/>
    </row>
    <row r="4048" spans="1:13" ht="14" x14ac:dyDescent="0.15">
      <c r="A4048" s="166" t="s">
        <v>2481</v>
      </c>
      <c r="B4048" s="93" t="s">
        <v>5852</v>
      </c>
      <c r="C4048" s="70" t="s">
        <v>3636</v>
      </c>
      <c r="D4048" s="70" t="s">
        <v>3437</v>
      </c>
      <c r="E4048" s="70" t="s">
        <v>3258</v>
      </c>
      <c r="F4048" s="70" t="s">
        <v>5345</v>
      </c>
      <c r="G4048" s="70" t="s">
        <v>7815</v>
      </c>
      <c r="H4048" s="93"/>
      <c r="I4048" s="85">
        <f t="shared" si="158"/>
        <v>2.4014005407815442</v>
      </c>
      <c r="J4048" s="85">
        <v>252</v>
      </c>
      <c r="K4048" s="131" t="s">
        <v>6391</v>
      </c>
      <c r="L4048" s="60">
        <v>60</v>
      </c>
      <c r="M4048" s="33" t="s">
        <v>6392</v>
      </c>
    </row>
    <row r="4049" spans="1:13" ht="14" x14ac:dyDescent="0.15">
      <c r="A4049" s="166" t="s">
        <v>2481</v>
      </c>
      <c r="B4049" s="93" t="s">
        <v>5852</v>
      </c>
      <c r="C4049" s="70" t="s">
        <v>3636</v>
      </c>
      <c r="D4049" s="70" t="s">
        <v>3437</v>
      </c>
      <c r="E4049" s="70" t="s">
        <v>3258</v>
      </c>
      <c r="F4049" s="70" t="s">
        <v>5345</v>
      </c>
      <c r="G4049" s="70" t="s">
        <v>5609</v>
      </c>
      <c r="H4049" s="93"/>
      <c r="I4049" s="85">
        <f t="shared" si="158"/>
        <v>2.4014005407815442</v>
      </c>
      <c r="J4049" s="85">
        <v>252</v>
      </c>
      <c r="K4049" s="131" t="s">
        <v>6391</v>
      </c>
      <c r="L4049" s="60">
        <v>60</v>
      </c>
      <c r="M4049" s="33" t="s">
        <v>6392</v>
      </c>
    </row>
    <row r="4050" spans="1:13" ht="14" x14ac:dyDescent="0.15">
      <c r="A4050" s="166" t="s">
        <v>2481</v>
      </c>
      <c r="B4050" s="82" t="s">
        <v>2018</v>
      </c>
      <c r="C4050" s="70" t="s">
        <v>3636</v>
      </c>
      <c r="D4050" s="70" t="s">
        <v>3437</v>
      </c>
      <c r="E4050" s="70" t="s">
        <v>3258</v>
      </c>
      <c r="F4050" s="70" t="s">
        <v>5345</v>
      </c>
      <c r="G4050" s="70" t="s">
        <v>5346</v>
      </c>
      <c r="H4050" s="93"/>
      <c r="I4050" s="85">
        <f t="shared" si="158"/>
        <v>2.4948500216800942</v>
      </c>
      <c r="J4050" s="85">
        <f>AVERAGE(260, 365)</f>
        <v>312.5</v>
      </c>
      <c r="K4050" s="131"/>
      <c r="L4050" s="60" t="s">
        <v>7532</v>
      </c>
      <c r="M4050" s="33"/>
    </row>
    <row r="4051" spans="1:13" ht="14" x14ac:dyDescent="0.15">
      <c r="A4051" s="166" t="s">
        <v>2481</v>
      </c>
      <c r="B4051" s="93" t="s">
        <v>1349</v>
      </c>
      <c r="C4051" s="70" t="s">
        <v>3636</v>
      </c>
      <c r="D4051" s="70" t="s">
        <v>3437</v>
      </c>
      <c r="E4051" s="70" t="s">
        <v>3258</v>
      </c>
      <c r="F4051" s="70" t="s">
        <v>5401</v>
      </c>
      <c r="G4051" s="70" t="s">
        <v>7170</v>
      </c>
      <c r="H4051" s="93"/>
      <c r="I4051" s="85">
        <f t="shared" si="158"/>
        <v>1.8481891169913987</v>
      </c>
      <c r="J4051" s="85">
        <f>1000*AVERAGE(0.0677, 0.0733)</f>
        <v>70.5</v>
      </c>
      <c r="K4051" s="131" t="s">
        <v>3177</v>
      </c>
      <c r="L4051" s="60">
        <v>60</v>
      </c>
      <c r="M4051" s="33"/>
    </row>
    <row r="4052" spans="1:13" ht="28" x14ac:dyDescent="0.15">
      <c r="A4052" s="166" t="s">
        <v>2481</v>
      </c>
      <c r="B4052" s="93" t="s">
        <v>2018</v>
      </c>
      <c r="C4052" s="70" t="s">
        <v>3636</v>
      </c>
      <c r="D4052" s="70" t="s">
        <v>4010</v>
      </c>
      <c r="E4052" s="70" t="s">
        <v>3817</v>
      </c>
      <c r="F4052" s="70" t="s">
        <v>5541</v>
      </c>
      <c r="G4052" s="70" t="s">
        <v>5675</v>
      </c>
      <c r="H4052" s="93"/>
      <c r="I4052" s="85">
        <f t="shared" si="158"/>
        <v>1.7781512503836436</v>
      </c>
      <c r="J4052" s="85">
        <v>60</v>
      </c>
      <c r="K4052" s="131" t="s">
        <v>7875</v>
      </c>
      <c r="L4052" s="60">
        <v>139</v>
      </c>
      <c r="M4052" s="53" t="s">
        <v>6728</v>
      </c>
    </row>
    <row r="4053" spans="1:13" ht="14" x14ac:dyDescent="0.15">
      <c r="A4053" s="166" t="s">
        <v>2481</v>
      </c>
      <c r="B4053" s="82" t="s">
        <v>2018</v>
      </c>
      <c r="C4053" s="70" t="s">
        <v>3636</v>
      </c>
      <c r="D4053" s="70" t="s">
        <v>4010</v>
      </c>
      <c r="E4053" s="70" t="s">
        <v>3817</v>
      </c>
      <c r="F4053" s="70" t="s">
        <v>5658</v>
      </c>
      <c r="G4053" s="70" t="s">
        <v>5057</v>
      </c>
      <c r="H4053" s="93"/>
      <c r="I4053" s="85">
        <f t="shared" si="158"/>
        <v>1.615423952885944</v>
      </c>
      <c r="J4053" s="85">
        <f>AVERAGE(40, 42.5)</f>
        <v>41.25</v>
      </c>
      <c r="K4053" s="131" t="s">
        <v>6485</v>
      </c>
      <c r="L4053" s="60" t="s">
        <v>7536</v>
      </c>
      <c r="M4053" s="33"/>
    </row>
    <row r="4054" spans="1:13" ht="28" x14ac:dyDescent="0.15">
      <c r="A4054" s="166" t="s">
        <v>2481</v>
      </c>
      <c r="B4054" s="93" t="s">
        <v>6858</v>
      </c>
      <c r="C4054" s="70" t="s">
        <v>3636</v>
      </c>
      <c r="D4054" s="70" t="s">
        <v>4010</v>
      </c>
      <c r="E4054" s="70" t="s">
        <v>3817</v>
      </c>
      <c r="F4054" s="70" t="s">
        <v>5058</v>
      </c>
      <c r="G4054" s="70" t="s">
        <v>4095</v>
      </c>
      <c r="H4054" s="93"/>
      <c r="I4054" s="85">
        <v>-999</v>
      </c>
      <c r="J4054" s="85">
        <v>-999</v>
      </c>
      <c r="K4054" s="131" t="s">
        <v>6391</v>
      </c>
      <c r="L4054" s="60">
        <v>-999</v>
      </c>
      <c r="M4054" s="33" t="s">
        <v>6728</v>
      </c>
    </row>
    <row r="4055" spans="1:13" ht="14" x14ac:dyDescent="0.15">
      <c r="A4055" s="166" t="s">
        <v>2481</v>
      </c>
      <c r="B4055" s="93" t="s">
        <v>2018</v>
      </c>
      <c r="C4055" s="70" t="s">
        <v>3636</v>
      </c>
      <c r="D4055" s="70" t="s">
        <v>4010</v>
      </c>
      <c r="E4055" s="70" t="s">
        <v>3817</v>
      </c>
      <c r="F4055" s="70" t="s">
        <v>5058</v>
      </c>
      <c r="G4055" s="70" t="s">
        <v>3627</v>
      </c>
      <c r="H4055" s="93"/>
      <c r="I4055" s="85">
        <v>-999</v>
      </c>
      <c r="J4055" s="85">
        <v>-999</v>
      </c>
      <c r="K4055" s="131" t="s">
        <v>6391</v>
      </c>
      <c r="L4055" s="60">
        <v>-999</v>
      </c>
      <c r="M4055" s="33" t="s">
        <v>6390</v>
      </c>
    </row>
    <row r="4056" spans="1:13" ht="14" x14ac:dyDescent="0.15">
      <c r="A4056" s="166" t="s">
        <v>2481</v>
      </c>
      <c r="B4056" s="93" t="s">
        <v>5852</v>
      </c>
      <c r="C4056" s="70" t="s">
        <v>3636</v>
      </c>
      <c r="D4056" s="70" t="s">
        <v>4010</v>
      </c>
      <c r="E4056" s="70" t="s">
        <v>3817</v>
      </c>
      <c r="F4056" s="70" t="s">
        <v>5058</v>
      </c>
      <c r="G4056" s="70" t="s">
        <v>4636</v>
      </c>
      <c r="H4056" s="93"/>
      <c r="I4056" s="85">
        <v>-999</v>
      </c>
      <c r="J4056" s="85">
        <v>-999</v>
      </c>
      <c r="K4056" s="131" t="s">
        <v>6391</v>
      </c>
      <c r="L4056" s="60">
        <v>-999</v>
      </c>
      <c r="M4056" s="33" t="s">
        <v>6728</v>
      </c>
    </row>
    <row r="4057" spans="1:13" ht="14" x14ac:dyDescent="0.15">
      <c r="A4057" s="165" t="s">
        <v>2481</v>
      </c>
      <c r="B4057" s="97" t="s">
        <v>2487</v>
      </c>
      <c r="C4057" s="70" t="s">
        <v>3636</v>
      </c>
      <c r="D4057" s="70" t="s">
        <v>4010</v>
      </c>
      <c r="E4057" s="70" t="s">
        <v>3817</v>
      </c>
      <c r="F4057" s="70" t="s">
        <v>5058</v>
      </c>
      <c r="G4057" s="70" t="s">
        <v>2913</v>
      </c>
      <c r="H4057" s="93"/>
      <c r="I4057" s="85">
        <f t="shared" ref="I4057:I4088" si="159">LOG(J4057)</f>
        <v>1.7675268994083819</v>
      </c>
      <c r="J4057" s="85">
        <f>AVERAGE(30, 71, 52.8, 67, 56.5, 74)</f>
        <v>58.550000000000004</v>
      </c>
      <c r="K4057" s="131" t="s">
        <v>3177</v>
      </c>
      <c r="L4057" s="63" t="s">
        <v>1382</v>
      </c>
      <c r="M4057" s="33"/>
    </row>
    <row r="4058" spans="1:13" ht="14" x14ac:dyDescent="0.15">
      <c r="A4058" s="166" t="s">
        <v>2481</v>
      </c>
      <c r="B4058" s="93" t="s">
        <v>2018</v>
      </c>
      <c r="C4058" s="70" t="s">
        <v>3636</v>
      </c>
      <c r="D4058" s="70" t="s">
        <v>4010</v>
      </c>
      <c r="E4058" s="70" t="s">
        <v>3817</v>
      </c>
      <c r="F4058" s="70" t="s">
        <v>5058</v>
      </c>
      <c r="G4058" s="70" t="s">
        <v>3605</v>
      </c>
      <c r="H4058" s="93"/>
      <c r="I4058" s="85">
        <f t="shared" si="159"/>
        <v>1.8725932620341004</v>
      </c>
      <c r="J4058" s="85">
        <f>AVERAGE(60, 98, 69, 71.3)</f>
        <v>74.575000000000003</v>
      </c>
      <c r="K4058" s="131" t="s">
        <v>3177</v>
      </c>
      <c r="L4058" s="60" t="s">
        <v>7538</v>
      </c>
      <c r="M4058" s="33"/>
    </row>
    <row r="4059" spans="1:13" ht="14" x14ac:dyDescent="0.15">
      <c r="A4059" s="166" t="s">
        <v>2481</v>
      </c>
      <c r="B4059" s="93" t="s">
        <v>2487</v>
      </c>
      <c r="C4059" s="70" t="s">
        <v>3636</v>
      </c>
      <c r="D4059" s="70" t="s">
        <v>4010</v>
      </c>
      <c r="E4059" s="70" t="s">
        <v>3817</v>
      </c>
      <c r="F4059" s="70" t="s">
        <v>5058</v>
      </c>
      <c r="G4059" s="70" t="s">
        <v>5424</v>
      </c>
      <c r="H4059" s="93"/>
      <c r="I4059" s="85">
        <f t="shared" si="159"/>
        <v>2.0211892990699383</v>
      </c>
      <c r="J4059" s="85">
        <v>105</v>
      </c>
      <c r="K4059" s="131" t="s">
        <v>3177</v>
      </c>
      <c r="L4059" s="60">
        <v>60</v>
      </c>
      <c r="M4059" s="33"/>
    </row>
    <row r="4060" spans="1:13" ht="14" x14ac:dyDescent="0.15">
      <c r="A4060" s="166" t="s">
        <v>2481</v>
      </c>
      <c r="B4060" s="93" t="s">
        <v>2018</v>
      </c>
      <c r="C4060" s="70" t="s">
        <v>3636</v>
      </c>
      <c r="D4060" s="70" t="s">
        <v>4010</v>
      </c>
      <c r="E4060" s="70" t="s">
        <v>3817</v>
      </c>
      <c r="F4060" s="70" t="s">
        <v>5058</v>
      </c>
      <c r="G4060" s="70" t="s">
        <v>5261</v>
      </c>
      <c r="H4060" s="93"/>
      <c r="I4060" s="85">
        <f t="shared" si="159"/>
        <v>2.1687920203141817</v>
      </c>
      <c r="J4060" s="85">
        <f>AVERAGE(100, 195)</f>
        <v>147.5</v>
      </c>
      <c r="K4060" s="131" t="s">
        <v>3177</v>
      </c>
      <c r="L4060" s="60">
        <v>257</v>
      </c>
      <c r="M4060" s="33"/>
    </row>
    <row r="4061" spans="1:13" ht="14" x14ac:dyDescent="0.15">
      <c r="A4061" s="166" t="s">
        <v>2481</v>
      </c>
      <c r="B4061" s="93" t="s">
        <v>2487</v>
      </c>
      <c r="C4061" s="70" t="s">
        <v>3636</v>
      </c>
      <c r="D4061" s="70" t="s">
        <v>4010</v>
      </c>
      <c r="E4061" s="70" t="s">
        <v>3817</v>
      </c>
      <c r="F4061" s="70" t="s">
        <v>5058</v>
      </c>
      <c r="G4061" s="70" t="s">
        <v>7483</v>
      </c>
      <c r="H4061" s="93"/>
      <c r="I4061" s="85">
        <f t="shared" si="159"/>
        <v>2.2041199826559246</v>
      </c>
      <c r="J4061" s="85">
        <v>160</v>
      </c>
      <c r="K4061" s="135"/>
      <c r="L4061" s="60">
        <v>60</v>
      </c>
      <c r="M4061" s="33"/>
    </row>
    <row r="4062" spans="1:13" ht="28" x14ac:dyDescent="0.15">
      <c r="A4062" s="166" t="s">
        <v>2481</v>
      </c>
      <c r="B4062" s="82" t="s">
        <v>6860</v>
      </c>
      <c r="C4062" s="70" t="s">
        <v>3636</v>
      </c>
      <c r="D4062" s="70" t="s">
        <v>4010</v>
      </c>
      <c r="E4062" s="70" t="s">
        <v>3817</v>
      </c>
      <c r="F4062" s="70" t="s">
        <v>5058</v>
      </c>
      <c r="G4062" s="70" t="s">
        <v>5238</v>
      </c>
      <c r="H4062" s="93"/>
      <c r="I4062" s="85">
        <f t="shared" si="159"/>
        <v>2.2310871205848226</v>
      </c>
      <c r="J4062" s="85">
        <f>(6/16)*454</f>
        <v>170.25</v>
      </c>
      <c r="K4062" s="131" t="s">
        <v>6391</v>
      </c>
      <c r="L4062" s="60">
        <v>133</v>
      </c>
      <c r="M4062" s="33" t="s">
        <v>6390</v>
      </c>
    </row>
    <row r="4063" spans="1:13" ht="14" x14ac:dyDescent="0.15">
      <c r="A4063" s="166" t="s">
        <v>2481</v>
      </c>
      <c r="B4063" s="82" t="s">
        <v>2018</v>
      </c>
      <c r="C4063" s="70" t="s">
        <v>3636</v>
      </c>
      <c r="D4063" s="70" t="s">
        <v>4010</v>
      </c>
      <c r="E4063" s="70" t="s">
        <v>3817</v>
      </c>
      <c r="F4063" s="70" t="s">
        <v>5058</v>
      </c>
      <c r="G4063" s="70" t="s">
        <v>7782</v>
      </c>
      <c r="H4063" s="93"/>
      <c r="I4063" s="85">
        <f t="shared" si="159"/>
        <v>2.2568780318187245</v>
      </c>
      <c r="J4063" s="85">
        <f>AVERAGE(148, 159, 235)</f>
        <v>180.66666666666666</v>
      </c>
      <c r="K4063" s="131" t="s">
        <v>6485</v>
      </c>
      <c r="L4063" s="60" t="s">
        <v>7540</v>
      </c>
      <c r="M4063" s="33"/>
    </row>
    <row r="4064" spans="1:13" ht="14" x14ac:dyDescent="0.15">
      <c r="A4064" s="166" t="s">
        <v>2481</v>
      </c>
      <c r="B4064" s="93" t="s">
        <v>2487</v>
      </c>
      <c r="C4064" s="70" t="s">
        <v>3636</v>
      </c>
      <c r="D4064" s="70" t="s">
        <v>4010</v>
      </c>
      <c r="E4064" s="70" t="s">
        <v>3817</v>
      </c>
      <c r="F4064" s="70" t="s">
        <v>5058</v>
      </c>
      <c r="G4064" s="70" t="s">
        <v>7484</v>
      </c>
      <c r="H4064" s="93"/>
      <c r="I4064" s="85">
        <f t="shared" si="159"/>
        <v>2.2962811743995468</v>
      </c>
      <c r="J4064" s="85">
        <f>AVERAGE(154, 305, 174, 158.3)</f>
        <v>197.82499999999999</v>
      </c>
      <c r="K4064" s="131" t="s">
        <v>3177</v>
      </c>
      <c r="L4064" s="60" t="s">
        <v>1382</v>
      </c>
      <c r="M4064" s="33"/>
    </row>
    <row r="4065" spans="1:13" ht="14" x14ac:dyDescent="0.15">
      <c r="A4065" s="70" t="s">
        <v>2481</v>
      </c>
      <c r="B4065" s="93" t="s">
        <v>2018</v>
      </c>
      <c r="C4065" s="70" t="s">
        <v>3636</v>
      </c>
      <c r="D4065" s="70" t="s">
        <v>4010</v>
      </c>
      <c r="E4065" s="70" t="s">
        <v>3817</v>
      </c>
      <c r="F4065" s="70" t="s">
        <v>5058</v>
      </c>
      <c r="G4065" s="70" t="s">
        <v>5659</v>
      </c>
      <c r="H4065" s="93"/>
      <c r="I4065" s="85">
        <f t="shared" si="159"/>
        <v>2.2988530764097068</v>
      </c>
      <c r="J4065" s="85">
        <f>AVERAGE(95, 219, 283)</f>
        <v>199</v>
      </c>
      <c r="K4065" s="131" t="s">
        <v>6485</v>
      </c>
      <c r="L4065" s="60" t="s">
        <v>7541</v>
      </c>
    </row>
    <row r="4066" spans="1:13" ht="14" x14ac:dyDescent="0.15">
      <c r="A4066" s="166" t="s">
        <v>2481</v>
      </c>
      <c r="B4066" s="93" t="s">
        <v>2018</v>
      </c>
      <c r="C4066" s="70" t="s">
        <v>3636</v>
      </c>
      <c r="D4066" s="70" t="s">
        <v>4010</v>
      </c>
      <c r="E4066" s="70" t="s">
        <v>3817</v>
      </c>
      <c r="F4066" s="70" t="s">
        <v>5058</v>
      </c>
      <c r="G4066" s="70" t="s">
        <v>3449</v>
      </c>
      <c r="H4066" s="93"/>
      <c r="I4066" s="85">
        <f t="shared" si="159"/>
        <v>2.4232458739368079</v>
      </c>
      <c r="J4066" s="85">
        <v>265</v>
      </c>
      <c r="K4066" s="131"/>
      <c r="L4066" s="60">
        <v>60</v>
      </c>
      <c r="M4066" s="33"/>
    </row>
    <row r="4067" spans="1:13" ht="17" x14ac:dyDescent="0.2">
      <c r="A4067" s="166" t="s">
        <v>2481</v>
      </c>
      <c r="B4067" s="93" t="s">
        <v>4705</v>
      </c>
      <c r="C4067" s="70" t="s">
        <v>3636</v>
      </c>
      <c r="D4067" s="70" t="s">
        <v>4010</v>
      </c>
      <c r="E4067" s="70" t="s">
        <v>3817</v>
      </c>
      <c r="F4067" s="70" t="s">
        <v>6244</v>
      </c>
      <c r="G4067" s="70" t="s">
        <v>4108</v>
      </c>
      <c r="H4067" s="93"/>
      <c r="I4067" s="85">
        <f t="shared" si="159"/>
        <v>2.5440680443502757</v>
      </c>
      <c r="J4067" s="85">
        <v>350</v>
      </c>
      <c r="K4067" s="131" t="s">
        <v>6391</v>
      </c>
      <c r="L4067" s="60">
        <v>68</v>
      </c>
      <c r="M4067" s="47" t="s">
        <v>6728</v>
      </c>
    </row>
    <row r="4068" spans="1:13" ht="14" x14ac:dyDescent="0.15">
      <c r="A4068" s="166" t="s">
        <v>2481</v>
      </c>
      <c r="B4068" s="82" t="s">
        <v>2487</v>
      </c>
      <c r="C4068" s="70" t="s">
        <v>3636</v>
      </c>
      <c r="D4068" s="70" t="s">
        <v>7093</v>
      </c>
      <c r="E4068" s="70" t="s">
        <v>7720</v>
      </c>
      <c r="F4068" s="70" t="s">
        <v>7721</v>
      </c>
      <c r="G4068" s="70" t="s">
        <v>7722</v>
      </c>
      <c r="H4068" s="93"/>
      <c r="I4068" s="85">
        <f t="shared" si="159"/>
        <v>5.3010299956639813</v>
      </c>
      <c r="J4068" s="85">
        <f>AVERAGE(150000, 250000)</f>
        <v>200000</v>
      </c>
      <c r="K4068" s="131" t="s">
        <v>3177</v>
      </c>
      <c r="L4068" s="60">
        <v>118</v>
      </c>
      <c r="M4068" s="33"/>
    </row>
    <row r="4069" spans="1:13" ht="14" x14ac:dyDescent="0.15">
      <c r="A4069" s="70" t="s">
        <v>3635</v>
      </c>
      <c r="B4069" s="82"/>
      <c r="C4069" s="70" t="s">
        <v>3636</v>
      </c>
      <c r="D4069" s="70" t="s">
        <v>2837</v>
      </c>
      <c r="E4069" s="70" t="s">
        <v>3022</v>
      </c>
      <c r="F4069" s="70" t="s">
        <v>3023</v>
      </c>
      <c r="G4069" s="70" t="s">
        <v>3176</v>
      </c>
      <c r="H4069" s="93"/>
      <c r="I4069" s="85">
        <f t="shared" si="159"/>
        <v>4.6635400000000011</v>
      </c>
      <c r="J4069" s="85">
        <v>46082.921067455376</v>
      </c>
      <c r="K4069" s="131" t="s">
        <v>3177</v>
      </c>
      <c r="L4069" s="60">
        <v>60</v>
      </c>
    </row>
    <row r="4070" spans="1:13" ht="14" x14ac:dyDescent="0.15">
      <c r="A4070" s="70" t="s">
        <v>3635</v>
      </c>
      <c r="B4070" s="82"/>
      <c r="C4070" s="70" t="s">
        <v>3636</v>
      </c>
      <c r="D4070" s="70" t="s">
        <v>2837</v>
      </c>
      <c r="E4070" s="70" t="s">
        <v>3178</v>
      </c>
      <c r="F4070" s="70" t="s">
        <v>7191</v>
      </c>
      <c r="G4070" s="70" t="s">
        <v>7192</v>
      </c>
      <c r="H4070" s="93"/>
      <c r="I4070" s="85">
        <f t="shared" si="159"/>
        <v>5.7628700000000013</v>
      </c>
      <c r="J4070" s="85">
        <v>579255.2784790505</v>
      </c>
      <c r="K4070" s="131" t="s">
        <v>3177</v>
      </c>
      <c r="L4070" s="63">
        <v>60</v>
      </c>
      <c r="M4070" s="49" t="s">
        <v>6392</v>
      </c>
    </row>
    <row r="4071" spans="1:13" ht="14" x14ac:dyDescent="0.15">
      <c r="A4071" s="70" t="s">
        <v>3635</v>
      </c>
      <c r="B4071" s="82"/>
      <c r="C4071" s="70" t="s">
        <v>3636</v>
      </c>
      <c r="D4071" s="70" t="s">
        <v>2837</v>
      </c>
      <c r="E4071" s="70" t="s">
        <v>3178</v>
      </c>
      <c r="F4071" s="70" t="s">
        <v>7193</v>
      </c>
      <c r="G4071" s="70" t="s">
        <v>7194</v>
      </c>
      <c r="H4071" s="93"/>
      <c r="I4071" s="85">
        <f t="shared" si="159"/>
        <v>4.8603399999999999</v>
      </c>
      <c r="J4071" s="85">
        <v>72500.332778657481</v>
      </c>
      <c r="K4071" s="131" t="s">
        <v>3177</v>
      </c>
      <c r="L4071" s="63">
        <v>60</v>
      </c>
    </row>
    <row r="4072" spans="1:13" x14ac:dyDescent="0.15">
      <c r="A4072" s="166" t="s">
        <v>3635</v>
      </c>
      <c r="B4072" s="82"/>
      <c r="C4072" s="70" t="s">
        <v>3636</v>
      </c>
      <c r="D4072" s="70" t="s">
        <v>2837</v>
      </c>
      <c r="E4072" s="70" t="s">
        <v>3178</v>
      </c>
      <c r="F4072" s="70" t="s">
        <v>7195</v>
      </c>
      <c r="G4072" s="70" t="s">
        <v>6966</v>
      </c>
      <c r="H4072" s="93"/>
      <c r="I4072" s="85">
        <f t="shared" si="159"/>
        <v>5.5664400000000009</v>
      </c>
      <c r="J4072" s="85">
        <v>368502.12788516423</v>
      </c>
      <c r="K4072" s="135"/>
      <c r="L4072" s="60">
        <v>60</v>
      </c>
    </row>
    <row r="4073" spans="1:13" ht="14" x14ac:dyDescent="0.15">
      <c r="A4073" s="166" t="s">
        <v>3635</v>
      </c>
      <c r="B4073" s="82"/>
      <c r="C4073" s="70" t="s">
        <v>3636</v>
      </c>
      <c r="D4073" s="70" t="s">
        <v>2837</v>
      </c>
      <c r="E4073" s="70" t="s">
        <v>3178</v>
      </c>
      <c r="F4073" s="70" t="s">
        <v>3938</v>
      </c>
      <c r="G4073" s="70" t="s">
        <v>7197</v>
      </c>
      <c r="H4073" s="93"/>
      <c r="I4073" s="85">
        <f t="shared" si="159"/>
        <v>4.745470000000001</v>
      </c>
      <c r="J4073" s="85">
        <v>55650.619084470993</v>
      </c>
      <c r="K4073" s="131" t="s">
        <v>3177</v>
      </c>
      <c r="L4073" s="60">
        <v>60</v>
      </c>
    </row>
    <row r="4074" spans="1:13" ht="42" x14ac:dyDescent="0.2">
      <c r="A4074" s="166" t="s">
        <v>3635</v>
      </c>
      <c r="B4074" s="82"/>
      <c r="C4074" s="70" t="s">
        <v>3636</v>
      </c>
      <c r="D4074" s="70" t="s">
        <v>2837</v>
      </c>
      <c r="E4074" s="70" t="s">
        <v>3178</v>
      </c>
      <c r="F4074" s="70" t="s">
        <v>3938</v>
      </c>
      <c r="G4074" s="70" t="s">
        <v>3939</v>
      </c>
      <c r="H4074" s="93"/>
      <c r="I4074" s="85">
        <f t="shared" si="159"/>
        <v>4.8730000000000011</v>
      </c>
      <c r="J4074" s="85">
        <v>74644.875841006782</v>
      </c>
      <c r="K4074" s="131" t="s">
        <v>6724</v>
      </c>
      <c r="L4074" s="63">
        <v>60</v>
      </c>
      <c r="M4074" s="47" t="s">
        <v>6392</v>
      </c>
    </row>
    <row r="4075" spans="1:13" ht="16" x14ac:dyDescent="0.2">
      <c r="A4075" s="166" t="s">
        <v>3635</v>
      </c>
      <c r="B4075" s="82"/>
      <c r="C4075" s="70" t="s">
        <v>3636</v>
      </c>
      <c r="D4075" s="70" t="s">
        <v>2837</v>
      </c>
      <c r="E4075" s="70" t="s">
        <v>3724</v>
      </c>
      <c r="F4075" s="70" t="s">
        <v>4136</v>
      </c>
      <c r="G4075" s="70" t="s">
        <v>4151</v>
      </c>
      <c r="H4075" s="93"/>
      <c r="I4075" s="85">
        <f t="shared" si="159"/>
        <v>5.5550900000000007</v>
      </c>
      <c r="J4075" s="85">
        <v>358996.32269922015</v>
      </c>
      <c r="K4075" s="131" t="s">
        <v>3177</v>
      </c>
      <c r="L4075" s="60">
        <v>60</v>
      </c>
      <c r="M4075" s="47"/>
    </row>
    <row r="4076" spans="1:13" x14ac:dyDescent="0.15">
      <c r="A4076" s="169" t="s">
        <v>3635</v>
      </c>
      <c r="B4076" s="90"/>
      <c r="C4076" s="91" t="s">
        <v>3636</v>
      </c>
      <c r="D4076" s="91" t="s">
        <v>2837</v>
      </c>
      <c r="E4076" s="91" t="s">
        <v>3724</v>
      </c>
      <c r="F4076" s="91" t="s">
        <v>3725</v>
      </c>
      <c r="G4076" s="91" t="s">
        <v>3682</v>
      </c>
      <c r="H4076" s="176"/>
      <c r="I4076" s="85">
        <f t="shared" si="159"/>
        <v>5.3379600000000007</v>
      </c>
      <c r="J4076" s="92">
        <v>217750.92071073258</v>
      </c>
      <c r="K4076" s="137"/>
      <c r="L4076" s="65">
        <v>60</v>
      </c>
    </row>
    <row r="4077" spans="1:13" ht="14" x14ac:dyDescent="0.15">
      <c r="A4077" s="166" t="s">
        <v>3635</v>
      </c>
      <c r="B4077" s="82"/>
      <c r="C4077" s="70" t="s">
        <v>3636</v>
      </c>
      <c r="D4077" s="70" t="s">
        <v>2837</v>
      </c>
      <c r="E4077" s="70" t="s">
        <v>3724</v>
      </c>
      <c r="F4077" s="70" t="s">
        <v>4152</v>
      </c>
      <c r="G4077" s="70" t="s">
        <v>3176</v>
      </c>
      <c r="H4077" s="93"/>
      <c r="I4077" s="85">
        <f t="shared" si="159"/>
        <v>4.3579300000000005</v>
      </c>
      <c r="J4077" s="85">
        <v>22799.7455390334</v>
      </c>
      <c r="K4077" s="131" t="s">
        <v>3177</v>
      </c>
      <c r="L4077" s="60">
        <v>60</v>
      </c>
      <c r="M4077" s="49" t="s">
        <v>6727</v>
      </c>
    </row>
    <row r="4078" spans="1:13" ht="14" x14ac:dyDescent="0.15">
      <c r="A4078" s="166" t="s">
        <v>3635</v>
      </c>
      <c r="B4078" s="82"/>
      <c r="C4078" s="70" t="s">
        <v>3636</v>
      </c>
      <c r="D4078" s="70" t="s">
        <v>2837</v>
      </c>
      <c r="E4078" s="70" t="s">
        <v>3724</v>
      </c>
      <c r="F4078" s="70" t="s">
        <v>4153</v>
      </c>
      <c r="G4078" s="70" t="s">
        <v>4154</v>
      </c>
      <c r="H4078" s="93"/>
      <c r="I4078" s="85">
        <f t="shared" si="159"/>
        <v>4.7340999999999998</v>
      </c>
      <c r="J4078" s="85">
        <v>54212.570508795718</v>
      </c>
      <c r="K4078" s="131" t="s">
        <v>3177</v>
      </c>
      <c r="L4078" s="63">
        <v>60</v>
      </c>
    </row>
    <row r="4079" spans="1:13" ht="14" x14ac:dyDescent="0.15">
      <c r="A4079" s="166" t="s">
        <v>3635</v>
      </c>
      <c r="B4079" s="82"/>
      <c r="C4079" s="70" t="s">
        <v>3636</v>
      </c>
      <c r="D4079" s="70" t="s">
        <v>2837</v>
      </c>
      <c r="E4079" s="70" t="s">
        <v>3724</v>
      </c>
      <c r="F4079" s="70" t="s">
        <v>4153</v>
      </c>
      <c r="G4079" s="70" t="s">
        <v>3932</v>
      </c>
      <c r="H4079" s="93"/>
      <c r="I4079" s="85">
        <f t="shared" si="159"/>
        <v>4.7443600000000012</v>
      </c>
      <c r="J4079" s="85">
        <v>55508.564980303127</v>
      </c>
      <c r="K4079" s="131" t="s">
        <v>3177</v>
      </c>
      <c r="L4079" s="63">
        <v>60</v>
      </c>
    </row>
    <row r="4080" spans="1:13" ht="14" x14ac:dyDescent="0.15">
      <c r="A4080" s="166" t="s">
        <v>3635</v>
      </c>
      <c r="B4080" s="82"/>
      <c r="C4080" s="70" t="s">
        <v>3636</v>
      </c>
      <c r="D4080" s="70" t="s">
        <v>2837</v>
      </c>
      <c r="E4080" s="70" t="s">
        <v>3724</v>
      </c>
      <c r="F4080" s="70" t="s">
        <v>3933</v>
      </c>
      <c r="G4080" s="70" t="s">
        <v>3495</v>
      </c>
      <c r="H4080" s="93"/>
      <c r="I4080" s="85">
        <f t="shared" si="159"/>
        <v>4.9346699999999997</v>
      </c>
      <c r="J4080" s="85">
        <v>86033.977192547318</v>
      </c>
      <c r="K4080" s="131" t="s">
        <v>3177</v>
      </c>
      <c r="L4080" s="60">
        <v>60</v>
      </c>
    </row>
    <row r="4081" spans="1:13" ht="14" x14ac:dyDescent="0.15">
      <c r="A4081" s="166" t="s">
        <v>3635</v>
      </c>
      <c r="B4081" s="82"/>
      <c r="C4081" s="70" t="s">
        <v>3636</v>
      </c>
      <c r="D4081" s="70" t="s">
        <v>2837</v>
      </c>
      <c r="E4081" s="70" t="s">
        <v>4379</v>
      </c>
      <c r="F4081" s="70" t="s">
        <v>3768</v>
      </c>
      <c r="G4081" s="70" t="s">
        <v>3769</v>
      </c>
      <c r="H4081" s="93"/>
      <c r="I4081" s="85">
        <f t="shared" si="159"/>
        <v>4.327700000000001</v>
      </c>
      <c r="J4081" s="85">
        <v>21266.694872358308</v>
      </c>
      <c r="K4081" s="131" t="s">
        <v>3177</v>
      </c>
      <c r="L4081" s="60">
        <v>60</v>
      </c>
    </row>
    <row r="4082" spans="1:13" ht="14" x14ac:dyDescent="0.15">
      <c r="A4082" s="166" t="s">
        <v>3635</v>
      </c>
      <c r="B4082" s="82"/>
      <c r="C4082" s="70" t="s">
        <v>3636</v>
      </c>
      <c r="D4082" s="70" t="s">
        <v>2837</v>
      </c>
      <c r="E4082" s="70" t="s">
        <v>4379</v>
      </c>
      <c r="F4082" s="70" t="s">
        <v>4380</v>
      </c>
      <c r="G4082" s="70" t="s">
        <v>4381</v>
      </c>
      <c r="H4082" s="93"/>
      <c r="I4082" s="85">
        <f t="shared" si="159"/>
        <v>4.5083100000000007</v>
      </c>
      <c r="J4082" s="85">
        <v>32233.688154104955</v>
      </c>
      <c r="K4082" s="131" t="s">
        <v>3177</v>
      </c>
      <c r="L4082" s="63">
        <v>60</v>
      </c>
    </row>
    <row r="4083" spans="1:13" ht="14" x14ac:dyDescent="0.15">
      <c r="A4083" s="166" t="s">
        <v>3635</v>
      </c>
      <c r="B4083" s="82"/>
      <c r="C4083" s="73" t="s">
        <v>3636</v>
      </c>
      <c r="D4083" s="73" t="s">
        <v>3773</v>
      </c>
      <c r="E4083" s="73" t="s">
        <v>3774</v>
      </c>
      <c r="F4083" s="73" t="s">
        <v>1960</v>
      </c>
      <c r="G4083" s="73" t="s">
        <v>1961</v>
      </c>
      <c r="H4083" s="108"/>
      <c r="I4083" s="85">
        <f t="shared" si="159"/>
        <v>3.53782</v>
      </c>
      <c r="J4083" s="95">
        <v>3450.0071886717133</v>
      </c>
      <c r="K4083" s="131" t="s">
        <v>3177</v>
      </c>
      <c r="L4083" s="60">
        <v>60</v>
      </c>
    </row>
    <row r="4084" spans="1:13" ht="14" x14ac:dyDescent="0.15">
      <c r="A4084" s="166" t="s">
        <v>3635</v>
      </c>
      <c r="B4084" s="82"/>
      <c r="C4084" s="70" t="s">
        <v>3636</v>
      </c>
      <c r="D4084" s="70" t="s">
        <v>3773</v>
      </c>
      <c r="E4084" s="70" t="s">
        <v>3774</v>
      </c>
      <c r="F4084" s="70" t="s">
        <v>3775</v>
      </c>
      <c r="G4084" s="70" t="s">
        <v>4473</v>
      </c>
      <c r="H4084" s="93"/>
      <c r="I4084" s="85">
        <f t="shared" si="159"/>
        <v>4.1273100000000005</v>
      </c>
      <c r="J4084" s="85">
        <v>13406.332918647711</v>
      </c>
      <c r="K4084" s="131" t="s">
        <v>3177</v>
      </c>
      <c r="L4084" s="60">
        <v>60</v>
      </c>
    </row>
    <row r="4085" spans="1:13" ht="14" x14ac:dyDescent="0.15">
      <c r="A4085" s="166" t="s">
        <v>3635</v>
      </c>
      <c r="B4085" s="82"/>
      <c r="C4085" s="70" t="s">
        <v>3636</v>
      </c>
      <c r="D4085" s="70" t="s">
        <v>3773</v>
      </c>
      <c r="E4085" s="70" t="s">
        <v>3774</v>
      </c>
      <c r="F4085" s="70" t="s">
        <v>3775</v>
      </c>
      <c r="G4085" s="70" t="s">
        <v>2230</v>
      </c>
      <c r="H4085" s="93"/>
      <c r="I4085" s="85">
        <f t="shared" si="159"/>
        <v>4.3614100000000002</v>
      </c>
      <c r="J4085" s="85">
        <v>22983.173734904718</v>
      </c>
      <c r="K4085" s="131" t="s">
        <v>6527</v>
      </c>
      <c r="L4085" s="60">
        <v>60</v>
      </c>
      <c r="M4085" s="49" t="s">
        <v>6809</v>
      </c>
    </row>
    <row r="4086" spans="1:13" x14ac:dyDescent="0.15">
      <c r="A4086" s="166" t="s">
        <v>3635</v>
      </c>
      <c r="B4086" s="82"/>
      <c r="C4086" s="70" t="s">
        <v>3636</v>
      </c>
      <c r="D4086" s="70" t="s">
        <v>3773</v>
      </c>
      <c r="E4086" s="70" t="s">
        <v>3774</v>
      </c>
      <c r="F4086" s="70" t="s">
        <v>3775</v>
      </c>
      <c r="G4086" s="70" t="s">
        <v>4492</v>
      </c>
      <c r="H4086" s="93"/>
      <c r="I4086" s="85">
        <f t="shared" si="159"/>
        <v>4.6309361190641916</v>
      </c>
      <c r="J4086" s="85">
        <v>42750</v>
      </c>
      <c r="K4086" s="140"/>
      <c r="L4086" s="63">
        <v>75</v>
      </c>
    </row>
    <row r="4087" spans="1:13" ht="28" x14ac:dyDescent="0.15">
      <c r="A4087" s="166" t="s">
        <v>3635</v>
      </c>
      <c r="B4087" s="82" t="s">
        <v>2341</v>
      </c>
      <c r="C4087" s="70" t="s">
        <v>3636</v>
      </c>
      <c r="D4087" s="70" t="s">
        <v>3773</v>
      </c>
      <c r="E4087" s="70" t="s">
        <v>3774</v>
      </c>
      <c r="F4087" s="70" t="s">
        <v>2231</v>
      </c>
      <c r="G4087" s="70" t="s">
        <v>5580</v>
      </c>
      <c r="H4087" s="93"/>
      <c r="I4087" s="85">
        <f t="shared" si="159"/>
        <v>3.2778383330020473</v>
      </c>
      <c r="J4087" s="85">
        <v>1896</v>
      </c>
      <c r="K4087" s="131" t="s">
        <v>6695</v>
      </c>
      <c r="L4087" s="60">
        <v>68</v>
      </c>
      <c r="M4087" s="49" t="s">
        <v>6392</v>
      </c>
    </row>
    <row r="4088" spans="1:13" ht="14" x14ac:dyDescent="0.15">
      <c r="A4088" s="166" t="s">
        <v>3635</v>
      </c>
      <c r="B4088" s="82"/>
      <c r="C4088" s="70" t="s">
        <v>3636</v>
      </c>
      <c r="D4088" s="70" t="s">
        <v>3773</v>
      </c>
      <c r="E4088" s="70" t="s">
        <v>3774</v>
      </c>
      <c r="F4088" s="70" t="s">
        <v>2231</v>
      </c>
      <c r="G4088" s="70" t="s">
        <v>2232</v>
      </c>
      <c r="H4088" s="93"/>
      <c r="I4088" s="85">
        <f t="shared" si="159"/>
        <v>3.5836200000000002</v>
      </c>
      <c r="J4088" s="85">
        <v>3833.7165526970089</v>
      </c>
      <c r="K4088" s="131" t="s">
        <v>3177</v>
      </c>
      <c r="L4088" s="60">
        <v>60</v>
      </c>
    </row>
    <row r="4089" spans="1:13" ht="14" x14ac:dyDescent="0.15">
      <c r="A4089" s="166" t="s">
        <v>3635</v>
      </c>
      <c r="B4089" s="82"/>
      <c r="C4089" s="70" t="s">
        <v>3636</v>
      </c>
      <c r="D4089" s="70" t="s">
        <v>3773</v>
      </c>
      <c r="E4089" s="70" t="s">
        <v>3774</v>
      </c>
      <c r="F4089" s="70" t="s">
        <v>4362</v>
      </c>
      <c r="G4089" s="70" t="s">
        <v>2233</v>
      </c>
      <c r="H4089" s="93"/>
      <c r="I4089" s="85">
        <f t="shared" ref="I4089:I4120" si="160">LOG(J4089)</f>
        <v>3.3419300000000001</v>
      </c>
      <c r="J4089" s="85">
        <v>2197.505648176154</v>
      </c>
      <c r="K4089" s="131" t="s">
        <v>6522</v>
      </c>
      <c r="L4089" s="60">
        <v>60</v>
      </c>
      <c r="M4089" s="49" t="s">
        <v>6392</v>
      </c>
    </row>
    <row r="4090" spans="1:13" ht="14" x14ac:dyDescent="0.15">
      <c r="A4090" s="166" t="s">
        <v>3635</v>
      </c>
      <c r="B4090" s="82"/>
      <c r="C4090" s="70" t="s">
        <v>3636</v>
      </c>
      <c r="D4090" s="70" t="s">
        <v>3773</v>
      </c>
      <c r="E4090" s="70" t="s">
        <v>3774</v>
      </c>
      <c r="F4090" s="70" t="s">
        <v>4362</v>
      </c>
      <c r="G4090" s="70" t="s">
        <v>4494</v>
      </c>
      <c r="H4090" s="93"/>
      <c r="I4090" s="85">
        <f t="shared" si="160"/>
        <v>3.6161300000000005</v>
      </c>
      <c r="J4090" s="85">
        <v>4131.7116050966706</v>
      </c>
      <c r="K4090" s="131" t="s">
        <v>3177</v>
      </c>
      <c r="L4090" s="60">
        <v>60</v>
      </c>
    </row>
    <row r="4091" spans="1:13" ht="14" x14ac:dyDescent="0.15">
      <c r="A4091" s="166" t="s">
        <v>3635</v>
      </c>
      <c r="B4091" s="82"/>
      <c r="C4091" s="70" t="s">
        <v>3636</v>
      </c>
      <c r="D4091" s="70" t="s">
        <v>3773</v>
      </c>
      <c r="E4091" s="70" t="s">
        <v>7053</v>
      </c>
      <c r="F4091" s="70" t="s">
        <v>7056</v>
      </c>
      <c r="G4091" s="70" t="s">
        <v>7057</v>
      </c>
      <c r="H4091" s="93"/>
      <c r="I4091" s="85">
        <f t="shared" si="160"/>
        <v>3.9542400000000004</v>
      </c>
      <c r="J4091" s="85">
        <v>8999.9479963720187</v>
      </c>
      <c r="K4091" s="131" t="s">
        <v>3177</v>
      </c>
      <c r="L4091" s="69">
        <v>66</v>
      </c>
    </row>
    <row r="4092" spans="1:13" ht="14" x14ac:dyDescent="0.15">
      <c r="A4092" s="166" t="s">
        <v>3635</v>
      </c>
      <c r="B4092" s="82"/>
      <c r="C4092" s="70" t="s">
        <v>3636</v>
      </c>
      <c r="D4092" s="70" t="s">
        <v>3773</v>
      </c>
      <c r="E4092" s="70" t="s">
        <v>7053</v>
      </c>
      <c r="F4092" s="70" t="s">
        <v>7058</v>
      </c>
      <c r="G4092" s="70" t="s">
        <v>3389</v>
      </c>
      <c r="H4092" s="93"/>
      <c r="I4092" s="85">
        <f t="shared" si="160"/>
        <v>3.3521825181113627</v>
      </c>
      <c r="J4092" s="85">
        <v>2250</v>
      </c>
      <c r="K4092" s="131" t="s">
        <v>6522</v>
      </c>
      <c r="L4092" s="69">
        <v>61</v>
      </c>
      <c r="M4092" s="49" t="s">
        <v>6725</v>
      </c>
    </row>
    <row r="4093" spans="1:13" ht="14" x14ac:dyDescent="0.15">
      <c r="A4093" s="166" t="s">
        <v>3635</v>
      </c>
      <c r="B4093" s="82"/>
      <c r="C4093" s="70" t="s">
        <v>3636</v>
      </c>
      <c r="D4093" s="70" t="s">
        <v>3773</v>
      </c>
      <c r="E4093" s="70" t="s">
        <v>7053</v>
      </c>
      <c r="F4093" s="70" t="s">
        <v>7058</v>
      </c>
      <c r="G4093" s="70" t="s">
        <v>7110</v>
      </c>
      <c r="H4093" s="93"/>
      <c r="I4093" s="85">
        <f t="shared" si="160"/>
        <v>3.5118800000000006</v>
      </c>
      <c r="J4093" s="85">
        <v>3249.9748485428022</v>
      </c>
      <c r="K4093" s="131" t="s">
        <v>3177</v>
      </c>
      <c r="L4093" s="60">
        <v>60</v>
      </c>
    </row>
    <row r="4094" spans="1:13" ht="14" x14ac:dyDescent="0.15">
      <c r="A4094" s="166" t="s">
        <v>3635</v>
      </c>
      <c r="B4094" s="82"/>
      <c r="C4094" s="70" t="s">
        <v>3636</v>
      </c>
      <c r="D4094" s="70" t="s">
        <v>3773</v>
      </c>
      <c r="E4094" s="70" t="s">
        <v>7053</v>
      </c>
      <c r="F4094" s="70" t="s">
        <v>7058</v>
      </c>
      <c r="G4094" s="70" t="s">
        <v>7109</v>
      </c>
      <c r="H4094" s="93"/>
      <c r="I4094" s="85">
        <f t="shared" si="160"/>
        <v>4.0755499999999998</v>
      </c>
      <c r="J4094" s="85">
        <v>11900.083260453186</v>
      </c>
      <c r="K4094" s="131" t="s">
        <v>3177</v>
      </c>
      <c r="L4094" s="60">
        <v>60</v>
      </c>
    </row>
    <row r="4095" spans="1:13" ht="14" x14ac:dyDescent="0.15">
      <c r="A4095" s="166" t="s">
        <v>3635</v>
      </c>
      <c r="B4095" s="82"/>
      <c r="C4095" s="70" t="s">
        <v>3636</v>
      </c>
      <c r="D4095" s="70" t="s">
        <v>3773</v>
      </c>
      <c r="E4095" s="70" t="s">
        <v>7053</v>
      </c>
      <c r="F4095" s="70" t="s">
        <v>7111</v>
      </c>
      <c r="G4095" s="70" t="s">
        <v>2230</v>
      </c>
      <c r="H4095" s="93"/>
      <c r="I4095" s="85">
        <f t="shared" si="160"/>
        <v>3.949590000000001</v>
      </c>
      <c r="J4095" s="85">
        <v>8904.0994091113262</v>
      </c>
      <c r="K4095" s="131" t="s">
        <v>3177</v>
      </c>
      <c r="L4095" s="60">
        <v>60</v>
      </c>
    </row>
    <row r="4096" spans="1:13" ht="14" x14ac:dyDescent="0.15">
      <c r="A4096" s="166" t="s">
        <v>3635</v>
      </c>
      <c r="B4096" s="82"/>
      <c r="C4096" s="70" t="s">
        <v>3636</v>
      </c>
      <c r="D4096" s="70" t="s">
        <v>3773</v>
      </c>
      <c r="E4096" s="70" t="s">
        <v>7053</v>
      </c>
      <c r="F4096" s="70" t="s">
        <v>7111</v>
      </c>
      <c r="G4096" s="70" t="s">
        <v>3939</v>
      </c>
      <c r="H4096" s="93"/>
      <c r="I4096" s="85">
        <f t="shared" si="160"/>
        <v>3.9718900000000006</v>
      </c>
      <c r="J4096" s="85">
        <v>9373.2456720393548</v>
      </c>
      <c r="K4096" s="131" t="s">
        <v>3177</v>
      </c>
      <c r="L4096" s="60">
        <v>60</v>
      </c>
    </row>
    <row r="4097" spans="1:13" ht="28" x14ac:dyDescent="0.15">
      <c r="A4097" s="166" t="s">
        <v>3635</v>
      </c>
      <c r="B4097" s="82"/>
      <c r="C4097" s="70" t="s">
        <v>3636</v>
      </c>
      <c r="D4097" s="70" t="s">
        <v>3773</v>
      </c>
      <c r="E4097" s="70" t="s">
        <v>7053</v>
      </c>
      <c r="F4097" s="70" t="s">
        <v>4677</v>
      </c>
      <c r="G4097" s="70" t="s">
        <v>2359</v>
      </c>
      <c r="H4097" s="93"/>
      <c r="I4097" s="85">
        <f t="shared" si="160"/>
        <v>5</v>
      </c>
      <c r="J4097" s="85">
        <v>100000</v>
      </c>
      <c r="K4097" s="131" t="s">
        <v>6654</v>
      </c>
      <c r="L4097" s="60">
        <v>60</v>
      </c>
      <c r="M4097" s="49" t="s">
        <v>6725</v>
      </c>
    </row>
    <row r="4098" spans="1:13" ht="14" x14ac:dyDescent="0.15">
      <c r="A4098" s="166" t="s">
        <v>3635</v>
      </c>
      <c r="B4098" s="82"/>
      <c r="C4098" s="70" t="s">
        <v>3636</v>
      </c>
      <c r="D4098" s="70" t="s">
        <v>3773</v>
      </c>
      <c r="E4098" s="70" t="s">
        <v>7053</v>
      </c>
      <c r="F4098" s="70" t="s">
        <v>2093</v>
      </c>
      <c r="G4098" s="70" t="s">
        <v>3388</v>
      </c>
      <c r="H4098" s="93"/>
      <c r="I4098" s="85">
        <f t="shared" si="160"/>
        <v>4.71265</v>
      </c>
      <c r="J4098" s="85">
        <v>51600.035450694937</v>
      </c>
      <c r="K4098" s="131" t="s">
        <v>6662</v>
      </c>
      <c r="L4098" s="60">
        <v>60</v>
      </c>
      <c r="M4098" s="49" t="s">
        <v>6725</v>
      </c>
    </row>
    <row r="4099" spans="1:13" ht="14" x14ac:dyDescent="0.15">
      <c r="A4099" s="166" t="s">
        <v>3635</v>
      </c>
      <c r="B4099" s="82"/>
      <c r="C4099" s="70" t="s">
        <v>3636</v>
      </c>
      <c r="D4099" s="70" t="s">
        <v>3773</v>
      </c>
      <c r="E4099" s="70" t="s">
        <v>4076</v>
      </c>
      <c r="F4099" s="70" t="s">
        <v>4263</v>
      </c>
      <c r="G4099" s="70" t="s">
        <v>4301</v>
      </c>
      <c r="H4099" s="93"/>
      <c r="I4099" s="85">
        <f t="shared" si="160"/>
        <v>3.0791800000000005</v>
      </c>
      <c r="J4099" s="85">
        <v>1199.9965570481172</v>
      </c>
      <c r="K4099" s="131" t="s">
        <v>3177</v>
      </c>
      <c r="L4099" s="60">
        <v>60</v>
      </c>
    </row>
    <row r="4100" spans="1:13" ht="14" x14ac:dyDescent="0.15">
      <c r="A4100" s="166" t="s">
        <v>3635</v>
      </c>
      <c r="B4100" s="82"/>
      <c r="C4100" s="70" t="s">
        <v>3636</v>
      </c>
      <c r="D4100" s="70" t="s">
        <v>3773</v>
      </c>
      <c r="E4100" s="70" t="s">
        <v>4076</v>
      </c>
      <c r="F4100" s="70" t="s">
        <v>4263</v>
      </c>
      <c r="G4100" s="70" t="s">
        <v>4300</v>
      </c>
      <c r="H4100" s="93"/>
      <c r="I4100" s="85">
        <f t="shared" si="160"/>
        <v>3.3032000000000004</v>
      </c>
      <c r="J4100" s="85">
        <v>2010.0182471136952</v>
      </c>
      <c r="K4100" s="131" t="s">
        <v>3177</v>
      </c>
      <c r="L4100" s="60">
        <v>60</v>
      </c>
    </row>
    <row r="4101" spans="1:13" ht="14" x14ac:dyDescent="0.15">
      <c r="A4101" s="166" t="s">
        <v>3635</v>
      </c>
      <c r="B4101" s="82"/>
      <c r="C4101" s="70" t="s">
        <v>3636</v>
      </c>
      <c r="D4101" s="70" t="s">
        <v>3773</v>
      </c>
      <c r="E4101" s="70" t="s">
        <v>4076</v>
      </c>
      <c r="F4101" s="70" t="s">
        <v>4263</v>
      </c>
      <c r="G4101" s="70" t="s">
        <v>4264</v>
      </c>
      <c r="H4101" s="93"/>
      <c r="I4101" s="85">
        <f t="shared" si="160"/>
        <v>3.5440700000000001</v>
      </c>
      <c r="J4101" s="85">
        <v>3500.0157607101446</v>
      </c>
      <c r="K4101" s="131" t="s">
        <v>3177</v>
      </c>
      <c r="L4101" s="69">
        <v>66</v>
      </c>
    </row>
    <row r="4102" spans="1:13" ht="14" x14ac:dyDescent="0.15">
      <c r="A4102" s="166" t="s">
        <v>3635</v>
      </c>
      <c r="B4102" s="82"/>
      <c r="C4102" s="70" t="s">
        <v>3636</v>
      </c>
      <c r="D4102" s="70" t="s">
        <v>3773</v>
      </c>
      <c r="E4102" s="70" t="s">
        <v>4076</v>
      </c>
      <c r="F4102" s="70" t="s">
        <v>3638</v>
      </c>
      <c r="G4102" s="70" t="s">
        <v>3639</v>
      </c>
      <c r="H4102" s="93"/>
      <c r="I4102" s="85">
        <f t="shared" si="160"/>
        <v>3.5921800000000004</v>
      </c>
      <c r="J4102" s="85">
        <v>3910.0291936232725</v>
      </c>
      <c r="K4102" s="131" t="s">
        <v>3177</v>
      </c>
      <c r="L4102" s="60">
        <v>60</v>
      </c>
    </row>
    <row r="4103" spans="1:13" ht="98" x14ac:dyDescent="0.15">
      <c r="A4103" s="166" t="s">
        <v>3635</v>
      </c>
      <c r="B4103" s="82" t="s">
        <v>6800</v>
      </c>
      <c r="C4103" s="70" t="s">
        <v>3636</v>
      </c>
      <c r="D4103" s="70" t="s">
        <v>3773</v>
      </c>
      <c r="E4103" s="70" t="s">
        <v>4076</v>
      </c>
      <c r="F4103" s="70" t="s">
        <v>5139</v>
      </c>
      <c r="G4103" s="70" t="s">
        <v>5140</v>
      </c>
      <c r="H4103" s="93"/>
      <c r="I4103" s="85">
        <f t="shared" si="160"/>
        <v>4.3710678622717358</v>
      </c>
      <c r="J4103" s="85">
        <v>23500</v>
      </c>
      <c r="K4103" s="131" t="s">
        <v>6733</v>
      </c>
      <c r="L4103" s="60">
        <v>68</v>
      </c>
      <c r="M4103" s="49" t="s">
        <v>6390</v>
      </c>
    </row>
    <row r="4104" spans="1:13" ht="16" x14ac:dyDescent="0.2">
      <c r="A4104" s="166" t="s">
        <v>3635</v>
      </c>
      <c r="B4104" s="82"/>
      <c r="C4104" s="70" t="s">
        <v>3636</v>
      </c>
      <c r="D4104" s="70" t="s">
        <v>3773</v>
      </c>
      <c r="E4104" s="70" t="s">
        <v>4076</v>
      </c>
      <c r="F4104" s="70" t="s">
        <v>3640</v>
      </c>
      <c r="G4104" s="70" t="s">
        <v>3641</v>
      </c>
      <c r="H4104" s="93"/>
      <c r="I4104" s="85">
        <f t="shared" si="160"/>
        <v>3.5051500000000004</v>
      </c>
      <c r="J4104" s="85">
        <v>3200.0001597448445</v>
      </c>
      <c r="K4104" s="131" t="s">
        <v>3177</v>
      </c>
      <c r="L4104" s="60">
        <v>60</v>
      </c>
      <c r="M4104" s="47"/>
    </row>
    <row r="4105" spans="1:13" ht="14" x14ac:dyDescent="0.15">
      <c r="A4105" s="166" t="s">
        <v>3635</v>
      </c>
      <c r="B4105" s="82"/>
      <c r="C4105" s="70" t="s">
        <v>3636</v>
      </c>
      <c r="D4105" s="70" t="s">
        <v>3773</v>
      </c>
      <c r="E4105" s="70" t="s">
        <v>4076</v>
      </c>
      <c r="F4105" s="70" t="s">
        <v>3642</v>
      </c>
      <c r="G4105" s="70" t="s">
        <v>3643</v>
      </c>
      <c r="H4105" s="93"/>
      <c r="I4105" s="85">
        <f t="shared" si="160"/>
        <v>4.1621200000000007</v>
      </c>
      <c r="J4105" s="85">
        <v>14525.129062929564</v>
      </c>
      <c r="K4105" s="131" t="s">
        <v>6817</v>
      </c>
      <c r="L4105" s="60">
        <v>60</v>
      </c>
      <c r="M4105" s="49" t="s">
        <v>6728</v>
      </c>
    </row>
    <row r="4106" spans="1:13" ht="28" x14ac:dyDescent="0.15">
      <c r="A4106" s="166" t="s">
        <v>3635</v>
      </c>
      <c r="B4106" s="82"/>
      <c r="C4106" s="70" t="s">
        <v>3636</v>
      </c>
      <c r="D4106" s="70" t="s">
        <v>3773</v>
      </c>
      <c r="E4106" s="70" t="s">
        <v>4076</v>
      </c>
      <c r="F4106" s="70" t="s">
        <v>4266</v>
      </c>
      <c r="G4106" s="70" t="s">
        <v>4275</v>
      </c>
      <c r="H4106" s="93"/>
      <c r="I4106" s="85">
        <f t="shared" si="160"/>
        <v>3.8165700000000005</v>
      </c>
      <c r="J4106" s="85">
        <v>6554.9593078038397</v>
      </c>
      <c r="K4106" s="131" t="s">
        <v>6696</v>
      </c>
      <c r="L4106" s="60">
        <v>60</v>
      </c>
      <c r="M4106" s="49" t="s">
        <v>6727</v>
      </c>
    </row>
    <row r="4107" spans="1:13" ht="14" x14ac:dyDescent="0.15">
      <c r="A4107" s="166" t="s">
        <v>3635</v>
      </c>
      <c r="B4107" s="82"/>
      <c r="C4107" s="70" t="s">
        <v>3636</v>
      </c>
      <c r="D4107" s="70" t="s">
        <v>3773</v>
      </c>
      <c r="E4107" s="70" t="s">
        <v>4076</v>
      </c>
      <c r="F4107" s="70" t="s">
        <v>4266</v>
      </c>
      <c r="G4107" s="70" t="s">
        <v>3939</v>
      </c>
      <c r="H4107" s="93"/>
      <c r="I4107" s="85">
        <f t="shared" si="160"/>
        <v>3.9078100000000004</v>
      </c>
      <c r="J4107" s="85">
        <v>8087.4200428728464</v>
      </c>
      <c r="K4107" s="131" t="s">
        <v>3177</v>
      </c>
      <c r="L4107" s="60">
        <v>60</v>
      </c>
    </row>
    <row r="4108" spans="1:13" ht="14" x14ac:dyDescent="0.15">
      <c r="A4108" s="166" t="s">
        <v>3635</v>
      </c>
      <c r="B4108" s="82"/>
      <c r="C4108" s="70" t="s">
        <v>3636</v>
      </c>
      <c r="D4108" s="70" t="s">
        <v>3773</v>
      </c>
      <c r="E4108" s="70" t="s">
        <v>4076</v>
      </c>
      <c r="F4108" s="70" t="s">
        <v>3647</v>
      </c>
      <c r="G4108" s="70" t="s">
        <v>3176</v>
      </c>
      <c r="H4108" s="93"/>
      <c r="I4108" s="85">
        <f t="shared" si="160"/>
        <v>3.0969100000000003</v>
      </c>
      <c r="J4108" s="85">
        <v>1249.9999625598048</v>
      </c>
      <c r="K4108" s="131" t="s">
        <v>3177</v>
      </c>
      <c r="L4108" s="60">
        <v>60</v>
      </c>
    </row>
    <row r="4109" spans="1:13" ht="14" x14ac:dyDescent="0.15">
      <c r="A4109" s="166" t="s">
        <v>3635</v>
      </c>
      <c r="B4109" s="82"/>
      <c r="C4109" s="70" t="s">
        <v>3636</v>
      </c>
      <c r="D4109" s="70" t="s">
        <v>3773</v>
      </c>
      <c r="E4109" s="70" t="s">
        <v>4076</v>
      </c>
      <c r="F4109" s="70" t="s">
        <v>3647</v>
      </c>
      <c r="G4109" s="70" t="s">
        <v>3650</v>
      </c>
      <c r="H4109" s="93"/>
      <c r="I4109" s="85">
        <f t="shared" si="160"/>
        <v>3.6020599913279625</v>
      </c>
      <c r="J4109" s="85">
        <v>4000</v>
      </c>
      <c r="K4109" s="131" t="s">
        <v>3177</v>
      </c>
      <c r="L4109" s="60">
        <v>75</v>
      </c>
    </row>
    <row r="4110" spans="1:13" ht="16" x14ac:dyDescent="0.2">
      <c r="A4110" s="166" t="s">
        <v>3635</v>
      </c>
      <c r="B4110" s="82"/>
      <c r="C4110" s="70" t="s">
        <v>3636</v>
      </c>
      <c r="D4110" s="70" t="s">
        <v>3773</v>
      </c>
      <c r="E4110" s="70" t="s">
        <v>4076</v>
      </c>
      <c r="F4110" s="70" t="s">
        <v>3651</v>
      </c>
      <c r="G4110" s="70" t="s">
        <v>3652</v>
      </c>
      <c r="H4110" s="93"/>
      <c r="I4110" s="85">
        <f t="shared" si="160"/>
        <v>2.9037700000000002</v>
      </c>
      <c r="J4110" s="85">
        <v>801.25361144095211</v>
      </c>
      <c r="K4110" s="131" t="s">
        <v>3177</v>
      </c>
      <c r="L4110" s="60">
        <v>60</v>
      </c>
      <c r="M4110" s="47"/>
    </row>
    <row r="4111" spans="1:13" ht="14" x14ac:dyDescent="0.15">
      <c r="A4111" s="166" t="s">
        <v>3635</v>
      </c>
      <c r="B4111" s="82"/>
      <c r="C4111" s="70" t="s">
        <v>3636</v>
      </c>
      <c r="D4111" s="70" t="s">
        <v>3773</v>
      </c>
      <c r="E4111" s="70" t="s">
        <v>4076</v>
      </c>
      <c r="F4111" s="70" t="s">
        <v>3651</v>
      </c>
      <c r="G4111" s="70" t="s">
        <v>3193</v>
      </c>
      <c r="H4111" s="93"/>
      <c r="I4111" s="85">
        <f t="shared" si="160"/>
        <v>3.3191100000000002</v>
      </c>
      <c r="J4111" s="85">
        <v>2085.0189189058024</v>
      </c>
      <c r="K4111" s="131" t="s">
        <v>3177</v>
      </c>
      <c r="L4111" s="60">
        <v>60</v>
      </c>
    </row>
    <row r="4112" spans="1:13" ht="16" x14ac:dyDescent="0.2">
      <c r="A4112" s="166" t="s">
        <v>3635</v>
      </c>
      <c r="B4112" s="82"/>
      <c r="C4112" s="70" t="s">
        <v>3636</v>
      </c>
      <c r="D4112" s="70" t="s">
        <v>3773</v>
      </c>
      <c r="E4112" s="70" t="s">
        <v>4076</v>
      </c>
      <c r="F4112" s="70" t="s">
        <v>4297</v>
      </c>
      <c r="G4112" s="70" t="s">
        <v>3625</v>
      </c>
      <c r="H4112" s="93"/>
      <c r="I4112" s="85">
        <f t="shared" si="160"/>
        <v>1.6711700000000003</v>
      </c>
      <c r="J4112" s="85">
        <v>46.899693012675471</v>
      </c>
      <c r="K4112" s="131" t="s">
        <v>3177</v>
      </c>
      <c r="L4112" s="60">
        <v>60</v>
      </c>
      <c r="M4112" s="47"/>
    </row>
    <row r="4113" spans="1:13" ht="14" x14ac:dyDescent="0.15">
      <c r="A4113" s="70" t="s">
        <v>3635</v>
      </c>
      <c r="B4113" s="82"/>
      <c r="C4113" s="70" t="s">
        <v>3636</v>
      </c>
      <c r="D4113" s="70" t="s">
        <v>3773</v>
      </c>
      <c r="E4113" s="70" t="s">
        <v>4076</v>
      </c>
      <c r="F4113" s="70" t="s">
        <v>4297</v>
      </c>
      <c r="G4113" s="70" t="s">
        <v>3194</v>
      </c>
      <c r="H4113" s="93"/>
      <c r="I4113" s="85">
        <f t="shared" si="160"/>
        <v>1.8451000000000002</v>
      </c>
      <c r="J4113" s="85">
        <v>70.000315913089707</v>
      </c>
      <c r="K4113" s="131" t="s">
        <v>3177</v>
      </c>
      <c r="L4113" s="60">
        <v>60</v>
      </c>
    </row>
    <row r="4114" spans="1:13" ht="14" x14ac:dyDescent="0.15">
      <c r="A4114" s="70" t="s">
        <v>3635</v>
      </c>
      <c r="B4114" s="82"/>
      <c r="C4114" s="70" t="s">
        <v>3636</v>
      </c>
      <c r="D4114" s="70" t="s">
        <v>3773</v>
      </c>
      <c r="E4114" s="70" t="s">
        <v>4076</v>
      </c>
      <c r="F4114" s="70" t="s">
        <v>4297</v>
      </c>
      <c r="G4114" s="70" t="s">
        <v>4306</v>
      </c>
      <c r="H4114" s="93"/>
      <c r="I4114" s="85">
        <f t="shared" si="160"/>
        <v>2.1673200000000001</v>
      </c>
      <c r="J4114" s="85">
        <v>147.00090213722874</v>
      </c>
      <c r="K4114" s="131" t="s">
        <v>3177</v>
      </c>
      <c r="L4114" s="60">
        <v>60</v>
      </c>
    </row>
    <row r="4115" spans="1:13" ht="14" x14ac:dyDescent="0.15">
      <c r="A4115" s="70" t="s">
        <v>3635</v>
      </c>
      <c r="B4115" s="82"/>
      <c r="C4115" s="70" t="s">
        <v>3636</v>
      </c>
      <c r="D4115" s="70" t="s">
        <v>3773</v>
      </c>
      <c r="E4115" s="70" t="s">
        <v>4076</v>
      </c>
      <c r="F4115" s="70" t="s">
        <v>4297</v>
      </c>
      <c r="G4115" s="70" t="s">
        <v>4673</v>
      </c>
      <c r="H4115" s="93"/>
      <c r="I4115" s="85">
        <f t="shared" si="160"/>
        <v>2.9294199999999999</v>
      </c>
      <c r="J4115" s="85">
        <v>850.0021025917174</v>
      </c>
      <c r="K4115" s="131" t="s">
        <v>6638</v>
      </c>
      <c r="L4115" s="60">
        <v>60</v>
      </c>
      <c r="M4115" s="49" t="s">
        <v>6748</v>
      </c>
    </row>
    <row r="4116" spans="1:13" ht="16" x14ac:dyDescent="0.2">
      <c r="A4116" s="70" t="s">
        <v>3635</v>
      </c>
      <c r="B4116" s="82"/>
      <c r="C4116" s="70" t="s">
        <v>3636</v>
      </c>
      <c r="D4116" s="70" t="s">
        <v>3773</v>
      </c>
      <c r="E4116" s="70" t="s">
        <v>4076</v>
      </c>
      <c r="F4116" s="70" t="s">
        <v>4297</v>
      </c>
      <c r="G4116" s="70" t="s">
        <v>4110</v>
      </c>
      <c r="H4116" s="93"/>
      <c r="I4116" s="85">
        <f t="shared" si="160"/>
        <v>2.9754100000000006</v>
      </c>
      <c r="J4116" s="85">
        <v>944.95254712028554</v>
      </c>
      <c r="K4116" s="131" t="s">
        <v>3177</v>
      </c>
      <c r="L4116" s="60">
        <v>60</v>
      </c>
      <c r="M4116" s="47"/>
    </row>
    <row r="4117" spans="1:13" ht="14" x14ac:dyDescent="0.15">
      <c r="A4117" s="70" t="s">
        <v>3635</v>
      </c>
      <c r="B4117" s="82"/>
      <c r="C4117" s="70" t="s">
        <v>3636</v>
      </c>
      <c r="D4117" s="70" t="s">
        <v>3773</v>
      </c>
      <c r="E4117" s="70" t="s">
        <v>4076</v>
      </c>
      <c r="F4117" s="70" t="s">
        <v>4111</v>
      </c>
      <c r="G4117" s="70" t="s">
        <v>4112</v>
      </c>
      <c r="H4117" s="93"/>
      <c r="I4117" s="85">
        <f t="shared" si="160"/>
        <v>2.37107</v>
      </c>
      <c r="J4117" s="85">
        <v>235.00115674363673</v>
      </c>
      <c r="K4117" s="131" t="s">
        <v>3177</v>
      </c>
      <c r="L4117" s="60">
        <v>60</v>
      </c>
    </row>
    <row r="4118" spans="1:13" ht="14" x14ac:dyDescent="0.15">
      <c r="A4118" s="70" t="s">
        <v>3635</v>
      </c>
      <c r="B4118" s="82"/>
      <c r="C4118" s="70" t="s">
        <v>3636</v>
      </c>
      <c r="D4118" s="70" t="s">
        <v>3773</v>
      </c>
      <c r="E4118" s="70" t="s">
        <v>4076</v>
      </c>
      <c r="F4118" s="70" t="s">
        <v>4111</v>
      </c>
      <c r="G4118" s="70" t="s">
        <v>3416</v>
      </c>
      <c r="H4118" s="93"/>
      <c r="I4118" s="85">
        <f t="shared" si="160"/>
        <v>2.5327500000000005</v>
      </c>
      <c r="J4118" s="85">
        <v>340.99656171336346</v>
      </c>
      <c r="K4118" s="131" t="s">
        <v>3177</v>
      </c>
      <c r="L4118" s="60">
        <v>60</v>
      </c>
    </row>
    <row r="4119" spans="1:13" ht="14" x14ac:dyDescent="0.15">
      <c r="A4119" s="73" t="s">
        <v>3635</v>
      </c>
      <c r="B4119" s="82"/>
      <c r="C4119" s="70" t="s">
        <v>3636</v>
      </c>
      <c r="D4119" s="70" t="s">
        <v>3773</v>
      </c>
      <c r="E4119" s="70" t="s">
        <v>4076</v>
      </c>
      <c r="F4119" s="70" t="s">
        <v>4113</v>
      </c>
      <c r="G4119" s="70" t="s">
        <v>4114</v>
      </c>
      <c r="H4119" s="93"/>
      <c r="I4119" s="85">
        <f t="shared" si="160"/>
        <v>3.8517199999999998</v>
      </c>
      <c r="J4119" s="85">
        <v>7107.5512513855301</v>
      </c>
      <c r="K4119" s="131" t="s">
        <v>3177</v>
      </c>
      <c r="L4119" s="60">
        <v>60</v>
      </c>
    </row>
    <row r="4120" spans="1:13" ht="70" x14ac:dyDescent="0.15">
      <c r="A4120" s="70" t="s">
        <v>3635</v>
      </c>
      <c r="B4120" s="82" t="s">
        <v>2175</v>
      </c>
      <c r="C4120" s="70" t="s">
        <v>3636</v>
      </c>
      <c r="D4120" s="70" t="s">
        <v>3773</v>
      </c>
      <c r="E4120" s="70" t="s">
        <v>3351</v>
      </c>
      <c r="F4120" s="70" t="s">
        <v>3293</v>
      </c>
      <c r="G4120" s="70" t="s">
        <v>6323</v>
      </c>
      <c r="H4120" s="93"/>
      <c r="I4120" s="85">
        <f t="shared" si="160"/>
        <v>5.9164539485499255</v>
      </c>
      <c r="J4120" s="85">
        <v>825000</v>
      </c>
      <c r="K4120" s="131" t="s">
        <v>6485</v>
      </c>
      <c r="L4120" s="60">
        <v>68</v>
      </c>
    </row>
    <row r="4121" spans="1:13" ht="28" x14ac:dyDescent="0.2">
      <c r="A4121" s="70" t="s">
        <v>3635</v>
      </c>
      <c r="B4121" s="82" t="s">
        <v>2495</v>
      </c>
      <c r="C4121" s="70" t="s">
        <v>3636</v>
      </c>
      <c r="D4121" s="70" t="s">
        <v>3773</v>
      </c>
      <c r="E4121" s="70" t="s">
        <v>4286</v>
      </c>
      <c r="F4121" s="70" t="s">
        <v>3898</v>
      </c>
      <c r="G4121" s="70" t="s">
        <v>5518</v>
      </c>
      <c r="H4121" s="93"/>
      <c r="I4121" s="85">
        <f t="shared" ref="I4121:I4152" si="161">LOG(J4121)</f>
        <v>5.0211892990699383</v>
      </c>
      <c r="J4121" s="85">
        <f>AVERAGE(165000, 45000)</f>
        <v>105000</v>
      </c>
      <c r="K4121" s="131" t="s">
        <v>6630</v>
      </c>
      <c r="L4121" s="60">
        <v>105</v>
      </c>
      <c r="M4121" s="47" t="s">
        <v>6728</v>
      </c>
    </row>
    <row r="4122" spans="1:13" ht="28" x14ac:dyDescent="0.2">
      <c r="A4122" s="70" t="s">
        <v>3635</v>
      </c>
      <c r="B4122" s="82" t="s">
        <v>4825</v>
      </c>
      <c r="C4122" s="70" t="s">
        <v>3636</v>
      </c>
      <c r="D4122" s="70" t="s">
        <v>3773</v>
      </c>
      <c r="E4122" s="70" t="s">
        <v>4286</v>
      </c>
      <c r="F4122" s="70" t="s">
        <v>3290</v>
      </c>
      <c r="G4122" s="70" t="s">
        <v>4288</v>
      </c>
      <c r="H4122" s="93"/>
      <c r="I4122" s="85">
        <f t="shared" si="161"/>
        <v>4.6544942021251376</v>
      </c>
      <c r="J4122" s="85">
        <v>45133</v>
      </c>
      <c r="K4122" s="131" t="s">
        <v>1477</v>
      </c>
      <c r="L4122" s="60">
        <v>68</v>
      </c>
      <c r="M4122" s="47" t="s">
        <v>6728</v>
      </c>
    </row>
    <row r="4123" spans="1:13" ht="56" x14ac:dyDescent="0.2">
      <c r="A4123" s="70" t="s">
        <v>3635</v>
      </c>
      <c r="B4123" s="82" t="s">
        <v>4468</v>
      </c>
      <c r="C4123" s="70" t="s">
        <v>3636</v>
      </c>
      <c r="D4123" s="70" t="s">
        <v>3773</v>
      </c>
      <c r="E4123" s="70" t="s">
        <v>4286</v>
      </c>
      <c r="F4123" s="70" t="s">
        <v>3291</v>
      </c>
      <c r="G4123" s="70" t="s">
        <v>4653</v>
      </c>
      <c r="H4123" s="93"/>
      <c r="I4123" s="85">
        <f t="shared" si="161"/>
        <v>5.4913616938342731</v>
      </c>
      <c r="J4123" s="85">
        <v>310000</v>
      </c>
      <c r="K4123" s="131" t="s">
        <v>6815</v>
      </c>
      <c r="L4123" s="60">
        <v>68</v>
      </c>
      <c r="M4123" s="47" t="s">
        <v>6390</v>
      </c>
    </row>
    <row r="4124" spans="1:13" ht="56" x14ac:dyDescent="0.15">
      <c r="A4124" s="70" t="s">
        <v>3635</v>
      </c>
      <c r="B4124" s="82" t="s">
        <v>2331</v>
      </c>
      <c r="C4124" s="70" t="s">
        <v>3636</v>
      </c>
      <c r="D4124" s="70" t="s">
        <v>3773</v>
      </c>
      <c r="E4124" s="70" t="s">
        <v>4286</v>
      </c>
      <c r="F4124" s="70" t="s">
        <v>3066</v>
      </c>
      <c r="G4124" s="70" t="s">
        <v>6151</v>
      </c>
      <c r="H4124" s="93"/>
      <c r="I4124" s="85">
        <f t="shared" si="161"/>
        <v>4.9030899869919438</v>
      </c>
      <c r="J4124" s="85">
        <v>80000</v>
      </c>
      <c r="K4124" s="131" t="s">
        <v>6485</v>
      </c>
      <c r="L4124" s="60">
        <v>68</v>
      </c>
    </row>
    <row r="4125" spans="1:13" ht="98" x14ac:dyDescent="0.2">
      <c r="A4125" s="70" t="s">
        <v>3635</v>
      </c>
      <c r="B4125" s="82" t="s">
        <v>5980</v>
      </c>
      <c r="C4125" s="70" t="s">
        <v>3636</v>
      </c>
      <c r="D4125" s="70" t="s">
        <v>3773</v>
      </c>
      <c r="E4125" s="70" t="s">
        <v>4431</v>
      </c>
      <c r="F4125" s="70" t="s">
        <v>5869</v>
      </c>
      <c r="G4125" s="70" t="s">
        <v>2354</v>
      </c>
      <c r="H4125" s="93"/>
      <c r="I4125" s="85">
        <f t="shared" si="161"/>
        <v>5.3046348377743318</v>
      </c>
      <c r="J4125" s="85">
        <v>201667</v>
      </c>
      <c r="K4125" s="131" t="s">
        <v>6485</v>
      </c>
      <c r="L4125" s="60">
        <v>68</v>
      </c>
      <c r="M4125" s="47"/>
    </row>
    <row r="4126" spans="1:13" ht="84" x14ac:dyDescent="0.15">
      <c r="A4126" s="70" t="s">
        <v>3635</v>
      </c>
      <c r="B4126" s="82" t="s">
        <v>5909</v>
      </c>
      <c r="C4126" s="70" t="s">
        <v>3636</v>
      </c>
      <c r="D4126" s="70" t="s">
        <v>3773</v>
      </c>
      <c r="E4126" s="70" t="s">
        <v>4431</v>
      </c>
      <c r="F4126" s="70" t="s">
        <v>6010</v>
      </c>
      <c r="G4126" s="70" t="s">
        <v>6011</v>
      </c>
      <c r="H4126" s="93"/>
      <c r="I4126" s="85">
        <f t="shared" si="161"/>
        <v>5.4471580313422194</v>
      </c>
      <c r="J4126" s="85">
        <v>280000</v>
      </c>
      <c r="K4126" s="131" t="s">
        <v>6485</v>
      </c>
      <c r="L4126" s="60">
        <v>68</v>
      </c>
    </row>
    <row r="4127" spans="1:13" ht="84" x14ac:dyDescent="0.15">
      <c r="A4127" s="70" t="s">
        <v>3635</v>
      </c>
      <c r="B4127" s="82" t="s">
        <v>2451</v>
      </c>
      <c r="C4127" s="70" t="s">
        <v>3636</v>
      </c>
      <c r="D4127" s="70" t="s">
        <v>3773</v>
      </c>
      <c r="E4127" s="70" t="s">
        <v>4431</v>
      </c>
      <c r="F4127" s="70" t="s">
        <v>5866</v>
      </c>
      <c r="G4127" s="70" t="s">
        <v>5867</v>
      </c>
      <c r="H4127" s="93"/>
      <c r="I4127" s="85">
        <f t="shared" si="161"/>
        <v>5.1977408041873305</v>
      </c>
      <c r="J4127" s="85">
        <v>157667</v>
      </c>
      <c r="K4127" s="131" t="s">
        <v>6485</v>
      </c>
      <c r="L4127" s="60">
        <v>68</v>
      </c>
    </row>
    <row r="4128" spans="1:13" ht="42" x14ac:dyDescent="0.15">
      <c r="A4128" s="70" t="s">
        <v>3635</v>
      </c>
      <c r="B4128" s="82" t="s">
        <v>2401</v>
      </c>
      <c r="C4128" s="70" t="s">
        <v>3636</v>
      </c>
      <c r="D4128" s="70" t="s">
        <v>3773</v>
      </c>
      <c r="E4128" s="70" t="s">
        <v>4431</v>
      </c>
      <c r="F4128" s="70" t="s">
        <v>2408</v>
      </c>
      <c r="G4128" s="70" t="s">
        <v>7644</v>
      </c>
      <c r="H4128" s="93"/>
      <c r="I4128" s="85">
        <f t="shared" si="161"/>
        <v>5.8750612633917001</v>
      </c>
      <c r="J4128" s="85">
        <v>750000</v>
      </c>
      <c r="K4128" s="131" t="s">
        <v>6485</v>
      </c>
      <c r="L4128" s="60">
        <v>68</v>
      </c>
    </row>
    <row r="4129" spans="1:13" ht="14" x14ac:dyDescent="0.15">
      <c r="A4129" s="73" t="s">
        <v>3635</v>
      </c>
      <c r="B4129" s="93" t="s">
        <v>2533</v>
      </c>
      <c r="C4129" s="70" t="s">
        <v>3636</v>
      </c>
      <c r="D4129" s="70" t="s">
        <v>3773</v>
      </c>
      <c r="E4129" s="73" t="s">
        <v>4431</v>
      </c>
      <c r="F4129" s="70" t="s">
        <v>7646</v>
      </c>
      <c r="G4129" s="70" t="s">
        <v>5147</v>
      </c>
      <c r="H4129" s="93"/>
      <c r="I4129" s="85">
        <f t="shared" si="161"/>
        <v>4.9585638832219674</v>
      </c>
      <c r="J4129" s="85">
        <v>90900</v>
      </c>
      <c r="K4129" s="131" t="s">
        <v>6485</v>
      </c>
      <c r="L4129" s="60">
        <v>68</v>
      </c>
    </row>
    <row r="4130" spans="1:13" ht="126" x14ac:dyDescent="0.15">
      <c r="A4130" s="70" t="s">
        <v>3635</v>
      </c>
      <c r="B4130" s="82" t="s">
        <v>2491</v>
      </c>
      <c r="C4130" s="70" t="s">
        <v>3636</v>
      </c>
      <c r="D4130" s="70" t="s">
        <v>3773</v>
      </c>
      <c r="E4130" s="70" t="s">
        <v>4431</v>
      </c>
      <c r="F4130" s="70" t="s">
        <v>7646</v>
      </c>
      <c r="G4130" s="70" t="s">
        <v>5148</v>
      </c>
      <c r="H4130" s="93"/>
      <c r="I4130" s="85">
        <f t="shared" si="161"/>
        <v>5</v>
      </c>
      <c r="J4130" s="85">
        <v>100000</v>
      </c>
      <c r="K4130" s="131" t="s">
        <v>6485</v>
      </c>
      <c r="L4130" s="60">
        <v>68</v>
      </c>
    </row>
    <row r="4131" spans="1:13" ht="42" x14ac:dyDescent="0.2">
      <c r="A4131" s="73" t="s">
        <v>3635</v>
      </c>
      <c r="B4131" s="82" t="s">
        <v>2351</v>
      </c>
      <c r="C4131" s="70" t="s">
        <v>3636</v>
      </c>
      <c r="D4131" s="70" t="s">
        <v>3773</v>
      </c>
      <c r="E4131" s="70" t="s">
        <v>4431</v>
      </c>
      <c r="F4131" s="70" t="s">
        <v>7646</v>
      </c>
      <c r="G4131" s="70" t="s">
        <v>5146</v>
      </c>
      <c r="H4131" s="93"/>
      <c r="I4131" s="85">
        <f t="shared" si="161"/>
        <v>5.0791812460476251</v>
      </c>
      <c r="J4131" s="85">
        <v>120000</v>
      </c>
      <c r="K4131" s="131" t="s">
        <v>6485</v>
      </c>
      <c r="L4131" s="60">
        <v>68</v>
      </c>
      <c r="M4131" s="47"/>
    </row>
    <row r="4132" spans="1:13" ht="28" x14ac:dyDescent="0.15">
      <c r="A4132" s="70" t="s">
        <v>3635</v>
      </c>
      <c r="B4132" s="82" t="s">
        <v>2181</v>
      </c>
      <c r="C4132" s="70" t="s">
        <v>3636</v>
      </c>
      <c r="D4132" s="70" t="s">
        <v>3773</v>
      </c>
      <c r="E4132" s="70" t="s">
        <v>2036</v>
      </c>
      <c r="F4132" s="70" t="s">
        <v>3904</v>
      </c>
      <c r="G4132" s="70" t="s">
        <v>5898</v>
      </c>
      <c r="H4132" s="93"/>
      <c r="I4132" s="85">
        <f t="shared" si="161"/>
        <v>3.0791812460476247</v>
      </c>
      <c r="J4132" s="85">
        <v>1200</v>
      </c>
      <c r="K4132" s="131" t="s">
        <v>6853</v>
      </c>
      <c r="L4132" s="60">
        <v>70</v>
      </c>
      <c r="M4132" s="49" t="s">
        <v>6390</v>
      </c>
    </row>
    <row r="4133" spans="1:13" ht="28" x14ac:dyDescent="0.15">
      <c r="A4133" s="70" t="s">
        <v>3635</v>
      </c>
      <c r="B4133" s="82" t="s">
        <v>2182</v>
      </c>
      <c r="C4133" s="70" t="s">
        <v>3636</v>
      </c>
      <c r="D4133" s="70" t="s">
        <v>3773</v>
      </c>
      <c r="E4133" s="70" t="s">
        <v>2036</v>
      </c>
      <c r="F4133" s="70" t="s">
        <v>3904</v>
      </c>
      <c r="G4133" s="70" t="s">
        <v>5883</v>
      </c>
      <c r="H4133" s="93"/>
      <c r="I4133" s="85">
        <f t="shared" si="161"/>
        <v>3.0791812460476247</v>
      </c>
      <c r="J4133" s="85">
        <v>1200</v>
      </c>
      <c r="K4133" s="131" t="s">
        <v>6853</v>
      </c>
      <c r="L4133" s="60">
        <v>70</v>
      </c>
      <c r="M4133" s="49" t="s">
        <v>6390</v>
      </c>
    </row>
    <row r="4134" spans="1:13" ht="14" x14ac:dyDescent="0.15">
      <c r="A4134" s="62" t="s">
        <v>3635</v>
      </c>
      <c r="B4134" s="97"/>
      <c r="C4134" s="62" t="s">
        <v>3636</v>
      </c>
      <c r="D4134" s="62" t="s">
        <v>3773</v>
      </c>
      <c r="E4134" s="62" t="s">
        <v>2036</v>
      </c>
      <c r="F4134" s="62" t="s">
        <v>3904</v>
      </c>
      <c r="G4134" s="62" t="s">
        <v>4447</v>
      </c>
      <c r="H4134" s="97"/>
      <c r="I4134" s="85">
        <f t="shared" si="161"/>
        <v>3.0969100130080562</v>
      </c>
      <c r="J4134" s="98">
        <v>1250</v>
      </c>
      <c r="K4134" s="135" t="s">
        <v>6817</v>
      </c>
      <c r="L4134" s="67">
        <v>61</v>
      </c>
      <c r="M4134" s="56" t="s">
        <v>6392</v>
      </c>
    </row>
    <row r="4135" spans="1:13" ht="28" x14ac:dyDescent="0.15">
      <c r="A4135" s="70" t="s">
        <v>3635</v>
      </c>
      <c r="B4135" s="82"/>
      <c r="C4135" s="70" t="s">
        <v>3636</v>
      </c>
      <c r="D4135" s="70" t="s">
        <v>3773</v>
      </c>
      <c r="E4135" s="70" t="s">
        <v>2036</v>
      </c>
      <c r="F4135" s="70" t="s">
        <v>2037</v>
      </c>
      <c r="G4135" s="70" t="s">
        <v>4567</v>
      </c>
      <c r="H4135" s="93"/>
      <c r="I4135" s="85">
        <f t="shared" si="161"/>
        <v>2.9542400000000004</v>
      </c>
      <c r="J4135" s="85">
        <v>899.99479963720182</v>
      </c>
      <c r="K4135" s="131" t="s">
        <v>6654</v>
      </c>
      <c r="L4135" s="60">
        <v>60</v>
      </c>
      <c r="M4135" s="49" t="s">
        <v>6392</v>
      </c>
    </row>
    <row r="4136" spans="1:13" ht="16" x14ac:dyDescent="0.2">
      <c r="A4136" s="70" t="s">
        <v>3635</v>
      </c>
      <c r="B4136" s="82"/>
      <c r="C4136" s="70" t="s">
        <v>3636</v>
      </c>
      <c r="D4136" s="70" t="s">
        <v>3773</v>
      </c>
      <c r="E4136" s="70" t="s">
        <v>2036</v>
      </c>
      <c r="F4136" s="70" t="s">
        <v>2037</v>
      </c>
      <c r="G4136" s="70" t="s">
        <v>2038</v>
      </c>
      <c r="H4136" s="93"/>
      <c r="I4136" s="85">
        <f t="shared" si="161"/>
        <v>3.0528900000000005</v>
      </c>
      <c r="J4136" s="85">
        <v>1129.5097912741824</v>
      </c>
      <c r="K4136" s="131" t="s">
        <v>3177</v>
      </c>
      <c r="L4136" s="60">
        <v>60</v>
      </c>
      <c r="M4136" s="47"/>
    </row>
    <row r="4137" spans="1:13" ht="14" x14ac:dyDescent="0.15">
      <c r="A4137" s="70" t="s">
        <v>3635</v>
      </c>
      <c r="B4137" s="82"/>
      <c r="C4137" s="70" t="s">
        <v>3636</v>
      </c>
      <c r="D4137" s="70" t="s">
        <v>3773</v>
      </c>
      <c r="E4137" s="70" t="s">
        <v>2036</v>
      </c>
      <c r="F4137" s="70" t="s">
        <v>4568</v>
      </c>
      <c r="G4137" s="70" t="s">
        <v>6948</v>
      </c>
      <c r="H4137" s="93"/>
      <c r="I4137" s="85">
        <f t="shared" si="161"/>
        <v>3.5790800000000003</v>
      </c>
      <c r="J4137" s="85">
        <v>3793.8486381195939</v>
      </c>
      <c r="K4137" s="131" t="s">
        <v>3177</v>
      </c>
      <c r="L4137" s="60">
        <v>60</v>
      </c>
    </row>
    <row r="4138" spans="1:13" ht="14" x14ac:dyDescent="0.15">
      <c r="A4138" s="70" t="s">
        <v>3635</v>
      </c>
      <c r="B4138" s="82"/>
      <c r="C4138" s="73" t="s">
        <v>3636</v>
      </c>
      <c r="D4138" s="73" t="s">
        <v>3773</v>
      </c>
      <c r="E4138" s="73" t="s">
        <v>2036</v>
      </c>
      <c r="F4138" s="73" t="s">
        <v>4568</v>
      </c>
      <c r="G4138" s="73" t="s">
        <v>4435</v>
      </c>
      <c r="H4138" s="108"/>
      <c r="I4138" s="85">
        <f t="shared" si="161"/>
        <v>3.6053100000000002</v>
      </c>
      <c r="J4138" s="85">
        <v>4030.0459691891647</v>
      </c>
      <c r="K4138" s="131" t="s">
        <v>3177</v>
      </c>
      <c r="L4138" s="60">
        <v>60</v>
      </c>
    </row>
    <row r="4139" spans="1:13" ht="14" x14ac:dyDescent="0.15">
      <c r="A4139" s="70" t="s">
        <v>3635</v>
      </c>
      <c r="B4139" s="82"/>
      <c r="C4139" s="70" t="s">
        <v>3636</v>
      </c>
      <c r="D4139" s="70" t="s">
        <v>3773</v>
      </c>
      <c r="E4139" s="70" t="s">
        <v>2036</v>
      </c>
      <c r="F4139" s="70" t="s">
        <v>6949</v>
      </c>
      <c r="G4139" s="70" t="s">
        <v>6950</v>
      </c>
      <c r="H4139" s="93"/>
      <c r="I4139" s="85">
        <f t="shared" si="161"/>
        <v>3.4771212547196626</v>
      </c>
      <c r="J4139" s="85">
        <v>3000</v>
      </c>
      <c r="K4139" s="131" t="s">
        <v>3177</v>
      </c>
      <c r="L4139" s="60">
        <v>75</v>
      </c>
    </row>
    <row r="4140" spans="1:13" ht="28" x14ac:dyDescent="0.2">
      <c r="A4140" s="73" t="s">
        <v>3635</v>
      </c>
      <c r="B4140" s="82"/>
      <c r="C4140" s="70" t="s">
        <v>3636</v>
      </c>
      <c r="D4140" s="70" t="s">
        <v>3773</v>
      </c>
      <c r="E4140" s="70" t="s">
        <v>2036</v>
      </c>
      <c r="F4140" s="70" t="s">
        <v>6951</v>
      </c>
      <c r="G4140" s="70" t="s">
        <v>6967</v>
      </c>
      <c r="H4140" s="93"/>
      <c r="I4140" s="85">
        <f t="shared" si="161"/>
        <v>3.3979400000000002</v>
      </c>
      <c r="J4140" s="85">
        <v>2499.9999500797412</v>
      </c>
      <c r="K4140" s="131" t="s">
        <v>6853</v>
      </c>
      <c r="L4140" s="69">
        <v>66</v>
      </c>
      <c r="M4140" s="47" t="s">
        <v>6390</v>
      </c>
    </row>
    <row r="4141" spans="1:13" ht="14" x14ac:dyDescent="0.15">
      <c r="A4141" s="70" t="s">
        <v>3635</v>
      </c>
      <c r="B4141" s="82"/>
      <c r="C4141" s="70" t="s">
        <v>3636</v>
      </c>
      <c r="D4141" s="70" t="s">
        <v>3773</v>
      </c>
      <c r="E4141" s="70" t="s">
        <v>2036</v>
      </c>
      <c r="F4141" s="70" t="s">
        <v>6951</v>
      </c>
      <c r="G4141" s="70" t="s">
        <v>3903</v>
      </c>
      <c r="H4141" s="93"/>
      <c r="I4141" s="85">
        <f t="shared" si="161"/>
        <v>3.7423300000000004</v>
      </c>
      <c r="J4141" s="85">
        <v>5524.9709644247541</v>
      </c>
      <c r="K4141" s="131" t="s">
        <v>3177</v>
      </c>
      <c r="L4141" s="60">
        <v>60</v>
      </c>
    </row>
    <row r="4142" spans="1:13" ht="14" x14ac:dyDescent="0.15">
      <c r="A4142" s="70" t="s">
        <v>3635</v>
      </c>
      <c r="B4142" s="82"/>
      <c r="C4142" s="70" t="s">
        <v>3636</v>
      </c>
      <c r="D4142" s="70" t="s">
        <v>3773</v>
      </c>
      <c r="E4142" s="70" t="s">
        <v>7167</v>
      </c>
      <c r="F4142" s="70" t="s">
        <v>7168</v>
      </c>
      <c r="G4142" s="70" t="s">
        <v>7194</v>
      </c>
      <c r="H4142" s="93"/>
      <c r="I4142" s="85">
        <f t="shared" si="161"/>
        <v>4.9997800000000012</v>
      </c>
      <c r="J4142" s="85">
        <v>99949.355956381492</v>
      </c>
      <c r="K4142" s="131" t="s">
        <v>3177</v>
      </c>
      <c r="L4142" s="60">
        <v>60</v>
      </c>
    </row>
    <row r="4143" spans="1:13" ht="14" x14ac:dyDescent="0.15">
      <c r="A4143" s="70" t="s">
        <v>3635</v>
      </c>
      <c r="B4143" s="82"/>
      <c r="C4143" s="70" t="s">
        <v>3636</v>
      </c>
      <c r="D4143" s="70" t="s">
        <v>3773</v>
      </c>
      <c r="E4143" s="70" t="s">
        <v>7167</v>
      </c>
      <c r="F4143" s="70" t="s">
        <v>7168</v>
      </c>
      <c r="G4143" s="70" t="s">
        <v>7169</v>
      </c>
      <c r="H4143" s="93"/>
      <c r="I4143" s="85">
        <f t="shared" si="161"/>
        <v>5.1443899999999996</v>
      </c>
      <c r="J4143" s="85">
        <v>139440.84310611372</v>
      </c>
      <c r="K4143" s="131" t="s">
        <v>3177</v>
      </c>
      <c r="L4143" s="60">
        <v>60</v>
      </c>
    </row>
    <row r="4144" spans="1:13" ht="28" x14ac:dyDescent="0.15">
      <c r="A4144" s="70" t="s">
        <v>3635</v>
      </c>
      <c r="B4144" s="82"/>
      <c r="C4144" s="70" t="s">
        <v>3636</v>
      </c>
      <c r="D4144" s="70" t="s">
        <v>3773</v>
      </c>
      <c r="E4144" s="70" t="s">
        <v>7167</v>
      </c>
      <c r="F4144" s="70" t="s">
        <v>7168</v>
      </c>
      <c r="G4144" s="70" t="s">
        <v>7170</v>
      </c>
      <c r="H4144" s="93"/>
      <c r="I4144" s="85">
        <f t="shared" si="161"/>
        <v>5.5471599999999999</v>
      </c>
      <c r="J4144" s="85">
        <v>352500.71318520396</v>
      </c>
      <c r="K4144" s="131" t="s">
        <v>6696</v>
      </c>
      <c r="L4144" s="60">
        <v>60</v>
      </c>
      <c r="M4144" s="49" t="s">
        <v>6392</v>
      </c>
    </row>
    <row r="4145" spans="1:15" ht="42" x14ac:dyDescent="0.15">
      <c r="A4145" s="62" t="s">
        <v>3635</v>
      </c>
      <c r="B4145" s="93" t="s">
        <v>1375</v>
      </c>
      <c r="C4145" s="100" t="s">
        <v>3636</v>
      </c>
      <c r="D4145" s="61" t="s">
        <v>2548</v>
      </c>
      <c r="E4145" s="100" t="s">
        <v>2687</v>
      </c>
      <c r="F4145" s="100" t="s">
        <v>1376</v>
      </c>
      <c r="G4145" s="100" t="s">
        <v>1457</v>
      </c>
      <c r="H4145" s="177"/>
      <c r="I4145" s="85">
        <f t="shared" si="161"/>
        <v>0.63346845557958653</v>
      </c>
      <c r="J4145" s="101">
        <v>4.3</v>
      </c>
      <c r="K4145" s="143"/>
      <c r="L4145" s="61">
        <v>153</v>
      </c>
      <c r="N4145" s="51"/>
    </row>
    <row r="4146" spans="1:15" ht="42" x14ac:dyDescent="0.15">
      <c r="A4146" s="61" t="s">
        <v>3635</v>
      </c>
      <c r="B4146" s="93" t="s">
        <v>4751</v>
      </c>
      <c r="C4146" s="100" t="s">
        <v>3636</v>
      </c>
      <c r="D4146" s="61" t="s">
        <v>2548</v>
      </c>
      <c r="E4146" s="100" t="s">
        <v>2687</v>
      </c>
      <c r="F4146" s="100" t="s">
        <v>1376</v>
      </c>
      <c r="G4146" s="100" t="s">
        <v>4752</v>
      </c>
      <c r="H4146" s="177"/>
      <c r="I4146" s="85">
        <f t="shared" si="161"/>
        <v>0.80542533525031323</v>
      </c>
      <c r="J4146" s="101">
        <v>6.3888888888890003</v>
      </c>
      <c r="K4146" s="143"/>
      <c r="L4146" s="61">
        <v>153</v>
      </c>
      <c r="M4146" s="50"/>
      <c r="N4146" s="51"/>
    </row>
    <row r="4147" spans="1:15" ht="28" x14ac:dyDescent="0.15">
      <c r="A4147" s="62" t="s">
        <v>3635</v>
      </c>
      <c r="B4147" s="93" t="s">
        <v>4755</v>
      </c>
      <c r="C4147" s="100" t="s">
        <v>3636</v>
      </c>
      <c r="D4147" s="61" t="s">
        <v>2548</v>
      </c>
      <c r="E4147" s="100" t="s">
        <v>2687</v>
      </c>
      <c r="F4147" s="100" t="s">
        <v>4591</v>
      </c>
      <c r="G4147" s="100" t="s">
        <v>4750</v>
      </c>
      <c r="H4147" s="177"/>
      <c r="I4147" s="103">
        <f t="shared" si="161"/>
        <v>0.69897000433601886</v>
      </c>
      <c r="J4147" s="103">
        <v>5</v>
      </c>
      <c r="K4147" s="141"/>
      <c r="L4147" s="61">
        <v>246</v>
      </c>
      <c r="M4147" s="50"/>
      <c r="N4147" s="36"/>
    </row>
    <row r="4148" spans="1:15" ht="28" x14ac:dyDescent="0.15">
      <c r="A4148" s="62" t="s">
        <v>3635</v>
      </c>
      <c r="B4148" s="93" t="s">
        <v>1560</v>
      </c>
      <c r="C4148" s="100" t="s">
        <v>3636</v>
      </c>
      <c r="D4148" s="61" t="s">
        <v>2548</v>
      </c>
      <c r="E4148" s="100" t="s">
        <v>2687</v>
      </c>
      <c r="F4148" s="100" t="s">
        <v>1561</v>
      </c>
      <c r="G4148" s="100" t="s">
        <v>5454</v>
      </c>
      <c r="H4148" s="177"/>
      <c r="I4148" s="85">
        <f t="shared" si="161"/>
        <v>0.96260607292412703</v>
      </c>
      <c r="J4148" s="101">
        <v>9.1750000000000007</v>
      </c>
      <c r="K4148" s="143"/>
      <c r="L4148" s="61">
        <v>153</v>
      </c>
      <c r="M4148" s="50"/>
      <c r="N4148" s="35"/>
    </row>
    <row r="4149" spans="1:15" ht="28" x14ac:dyDescent="0.15">
      <c r="A4149" s="62" t="s">
        <v>3635</v>
      </c>
      <c r="B4149" s="93" t="s">
        <v>1278</v>
      </c>
      <c r="C4149" s="100" t="s">
        <v>3636</v>
      </c>
      <c r="D4149" s="61" t="s">
        <v>2548</v>
      </c>
      <c r="E4149" s="100" t="s">
        <v>2687</v>
      </c>
      <c r="F4149" s="100" t="s">
        <v>1279</v>
      </c>
      <c r="G4149" s="100" t="s">
        <v>5873</v>
      </c>
      <c r="H4149" s="177"/>
      <c r="I4149" s="85">
        <f t="shared" si="161"/>
        <v>0.72427586960078905</v>
      </c>
      <c r="J4149" s="101">
        <v>5.3</v>
      </c>
      <c r="K4149" s="143"/>
      <c r="L4149" s="61">
        <v>153</v>
      </c>
      <c r="M4149" s="50"/>
      <c r="N4149" s="35"/>
    </row>
    <row r="4150" spans="1:15" ht="28" x14ac:dyDescent="0.15">
      <c r="A4150" s="62" t="s">
        <v>3635</v>
      </c>
      <c r="B4150" s="93" t="s">
        <v>1464</v>
      </c>
      <c r="C4150" s="100" t="s">
        <v>3636</v>
      </c>
      <c r="D4150" s="61" t="s">
        <v>2548</v>
      </c>
      <c r="E4150" s="100" t="s">
        <v>2687</v>
      </c>
      <c r="F4150" s="100" t="s">
        <v>1647</v>
      </c>
      <c r="G4150" s="100" t="s">
        <v>1187</v>
      </c>
      <c r="H4150" s="177"/>
      <c r="I4150" s="85">
        <f t="shared" si="161"/>
        <v>1.1931245983544616</v>
      </c>
      <c r="J4150" s="101">
        <v>15.6</v>
      </c>
      <c r="K4150" s="143"/>
      <c r="L4150" s="61">
        <v>153</v>
      </c>
      <c r="M4150" s="50"/>
      <c r="N4150" s="35"/>
      <c r="O4150" s="51"/>
    </row>
    <row r="4151" spans="1:15" ht="98" x14ac:dyDescent="0.15">
      <c r="A4151" s="62" t="s">
        <v>3635</v>
      </c>
      <c r="B4151" s="82" t="s">
        <v>4351</v>
      </c>
      <c r="C4151" s="105" t="s">
        <v>3636</v>
      </c>
      <c r="D4151" s="61" t="s">
        <v>2548</v>
      </c>
      <c r="E4151" s="105" t="s">
        <v>2687</v>
      </c>
      <c r="F4151" s="105" t="s">
        <v>1415</v>
      </c>
      <c r="G4151" s="105" t="s">
        <v>3959</v>
      </c>
      <c r="H4151" s="178"/>
      <c r="I4151" s="85">
        <f t="shared" si="161"/>
        <v>0.73399928653838686</v>
      </c>
      <c r="J4151" s="101">
        <v>5.42</v>
      </c>
      <c r="K4151" s="143"/>
      <c r="L4151" s="61">
        <v>153</v>
      </c>
      <c r="M4151" s="50"/>
      <c r="O4151" s="51"/>
    </row>
    <row r="4152" spans="1:15" ht="28" x14ac:dyDescent="0.15">
      <c r="A4152" s="62" t="s">
        <v>3635</v>
      </c>
      <c r="B4152" s="93" t="s">
        <v>1708</v>
      </c>
      <c r="C4152" s="100" t="s">
        <v>3636</v>
      </c>
      <c r="D4152" s="61" t="s">
        <v>2548</v>
      </c>
      <c r="E4152" s="100" t="s">
        <v>2687</v>
      </c>
      <c r="F4152" s="100" t="s">
        <v>1415</v>
      </c>
      <c r="G4152" s="100" t="s">
        <v>6180</v>
      </c>
      <c r="H4152" s="177"/>
      <c r="I4152" s="85">
        <f t="shared" si="161"/>
        <v>0.97405090279287732</v>
      </c>
      <c r="J4152" s="101">
        <v>9.42</v>
      </c>
      <c r="K4152" s="143"/>
      <c r="L4152" s="61">
        <v>153</v>
      </c>
      <c r="M4152" s="50"/>
      <c r="O4152" s="35"/>
    </row>
    <row r="4153" spans="1:15" ht="70" x14ac:dyDescent="0.15">
      <c r="A4153" s="62" t="s">
        <v>3635</v>
      </c>
      <c r="B4153" s="93" t="s">
        <v>4352</v>
      </c>
      <c r="C4153" s="100" t="s">
        <v>3636</v>
      </c>
      <c r="D4153" s="61" t="s">
        <v>2548</v>
      </c>
      <c r="E4153" s="100" t="s">
        <v>2687</v>
      </c>
      <c r="F4153" s="100" t="s">
        <v>4353</v>
      </c>
      <c r="G4153" s="100" t="s">
        <v>6823</v>
      </c>
      <c r="H4153" s="177"/>
      <c r="I4153" s="85">
        <f t="shared" ref="I4153:I4184" si="162">LOG(J4153)</f>
        <v>0.6239381001884875</v>
      </c>
      <c r="J4153" s="101">
        <v>4.2066666666670001</v>
      </c>
      <c r="K4153" s="143"/>
      <c r="L4153" s="61">
        <v>153</v>
      </c>
      <c r="M4153" s="50"/>
      <c r="O4153" s="51"/>
    </row>
    <row r="4154" spans="1:15" ht="70" x14ac:dyDescent="0.15">
      <c r="A4154" s="62" t="s">
        <v>3635</v>
      </c>
      <c r="B4154" s="93" t="s">
        <v>1367</v>
      </c>
      <c r="C4154" s="100" t="s">
        <v>3636</v>
      </c>
      <c r="D4154" s="61" t="s">
        <v>2548</v>
      </c>
      <c r="E4154" s="100" t="s">
        <v>2687</v>
      </c>
      <c r="F4154" s="100" t="s">
        <v>1130</v>
      </c>
      <c r="G4154" s="100" t="s">
        <v>1368</v>
      </c>
      <c r="H4154" s="177"/>
      <c r="I4154" s="85">
        <f t="shared" si="162"/>
        <v>0.69108149212296843</v>
      </c>
      <c r="J4154" s="101">
        <v>4.91</v>
      </c>
      <c r="K4154" s="143"/>
      <c r="L4154" s="61">
        <v>153</v>
      </c>
      <c r="M4154" s="35"/>
      <c r="O4154" s="35"/>
    </row>
    <row r="4155" spans="1:15" ht="70" x14ac:dyDescent="0.15">
      <c r="A4155" s="62" t="s">
        <v>3635</v>
      </c>
      <c r="B4155" s="93" t="s">
        <v>1280</v>
      </c>
      <c r="C4155" s="102" t="s">
        <v>3636</v>
      </c>
      <c r="D4155" s="62" t="s">
        <v>2548</v>
      </c>
      <c r="E4155" s="102" t="s">
        <v>2687</v>
      </c>
      <c r="F4155" s="102" t="s">
        <v>1130</v>
      </c>
      <c r="G4155" s="102" t="s">
        <v>1230</v>
      </c>
      <c r="H4155" s="175"/>
      <c r="I4155" s="85">
        <f t="shared" si="162"/>
        <v>0.90880029619332359</v>
      </c>
      <c r="J4155" s="104">
        <v>8.1058823529410002</v>
      </c>
      <c r="K4155" s="143"/>
      <c r="L4155" s="61">
        <v>153</v>
      </c>
      <c r="M4155" s="35"/>
      <c r="O4155" s="35"/>
    </row>
    <row r="4156" spans="1:15" ht="28" x14ac:dyDescent="0.15">
      <c r="A4156" s="62" t="s">
        <v>3635</v>
      </c>
      <c r="B4156" s="93" t="s">
        <v>4387</v>
      </c>
      <c r="C4156" s="100" t="s">
        <v>3636</v>
      </c>
      <c r="D4156" s="61" t="s">
        <v>2548</v>
      </c>
      <c r="E4156" s="100" t="s">
        <v>1366</v>
      </c>
      <c r="F4156" s="100" t="s">
        <v>4388</v>
      </c>
      <c r="G4156" s="100" t="s">
        <v>4232</v>
      </c>
      <c r="H4156" s="177"/>
      <c r="I4156" s="85">
        <f t="shared" si="162"/>
        <v>0.50197164591870946</v>
      </c>
      <c r="J4156" s="101">
        <v>3.1766666666669998</v>
      </c>
      <c r="K4156" s="143"/>
      <c r="L4156" s="61">
        <v>153</v>
      </c>
      <c r="M4156" s="50"/>
      <c r="N4156" s="51"/>
    </row>
    <row r="4157" spans="1:15" ht="56" x14ac:dyDescent="0.15">
      <c r="A4157" s="62" t="s">
        <v>3635</v>
      </c>
      <c r="B4157" s="93" t="s">
        <v>1412</v>
      </c>
      <c r="C4157" s="100" t="s">
        <v>3636</v>
      </c>
      <c r="D4157" s="61" t="s">
        <v>2548</v>
      </c>
      <c r="E4157" s="100" t="s">
        <v>2421</v>
      </c>
      <c r="F4157" s="100" t="s">
        <v>4354</v>
      </c>
      <c r="G4157" s="100" t="s">
        <v>5065</v>
      </c>
      <c r="H4157" s="177"/>
      <c r="I4157" s="85">
        <f t="shared" si="162"/>
        <v>1.0755469613925308</v>
      </c>
      <c r="J4157" s="101">
        <v>11.9</v>
      </c>
      <c r="K4157" s="143"/>
      <c r="L4157" s="61">
        <v>153</v>
      </c>
    </row>
    <row r="4158" spans="1:15" ht="42" x14ac:dyDescent="0.15">
      <c r="A4158" s="62" t="s">
        <v>3635</v>
      </c>
      <c r="B4158" s="93" t="s">
        <v>4355</v>
      </c>
      <c r="C4158" s="102" t="s">
        <v>3636</v>
      </c>
      <c r="D4158" s="62" t="s">
        <v>2548</v>
      </c>
      <c r="E4158" s="100" t="s">
        <v>2421</v>
      </c>
      <c r="F4158" s="102" t="s">
        <v>4354</v>
      </c>
      <c r="G4158" s="102" t="s">
        <v>4356</v>
      </c>
      <c r="H4158" s="175"/>
      <c r="I4158" s="85">
        <f t="shared" si="162"/>
        <v>1.1775364999298621</v>
      </c>
      <c r="J4158" s="104">
        <v>15.05</v>
      </c>
      <c r="K4158" s="143"/>
      <c r="L4158" s="61">
        <v>153</v>
      </c>
    </row>
    <row r="4159" spans="1:15" ht="56" x14ac:dyDescent="0.15">
      <c r="A4159" s="62" t="s">
        <v>3635</v>
      </c>
      <c r="B4159" s="93" t="s">
        <v>4357</v>
      </c>
      <c r="C4159" s="102" t="s">
        <v>3636</v>
      </c>
      <c r="D4159" s="62" t="s">
        <v>2548</v>
      </c>
      <c r="E4159" s="102" t="s">
        <v>2421</v>
      </c>
      <c r="F4159" s="102" t="s">
        <v>4354</v>
      </c>
      <c r="G4159" s="102" t="s">
        <v>4358</v>
      </c>
      <c r="H4159" s="175"/>
      <c r="I4159" s="85">
        <f t="shared" si="162"/>
        <v>1.4540822707310899</v>
      </c>
      <c r="J4159" s="104">
        <v>28.45</v>
      </c>
      <c r="K4159" s="143"/>
      <c r="L4159" s="61">
        <v>153</v>
      </c>
    </row>
    <row r="4160" spans="1:15" ht="56" x14ac:dyDescent="0.15">
      <c r="A4160" s="61" t="s">
        <v>3635</v>
      </c>
      <c r="B4160" s="93" t="s">
        <v>1709</v>
      </c>
      <c r="C4160" s="102" t="s">
        <v>3636</v>
      </c>
      <c r="D4160" s="62" t="s">
        <v>2548</v>
      </c>
      <c r="E4160" s="102" t="s">
        <v>2421</v>
      </c>
      <c r="F4160" s="102" t="s">
        <v>4354</v>
      </c>
      <c r="G4160" s="102" t="s">
        <v>1710</v>
      </c>
      <c r="H4160" s="175"/>
      <c r="I4160" s="85">
        <f t="shared" si="162"/>
        <v>1.5487987437823512</v>
      </c>
      <c r="J4160" s="104">
        <v>35.383333333332999</v>
      </c>
      <c r="K4160" s="143"/>
      <c r="L4160" s="61">
        <v>153</v>
      </c>
    </row>
    <row r="4161" spans="1:12" ht="70" x14ac:dyDescent="0.15">
      <c r="A4161" s="62" t="s">
        <v>3635</v>
      </c>
      <c r="B4161" s="82" t="s">
        <v>4690</v>
      </c>
      <c r="C4161" s="107" t="s">
        <v>3636</v>
      </c>
      <c r="D4161" s="62" t="s">
        <v>2548</v>
      </c>
      <c r="E4161" s="107" t="s">
        <v>2421</v>
      </c>
      <c r="F4161" s="107" t="s">
        <v>4354</v>
      </c>
      <c r="G4161" s="107" t="s">
        <v>1712</v>
      </c>
      <c r="H4161" s="179"/>
      <c r="I4161" s="85">
        <f t="shared" si="162"/>
        <v>1.708675792726537</v>
      </c>
      <c r="J4161" s="104">
        <v>51.13</v>
      </c>
      <c r="K4161" s="143"/>
      <c r="L4161" s="61">
        <v>153</v>
      </c>
    </row>
    <row r="4162" spans="1:12" ht="14" x14ac:dyDescent="0.15">
      <c r="A4162" s="62" t="s">
        <v>3635</v>
      </c>
      <c r="B4162" s="93" t="s">
        <v>1337</v>
      </c>
      <c r="C4162" s="102" t="s">
        <v>3636</v>
      </c>
      <c r="D4162" s="62" t="s">
        <v>2548</v>
      </c>
      <c r="E4162" s="102" t="s">
        <v>2421</v>
      </c>
      <c r="F4162" s="102" t="s">
        <v>4354</v>
      </c>
      <c r="G4162" s="102" t="s">
        <v>6487</v>
      </c>
      <c r="H4162" s="175"/>
      <c r="I4162" s="85">
        <f t="shared" si="162"/>
        <v>1.7379873263334309</v>
      </c>
      <c r="J4162" s="104">
        <v>54.7</v>
      </c>
      <c r="K4162" s="143"/>
      <c r="L4162" s="61">
        <v>153</v>
      </c>
    </row>
    <row r="4163" spans="1:12" ht="42" x14ac:dyDescent="0.15">
      <c r="A4163" s="62" t="s">
        <v>3635</v>
      </c>
      <c r="B4163" s="93" t="s">
        <v>1528</v>
      </c>
      <c r="C4163" s="100" t="s">
        <v>3636</v>
      </c>
      <c r="D4163" s="61" t="s">
        <v>2548</v>
      </c>
      <c r="E4163" s="100" t="s">
        <v>2421</v>
      </c>
      <c r="F4163" s="100" t="s">
        <v>1531</v>
      </c>
      <c r="G4163" s="100" t="s">
        <v>1446</v>
      </c>
      <c r="H4163" s="177"/>
      <c r="I4163" s="85">
        <f t="shared" si="162"/>
        <v>1.0941715463244894</v>
      </c>
      <c r="J4163" s="101">
        <v>12.421428571429001</v>
      </c>
      <c r="K4163" s="143"/>
      <c r="L4163" s="61">
        <v>153</v>
      </c>
    </row>
    <row r="4164" spans="1:12" ht="28" x14ac:dyDescent="0.15">
      <c r="A4164" s="62" t="s">
        <v>3635</v>
      </c>
      <c r="B4164" s="93" t="s">
        <v>1625</v>
      </c>
      <c r="C4164" s="102" t="s">
        <v>3636</v>
      </c>
      <c r="D4164" s="62" t="s">
        <v>2548</v>
      </c>
      <c r="E4164" s="100" t="s">
        <v>2421</v>
      </c>
      <c r="F4164" s="102" t="s">
        <v>1531</v>
      </c>
      <c r="G4164" s="102" t="s">
        <v>1529</v>
      </c>
      <c r="H4164" s="175"/>
      <c r="I4164" s="85">
        <f t="shared" si="162"/>
        <v>1.1751250862836704</v>
      </c>
      <c r="J4164" s="104">
        <v>14.966666666667001</v>
      </c>
      <c r="K4164" s="143"/>
      <c r="L4164" s="61">
        <v>153</v>
      </c>
    </row>
    <row r="4165" spans="1:12" ht="126" x14ac:dyDescent="0.15">
      <c r="A4165" s="62" t="s">
        <v>3635</v>
      </c>
      <c r="B4165" s="82" t="s">
        <v>1746</v>
      </c>
      <c r="C4165" s="105" t="s">
        <v>3636</v>
      </c>
      <c r="D4165" s="61" t="s">
        <v>2548</v>
      </c>
      <c r="E4165" s="105" t="s">
        <v>2421</v>
      </c>
      <c r="F4165" s="105" t="s">
        <v>1747</v>
      </c>
      <c r="G4165" s="105" t="s">
        <v>1748</v>
      </c>
      <c r="H4165" s="178"/>
      <c r="I4165" s="85">
        <f t="shared" si="162"/>
        <v>1.1328997699444829</v>
      </c>
      <c r="J4165" s="101">
        <v>13.58</v>
      </c>
      <c r="K4165" s="143"/>
      <c r="L4165" s="61">
        <v>153</v>
      </c>
    </row>
    <row r="4166" spans="1:12" ht="42" x14ac:dyDescent="0.15">
      <c r="A4166" s="62" t="s">
        <v>3635</v>
      </c>
      <c r="B4166" s="82" t="s">
        <v>1449</v>
      </c>
      <c r="C4166" s="105" t="s">
        <v>3636</v>
      </c>
      <c r="D4166" s="61" t="s">
        <v>2548</v>
      </c>
      <c r="E4166" s="105" t="s">
        <v>2421</v>
      </c>
      <c r="F4166" s="105" t="s">
        <v>1747</v>
      </c>
      <c r="G4166" s="105" t="s">
        <v>1450</v>
      </c>
      <c r="H4166" s="178"/>
      <c r="I4166" s="85">
        <f t="shared" si="162"/>
        <v>1.2504200023088941</v>
      </c>
      <c r="J4166" s="101">
        <v>17.8</v>
      </c>
      <c r="K4166" s="143"/>
      <c r="L4166" s="61">
        <v>153</v>
      </c>
    </row>
    <row r="4167" spans="1:12" ht="42" x14ac:dyDescent="0.15">
      <c r="A4167" s="62" t="s">
        <v>3635</v>
      </c>
      <c r="B4167" s="96" t="s">
        <v>1564</v>
      </c>
      <c r="C4167" s="107" t="s">
        <v>3636</v>
      </c>
      <c r="D4167" s="62" t="s">
        <v>2548</v>
      </c>
      <c r="E4167" s="105" t="s">
        <v>2421</v>
      </c>
      <c r="F4167" s="107" t="s">
        <v>1747</v>
      </c>
      <c r="G4167" s="107" t="s">
        <v>1369</v>
      </c>
      <c r="H4167" s="179"/>
      <c r="I4167" s="85">
        <f t="shared" si="162"/>
        <v>1.3537239375889489</v>
      </c>
      <c r="J4167" s="104">
        <v>22.58</v>
      </c>
      <c r="K4167" s="143"/>
      <c r="L4167" s="61">
        <v>153</v>
      </c>
    </row>
    <row r="4168" spans="1:12" ht="42" x14ac:dyDescent="0.15">
      <c r="A4168" s="62" t="s">
        <v>3635</v>
      </c>
      <c r="B4168" s="93" t="s">
        <v>462</v>
      </c>
      <c r="C4168" s="102" t="s">
        <v>3636</v>
      </c>
      <c r="D4168" s="62" t="s">
        <v>2548</v>
      </c>
      <c r="E4168" s="102" t="s">
        <v>2421</v>
      </c>
      <c r="F4168" s="102" t="s">
        <v>1747</v>
      </c>
      <c r="G4168" s="102" t="s">
        <v>463</v>
      </c>
      <c r="H4168" s="175"/>
      <c r="I4168" s="85">
        <f t="shared" si="162"/>
        <v>1.4313637641589874</v>
      </c>
      <c r="J4168" s="103">
        <v>27</v>
      </c>
      <c r="K4168" s="135"/>
      <c r="L4168" s="61">
        <v>250</v>
      </c>
    </row>
    <row r="4169" spans="1:12" ht="56" x14ac:dyDescent="0.15">
      <c r="A4169" s="62" t="s">
        <v>3635</v>
      </c>
      <c r="B4169" s="82" t="s">
        <v>4241</v>
      </c>
      <c r="C4169" s="107" t="s">
        <v>3636</v>
      </c>
      <c r="D4169" s="62" t="s">
        <v>2548</v>
      </c>
      <c r="E4169" s="107" t="s">
        <v>2421</v>
      </c>
      <c r="F4169" s="107" t="s">
        <v>1747</v>
      </c>
      <c r="G4169" s="107" t="s">
        <v>5748</v>
      </c>
      <c r="H4169" s="179"/>
      <c r="I4169" s="85">
        <f t="shared" si="162"/>
        <v>1.500510910526337</v>
      </c>
      <c r="J4169" s="104">
        <v>31.66</v>
      </c>
      <c r="K4169" s="143"/>
      <c r="L4169" s="61">
        <v>153</v>
      </c>
    </row>
    <row r="4170" spans="1:12" ht="56" x14ac:dyDescent="0.15">
      <c r="A4170" s="62" t="s">
        <v>3635</v>
      </c>
      <c r="B4170" s="82" t="s">
        <v>1701</v>
      </c>
      <c r="C4170" s="105" t="s">
        <v>3636</v>
      </c>
      <c r="D4170" s="61" t="s">
        <v>2548</v>
      </c>
      <c r="E4170" s="105" t="s">
        <v>2421</v>
      </c>
      <c r="F4170" s="105" t="s">
        <v>4168</v>
      </c>
      <c r="G4170" s="105" t="s">
        <v>5325</v>
      </c>
      <c r="H4170" s="178"/>
      <c r="I4170" s="85">
        <f t="shared" si="162"/>
        <v>1.0870712059065355</v>
      </c>
      <c r="J4170" s="101">
        <v>12.22</v>
      </c>
      <c r="K4170" s="143"/>
      <c r="L4170" s="61">
        <v>153</v>
      </c>
    </row>
    <row r="4171" spans="1:12" ht="56" x14ac:dyDescent="0.15">
      <c r="A4171" s="62" t="s">
        <v>3635</v>
      </c>
      <c r="B4171" s="93" t="s">
        <v>1404</v>
      </c>
      <c r="C4171" s="102" t="s">
        <v>3636</v>
      </c>
      <c r="D4171" s="62" t="s">
        <v>2548</v>
      </c>
      <c r="E4171" s="100" t="s">
        <v>2421</v>
      </c>
      <c r="F4171" s="102" t="s">
        <v>4168</v>
      </c>
      <c r="G4171" s="102" t="s">
        <v>1405</v>
      </c>
      <c r="H4171" s="175"/>
      <c r="I4171" s="85">
        <f t="shared" si="162"/>
        <v>1.1650958747542182</v>
      </c>
      <c r="J4171" s="104">
        <v>14.625</v>
      </c>
      <c r="K4171" s="143"/>
      <c r="L4171" s="61">
        <v>153</v>
      </c>
    </row>
    <row r="4172" spans="1:12" ht="42" x14ac:dyDescent="0.15">
      <c r="A4172" s="62" t="s">
        <v>3635</v>
      </c>
      <c r="B4172" s="93" t="s">
        <v>4344</v>
      </c>
      <c r="C4172" s="102" t="s">
        <v>3636</v>
      </c>
      <c r="D4172" s="62" t="s">
        <v>2548</v>
      </c>
      <c r="E4172" s="100" t="s">
        <v>2421</v>
      </c>
      <c r="F4172" s="102" t="s">
        <v>4168</v>
      </c>
      <c r="G4172" s="102" t="s">
        <v>4345</v>
      </c>
      <c r="H4172" s="175"/>
      <c r="I4172" s="85">
        <f t="shared" si="162"/>
        <v>1.2540644529143379</v>
      </c>
      <c r="J4172" s="104">
        <v>17.95</v>
      </c>
      <c r="K4172" s="143"/>
      <c r="L4172" s="61">
        <v>153</v>
      </c>
    </row>
    <row r="4173" spans="1:12" ht="56" x14ac:dyDescent="0.15">
      <c r="A4173" s="62" t="s">
        <v>3635</v>
      </c>
      <c r="B4173" s="93" t="s">
        <v>1926</v>
      </c>
      <c r="C4173" s="102" t="s">
        <v>3636</v>
      </c>
      <c r="D4173" s="62" t="s">
        <v>2548</v>
      </c>
      <c r="E4173" s="100" t="s">
        <v>2421</v>
      </c>
      <c r="F4173" s="102" t="s">
        <v>4168</v>
      </c>
      <c r="G4173" s="102" t="s">
        <v>3959</v>
      </c>
      <c r="H4173" s="175"/>
      <c r="I4173" s="85">
        <f t="shared" si="162"/>
        <v>1.2648178230095364</v>
      </c>
      <c r="J4173" s="104">
        <v>18.399999999999999</v>
      </c>
      <c r="K4173" s="143"/>
      <c r="L4173" s="61">
        <v>153</v>
      </c>
    </row>
    <row r="4174" spans="1:12" ht="42" x14ac:dyDescent="0.15">
      <c r="A4174" s="62" t="s">
        <v>3635</v>
      </c>
      <c r="B4174" s="82" t="s">
        <v>1552</v>
      </c>
      <c r="C4174" s="107" t="s">
        <v>3636</v>
      </c>
      <c r="D4174" s="62" t="s">
        <v>2548</v>
      </c>
      <c r="E4174" s="107" t="s">
        <v>2421</v>
      </c>
      <c r="F4174" s="107" t="s">
        <v>4350</v>
      </c>
      <c r="G4174" s="107" t="s">
        <v>3319</v>
      </c>
      <c r="H4174" s="179"/>
      <c r="I4174" s="85">
        <f t="shared" si="162"/>
        <v>1.4211101297934343</v>
      </c>
      <c r="J4174" s="104">
        <v>26.37</v>
      </c>
      <c r="K4174" s="143"/>
      <c r="L4174" s="61">
        <v>153</v>
      </c>
    </row>
    <row r="4175" spans="1:12" ht="56" x14ac:dyDescent="0.15">
      <c r="A4175" s="62" t="s">
        <v>3635</v>
      </c>
      <c r="B4175" s="82" t="s">
        <v>1704</v>
      </c>
      <c r="C4175" s="107" t="s">
        <v>3636</v>
      </c>
      <c r="D4175" s="62" t="s">
        <v>2548</v>
      </c>
      <c r="E4175" s="107" t="s">
        <v>2421</v>
      </c>
      <c r="F4175" s="107" t="s">
        <v>2393</v>
      </c>
      <c r="G4175" s="107" t="s">
        <v>4285</v>
      </c>
      <c r="H4175" s="179"/>
      <c r="I4175" s="85">
        <f t="shared" si="162"/>
        <v>1.0965624383741355</v>
      </c>
      <c r="J4175" s="104">
        <v>12.49</v>
      </c>
      <c r="K4175" s="143"/>
      <c r="L4175" s="61">
        <v>153</v>
      </c>
    </row>
    <row r="4176" spans="1:12" ht="98" x14ac:dyDescent="0.15">
      <c r="A4176" s="62" t="s">
        <v>3635</v>
      </c>
      <c r="B4176" s="82" t="s">
        <v>729</v>
      </c>
      <c r="C4176" s="107" t="s">
        <v>3636</v>
      </c>
      <c r="D4176" s="62" t="s">
        <v>2548</v>
      </c>
      <c r="E4176" s="105" t="s">
        <v>4504</v>
      </c>
      <c r="F4176" s="107" t="s">
        <v>4505</v>
      </c>
      <c r="G4176" s="107" t="s">
        <v>651</v>
      </c>
      <c r="H4176" s="179"/>
      <c r="I4176" s="85">
        <f t="shared" si="162"/>
        <v>1.2027606873932</v>
      </c>
      <c r="J4176" s="104">
        <v>15.95</v>
      </c>
      <c r="K4176" s="143"/>
      <c r="L4176" s="61">
        <v>153</v>
      </c>
    </row>
    <row r="4177" spans="1:12" ht="56" x14ac:dyDescent="0.15">
      <c r="A4177" s="62" t="s">
        <v>3635</v>
      </c>
      <c r="B4177" s="93" t="s">
        <v>1458</v>
      </c>
      <c r="C4177" s="100" t="s">
        <v>3636</v>
      </c>
      <c r="D4177" s="61" t="s">
        <v>2548</v>
      </c>
      <c r="E4177" s="100" t="s">
        <v>4504</v>
      </c>
      <c r="F4177" s="100" t="s">
        <v>867</v>
      </c>
      <c r="G4177" s="100" t="s">
        <v>3075</v>
      </c>
      <c r="H4177" s="177"/>
      <c r="I4177" s="85">
        <f t="shared" si="162"/>
        <v>0.93993504439943132</v>
      </c>
      <c r="J4177" s="101">
        <v>8.708333333333</v>
      </c>
      <c r="K4177" s="143"/>
      <c r="L4177" s="61">
        <v>153</v>
      </c>
    </row>
    <row r="4178" spans="1:12" ht="70" x14ac:dyDescent="0.15">
      <c r="A4178" s="62" t="s">
        <v>3635</v>
      </c>
      <c r="B4178" s="82" t="s">
        <v>4410</v>
      </c>
      <c r="C4178" s="105" t="s">
        <v>3636</v>
      </c>
      <c r="D4178" s="61" t="s">
        <v>2548</v>
      </c>
      <c r="E4178" s="105" t="s">
        <v>4504</v>
      </c>
      <c r="F4178" s="105" t="s">
        <v>867</v>
      </c>
      <c r="G4178" s="105" t="s">
        <v>4242</v>
      </c>
      <c r="H4178" s="178"/>
      <c r="I4178" s="85">
        <f t="shared" si="162"/>
        <v>0.96425963019684902</v>
      </c>
      <c r="J4178" s="101">
        <v>9.2100000000000009</v>
      </c>
      <c r="K4178" s="143"/>
      <c r="L4178" s="61">
        <v>153</v>
      </c>
    </row>
    <row r="4179" spans="1:12" ht="28" x14ac:dyDescent="0.15">
      <c r="A4179" s="62" t="s">
        <v>3635</v>
      </c>
      <c r="B4179" s="93" t="s">
        <v>1946</v>
      </c>
      <c r="C4179" s="100" t="s">
        <v>3636</v>
      </c>
      <c r="D4179" s="61" t="s">
        <v>2548</v>
      </c>
      <c r="E4179" s="100" t="s">
        <v>4504</v>
      </c>
      <c r="F4179" s="100" t="s">
        <v>867</v>
      </c>
      <c r="G4179" s="100" t="s">
        <v>4414</v>
      </c>
      <c r="H4179" s="177"/>
      <c r="I4179" s="85">
        <f t="shared" si="162"/>
        <v>1.1591158218277691</v>
      </c>
      <c r="J4179" s="101">
        <v>14.425000000000001</v>
      </c>
      <c r="K4179" s="143"/>
      <c r="L4179" s="61">
        <v>153</v>
      </c>
    </row>
    <row r="4180" spans="1:12" ht="112" x14ac:dyDescent="0.15">
      <c r="A4180" s="62" t="s">
        <v>3635</v>
      </c>
      <c r="B4180" s="82" t="s">
        <v>456</v>
      </c>
      <c r="C4180" s="107" t="s">
        <v>3636</v>
      </c>
      <c r="D4180" s="62" t="s">
        <v>2548</v>
      </c>
      <c r="E4180" s="105" t="s">
        <v>4504</v>
      </c>
      <c r="F4180" s="107" t="s">
        <v>867</v>
      </c>
      <c r="G4180" s="107" t="s">
        <v>417</v>
      </c>
      <c r="H4180" s="179"/>
      <c r="I4180" s="85">
        <f t="shared" si="162"/>
        <v>1.2938043599193367</v>
      </c>
      <c r="J4180" s="104">
        <v>19.670000000000002</v>
      </c>
      <c r="K4180" s="143"/>
      <c r="L4180" s="61">
        <v>153</v>
      </c>
    </row>
    <row r="4181" spans="1:12" ht="70" x14ac:dyDescent="0.15">
      <c r="A4181" s="61" t="s">
        <v>3635</v>
      </c>
      <c r="B4181" s="93" t="s">
        <v>2079</v>
      </c>
      <c r="C4181" s="100" t="s">
        <v>3636</v>
      </c>
      <c r="D4181" s="61" t="s">
        <v>2548</v>
      </c>
      <c r="E4181" s="100" t="s">
        <v>1952</v>
      </c>
      <c r="F4181" s="100" t="s">
        <v>1953</v>
      </c>
      <c r="G4181" s="100" t="s">
        <v>6224</v>
      </c>
      <c r="H4181" s="177"/>
      <c r="I4181" s="85">
        <f t="shared" si="162"/>
        <v>0.73909744611747508</v>
      </c>
      <c r="J4181" s="101">
        <v>5.484</v>
      </c>
      <c r="K4181" s="143"/>
      <c r="L4181" s="61">
        <v>153</v>
      </c>
    </row>
    <row r="4182" spans="1:12" ht="42" x14ac:dyDescent="0.15">
      <c r="A4182" s="62" t="s">
        <v>3635</v>
      </c>
      <c r="B4182" s="93" t="s">
        <v>616</v>
      </c>
      <c r="C4182" s="102" t="s">
        <v>3636</v>
      </c>
      <c r="D4182" s="62" t="s">
        <v>2548</v>
      </c>
      <c r="E4182" s="102" t="s">
        <v>2050</v>
      </c>
      <c r="F4182" s="102" t="s">
        <v>4262</v>
      </c>
      <c r="G4182" s="102" t="s">
        <v>4198</v>
      </c>
      <c r="H4182" s="175"/>
      <c r="I4182" s="85">
        <f t="shared" si="162"/>
        <v>1.4892263865098645</v>
      </c>
      <c r="J4182" s="104">
        <v>30.847955555555998</v>
      </c>
      <c r="K4182" s="143"/>
      <c r="L4182" s="61">
        <v>153</v>
      </c>
    </row>
    <row r="4183" spans="1:12" ht="56" x14ac:dyDescent="0.15">
      <c r="A4183" s="62" t="s">
        <v>3635</v>
      </c>
      <c r="B4183" s="82" t="s">
        <v>4424</v>
      </c>
      <c r="C4183" s="107" t="s">
        <v>3636</v>
      </c>
      <c r="D4183" s="62" t="s">
        <v>2548</v>
      </c>
      <c r="E4183" s="107" t="s">
        <v>2050</v>
      </c>
      <c r="F4183" s="107" t="s">
        <v>4262</v>
      </c>
      <c r="G4183" s="107" t="s">
        <v>4415</v>
      </c>
      <c r="H4183" s="179"/>
      <c r="I4183" s="85">
        <f t="shared" si="162"/>
        <v>1.7800291273373383</v>
      </c>
      <c r="J4183" s="104">
        <v>60.26</v>
      </c>
      <c r="K4183" s="143"/>
      <c r="L4183" s="61">
        <v>153</v>
      </c>
    </row>
    <row r="4184" spans="1:12" ht="56" x14ac:dyDescent="0.15">
      <c r="A4184" s="61" t="s">
        <v>3635</v>
      </c>
      <c r="B4184" s="82" t="s">
        <v>509</v>
      </c>
      <c r="C4184" s="105" t="s">
        <v>3636</v>
      </c>
      <c r="D4184" s="61" t="s">
        <v>2548</v>
      </c>
      <c r="E4184" s="105" t="s">
        <v>510</v>
      </c>
      <c r="F4184" s="105" t="s">
        <v>511</v>
      </c>
      <c r="G4184" s="105" t="s">
        <v>580</v>
      </c>
      <c r="H4184" s="178"/>
      <c r="I4184" s="85">
        <f t="shared" si="162"/>
        <v>1.0141003215196205</v>
      </c>
      <c r="J4184" s="101">
        <v>10.33</v>
      </c>
      <c r="K4184" s="143"/>
      <c r="L4184" s="61">
        <v>153</v>
      </c>
    </row>
    <row r="4185" spans="1:12" ht="70" x14ac:dyDescent="0.15">
      <c r="A4185" s="62" t="s">
        <v>3635</v>
      </c>
      <c r="B4185" s="82" t="s">
        <v>1927</v>
      </c>
      <c r="C4185" s="107" t="s">
        <v>3636</v>
      </c>
      <c r="D4185" s="62" t="s">
        <v>2548</v>
      </c>
      <c r="E4185" s="105" t="s">
        <v>510</v>
      </c>
      <c r="F4185" s="107" t="s">
        <v>489</v>
      </c>
      <c r="G4185" s="107" t="s">
        <v>3596</v>
      </c>
      <c r="H4185" s="179"/>
      <c r="I4185" s="85">
        <f t="shared" ref="I4185:I4216" si="163">LOG(J4185)</f>
        <v>1.167317334748176</v>
      </c>
      <c r="J4185" s="104">
        <v>14.7</v>
      </c>
      <c r="K4185" s="143"/>
      <c r="L4185" s="61">
        <v>153</v>
      </c>
    </row>
    <row r="4186" spans="1:12" ht="42" x14ac:dyDescent="0.15">
      <c r="A4186" s="62" t="s">
        <v>3635</v>
      </c>
      <c r="B4186" s="93" t="s">
        <v>1928</v>
      </c>
      <c r="C4186" s="102" t="s">
        <v>3636</v>
      </c>
      <c r="D4186" s="62" t="s">
        <v>2548</v>
      </c>
      <c r="E4186" s="100" t="s">
        <v>510</v>
      </c>
      <c r="F4186" s="102" t="s">
        <v>489</v>
      </c>
      <c r="G4186" s="102" t="s">
        <v>1925</v>
      </c>
      <c r="H4186" s="175"/>
      <c r="I4186" s="85">
        <f t="shared" si="163"/>
        <v>1.2265999052073575</v>
      </c>
      <c r="J4186" s="104">
        <v>16.850000000000001</v>
      </c>
      <c r="K4186" s="143"/>
      <c r="L4186" s="61">
        <v>153</v>
      </c>
    </row>
    <row r="4187" spans="1:12" ht="42" x14ac:dyDescent="0.15">
      <c r="A4187" s="62" t="s">
        <v>3635</v>
      </c>
      <c r="B4187" s="82" t="s">
        <v>1798</v>
      </c>
      <c r="C4187" s="105" t="s">
        <v>3636</v>
      </c>
      <c r="D4187" s="61" t="s">
        <v>2548</v>
      </c>
      <c r="E4187" s="105" t="s">
        <v>510</v>
      </c>
      <c r="F4187" s="105" t="s">
        <v>1799</v>
      </c>
      <c r="G4187" s="105" t="s">
        <v>5597</v>
      </c>
      <c r="H4187" s="178"/>
      <c r="I4187" s="85">
        <f t="shared" si="163"/>
        <v>1.0437551269686796</v>
      </c>
      <c r="J4187" s="101">
        <v>11.06</v>
      </c>
      <c r="K4187" s="143"/>
      <c r="L4187" s="61">
        <v>153</v>
      </c>
    </row>
    <row r="4188" spans="1:12" ht="42" x14ac:dyDescent="0.15">
      <c r="A4188" s="62" t="s">
        <v>3635</v>
      </c>
      <c r="B4188" s="93" t="s">
        <v>577</v>
      </c>
      <c r="C4188" s="100" t="s">
        <v>3636</v>
      </c>
      <c r="D4188" s="61" t="s">
        <v>2548</v>
      </c>
      <c r="E4188" s="100" t="s">
        <v>510</v>
      </c>
      <c r="F4188" s="100" t="s">
        <v>1799</v>
      </c>
      <c r="G4188" s="100" t="s">
        <v>1962</v>
      </c>
      <c r="H4188" s="177"/>
      <c r="I4188" s="85">
        <f t="shared" si="163"/>
        <v>1.0639897471525535</v>
      </c>
      <c r="J4188" s="101">
        <v>11.5875</v>
      </c>
      <c r="K4188" s="143"/>
      <c r="L4188" s="61">
        <v>153</v>
      </c>
    </row>
    <row r="4189" spans="1:12" ht="28" x14ac:dyDescent="0.15">
      <c r="A4189" s="62" t="s">
        <v>3635</v>
      </c>
      <c r="B4189" s="93" t="s">
        <v>574</v>
      </c>
      <c r="C4189" s="102" t="s">
        <v>3636</v>
      </c>
      <c r="D4189" s="62" t="s">
        <v>2548</v>
      </c>
      <c r="E4189" s="100" t="s">
        <v>510</v>
      </c>
      <c r="F4189" s="102" t="s">
        <v>1799</v>
      </c>
      <c r="G4189" s="102" t="s">
        <v>1897</v>
      </c>
      <c r="H4189" s="175"/>
      <c r="I4189" s="85">
        <f t="shared" si="163"/>
        <v>1.1875207208364631</v>
      </c>
      <c r="J4189" s="104">
        <v>15.4</v>
      </c>
      <c r="K4189" s="143"/>
      <c r="L4189" s="61">
        <v>153</v>
      </c>
    </row>
    <row r="4190" spans="1:12" ht="56" x14ac:dyDescent="0.15">
      <c r="A4190" s="62" t="s">
        <v>3635</v>
      </c>
      <c r="B4190" s="93" t="s">
        <v>1974</v>
      </c>
      <c r="C4190" s="102" t="s">
        <v>3636</v>
      </c>
      <c r="D4190" s="62" t="s">
        <v>2548</v>
      </c>
      <c r="E4190" s="100" t="s">
        <v>510</v>
      </c>
      <c r="F4190" s="102" t="s">
        <v>1799</v>
      </c>
      <c r="G4190" s="102" t="s">
        <v>1975</v>
      </c>
      <c r="H4190" s="175"/>
      <c r="I4190" s="85">
        <f t="shared" si="163"/>
        <v>1.2030328870147107</v>
      </c>
      <c r="J4190" s="104">
        <v>15.96</v>
      </c>
      <c r="K4190" s="143"/>
      <c r="L4190" s="61">
        <v>153</v>
      </c>
    </row>
    <row r="4191" spans="1:12" ht="56" x14ac:dyDescent="0.15">
      <c r="A4191" s="62" t="s">
        <v>3635</v>
      </c>
      <c r="B4191" s="93" t="s">
        <v>1565</v>
      </c>
      <c r="C4191" s="102" t="s">
        <v>3636</v>
      </c>
      <c r="D4191" s="62" t="s">
        <v>2548</v>
      </c>
      <c r="E4191" s="100" t="s">
        <v>510</v>
      </c>
      <c r="F4191" s="102" t="s">
        <v>1799</v>
      </c>
      <c r="G4191" s="102" t="s">
        <v>6970</v>
      </c>
      <c r="H4191" s="175"/>
      <c r="I4191" s="85">
        <f t="shared" si="163"/>
        <v>1.3092041796704075</v>
      </c>
      <c r="J4191" s="104">
        <v>20.38</v>
      </c>
      <c r="K4191" s="143"/>
      <c r="L4191" s="61">
        <v>153</v>
      </c>
    </row>
    <row r="4192" spans="1:12" ht="28" x14ac:dyDescent="0.15">
      <c r="A4192" s="62" t="s">
        <v>3635</v>
      </c>
      <c r="B4192" s="93" t="s">
        <v>1955</v>
      </c>
      <c r="C4192" s="100" t="s">
        <v>3636</v>
      </c>
      <c r="D4192" s="61" t="s">
        <v>2548</v>
      </c>
      <c r="E4192" s="100" t="s">
        <v>510</v>
      </c>
      <c r="F4192" s="100" t="s">
        <v>1799</v>
      </c>
      <c r="G4192" s="100" t="s">
        <v>3355</v>
      </c>
      <c r="H4192" s="177"/>
      <c r="I4192" s="103">
        <f t="shared" si="163"/>
        <v>1.4668676203541096</v>
      </c>
      <c r="J4192" s="103">
        <v>29.3</v>
      </c>
      <c r="K4192" s="141"/>
      <c r="L4192" s="61">
        <v>254</v>
      </c>
    </row>
    <row r="4193" spans="1:12" ht="14" x14ac:dyDescent="0.15">
      <c r="A4193" s="62" t="s">
        <v>3635</v>
      </c>
      <c r="B4193" s="93" t="s">
        <v>1569</v>
      </c>
      <c r="C4193" s="102" t="s">
        <v>3636</v>
      </c>
      <c r="D4193" s="62" t="s">
        <v>2548</v>
      </c>
      <c r="E4193" s="102" t="s">
        <v>510</v>
      </c>
      <c r="F4193" s="102" t="s">
        <v>1799</v>
      </c>
      <c r="G4193" s="102" t="s">
        <v>3595</v>
      </c>
      <c r="H4193" s="175"/>
      <c r="I4193" s="85">
        <f t="shared" si="163"/>
        <v>1.5879914264312436</v>
      </c>
      <c r="J4193" s="104">
        <v>38.725000000000001</v>
      </c>
      <c r="K4193" s="143"/>
      <c r="L4193" s="61">
        <v>153</v>
      </c>
    </row>
    <row r="4194" spans="1:12" ht="126" x14ac:dyDescent="0.15">
      <c r="A4194" s="62" t="s">
        <v>3635</v>
      </c>
      <c r="B4194" s="82" t="s">
        <v>560</v>
      </c>
      <c r="C4194" s="107" t="s">
        <v>3636</v>
      </c>
      <c r="D4194" s="62" t="s">
        <v>2548</v>
      </c>
      <c r="E4194" s="107" t="s">
        <v>510</v>
      </c>
      <c r="F4194" s="107" t="s">
        <v>1799</v>
      </c>
      <c r="G4194" s="107" t="s">
        <v>559</v>
      </c>
      <c r="H4194" s="179"/>
      <c r="I4194" s="85">
        <f t="shared" si="163"/>
        <v>1.6250036010148634</v>
      </c>
      <c r="J4194" s="104">
        <v>42.17</v>
      </c>
      <c r="K4194" s="143"/>
      <c r="L4194" s="61">
        <v>153</v>
      </c>
    </row>
    <row r="4195" spans="1:12" ht="84" x14ac:dyDescent="0.15">
      <c r="A4195" s="62" t="s">
        <v>3635</v>
      </c>
      <c r="B4195" s="82" t="s">
        <v>472</v>
      </c>
      <c r="C4195" s="107" t="s">
        <v>3636</v>
      </c>
      <c r="D4195" s="62" t="s">
        <v>2548</v>
      </c>
      <c r="E4195" s="107" t="s">
        <v>510</v>
      </c>
      <c r="F4195" s="107" t="s">
        <v>1799</v>
      </c>
      <c r="G4195" s="107" t="s">
        <v>473</v>
      </c>
      <c r="H4195" s="179"/>
      <c r="I4195" s="85">
        <f t="shared" si="163"/>
        <v>1.7805333253164044</v>
      </c>
      <c r="J4195" s="104">
        <v>60.33</v>
      </c>
      <c r="K4195" s="143"/>
      <c r="L4195" s="61">
        <v>153</v>
      </c>
    </row>
    <row r="4196" spans="1:12" ht="28" x14ac:dyDescent="0.15">
      <c r="A4196" s="61" t="s">
        <v>3635</v>
      </c>
      <c r="B4196" s="108" t="s">
        <v>391</v>
      </c>
      <c r="C4196" s="100" t="s">
        <v>3636</v>
      </c>
      <c r="D4196" s="61" t="s">
        <v>2548</v>
      </c>
      <c r="E4196" s="100" t="s">
        <v>510</v>
      </c>
      <c r="F4196" s="100" t="s">
        <v>392</v>
      </c>
      <c r="G4196" s="100" t="s">
        <v>393</v>
      </c>
      <c r="H4196" s="177"/>
      <c r="I4196" s="85">
        <f t="shared" si="163"/>
        <v>1.1227618173540364</v>
      </c>
      <c r="J4196" s="101">
        <v>13.266666666667</v>
      </c>
      <c r="K4196" s="143"/>
      <c r="L4196" s="61">
        <v>153</v>
      </c>
    </row>
    <row r="4197" spans="1:12" ht="28" x14ac:dyDescent="0.15">
      <c r="A4197" s="62" t="s">
        <v>3635</v>
      </c>
      <c r="B4197" s="93" t="s">
        <v>389</v>
      </c>
      <c r="C4197" s="100" t="s">
        <v>3636</v>
      </c>
      <c r="D4197" s="61" t="s">
        <v>2548</v>
      </c>
      <c r="E4197" s="100" t="s">
        <v>510</v>
      </c>
      <c r="F4197" s="100" t="s">
        <v>392</v>
      </c>
      <c r="G4197" s="100" t="s">
        <v>7086</v>
      </c>
      <c r="H4197" s="177"/>
      <c r="I4197" s="85">
        <f t="shared" si="163"/>
        <v>1.1583624920952498</v>
      </c>
      <c r="J4197" s="101">
        <v>14.4</v>
      </c>
      <c r="K4197" s="143"/>
      <c r="L4197" s="61">
        <v>153</v>
      </c>
    </row>
    <row r="4198" spans="1:12" ht="28" x14ac:dyDescent="0.15">
      <c r="A4198" s="62" t="s">
        <v>3635</v>
      </c>
      <c r="B4198" s="93" t="s">
        <v>4412</v>
      </c>
      <c r="C4198" s="102" t="s">
        <v>3636</v>
      </c>
      <c r="D4198" s="62" t="s">
        <v>2548</v>
      </c>
      <c r="E4198" s="100" t="s">
        <v>510</v>
      </c>
      <c r="F4198" s="102" t="s">
        <v>392</v>
      </c>
      <c r="G4198" s="102" t="s">
        <v>4413</v>
      </c>
      <c r="H4198" s="175"/>
      <c r="I4198" s="85">
        <f t="shared" si="163"/>
        <v>1.1928461151888416</v>
      </c>
      <c r="J4198" s="104">
        <v>15.59</v>
      </c>
      <c r="K4198" s="143"/>
      <c r="L4198" s="61">
        <v>153</v>
      </c>
    </row>
    <row r="4199" spans="1:12" ht="112" x14ac:dyDescent="0.15">
      <c r="A4199" s="62" t="s">
        <v>3635</v>
      </c>
      <c r="B4199" s="82" t="s">
        <v>626</v>
      </c>
      <c r="C4199" s="105" t="s">
        <v>3636</v>
      </c>
      <c r="D4199" s="61" t="s">
        <v>2548</v>
      </c>
      <c r="E4199" s="105" t="s">
        <v>510</v>
      </c>
      <c r="F4199" s="105" t="s">
        <v>392</v>
      </c>
      <c r="G4199" s="105" t="s">
        <v>5180</v>
      </c>
      <c r="H4199" s="178"/>
      <c r="I4199" s="85">
        <f t="shared" si="163"/>
        <v>1.2762319579218335</v>
      </c>
      <c r="J4199" s="101">
        <v>18.89</v>
      </c>
      <c r="K4199" s="143"/>
      <c r="L4199" s="61">
        <v>153</v>
      </c>
    </row>
    <row r="4200" spans="1:12" ht="42" x14ac:dyDescent="0.15">
      <c r="A4200" s="62" t="s">
        <v>3635</v>
      </c>
      <c r="B4200" s="82" t="s">
        <v>1948</v>
      </c>
      <c r="C4200" s="107" t="s">
        <v>3636</v>
      </c>
      <c r="D4200" s="62" t="s">
        <v>2548</v>
      </c>
      <c r="E4200" s="105" t="s">
        <v>510</v>
      </c>
      <c r="F4200" s="107" t="s">
        <v>1949</v>
      </c>
      <c r="G4200" s="107" t="s">
        <v>6160</v>
      </c>
      <c r="H4200" s="179"/>
      <c r="I4200" s="85">
        <f t="shared" si="163"/>
        <v>1.3289908554494287</v>
      </c>
      <c r="J4200" s="104">
        <v>21.33</v>
      </c>
      <c r="K4200" s="143"/>
      <c r="L4200" s="61">
        <v>153</v>
      </c>
    </row>
    <row r="4201" spans="1:12" ht="28" x14ac:dyDescent="0.15">
      <c r="A4201" s="62" t="s">
        <v>3635</v>
      </c>
      <c r="B4201" s="82" t="s">
        <v>2058</v>
      </c>
      <c r="C4201" s="105" t="s">
        <v>3636</v>
      </c>
      <c r="D4201" s="61" t="s">
        <v>2548</v>
      </c>
      <c r="E4201" s="105" t="s">
        <v>510</v>
      </c>
      <c r="F4201" s="105" t="s">
        <v>397</v>
      </c>
      <c r="G4201" s="105" t="s">
        <v>478</v>
      </c>
      <c r="H4201" s="178"/>
      <c r="I4201" s="85">
        <f t="shared" si="163"/>
        <v>1.1360860973840974</v>
      </c>
      <c r="J4201" s="101">
        <v>13.68</v>
      </c>
      <c r="K4201" s="143"/>
      <c r="L4201" s="61">
        <v>153</v>
      </c>
    </row>
    <row r="4202" spans="1:12" ht="42" x14ac:dyDescent="0.15">
      <c r="A4202" s="62" t="s">
        <v>3635</v>
      </c>
      <c r="B4202" s="82" t="s">
        <v>534</v>
      </c>
      <c r="C4202" s="107" t="s">
        <v>3636</v>
      </c>
      <c r="D4202" s="62" t="s">
        <v>2548</v>
      </c>
      <c r="E4202" s="107" t="s">
        <v>510</v>
      </c>
      <c r="F4202" s="107" t="s">
        <v>397</v>
      </c>
      <c r="G4202" s="107" t="s">
        <v>1941</v>
      </c>
      <c r="H4202" s="179"/>
      <c r="I4202" s="85">
        <f t="shared" si="163"/>
        <v>1.3639878297484915</v>
      </c>
      <c r="J4202" s="104">
        <v>23.12</v>
      </c>
      <c r="K4202" s="143"/>
      <c r="L4202" s="61">
        <v>153</v>
      </c>
    </row>
    <row r="4203" spans="1:12" ht="42" x14ac:dyDescent="0.15">
      <c r="A4203" s="62" t="s">
        <v>3635</v>
      </c>
      <c r="B4203" s="93" t="s">
        <v>1947</v>
      </c>
      <c r="C4203" s="102" t="s">
        <v>3636</v>
      </c>
      <c r="D4203" s="62" t="s">
        <v>2548</v>
      </c>
      <c r="E4203" s="102" t="s">
        <v>510</v>
      </c>
      <c r="F4203" s="102" t="s">
        <v>397</v>
      </c>
      <c r="G4203" s="102" t="s">
        <v>7803</v>
      </c>
      <c r="H4203" s="175"/>
      <c r="I4203" s="85">
        <f t="shared" si="163"/>
        <v>1.406823940314623</v>
      </c>
      <c r="J4203" s="104">
        <v>25.516666666667</v>
      </c>
      <c r="K4203" s="143"/>
      <c r="L4203" s="61">
        <v>153</v>
      </c>
    </row>
    <row r="4204" spans="1:12" ht="42" x14ac:dyDescent="0.15">
      <c r="A4204" s="61" t="s">
        <v>3635</v>
      </c>
      <c r="B4204" s="93" t="s">
        <v>1572</v>
      </c>
      <c r="C4204" s="100" t="s">
        <v>3636</v>
      </c>
      <c r="D4204" s="61" t="s">
        <v>2548</v>
      </c>
      <c r="E4204" s="100" t="s">
        <v>510</v>
      </c>
      <c r="F4204" s="100" t="s">
        <v>2055</v>
      </c>
      <c r="G4204" s="100" t="s">
        <v>4148</v>
      </c>
      <c r="H4204" s="177"/>
      <c r="I4204" s="85">
        <f t="shared" si="163"/>
        <v>0.89762709129044149</v>
      </c>
      <c r="J4204" s="101">
        <v>7.9</v>
      </c>
      <c r="K4204" s="143"/>
      <c r="L4204" s="61">
        <v>153</v>
      </c>
    </row>
    <row r="4205" spans="1:12" ht="70" x14ac:dyDescent="0.15">
      <c r="A4205" s="62" t="s">
        <v>3635</v>
      </c>
      <c r="B4205" s="93" t="s">
        <v>506</v>
      </c>
      <c r="C4205" s="102" t="s">
        <v>3636</v>
      </c>
      <c r="D4205" s="62" t="s">
        <v>2548</v>
      </c>
      <c r="E4205" s="100" t="s">
        <v>510</v>
      </c>
      <c r="F4205" s="102" t="s">
        <v>507</v>
      </c>
      <c r="G4205" s="102" t="s">
        <v>4194</v>
      </c>
      <c r="H4205" s="175"/>
      <c r="I4205" s="85">
        <f t="shared" si="163"/>
        <v>1.2201080880400552</v>
      </c>
      <c r="J4205" s="104">
        <v>16.600000000000001</v>
      </c>
      <c r="K4205" s="143"/>
      <c r="L4205" s="61">
        <v>153</v>
      </c>
    </row>
    <row r="4206" spans="1:12" ht="42" x14ac:dyDescent="0.15">
      <c r="A4206" s="62" t="s">
        <v>3635</v>
      </c>
      <c r="B4206" s="93" t="s">
        <v>508</v>
      </c>
      <c r="C4206" s="102" t="s">
        <v>3636</v>
      </c>
      <c r="D4206" s="62" t="s">
        <v>2548</v>
      </c>
      <c r="E4206" s="102" t="s">
        <v>510</v>
      </c>
      <c r="F4206" s="102" t="s">
        <v>600</v>
      </c>
      <c r="G4206" s="102" t="s">
        <v>7117</v>
      </c>
      <c r="H4206" s="175"/>
      <c r="I4206" s="85">
        <f t="shared" si="163"/>
        <v>1.8913283438821973</v>
      </c>
      <c r="J4206" s="104">
        <v>77.862499999999997</v>
      </c>
      <c r="K4206" s="143"/>
      <c r="L4206" s="61">
        <v>153</v>
      </c>
    </row>
    <row r="4207" spans="1:12" ht="70" x14ac:dyDescent="0.15">
      <c r="A4207" s="62" t="s">
        <v>3635</v>
      </c>
      <c r="B4207" s="82" t="s">
        <v>596</v>
      </c>
      <c r="C4207" s="107" t="s">
        <v>3636</v>
      </c>
      <c r="D4207" s="62" t="s">
        <v>2548</v>
      </c>
      <c r="E4207" s="107" t="s">
        <v>510</v>
      </c>
      <c r="F4207" s="107" t="s">
        <v>597</v>
      </c>
      <c r="G4207" s="107" t="s">
        <v>598</v>
      </c>
      <c r="H4207" s="179"/>
      <c r="I4207" s="85">
        <f t="shared" si="163"/>
        <v>1.5212688755983852</v>
      </c>
      <c r="J4207" s="104">
        <v>33.21</v>
      </c>
      <c r="K4207" s="143"/>
      <c r="L4207" s="61">
        <v>153</v>
      </c>
    </row>
    <row r="4208" spans="1:12" ht="56" x14ac:dyDescent="0.15">
      <c r="A4208" s="62" t="s">
        <v>3635</v>
      </c>
      <c r="B4208" s="93" t="s">
        <v>682</v>
      </c>
      <c r="C4208" s="102" t="s">
        <v>3636</v>
      </c>
      <c r="D4208" s="62" t="s">
        <v>2548</v>
      </c>
      <c r="E4208" s="100" t="s">
        <v>510</v>
      </c>
      <c r="F4208" s="102" t="s">
        <v>683</v>
      </c>
      <c r="G4208" s="102" t="s">
        <v>607</v>
      </c>
      <c r="H4208" s="175"/>
      <c r="I4208" s="85">
        <f t="shared" si="163"/>
        <v>1.5569721916970685</v>
      </c>
      <c r="J4208" s="104">
        <v>36.055555555555998</v>
      </c>
      <c r="K4208" s="143"/>
      <c r="L4208" s="61">
        <v>153</v>
      </c>
    </row>
    <row r="4209" spans="1:18" ht="42" x14ac:dyDescent="0.15">
      <c r="A4209" s="61" t="s">
        <v>3635</v>
      </c>
      <c r="B4209" s="93" t="s">
        <v>4574</v>
      </c>
      <c r="C4209" s="102" t="s">
        <v>3636</v>
      </c>
      <c r="D4209" s="62" t="s">
        <v>2548</v>
      </c>
      <c r="E4209" s="102" t="s">
        <v>510</v>
      </c>
      <c r="F4209" s="102" t="s">
        <v>4575</v>
      </c>
      <c r="G4209" s="102" t="s">
        <v>4576</v>
      </c>
      <c r="H4209" s="175"/>
      <c r="I4209" s="85">
        <f t="shared" si="163"/>
        <v>1.4668676203541096</v>
      </c>
      <c r="J4209" s="104">
        <v>29.3</v>
      </c>
      <c r="K4209" s="143"/>
      <c r="L4209" s="61">
        <v>153</v>
      </c>
    </row>
    <row r="4210" spans="1:18" ht="42" x14ac:dyDescent="0.15">
      <c r="A4210" s="62" t="s">
        <v>3635</v>
      </c>
      <c r="B4210" s="93" t="s">
        <v>609</v>
      </c>
      <c r="C4210" s="100" t="s">
        <v>3636</v>
      </c>
      <c r="D4210" s="61" t="s">
        <v>2548</v>
      </c>
      <c r="E4210" s="100" t="s">
        <v>510</v>
      </c>
      <c r="F4210" s="100" t="s">
        <v>610</v>
      </c>
      <c r="G4210" s="100" t="s">
        <v>518</v>
      </c>
      <c r="H4210" s="177"/>
      <c r="I4210" s="85">
        <f t="shared" si="163"/>
        <v>0.76004532796581059</v>
      </c>
      <c r="J4210" s="101">
        <v>5.7549999999999999</v>
      </c>
      <c r="K4210" s="143"/>
      <c r="L4210" s="61">
        <v>153</v>
      </c>
    </row>
    <row r="4211" spans="1:18" ht="28" x14ac:dyDescent="0.15">
      <c r="A4211" s="62" t="s">
        <v>3635</v>
      </c>
      <c r="B4211" s="93" t="s">
        <v>437</v>
      </c>
      <c r="C4211" s="102" t="s">
        <v>3636</v>
      </c>
      <c r="D4211" s="62" t="s">
        <v>2548</v>
      </c>
      <c r="E4211" s="102" t="s">
        <v>510</v>
      </c>
      <c r="F4211" s="102" t="s">
        <v>438</v>
      </c>
      <c r="G4211" s="102" t="s">
        <v>854</v>
      </c>
      <c r="H4211" s="175"/>
      <c r="I4211" s="85">
        <f t="shared" si="163"/>
        <v>0.9242792860618817</v>
      </c>
      <c r="J4211" s="104">
        <v>8.4</v>
      </c>
      <c r="K4211" s="144"/>
      <c r="L4211" s="61">
        <v>153</v>
      </c>
    </row>
    <row r="4212" spans="1:18" ht="42" x14ac:dyDescent="0.15">
      <c r="A4212" s="62" t="s">
        <v>3635</v>
      </c>
      <c r="B4212" s="93" t="s">
        <v>861</v>
      </c>
      <c r="C4212" s="100" t="s">
        <v>3636</v>
      </c>
      <c r="D4212" s="61" t="s">
        <v>2548</v>
      </c>
      <c r="E4212" s="100" t="s">
        <v>510</v>
      </c>
      <c r="F4212" s="100" t="s">
        <v>438</v>
      </c>
      <c r="G4212" s="100" t="s">
        <v>851</v>
      </c>
      <c r="H4212" s="177"/>
      <c r="I4212" s="85">
        <f t="shared" si="163"/>
        <v>0.9493900066449128</v>
      </c>
      <c r="J4212" s="101">
        <v>8.9</v>
      </c>
      <c r="K4212" s="143"/>
      <c r="L4212" s="61">
        <v>153</v>
      </c>
    </row>
    <row r="4213" spans="1:18" ht="112" x14ac:dyDescent="0.15">
      <c r="A4213" s="62" t="s">
        <v>3635</v>
      </c>
      <c r="B4213" s="82" t="s">
        <v>762</v>
      </c>
      <c r="C4213" s="105" t="s">
        <v>3636</v>
      </c>
      <c r="D4213" s="61" t="s">
        <v>2548</v>
      </c>
      <c r="E4213" s="105" t="s">
        <v>510</v>
      </c>
      <c r="F4213" s="105" t="s">
        <v>438</v>
      </c>
      <c r="G4213" s="105" t="s">
        <v>849</v>
      </c>
      <c r="H4213" s="178"/>
      <c r="I4213" s="85">
        <f t="shared" si="163"/>
        <v>1.0017337128090005</v>
      </c>
      <c r="J4213" s="101">
        <v>10.039999999999999</v>
      </c>
      <c r="K4213" s="143"/>
      <c r="L4213" s="61">
        <v>153</v>
      </c>
    </row>
    <row r="4214" spans="1:18" ht="56" x14ac:dyDescent="0.15">
      <c r="A4214" s="62" t="s">
        <v>3635</v>
      </c>
      <c r="B4214" s="93" t="s">
        <v>513</v>
      </c>
      <c r="C4214" s="100" t="s">
        <v>3636</v>
      </c>
      <c r="D4214" s="61" t="s">
        <v>2548</v>
      </c>
      <c r="E4214" s="100" t="s">
        <v>510</v>
      </c>
      <c r="F4214" s="100" t="s">
        <v>438</v>
      </c>
      <c r="G4214" s="100" t="s">
        <v>514</v>
      </c>
      <c r="H4214" s="177"/>
      <c r="I4214" s="85">
        <f t="shared" si="163"/>
        <v>1.0043213737826426</v>
      </c>
      <c r="J4214" s="101">
        <v>10.1</v>
      </c>
      <c r="K4214" s="143"/>
      <c r="L4214" s="61">
        <v>153</v>
      </c>
    </row>
    <row r="4215" spans="1:18" ht="28" x14ac:dyDescent="0.15">
      <c r="A4215" s="62" t="s">
        <v>3635</v>
      </c>
      <c r="B4215" s="93" t="s">
        <v>516</v>
      </c>
      <c r="C4215" s="100" t="s">
        <v>3636</v>
      </c>
      <c r="D4215" s="61" t="s">
        <v>2548</v>
      </c>
      <c r="E4215" s="100" t="s">
        <v>510</v>
      </c>
      <c r="F4215" s="100" t="s">
        <v>517</v>
      </c>
      <c r="G4215" s="100" t="s">
        <v>6487</v>
      </c>
      <c r="H4215" s="177"/>
      <c r="I4215" s="85">
        <f t="shared" si="163"/>
        <v>0.82282164530310464</v>
      </c>
      <c r="J4215" s="101">
        <v>6.65</v>
      </c>
      <c r="K4215" s="143"/>
      <c r="L4215" s="61">
        <v>153</v>
      </c>
    </row>
    <row r="4216" spans="1:18" ht="84" x14ac:dyDescent="0.15">
      <c r="A4216" s="62" t="s">
        <v>3635</v>
      </c>
      <c r="B4216" s="93" t="s">
        <v>1976</v>
      </c>
      <c r="C4216" s="102" t="s">
        <v>3636</v>
      </c>
      <c r="D4216" s="62" t="s">
        <v>2548</v>
      </c>
      <c r="E4216" s="102" t="s">
        <v>510</v>
      </c>
      <c r="F4216" s="102" t="s">
        <v>1977</v>
      </c>
      <c r="G4216" s="102" t="s">
        <v>1899</v>
      </c>
      <c r="H4216" s="175"/>
      <c r="I4216" s="85">
        <f t="shared" si="163"/>
        <v>1.3695531735295527</v>
      </c>
      <c r="J4216" s="104">
        <v>23.418181818181999</v>
      </c>
      <c r="K4216" s="143"/>
      <c r="L4216" s="61">
        <v>153</v>
      </c>
    </row>
    <row r="4217" spans="1:18" ht="42" x14ac:dyDescent="0.15">
      <c r="A4217" s="62" t="s">
        <v>3635</v>
      </c>
      <c r="B4217" s="93" t="s">
        <v>1794</v>
      </c>
      <c r="C4217" s="102" t="s">
        <v>3636</v>
      </c>
      <c r="D4217" s="62" t="s">
        <v>2548</v>
      </c>
      <c r="E4217" s="102" t="s">
        <v>510</v>
      </c>
      <c r="F4217" s="102" t="s">
        <v>1977</v>
      </c>
      <c r="G4217" s="102" t="s">
        <v>3625</v>
      </c>
      <c r="H4217" s="175"/>
      <c r="I4217" s="85">
        <f t="shared" ref="I4217:I4236" si="164">LOG(J4217)</f>
        <v>1.4089180208467798</v>
      </c>
      <c r="J4217" s="104">
        <v>25.64</v>
      </c>
      <c r="K4217" s="143"/>
      <c r="L4217" s="61">
        <v>153</v>
      </c>
    </row>
    <row r="4218" spans="1:18" ht="42" x14ac:dyDescent="0.15">
      <c r="A4218" s="62" t="s">
        <v>3635</v>
      </c>
      <c r="B4218" s="93" t="s">
        <v>1796</v>
      </c>
      <c r="C4218" s="100" t="s">
        <v>3636</v>
      </c>
      <c r="D4218" s="61" t="s">
        <v>2548</v>
      </c>
      <c r="E4218" s="100" t="s">
        <v>510</v>
      </c>
      <c r="F4218" s="100" t="s">
        <v>575</v>
      </c>
      <c r="G4218" s="100" t="s">
        <v>576</v>
      </c>
      <c r="H4218" s="177"/>
      <c r="I4218" s="85">
        <f t="shared" si="164"/>
        <v>0.74818802700620035</v>
      </c>
      <c r="J4218" s="101">
        <v>5.6</v>
      </c>
      <c r="K4218" s="143"/>
      <c r="L4218" s="61">
        <v>153</v>
      </c>
    </row>
    <row r="4219" spans="1:18" ht="42" x14ac:dyDescent="0.15">
      <c r="A4219" s="62" t="s">
        <v>3635</v>
      </c>
      <c r="B4219" s="93" t="s">
        <v>1800</v>
      </c>
      <c r="C4219" s="100" t="s">
        <v>3636</v>
      </c>
      <c r="D4219" s="61" t="s">
        <v>2548</v>
      </c>
      <c r="E4219" s="100" t="s">
        <v>510</v>
      </c>
      <c r="F4219" s="100" t="s">
        <v>1801</v>
      </c>
      <c r="G4219" s="100" t="s">
        <v>4577</v>
      </c>
      <c r="H4219" s="177"/>
      <c r="I4219" s="85">
        <f t="shared" si="164"/>
        <v>0.92341673467226648</v>
      </c>
      <c r="J4219" s="101">
        <v>8.3833333333330007</v>
      </c>
      <c r="K4219" s="143"/>
      <c r="L4219" s="61">
        <v>153</v>
      </c>
    </row>
    <row r="4220" spans="1:18" ht="42" x14ac:dyDescent="0.15">
      <c r="A4220" s="62" t="s">
        <v>3635</v>
      </c>
      <c r="B4220" s="93" t="s">
        <v>1982</v>
      </c>
      <c r="C4220" s="100" t="s">
        <v>3636</v>
      </c>
      <c r="D4220" s="61" t="s">
        <v>2548</v>
      </c>
      <c r="E4220" s="100" t="s">
        <v>510</v>
      </c>
      <c r="F4220" s="100" t="s">
        <v>1980</v>
      </c>
      <c r="G4220" s="100" t="s">
        <v>6492</v>
      </c>
      <c r="H4220" s="177"/>
      <c r="I4220" s="85">
        <f t="shared" si="164"/>
        <v>1.0293837776852097</v>
      </c>
      <c r="J4220" s="101">
        <v>10.7</v>
      </c>
      <c r="K4220" s="143"/>
      <c r="L4220" s="61">
        <v>153</v>
      </c>
    </row>
    <row r="4221" spans="1:18" ht="28" x14ac:dyDescent="0.15">
      <c r="A4221" s="61" t="s">
        <v>3635</v>
      </c>
      <c r="B4221" s="93" t="s">
        <v>1983</v>
      </c>
      <c r="C4221" s="100" t="s">
        <v>3636</v>
      </c>
      <c r="D4221" s="61" t="s">
        <v>2548</v>
      </c>
      <c r="E4221" s="100" t="s">
        <v>510</v>
      </c>
      <c r="F4221" s="100" t="s">
        <v>1980</v>
      </c>
      <c r="G4221" s="100" t="s">
        <v>4519</v>
      </c>
      <c r="H4221" s="177"/>
      <c r="I4221" s="85">
        <f t="shared" si="164"/>
        <v>1.1139433523068367</v>
      </c>
      <c r="J4221" s="101">
        <v>13</v>
      </c>
      <c r="K4221" s="143"/>
      <c r="L4221" s="61">
        <v>153</v>
      </c>
    </row>
    <row r="4222" spans="1:18" ht="56" x14ac:dyDescent="0.15">
      <c r="A4222" s="62" t="s">
        <v>3635</v>
      </c>
      <c r="B4222" s="93" t="s">
        <v>461</v>
      </c>
      <c r="C4222" s="100" t="s">
        <v>3636</v>
      </c>
      <c r="D4222" s="61" t="s">
        <v>2548</v>
      </c>
      <c r="E4222" s="100" t="s">
        <v>510</v>
      </c>
      <c r="F4222" s="100" t="s">
        <v>470</v>
      </c>
      <c r="G4222" s="100" t="s">
        <v>4199</v>
      </c>
      <c r="H4222" s="177"/>
      <c r="I4222" s="85">
        <f t="shared" si="164"/>
        <v>1.1958996524092338</v>
      </c>
      <c r="J4222" s="101">
        <v>15.7</v>
      </c>
      <c r="K4222" s="143"/>
      <c r="L4222" s="61">
        <v>153</v>
      </c>
    </row>
    <row r="4223" spans="1:18" ht="42" x14ac:dyDescent="0.15">
      <c r="A4223" s="62" t="s">
        <v>3635</v>
      </c>
      <c r="B4223" s="93" t="s">
        <v>816</v>
      </c>
      <c r="C4223" s="100" t="s">
        <v>3636</v>
      </c>
      <c r="D4223" s="61" t="s">
        <v>2548</v>
      </c>
      <c r="E4223" s="100" t="s">
        <v>510</v>
      </c>
      <c r="F4223" s="100" t="s">
        <v>817</v>
      </c>
      <c r="G4223" s="100" t="s">
        <v>482</v>
      </c>
      <c r="H4223" s="177"/>
      <c r="I4223" s="85">
        <f t="shared" si="164"/>
        <v>0.90848501887864974</v>
      </c>
      <c r="J4223" s="101">
        <v>8.1</v>
      </c>
      <c r="K4223" s="143"/>
      <c r="L4223" s="61">
        <v>153</v>
      </c>
      <c r="Q4223"/>
      <c r="R4223"/>
    </row>
    <row r="4224" spans="1:18" ht="70" x14ac:dyDescent="0.15">
      <c r="A4224" s="62" t="s">
        <v>3635</v>
      </c>
      <c r="B4224" s="93" t="s">
        <v>557</v>
      </c>
      <c r="C4224" s="100" t="s">
        <v>3636</v>
      </c>
      <c r="D4224" s="61" t="s">
        <v>2548</v>
      </c>
      <c r="E4224" s="100" t="s">
        <v>510</v>
      </c>
      <c r="F4224" s="100" t="s">
        <v>558</v>
      </c>
      <c r="G4224" s="100" t="s">
        <v>4223</v>
      </c>
      <c r="H4224" s="177"/>
      <c r="I4224" s="85">
        <f t="shared" si="164"/>
        <v>1.0653929615619915</v>
      </c>
      <c r="J4224" s="101">
        <v>11.625</v>
      </c>
      <c r="K4224" s="143"/>
      <c r="L4224" s="61">
        <v>153</v>
      </c>
    </row>
    <row r="4225" spans="1:12" ht="84" x14ac:dyDescent="0.15">
      <c r="A4225" s="62" t="s">
        <v>3635</v>
      </c>
      <c r="B4225" s="93" t="s">
        <v>552</v>
      </c>
      <c r="C4225" s="100" t="s">
        <v>3636</v>
      </c>
      <c r="D4225" s="61" t="s">
        <v>2548</v>
      </c>
      <c r="E4225" s="100" t="s">
        <v>510</v>
      </c>
      <c r="F4225" s="100" t="s">
        <v>558</v>
      </c>
      <c r="G4225" s="100" t="s">
        <v>640</v>
      </c>
      <c r="H4225" s="177"/>
      <c r="I4225" s="85">
        <f t="shared" si="164"/>
        <v>1.105510184769974</v>
      </c>
      <c r="J4225" s="101">
        <v>12.75</v>
      </c>
      <c r="K4225" s="143"/>
      <c r="L4225" s="61">
        <v>153</v>
      </c>
    </row>
    <row r="4226" spans="1:12" ht="42" x14ac:dyDescent="0.15">
      <c r="A4226" s="62" t="s">
        <v>3635</v>
      </c>
      <c r="B4226" s="93" t="s">
        <v>894</v>
      </c>
      <c r="C4226" s="100" t="s">
        <v>3636</v>
      </c>
      <c r="D4226" s="61" t="s">
        <v>2548</v>
      </c>
      <c r="E4226" s="100" t="s">
        <v>510</v>
      </c>
      <c r="F4226" s="100" t="s">
        <v>815</v>
      </c>
      <c r="G4226" s="100" t="s">
        <v>3844</v>
      </c>
      <c r="H4226" s="177"/>
      <c r="I4226" s="85">
        <f t="shared" si="164"/>
        <v>0.84010609445675777</v>
      </c>
      <c r="J4226" s="101">
        <v>6.92</v>
      </c>
      <c r="K4226" s="143"/>
      <c r="L4226" s="61">
        <v>153</v>
      </c>
    </row>
    <row r="4227" spans="1:12" ht="70" x14ac:dyDescent="0.15">
      <c r="A4227" s="62" t="s">
        <v>3635</v>
      </c>
      <c r="B4227" s="82" t="s">
        <v>897</v>
      </c>
      <c r="C4227" s="105" t="s">
        <v>3636</v>
      </c>
      <c r="D4227" s="61" t="s">
        <v>2548</v>
      </c>
      <c r="E4227" s="105" t="s">
        <v>510</v>
      </c>
      <c r="F4227" s="105" t="s">
        <v>898</v>
      </c>
      <c r="G4227" s="105" t="s">
        <v>1913</v>
      </c>
      <c r="H4227" s="178"/>
      <c r="I4227" s="85">
        <f t="shared" si="164"/>
        <v>0.80140371001735511</v>
      </c>
      <c r="J4227" s="101">
        <v>6.33</v>
      </c>
      <c r="K4227" s="143"/>
      <c r="L4227" s="61">
        <v>153</v>
      </c>
    </row>
    <row r="4228" spans="1:12" ht="28" x14ac:dyDescent="0.15">
      <c r="A4228" s="62" t="s">
        <v>3635</v>
      </c>
      <c r="B4228" s="82" t="s">
        <v>1052</v>
      </c>
      <c r="C4228" s="105" t="s">
        <v>3636</v>
      </c>
      <c r="D4228" s="61" t="s">
        <v>2548</v>
      </c>
      <c r="E4228" s="105" t="s">
        <v>510</v>
      </c>
      <c r="F4228" s="105" t="s">
        <v>898</v>
      </c>
      <c r="G4228" s="105" t="s">
        <v>4937</v>
      </c>
      <c r="H4228" s="178"/>
      <c r="I4228" s="85">
        <f t="shared" si="164"/>
        <v>0.81291335664285558</v>
      </c>
      <c r="J4228" s="101">
        <v>6.5</v>
      </c>
      <c r="K4228" s="143"/>
      <c r="L4228" s="61">
        <v>153</v>
      </c>
    </row>
    <row r="4229" spans="1:12" ht="28" x14ac:dyDescent="0.15">
      <c r="A4229" s="62" t="s">
        <v>3635</v>
      </c>
      <c r="B4229" s="93" t="s">
        <v>654</v>
      </c>
      <c r="C4229" s="100" t="s">
        <v>3636</v>
      </c>
      <c r="D4229" s="61" t="s">
        <v>2548</v>
      </c>
      <c r="E4229" s="100" t="s">
        <v>510</v>
      </c>
      <c r="F4229" s="100" t="s">
        <v>898</v>
      </c>
      <c r="G4229" s="100" t="s">
        <v>728</v>
      </c>
      <c r="H4229" s="177"/>
      <c r="I4229" s="85">
        <f t="shared" si="164"/>
        <v>0.87698718442771928</v>
      </c>
      <c r="J4229" s="101">
        <v>7.5333333333330001</v>
      </c>
      <c r="K4229" s="143"/>
      <c r="L4229" s="61">
        <v>153</v>
      </c>
    </row>
    <row r="4230" spans="1:12" ht="56" x14ac:dyDescent="0.15">
      <c r="A4230" s="62" t="s">
        <v>3635</v>
      </c>
      <c r="B4230" s="82" t="s">
        <v>653</v>
      </c>
      <c r="C4230" s="105" t="s">
        <v>3636</v>
      </c>
      <c r="D4230" s="61" t="s">
        <v>2548</v>
      </c>
      <c r="E4230" s="105" t="s">
        <v>510</v>
      </c>
      <c r="F4230" s="105" t="s">
        <v>898</v>
      </c>
      <c r="G4230" s="105" t="s">
        <v>563</v>
      </c>
      <c r="H4230" s="178"/>
      <c r="I4230" s="85">
        <f t="shared" si="164"/>
        <v>0.91539983521226986</v>
      </c>
      <c r="J4230" s="101">
        <v>8.23</v>
      </c>
      <c r="K4230" s="143"/>
      <c r="L4230" s="61">
        <v>153</v>
      </c>
    </row>
    <row r="4231" spans="1:12" ht="42" x14ac:dyDescent="0.15">
      <c r="A4231" s="62" t="s">
        <v>3635</v>
      </c>
      <c r="B4231" s="82" t="s">
        <v>655</v>
      </c>
      <c r="C4231" s="105" t="s">
        <v>3636</v>
      </c>
      <c r="D4231" s="61" t="s">
        <v>2548</v>
      </c>
      <c r="E4231" s="105" t="s">
        <v>510</v>
      </c>
      <c r="F4231" s="105" t="s">
        <v>898</v>
      </c>
      <c r="G4231" s="105" t="s">
        <v>8036</v>
      </c>
      <c r="H4231" s="178"/>
      <c r="I4231" s="85">
        <f t="shared" si="164"/>
        <v>0.94448267215016868</v>
      </c>
      <c r="J4231" s="101">
        <v>8.8000000000000007</v>
      </c>
      <c r="K4231" s="143"/>
      <c r="L4231" s="61">
        <v>153</v>
      </c>
    </row>
    <row r="4232" spans="1:12" ht="28" x14ac:dyDescent="0.15">
      <c r="A4232" s="62" t="s">
        <v>3635</v>
      </c>
      <c r="B4232" s="93" t="s">
        <v>564</v>
      </c>
      <c r="C4232" s="100" t="s">
        <v>3636</v>
      </c>
      <c r="D4232" s="61" t="s">
        <v>2548</v>
      </c>
      <c r="E4232" s="100" t="s">
        <v>510</v>
      </c>
      <c r="F4232" s="100" t="s">
        <v>898</v>
      </c>
      <c r="G4232" s="100" t="s">
        <v>7271</v>
      </c>
      <c r="H4232" s="177"/>
      <c r="I4232" s="85">
        <f t="shared" si="164"/>
        <v>1.0211892990699381</v>
      </c>
      <c r="J4232" s="101">
        <v>10.5</v>
      </c>
      <c r="K4232" s="143"/>
      <c r="L4232" s="61">
        <v>153</v>
      </c>
    </row>
    <row r="4233" spans="1:12" ht="56" x14ac:dyDescent="0.15">
      <c r="A4233" s="62" t="s">
        <v>3635</v>
      </c>
      <c r="B4233" s="82" t="s">
        <v>471</v>
      </c>
      <c r="C4233" s="105" t="s">
        <v>3636</v>
      </c>
      <c r="D4233" s="61" t="s">
        <v>2548</v>
      </c>
      <c r="E4233" s="105" t="s">
        <v>510</v>
      </c>
      <c r="F4233" s="105" t="s">
        <v>898</v>
      </c>
      <c r="G4233" s="105" t="s">
        <v>618</v>
      </c>
      <c r="H4233" s="178"/>
      <c r="I4233" s="85">
        <f t="shared" si="164"/>
        <v>1.0941215958405615</v>
      </c>
      <c r="J4233" s="101">
        <v>12.42</v>
      </c>
      <c r="K4233" s="143"/>
      <c r="L4233" s="61">
        <v>153</v>
      </c>
    </row>
    <row r="4234" spans="1:12" ht="28" x14ac:dyDescent="0.15">
      <c r="A4234" s="62" t="s">
        <v>3635</v>
      </c>
      <c r="B4234" s="93" t="s">
        <v>619</v>
      </c>
      <c r="C4234" s="102" t="s">
        <v>3636</v>
      </c>
      <c r="D4234" s="62" t="s">
        <v>2548</v>
      </c>
      <c r="E4234" s="100" t="s">
        <v>510</v>
      </c>
      <c r="F4234" s="102" t="s">
        <v>898</v>
      </c>
      <c r="G4234" s="102" t="s">
        <v>530</v>
      </c>
      <c r="H4234" s="175"/>
      <c r="I4234" s="85">
        <f t="shared" si="164"/>
        <v>1.2624510897304295</v>
      </c>
      <c r="J4234" s="104">
        <v>18.3</v>
      </c>
      <c r="K4234" s="143"/>
      <c r="L4234" s="61">
        <v>153</v>
      </c>
    </row>
    <row r="4235" spans="1:12" ht="56" x14ac:dyDescent="0.15">
      <c r="A4235" s="62" t="s">
        <v>3635</v>
      </c>
      <c r="B4235" s="82" t="s">
        <v>2057</v>
      </c>
      <c r="C4235" s="105" t="s">
        <v>3636</v>
      </c>
      <c r="D4235" s="61" t="s">
        <v>2548</v>
      </c>
      <c r="E4235" s="105" t="s">
        <v>510</v>
      </c>
      <c r="F4235" s="105" t="s">
        <v>4335</v>
      </c>
      <c r="G4235" s="105" t="s">
        <v>1942</v>
      </c>
      <c r="H4235" s="178"/>
      <c r="I4235" s="85">
        <f t="shared" si="164"/>
        <v>1.1383026981662814</v>
      </c>
      <c r="J4235" s="101">
        <v>13.75</v>
      </c>
      <c r="K4235" s="143"/>
      <c r="L4235" s="61">
        <v>153</v>
      </c>
    </row>
    <row r="4236" spans="1:12" ht="28" x14ac:dyDescent="0.15">
      <c r="A4236" s="62" t="s">
        <v>3635</v>
      </c>
      <c r="B4236" s="93" t="s">
        <v>617</v>
      </c>
      <c r="C4236" s="102" t="s">
        <v>3636</v>
      </c>
      <c r="D4236" s="62" t="s">
        <v>2548</v>
      </c>
      <c r="E4236" s="102" t="s">
        <v>510</v>
      </c>
      <c r="F4236" s="102" t="s">
        <v>4335</v>
      </c>
      <c r="G4236" s="102" t="s">
        <v>5544</v>
      </c>
      <c r="H4236" s="175"/>
      <c r="I4236" s="85">
        <f t="shared" si="164"/>
        <v>1.4014005407815442</v>
      </c>
      <c r="J4236" s="103">
        <v>25.2</v>
      </c>
      <c r="K4236" s="135"/>
      <c r="L4236" s="62">
        <v>249</v>
      </c>
    </row>
    <row r="4237" spans="1:12" ht="28" x14ac:dyDescent="0.15">
      <c r="A4237" s="62" t="s">
        <v>3635</v>
      </c>
      <c r="B4237" s="93" t="s">
        <v>1935</v>
      </c>
      <c r="C4237" s="100" t="s">
        <v>3636</v>
      </c>
      <c r="D4237" s="61" t="s">
        <v>2548</v>
      </c>
      <c r="E4237" s="100" t="s">
        <v>510</v>
      </c>
      <c r="F4237" s="100" t="s">
        <v>1936</v>
      </c>
      <c r="G4237" s="100" t="s">
        <v>1937</v>
      </c>
      <c r="H4237" s="177"/>
      <c r="I4237" s="103">
        <v>-999</v>
      </c>
      <c r="J4237" s="103">
        <v>-999</v>
      </c>
      <c r="K4237" s="141"/>
      <c r="L4237" s="61">
        <v>-999</v>
      </c>
    </row>
    <row r="4238" spans="1:12" ht="28" x14ac:dyDescent="0.15">
      <c r="A4238" s="62" t="s">
        <v>3635</v>
      </c>
      <c r="B4238" s="93" t="s">
        <v>2056</v>
      </c>
      <c r="C4238" s="102" t="s">
        <v>3636</v>
      </c>
      <c r="D4238" s="62" t="s">
        <v>2548</v>
      </c>
      <c r="E4238" s="102" t="s">
        <v>510</v>
      </c>
      <c r="F4238" s="102" t="s">
        <v>4884</v>
      </c>
      <c r="G4238" s="102" t="s">
        <v>4323</v>
      </c>
      <c r="H4238" s="175"/>
      <c r="I4238" s="85">
        <f t="shared" ref="I4238:I4244" si="165">LOG(J4238)</f>
        <v>1.7297720531082863</v>
      </c>
      <c r="J4238" s="104">
        <v>53.674999999999997</v>
      </c>
      <c r="K4238" s="143"/>
      <c r="L4238" s="61">
        <v>153</v>
      </c>
    </row>
    <row r="4239" spans="1:12" ht="84" x14ac:dyDescent="0.15">
      <c r="A4239" s="62" t="s">
        <v>3635</v>
      </c>
      <c r="B4239" s="82" t="s">
        <v>505</v>
      </c>
      <c r="C4239" s="107" t="s">
        <v>3636</v>
      </c>
      <c r="D4239" s="62" t="s">
        <v>2548</v>
      </c>
      <c r="E4239" s="107" t="s">
        <v>510</v>
      </c>
      <c r="F4239" s="107" t="s">
        <v>1871</v>
      </c>
      <c r="G4239" s="107" t="s">
        <v>4166</v>
      </c>
      <c r="H4239" s="179"/>
      <c r="I4239" s="85">
        <f t="shared" si="165"/>
        <v>1.5704261783589726</v>
      </c>
      <c r="J4239" s="104">
        <v>37.19</v>
      </c>
      <c r="K4239" s="143"/>
      <c r="L4239" s="61">
        <v>153</v>
      </c>
    </row>
    <row r="4240" spans="1:12" ht="84" x14ac:dyDescent="0.15">
      <c r="A4240" s="62" t="s">
        <v>3635</v>
      </c>
      <c r="B4240" s="82" t="s">
        <v>599</v>
      </c>
      <c r="C4240" s="107" t="s">
        <v>3636</v>
      </c>
      <c r="D4240" s="62" t="s">
        <v>2548</v>
      </c>
      <c r="E4240" s="107" t="s">
        <v>510</v>
      </c>
      <c r="F4240" s="107" t="s">
        <v>1871</v>
      </c>
      <c r="G4240" s="107" t="s">
        <v>608</v>
      </c>
      <c r="H4240" s="179"/>
      <c r="I4240" s="85">
        <f t="shared" si="165"/>
        <v>1.9660478210764538</v>
      </c>
      <c r="J4240" s="104">
        <v>92.48</v>
      </c>
      <c r="K4240" s="143"/>
      <c r="L4240" s="61">
        <v>153</v>
      </c>
    </row>
    <row r="4241" spans="1:12" ht="70" x14ac:dyDescent="0.15">
      <c r="A4241" s="62" t="s">
        <v>3635</v>
      </c>
      <c r="B4241" s="93" t="s">
        <v>860</v>
      </c>
      <c r="C4241" s="100" t="s">
        <v>3636</v>
      </c>
      <c r="D4241" s="61" t="s">
        <v>2548</v>
      </c>
      <c r="E4241" s="100" t="s">
        <v>510</v>
      </c>
      <c r="F4241" s="100" t="s">
        <v>852</v>
      </c>
      <c r="G4241" s="100" t="s">
        <v>853</v>
      </c>
      <c r="H4241" s="177"/>
      <c r="I4241" s="85">
        <f t="shared" si="165"/>
        <v>1.1303337684950061</v>
      </c>
      <c r="J4241" s="101">
        <v>13.5</v>
      </c>
      <c r="K4241" s="143"/>
      <c r="L4241" s="61">
        <v>153</v>
      </c>
    </row>
    <row r="4242" spans="1:12" ht="28" x14ac:dyDescent="0.15">
      <c r="A4242" s="62" t="s">
        <v>3635</v>
      </c>
      <c r="B4242" s="93" t="s">
        <v>2692</v>
      </c>
      <c r="C4242" s="102" t="s">
        <v>3636</v>
      </c>
      <c r="D4242" s="62" t="s">
        <v>2548</v>
      </c>
      <c r="E4242" s="102" t="s">
        <v>510</v>
      </c>
      <c r="F4242" s="102" t="s">
        <v>852</v>
      </c>
      <c r="G4242" s="102" t="s">
        <v>696</v>
      </c>
      <c r="H4242" s="175"/>
      <c r="I4242" s="85">
        <f t="shared" si="165"/>
        <v>1.3891660843645324</v>
      </c>
      <c r="J4242" s="104">
        <v>24.5</v>
      </c>
      <c r="K4242" s="143"/>
      <c r="L4242" s="61">
        <v>153</v>
      </c>
    </row>
    <row r="4243" spans="1:12" ht="14" x14ac:dyDescent="0.15">
      <c r="A4243" s="62" t="s">
        <v>3635</v>
      </c>
      <c r="B4243" s="93" t="s">
        <v>691</v>
      </c>
      <c r="C4243" s="102" t="s">
        <v>3636</v>
      </c>
      <c r="D4243" s="62" t="s">
        <v>2548</v>
      </c>
      <c r="E4243" s="102" t="s">
        <v>510</v>
      </c>
      <c r="F4243" s="102" t="s">
        <v>852</v>
      </c>
      <c r="G4243" s="102" t="s">
        <v>3449</v>
      </c>
      <c r="H4243" s="175"/>
      <c r="I4243" s="85">
        <f t="shared" si="165"/>
        <v>1.414973347970818</v>
      </c>
      <c r="J4243" s="104">
        <v>26</v>
      </c>
      <c r="K4243" s="143"/>
      <c r="L4243" s="61">
        <v>153</v>
      </c>
    </row>
    <row r="4244" spans="1:12" ht="28" x14ac:dyDescent="0.15">
      <c r="A4244" s="61" t="s">
        <v>3635</v>
      </c>
      <c r="B4244" s="93" t="s">
        <v>689</v>
      </c>
      <c r="C4244" s="102" t="s">
        <v>3636</v>
      </c>
      <c r="D4244" s="62" t="s">
        <v>2548</v>
      </c>
      <c r="E4244" s="102" t="s">
        <v>510</v>
      </c>
      <c r="F4244" s="102" t="s">
        <v>852</v>
      </c>
      <c r="G4244" s="102" t="s">
        <v>855</v>
      </c>
      <c r="H4244" s="175"/>
      <c r="I4244" s="85">
        <f t="shared" si="165"/>
        <v>1.6170003411208989</v>
      </c>
      <c r="J4244" s="104">
        <v>41.4</v>
      </c>
      <c r="K4244" s="143"/>
      <c r="L4244" s="61">
        <v>153</v>
      </c>
    </row>
    <row r="4245" spans="1:12" ht="28" x14ac:dyDescent="0.15">
      <c r="A4245" s="62" t="s">
        <v>3635</v>
      </c>
      <c r="B4245" s="93" t="s">
        <v>864</v>
      </c>
      <c r="C4245" s="102" t="s">
        <v>3636</v>
      </c>
      <c r="D4245" s="62" t="s">
        <v>2548</v>
      </c>
      <c r="E4245" s="102" t="s">
        <v>510</v>
      </c>
      <c r="F4245" s="102" t="s">
        <v>1887</v>
      </c>
      <c r="G4245" s="102" t="s">
        <v>865</v>
      </c>
      <c r="H4245" s="175"/>
      <c r="I4245" s="103">
        <v>-999</v>
      </c>
      <c r="J4245" s="98">
        <v>-999</v>
      </c>
      <c r="K4245" s="141"/>
      <c r="L4245" s="61">
        <v>-999</v>
      </c>
    </row>
    <row r="4246" spans="1:12" ht="70" x14ac:dyDescent="0.15">
      <c r="A4246" s="62" t="s">
        <v>3635</v>
      </c>
      <c r="B4246" s="93" t="s">
        <v>4691</v>
      </c>
      <c r="C4246" s="102" t="s">
        <v>3636</v>
      </c>
      <c r="D4246" s="62" t="s">
        <v>2548</v>
      </c>
      <c r="E4246" s="102" t="s">
        <v>510</v>
      </c>
      <c r="F4246" s="102" t="s">
        <v>1887</v>
      </c>
      <c r="G4246" s="102" t="s">
        <v>4692</v>
      </c>
      <c r="H4246" s="175"/>
      <c r="I4246" s="85">
        <f t="shared" ref="I4246:I4270" si="166">LOG(J4246)</f>
        <v>1.2810191558083406</v>
      </c>
      <c r="J4246" s="104">
        <v>19.099374999999998</v>
      </c>
      <c r="K4246" s="143"/>
      <c r="L4246" s="61">
        <v>153</v>
      </c>
    </row>
    <row r="4247" spans="1:12" ht="42" x14ac:dyDescent="0.15">
      <c r="A4247" s="62" t="s">
        <v>3635</v>
      </c>
      <c r="B4247" s="93" t="s">
        <v>4233</v>
      </c>
      <c r="C4247" s="102" t="s">
        <v>3636</v>
      </c>
      <c r="D4247" s="62" t="s">
        <v>2548</v>
      </c>
      <c r="E4247" s="102" t="s">
        <v>510</v>
      </c>
      <c r="F4247" s="102" t="s">
        <v>1887</v>
      </c>
      <c r="G4247" s="102" t="s">
        <v>4688</v>
      </c>
      <c r="H4247" s="175"/>
      <c r="I4247" s="85">
        <f t="shared" si="166"/>
        <v>1.3226774749122494</v>
      </c>
      <c r="J4247" s="104">
        <v>21.022166666667001</v>
      </c>
      <c r="K4247" s="143"/>
      <c r="L4247" s="61">
        <v>153</v>
      </c>
    </row>
    <row r="4248" spans="1:12" ht="14" x14ac:dyDescent="0.15">
      <c r="A4248" s="62" t="s">
        <v>3635</v>
      </c>
      <c r="B4248" s="93" t="s">
        <v>4896</v>
      </c>
      <c r="C4248" s="102" t="s">
        <v>3636</v>
      </c>
      <c r="D4248" s="62" t="s">
        <v>2548</v>
      </c>
      <c r="E4248" s="102" t="s">
        <v>510</v>
      </c>
      <c r="F4248" s="102" t="s">
        <v>1887</v>
      </c>
      <c r="G4248" s="102" t="s">
        <v>6492</v>
      </c>
      <c r="H4248" s="175"/>
      <c r="I4248" s="85">
        <f t="shared" si="166"/>
        <v>1.3993275321586789</v>
      </c>
      <c r="J4248" s="103">
        <f>AVERAGE(26, 20.3, 23.9, 27.2, 28)</f>
        <v>25.08</v>
      </c>
      <c r="K4248" s="135"/>
      <c r="L4248" s="62">
        <v>238</v>
      </c>
    </row>
    <row r="4249" spans="1:12" ht="28" x14ac:dyDescent="0.15">
      <c r="A4249" s="61" t="s">
        <v>3635</v>
      </c>
      <c r="B4249" s="82" t="s">
        <v>479</v>
      </c>
      <c r="C4249" s="107" t="s">
        <v>3636</v>
      </c>
      <c r="D4249" s="62" t="s">
        <v>2548</v>
      </c>
      <c r="E4249" s="107" t="s">
        <v>510</v>
      </c>
      <c r="F4249" s="107" t="s">
        <v>480</v>
      </c>
      <c r="G4249" s="107" t="s">
        <v>481</v>
      </c>
      <c r="H4249" s="179"/>
      <c r="I4249" s="85">
        <f t="shared" si="166"/>
        <v>0.97220283837906452</v>
      </c>
      <c r="J4249" s="104">
        <v>9.3800000000000008</v>
      </c>
      <c r="K4249" s="144"/>
      <c r="L4249" s="61">
        <v>153</v>
      </c>
    </row>
    <row r="4250" spans="1:12" ht="28" x14ac:dyDescent="0.15">
      <c r="A4250" s="62" t="s">
        <v>3635</v>
      </c>
      <c r="B4250" s="93" t="s">
        <v>726</v>
      </c>
      <c r="C4250" s="102" t="s">
        <v>3636</v>
      </c>
      <c r="D4250" s="62" t="s">
        <v>2548</v>
      </c>
      <c r="E4250" s="102" t="s">
        <v>510</v>
      </c>
      <c r="F4250" s="102" t="s">
        <v>480</v>
      </c>
      <c r="G4250" s="102" t="s">
        <v>727</v>
      </c>
      <c r="H4250" s="175"/>
      <c r="I4250" s="85">
        <f t="shared" si="166"/>
        <v>1.2966651902615312</v>
      </c>
      <c r="J4250" s="104">
        <v>19.8</v>
      </c>
      <c r="K4250" s="144"/>
      <c r="L4250" s="61">
        <v>153</v>
      </c>
    </row>
    <row r="4251" spans="1:12" ht="42" x14ac:dyDescent="0.15">
      <c r="A4251" s="62" t="s">
        <v>3635</v>
      </c>
      <c r="B4251" s="82" t="s">
        <v>2644</v>
      </c>
      <c r="C4251" s="107" t="s">
        <v>3636</v>
      </c>
      <c r="D4251" s="62" t="s">
        <v>2548</v>
      </c>
      <c r="E4251" s="107" t="s">
        <v>510</v>
      </c>
      <c r="F4251" s="107" t="s">
        <v>480</v>
      </c>
      <c r="G4251" s="107" t="s">
        <v>5420</v>
      </c>
      <c r="H4251" s="179"/>
      <c r="I4251" s="85">
        <f t="shared" si="166"/>
        <v>1.4445132063340429</v>
      </c>
      <c r="J4251" s="104">
        <v>27.83</v>
      </c>
      <c r="K4251" s="144"/>
      <c r="L4251" s="61">
        <v>153</v>
      </c>
    </row>
    <row r="4252" spans="1:12" ht="14" x14ac:dyDescent="0.15">
      <c r="A4252" s="62" t="s">
        <v>3635</v>
      </c>
      <c r="B4252" s="93" t="s">
        <v>2645</v>
      </c>
      <c r="C4252" s="102" t="s">
        <v>3636</v>
      </c>
      <c r="D4252" s="62" t="s">
        <v>2548</v>
      </c>
      <c r="E4252" s="102" t="s">
        <v>510</v>
      </c>
      <c r="F4252" s="102" t="s">
        <v>480</v>
      </c>
      <c r="G4252" s="102" t="s">
        <v>2634</v>
      </c>
      <c r="H4252" s="175"/>
      <c r="I4252" s="85">
        <f t="shared" si="166"/>
        <v>1.4727564493172123</v>
      </c>
      <c r="J4252" s="104">
        <v>29.7</v>
      </c>
      <c r="K4252" s="144"/>
      <c r="L4252" s="61">
        <v>153</v>
      </c>
    </row>
    <row r="4253" spans="1:12" ht="42" x14ac:dyDescent="0.15">
      <c r="A4253" s="62" t="s">
        <v>3635</v>
      </c>
      <c r="B4253" s="82" t="s">
        <v>2796</v>
      </c>
      <c r="C4253" s="107" t="s">
        <v>3636</v>
      </c>
      <c r="D4253" s="62" t="s">
        <v>2548</v>
      </c>
      <c r="E4253" s="107" t="s">
        <v>510</v>
      </c>
      <c r="F4253" s="107" t="s">
        <v>650</v>
      </c>
      <c r="G4253" s="107" t="s">
        <v>477</v>
      </c>
      <c r="H4253" s="179"/>
      <c r="I4253" s="85">
        <f t="shared" si="166"/>
        <v>1.5759956202032677</v>
      </c>
      <c r="J4253" s="104">
        <v>37.67</v>
      </c>
      <c r="K4253" s="144"/>
      <c r="L4253" s="61">
        <v>153</v>
      </c>
    </row>
    <row r="4254" spans="1:12" ht="42" x14ac:dyDescent="0.15">
      <c r="A4254" s="62" t="s">
        <v>3635</v>
      </c>
      <c r="B4254" s="82" t="s">
        <v>717</v>
      </c>
      <c r="C4254" s="107" t="s">
        <v>3636</v>
      </c>
      <c r="D4254" s="62" t="s">
        <v>2548</v>
      </c>
      <c r="E4254" s="107" t="s">
        <v>510</v>
      </c>
      <c r="F4254" s="107" t="s">
        <v>566</v>
      </c>
      <c r="G4254" s="107" t="s">
        <v>565</v>
      </c>
      <c r="H4254" s="179"/>
      <c r="I4254" s="85">
        <f t="shared" si="166"/>
        <v>1.2195845262142546</v>
      </c>
      <c r="J4254" s="104">
        <v>16.579999999999998</v>
      </c>
      <c r="K4254" s="144"/>
      <c r="L4254" s="61">
        <v>153</v>
      </c>
    </row>
    <row r="4255" spans="1:12" ht="42" x14ac:dyDescent="0.15">
      <c r="A4255" s="62" t="s">
        <v>3635</v>
      </c>
      <c r="B4255" s="93" t="s">
        <v>644</v>
      </c>
      <c r="C4255" s="102" t="s">
        <v>3636</v>
      </c>
      <c r="D4255" s="62" t="s">
        <v>2548</v>
      </c>
      <c r="E4255" s="102" t="s">
        <v>510</v>
      </c>
      <c r="F4255" s="102" t="s">
        <v>566</v>
      </c>
      <c r="G4255" s="102" t="s">
        <v>474</v>
      </c>
      <c r="H4255" s="175"/>
      <c r="I4255" s="85">
        <f t="shared" si="166"/>
        <v>1.2265999052073575</v>
      </c>
      <c r="J4255" s="104">
        <v>16.850000000000001</v>
      </c>
      <c r="K4255" s="144"/>
      <c r="L4255" s="61">
        <v>153</v>
      </c>
    </row>
    <row r="4256" spans="1:12" ht="56" x14ac:dyDescent="0.15">
      <c r="A4256" s="62" t="s">
        <v>3635</v>
      </c>
      <c r="B4256" s="93" t="s">
        <v>2635</v>
      </c>
      <c r="C4256" s="102" t="s">
        <v>3636</v>
      </c>
      <c r="D4256" s="62" t="s">
        <v>2548</v>
      </c>
      <c r="E4256" s="102" t="s">
        <v>510</v>
      </c>
      <c r="F4256" s="102" t="s">
        <v>2518</v>
      </c>
      <c r="G4256" s="102" t="s">
        <v>7156</v>
      </c>
      <c r="H4256" s="175"/>
      <c r="I4256" s="85">
        <f t="shared" si="166"/>
        <v>0.93593889860685342</v>
      </c>
      <c r="J4256" s="104">
        <v>8.628571428571</v>
      </c>
      <c r="K4256" s="144"/>
      <c r="L4256" s="62">
        <v>153</v>
      </c>
    </row>
    <row r="4257" spans="1:12" ht="14" x14ac:dyDescent="0.15">
      <c r="A4257" s="62" t="s">
        <v>3635</v>
      </c>
      <c r="B4257" s="93" t="s">
        <v>537</v>
      </c>
      <c r="C4257" s="102" t="s">
        <v>3636</v>
      </c>
      <c r="D4257" s="62" t="s">
        <v>2548</v>
      </c>
      <c r="E4257" s="102" t="s">
        <v>510</v>
      </c>
      <c r="F4257" s="102" t="s">
        <v>2518</v>
      </c>
      <c r="G4257" s="102" t="s">
        <v>396</v>
      </c>
      <c r="H4257" s="175"/>
      <c r="I4257" s="85">
        <f t="shared" si="166"/>
        <v>1.0718820073061255</v>
      </c>
      <c r="J4257" s="98">
        <v>11.8</v>
      </c>
      <c r="K4257" s="135"/>
      <c r="L4257" s="62">
        <v>252</v>
      </c>
    </row>
    <row r="4258" spans="1:12" ht="42" x14ac:dyDescent="0.15">
      <c r="A4258" s="62" t="s">
        <v>3635</v>
      </c>
      <c r="B4258" s="82" t="s">
        <v>4757</v>
      </c>
      <c r="C4258" s="107" t="s">
        <v>3636</v>
      </c>
      <c r="D4258" s="62" t="s">
        <v>2548</v>
      </c>
      <c r="E4258" s="105" t="s">
        <v>510</v>
      </c>
      <c r="F4258" s="107" t="s">
        <v>390</v>
      </c>
      <c r="G4258" s="107" t="s">
        <v>531</v>
      </c>
      <c r="H4258" s="179"/>
      <c r="I4258" s="85">
        <f t="shared" si="166"/>
        <v>1.5403294747908738</v>
      </c>
      <c r="J4258" s="104">
        <v>34.700000000000003</v>
      </c>
      <c r="K4258" s="143"/>
      <c r="L4258" s="61">
        <v>153</v>
      </c>
    </row>
    <row r="4259" spans="1:12" ht="56" x14ac:dyDescent="0.15">
      <c r="A4259" s="62" t="s">
        <v>3635</v>
      </c>
      <c r="B4259" s="82" t="s">
        <v>4469</v>
      </c>
      <c r="C4259" s="107" t="s">
        <v>3636</v>
      </c>
      <c r="D4259" s="62" t="s">
        <v>2548</v>
      </c>
      <c r="E4259" s="107" t="s">
        <v>510</v>
      </c>
      <c r="F4259" s="107" t="s">
        <v>2059</v>
      </c>
      <c r="G4259" s="107" t="s">
        <v>5587</v>
      </c>
      <c r="H4259" s="179"/>
      <c r="I4259" s="85">
        <f t="shared" si="166"/>
        <v>2.228862128530563</v>
      </c>
      <c r="J4259" s="104">
        <v>169.38</v>
      </c>
      <c r="K4259" s="144"/>
      <c r="L4259" s="62">
        <v>153</v>
      </c>
    </row>
    <row r="4260" spans="1:12" ht="28" x14ac:dyDescent="0.15">
      <c r="A4260" s="62" t="s">
        <v>3635</v>
      </c>
      <c r="B4260" s="93" t="s">
        <v>2617</v>
      </c>
      <c r="C4260" s="102" t="s">
        <v>3636</v>
      </c>
      <c r="D4260" s="62" t="s">
        <v>2548</v>
      </c>
      <c r="E4260" s="102" t="s">
        <v>5975</v>
      </c>
      <c r="F4260" s="102" t="s">
        <v>2618</v>
      </c>
      <c r="G4260" s="102" t="s">
        <v>2619</v>
      </c>
      <c r="H4260" s="175"/>
      <c r="I4260" s="85">
        <f t="shared" si="166"/>
        <v>1.4656787253038732</v>
      </c>
      <c r="J4260" s="104">
        <v>29.219899999999999</v>
      </c>
      <c r="K4260" s="144"/>
      <c r="L4260" s="61">
        <v>153</v>
      </c>
    </row>
    <row r="4261" spans="1:12" ht="56" x14ac:dyDescent="0.15">
      <c r="A4261" s="62" t="s">
        <v>3635</v>
      </c>
      <c r="B4261" s="93" t="s">
        <v>544</v>
      </c>
      <c r="C4261" s="102" t="s">
        <v>3636</v>
      </c>
      <c r="D4261" s="62" t="s">
        <v>2548</v>
      </c>
      <c r="E4261" s="102" t="s">
        <v>545</v>
      </c>
      <c r="F4261" s="102" t="s">
        <v>546</v>
      </c>
      <c r="G4261" s="102" t="s">
        <v>870</v>
      </c>
      <c r="H4261" s="175"/>
      <c r="I4261" s="85">
        <f t="shared" si="166"/>
        <v>0.49136169383427269</v>
      </c>
      <c r="J4261" s="104">
        <v>3.1</v>
      </c>
      <c r="K4261" s="144"/>
      <c r="L4261" s="61">
        <v>153</v>
      </c>
    </row>
    <row r="4262" spans="1:12" ht="42" x14ac:dyDescent="0.15">
      <c r="A4262" s="62" t="s">
        <v>3635</v>
      </c>
      <c r="B4262" s="93" t="s">
        <v>1170</v>
      </c>
      <c r="C4262" s="102" t="s">
        <v>3636</v>
      </c>
      <c r="D4262" s="62" t="s">
        <v>2548</v>
      </c>
      <c r="E4262" s="102" t="s">
        <v>545</v>
      </c>
      <c r="F4262" s="102" t="s">
        <v>546</v>
      </c>
      <c r="G4262" s="102" t="s">
        <v>837</v>
      </c>
      <c r="H4262" s="175"/>
      <c r="I4262" s="85">
        <f t="shared" si="166"/>
        <v>0.63911279544208466</v>
      </c>
      <c r="J4262" s="104">
        <v>4.3562500000000002</v>
      </c>
      <c r="K4262" s="144"/>
      <c r="L4262" s="61">
        <v>153</v>
      </c>
    </row>
    <row r="4263" spans="1:12" ht="56" x14ac:dyDescent="0.15">
      <c r="A4263" s="62" t="s">
        <v>3635</v>
      </c>
      <c r="B4263" s="93" t="s">
        <v>838</v>
      </c>
      <c r="C4263" s="102" t="s">
        <v>3636</v>
      </c>
      <c r="D4263" s="62" t="s">
        <v>2548</v>
      </c>
      <c r="E4263" s="102" t="s">
        <v>5977</v>
      </c>
      <c r="F4263" s="102" t="s">
        <v>2700</v>
      </c>
      <c r="G4263" s="102" t="s">
        <v>5189</v>
      </c>
      <c r="H4263" s="175"/>
      <c r="I4263" s="85">
        <f t="shared" si="166"/>
        <v>1.3180633349627615</v>
      </c>
      <c r="J4263" s="104">
        <v>20.8</v>
      </c>
      <c r="K4263" s="144"/>
      <c r="L4263" s="61">
        <v>153</v>
      </c>
    </row>
    <row r="4264" spans="1:12" ht="56" x14ac:dyDescent="0.15">
      <c r="A4264" s="62" t="s">
        <v>3635</v>
      </c>
      <c r="B4264" s="93" t="s">
        <v>2697</v>
      </c>
      <c r="C4264" s="102" t="s">
        <v>3636</v>
      </c>
      <c r="D4264" s="62" t="s">
        <v>2548</v>
      </c>
      <c r="E4264" s="102" t="s">
        <v>5977</v>
      </c>
      <c r="F4264" s="102" t="s">
        <v>2700</v>
      </c>
      <c r="G4264" s="102" t="s">
        <v>833</v>
      </c>
      <c r="H4264" s="175"/>
      <c r="I4264" s="85">
        <f t="shared" si="166"/>
        <v>1.3603093443420586</v>
      </c>
      <c r="J4264" s="104">
        <v>22.925000000000001</v>
      </c>
      <c r="K4264" s="144"/>
      <c r="L4264" s="61">
        <v>153</v>
      </c>
    </row>
    <row r="4265" spans="1:12" ht="42" x14ac:dyDescent="0.15">
      <c r="A4265" s="62" t="s">
        <v>3635</v>
      </c>
      <c r="B4265" s="93" t="s">
        <v>876</v>
      </c>
      <c r="C4265" s="102" t="s">
        <v>3636</v>
      </c>
      <c r="D4265" s="62" t="s">
        <v>2548</v>
      </c>
      <c r="E4265" s="102" t="s">
        <v>5977</v>
      </c>
      <c r="F4265" s="102" t="s">
        <v>6037</v>
      </c>
      <c r="G4265" s="102" t="s">
        <v>877</v>
      </c>
      <c r="H4265" s="175"/>
      <c r="I4265" s="85">
        <f t="shared" si="166"/>
        <v>0.88855388573627403</v>
      </c>
      <c r="J4265" s="104">
        <v>7.7366666666670003</v>
      </c>
      <c r="K4265" s="144"/>
      <c r="L4265" s="61">
        <v>153</v>
      </c>
    </row>
    <row r="4266" spans="1:12" ht="42" x14ac:dyDescent="0.15">
      <c r="A4266" s="62" t="s">
        <v>3635</v>
      </c>
      <c r="B4266" s="93" t="s">
        <v>993</v>
      </c>
      <c r="C4266" s="102" t="s">
        <v>3636</v>
      </c>
      <c r="D4266" s="62" t="s">
        <v>2548</v>
      </c>
      <c r="E4266" s="102" t="s">
        <v>5977</v>
      </c>
      <c r="F4266" s="102" t="s">
        <v>6037</v>
      </c>
      <c r="G4266" s="102" t="s">
        <v>4285</v>
      </c>
      <c r="H4266" s="175"/>
      <c r="I4266" s="85">
        <f t="shared" si="166"/>
        <v>0.97619708532739058</v>
      </c>
      <c r="J4266" s="104">
        <v>9.4666666666670007</v>
      </c>
      <c r="K4266" s="144"/>
      <c r="L4266" s="61">
        <v>153</v>
      </c>
    </row>
    <row r="4267" spans="1:12" ht="70" x14ac:dyDescent="0.15">
      <c r="A4267" s="62" t="s">
        <v>3635</v>
      </c>
      <c r="B4267" s="93" t="s">
        <v>992</v>
      </c>
      <c r="C4267" s="102" t="s">
        <v>3636</v>
      </c>
      <c r="D4267" s="62" t="s">
        <v>2548</v>
      </c>
      <c r="E4267" s="102" t="s">
        <v>5977</v>
      </c>
      <c r="F4267" s="102" t="s">
        <v>6037</v>
      </c>
      <c r="G4267" s="102" t="s">
        <v>4664</v>
      </c>
      <c r="H4267" s="175"/>
      <c r="I4267" s="85">
        <f t="shared" si="166"/>
        <v>1.2164423949044796</v>
      </c>
      <c r="J4267" s="104">
        <v>16.460476190476001</v>
      </c>
      <c r="K4267" s="144"/>
      <c r="L4267" s="61">
        <v>153</v>
      </c>
    </row>
    <row r="4268" spans="1:12" ht="28" x14ac:dyDescent="0.15">
      <c r="A4268" s="61" t="s">
        <v>3635</v>
      </c>
      <c r="B4268" s="93" t="s">
        <v>2689</v>
      </c>
      <c r="C4268" s="102" t="s">
        <v>3636</v>
      </c>
      <c r="D4268" s="62" t="s">
        <v>2548</v>
      </c>
      <c r="E4268" s="102" t="s">
        <v>5977</v>
      </c>
      <c r="F4268" s="102" t="s">
        <v>2690</v>
      </c>
      <c r="G4268" s="102" t="s">
        <v>2691</v>
      </c>
      <c r="H4268" s="175"/>
      <c r="I4268" s="85">
        <f t="shared" si="166"/>
        <v>1.1948610840022065</v>
      </c>
      <c r="J4268" s="104">
        <v>15.6625</v>
      </c>
      <c r="K4268" s="144"/>
      <c r="L4268" s="61">
        <v>153</v>
      </c>
    </row>
    <row r="4269" spans="1:12" ht="28" x14ac:dyDescent="0.15">
      <c r="A4269" s="62" t="s">
        <v>3635</v>
      </c>
      <c r="B4269" s="93" t="s">
        <v>1143</v>
      </c>
      <c r="C4269" s="102" t="s">
        <v>3636</v>
      </c>
      <c r="D4269" s="62" t="s">
        <v>2548</v>
      </c>
      <c r="E4269" s="102" t="s">
        <v>5977</v>
      </c>
      <c r="F4269" s="102" t="s">
        <v>1144</v>
      </c>
      <c r="G4269" s="102" t="s">
        <v>2995</v>
      </c>
      <c r="H4269" s="175"/>
      <c r="I4269" s="85">
        <f t="shared" si="166"/>
        <v>1.0803859471859834</v>
      </c>
      <c r="J4269" s="104">
        <v>12.033333333332999</v>
      </c>
      <c r="K4269" s="144"/>
      <c r="L4269" s="61">
        <v>153</v>
      </c>
    </row>
    <row r="4270" spans="1:12" ht="56" x14ac:dyDescent="0.15">
      <c r="A4270" s="62" t="s">
        <v>3635</v>
      </c>
      <c r="B4270" s="93" t="s">
        <v>886</v>
      </c>
      <c r="C4270" s="102" t="s">
        <v>3636</v>
      </c>
      <c r="D4270" s="62" t="s">
        <v>2548</v>
      </c>
      <c r="E4270" s="102" t="s">
        <v>5977</v>
      </c>
      <c r="F4270" s="102" t="s">
        <v>887</v>
      </c>
      <c r="G4270" s="102" t="s">
        <v>130</v>
      </c>
      <c r="H4270" s="175"/>
      <c r="I4270" s="85">
        <f t="shared" si="166"/>
        <v>1.0193759583064697</v>
      </c>
      <c r="J4270" s="104">
        <v>10.456250000000001</v>
      </c>
      <c r="K4270" s="144"/>
      <c r="L4270" s="61">
        <v>153</v>
      </c>
    </row>
    <row r="4271" spans="1:12" ht="28" x14ac:dyDescent="0.15">
      <c r="A4271" s="62" t="s">
        <v>3635</v>
      </c>
      <c r="B4271" s="93" t="s">
        <v>2627</v>
      </c>
      <c r="C4271" s="102" t="s">
        <v>3636</v>
      </c>
      <c r="D4271" s="62" t="s">
        <v>2548</v>
      </c>
      <c r="E4271" s="102" t="s">
        <v>5977</v>
      </c>
      <c r="F4271" s="102" t="s">
        <v>1017</v>
      </c>
      <c r="G4271" s="102" t="s">
        <v>2628</v>
      </c>
      <c r="H4271" s="175"/>
      <c r="I4271" s="98">
        <v>-999</v>
      </c>
      <c r="J4271" s="98">
        <v>-999</v>
      </c>
      <c r="K4271" s="135"/>
      <c r="L4271" s="61">
        <v>-999</v>
      </c>
    </row>
    <row r="4272" spans="1:12" ht="56" x14ac:dyDescent="0.15">
      <c r="A4272" s="62" t="s">
        <v>3635</v>
      </c>
      <c r="B4272" s="93" t="s">
        <v>1016</v>
      </c>
      <c r="C4272" s="102" t="s">
        <v>3636</v>
      </c>
      <c r="D4272" s="62" t="s">
        <v>2548</v>
      </c>
      <c r="E4272" s="102" t="s">
        <v>5977</v>
      </c>
      <c r="F4272" s="102" t="s">
        <v>1017</v>
      </c>
      <c r="G4272" s="102" t="s">
        <v>1018</v>
      </c>
      <c r="H4272" s="175"/>
      <c r="I4272" s="85">
        <f t="shared" ref="I4272:I4277" si="167">LOG(J4272)</f>
        <v>0.99508649650573289</v>
      </c>
      <c r="J4272" s="104">
        <v>9.8874999999999993</v>
      </c>
      <c r="K4272" s="144"/>
      <c r="L4272" s="61">
        <v>153</v>
      </c>
    </row>
    <row r="4273" spans="1:18" ht="98" x14ac:dyDescent="0.15">
      <c r="A4273" s="62" t="s">
        <v>3635</v>
      </c>
      <c r="B4273" s="93" t="s">
        <v>1114</v>
      </c>
      <c r="C4273" s="102" t="s">
        <v>3636</v>
      </c>
      <c r="D4273" s="62" t="s">
        <v>2548</v>
      </c>
      <c r="E4273" s="102" t="s">
        <v>5977</v>
      </c>
      <c r="F4273" s="102" t="s">
        <v>1017</v>
      </c>
      <c r="G4273" s="102" t="s">
        <v>4445</v>
      </c>
      <c r="H4273" s="175"/>
      <c r="I4273" s="85">
        <f t="shared" si="167"/>
        <v>1.0309031768392987</v>
      </c>
      <c r="J4273" s="104">
        <v>10.737500000000001</v>
      </c>
      <c r="K4273" s="144"/>
      <c r="L4273" s="61">
        <v>153</v>
      </c>
    </row>
    <row r="4274" spans="1:18" ht="42" x14ac:dyDescent="0.15">
      <c r="A4274" s="62" t="s">
        <v>3635</v>
      </c>
      <c r="B4274" s="93" t="s">
        <v>889</v>
      </c>
      <c r="C4274" s="102" t="s">
        <v>3636</v>
      </c>
      <c r="D4274" s="62" t="s">
        <v>2548</v>
      </c>
      <c r="E4274" s="102" t="s">
        <v>5977</v>
      </c>
      <c r="F4274" s="102" t="s">
        <v>1017</v>
      </c>
      <c r="G4274" s="102" t="s">
        <v>4694</v>
      </c>
      <c r="H4274" s="175"/>
      <c r="I4274" s="85">
        <f t="shared" si="167"/>
        <v>1.1205739312058498</v>
      </c>
      <c r="J4274" s="104">
        <v>13.2</v>
      </c>
      <c r="K4274" s="144"/>
      <c r="L4274" s="61">
        <v>153</v>
      </c>
    </row>
    <row r="4275" spans="1:18" ht="14" x14ac:dyDescent="0.15">
      <c r="A4275" s="61" t="s">
        <v>3635</v>
      </c>
      <c r="B4275" s="93" t="s">
        <v>890</v>
      </c>
      <c r="C4275" s="102" t="s">
        <v>3636</v>
      </c>
      <c r="D4275" s="62" t="s">
        <v>2548</v>
      </c>
      <c r="E4275" s="102" t="s">
        <v>5977</v>
      </c>
      <c r="F4275" s="102" t="s">
        <v>1017</v>
      </c>
      <c r="G4275" s="102" t="s">
        <v>1313</v>
      </c>
      <c r="H4275" s="175"/>
      <c r="I4275" s="85">
        <f t="shared" si="167"/>
        <v>1.1346020532876688</v>
      </c>
      <c r="J4275" s="104">
        <v>13.633333333333001</v>
      </c>
      <c r="K4275" s="144"/>
      <c r="L4275" s="61">
        <v>153</v>
      </c>
    </row>
    <row r="4276" spans="1:18" ht="56" x14ac:dyDescent="0.15">
      <c r="A4276" s="62" t="s">
        <v>3635</v>
      </c>
      <c r="B4276" s="93" t="s">
        <v>944</v>
      </c>
      <c r="C4276" s="102" t="s">
        <v>3636</v>
      </c>
      <c r="D4276" s="62" t="s">
        <v>2548</v>
      </c>
      <c r="E4276" s="102" t="s">
        <v>5977</v>
      </c>
      <c r="F4276" s="102" t="s">
        <v>1017</v>
      </c>
      <c r="G4276" s="102" t="s">
        <v>3406</v>
      </c>
      <c r="H4276" s="175"/>
      <c r="I4276" s="85">
        <f t="shared" si="167"/>
        <v>1.3621996388688864</v>
      </c>
      <c r="J4276" s="104">
        <v>23.024999999999999</v>
      </c>
      <c r="K4276" s="144"/>
      <c r="L4276" s="61">
        <v>153</v>
      </c>
    </row>
    <row r="4277" spans="1:18" ht="140" x14ac:dyDescent="0.15">
      <c r="A4277" s="61" t="s">
        <v>3635</v>
      </c>
      <c r="B4277" s="93" t="s">
        <v>956</v>
      </c>
      <c r="C4277" s="102" t="s">
        <v>3636</v>
      </c>
      <c r="D4277" s="62" t="s">
        <v>2548</v>
      </c>
      <c r="E4277" s="102" t="s">
        <v>5977</v>
      </c>
      <c r="F4277" s="102" t="s">
        <v>1017</v>
      </c>
      <c r="G4277" s="102" t="s">
        <v>4303</v>
      </c>
      <c r="H4277" s="175"/>
      <c r="I4277" s="85">
        <f t="shared" si="167"/>
        <v>1.4027456770809181</v>
      </c>
      <c r="J4277" s="104">
        <v>25.278172727272999</v>
      </c>
      <c r="K4277" s="144"/>
      <c r="L4277" s="61">
        <v>153</v>
      </c>
    </row>
    <row r="4278" spans="1:18" ht="14" x14ac:dyDescent="0.15">
      <c r="A4278" s="62" t="s">
        <v>3635</v>
      </c>
      <c r="B4278" s="93" t="s">
        <v>1086</v>
      </c>
      <c r="C4278" s="102" t="s">
        <v>3636</v>
      </c>
      <c r="D4278" s="62" t="s">
        <v>2548</v>
      </c>
      <c r="E4278" s="102" t="s">
        <v>5977</v>
      </c>
      <c r="F4278" s="102" t="s">
        <v>5978</v>
      </c>
      <c r="G4278" s="102" t="s">
        <v>1082</v>
      </c>
      <c r="H4278" s="175"/>
      <c r="I4278" s="98">
        <v>-999</v>
      </c>
      <c r="J4278" s="98">
        <v>-999</v>
      </c>
      <c r="K4278" s="135"/>
      <c r="L4278" s="62">
        <v>-999</v>
      </c>
    </row>
    <row r="4279" spans="1:18" ht="14" x14ac:dyDescent="0.15">
      <c r="A4279" s="62" t="s">
        <v>3635</v>
      </c>
      <c r="B4279" s="93" t="s">
        <v>1787</v>
      </c>
      <c r="C4279" s="102" t="s">
        <v>3636</v>
      </c>
      <c r="D4279" s="62" t="s">
        <v>2548</v>
      </c>
      <c r="E4279" s="102" t="s">
        <v>5977</v>
      </c>
      <c r="F4279" s="102" t="s">
        <v>5978</v>
      </c>
      <c r="G4279" s="102" t="s">
        <v>2131</v>
      </c>
      <c r="H4279" s="175"/>
      <c r="I4279" s="98">
        <v>-999</v>
      </c>
      <c r="J4279" s="98">
        <v>-999</v>
      </c>
      <c r="K4279" s="135"/>
      <c r="L4279" s="62">
        <v>-999</v>
      </c>
    </row>
    <row r="4280" spans="1:18" ht="14" x14ac:dyDescent="0.15">
      <c r="A4280" s="62" t="s">
        <v>3635</v>
      </c>
      <c r="B4280" s="93" t="s">
        <v>1025</v>
      </c>
      <c r="C4280" s="102" t="s">
        <v>3636</v>
      </c>
      <c r="D4280" s="62" t="s">
        <v>2548</v>
      </c>
      <c r="E4280" s="102" t="s">
        <v>5977</v>
      </c>
      <c r="F4280" s="102" t="s">
        <v>5978</v>
      </c>
      <c r="G4280" s="102" t="s">
        <v>1021</v>
      </c>
      <c r="H4280" s="175"/>
      <c r="I4280" s="98">
        <v>-999</v>
      </c>
      <c r="J4280" s="98">
        <v>-999</v>
      </c>
      <c r="K4280" s="135"/>
      <c r="L4280" s="62">
        <v>-999</v>
      </c>
    </row>
    <row r="4281" spans="1:18" ht="28" x14ac:dyDescent="0.15">
      <c r="A4281" s="61" t="s">
        <v>3635</v>
      </c>
      <c r="B4281" s="93" t="s">
        <v>1121</v>
      </c>
      <c r="C4281" s="102" t="s">
        <v>3636</v>
      </c>
      <c r="D4281" s="62" t="s">
        <v>2548</v>
      </c>
      <c r="E4281" s="102" t="s">
        <v>5977</v>
      </c>
      <c r="F4281" s="102" t="s">
        <v>5978</v>
      </c>
      <c r="G4281" s="102" t="s">
        <v>7028</v>
      </c>
      <c r="H4281" s="175"/>
      <c r="I4281" s="98">
        <v>-999</v>
      </c>
      <c r="J4281" s="98">
        <v>-999</v>
      </c>
      <c r="K4281" s="135"/>
      <c r="L4281" s="62">
        <v>-999</v>
      </c>
    </row>
    <row r="4282" spans="1:18" ht="28" x14ac:dyDescent="0.15">
      <c r="A4282" s="62" t="s">
        <v>3635</v>
      </c>
      <c r="B4282" s="93" t="s">
        <v>1206</v>
      </c>
      <c r="C4282" s="102" t="s">
        <v>3636</v>
      </c>
      <c r="D4282" s="62" t="s">
        <v>2548</v>
      </c>
      <c r="E4282" s="102" t="s">
        <v>5977</v>
      </c>
      <c r="F4282" s="102" t="s">
        <v>5978</v>
      </c>
      <c r="G4282" s="102" t="s">
        <v>1989</v>
      </c>
      <c r="H4282" s="175"/>
      <c r="I4282" s="85">
        <f t="shared" ref="I4282:I4308" si="168">LOG(J4282)</f>
        <v>0.60745502321466849</v>
      </c>
      <c r="J4282" s="104">
        <v>4.05</v>
      </c>
      <c r="K4282" s="144"/>
      <c r="L4282" s="62">
        <v>153</v>
      </c>
    </row>
    <row r="4283" spans="1:18" ht="70" x14ac:dyDescent="0.15">
      <c r="A4283" s="61" t="s">
        <v>3635</v>
      </c>
      <c r="B4283" s="93" t="s">
        <v>1135</v>
      </c>
      <c r="C4283" s="102" t="s">
        <v>3636</v>
      </c>
      <c r="D4283" s="62" t="s">
        <v>2548</v>
      </c>
      <c r="E4283" s="102" t="s">
        <v>5977</v>
      </c>
      <c r="F4283" s="102" t="s">
        <v>5978</v>
      </c>
      <c r="G4283" s="102" t="s">
        <v>3946</v>
      </c>
      <c r="H4283" s="175"/>
      <c r="I4283" s="85">
        <f t="shared" si="168"/>
        <v>0.6273658565927327</v>
      </c>
      <c r="J4283" s="104">
        <v>4.24</v>
      </c>
      <c r="K4283" s="144"/>
      <c r="L4283" s="62">
        <v>153</v>
      </c>
    </row>
    <row r="4284" spans="1:18" ht="14" x14ac:dyDescent="0.15">
      <c r="A4284" s="62" t="s">
        <v>3635</v>
      </c>
      <c r="B4284" s="93" t="s">
        <v>973</v>
      </c>
      <c r="C4284" s="102" t="s">
        <v>3636</v>
      </c>
      <c r="D4284" s="62" t="s">
        <v>2548</v>
      </c>
      <c r="E4284" s="102" t="s">
        <v>5977</v>
      </c>
      <c r="F4284" s="102" t="s">
        <v>5978</v>
      </c>
      <c r="G4284" s="102" t="s">
        <v>1055</v>
      </c>
      <c r="H4284" s="175"/>
      <c r="I4284" s="85">
        <f t="shared" si="168"/>
        <v>0.63848925695463732</v>
      </c>
      <c r="J4284" s="104">
        <v>4.3499999999999996</v>
      </c>
      <c r="K4284" s="144"/>
      <c r="L4284" s="62">
        <v>153</v>
      </c>
    </row>
    <row r="4285" spans="1:18" ht="42" x14ac:dyDescent="0.15">
      <c r="A4285" s="62" t="s">
        <v>3635</v>
      </c>
      <c r="B4285" s="93" t="s">
        <v>1141</v>
      </c>
      <c r="C4285" s="102" t="s">
        <v>3636</v>
      </c>
      <c r="D4285" s="62" t="s">
        <v>2548</v>
      </c>
      <c r="E4285" s="102" t="s">
        <v>5977</v>
      </c>
      <c r="F4285" s="102" t="s">
        <v>5978</v>
      </c>
      <c r="G4285" s="102" t="s">
        <v>4223</v>
      </c>
      <c r="H4285" s="175"/>
      <c r="I4285" s="85">
        <f t="shared" si="168"/>
        <v>0.66275783168157409</v>
      </c>
      <c r="J4285" s="104">
        <v>4.5999999999999996</v>
      </c>
      <c r="K4285" s="144"/>
      <c r="L4285" s="62">
        <v>153</v>
      </c>
      <c r="Q4285" s="14"/>
      <c r="R4285" s="14"/>
    </row>
    <row r="4286" spans="1:18" ht="84" x14ac:dyDescent="0.15">
      <c r="A4286" s="62" t="s">
        <v>3635</v>
      </c>
      <c r="B4286" s="93" t="s">
        <v>915</v>
      </c>
      <c r="C4286" s="102" t="s">
        <v>3636</v>
      </c>
      <c r="D4286" s="62" t="s">
        <v>2548</v>
      </c>
      <c r="E4286" s="102" t="s">
        <v>5977</v>
      </c>
      <c r="F4286" s="102" t="s">
        <v>5978</v>
      </c>
      <c r="G4286" s="102" t="s">
        <v>916</v>
      </c>
      <c r="H4286" s="175"/>
      <c r="I4286" s="85">
        <f t="shared" si="168"/>
        <v>0.7103994661167724</v>
      </c>
      <c r="J4286" s="104">
        <v>5.1333333333329998</v>
      </c>
      <c r="K4286" s="144"/>
      <c r="L4286" s="62">
        <v>153</v>
      </c>
      <c r="Q4286" s="14"/>
      <c r="R4286" s="14"/>
    </row>
    <row r="4287" spans="1:18" ht="28" x14ac:dyDescent="0.15">
      <c r="A4287" s="62" t="s">
        <v>3635</v>
      </c>
      <c r="B4287" s="93" t="s">
        <v>775</v>
      </c>
      <c r="C4287" s="102" t="s">
        <v>3636</v>
      </c>
      <c r="D4287" s="62" t="s">
        <v>2548</v>
      </c>
      <c r="E4287" s="102" t="s">
        <v>5977</v>
      </c>
      <c r="F4287" s="102" t="s">
        <v>5978</v>
      </c>
      <c r="G4287" s="102" t="s">
        <v>6276</v>
      </c>
      <c r="H4287" s="175"/>
      <c r="I4287" s="85">
        <f t="shared" si="168"/>
        <v>0.72427586960078905</v>
      </c>
      <c r="J4287" s="104">
        <v>5.3</v>
      </c>
      <c r="K4287" s="144"/>
      <c r="L4287" s="62">
        <v>153</v>
      </c>
    </row>
    <row r="4288" spans="1:18" ht="42" x14ac:dyDescent="0.15">
      <c r="A4288" s="62" t="s">
        <v>3635</v>
      </c>
      <c r="B4288" s="93" t="s">
        <v>267</v>
      </c>
      <c r="C4288" s="102" t="s">
        <v>3636</v>
      </c>
      <c r="D4288" s="62" t="s">
        <v>2548</v>
      </c>
      <c r="E4288" s="102" t="s">
        <v>5977</v>
      </c>
      <c r="F4288" s="102" t="s">
        <v>5978</v>
      </c>
      <c r="G4288" s="102" t="s">
        <v>3563</v>
      </c>
      <c r="H4288" s="175"/>
      <c r="I4288" s="85">
        <f t="shared" si="168"/>
        <v>0.72427586960078905</v>
      </c>
      <c r="J4288" s="104">
        <v>5.3</v>
      </c>
      <c r="K4288" s="144"/>
      <c r="L4288" s="62" t="s">
        <v>7512</v>
      </c>
    </row>
    <row r="4289" spans="1:12" ht="70" x14ac:dyDescent="0.15">
      <c r="A4289" s="62" t="s">
        <v>3635</v>
      </c>
      <c r="B4289" s="93" t="s">
        <v>875</v>
      </c>
      <c r="C4289" s="102" t="s">
        <v>3636</v>
      </c>
      <c r="D4289" s="62" t="s">
        <v>2548</v>
      </c>
      <c r="E4289" s="102" t="s">
        <v>5977</v>
      </c>
      <c r="F4289" s="102" t="s">
        <v>5978</v>
      </c>
      <c r="G4289" s="102" t="s">
        <v>1015</v>
      </c>
      <c r="H4289" s="175"/>
      <c r="I4289" s="85">
        <f t="shared" si="168"/>
        <v>0.7313201017189318</v>
      </c>
      <c r="J4289" s="104">
        <v>5.3866666666669998</v>
      </c>
      <c r="K4289" s="144"/>
      <c r="L4289" s="62">
        <v>153</v>
      </c>
    </row>
    <row r="4290" spans="1:12" ht="28" x14ac:dyDescent="0.15">
      <c r="A4290" s="62" t="s">
        <v>3635</v>
      </c>
      <c r="B4290" s="93" t="s">
        <v>1105</v>
      </c>
      <c r="C4290" s="102" t="s">
        <v>3636</v>
      </c>
      <c r="D4290" s="62" t="s">
        <v>2548</v>
      </c>
      <c r="E4290" s="102" t="s">
        <v>5977</v>
      </c>
      <c r="F4290" s="102" t="s">
        <v>5978</v>
      </c>
      <c r="G4290" s="102" t="s">
        <v>962</v>
      </c>
      <c r="H4290" s="175"/>
      <c r="I4290" s="85">
        <f t="shared" si="168"/>
        <v>0.74036268949424389</v>
      </c>
      <c r="J4290" s="104">
        <v>5.5</v>
      </c>
      <c r="K4290" s="144"/>
      <c r="L4290" s="62">
        <v>153</v>
      </c>
    </row>
    <row r="4291" spans="1:12" ht="28" x14ac:dyDescent="0.15">
      <c r="A4291" s="62" t="s">
        <v>3635</v>
      </c>
      <c r="B4291" s="93" t="s">
        <v>963</v>
      </c>
      <c r="C4291" s="102" t="s">
        <v>3636</v>
      </c>
      <c r="D4291" s="62" t="s">
        <v>2548</v>
      </c>
      <c r="E4291" s="102" t="s">
        <v>5977</v>
      </c>
      <c r="F4291" s="102" t="s">
        <v>5978</v>
      </c>
      <c r="G4291" s="102" t="s">
        <v>1024</v>
      </c>
      <c r="H4291" s="175"/>
      <c r="I4291" s="85">
        <f t="shared" si="168"/>
        <v>0.74429298312267622</v>
      </c>
      <c r="J4291" s="104">
        <v>5.55</v>
      </c>
      <c r="K4291" s="144"/>
      <c r="L4291" s="62">
        <v>153</v>
      </c>
    </row>
    <row r="4292" spans="1:12" ht="84" x14ac:dyDescent="0.15">
      <c r="A4292" s="62" t="s">
        <v>3635</v>
      </c>
      <c r="B4292" s="93" t="s">
        <v>947</v>
      </c>
      <c r="C4292" s="102" t="s">
        <v>3636</v>
      </c>
      <c r="D4292" s="62" t="s">
        <v>2548</v>
      </c>
      <c r="E4292" s="102" t="s">
        <v>5977</v>
      </c>
      <c r="F4292" s="102" t="s">
        <v>5978</v>
      </c>
      <c r="G4292" s="102" t="s">
        <v>948</v>
      </c>
      <c r="H4292" s="175"/>
      <c r="I4292" s="85">
        <f t="shared" si="168"/>
        <v>0.79703659454404052</v>
      </c>
      <c r="J4292" s="104">
        <v>6.2666666666669997</v>
      </c>
      <c r="K4292" s="144"/>
      <c r="L4292" s="62">
        <v>153</v>
      </c>
    </row>
    <row r="4293" spans="1:12" ht="70" x14ac:dyDescent="0.15">
      <c r="A4293" s="62" t="s">
        <v>3635</v>
      </c>
      <c r="B4293" s="93" t="s">
        <v>797</v>
      </c>
      <c r="C4293" s="102" t="s">
        <v>3636</v>
      </c>
      <c r="D4293" s="62" t="s">
        <v>2548</v>
      </c>
      <c r="E4293" s="102" t="s">
        <v>5977</v>
      </c>
      <c r="F4293" s="102" t="s">
        <v>5978</v>
      </c>
      <c r="G4293" s="102" t="s">
        <v>727</v>
      </c>
      <c r="H4293" s="175"/>
      <c r="I4293" s="85">
        <f t="shared" si="168"/>
        <v>0.82607480270082645</v>
      </c>
      <c r="J4293" s="104">
        <v>6.7</v>
      </c>
      <c r="K4293" s="144"/>
      <c r="L4293" s="62">
        <v>153</v>
      </c>
    </row>
    <row r="4294" spans="1:12" ht="28" x14ac:dyDescent="0.15">
      <c r="A4294" s="62" t="s">
        <v>3635</v>
      </c>
      <c r="B4294" s="93" t="s">
        <v>945</v>
      </c>
      <c r="C4294" s="102" t="s">
        <v>3636</v>
      </c>
      <c r="D4294" s="62" t="s">
        <v>2548</v>
      </c>
      <c r="E4294" s="102" t="s">
        <v>5977</v>
      </c>
      <c r="F4294" s="102" t="s">
        <v>5978</v>
      </c>
      <c r="G4294" s="102" t="s">
        <v>946</v>
      </c>
      <c r="H4294" s="175"/>
      <c r="I4294" s="85">
        <f t="shared" si="168"/>
        <v>0.83489733934148724</v>
      </c>
      <c r="J4294" s="104">
        <v>6.8375000000000004</v>
      </c>
      <c r="K4294" s="144"/>
      <c r="L4294" s="62">
        <v>153</v>
      </c>
    </row>
    <row r="4295" spans="1:12" ht="56" x14ac:dyDescent="0.15">
      <c r="A4295" s="61" t="s">
        <v>3635</v>
      </c>
      <c r="B4295" s="93" t="s">
        <v>953</v>
      </c>
      <c r="C4295" s="102" t="s">
        <v>3636</v>
      </c>
      <c r="D4295" s="62" t="s">
        <v>2548</v>
      </c>
      <c r="E4295" s="100" t="s">
        <v>5977</v>
      </c>
      <c r="F4295" s="102" t="s">
        <v>5978</v>
      </c>
      <c r="G4295" s="102" t="s">
        <v>954</v>
      </c>
      <c r="H4295" s="175"/>
      <c r="I4295" s="85">
        <f t="shared" si="168"/>
        <v>0.83929843840477258</v>
      </c>
      <c r="J4295" s="104">
        <v>6.9071428571429996</v>
      </c>
      <c r="K4295" s="144"/>
      <c r="L4295" s="62">
        <v>153</v>
      </c>
    </row>
    <row r="4296" spans="1:12" ht="56" x14ac:dyDescent="0.15">
      <c r="A4296" s="62" t="s">
        <v>3635</v>
      </c>
      <c r="B4296" s="93" t="s">
        <v>2746</v>
      </c>
      <c r="C4296" s="102" t="s">
        <v>3636</v>
      </c>
      <c r="D4296" s="62" t="s">
        <v>2548</v>
      </c>
      <c r="E4296" s="102" t="s">
        <v>5977</v>
      </c>
      <c r="F4296" s="102" t="s">
        <v>5978</v>
      </c>
      <c r="G4296" s="102" t="s">
        <v>2747</v>
      </c>
      <c r="H4296" s="175"/>
      <c r="I4296" s="85">
        <f t="shared" si="168"/>
        <v>0.8835647741346172</v>
      </c>
      <c r="J4296" s="104">
        <v>7.6482975272729998</v>
      </c>
      <c r="K4296" s="144"/>
      <c r="L4296" s="62">
        <v>153</v>
      </c>
    </row>
    <row r="4297" spans="1:12" ht="56" x14ac:dyDescent="0.15">
      <c r="A4297" s="61" t="s">
        <v>3635</v>
      </c>
      <c r="B4297" s="93" t="s">
        <v>1242</v>
      </c>
      <c r="C4297" s="102" t="s">
        <v>3636</v>
      </c>
      <c r="D4297" s="62" t="s">
        <v>2548</v>
      </c>
      <c r="E4297" s="102" t="s">
        <v>5977</v>
      </c>
      <c r="F4297" s="102" t="s">
        <v>5978</v>
      </c>
      <c r="G4297" s="102" t="s">
        <v>1241</v>
      </c>
      <c r="H4297" s="175"/>
      <c r="I4297" s="85">
        <f t="shared" si="168"/>
        <v>0.90989017904753688</v>
      </c>
      <c r="J4297" s="104">
        <v>8.1262500000000006</v>
      </c>
      <c r="K4297" s="144"/>
      <c r="L4297" s="62">
        <v>153</v>
      </c>
    </row>
    <row r="4298" spans="1:12" ht="98" x14ac:dyDescent="0.15">
      <c r="A4298" s="62" t="s">
        <v>3635</v>
      </c>
      <c r="B4298" s="93" t="s">
        <v>190</v>
      </c>
      <c r="C4298" s="102" t="s">
        <v>3636</v>
      </c>
      <c r="D4298" s="62" t="s">
        <v>2548</v>
      </c>
      <c r="E4298" s="102" t="s">
        <v>5977</v>
      </c>
      <c r="F4298" s="102" t="s">
        <v>5978</v>
      </c>
      <c r="G4298" s="102" t="s">
        <v>4268</v>
      </c>
      <c r="H4298" s="175"/>
      <c r="I4298" s="85">
        <f t="shared" si="168"/>
        <v>0.92737036303902354</v>
      </c>
      <c r="J4298" s="104">
        <v>8.4600000000000009</v>
      </c>
      <c r="K4298" s="144"/>
      <c r="L4298" s="62">
        <v>153</v>
      </c>
    </row>
    <row r="4299" spans="1:12" ht="28" x14ac:dyDescent="0.15">
      <c r="A4299" s="62" t="s">
        <v>3635</v>
      </c>
      <c r="B4299" s="93" t="s">
        <v>1161</v>
      </c>
      <c r="C4299" s="102" t="s">
        <v>3636</v>
      </c>
      <c r="D4299" s="62" t="s">
        <v>2548</v>
      </c>
      <c r="E4299" s="102" t="s">
        <v>5977</v>
      </c>
      <c r="F4299" s="102" t="s">
        <v>5978</v>
      </c>
      <c r="G4299" s="102" t="s">
        <v>1162</v>
      </c>
      <c r="H4299" s="175"/>
      <c r="I4299" s="85">
        <f t="shared" si="168"/>
        <v>1.0041332104167602</v>
      </c>
      <c r="J4299" s="104">
        <v>10.095625</v>
      </c>
      <c r="K4299" s="144"/>
      <c r="L4299" s="62">
        <v>153</v>
      </c>
    </row>
    <row r="4300" spans="1:12" ht="56" x14ac:dyDescent="0.15">
      <c r="A4300" s="62" t="s">
        <v>3635</v>
      </c>
      <c r="B4300" s="93" t="s">
        <v>157</v>
      </c>
      <c r="C4300" s="102" t="s">
        <v>3636</v>
      </c>
      <c r="D4300" s="62" t="s">
        <v>2548</v>
      </c>
      <c r="E4300" s="102" t="s">
        <v>5977</v>
      </c>
      <c r="F4300" s="102" t="s">
        <v>5978</v>
      </c>
      <c r="G4300" s="102" t="s">
        <v>158</v>
      </c>
      <c r="H4300" s="175"/>
      <c r="I4300" s="85">
        <f t="shared" si="168"/>
        <v>1.0229092794642256</v>
      </c>
      <c r="J4300" s="104">
        <v>10.541666666667</v>
      </c>
      <c r="K4300" s="144"/>
      <c r="L4300" s="62">
        <v>153</v>
      </c>
    </row>
    <row r="4301" spans="1:12" ht="42" x14ac:dyDescent="0.15">
      <c r="A4301" s="61" t="s">
        <v>3635</v>
      </c>
      <c r="B4301" s="93" t="s">
        <v>1343</v>
      </c>
      <c r="C4301" s="102" t="s">
        <v>3636</v>
      </c>
      <c r="D4301" s="62" t="s">
        <v>2548</v>
      </c>
      <c r="E4301" s="102" t="s">
        <v>5977</v>
      </c>
      <c r="F4301" s="102" t="s">
        <v>5978</v>
      </c>
      <c r="G4301" s="102" t="s">
        <v>1252</v>
      </c>
      <c r="H4301" s="175"/>
      <c r="I4301" s="85">
        <f t="shared" si="168"/>
        <v>1.3979400086720377</v>
      </c>
      <c r="J4301" s="104">
        <v>25</v>
      </c>
      <c r="K4301" s="144"/>
      <c r="L4301" s="62">
        <v>153</v>
      </c>
    </row>
    <row r="4302" spans="1:12" ht="56" x14ac:dyDescent="0.15">
      <c r="A4302" s="62" t="s">
        <v>3635</v>
      </c>
      <c r="B4302" s="93" t="s">
        <v>1253</v>
      </c>
      <c r="C4302" s="102" t="s">
        <v>3636</v>
      </c>
      <c r="D4302" s="62" t="s">
        <v>2548</v>
      </c>
      <c r="E4302" s="102" t="s">
        <v>5977</v>
      </c>
      <c r="F4302" s="102" t="s">
        <v>5978</v>
      </c>
      <c r="G4302" s="102" t="s">
        <v>2789</v>
      </c>
      <c r="H4302" s="175"/>
      <c r="I4302" s="85">
        <f t="shared" si="168"/>
        <v>1.5680256230379268</v>
      </c>
      <c r="J4302" s="104">
        <v>36.984999999999999</v>
      </c>
      <c r="K4302" s="144"/>
      <c r="L4302" s="62">
        <v>153</v>
      </c>
    </row>
    <row r="4303" spans="1:12" ht="70" x14ac:dyDescent="0.15">
      <c r="A4303" s="62" t="s">
        <v>3635</v>
      </c>
      <c r="B4303" s="93" t="s">
        <v>1069</v>
      </c>
      <c r="C4303" s="102" t="s">
        <v>3636</v>
      </c>
      <c r="D4303" s="62" t="s">
        <v>2548</v>
      </c>
      <c r="E4303" s="100" t="s">
        <v>5977</v>
      </c>
      <c r="F4303" s="102" t="s">
        <v>2748</v>
      </c>
      <c r="G4303" s="102" t="s">
        <v>1070</v>
      </c>
      <c r="H4303" s="175"/>
      <c r="I4303" s="85">
        <f t="shared" si="168"/>
        <v>0.95369067393697171</v>
      </c>
      <c r="J4303" s="104">
        <v>8.9885714285709994</v>
      </c>
      <c r="K4303" s="144"/>
      <c r="L4303" s="62">
        <v>153</v>
      </c>
    </row>
    <row r="4304" spans="1:12" ht="56" x14ac:dyDescent="0.15">
      <c r="A4304" s="61" t="s">
        <v>3635</v>
      </c>
      <c r="B4304" s="93" t="s">
        <v>994</v>
      </c>
      <c r="C4304" s="102" t="s">
        <v>3636</v>
      </c>
      <c r="D4304" s="62" t="s">
        <v>2548</v>
      </c>
      <c r="E4304" s="102" t="s">
        <v>5977</v>
      </c>
      <c r="F4304" s="102" t="s">
        <v>2581</v>
      </c>
      <c r="G4304" s="102" t="s">
        <v>995</v>
      </c>
      <c r="H4304" s="175"/>
      <c r="I4304" s="85">
        <f t="shared" si="168"/>
        <v>0.56820172406699498</v>
      </c>
      <c r="J4304" s="104">
        <v>3.7</v>
      </c>
      <c r="K4304" s="144"/>
      <c r="L4304" s="62">
        <v>153</v>
      </c>
    </row>
    <row r="4305" spans="1:13" ht="56" x14ac:dyDescent="0.15">
      <c r="A4305" s="62" t="s">
        <v>3635</v>
      </c>
      <c r="B4305" s="93" t="s">
        <v>1157</v>
      </c>
      <c r="C4305" s="102" t="s">
        <v>3636</v>
      </c>
      <c r="D4305" s="62" t="s">
        <v>2548</v>
      </c>
      <c r="E4305" s="102" t="s">
        <v>5977</v>
      </c>
      <c r="F4305" s="102" t="s">
        <v>2581</v>
      </c>
      <c r="G4305" s="102" t="s">
        <v>3123</v>
      </c>
      <c r="H4305" s="175"/>
      <c r="I4305" s="85">
        <f t="shared" si="168"/>
        <v>0.76074549904385391</v>
      </c>
      <c r="J4305" s="104">
        <v>5.7642857142860002</v>
      </c>
      <c r="K4305" s="144"/>
      <c r="L4305" s="62">
        <v>153</v>
      </c>
    </row>
    <row r="4306" spans="1:13" ht="42" x14ac:dyDescent="0.15">
      <c r="A4306" s="61" t="s">
        <v>3635</v>
      </c>
      <c r="B4306" s="93" t="s">
        <v>220</v>
      </c>
      <c r="C4306" s="102" t="s">
        <v>3636</v>
      </c>
      <c r="D4306" s="62" t="s">
        <v>2548</v>
      </c>
      <c r="E4306" s="102" t="s">
        <v>5977</v>
      </c>
      <c r="F4306" s="102" t="s">
        <v>218</v>
      </c>
      <c r="G4306" s="102" t="s">
        <v>3833</v>
      </c>
      <c r="H4306" s="175"/>
      <c r="I4306" s="85">
        <f t="shared" si="168"/>
        <v>0.88649072517248184</v>
      </c>
      <c r="J4306" s="104">
        <v>7.7</v>
      </c>
      <c r="K4306" s="144"/>
      <c r="L4306" s="62">
        <v>153</v>
      </c>
    </row>
    <row r="4307" spans="1:13" ht="42" x14ac:dyDescent="0.15">
      <c r="A4307" s="62" t="s">
        <v>3635</v>
      </c>
      <c r="B4307" s="93" t="s">
        <v>128</v>
      </c>
      <c r="C4307" s="102" t="s">
        <v>3636</v>
      </c>
      <c r="D4307" s="62" t="s">
        <v>2548</v>
      </c>
      <c r="E4307" s="102" t="s">
        <v>5977</v>
      </c>
      <c r="F4307" s="102" t="s">
        <v>218</v>
      </c>
      <c r="G4307" s="102" t="s">
        <v>221</v>
      </c>
      <c r="H4307" s="175"/>
      <c r="I4307" s="85">
        <f t="shared" si="168"/>
        <v>0.95808584852108514</v>
      </c>
      <c r="J4307" s="104">
        <v>9.08</v>
      </c>
      <c r="K4307" s="144"/>
      <c r="L4307" s="62">
        <v>153</v>
      </c>
    </row>
    <row r="4308" spans="1:13" ht="42" x14ac:dyDescent="0.15">
      <c r="A4308" s="62" t="s">
        <v>3635</v>
      </c>
      <c r="B4308" s="93" t="s">
        <v>1574</v>
      </c>
      <c r="C4308" s="102" t="s">
        <v>3636</v>
      </c>
      <c r="D4308" s="62" t="s">
        <v>2548</v>
      </c>
      <c r="E4308" s="102" t="s">
        <v>5977</v>
      </c>
      <c r="F4308" s="102" t="s">
        <v>218</v>
      </c>
      <c r="G4308" s="102" t="s">
        <v>4960</v>
      </c>
      <c r="H4308" s="175"/>
      <c r="I4308" s="85">
        <f t="shared" si="168"/>
        <v>0.99651167215417868</v>
      </c>
      <c r="J4308" s="104">
        <v>9.92</v>
      </c>
      <c r="K4308" s="144"/>
      <c r="L4308" s="62">
        <v>153</v>
      </c>
    </row>
    <row r="4309" spans="1:13" ht="28" x14ac:dyDescent="0.15">
      <c r="A4309" s="62" t="s">
        <v>3635</v>
      </c>
      <c r="B4309" s="93" t="s">
        <v>214</v>
      </c>
      <c r="C4309" s="102" t="s">
        <v>3636</v>
      </c>
      <c r="D4309" s="62" t="s">
        <v>2548</v>
      </c>
      <c r="E4309" s="102" t="s">
        <v>5977</v>
      </c>
      <c r="F4309" s="102" t="s">
        <v>1073</v>
      </c>
      <c r="G4309" s="102" t="s">
        <v>3905</v>
      </c>
      <c r="H4309" s="175"/>
      <c r="I4309" s="98">
        <v>-999</v>
      </c>
      <c r="J4309" s="98">
        <v>-999</v>
      </c>
      <c r="K4309" s="135"/>
      <c r="L4309" s="62">
        <v>-999</v>
      </c>
    </row>
    <row r="4310" spans="1:13" ht="28" x14ac:dyDescent="0.15">
      <c r="A4310" s="62" t="s">
        <v>3635</v>
      </c>
      <c r="B4310" s="93" t="s">
        <v>215</v>
      </c>
      <c r="C4310" s="102" t="s">
        <v>3636</v>
      </c>
      <c r="D4310" s="62" t="s">
        <v>2548</v>
      </c>
      <c r="E4310" s="102" t="s">
        <v>5977</v>
      </c>
      <c r="F4310" s="102" t="s">
        <v>1073</v>
      </c>
      <c r="G4310" s="102" t="s">
        <v>216</v>
      </c>
      <c r="H4310" s="175"/>
      <c r="I4310" s="98">
        <v>-999</v>
      </c>
      <c r="J4310" s="98">
        <v>-999</v>
      </c>
      <c r="K4310" s="135"/>
      <c r="L4310" s="62">
        <v>-999</v>
      </c>
    </row>
    <row r="4311" spans="1:13" ht="28" x14ac:dyDescent="0.15">
      <c r="A4311" s="62" t="s">
        <v>3635</v>
      </c>
      <c r="B4311" s="93" t="s">
        <v>1112</v>
      </c>
      <c r="C4311" s="102" t="s">
        <v>3636</v>
      </c>
      <c r="D4311" s="62" t="s">
        <v>2548</v>
      </c>
      <c r="E4311" s="102" t="s">
        <v>5977</v>
      </c>
      <c r="F4311" s="102" t="s">
        <v>1073</v>
      </c>
      <c r="G4311" s="102" t="s">
        <v>3605</v>
      </c>
      <c r="H4311" s="175"/>
      <c r="I4311" s="98">
        <v>-999</v>
      </c>
      <c r="J4311" s="98">
        <v>-999</v>
      </c>
      <c r="K4311" s="135"/>
      <c r="L4311" s="62">
        <v>-999</v>
      </c>
    </row>
    <row r="4312" spans="1:13" ht="14" x14ac:dyDescent="0.15">
      <c r="A4312" s="62" t="s">
        <v>3635</v>
      </c>
      <c r="B4312" s="93" t="s">
        <v>265</v>
      </c>
      <c r="C4312" s="102" t="s">
        <v>3636</v>
      </c>
      <c r="D4312" s="62" t="s">
        <v>2548</v>
      </c>
      <c r="E4312" s="102" t="s">
        <v>5977</v>
      </c>
      <c r="F4312" s="102" t="s">
        <v>1073</v>
      </c>
      <c r="G4312" s="102" t="s">
        <v>266</v>
      </c>
      <c r="H4312" s="175"/>
      <c r="I4312" s="98">
        <v>-999</v>
      </c>
      <c r="J4312" s="98">
        <v>-999</v>
      </c>
      <c r="K4312" s="135"/>
      <c r="L4312" s="62">
        <v>-999</v>
      </c>
    </row>
    <row r="4313" spans="1:13" ht="28" x14ac:dyDescent="0.15">
      <c r="A4313" s="62" t="s">
        <v>3635</v>
      </c>
      <c r="B4313" s="93" t="s">
        <v>1104</v>
      </c>
      <c r="C4313" s="102" t="s">
        <v>3636</v>
      </c>
      <c r="D4313" s="62" t="s">
        <v>2548</v>
      </c>
      <c r="E4313" s="102" t="s">
        <v>5977</v>
      </c>
      <c r="F4313" s="102" t="s">
        <v>1073</v>
      </c>
      <c r="G4313" s="102" t="s">
        <v>7164</v>
      </c>
      <c r="H4313" s="175"/>
      <c r="I4313" s="85">
        <f t="shared" ref="I4313:I4344" si="169">LOG(J4313)</f>
        <v>0.63848925695463732</v>
      </c>
      <c r="J4313" s="104">
        <v>4.3499999999999996</v>
      </c>
      <c r="K4313" s="144"/>
      <c r="L4313" s="62">
        <v>153</v>
      </c>
    </row>
    <row r="4314" spans="1:13" ht="42" x14ac:dyDescent="0.15">
      <c r="A4314" s="62" t="s">
        <v>3635</v>
      </c>
      <c r="B4314" s="82" t="s">
        <v>212</v>
      </c>
      <c r="C4314" s="107" t="s">
        <v>3636</v>
      </c>
      <c r="D4314" s="62" t="s">
        <v>2548</v>
      </c>
      <c r="E4314" s="107" t="s">
        <v>5977</v>
      </c>
      <c r="F4314" s="107" t="s">
        <v>1073</v>
      </c>
      <c r="G4314" s="107" t="s">
        <v>1090</v>
      </c>
      <c r="H4314" s="179"/>
      <c r="I4314" s="85">
        <f t="shared" si="169"/>
        <v>0.64836001098093166</v>
      </c>
      <c r="J4314" s="104">
        <v>4.45</v>
      </c>
      <c r="K4314" s="144"/>
      <c r="L4314" s="62">
        <v>153</v>
      </c>
    </row>
    <row r="4315" spans="1:13" ht="17" x14ac:dyDescent="0.2">
      <c r="A4315" s="70" t="s">
        <v>3635</v>
      </c>
      <c r="B4315" s="82"/>
      <c r="C4315" s="70" t="s">
        <v>3636</v>
      </c>
      <c r="D4315" s="70" t="s">
        <v>4189</v>
      </c>
      <c r="E4315" s="70" t="s">
        <v>4190</v>
      </c>
      <c r="F4315" s="70" t="s">
        <v>4184</v>
      </c>
      <c r="G4315" s="70" t="s">
        <v>2897</v>
      </c>
      <c r="H4315" s="93"/>
      <c r="I4315" s="85">
        <f t="shared" si="169"/>
        <v>2.4727600000000001</v>
      </c>
      <c r="J4315" s="85">
        <v>297.00242820745564</v>
      </c>
      <c r="K4315" s="131" t="s">
        <v>6391</v>
      </c>
      <c r="L4315" s="60">
        <v>60</v>
      </c>
      <c r="M4315" s="47" t="s">
        <v>6728</v>
      </c>
    </row>
    <row r="4316" spans="1:13" ht="14" x14ac:dyDescent="0.15">
      <c r="A4316" s="70" t="s">
        <v>3635</v>
      </c>
      <c r="B4316" s="82"/>
      <c r="C4316" s="70" t="s">
        <v>3636</v>
      </c>
      <c r="D4316" s="70" t="s">
        <v>4189</v>
      </c>
      <c r="E4316" s="70" t="s">
        <v>4190</v>
      </c>
      <c r="F4316" s="70" t="s">
        <v>2898</v>
      </c>
      <c r="G4316" s="70" t="s">
        <v>3989</v>
      </c>
      <c r="H4316" s="93"/>
      <c r="I4316" s="85">
        <f t="shared" si="169"/>
        <v>2.9758900000000001</v>
      </c>
      <c r="J4316" s="85">
        <v>945.99752464115022</v>
      </c>
      <c r="K4316" s="131" t="s">
        <v>6630</v>
      </c>
      <c r="L4316" s="69">
        <v>60</v>
      </c>
      <c r="M4316" s="49" t="s">
        <v>6392</v>
      </c>
    </row>
    <row r="4317" spans="1:13" ht="14" x14ac:dyDescent="0.15">
      <c r="A4317" s="70" t="s">
        <v>3635</v>
      </c>
      <c r="B4317" s="82"/>
      <c r="C4317" s="70" t="s">
        <v>3636</v>
      </c>
      <c r="D4317" s="70" t="s">
        <v>4189</v>
      </c>
      <c r="E4317" s="70" t="s">
        <v>4190</v>
      </c>
      <c r="F4317" s="70" t="s">
        <v>6912</v>
      </c>
      <c r="G4317" s="70" t="s">
        <v>2996</v>
      </c>
      <c r="H4317" s="93"/>
      <c r="I4317" s="85">
        <f t="shared" si="169"/>
        <v>3.0378900000000004</v>
      </c>
      <c r="J4317" s="85">
        <v>1091.1639266880236</v>
      </c>
      <c r="K4317" s="131" t="s">
        <v>3177</v>
      </c>
      <c r="L4317" s="60">
        <v>60</v>
      </c>
    </row>
    <row r="4318" spans="1:13" ht="14" x14ac:dyDescent="0.15">
      <c r="A4318" s="70" t="s">
        <v>3635</v>
      </c>
      <c r="B4318" s="82"/>
      <c r="C4318" s="70" t="s">
        <v>3636</v>
      </c>
      <c r="D4318" s="70" t="s">
        <v>4189</v>
      </c>
      <c r="E4318" s="70" t="s">
        <v>4190</v>
      </c>
      <c r="F4318" s="70" t="s">
        <v>6912</v>
      </c>
      <c r="G4318" s="70" t="s">
        <v>4185</v>
      </c>
      <c r="H4318" s="93"/>
      <c r="I4318" s="85">
        <f t="shared" si="169"/>
        <v>3.3415300000000006</v>
      </c>
      <c r="J4318" s="85">
        <v>2195.4826024672425</v>
      </c>
      <c r="K4318" s="131" t="s">
        <v>3177</v>
      </c>
      <c r="L4318" s="60">
        <v>60</v>
      </c>
    </row>
    <row r="4319" spans="1:13" ht="14" x14ac:dyDescent="0.15">
      <c r="A4319" s="70" t="s">
        <v>3635</v>
      </c>
      <c r="B4319" s="82"/>
      <c r="C4319" s="70" t="s">
        <v>3636</v>
      </c>
      <c r="D4319" s="70" t="s">
        <v>4189</v>
      </c>
      <c r="E4319" s="70" t="s">
        <v>4190</v>
      </c>
      <c r="F4319" s="70" t="s">
        <v>4192</v>
      </c>
      <c r="G4319" s="70" t="s">
        <v>4194</v>
      </c>
      <c r="H4319" s="93"/>
      <c r="I4319" s="85">
        <f t="shared" si="169"/>
        <v>1.69417</v>
      </c>
      <c r="J4319" s="85">
        <v>49.450421757337679</v>
      </c>
      <c r="K4319" s="131" t="s">
        <v>3177</v>
      </c>
      <c r="L4319" s="60">
        <v>60</v>
      </c>
    </row>
    <row r="4320" spans="1:13" ht="14" x14ac:dyDescent="0.15">
      <c r="A4320" s="70" t="s">
        <v>3635</v>
      </c>
      <c r="B4320" s="82"/>
      <c r="C4320" s="70" t="s">
        <v>3636</v>
      </c>
      <c r="D4320" s="70" t="s">
        <v>4189</v>
      </c>
      <c r="E4320" s="70" t="s">
        <v>4190</v>
      </c>
      <c r="F4320" s="70" t="s">
        <v>4192</v>
      </c>
      <c r="G4320" s="70" t="s">
        <v>4193</v>
      </c>
      <c r="H4320" s="93"/>
      <c r="I4320" s="85">
        <f t="shared" si="169"/>
        <v>1.7781500000000001</v>
      </c>
      <c r="J4320" s="85">
        <v>59.999827253364401</v>
      </c>
      <c r="K4320" s="131" t="s">
        <v>6630</v>
      </c>
      <c r="L4320" s="69">
        <v>66</v>
      </c>
      <c r="M4320" s="49" t="s">
        <v>6727</v>
      </c>
    </row>
    <row r="4321" spans="1:14" ht="14" x14ac:dyDescent="0.15">
      <c r="A4321" s="70" t="s">
        <v>3635</v>
      </c>
      <c r="B4321" s="82"/>
      <c r="C4321" s="70" t="s">
        <v>3636</v>
      </c>
      <c r="D4321" s="70" t="s">
        <v>4189</v>
      </c>
      <c r="E4321" s="70" t="s">
        <v>4190</v>
      </c>
      <c r="F4321" s="70" t="s">
        <v>2228</v>
      </c>
      <c r="G4321" s="70" t="s">
        <v>2229</v>
      </c>
      <c r="H4321" s="93"/>
      <c r="I4321" s="85">
        <f t="shared" si="169"/>
        <v>2.1215600000000001</v>
      </c>
      <c r="J4321" s="85">
        <v>132.30004746548298</v>
      </c>
      <c r="K4321" s="131" t="s">
        <v>3177</v>
      </c>
      <c r="L4321" s="69">
        <v>61</v>
      </c>
      <c r="M4321" s="49" t="s">
        <v>6392</v>
      </c>
    </row>
    <row r="4322" spans="1:14" ht="14" x14ac:dyDescent="0.15">
      <c r="A4322" s="70" t="s">
        <v>3635</v>
      </c>
      <c r="B4322" s="82"/>
      <c r="C4322" s="70" t="s">
        <v>3636</v>
      </c>
      <c r="D4322" s="70" t="s">
        <v>4189</v>
      </c>
      <c r="E4322" s="70" t="s">
        <v>4190</v>
      </c>
      <c r="F4322" s="70" t="s">
        <v>4195</v>
      </c>
      <c r="G4322" s="70" t="s">
        <v>4196</v>
      </c>
      <c r="H4322" s="93"/>
      <c r="I4322" s="85">
        <f t="shared" si="169"/>
        <v>2.8750599999999999</v>
      </c>
      <c r="J4322" s="85">
        <v>749.99781820300223</v>
      </c>
      <c r="K4322" s="131" t="s">
        <v>3177</v>
      </c>
      <c r="L4322" s="60">
        <v>60</v>
      </c>
    </row>
    <row r="4323" spans="1:14" ht="14" x14ac:dyDescent="0.15">
      <c r="A4323" s="70" t="s">
        <v>3635</v>
      </c>
      <c r="B4323" s="82"/>
      <c r="C4323" s="70" t="s">
        <v>3636</v>
      </c>
      <c r="D4323" s="70" t="s">
        <v>7012</v>
      </c>
      <c r="E4323" s="70" t="s">
        <v>4722</v>
      </c>
      <c r="F4323" s="70" t="s">
        <v>7085</v>
      </c>
      <c r="G4323" s="70" t="s">
        <v>3924</v>
      </c>
      <c r="H4323" s="93"/>
      <c r="I4323" s="85">
        <f t="shared" si="169"/>
        <v>1.1303337684950061</v>
      </c>
      <c r="J4323" s="85">
        <v>13.5</v>
      </c>
      <c r="K4323" s="131" t="s">
        <v>6705</v>
      </c>
      <c r="L4323" s="60">
        <v>103</v>
      </c>
    </row>
    <row r="4324" spans="1:14" ht="14" x14ac:dyDescent="0.15">
      <c r="A4324" s="70" t="s">
        <v>3635</v>
      </c>
      <c r="B4324" s="82"/>
      <c r="C4324" s="70" t="s">
        <v>3636</v>
      </c>
      <c r="D4324" s="70" t="s">
        <v>7012</v>
      </c>
      <c r="E4324" s="70" t="s">
        <v>4722</v>
      </c>
      <c r="F4324" s="70" t="s">
        <v>7085</v>
      </c>
      <c r="G4324" s="70" t="s">
        <v>7959</v>
      </c>
      <c r="H4324" s="93"/>
      <c r="I4324" s="85">
        <f t="shared" si="169"/>
        <v>1.1613680022349748</v>
      </c>
      <c r="J4324" s="85">
        <f>AVERAGE(13, 16)</f>
        <v>14.5</v>
      </c>
      <c r="K4324" s="131" t="s">
        <v>3177</v>
      </c>
      <c r="L4324" s="60">
        <v>161</v>
      </c>
      <c r="M4324" s="33" t="s">
        <v>1421</v>
      </c>
    </row>
    <row r="4325" spans="1:14" ht="14" x14ac:dyDescent="0.15">
      <c r="A4325" s="70" t="s">
        <v>3635</v>
      </c>
      <c r="B4325" s="82"/>
      <c r="C4325" s="70" t="s">
        <v>3636</v>
      </c>
      <c r="D4325" s="70" t="s">
        <v>7012</v>
      </c>
      <c r="E4325" s="70" t="s">
        <v>4722</v>
      </c>
      <c r="F4325" s="70" t="s">
        <v>7085</v>
      </c>
      <c r="G4325" s="70" t="s">
        <v>7086</v>
      </c>
      <c r="H4325" s="93"/>
      <c r="I4325" s="85">
        <f t="shared" si="169"/>
        <v>1.4471580313422192</v>
      </c>
      <c r="J4325" s="85">
        <v>28</v>
      </c>
      <c r="K4325" s="131" t="s">
        <v>3177</v>
      </c>
      <c r="L4325" s="60">
        <v>75</v>
      </c>
    </row>
    <row r="4326" spans="1:14" ht="16" x14ac:dyDescent="0.2">
      <c r="A4326" s="70" t="s">
        <v>3635</v>
      </c>
      <c r="B4326" s="82"/>
      <c r="C4326" s="70" t="s">
        <v>3636</v>
      </c>
      <c r="D4326" s="70" t="s">
        <v>7012</v>
      </c>
      <c r="E4326" s="70" t="s">
        <v>4722</v>
      </c>
      <c r="F4326" s="70" t="s">
        <v>7087</v>
      </c>
      <c r="G4326" s="70" t="s">
        <v>7091</v>
      </c>
      <c r="H4326" s="93"/>
      <c r="I4326" s="85">
        <f t="shared" si="169"/>
        <v>0.69752000000000014</v>
      </c>
      <c r="J4326" s="85">
        <v>4.98333404543488</v>
      </c>
      <c r="K4326" s="131" t="s">
        <v>3177</v>
      </c>
      <c r="L4326" s="69">
        <v>66</v>
      </c>
      <c r="N4326" s="48"/>
    </row>
    <row r="4327" spans="1:14" ht="84" x14ac:dyDescent="0.15">
      <c r="A4327" s="70" t="s">
        <v>3635</v>
      </c>
      <c r="B4327" s="93" t="s">
        <v>2155</v>
      </c>
      <c r="C4327" s="70" t="s">
        <v>3636</v>
      </c>
      <c r="D4327" s="70" t="s">
        <v>7012</v>
      </c>
      <c r="E4327" s="70" t="s">
        <v>4722</v>
      </c>
      <c r="F4327" s="70" t="s">
        <v>7087</v>
      </c>
      <c r="G4327" s="70" t="s">
        <v>5143</v>
      </c>
      <c r="H4327" s="93"/>
      <c r="I4327" s="85">
        <f t="shared" si="169"/>
        <v>0.69897000433601886</v>
      </c>
      <c r="J4327" s="85">
        <v>5</v>
      </c>
      <c r="K4327" s="131" t="s">
        <v>6816</v>
      </c>
      <c r="L4327" s="60" t="s">
        <v>1452</v>
      </c>
      <c r="M4327" s="33" t="s">
        <v>6728</v>
      </c>
      <c r="N4327" s="37" t="s">
        <v>1637</v>
      </c>
    </row>
    <row r="4328" spans="1:14" ht="14" x14ac:dyDescent="0.15">
      <c r="A4328" s="73" t="s">
        <v>3635</v>
      </c>
      <c r="B4328" s="82"/>
      <c r="C4328" s="70" t="s">
        <v>3636</v>
      </c>
      <c r="D4328" s="70" t="s">
        <v>7012</v>
      </c>
      <c r="E4328" s="70" t="s">
        <v>4722</v>
      </c>
      <c r="F4328" s="70" t="s">
        <v>7087</v>
      </c>
      <c r="G4328" s="70" t="s">
        <v>7090</v>
      </c>
      <c r="H4328" s="93"/>
      <c r="I4328" s="85">
        <f t="shared" si="169"/>
        <v>0.7323937598229685</v>
      </c>
      <c r="J4328" s="85">
        <v>5.4</v>
      </c>
      <c r="K4328" s="131" t="s">
        <v>3177</v>
      </c>
      <c r="L4328" s="69">
        <v>224</v>
      </c>
    </row>
    <row r="4329" spans="1:14" ht="14" x14ac:dyDescent="0.15">
      <c r="A4329" s="70" t="s">
        <v>3635</v>
      </c>
      <c r="B4329" s="93" t="s">
        <v>2460</v>
      </c>
      <c r="C4329" s="70" t="s">
        <v>3636</v>
      </c>
      <c r="D4329" s="70" t="s">
        <v>7012</v>
      </c>
      <c r="E4329" s="70" t="s">
        <v>4722</v>
      </c>
      <c r="F4329" s="70" t="s">
        <v>7087</v>
      </c>
      <c r="G4329" s="70" t="s">
        <v>3605</v>
      </c>
      <c r="H4329" s="93"/>
      <c r="I4329" s="85">
        <f t="shared" si="169"/>
        <v>0.84509804001425681</v>
      </c>
      <c r="J4329" s="85">
        <v>7</v>
      </c>
      <c r="K4329" s="131" t="s">
        <v>6816</v>
      </c>
      <c r="L4329" s="60" t="s">
        <v>181</v>
      </c>
      <c r="M4329" s="33" t="s">
        <v>6728</v>
      </c>
    </row>
    <row r="4330" spans="1:14" ht="14" x14ac:dyDescent="0.15">
      <c r="A4330" s="70" t="s">
        <v>3635</v>
      </c>
      <c r="B4330" s="82"/>
      <c r="C4330" s="70" t="s">
        <v>3636</v>
      </c>
      <c r="D4330" s="70" t="s">
        <v>7012</v>
      </c>
      <c r="E4330" s="70" t="s">
        <v>4722</v>
      </c>
      <c r="F4330" s="70" t="s">
        <v>7087</v>
      </c>
      <c r="G4330" s="70" t="s">
        <v>7088</v>
      </c>
      <c r="H4330" s="93"/>
      <c r="I4330" s="85">
        <f t="shared" si="169"/>
        <v>0.84509999999999996</v>
      </c>
      <c r="J4330" s="85">
        <v>7.0000315913089688</v>
      </c>
      <c r="K4330" s="131" t="s">
        <v>3177</v>
      </c>
      <c r="L4330" s="69">
        <v>66</v>
      </c>
    </row>
    <row r="4331" spans="1:14" ht="14" x14ac:dyDescent="0.15">
      <c r="A4331" s="70" t="s">
        <v>3635</v>
      </c>
      <c r="B4331" s="82"/>
      <c r="C4331" s="70" t="s">
        <v>3636</v>
      </c>
      <c r="D4331" s="70" t="s">
        <v>7012</v>
      </c>
      <c r="E4331" s="70" t="s">
        <v>4722</v>
      </c>
      <c r="F4331" s="70" t="s">
        <v>7087</v>
      </c>
      <c r="G4331" s="70" t="s">
        <v>7089</v>
      </c>
      <c r="H4331" s="93"/>
      <c r="I4331" s="85">
        <f t="shared" si="169"/>
        <v>0.84509999999999996</v>
      </c>
      <c r="J4331" s="85">
        <v>7.0000315913089688</v>
      </c>
      <c r="K4331" s="131" t="s">
        <v>3177</v>
      </c>
      <c r="L4331" s="69">
        <v>66</v>
      </c>
    </row>
    <row r="4332" spans="1:14" ht="14" x14ac:dyDescent="0.15">
      <c r="A4332" s="70" t="s">
        <v>3635</v>
      </c>
      <c r="B4332" s="82"/>
      <c r="C4332" s="70" t="s">
        <v>3636</v>
      </c>
      <c r="D4332" s="70" t="s">
        <v>7012</v>
      </c>
      <c r="E4332" s="70" t="s">
        <v>4722</v>
      </c>
      <c r="F4332" s="70" t="s">
        <v>7087</v>
      </c>
      <c r="G4332" s="70" t="s">
        <v>4194</v>
      </c>
      <c r="H4332" s="93"/>
      <c r="I4332" s="85">
        <f t="shared" si="169"/>
        <v>0.84509999999999996</v>
      </c>
      <c r="J4332" s="85">
        <v>7.0000315913089688</v>
      </c>
      <c r="K4332" s="131" t="s">
        <v>3177</v>
      </c>
      <c r="L4332" s="69">
        <v>66</v>
      </c>
    </row>
    <row r="4333" spans="1:14" ht="70" x14ac:dyDescent="0.15">
      <c r="A4333" s="70" t="s">
        <v>3635</v>
      </c>
      <c r="B4333" s="93" t="s">
        <v>2470</v>
      </c>
      <c r="C4333" s="70" t="s">
        <v>3636</v>
      </c>
      <c r="D4333" s="70" t="s">
        <v>7012</v>
      </c>
      <c r="E4333" s="70" t="s">
        <v>4722</v>
      </c>
      <c r="F4333" s="70" t="s">
        <v>7087</v>
      </c>
      <c r="G4333" s="70" t="s">
        <v>5439</v>
      </c>
      <c r="H4333" s="93"/>
      <c r="I4333" s="85">
        <f t="shared" si="169"/>
        <v>0.90308998699194354</v>
      </c>
      <c r="J4333" s="85">
        <v>8</v>
      </c>
      <c r="K4333" s="131" t="s">
        <v>6816</v>
      </c>
      <c r="L4333" s="60" t="s">
        <v>1453</v>
      </c>
      <c r="M4333" s="33" t="s">
        <v>6390</v>
      </c>
      <c r="N4333" s="37" t="s">
        <v>1659</v>
      </c>
    </row>
    <row r="4334" spans="1:14" ht="14" x14ac:dyDescent="0.15">
      <c r="A4334" s="70" t="s">
        <v>3635</v>
      </c>
      <c r="B4334" s="82"/>
      <c r="C4334" s="70" t="s">
        <v>3636</v>
      </c>
      <c r="D4334" s="70" t="s">
        <v>7012</v>
      </c>
      <c r="E4334" s="70" t="s">
        <v>4722</v>
      </c>
      <c r="F4334" s="70" t="s">
        <v>7087</v>
      </c>
      <c r="G4334" s="70" t="s">
        <v>7149</v>
      </c>
      <c r="H4334" s="93"/>
      <c r="I4334" s="85">
        <f t="shared" si="169"/>
        <v>0.90309000000000006</v>
      </c>
      <c r="J4334" s="85">
        <v>8.0000002396172594</v>
      </c>
      <c r="K4334" s="131" t="s">
        <v>3177</v>
      </c>
      <c r="L4334" s="69" t="s">
        <v>182</v>
      </c>
    </row>
    <row r="4335" spans="1:14" ht="16" x14ac:dyDescent="0.2">
      <c r="A4335" s="70" t="s">
        <v>3635</v>
      </c>
      <c r="B4335" s="82"/>
      <c r="C4335" s="70" t="s">
        <v>3636</v>
      </c>
      <c r="D4335" s="70" t="s">
        <v>7012</v>
      </c>
      <c r="E4335" s="70" t="s">
        <v>4722</v>
      </c>
      <c r="F4335" s="70" t="s">
        <v>4471</v>
      </c>
      <c r="G4335" s="70" t="s">
        <v>7138</v>
      </c>
      <c r="H4335" s="93"/>
      <c r="I4335" s="85">
        <f t="shared" si="169"/>
        <v>1.3010300000000001</v>
      </c>
      <c r="J4335" s="85">
        <v>20.000000199681054</v>
      </c>
      <c r="K4335" s="131" t="s">
        <v>3177</v>
      </c>
      <c r="L4335" s="69">
        <v>66</v>
      </c>
      <c r="N4335" s="48"/>
    </row>
    <row r="4336" spans="1:14" ht="14" x14ac:dyDescent="0.15">
      <c r="A4336" s="70" t="s">
        <v>3635</v>
      </c>
      <c r="B4336" s="82"/>
      <c r="C4336" s="70" t="s">
        <v>3636</v>
      </c>
      <c r="D4336" s="70" t="s">
        <v>7012</v>
      </c>
      <c r="E4336" s="70" t="s">
        <v>4722</v>
      </c>
      <c r="F4336" s="70" t="s">
        <v>7139</v>
      </c>
      <c r="G4336" s="70" t="s">
        <v>6931</v>
      </c>
      <c r="H4336" s="93"/>
      <c r="I4336" s="85">
        <f t="shared" si="169"/>
        <v>0.64278999999999997</v>
      </c>
      <c r="J4336" s="85">
        <v>4.3932912960096422</v>
      </c>
      <c r="K4336" s="131" t="s">
        <v>3177</v>
      </c>
      <c r="L4336" s="60">
        <v>60</v>
      </c>
    </row>
    <row r="4337" spans="1:26" ht="28" x14ac:dyDescent="0.15">
      <c r="A4337" s="70" t="s">
        <v>3635</v>
      </c>
      <c r="B4337" s="82"/>
      <c r="C4337" s="70" t="s">
        <v>3636</v>
      </c>
      <c r="D4337" s="70" t="s">
        <v>7012</v>
      </c>
      <c r="E4337" s="70" t="s">
        <v>4722</v>
      </c>
      <c r="F4337" s="70" t="s">
        <v>6932</v>
      </c>
      <c r="G4337" s="70" t="s">
        <v>4489</v>
      </c>
      <c r="H4337" s="93"/>
      <c r="I4337" s="85">
        <f t="shared" si="169"/>
        <v>0.38020999999999999</v>
      </c>
      <c r="J4337" s="85">
        <v>2.3999931380578885</v>
      </c>
      <c r="K4337" s="131" t="s">
        <v>6749</v>
      </c>
      <c r="L4337" s="60">
        <v>60</v>
      </c>
      <c r="M4337" s="49" t="s">
        <v>6728</v>
      </c>
    </row>
    <row r="4338" spans="1:26" ht="16" x14ac:dyDescent="0.2">
      <c r="A4338" s="73" t="s">
        <v>3635</v>
      </c>
      <c r="B4338" s="82"/>
      <c r="C4338" s="70" t="s">
        <v>3636</v>
      </c>
      <c r="D4338" s="70" t="s">
        <v>7012</v>
      </c>
      <c r="E4338" s="70" t="s">
        <v>4722</v>
      </c>
      <c r="F4338" s="70" t="s">
        <v>6932</v>
      </c>
      <c r="G4338" s="70" t="s">
        <v>2085</v>
      </c>
      <c r="H4338" s="93"/>
      <c r="I4338" s="85">
        <f t="shared" si="169"/>
        <v>0.38020999999999999</v>
      </c>
      <c r="J4338" s="85">
        <v>2.3999931380578885</v>
      </c>
      <c r="K4338" s="131" t="s">
        <v>3177</v>
      </c>
      <c r="L4338" s="60">
        <v>60</v>
      </c>
      <c r="N4338" s="48"/>
    </row>
    <row r="4339" spans="1:26" ht="14" x14ac:dyDescent="0.15">
      <c r="A4339" s="70" t="s">
        <v>3635</v>
      </c>
      <c r="B4339" s="82"/>
      <c r="C4339" s="70" t="s">
        <v>3636</v>
      </c>
      <c r="D4339" s="70" t="s">
        <v>7012</v>
      </c>
      <c r="E4339" s="70" t="s">
        <v>4722</v>
      </c>
      <c r="F4339" s="70" t="s">
        <v>6932</v>
      </c>
      <c r="G4339" s="70" t="s">
        <v>2357</v>
      </c>
      <c r="H4339" s="93"/>
      <c r="I4339" s="85">
        <f t="shared" si="169"/>
        <v>0.41078000000000009</v>
      </c>
      <c r="J4339" s="85">
        <v>2.5750164037920658</v>
      </c>
      <c r="K4339" s="131" t="s">
        <v>3177</v>
      </c>
      <c r="L4339" s="60">
        <v>60</v>
      </c>
    </row>
    <row r="4340" spans="1:26" ht="14" x14ac:dyDescent="0.15">
      <c r="A4340" s="70" t="s">
        <v>3635</v>
      </c>
      <c r="B4340" s="82"/>
      <c r="C4340" s="70" t="s">
        <v>3636</v>
      </c>
      <c r="D4340" s="70" t="s">
        <v>7012</v>
      </c>
      <c r="E4340" s="70" t="s">
        <v>4722</v>
      </c>
      <c r="F4340" s="70" t="s">
        <v>6932</v>
      </c>
      <c r="G4340" s="70" t="s">
        <v>4816</v>
      </c>
      <c r="H4340" s="93"/>
      <c r="I4340" s="85">
        <f t="shared" si="169"/>
        <v>0.46089999999999992</v>
      </c>
      <c r="J4340" s="85">
        <v>2.8900143553494697</v>
      </c>
      <c r="K4340" s="131" t="s">
        <v>3177</v>
      </c>
      <c r="L4340" s="60">
        <v>60</v>
      </c>
    </row>
    <row r="4341" spans="1:26" ht="14" x14ac:dyDescent="0.15">
      <c r="A4341" s="70" t="s">
        <v>3635</v>
      </c>
      <c r="B4341" s="82"/>
      <c r="C4341" s="70" t="s">
        <v>3636</v>
      </c>
      <c r="D4341" s="70" t="s">
        <v>7012</v>
      </c>
      <c r="E4341" s="70" t="s">
        <v>4722</v>
      </c>
      <c r="F4341" s="70" t="s">
        <v>6932</v>
      </c>
      <c r="G4341" s="70" t="s">
        <v>2358</v>
      </c>
      <c r="H4341" s="93"/>
      <c r="I4341" s="85">
        <f t="shared" si="169"/>
        <v>0.49136000000000002</v>
      </c>
      <c r="J4341" s="85">
        <v>3.0999879094111846</v>
      </c>
      <c r="K4341" s="131" t="s">
        <v>3177</v>
      </c>
      <c r="L4341" s="69">
        <v>66</v>
      </c>
    </row>
    <row r="4342" spans="1:26" ht="56" x14ac:dyDescent="0.15">
      <c r="A4342" s="70" t="s">
        <v>3635</v>
      </c>
      <c r="B4342" s="93" t="s">
        <v>4776</v>
      </c>
      <c r="C4342" s="70" t="s">
        <v>3636</v>
      </c>
      <c r="D4342" s="70" t="s">
        <v>7012</v>
      </c>
      <c r="E4342" s="70" t="s">
        <v>4722</v>
      </c>
      <c r="F4342" s="70" t="s">
        <v>6932</v>
      </c>
      <c r="G4342" s="70" t="s">
        <v>5983</v>
      </c>
      <c r="H4342" s="93"/>
      <c r="I4342" s="85">
        <f t="shared" si="169"/>
        <v>0.54406804435027567</v>
      </c>
      <c r="J4342" s="85">
        <v>3.5</v>
      </c>
      <c r="K4342" s="131" t="s">
        <v>3177</v>
      </c>
      <c r="L4342" s="60" t="s">
        <v>255</v>
      </c>
      <c r="M4342" s="33"/>
    </row>
    <row r="4343" spans="1:26" ht="14" x14ac:dyDescent="0.15">
      <c r="A4343" s="70" t="s">
        <v>3635</v>
      </c>
      <c r="B4343" s="82"/>
      <c r="C4343" s="70" t="s">
        <v>3636</v>
      </c>
      <c r="D4343" s="70" t="s">
        <v>7012</v>
      </c>
      <c r="E4343" s="70" t="s">
        <v>4722</v>
      </c>
      <c r="F4343" s="70" t="s">
        <v>6932</v>
      </c>
      <c r="G4343" s="70" t="s">
        <v>2323</v>
      </c>
      <c r="H4343" s="93"/>
      <c r="I4343" s="85">
        <f t="shared" si="169"/>
        <v>0.55328000000000011</v>
      </c>
      <c r="J4343" s="85">
        <v>3.5750325473263018</v>
      </c>
      <c r="K4343" s="131" t="s">
        <v>3177</v>
      </c>
      <c r="L4343" s="60">
        <v>60</v>
      </c>
    </row>
    <row r="4344" spans="1:26" ht="28" x14ac:dyDescent="0.15">
      <c r="A4344" s="70" t="s">
        <v>3635</v>
      </c>
      <c r="B4344" s="93" t="s">
        <v>4846</v>
      </c>
      <c r="C4344" s="70" t="s">
        <v>3636</v>
      </c>
      <c r="D4344" s="70" t="s">
        <v>7012</v>
      </c>
      <c r="E4344" s="70" t="s">
        <v>4722</v>
      </c>
      <c r="F4344" s="70" t="s">
        <v>6932</v>
      </c>
      <c r="G4344" s="70" t="s">
        <v>4906</v>
      </c>
      <c r="H4344" s="93"/>
      <c r="I4344" s="85">
        <f t="shared" si="169"/>
        <v>0.55630250076728727</v>
      </c>
      <c r="J4344" s="85">
        <v>3.6</v>
      </c>
      <c r="K4344" s="131" t="s">
        <v>3177</v>
      </c>
      <c r="L4344" s="60" t="s">
        <v>255</v>
      </c>
      <c r="M4344" s="33"/>
    </row>
    <row r="4345" spans="1:26" s="2" customFormat="1" ht="14" x14ac:dyDescent="0.15">
      <c r="A4345" s="73" t="s">
        <v>3635</v>
      </c>
      <c r="B4345" s="82"/>
      <c r="C4345" s="70" t="s">
        <v>3636</v>
      </c>
      <c r="D4345" s="70" t="s">
        <v>7012</v>
      </c>
      <c r="E4345" s="70" t="s">
        <v>4722</v>
      </c>
      <c r="F4345" s="70" t="s">
        <v>6932</v>
      </c>
      <c r="G4345" s="70" t="s">
        <v>2340</v>
      </c>
      <c r="H4345" s="93"/>
      <c r="I4345" s="85">
        <f t="shared" ref="I4345:I4376" si="170">LOG(J4345)</f>
        <v>0.57403000000000015</v>
      </c>
      <c r="J4345" s="85">
        <v>3.7499890535749247</v>
      </c>
      <c r="K4345" s="131" t="s">
        <v>3177</v>
      </c>
      <c r="L4345" s="60">
        <v>60</v>
      </c>
      <c r="M4345" s="49"/>
      <c r="N4345" s="37"/>
      <c r="O4345" s="37"/>
      <c r="P4345" s="37"/>
      <c r="Q4345" s="3"/>
      <c r="R4345" s="3"/>
      <c r="S4345" s="6"/>
      <c r="T4345" s="6"/>
      <c r="U4345" s="6"/>
      <c r="V4345" s="6"/>
      <c r="W4345" s="6"/>
      <c r="X4345" s="6"/>
      <c r="Y4345" s="6"/>
      <c r="Z4345" s="6"/>
    </row>
    <row r="4346" spans="1:26" s="2" customFormat="1" ht="14" x14ac:dyDescent="0.15">
      <c r="A4346" s="70" t="s">
        <v>3635</v>
      </c>
      <c r="B4346" s="82"/>
      <c r="C4346" s="70" t="s">
        <v>3636</v>
      </c>
      <c r="D4346" s="70" t="s">
        <v>7012</v>
      </c>
      <c r="E4346" s="70" t="s">
        <v>4722</v>
      </c>
      <c r="F4346" s="70" t="s">
        <v>6932</v>
      </c>
      <c r="G4346" s="70" t="s">
        <v>2210</v>
      </c>
      <c r="H4346" s="93"/>
      <c r="I4346" s="85">
        <f t="shared" si="170"/>
        <v>0.57977999999999996</v>
      </c>
      <c r="J4346" s="85">
        <v>3.7999685303685498</v>
      </c>
      <c r="K4346" s="131" t="s">
        <v>3177</v>
      </c>
      <c r="L4346" s="60">
        <v>60</v>
      </c>
      <c r="M4346" s="49"/>
      <c r="N4346" s="37"/>
      <c r="O4346" s="37"/>
      <c r="P4346" s="37"/>
      <c r="Q4346" s="3"/>
      <c r="R4346" s="3"/>
      <c r="S4346" s="6"/>
      <c r="T4346" s="6"/>
      <c r="U4346" s="6"/>
      <c r="V4346" s="6"/>
      <c r="W4346" s="6"/>
      <c r="X4346" s="6"/>
      <c r="Y4346" s="6"/>
      <c r="Z4346" s="6"/>
    </row>
    <row r="4347" spans="1:26" s="2" customFormat="1" ht="14" x14ac:dyDescent="0.15">
      <c r="A4347" s="70" t="s">
        <v>3635</v>
      </c>
      <c r="B4347" s="82"/>
      <c r="C4347" s="70" t="s">
        <v>3636</v>
      </c>
      <c r="D4347" s="70" t="s">
        <v>7012</v>
      </c>
      <c r="E4347" s="70" t="s">
        <v>4722</v>
      </c>
      <c r="F4347" s="70" t="s">
        <v>6932</v>
      </c>
      <c r="G4347" s="70" t="s">
        <v>4821</v>
      </c>
      <c r="H4347" s="93"/>
      <c r="I4347" s="85">
        <f t="shared" si="170"/>
        <v>0.66744999999999999</v>
      </c>
      <c r="J4347" s="85">
        <v>4.6499683834536754</v>
      </c>
      <c r="K4347" s="131" t="s">
        <v>3177</v>
      </c>
      <c r="L4347" s="60">
        <v>60</v>
      </c>
      <c r="M4347" s="49"/>
      <c r="N4347" s="37"/>
      <c r="O4347" s="37"/>
      <c r="P4347" s="37"/>
      <c r="Q4347" s="3"/>
      <c r="R4347" s="3"/>
      <c r="S4347" s="6"/>
      <c r="T4347" s="6"/>
      <c r="U4347" s="6"/>
      <c r="V4347" s="6"/>
      <c r="W4347" s="6"/>
      <c r="X4347" s="6"/>
      <c r="Y4347" s="6"/>
      <c r="Z4347" s="6"/>
    </row>
    <row r="4348" spans="1:26" s="2" customFormat="1" ht="14" x14ac:dyDescent="0.15">
      <c r="A4348" s="73" t="s">
        <v>3635</v>
      </c>
      <c r="B4348" s="82"/>
      <c r="C4348" s="70" t="s">
        <v>3636</v>
      </c>
      <c r="D4348" s="70" t="s">
        <v>7012</v>
      </c>
      <c r="E4348" s="70" t="s">
        <v>4722</v>
      </c>
      <c r="F4348" s="70" t="s">
        <v>6932</v>
      </c>
      <c r="G4348" s="70" t="s">
        <v>4303</v>
      </c>
      <c r="H4348" s="93"/>
      <c r="I4348" s="85">
        <f t="shared" si="170"/>
        <v>0.6682300000000001</v>
      </c>
      <c r="J4348" s="85">
        <v>4.6583273069369167</v>
      </c>
      <c r="K4348" s="131" t="s">
        <v>3177</v>
      </c>
      <c r="L4348" s="60">
        <v>60</v>
      </c>
      <c r="M4348" s="49"/>
      <c r="N4348" s="37"/>
      <c r="O4348" s="37"/>
      <c r="P4348" s="37"/>
      <c r="Q4348" s="3"/>
      <c r="R4348" s="3"/>
      <c r="S4348" s="6"/>
      <c r="T4348" s="6"/>
      <c r="U4348" s="6"/>
      <c r="V4348" s="6"/>
      <c r="W4348" s="6"/>
      <c r="X4348" s="6"/>
      <c r="Y4348" s="6"/>
      <c r="Z4348" s="6"/>
    </row>
    <row r="4349" spans="1:26" s="2" customFormat="1" ht="14" x14ac:dyDescent="0.15">
      <c r="A4349" s="70" t="s">
        <v>3635</v>
      </c>
      <c r="B4349" s="82"/>
      <c r="C4349" s="70" t="s">
        <v>3636</v>
      </c>
      <c r="D4349" s="70" t="s">
        <v>7012</v>
      </c>
      <c r="E4349" s="70" t="s">
        <v>4722</v>
      </c>
      <c r="F4349" s="70" t="s">
        <v>6932</v>
      </c>
      <c r="G4349" s="70" t="s">
        <v>4724</v>
      </c>
      <c r="H4349" s="93"/>
      <c r="I4349" s="85">
        <f t="shared" si="170"/>
        <v>0.69767000000000001</v>
      </c>
      <c r="J4349" s="85">
        <v>4.9850555253097726</v>
      </c>
      <c r="K4349" s="131" t="s">
        <v>3177</v>
      </c>
      <c r="L4349" s="60">
        <v>60</v>
      </c>
      <c r="M4349" s="49"/>
      <c r="N4349" s="37"/>
      <c r="O4349" s="37"/>
      <c r="P4349" s="37"/>
      <c r="Q4349" s="3"/>
      <c r="R4349" s="3"/>
      <c r="S4349" s="6"/>
      <c r="T4349" s="6"/>
      <c r="U4349" s="6"/>
      <c r="V4349" s="6"/>
      <c r="W4349" s="6"/>
      <c r="X4349" s="6"/>
      <c r="Y4349" s="6"/>
      <c r="Z4349" s="6"/>
    </row>
    <row r="4350" spans="1:26" s="2" customFormat="1" ht="14" x14ac:dyDescent="0.15">
      <c r="A4350" s="73" t="s">
        <v>3635</v>
      </c>
      <c r="B4350" s="82"/>
      <c r="C4350" s="70" t="s">
        <v>3636</v>
      </c>
      <c r="D4350" s="70" t="s">
        <v>7012</v>
      </c>
      <c r="E4350" s="70" t="s">
        <v>4722</v>
      </c>
      <c r="F4350" s="70" t="s">
        <v>6932</v>
      </c>
      <c r="G4350" s="70" t="s">
        <v>4641</v>
      </c>
      <c r="H4350" s="93"/>
      <c r="I4350" s="85">
        <f t="shared" si="170"/>
        <v>0.69896999999999998</v>
      </c>
      <c r="J4350" s="85">
        <v>4.9999999500797392</v>
      </c>
      <c r="K4350" s="131" t="s">
        <v>3177</v>
      </c>
      <c r="L4350" s="60">
        <v>60</v>
      </c>
      <c r="M4350" s="49"/>
      <c r="N4350" s="37"/>
      <c r="O4350" s="37"/>
      <c r="P4350" s="37"/>
      <c r="Q4350" s="3"/>
      <c r="R4350" s="3"/>
      <c r="S4350" s="6"/>
      <c r="T4350" s="6"/>
      <c r="U4350" s="6"/>
      <c r="V4350" s="6"/>
      <c r="W4350" s="6"/>
      <c r="X4350" s="6"/>
      <c r="Y4350" s="6"/>
      <c r="Z4350" s="6"/>
    </row>
    <row r="4351" spans="1:26" s="2" customFormat="1" ht="14" x14ac:dyDescent="0.15">
      <c r="A4351" s="73" t="s">
        <v>3635</v>
      </c>
      <c r="B4351" s="82"/>
      <c r="C4351" s="73" t="s">
        <v>3636</v>
      </c>
      <c r="D4351" s="73" t="s">
        <v>7012</v>
      </c>
      <c r="E4351" s="70" t="s">
        <v>4722</v>
      </c>
      <c r="F4351" s="73" t="s">
        <v>6932</v>
      </c>
      <c r="G4351" s="73" t="s">
        <v>2312</v>
      </c>
      <c r="H4351" s="108"/>
      <c r="I4351" s="85">
        <f t="shared" si="170"/>
        <v>0.69896999999999998</v>
      </c>
      <c r="J4351" s="95">
        <v>4.9999999500797392</v>
      </c>
      <c r="K4351" s="131" t="s">
        <v>3177</v>
      </c>
      <c r="L4351" s="69">
        <v>66</v>
      </c>
      <c r="M4351" s="49"/>
      <c r="N4351" s="37"/>
      <c r="O4351" s="37"/>
      <c r="P4351" s="37"/>
      <c r="Q4351" s="3"/>
      <c r="R4351" s="3"/>
      <c r="S4351" s="6"/>
      <c r="T4351" s="6"/>
      <c r="U4351" s="6"/>
      <c r="V4351" s="6"/>
      <c r="W4351" s="6"/>
      <c r="X4351" s="6"/>
      <c r="Y4351" s="6"/>
      <c r="Z4351" s="6"/>
    </row>
    <row r="4352" spans="1:26" s="2" customFormat="1" ht="16" x14ac:dyDescent="0.2">
      <c r="A4352" s="70" t="s">
        <v>3635</v>
      </c>
      <c r="B4352" s="82"/>
      <c r="C4352" s="70" t="s">
        <v>3636</v>
      </c>
      <c r="D4352" s="70" t="s">
        <v>7012</v>
      </c>
      <c r="E4352" s="70" t="s">
        <v>4722</v>
      </c>
      <c r="F4352" s="70" t="s">
        <v>6932</v>
      </c>
      <c r="G4352" s="70" t="s">
        <v>2309</v>
      </c>
      <c r="H4352" s="93"/>
      <c r="I4352" s="85">
        <f t="shared" si="170"/>
        <v>0.72016000000000002</v>
      </c>
      <c r="J4352" s="85">
        <v>5.2500084208338169</v>
      </c>
      <c r="K4352" s="131" t="s">
        <v>3177</v>
      </c>
      <c r="L4352" s="60">
        <v>60</v>
      </c>
      <c r="M4352" s="49"/>
      <c r="N4352" s="48"/>
      <c r="O4352" s="37"/>
      <c r="P4352" s="37"/>
      <c r="Q4352" s="3"/>
      <c r="R4352" s="3"/>
      <c r="S4352" s="6"/>
      <c r="T4352" s="6"/>
      <c r="U4352" s="6"/>
      <c r="V4352" s="6"/>
      <c r="W4352" s="6"/>
      <c r="X4352" s="6"/>
      <c r="Y4352" s="6"/>
      <c r="Z4352" s="6"/>
    </row>
    <row r="4353" spans="1:26" s="2" customFormat="1" ht="14" x14ac:dyDescent="0.15">
      <c r="A4353" s="70" t="s">
        <v>3635</v>
      </c>
      <c r="B4353" s="82"/>
      <c r="C4353" s="70" t="s">
        <v>3636</v>
      </c>
      <c r="D4353" s="70" t="s">
        <v>7012</v>
      </c>
      <c r="E4353" s="70" t="s">
        <v>4722</v>
      </c>
      <c r="F4353" s="70" t="s">
        <v>6932</v>
      </c>
      <c r="G4353" s="70" t="s">
        <v>2130</v>
      </c>
      <c r="H4353" s="93"/>
      <c r="I4353" s="85">
        <f t="shared" si="170"/>
        <v>0.77085000000000015</v>
      </c>
      <c r="J4353" s="85">
        <v>5.8999726713977338</v>
      </c>
      <c r="K4353" s="131" t="s">
        <v>3177</v>
      </c>
      <c r="L4353" s="60">
        <v>60</v>
      </c>
      <c r="M4353" s="49"/>
      <c r="N4353" s="37"/>
      <c r="O4353" s="37"/>
      <c r="P4353" s="37"/>
      <c r="Q4353" s="3"/>
      <c r="R4353" s="3"/>
      <c r="S4353" s="6"/>
      <c r="T4353" s="6"/>
      <c r="U4353" s="6"/>
      <c r="V4353" s="6"/>
      <c r="W4353" s="6"/>
      <c r="X4353" s="6"/>
      <c r="Y4353" s="6"/>
      <c r="Z4353" s="6"/>
    </row>
    <row r="4354" spans="1:26" s="2" customFormat="1" ht="14" x14ac:dyDescent="0.15">
      <c r="A4354" s="70" t="s">
        <v>3635</v>
      </c>
      <c r="B4354" s="82"/>
      <c r="C4354" s="70" t="s">
        <v>3636</v>
      </c>
      <c r="D4354" s="70" t="s">
        <v>7012</v>
      </c>
      <c r="E4354" s="70" t="s">
        <v>4722</v>
      </c>
      <c r="F4354" s="70" t="s">
        <v>6932</v>
      </c>
      <c r="G4354" s="70" t="s">
        <v>2102</v>
      </c>
      <c r="H4354" s="93"/>
      <c r="I4354" s="85">
        <f t="shared" si="170"/>
        <v>0.77085201164214423</v>
      </c>
      <c r="J4354" s="85">
        <f>AVERAGE(6.3, 5.5)</f>
        <v>5.9</v>
      </c>
      <c r="K4354" s="131" t="s">
        <v>3177</v>
      </c>
      <c r="L4354" s="60">
        <v>220</v>
      </c>
      <c r="M4354" s="49"/>
      <c r="N4354" s="37"/>
      <c r="O4354" s="37"/>
      <c r="P4354" s="37"/>
      <c r="Q4354" s="3"/>
      <c r="R4354" s="3"/>
      <c r="S4354" s="6"/>
      <c r="T4354" s="6"/>
      <c r="U4354" s="6"/>
      <c r="V4354" s="6"/>
      <c r="W4354" s="6"/>
      <c r="X4354" s="6"/>
      <c r="Y4354" s="6"/>
      <c r="Z4354" s="6"/>
    </row>
    <row r="4355" spans="1:26" s="2" customFormat="1" ht="14" x14ac:dyDescent="0.15">
      <c r="A4355" s="70" t="s">
        <v>3635</v>
      </c>
      <c r="B4355" s="82"/>
      <c r="C4355" s="70" t="s">
        <v>3636</v>
      </c>
      <c r="D4355" s="70" t="s">
        <v>7012</v>
      </c>
      <c r="E4355" s="70" t="s">
        <v>4722</v>
      </c>
      <c r="F4355" s="70" t="s">
        <v>6932</v>
      </c>
      <c r="G4355" s="70" t="s">
        <v>5822</v>
      </c>
      <c r="H4355" s="93"/>
      <c r="I4355" s="85">
        <f t="shared" si="170"/>
        <v>0.82672252016899206</v>
      </c>
      <c r="J4355" s="85">
        <v>6.71</v>
      </c>
      <c r="K4355" s="131" t="s">
        <v>6485</v>
      </c>
      <c r="L4355" s="60">
        <v>68</v>
      </c>
      <c r="M4355" s="49"/>
      <c r="N4355" s="37"/>
      <c r="O4355" s="37"/>
      <c r="P4355" s="37"/>
      <c r="Q4355" s="3"/>
      <c r="R4355" s="3"/>
      <c r="S4355" s="6"/>
      <c r="T4355" s="6"/>
      <c r="U4355" s="6"/>
      <c r="V4355" s="6"/>
      <c r="W4355" s="6"/>
      <c r="X4355" s="6"/>
      <c r="Y4355" s="6"/>
      <c r="Z4355" s="6"/>
    </row>
    <row r="4356" spans="1:26" s="2" customFormat="1" ht="14" x14ac:dyDescent="0.15">
      <c r="A4356" s="70" t="s">
        <v>3635</v>
      </c>
      <c r="B4356" s="82"/>
      <c r="C4356" s="70" t="s">
        <v>3636</v>
      </c>
      <c r="D4356" s="70" t="s">
        <v>7012</v>
      </c>
      <c r="E4356" s="70" t="s">
        <v>4722</v>
      </c>
      <c r="F4356" s="70" t="s">
        <v>6932</v>
      </c>
      <c r="G4356" s="70" t="s">
        <v>4642</v>
      </c>
      <c r="H4356" s="93"/>
      <c r="I4356" s="85">
        <f t="shared" si="170"/>
        <v>0.84509999999999996</v>
      </c>
      <c r="J4356" s="85">
        <v>7.0000315913089688</v>
      </c>
      <c r="K4356" s="131" t="s">
        <v>3177</v>
      </c>
      <c r="L4356" s="69">
        <v>66</v>
      </c>
      <c r="M4356" s="49"/>
      <c r="N4356" s="37"/>
      <c r="O4356" s="37"/>
      <c r="P4356" s="37"/>
      <c r="Q4356" s="3"/>
      <c r="R4356" s="3"/>
      <c r="S4356" s="6"/>
      <c r="T4356" s="6"/>
      <c r="U4356" s="6"/>
      <c r="V4356" s="6"/>
      <c r="W4356" s="6"/>
      <c r="X4356" s="6"/>
      <c r="Y4356" s="6"/>
      <c r="Z4356" s="6"/>
    </row>
    <row r="4357" spans="1:26" s="2" customFormat="1" ht="14" x14ac:dyDescent="0.15">
      <c r="A4357" s="70" t="s">
        <v>3635</v>
      </c>
      <c r="B4357" s="82"/>
      <c r="C4357" s="70" t="s">
        <v>3636</v>
      </c>
      <c r="D4357" s="70" t="s">
        <v>7012</v>
      </c>
      <c r="E4357" s="70" t="s">
        <v>4722</v>
      </c>
      <c r="F4357" s="70" t="s">
        <v>6932</v>
      </c>
      <c r="G4357" s="70" t="s">
        <v>4801</v>
      </c>
      <c r="H4357" s="93"/>
      <c r="I4357" s="85">
        <f t="shared" si="170"/>
        <v>0.84509999999999996</v>
      </c>
      <c r="J4357" s="85">
        <v>7.0000315913089688</v>
      </c>
      <c r="K4357" s="131" t="s">
        <v>6630</v>
      </c>
      <c r="L4357" s="69">
        <v>66</v>
      </c>
      <c r="M4357" s="49" t="s">
        <v>6392</v>
      </c>
      <c r="N4357" s="37"/>
      <c r="O4357" s="37"/>
      <c r="P4357" s="37"/>
      <c r="Q4357" s="3"/>
      <c r="R4357" s="3"/>
      <c r="S4357" s="6"/>
      <c r="T4357" s="6"/>
      <c r="U4357" s="6"/>
      <c r="V4357" s="6"/>
      <c r="W4357" s="6"/>
      <c r="X4357" s="6"/>
      <c r="Y4357" s="6"/>
      <c r="Z4357" s="6"/>
    </row>
    <row r="4358" spans="1:26" s="2" customFormat="1" ht="14" x14ac:dyDescent="0.15">
      <c r="A4358" s="70" t="s">
        <v>3635</v>
      </c>
      <c r="B4358" s="82"/>
      <c r="C4358" s="70" t="s">
        <v>3636</v>
      </c>
      <c r="D4358" s="70" t="s">
        <v>7012</v>
      </c>
      <c r="E4358" s="70" t="s">
        <v>4722</v>
      </c>
      <c r="F4358" s="70" t="s">
        <v>6932</v>
      </c>
      <c r="G4358" s="70" t="s">
        <v>2131</v>
      </c>
      <c r="H4358" s="93"/>
      <c r="I4358" s="85">
        <f t="shared" si="170"/>
        <v>0.84509999999999996</v>
      </c>
      <c r="J4358" s="85">
        <v>7.0000315913089688</v>
      </c>
      <c r="K4358" s="131" t="s">
        <v>6630</v>
      </c>
      <c r="L4358" s="69">
        <v>66</v>
      </c>
      <c r="M4358" s="49" t="s">
        <v>6728</v>
      </c>
      <c r="N4358" s="37"/>
      <c r="O4358" s="37"/>
      <c r="P4358" s="37"/>
      <c r="Q4358" s="3"/>
      <c r="R4358" s="3"/>
      <c r="S4358" s="6"/>
      <c r="T4358" s="6"/>
      <c r="U4358" s="6"/>
      <c r="V4358" s="6"/>
      <c r="W4358" s="6"/>
      <c r="X4358" s="6"/>
      <c r="Y4358" s="6"/>
      <c r="Z4358" s="6"/>
    </row>
    <row r="4359" spans="1:26" s="2" customFormat="1" ht="14" x14ac:dyDescent="0.15">
      <c r="A4359" s="73" t="s">
        <v>3635</v>
      </c>
      <c r="B4359" s="82"/>
      <c r="C4359" s="70" t="s">
        <v>3636</v>
      </c>
      <c r="D4359" s="70" t="s">
        <v>7012</v>
      </c>
      <c r="E4359" s="70" t="s">
        <v>4722</v>
      </c>
      <c r="F4359" s="70" t="s">
        <v>6932</v>
      </c>
      <c r="G4359" s="70" t="s">
        <v>2321</v>
      </c>
      <c r="H4359" s="93"/>
      <c r="I4359" s="85">
        <f t="shared" si="170"/>
        <v>0.84509999999999996</v>
      </c>
      <c r="J4359" s="85">
        <v>7.0000315913089688</v>
      </c>
      <c r="K4359" s="131" t="s">
        <v>6630</v>
      </c>
      <c r="L4359" s="69">
        <v>66</v>
      </c>
      <c r="M4359" s="49" t="s">
        <v>6392</v>
      </c>
      <c r="N4359" s="37"/>
      <c r="O4359" s="37"/>
      <c r="P4359" s="37"/>
      <c r="Q4359" s="3"/>
      <c r="R4359" s="3"/>
      <c r="S4359" s="6"/>
      <c r="T4359" s="6"/>
      <c r="U4359" s="6"/>
      <c r="V4359" s="6"/>
      <c r="W4359" s="6"/>
      <c r="X4359" s="6"/>
      <c r="Y4359" s="6"/>
      <c r="Z4359" s="6"/>
    </row>
    <row r="4360" spans="1:26" s="2" customFormat="1" ht="14" x14ac:dyDescent="0.15">
      <c r="A4360" s="70" t="s">
        <v>3635</v>
      </c>
      <c r="B4360" s="82"/>
      <c r="C4360" s="70" t="s">
        <v>3636</v>
      </c>
      <c r="D4360" s="70" t="s">
        <v>7012</v>
      </c>
      <c r="E4360" s="70" t="s">
        <v>4722</v>
      </c>
      <c r="F4360" s="70" t="s">
        <v>6932</v>
      </c>
      <c r="G4360" s="70" t="s">
        <v>2320</v>
      </c>
      <c r="H4360" s="93"/>
      <c r="I4360" s="85">
        <f t="shared" si="170"/>
        <v>0.84509999999999996</v>
      </c>
      <c r="J4360" s="85">
        <v>7.0000315913089688</v>
      </c>
      <c r="K4360" s="131" t="s">
        <v>6816</v>
      </c>
      <c r="L4360" s="69">
        <v>66</v>
      </c>
      <c r="M4360" s="49" t="s">
        <v>6390</v>
      </c>
      <c r="N4360" s="37"/>
      <c r="O4360" s="37"/>
      <c r="P4360" s="37"/>
      <c r="Q4360" s="3"/>
      <c r="R4360" s="3"/>
      <c r="S4360" s="6"/>
      <c r="T4360" s="6"/>
      <c r="U4360" s="6"/>
      <c r="V4360" s="6"/>
      <c r="W4360" s="6"/>
      <c r="X4360" s="6"/>
      <c r="Y4360" s="6"/>
      <c r="Z4360" s="6"/>
    </row>
    <row r="4361" spans="1:26" s="2" customFormat="1" ht="14" x14ac:dyDescent="0.15">
      <c r="A4361" s="70" t="s">
        <v>3635</v>
      </c>
      <c r="B4361" s="82"/>
      <c r="C4361" s="70" t="s">
        <v>3636</v>
      </c>
      <c r="D4361" s="70" t="s">
        <v>7012</v>
      </c>
      <c r="E4361" s="70" t="s">
        <v>4722</v>
      </c>
      <c r="F4361" s="70" t="s">
        <v>6932</v>
      </c>
      <c r="G4361" s="70" t="s">
        <v>2339</v>
      </c>
      <c r="H4361" s="93"/>
      <c r="I4361" s="85">
        <f t="shared" si="170"/>
        <v>0.84509999999999996</v>
      </c>
      <c r="J4361" s="85">
        <v>7.0000315913089688</v>
      </c>
      <c r="K4361" s="131" t="s">
        <v>6816</v>
      </c>
      <c r="L4361" s="69">
        <v>66</v>
      </c>
      <c r="M4361" s="49" t="s">
        <v>6390</v>
      </c>
      <c r="N4361" s="37"/>
      <c r="O4361" s="37"/>
      <c r="P4361" s="37"/>
      <c r="Q4361" s="3"/>
      <c r="R4361" s="3"/>
      <c r="S4361" s="6"/>
      <c r="T4361" s="6"/>
      <c r="U4361" s="6"/>
      <c r="V4361" s="6"/>
      <c r="W4361" s="6"/>
      <c r="X4361" s="6"/>
      <c r="Y4361" s="6"/>
      <c r="Z4361" s="6"/>
    </row>
    <row r="4362" spans="1:26" s="2" customFormat="1" ht="16" x14ac:dyDescent="0.2">
      <c r="A4362" s="70" t="s">
        <v>3635</v>
      </c>
      <c r="B4362" s="82"/>
      <c r="C4362" s="70" t="s">
        <v>3636</v>
      </c>
      <c r="D4362" s="70" t="s">
        <v>7012</v>
      </c>
      <c r="E4362" s="70" t="s">
        <v>4722</v>
      </c>
      <c r="F4362" s="70" t="s">
        <v>6932</v>
      </c>
      <c r="G4362" s="70" t="s">
        <v>2122</v>
      </c>
      <c r="H4362" s="93"/>
      <c r="I4362" s="85">
        <f t="shared" si="170"/>
        <v>0.84509999999999996</v>
      </c>
      <c r="J4362" s="85">
        <v>7.0000315913089688</v>
      </c>
      <c r="K4362" s="131" t="s">
        <v>3177</v>
      </c>
      <c r="L4362" s="69">
        <v>66</v>
      </c>
      <c r="M4362" s="49"/>
      <c r="N4362" s="48"/>
      <c r="O4362" s="37"/>
      <c r="P4362" s="37"/>
      <c r="Q4362" s="3"/>
      <c r="R4362" s="3"/>
      <c r="S4362" s="6"/>
      <c r="T4362" s="6"/>
      <c r="U4362" s="6"/>
      <c r="V4362" s="6"/>
      <c r="W4362" s="6"/>
      <c r="X4362" s="6"/>
      <c r="Y4362" s="6"/>
      <c r="Z4362" s="6"/>
    </row>
    <row r="4363" spans="1:26" s="2" customFormat="1" ht="14" x14ac:dyDescent="0.15">
      <c r="A4363" s="73" t="s">
        <v>3635</v>
      </c>
      <c r="B4363" s="82"/>
      <c r="C4363" s="70" t="s">
        <v>3636</v>
      </c>
      <c r="D4363" s="70" t="s">
        <v>7012</v>
      </c>
      <c r="E4363" s="70" t="s">
        <v>4722</v>
      </c>
      <c r="F4363" s="70" t="s">
        <v>6932</v>
      </c>
      <c r="G4363" s="70" t="s">
        <v>2123</v>
      </c>
      <c r="H4363" s="93"/>
      <c r="I4363" s="85">
        <f t="shared" si="170"/>
        <v>0.87506000000000006</v>
      </c>
      <c r="J4363" s="85">
        <v>7.4999781820300226</v>
      </c>
      <c r="K4363" s="131" t="s">
        <v>3177</v>
      </c>
      <c r="L4363" s="60">
        <v>60</v>
      </c>
      <c r="M4363" s="49"/>
      <c r="N4363" s="37"/>
      <c r="O4363" s="37"/>
      <c r="P4363" s="37"/>
      <c r="Q4363" s="3"/>
      <c r="R4363" s="3"/>
      <c r="S4363" s="6"/>
      <c r="T4363" s="6"/>
      <c r="U4363" s="6"/>
      <c r="V4363" s="6"/>
      <c r="W4363" s="6"/>
      <c r="X4363" s="6"/>
      <c r="Y4363" s="6"/>
      <c r="Z4363" s="6"/>
    </row>
    <row r="4364" spans="1:26" s="2" customFormat="1" ht="42" x14ac:dyDescent="0.15">
      <c r="A4364" s="70" t="s">
        <v>3635</v>
      </c>
      <c r="B4364" s="93" t="s">
        <v>4954</v>
      </c>
      <c r="C4364" s="70" t="s">
        <v>3636</v>
      </c>
      <c r="D4364" s="70" t="s">
        <v>7012</v>
      </c>
      <c r="E4364" s="70" t="s">
        <v>4722</v>
      </c>
      <c r="F4364" s="70" t="s">
        <v>6932</v>
      </c>
      <c r="G4364" s="70" t="s">
        <v>6578</v>
      </c>
      <c r="H4364" s="93"/>
      <c r="I4364" s="85">
        <f t="shared" si="170"/>
        <v>0.87506126339170009</v>
      </c>
      <c r="J4364" s="85">
        <v>7.5</v>
      </c>
      <c r="K4364" s="131" t="s">
        <v>3177</v>
      </c>
      <c r="L4364" s="60" t="s">
        <v>255</v>
      </c>
      <c r="M4364" s="33"/>
      <c r="N4364" s="37"/>
      <c r="O4364" s="37"/>
      <c r="P4364" s="37"/>
      <c r="Q4364" s="3"/>
      <c r="R4364" s="3"/>
      <c r="S4364" s="6"/>
      <c r="T4364" s="6"/>
      <c r="U4364" s="6"/>
      <c r="V4364" s="6"/>
      <c r="W4364" s="6"/>
      <c r="X4364" s="6"/>
      <c r="Y4364" s="6"/>
      <c r="Z4364" s="6"/>
    </row>
    <row r="4365" spans="1:26" s="2" customFormat="1" ht="14" x14ac:dyDescent="0.15">
      <c r="A4365" s="73" t="s">
        <v>3635</v>
      </c>
      <c r="B4365" s="82"/>
      <c r="C4365" s="70" t="s">
        <v>3636</v>
      </c>
      <c r="D4365" s="70" t="s">
        <v>7012</v>
      </c>
      <c r="E4365" s="70" t="s">
        <v>4722</v>
      </c>
      <c r="F4365" s="70" t="s">
        <v>6932</v>
      </c>
      <c r="G4365" s="70" t="s">
        <v>1959</v>
      </c>
      <c r="H4365" s="93"/>
      <c r="I4365" s="85">
        <f t="shared" si="170"/>
        <v>0.88649</v>
      </c>
      <c r="J4365" s="85">
        <v>7.6999871427713664</v>
      </c>
      <c r="K4365" s="131" t="s">
        <v>3177</v>
      </c>
      <c r="L4365" s="60">
        <v>60</v>
      </c>
      <c r="M4365" s="49"/>
      <c r="N4365" s="37"/>
      <c r="O4365" s="37"/>
      <c r="P4365" s="37"/>
      <c r="Q4365" s="3"/>
      <c r="R4365" s="3"/>
      <c r="S4365" s="6"/>
      <c r="T4365" s="6"/>
      <c r="U4365" s="6"/>
      <c r="V4365" s="6"/>
      <c r="W4365" s="6"/>
      <c r="X4365" s="6"/>
      <c r="Y4365" s="6"/>
      <c r="Z4365" s="6"/>
    </row>
    <row r="4366" spans="1:26" s="2" customFormat="1" ht="14" x14ac:dyDescent="0.15">
      <c r="A4366" s="70" t="s">
        <v>3635</v>
      </c>
      <c r="B4366" s="82"/>
      <c r="C4366" s="70" t="s">
        <v>3636</v>
      </c>
      <c r="D4366" s="70" t="s">
        <v>7012</v>
      </c>
      <c r="E4366" s="70" t="s">
        <v>4722</v>
      </c>
      <c r="F4366" s="70" t="s">
        <v>6932</v>
      </c>
      <c r="G4366" s="70" t="s">
        <v>6934</v>
      </c>
      <c r="H4366" s="93"/>
      <c r="I4366" s="85">
        <f t="shared" si="170"/>
        <v>0.91115999999999997</v>
      </c>
      <c r="J4366" s="85">
        <v>8.150044874672961</v>
      </c>
      <c r="K4366" s="131" t="s">
        <v>3177</v>
      </c>
      <c r="L4366" s="60">
        <v>60</v>
      </c>
      <c r="M4366" s="49"/>
      <c r="N4366" s="37"/>
      <c r="O4366" s="37"/>
      <c r="P4366" s="37"/>
      <c r="Q4366" s="3"/>
      <c r="R4366" s="3"/>
      <c r="S4366" s="6"/>
      <c r="T4366" s="6"/>
      <c r="U4366" s="6"/>
      <c r="V4366" s="6"/>
      <c r="W4366" s="6"/>
      <c r="X4366" s="6"/>
      <c r="Y4366" s="6"/>
      <c r="Z4366" s="6"/>
    </row>
    <row r="4367" spans="1:26" s="2" customFormat="1" ht="28" x14ac:dyDescent="0.15">
      <c r="A4367" s="73" t="s">
        <v>3635</v>
      </c>
      <c r="B4367" s="93" t="s">
        <v>7304</v>
      </c>
      <c r="C4367" s="70" t="s">
        <v>3636</v>
      </c>
      <c r="D4367" s="70" t="s">
        <v>7012</v>
      </c>
      <c r="E4367" s="70" t="s">
        <v>4722</v>
      </c>
      <c r="F4367" s="70" t="s">
        <v>6932</v>
      </c>
      <c r="G4367" s="70" t="s">
        <v>7655</v>
      </c>
      <c r="H4367" s="93"/>
      <c r="I4367" s="85">
        <f t="shared" si="170"/>
        <v>0.91907809237607396</v>
      </c>
      <c r="J4367" s="85">
        <v>8.3000000000000007</v>
      </c>
      <c r="K4367" s="131" t="s">
        <v>3177</v>
      </c>
      <c r="L4367" s="60">
        <v>152</v>
      </c>
      <c r="M4367" s="49"/>
      <c r="N4367" s="37"/>
      <c r="O4367" s="37"/>
      <c r="P4367" s="37"/>
      <c r="Q4367" s="3"/>
      <c r="R4367" s="3"/>
      <c r="S4367" s="6"/>
      <c r="T4367" s="6"/>
      <c r="U4367" s="6"/>
      <c r="V4367" s="6"/>
      <c r="W4367" s="6"/>
      <c r="X4367" s="6"/>
      <c r="Y4367" s="6"/>
      <c r="Z4367" s="6"/>
    </row>
    <row r="4368" spans="1:26" s="2" customFormat="1" ht="14" x14ac:dyDescent="0.15">
      <c r="A4368" s="70" t="s">
        <v>3635</v>
      </c>
      <c r="B4368" s="82"/>
      <c r="C4368" s="70" t="s">
        <v>3636</v>
      </c>
      <c r="D4368" s="70" t="s">
        <v>7012</v>
      </c>
      <c r="E4368" s="70" t="s">
        <v>4722</v>
      </c>
      <c r="F4368" s="70" t="s">
        <v>6932</v>
      </c>
      <c r="G4368" s="70" t="s">
        <v>1858</v>
      </c>
      <c r="H4368" s="93"/>
      <c r="I4368" s="85">
        <f t="shared" si="170"/>
        <v>0.92116605063773871</v>
      </c>
      <c r="J4368" s="85">
        <v>8.34</v>
      </c>
      <c r="K4368" s="131" t="s">
        <v>6485</v>
      </c>
      <c r="L4368" s="60">
        <v>68</v>
      </c>
      <c r="M4368" s="49"/>
      <c r="N4368" s="37"/>
      <c r="O4368" s="37"/>
      <c r="P4368" s="37"/>
      <c r="Q4368" s="3"/>
      <c r="R4368" s="3"/>
      <c r="S4368" s="6"/>
      <c r="T4368" s="6"/>
      <c r="U4368" s="6"/>
      <c r="V4368" s="6"/>
      <c r="W4368" s="6"/>
      <c r="X4368" s="6"/>
      <c r="Y4368" s="6"/>
      <c r="Z4368" s="6"/>
    </row>
    <row r="4369" spans="1:26" s="2" customFormat="1" ht="16" x14ac:dyDescent="0.2">
      <c r="A4369" s="70" t="s">
        <v>3635</v>
      </c>
      <c r="B4369" s="82"/>
      <c r="C4369" s="70" t="s">
        <v>3636</v>
      </c>
      <c r="D4369" s="70" t="s">
        <v>7012</v>
      </c>
      <c r="E4369" s="70" t="s">
        <v>4722</v>
      </c>
      <c r="F4369" s="70" t="s">
        <v>6932</v>
      </c>
      <c r="G4369" s="70" t="s">
        <v>2090</v>
      </c>
      <c r="H4369" s="93"/>
      <c r="I4369" s="85">
        <f t="shared" si="170"/>
        <v>1.1287200000000002</v>
      </c>
      <c r="J4369" s="85">
        <v>13.44992925475152</v>
      </c>
      <c r="K4369" s="131" t="s">
        <v>3177</v>
      </c>
      <c r="L4369" s="60">
        <v>60</v>
      </c>
      <c r="M4369" s="49"/>
      <c r="N4369" s="48"/>
      <c r="O4369" s="37"/>
      <c r="P4369" s="37"/>
      <c r="Q4369" s="3"/>
      <c r="R4369" s="3"/>
      <c r="S4369" s="6"/>
      <c r="T4369" s="6"/>
      <c r="U4369" s="6"/>
      <c r="V4369" s="6"/>
      <c r="W4369" s="6"/>
      <c r="X4369" s="6"/>
      <c r="Y4369" s="6"/>
      <c r="Z4369" s="6"/>
    </row>
    <row r="4370" spans="1:26" s="2" customFormat="1" ht="14" x14ac:dyDescent="0.15">
      <c r="A4370" s="70" t="s">
        <v>3635</v>
      </c>
      <c r="B4370" s="82"/>
      <c r="C4370" s="73" t="s">
        <v>3636</v>
      </c>
      <c r="D4370" s="73" t="s">
        <v>7012</v>
      </c>
      <c r="E4370" s="70" t="s">
        <v>4722</v>
      </c>
      <c r="F4370" s="70" t="s">
        <v>6932</v>
      </c>
      <c r="G4370" s="70" t="s">
        <v>6933</v>
      </c>
      <c r="H4370" s="93"/>
      <c r="I4370" s="85">
        <f t="shared" si="170"/>
        <v>1.1461300000000003</v>
      </c>
      <c r="J4370" s="85">
        <v>14.000063322395309</v>
      </c>
      <c r="K4370" s="131" t="s">
        <v>3177</v>
      </c>
      <c r="L4370" s="69">
        <v>66</v>
      </c>
      <c r="M4370" s="49"/>
      <c r="N4370" s="37"/>
      <c r="O4370" s="37"/>
      <c r="P4370" s="37"/>
      <c r="Q4370" s="3"/>
      <c r="R4370" s="3"/>
      <c r="S4370" s="6"/>
      <c r="T4370" s="6"/>
      <c r="U4370" s="6"/>
      <c r="V4370" s="6"/>
      <c r="W4370" s="6"/>
      <c r="X4370" s="6"/>
      <c r="Y4370" s="6"/>
      <c r="Z4370" s="6"/>
    </row>
    <row r="4371" spans="1:26" s="2" customFormat="1" ht="16" x14ac:dyDescent="0.2">
      <c r="A4371" s="70" t="s">
        <v>3635</v>
      </c>
      <c r="B4371" s="82"/>
      <c r="C4371" s="70" t="s">
        <v>3636</v>
      </c>
      <c r="D4371" s="70" t="s">
        <v>7012</v>
      </c>
      <c r="E4371" s="70" t="s">
        <v>4722</v>
      </c>
      <c r="F4371" s="70" t="s">
        <v>6932</v>
      </c>
      <c r="G4371" s="70" t="s">
        <v>4640</v>
      </c>
      <c r="H4371" s="93"/>
      <c r="I4371" s="85">
        <f t="shared" si="170"/>
        <v>1.2068300000000003</v>
      </c>
      <c r="J4371" s="85">
        <v>16.100152882906027</v>
      </c>
      <c r="K4371" s="131" t="s">
        <v>3177</v>
      </c>
      <c r="L4371" s="60">
        <v>60</v>
      </c>
      <c r="M4371" s="49"/>
      <c r="N4371" s="48"/>
      <c r="O4371" s="37"/>
      <c r="P4371" s="37"/>
      <c r="Q4371" s="3"/>
      <c r="R4371" s="3"/>
      <c r="S4371" s="6"/>
      <c r="T4371" s="6"/>
      <c r="U4371" s="6"/>
      <c r="V4371" s="6"/>
      <c r="W4371" s="6"/>
      <c r="X4371" s="6"/>
      <c r="Y4371" s="6"/>
      <c r="Z4371" s="6"/>
    </row>
    <row r="4372" spans="1:26" s="2" customFormat="1" ht="14" x14ac:dyDescent="0.15">
      <c r="A4372" s="70" t="s">
        <v>3635</v>
      </c>
      <c r="B4372" s="82"/>
      <c r="C4372" s="70" t="s">
        <v>3636</v>
      </c>
      <c r="D4372" s="70" t="s">
        <v>7012</v>
      </c>
      <c r="E4372" s="70" t="s">
        <v>2088</v>
      </c>
      <c r="F4372" s="70" t="s">
        <v>2096</v>
      </c>
      <c r="G4372" s="70" t="s">
        <v>2354</v>
      </c>
      <c r="H4372" s="93"/>
      <c r="I4372" s="85">
        <f t="shared" si="170"/>
        <v>1.9242792860618816</v>
      </c>
      <c r="J4372" s="85">
        <v>84</v>
      </c>
      <c r="K4372" s="131" t="s">
        <v>3177</v>
      </c>
      <c r="L4372" s="60">
        <v>75</v>
      </c>
      <c r="M4372" s="49"/>
      <c r="N4372" s="37"/>
      <c r="O4372" s="37"/>
      <c r="P4372" s="37"/>
      <c r="Q4372" s="3"/>
      <c r="R4372" s="3"/>
      <c r="S4372" s="6"/>
      <c r="T4372" s="6"/>
      <c r="U4372" s="6"/>
      <c r="V4372" s="6"/>
      <c r="W4372" s="6"/>
      <c r="X4372" s="6"/>
      <c r="Y4372" s="6"/>
      <c r="Z4372" s="6"/>
    </row>
    <row r="4373" spans="1:26" s="2" customFormat="1" ht="14" x14ac:dyDescent="0.15">
      <c r="A4373" s="70" t="s">
        <v>3635</v>
      </c>
      <c r="B4373" s="82"/>
      <c r="C4373" s="70" t="s">
        <v>3636</v>
      </c>
      <c r="D4373" s="70" t="s">
        <v>7012</v>
      </c>
      <c r="E4373" s="70" t="s">
        <v>2088</v>
      </c>
      <c r="F4373" s="70" t="s">
        <v>4798</v>
      </c>
      <c r="G4373" s="70" t="s">
        <v>4799</v>
      </c>
      <c r="H4373" s="93"/>
      <c r="I4373" s="85">
        <f t="shared" si="170"/>
        <v>0.94939000000000007</v>
      </c>
      <c r="J4373" s="85">
        <v>8.8999998638257569</v>
      </c>
      <c r="K4373" s="131" t="s">
        <v>3177</v>
      </c>
      <c r="L4373" s="60">
        <v>60</v>
      </c>
      <c r="M4373" s="49"/>
      <c r="N4373" s="37"/>
      <c r="O4373" s="37"/>
      <c r="P4373" s="37"/>
      <c r="Q4373" s="3"/>
      <c r="R4373" s="3"/>
      <c r="S4373" s="6"/>
      <c r="T4373" s="6"/>
      <c r="U4373" s="6"/>
      <c r="V4373" s="6"/>
      <c r="W4373" s="6"/>
      <c r="X4373" s="6"/>
      <c r="Y4373" s="6"/>
      <c r="Z4373" s="6"/>
    </row>
    <row r="4374" spans="1:26" s="2" customFormat="1" ht="14" x14ac:dyDescent="0.15">
      <c r="A4374" s="70" t="s">
        <v>3635</v>
      </c>
      <c r="B4374" s="82"/>
      <c r="C4374" s="70" t="s">
        <v>3636</v>
      </c>
      <c r="D4374" s="70" t="s">
        <v>7012</v>
      </c>
      <c r="E4374" s="70" t="s">
        <v>2088</v>
      </c>
      <c r="F4374" s="70" t="s">
        <v>2386</v>
      </c>
      <c r="G4374" s="70" t="s">
        <v>2235</v>
      </c>
      <c r="H4374" s="93"/>
      <c r="I4374" s="85">
        <f t="shared" si="170"/>
        <v>1.7075700000000003</v>
      </c>
      <c r="J4374" s="85">
        <v>50.999979320499577</v>
      </c>
      <c r="K4374" s="131" t="s">
        <v>3177</v>
      </c>
      <c r="L4374" s="60">
        <v>60</v>
      </c>
      <c r="M4374" s="49"/>
      <c r="N4374" s="37"/>
      <c r="O4374" s="37"/>
      <c r="P4374" s="37"/>
      <c r="Q4374" s="3"/>
      <c r="R4374" s="3"/>
      <c r="S4374" s="6"/>
      <c r="T4374" s="6"/>
      <c r="U4374" s="6"/>
      <c r="V4374" s="6"/>
      <c r="W4374" s="6"/>
      <c r="X4374" s="6"/>
      <c r="Y4374" s="6"/>
      <c r="Z4374" s="6"/>
    </row>
    <row r="4375" spans="1:26" s="2" customFormat="1" ht="14" x14ac:dyDescent="0.15">
      <c r="A4375" s="70" t="s">
        <v>3635</v>
      </c>
      <c r="B4375" s="82"/>
      <c r="C4375" s="70" t="s">
        <v>3636</v>
      </c>
      <c r="D4375" s="70" t="s">
        <v>7012</v>
      </c>
      <c r="E4375" s="70" t="s">
        <v>2088</v>
      </c>
      <c r="F4375" s="70" t="s">
        <v>6841</v>
      </c>
      <c r="G4375" s="70" t="s">
        <v>3772</v>
      </c>
      <c r="H4375" s="93"/>
      <c r="I4375" s="85">
        <f t="shared" si="170"/>
        <v>1.96027</v>
      </c>
      <c r="J4375" s="85">
        <v>91.257801093445721</v>
      </c>
      <c r="K4375" s="131" t="s">
        <v>3177</v>
      </c>
      <c r="L4375" s="60">
        <v>60</v>
      </c>
      <c r="M4375" s="49"/>
      <c r="N4375" s="37"/>
      <c r="O4375" s="37"/>
      <c r="P4375" s="37"/>
      <c r="Q4375" s="3"/>
      <c r="R4375" s="3"/>
      <c r="S4375" s="6"/>
      <c r="T4375" s="6"/>
      <c r="U4375" s="6"/>
      <c r="V4375" s="6"/>
      <c r="W4375" s="6"/>
      <c r="X4375" s="6"/>
      <c r="Y4375" s="6"/>
      <c r="Z4375" s="6"/>
    </row>
    <row r="4376" spans="1:26" s="2" customFormat="1" ht="14" x14ac:dyDescent="0.15">
      <c r="A4376" s="70" t="s">
        <v>3635</v>
      </c>
      <c r="B4376" s="82"/>
      <c r="C4376" s="70" t="s">
        <v>3636</v>
      </c>
      <c r="D4376" s="70" t="s">
        <v>7012</v>
      </c>
      <c r="E4376" s="70" t="s">
        <v>2088</v>
      </c>
      <c r="F4376" s="70" t="s">
        <v>4059</v>
      </c>
      <c r="G4376" s="70" t="s">
        <v>4060</v>
      </c>
      <c r="H4376" s="93"/>
      <c r="I4376" s="85">
        <f t="shared" si="170"/>
        <v>1.7403600000000001</v>
      </c>
      <c r="J4376" s="85">
        <v>54.999659397640222</v>
      </c>
      <c r="K4376" s="131" t="s">
        <v>3177</v>
      </c>
      <c r="L4376" s="60">
        <v>60</v>
      </c>
      <c r="M4376" s="49"/>
      <c r="N4376" s="37"/>
      <c r="O4376" s="37"/>
      <c r="P4376" s="37"/>
      <c r="Q4376" s="3"/>
      <c r="R4376" s="3"/>
      <c r="S4376" s="6"/>
      <c r="T4376" s="6"/>
      <c r="U4376" s="6"/>
      <c r="V4376" s="6"/>
      <c r="W4376" s="6"/>
      <c r="X4376" s="6"/>
      <c r="Y4376" s="6"/>
      <c r="Z4376" s="6"/>
    </row>
    <row r="4377" spans="1:26" s="2" customFormat="1" ht="16" x14ac:dyDescent="0.2">
      <c r="A4377" s="70" t="s">
        <v>3635</v>
      </c>
      <c r="B4377" s="82"/>
      <c r="C4377" s="70" t="s">
        <v>3636</v>
      </c>
      <c r="D4377" s="70" t="s">
        <v>7012</v>
      </c>
      <c r="E4377" s="70" t="s">
        <v>2088</v>
      </c>
      <c r="F4377" s="70" t="s">
        <v>4059</v>
      </c>
      <c r="G4377" s="70" t="s">
        <v>4959</v>
      </c>
      <c r="H4377" s="93"/>
      <c r="I4377" s="85">
        <f t="shared" ref="I4377:I4388" si="171">LOG(J4377)</f>
        <v>1.7867500000000001</v>
      </c>
      <c r="J4377" s="85">
        <v>61.199799594124578</v>
      </c>
      <c r="K4377" s="131" t="s">
        <v>3177</v>
      </c>
      <c r="L4377" s="60">
        <v>60</v>
      </c>
      <c r="M4377" s="49"/>
      <c r="N4377" s="48"/>
      <c r="O4377" s="37"/>
      <c r="P4377" s="37"/>
      <c r="Q4377" s="3"/>
      <c r="R4377" s="3"/>
      <c r="S4377" s="6"/>
      <c r="T4377" s="6"/>
      <c r="U4377" s="6"/>
      <c r="V4377" s="6"/>
      <c r="W4377" s="6"/>
      <c r="X4377" s="6"/>
      <c r="Y4377" s="6"/>
      <c r="Z4377" s="6"/>
    </row>
    <row r="4378" spans="1:26" s="2" customFormat="1" ht="14" x14ac:dyDescent="0.15">
      <c r="A4378" s="70" t="s">
        <v>3635</v>
      </c>
      <c r="B4378" s="82"/>
      <c r="C4378" s="70" t="s">
        <v>3636</v>
      </c>
      <c r="D4378" s="70" t="s">
        <v>7012</v>
      </c>
      <c r="E4378" s="70" t="s">
        <v>2088</v>
      </c>
      <c r="F4378" s="70" t="s">
        <v>4059</v>
      </c>
      <c r="G4378" s="70" t="s">
        <v>4960</v>
      </c>
      <c r="H4378" s="93"/>
      <c r="I4378" s="85">
        <f t="shared" si="171"/>
        <v>2.1513700000000004</v>
      </c>
      <c r="J4378" s="85">
        <v>141.70004886071422</v>
      </c>
      <c r="K4378" s="131" t="s">
        <v>3177</v>
      </c>
      <c r="L4378" s="60">
        <v>60</v>
      </c>
      <c r="M4378" s="49"/>
      <c r="N4378" s="37"/>
      <c r="O4378" s="37"/>
      <c r="P4378" s="37"/>
      <c r="Q4378" s="3"/>
      <c r="R4378" s="3"/>
      <c r="S4378" s="6"/>
      <c r="T4378" s="6"/>
      <c r="U4378" s="6"/>
      <c r="V4378" s="6"/>
      <c r="W4378" s="6"/>
      <c r="X4378" s="6"/>
      <c r="Y4378" s="6"/>
      <c r="Z4378" s="6"/>
    </row>
    <row r="4379" spans="1:26" s="2" customFormat="1" ht="14" x14ac:dyDescent="0.15">
      <c r="A4379" s="70" t="s">
        <v>3635</v>
      </c>
      <c r="B4379" s="82"/>
      <c r="C4379" s="70" t="s">
        <v>3636</v>
      </c>
      <c r="D4379" s="70" t="s">
        <v>7077</v>
      </c>
      <c r="E4379" s="70" t="s">
        <v>7078</v>
      </c>
      <c r="F4379" s="70" t="s">
        <v>4382</v>
      </c>
      <c r="G4379" s="70" t="s">
        <v>4027</v>
      </c>
      <c r="H4379" s="93"/>
      <c r="I4379" s="85">
        <f t="shared" si="171"/>
        <v>2.6246300000000002</v>
      </c>
      <c r="J4379" s="85">
        <v>421.33738935453766</v>
      </c>
      <c r="K4379" s="131" t="s">
        <v>3177</v>
      </c>
      <c r="L4379" s="60">
        <v>60</v>
      </c>
      <c r="M4379" s="49" t="s">
        <v>6392</v>
      </c>
      <c r="N4379" s="37"/>
      <c r="O4379" s="37"/>
      <c r="P4379" s="37"/>
      <c r="Q4379" s="3"/>
      <c r="R4379" s="3"/>
      <c r="S4379" s="6"/>
      <c r="T4379" s="6"/>
      <c r="U4379" s="6"/>
      <c r="V4379" s="6"/>
      <c r="W4379" s="6"/>
      <c r="X4379" s="6"/>
      <c r="Y4379" s="6"/>
      <c r="Z4379" s="6"/>
    </row>
    <row r="4380" spans="1:26" s="2" customFormat="1" ht="14" x14ac:dyDescent="0.15">
      <c r="A4380" s="70" t="s">
        <v>3635</v>
      </c>
      <c r="B4380" s="82"/>
      <c r="C4380" s="70" t="s">
        <v>3636</v>
      </c>
      <c r="D4380" s="70" t="s">
        <v>7077</v>
      </c>
      <c r="E4380" s="70" t="s">
        <v>7078</v>
      </c>
      <c r="F4380" s="70" t="s">
        <v>7072</v>
      </c>
      <c r="G4380" s="70" t="s">
        <v>4960</v>
      </c>
      <c r="H4380" s="93"/>
      <c r="I4380" s="85">
        <f t="shared" si="171"/>
        <v>3.1917300000000006</v>
      </c>
      <c r="J4380" s="85">
        <v>1554.998591557136</v>
      </c>
      <c r="K4380" s="131" t="s">
        <v>3177</v>
      </c>
      <c r="L4380" s="69">
        <v>60</v>
      </c>
      <c r="M4380" s="49"/>
      <c r="N4380" s="37"/>
      <c r="O4380" s="37"/>
      <c r="P4380" s="37"/>
      <c r="Q4380" s="3"/>
      <c r="R4380" s="3"/>
      <c r="S4380" s="6"/>
      <c r="T4380" s="6"/>
      <c r="U4380" s="6"/>
      <c r="V4380" s="6"/>
      <c r="W4380" s="6"/>
      <c r="X4380" s="6"/>
      <c r="Y4380" s="6"/>
      <c r="Z4380" s="6"/>
    </row>
    <row r="4381" spans="1:26" s="2" customFormat="1" ht="14" x14ac:dyDescent="0.15">
      <c r="A4381" s="70" t="s">
        <v>3635</v>
      </c>
      <c r="B4381" s="82"/>
      <c r="C4381" s="70" t="s">
        <v>3636</v>
      </c>
      <c r="D4381" s="70" t="s">
        <v>7077</v>
      </c>
      <c r="E4381" s="70" t="s">
        <v>7078</v>
      </c>
      <c r="F4381" s="70" t="s">
        <v>7072</v>
      </c>
      <c r="G4381" s="70" t="s">
        <v>7194</v>
      </c>
      <c r="H4381" s="93"/>
      <c r="I4381" s="85">
        <f t="shared" si="171"/>
        <v>3.2330000000000001</v>
      </c>
      <c r="J4381" s="85">
        <v>1710.0153150902886</v>
      </c>
      <c r="K4381" s="131" t="s">
        <v>3177</v>
      </c>
      <c r="L4381" s="60">
        <v>60</v>
      </c>
      <c r="M4381" s="49"/>
      <c r="N4381" s="37"/>
      <c r="O4381" s="37"/>
      <c r="P4381" s="37"/>
      <c r="Q4381" s="3"/>
      <c r="R4381" s="3"/>
      <c r="S4381" s="6"/>
      <c r="T4381" s="6"/>
      <c r="U4381" s="6"/>
      <c r="V4381" s="6"/>
      <c r="W4381" s="6"/>
      <c r="X4381" s="6"/>
      <c r="Y4381" s="6"/>
      <c r="Z4381" s="6"/>
    </row>
    <row r="4382" spans="1:26" s="2" customFormat="1" ht="14" x14ac:dyDescent="0.15">
      <c r="A4382" s="70" t="s">
        <v>3635</v>
      </c>
      <c r="B4382" s="118"/>
      <c r="C4382" s="70" t="s">
        <v>3636</v>
      </c>
      <c r="D4382" s="70" t="s">
        <v>7077</v>
      </c>
      <c r="E4382" s="70" t="s">
        <v>7078</v>
      </c>
      <c r="F4382" s="70" t="s">
        <v>7072</v>
      </c>
      <c r="G4382" s="70" t="s">
        <v>4223</v>
      </c>
      <c r="H4382" s="93"/>
      <c r="I4382" s="85">
        <f t="shared" si="171"/>
        <v>3.3842599999999998</v>
      </c>
      <c r="J4382" s="85">
        <v>2422.4788832833456</v>
      </c>
      <c r="K4382" s="131" t="s">
        <v>3177</v>
      </c>
      <c r="L4382" s="60">
        <v>60</v>
      </c>
      <c r="M4382" s="49"/>
      <c r="N4382" s="37"/>
      <c r="O4382" s="37"/>
      <c r="P4382" s="37"/>
      <c r="Q4382" s="3"/>
      <c r="R4382" s="3"/>
      <c r="S4382" s="6"/>
      <c r="T4382" s="6"/>
      <c r="U4382" s="6"/>
      <c r="V4382" s="6"/>
      <c r="W4382" s="6"/>
      <c r="X4382" s="6"/>
      <c r="Y4382" s="6"/>
      <c r="Z4382" s="6"/>
    </row>
    <row r="4383" spans="1:26" s="2" customFormat="1" ht="14" x14ac:dyDescent="0.15">
      <c r="A4383" s="70" t="s">
        <v>3635</v>
      </c>
      <c r="B4383" s="118"/>
      <c r="C4383" s="70" t="s">
        <v>3636</v>
      </c>
      <c r="D4383" s="70" t="s">
        <v>7077</v>
      </c>
      <c r="E4383" s="70" t="s">
        <v>7078</v>
      </c>
      <c r="F4383" s="70" t="s">
        <v>7072</v>
      </c>
      <c r="G4383" s="70" t="s">
        <v>4224</v>
      </c>
      <c r="H4383" s="93"/>
      <c r="I4383" s="85">
        <f t="shared" si="171"/>
        <v>3.3979400000000002</v>
      </c>
      <c r="J4383" s="85">
        <v>2499.9999500797412</v>
      </c>
      <c r="K4383" s="131" t="s">
        <v>6391</v>
      </c>
      <c r="L4383" s="60">
        <v>60</v>
      </c>
      <c r="M4383" s="49" t="s">
        <v>6392</v>
      </c>
      <c r="N4383" s="37"/>
      <c r="O4383" s="37"/>
      <c r="P4383" s="37"/>
      <c r="Q4383" s="3"/>
      <c r="R4383" s="3"/>
      <c r="S4383" s="6"/>
      <c r="T4383" s="6"/>
      <c r="U4383" s="6"/>
      <c r="V4383" s="6"/>
      <c r="W4383" s="6"/>
      <c r="X4383" s="6"/>
      <c r="Y4383" s="6"/>
      <c r="Z4383" s="6"/>
    </row>
    <row r="4384" spans="1:26" s="2" customFormat="1" ht="14" x14ac:dyDescent="0.15">
      <c r="A4384" s="70" t="s">
        <v>3635</v>
      </c>
      <c r="B4384" s="118"/>
      <c r="C4384" s="70" t="s">
        <v>3636</v>
      </c>
      <c r="D4384" s="70" t="s">
        <v>7077</v>
      </c>
      <c r="E4384" s="70" t="s">
        <v>7078</v>
      </c>
      <c r="F4384" s="70" t="s">
        <v>7072</v>
      </c>
      <c r="G4384" s="70" t="s">
        <v>2136</v>
      </c>
      <c r="H4384" s="93"/>
      <c r="I4384" s="85">
        <f t="shared" si="171"/>
        <v>3.4771200000000007</v>
      </c>
      <c r="J4384" s="85">
        <v>2999.9913327161544</v>
      </c>
      <c r="K4384" s="131" t="s">
        <v>6817</v>
      </c>
      <c r="L4384" s="69">
        <v>66</v>
      </c>
      <c r="M4384" s="49" t="s">
        <v>6390</v>
      </c>
      <c r="N4384" s="37"/>
      <c r="O4384" s="37"/>
      <c r="P4384" s="37"/>
      <c r="Q4384" s="3"/>
      <c r="R4384" s="3"/>
      <c r="S4384" s="6"/>
      <c r="T4384" s="6"/>
      <c r="U4384" s="6"/>
      <c r="V4384" s="6"/>
      <c r="W4384" s="6"/>
      <c r="X4384" s="6"/>
      <c r="Y4384" s="6"/>
      <c r="Z4384" s="6"/>
    </row>
    <row r="4385" spans="1:26" s="2" customFormat="1" ht="14" x14ac:dyDescent="0.15">
      <c r="A4385" s="70" t="s">
        <v>3635</v>
      </c>
      <c r="B4385" s="118"/>
      <c r="C4385" s="70" t="s">
        <v>3636</v>
      </c>
      <c r="D4385" s="70" t="s">
        <v>7077</v>
      </c>
      <c r="E4385" s="70" t="s">
        <v>7078</v>
      </c>
      <c r="F4385" s="70" t="s">
        <v>7072</v>
      </c>
      <c r="G4385" s="70" t="s">
        <v>3905</v>
      </c>
      <c r="H4385" s="93"/>
      <c r="I4385" s="85">
        <f t="shared" si="171"/>
        <v>3.5664400000000005</v>
      </c>
      <c r="J4385" s="85">
        <v>3685.0212788516405</v>
      </c>
      <c r="K4385" s="131" t="s">
        <v>3177</v>
      </c>
      <c r="L4385" s="60">
        <v>60</v>
      </c>
      <c r="M4385" s="49"/>
      <c r="N4385" s="37"/>
      <c r="O4385" s="37"/>
      <c r="P4385" s="37"/>
      <c r="Q4385" s="3"/>
      <c r="R4385" s="3"/>
      <c r="S4385" s="6"/>
      <c r="T4385" s="6"/>
      <c r="U4385" s="6"/>
      <c r="V4385" s="6"/>
      <c r="W4385" s="6"/>
      <c r="X4385" s="6"/>
      <c r="Y4385" s="6"/>
      <c r="Z4385" s="6"/>
    </row>
    <row r="4386" spans="1:26" s="2" customFormat="1" ht="14" x14ac:dyDescent="0.15">
      <c r="A4386" s="70" t="s">
        <v>3635</v>
      </c>
      <c r="B4386" s="118"/>
      <c r="C4386" s="70" t="s">
        <v>3636</v>
      </c>
      <c r="D4386" s="70" t="s">
        <v>7077</v>
      </c>
      <c r="E4386" s="70" t="s">
        <v>7078</v>
      </c>
      <c r="F4386" s="70" t="s">
        <v>7072</v>
      </c>
      <c r="G4386" s="70" t="s">
        <v>6934</v>
      </c>
      <c r="H4386" s="93"/>
      <c r="I4386" s="85">
        <f t="shared" si="171"/>
        <v>3.6439500000000002</v>
      </c>
      <c r="J4386" s="85">
        <v>4405.0414567309508</v>
      </c>
      <c r="K4386" s="131" t="s">
        <v>3177</v>
      </c>
      <c r="L4386" s="60">
        <v>60</v>
      </c>
      <c r="M4386" s="49"/>
      <c r="N4386" s="37"/>
      <c r="O4386" s="37"/>
      <c r="P4386" s="37"/>
      <c r="Q4386" s="3"/>
      <c r="R4386" s="3"/>
    </row>
    <row r="4387" spans="1:26" ht="14" x14ac:dyDescent="0.15">
      <c r="A4387" s="70" t="s">
        <v>3635</v>
      </c>
      <c r="B4387" s="118"/>
      <c r="C4387" s="70" t="s">
        <v>3636</v>
      </c>
      <c r="D4387" s="70" t="s">
        <v>7077</v>
      </c>
      <c r="E4387" s="70" t="s">
        <v>7078</v>
      </c>
      <c r="F4387" s="70" t="s">
        <v>7072</v>
      </c>
      <c r="G4387" s="70" t="s">
        <v>2137</v>
      </c>
      <c r="H4387" s="93"/>
      <c r="I4387" s="85">
        <f t="shared" si="171"/>
        <v>3.6817799999999998</v>
      </c>
      <c r="J4387" s="85">
        <v>4805.9583196036374</v>
      </c>
      <c r="K4387" s="131" t="s">
        <v>3177</v>
      </c>
      <c r="L4387" s="60">
        <v>60</v>
      </c>
      <c r="S4387"/>
      <c r="T4387"/>
      <c r="U4387"/>
      <c r="V4387"/>
      <c r="W4387"/>
      <c r="X4387"/>
      <c r="Y4387"/>
      <c r="Z4387"/>
    </row>
    <row r="4388" spans="1:26" ht="14" x14ac:dyDescent="0.15">
      <c r="A4388" s="70" t="s">
        <v>3635</v>
      </c>
      <c r="B4388" s="118"/>
      <c r="C4388" s="70" t="s">
        <v>3636</v>
      </c>
      <c r="D4388" s="70" t="s">
        <v>7077</v>
      </c>
      <c r="E4388" s="70" t="s">
        <v>7078</v>
      </c>
      <c r="F4388" s="70" t="s">
        <v>2000</v>
      </c>
      <c r="G4388" s="70" t="s">
        <v>2001</v>
      </c>
      <c r="H4388" s="93"/>
      <c r="I4388" s="85">
        <f t="shared" si="171"/>
        <v>2.6782000000000004</v>
      </c>
      <c r="J4388" s="85">
        <v>476.65044191055466</v>
      </c>
      <c r="K4388" s="131" t="s">
        <v>6817</v>
      </c>
      <c r="L4388" s="60" t="s">
        <v>1608</v>
      </c>
      <c r="M4388" s="49" t="s">
        <v>6390</v>
      </c>
      <c r="S4388"/>
      <c r="T4388"/>
      <c r="U4388"/>
      <c r="V4388"/>
      <c r="W4388"/>
      <c r="X4388"/>
      <c r="Y4388"/>
      <c r="Z4388"/>
    </row>
    <row r="4389" spans="1:26" ht="14" x14ac:dyDescent="0.15">
      <c r="A4389" s="73" t="s">
        <v>3635</v>
      </c>
      <c r="B4389" s="117" t="s">
        <v>4896</v>
      </c>
      <c r="C4389" s="70" t="s">
        <v>3636</v>
      </c>
      <c r="D4389" s="70" t="s">
        <v>7077</v>
      </c>
      <c r="E4389" s="70" t="s">
        <v>7078</v>
      </c>
      <c r="F4389" s="70" t="s">
        <v>2002</v>
      </c>
      <c r="G4389" s="70" t="s">
        <v>4991</v>
      </c>
      <c r="H4389" s="93"/>
      <c r="I4389" s="85">
        <v>-999</v>
      </c>
      <c r="J4389" s="85">
        <v>-999</v>
      </c>
      <c r="K4389" s="131" t="s">
        <v>3177</v>
      </c>
      <c r="L4389" s="60">
        <v>-999</v>
      </c>
      <c r="M4389" s="33" t="s">
        <v>6390</v>
      </c>
      <c r="S4389"/>
      <c r="T4389"/>
      <c r="U4389"/>
      <c r="V4389"/>
      <c r="W4389"/>
      <c r="X4389"/>
      <c r="Y4389"/>
      <c r="Z4389"/>
    </row>
    <row r="4390" spans="1:26" ht="14" x14ac:dyDescent="0.15">
      <c r="A4390" s="70" t="s">
        <v>3635</v>
      </c>
      <c r="B4390" s="118"/>
      <c r="C4390" s="70" t="s">
        <v>3636</v>
      </c>
      <c r="D4390" s="70" t="s">
        <v>7077</v>
      </c>
      <c r="E4390" s="70" t="s">
        <v>7078</v>
      </c>
      <c r="F4390" s="70" t="s">
        <v>2002</v>
      </c>
      <c r="G4390" s="70" t="s">
        <v>2134</v>
      </c>
      <c r="H4390" s="93"/>
      <c r="I4390" s="85">
        <f t="shared" ref="I4390:I4426" si="172">LOG(J4390)</f>
        <v>2.8083800000000001</v>
      </c>
      <c r="J4390" s="85">
        <v>643.25030380753878</v>
      </c>
      <c r="K4390" s="131" t="s">
        <v>3177</v>
      </c>
      <c r="L4390" s="60">
        <v>60</v>
      </c>
      <c r="S4390"/>
      <c r="T4390"/>
      <c r="U4390"/>
      <c r="V4390"/>
      <c r="W4390"/>
      <c r="X4390"/>
      <c r="Y4390"/>
      <c r="Z4390"/>
    </row>
    <row r="4391" spans="1:26" ht="14" x14ac:dyDescent="0.15">
      <c r="A4391" s="70" t="s">
        <v>3635</v>
      </c>
      <c r="B4391" s="118"/>
      <c r="C4391" s="70" t="s">
        <v>3636</v>
      </c>
      <c r="D4391" s="70" t="s">
        <v>7077</v>
      </c>
      <c r="E4391" s="70" t="s">
        <v>7078</v>
      </c>
      <c r="F4391" s="70" t="s">
        <v>2002</v>
      </c>
      <c r="G4391" s="70" t="s">
        <v>4807</v>
      </c>
      <c r="H4391" s="93"/>
      <c r="I4391" s="85">
        <f t="shared" si="172"/>
        <v>2.8173700000000004</v>
      </c>
      <c r="J4391" s="85">
        <v>656.70451170979504</v>
      </c>
      <c r="K4391" s="131" t="s">
        <v>6784</v>
      </c>
      <c r="L4391" s="60">
        <v>60</v>
      </c>
      <c r="M4391" s="49" t="s">
        <v>6728</v>
      </c>
      <c r="S4391"/>
      <c r="T4391"/>
      <c r="U4391"/>
      <c r="V4391"/>
      <c r="W4391"/>
      <c r="X4391"/>
      <c r="Y4391"/>
      <c r="Z4391"/>
    </row>
    <row r="4392" spans="1:26" ht="14" x14ac:dyDescent="0.15">
      <c r="A4392" s="70" t="s">
        <v>3635</v>
      </c>
      <c r="B4392" s="118"/>
      <c r="C4392" s="70" t="s">
        <v>3636</v>
      </c>
      <c r="D4392" s="70" t="s">
        <v>7077</v>
      </c>
      <c r="E4392" s="70" t="s">
        <v>7078</v>
      </c>
      <c r="F4392" s="70" t="s">
        <v>2002</v>
      </c>
      <c r="G4392" s="70" t="s">
        <v>2101</v>
      </c>
      <c r="H4392" s="93"/>
      <c r="I4392" s="85">
        <f t="shared" si="172"/>
        <v>2.8780000000000006</v>
      </c>
      <c r="J4392" s="85">
        <v>755.09222766543485</v>
      </c>
      <c r="K4392" s="131" t="s">
        <v>3177</v>
      </c>
      <c r="L4392" s="60">
        <v>60</v>
      </c>
      <c r="S4392"/>
      <c r="T4392"/>
      <c r="U4392"/>
      <c r="V4392"/>
      <c r="W4392"/>
      <c r="X4392"/>
      <c r="Y4392"/>
      <c r="Z4392"/>
    </row>
    <row r="4393" spans="1:26" ht="14" x14ac:dyDescent="0.15">
      <c r="A4393" s="70" t="s">
        <v>3635</v>
      </c>
      <c r="B4393" s="118"/>
      <c r="C4393" s="70" t="s">
        <v>3636</v>
      </c>
      <c r="D4393" s="70" t="s">
        <v>7077</v>
      </c>
      <c r="E4393" s="70" t="s">
        <v>7078</v>
      </c>
      <c r="F4393" s="70" t="s">
        <v>2002</v>
      </c>
      <c r="G4393" s="70" t="s">
        <v>2133</v>
      </c>
      <c r="H4393" s="93"/>
      <c r="I4393" s="85">
        <f t="shared" si="172"/>
        <v>2.9492100000000003</v>
      </c>
      <c r="J4393" s="85">
        <v>889.63118868852825</v>
      </c>
      <c r="K4393" s="131" t="s">
        <v>3177</v>
      </c>
      <c r="L4393" s="60">
        <v>60</v>
      </c>
      <c r="S4393"/>
      <c r="T4393"/>
      <c r="U4393"/>
      <c r="V4393"/>
      <c r="W4393"/>
      <c r="X4393"/>
      <c r="Y4393"/>
      <c r="Z4393"/>
    </row>
    <row r="4394" spans="1:26" ht="14" x14ac:dyDescent="0.15">
      <c r="A4394" s="70" t="s">
        <v>3635</v>
      </c>
      <c r="B4394" s="118"/>
      <c r="C4394" s="70" t="s">
        <v>3636</v>
      </c>
      <c r="D4394" s="70" t="s">
        <v>7077</v>
      </c>
      <c r="E4394" s="70" t="s">
        <v>7078</v>
      </c>
      <c r="F4394" s="70" t="s">
        <v>2002</v>
      </c>
      <c r="G4394" s="70" t="s">
        <v>4285</v>
      </c>
      <c r="H4394" s="93"/>
      <c r="I4394" s="85">
        <f t="shared" si="172"/>
        <v>2.9777200000000006</v>
      </c>
      <c r="J4394" s="85">
        <v>949.99211362259632</v>
      </c>
      <c r="K4394" s="131" t="s">
        <v>3177</v>
      </c>
      <c r="L4394" s="69">
        <v>66</v>
      </c>
      <c r="S4394"/>
      <c r="T4394"/>
      <c r="U4394"/>
      <c r="V4394"/>
      <c r="W4394"/>
      <c r="X4394"/>
      <c r="Y4394"/>
      <c r="Z4394"/>
    </row>
    <row r="4395" spans="1:26" ht="14" x14ac:dyDescent="0.15">
      <c r="A4395" s="70" t="s">
        <v>3635</v>
      </c>
      <c r="B4395" s="118"/>
      <c r="C4395" s="70" t="s">
        <v>3636</v>
      </c>
      <c r="D4395" s="70" t="s">
        <v>7077</v>
      </c>
      <c r="E4395" s="70" t="s">
        <v>7078</v>
      </c>
      <c r="F4395" s="70" t="s">
        <v>2002</v>
      </c>
      <c r="G4395" s="70" t="s">
        <v>2099</v>
      </c>
      <c r="H4395" s="93"/>
      <c r="I4395" s="85">
        <f t="shared" si="172"/>
        <v>2.9840800000000005</v>
      </c>
      <c r="J4395" s="85">
        <v>964.00658384472945</v>
      </c>
      <c r="K4395" s="131" t="s">
        <v>6408</v>
      </c>
      <c r="L4395" s="67">
        <v>-999</v>
      </c>
      <c r="M4395" s="49" t="s">
        <v>6390</v>
      </c>
      <c r="S4395"/>
      <c r="T4395"/>
      <c r="U4395"/>
      <c r="V4395"/>
      <c r="W4395"/>
      <c r="X4395"/>
      <c r="Y4395"/>
      <c r="Z4395"/>
    </row>
    <row r="4396" spans="1:26" ht="14" x14ac:dyDescent="0.15">
      <c r="A4396" s="70" t="s">
        <v>3635</v>
      </c>
      <c r="B4396" s="118"/>
      <c r="C4396" s="70" t="s">
        <v>3636</v>
      </c>
      <c r="D4396" s="70" t="s">
        <v>7077</v>
      </c>
      <c r="E4396" s="70" t="s">
        <v>7078</v>
      </c>
      <c r="F4396" s="70" t="s">
        <v>2002</v>
      </c>
      <c r="G4396" s="70" t="s">
        <v>2098</v>
      </c>
      <c r="H4396" s="93"/>
      <c r="I4396" s="85">
        <f t="shared" si="172"/>
        <v>3.0692200000000005</v>
      </c>
      <c r="J4396" s="85">
        <v>1172.7893134796059</v>
      </c>
      <c r="K4396" s="131" t="s">
        <v>3177</v>
      </c>
      <c r="L4396" s="60">
        <v>60</v>
      </c>
      <c r="S4396"/>
      <c r="T4396"/>
      <c r="U4396"/>
      <c r="V4396"/>
      <c r="W4396"/>
      <c r="X4396"/>
      <c r="Y4396"/>
      <c r="Z4396"/>
    </row>
    <row r="4397" spans="1:26" ht="14" x14ac:dyDescent="0.15">
      <c r="A4397" s="70" t="s">
        <v>3635</v>
      </c>
      <c r="B4397" s="118"/>
      <c r="C4397" s="70" t="s">
        <v>3636</v>
      </c>
      <c r="D4397" s="70" t="s">
        <v>7077</v>
      </c>
      <c r="E4397" s="70" t="s">
        <v>7078</v>
      </c>
      <c r="F4397" s="70" t="s">
        <v>2002</v>
      </c>
      <c r="G4397" s="70" t="s">
        <v>2090</v>
      </c>
      <c r="H4397" s="93"/>
      <c r="I4397" s="85">
        <f t="shared" si="172"/>
        <v>3.1760900000000003</v>
      </c>
      <c r="J4397" s="85">
        <v>1499.9956513820403</v>
      </c>
      <c r="K4397" s="131" t="s">
        <v>3177</v>
      </c>
      <c r="L4397" s="60">
        <v>60</v>
      </c>
      <c r="S4397"/>
      <c r="T4397"/>
      <c r="U4397"/>
      <c r="V4397"/>
      <c r="W4397"/>
      <c r="X4397"/>
      <c r="Y4397"/>
      <c r="Z4397"/>
    </row>
    <row r="4398" spans="1:26" ht="14" x14ac:dyDescent="0.15">
      <c r="A4398" s="70" t="s">
        <v>3635</v>
      </c>
      <c r="B4398" s="118"/>
      <c r="C4398" s="70" t="s">
        <v>3636</v>
      </c>
      <c r="D4398" s="70" t="s">
        <v>7077</v>
      </c>
      <c r="E4398" s="70" t="s">
        <v>7078</v>
      </c>
      <c r="F4398" s="70" t="s">
        <v>2002</v>
      </c>
      <c r="G4398" s="70" t="s">
        <v>3772</v>
      </c>
      <c r="H4398" s="93"/>
      <c r="I4398" s="85">
        <f t="shared" si="172"/>
        <v>3.3295600000000003</v>
      </c>
      <c r="J4398" s="85">
        <v>2135.7971369445281</v>
      </c>
      <c r="K4398" s="131" t="s">
        <v>3177</v>
      </c>
      <c r="L4398" s="60">
        <v>60</v>
      </c>
      <c r="S4398"/>
      <c r="T4398"/>
      <c r="U4398"/>
      <c r="V4398"/>
      <c r="W4398"/>
      <c r="X4398"/>
      <c r="Y4398"/>
      <c r="Z4398"/>
    </row>
    <row r="4399" spans="1:26" ht="14" x14ac:dyDescent="0.15">
      <c r="A4399" s="73" t="s">
        <v>3635</v>
      </c>
      <c r="B4399" s="118"/>
      <c r="C4399" s="70" t="s">
        <v>3636</v>
      </c>
      <c r="D4399" s="70" t="s">
        <v>7077</v>
      </c>
      <c r="E4399" s="70" t="s">
        <v>7078</v>
      </c>
      <c r="F4399" s="70" t="s">
        <v>2002</v>
      </c>
      <c r="G4399" s="70" t="s">
        <v>2135</v>
      </c>
      <c r="H4399" s="93"/>
      <c r="I4399" s="85">
        <f t="shared" si="172"/>
        <v>3.4771200000000007</v>
      </c>
      <c r="J4399" s="85">
        <v>2999.9913327161544</v>
      </c>
      <c r="K4399" s="131" t="s">
        <v>6817</v>
      </c>
      <c r="L4399" s="69">
        <v>66</v>
      </c>
      <c r="M4399" s="49" t="s">
        <v>6392</v>
      </c>
      <c r="S4399"/>
      <c r="T4399"/>
      <c r="U4399"/>
      <c r="V4399"/>
      <c r="W4399"/>
      <c r="X4399"/>
      <c r="Y4399"/>
      <c r="Z4399"/>
    </row>
    <row r="4400" spans="1:26" ht="28" x14ac:dyDescent="0.15">
      <c r="A4400" s="70" t="s">
        <v>3635</v>
      </c>
      <c r="B4400" s="118"/>
      <c r="C4400" s="70" t="s">
        <v>3636</v>
      </c>
      <c r="D4400" s="70" t="s">
        <v>7077</v>
      </c>
      <c r="E4400" s="70" t="s">
        <v>7078</v>
      </c>
      <c r="F4400" s="70" t="s">
        <v>2002</v>
      </c>
      <c r="G4400" s="70" t="s">
        <v>2100</v>
      </c>
      <c r="H4400" s="93"/>
      <c r="I4400" s="85">
        <f t="shared" si="172"/>
        <v>3.4771200000000007</v>
      </c>
      <c r="J4400" s="85">
        <v>2999.9913327161544</v>
      </c>
      <c r="K4400" s="131" t="s">
        <v>6853</v>
      </c>
      <c r="L4400" s="69">
        <v>66</v>
      </c>
      <c r="M4400" s="49" t="s">
        <v>6809</v>
      </c>
      <c r="S4400"/>
      <c r="T4400"/>
      <c r="U4400"/>
      <c r="V4400"/>
      <c r="W4400"/>
      <c r="X4400"/>
      <c r="Y4400"/>
      <c r="Z4400"/>
    </row>
    <row r="4401" spans="1:26" ht="14" x14ac:dyDescent="0.15">
      <c r="A4401" s="70" t="s">
        <v>3635</v>
      </c>
      <c r="B4401" s="118"/>
      <c r="C4401" s="70" t="s">
        <v>3636</v>
      </c>
      <c r="D4401" s="70" t="s">
        <v>7077</v>
      </c>
      <c r="E4401" s="70" t="s">
        <v>7274</v>
      </c>
      <c r="F4401" s="70" t="s">
        <v>4057</v>
      </c>
      <c r="G4401" s="70" t="s">
        <v>4058</v>
      </c>
      <c r="H4401" s="93"/>
      <c r="I4401" s="85">
        <f t="shared" si="172"/>
        <v>2.1105900000000002</v>
      </c>
      <c r="J4401" s="85">
        <v>129.00008605085017</v>
      </c>
      <c r="K4401" s="131" t="s">
        <v>3177</v>
      </c>
      <c r="L4401" s="60">
        <v>60</v>
      </c>
      <c r="S4401"/>
      <c r="T4401"/>
      <c r="U4401"/>
      <c r="V4401"/>
      <c r="W4401"/>
      <c r="X4401"/>
      <c r="Y4401"/>
      <c r="Z4401"/>
    </row>
    <row r="4402" spans="1:26" ht="14" x14ac:dyDescent="0.15">
      <c r="A4402" s="70" t="s">
        <v>3635</v>
      </c>
      <c r="B4402" s="118"/>
      <c r="C4402" s="70" t="s">
        <v>3636</v>
      </c>
      <c r="D4402" s="70" t="s">
        <v>7077</v>
      </c>
      <c r="E4402" s="70" t="s">
        <v>7274</v>
      </c>
      <c r="F4402" s="70" t="s">
        <v>4057</v>
      </c>
      <c r="G4402" s="70" t="s">
        <v>3609</v>
      </c>
      <c r="H4402" s="93"/>
      <c r="I4402" s="85">
        <f t="shared" si="172"/>
        <v>2.1976300000000006</v>
      </c>
      <c r="J4402" s="85">
        <v>157.6267785924374</v>
      </c>
      <c r="K4402" s="131" t="s">
        <v>3177</v>
      </c>
      <c r="L4402" s="60">
        <v>60</v>
      </c>
      <c r="S4402"/>
      <c r="T4402"/>
      <c r="U4402"/>
      <c r="V4402"/>
      <c r="W4402"/>
      <c r="X4402"/>
      <c r="Y4402"/>
      <c r="Z4402"/>
    </row>
    <row r="4403" spans="1:26" ht="14" x14ac:dyDescent="0.15">
      <c r="A4403" s="70" t="s">
        <v>3635</v>
      </c>
      <c r="B4403" s="118"/>
      <c r="C4403" s="70" t="s">
        <v>3636</v>
      </c>
      <c r="D4403" s="70" t="s">
        <v>7007</v>
      </c>
      <c r="E4403" s="70" t="s">
        <v>6890</v>
      </c>
      <c r="F4403" s="70" t="s">
        <v>6891</v>
      </c>
      <c r="G4403" s="70" t="s">
        <v>1858</v>
      </c>
      <c r="H4403" s="93"/>
      <c r="I4403" s="85">
        <f t="shared" si="172"/>
        <v>5.4771200000000011</v>
      </c>
      <c r="J4403" s="85">
        <v>299999.1332716156</v>
      </c>
      <c r="K4403" s="131" t="s">
        <v>6817</v>
      </c>
      <c r="L4403" s="69">
        <v>66</v>
      </c>
      <c r="M4403" s="49" t="s">
        <v>6390</v>
      </c>
      <c r="S4403"/>
      <c r="T4403"/>
      <c r="U4403"/>
      <c r="V4403"/>
      <c r="W4403"/>
      <c r="X4403"/>
      <c r="Y4403"/>
      <c r="Z4403"/>
    </row>
    <row r="4404" spans="1:26" ht="14" x14ac:dyDescent="0.15">
      <c r="A4404" s="70" t="s">
        <v>3635</v>
      </c>
      <c r="B4404" s="118"/>
      <c r="C4404" s="70" t="s">
        <v>3636</v>
      </c>
      <c r="D4404" s="70" t="s">
        <v>6983</v>
      </c>
      <c r="E4404" s="70" t="s">
        <v>4872</v>
      </c>
      <c r="F4404" s="70" t="s">
        <v>4873</v>
      </c>
      <c r="G4404" s="70" t="s">
        <v>7225</v>
      </c>
      <c r="H4404" s="93"/>
      <c r="I4404" s="85">
        <f t="shared" si="172"/>
        <v>3.8451000000000004</v>
      </c>
      <c r="J4404" s="85">
        <v>7000.0315913089735</v>
      </c>
      <c r="K4404" s="131" t="s">
        <v>3177</v>
      </c>
      <c r="L4404" s="60">
        <v>66</v>
      </c>
      <c r="S4404"/>
      <c r="T4404"/>
      <c r="U4404"/>
      <c r="V4404"/>
      <c r="W4404"/>
      <c r="X4404"/>
      <c r="Y4404"/>
      <c r="Z4404"/>
    </row>
    <row r="4405" spans="1:26" ht="14" x14ac:dyDescent="0.15">
      <c r="A4405" s="70" t="s">
        <v>3635</v>
      </c>
      <c r="B4405" s="118"/>
      <c r="C4405" s="70" t="s">
        <v>3636</v>
      </c>
      <c r="D4405" s="70" t="s">
        <v>6983</v>
      </c>
      <c r="E4405" s="70" t="s">
        <v>4872</v>
      </c>
      <c r="F4405" s="70" t="s">
        <v>4873</v>
      </c>
      <c r="G4405" s="70" t="s">
        <v>4874</v>
      </c>
      <c r="H4405" s="93"/>
      <c r="I4405" s="85">
        <f t="shared" si="172"/>
        <v>3.8618300000000003</v>
      </c>
      <c r="J4405" s="85">
        <v>7274.9497854861338</v>
      </c>
      <c r="K4405" s="131" t="s">
        <v>3177</v>
      </c>
      <c r="L4405" s="60">
        <v>60</v>
      </c>
      <c r="S4405"/>
      <c r="T4405"/>
      <c r="U4405"/>
      <c r="V4405"/>
      <c r="W4405"/>
      <c r="X4405"/>
      <c r="Y4405"/>
      <c r="Z4405"/>
    </row>
    <row r="4406" spans="1:26" ht="14" x14ac:dyDescent="0.15">
      <c r="A4406" s="62" t="s">
        <v>3635</v>
      </c>
      <c r="B4406" s="119"/>
      <c r="C4406" s="61" t="s">
        <v>3636</v>
      </c>
      <c r="D4406" s="61" t="s">
        <v>6983</v>
      </c>
      <c r="E4406" s="61" t="s">
        <v>4872</v>
      </c>
      <c r="F4406" s="61" t="s">
        <v>7205</v>
      </c>
      <c r="G4406" s="61" t="s">
        <v>4604</v>
      </c>
      <c r="H4406" s="115"/>
      <c r="I4406" s="85">
        <f t="shared" si="172"/>
        <v>2.9410092689407441</v>
      </c>
      <c r="J4406" s="103">
        <v>872.99</v>
      </c>
      <c r="K4406" s="141" t="s">
        <v>6522</v>
      </c>
      <c r="L4406" s="67">
        <v>61</v>
      </c>
      <c r="M4406" s="54" t="s">
        <v>6728</v>
      </c>
      <c r="S4406"/>
      <c r="T4406"/>
      <c r="U4406"/>
      <c r="V4406"/>
      <c r="W4406"/>
      <c r="X4406"/>
      <c r="Y4406"/>
      <c r="Z4406"/>
    </row>
    <row r="4407" spans="1:26" ht="14" x14ac:dyDescent="0.15">
      <c r="A4407" s="70" t="s">
        <v>3635</v>
      </c>
      <c r="B4407" s="118"/>
      <c r="C4407" s="70" t="s">
        <v>3636</v>
      </c>
      <c r="D4407" s="70" t="s">
        <v>6983</v>
      </c>
      <c r="E4407" s="70" t="s">
        <v>4872</v>
      </c>
      <c r="F4407" s="70" t="s">
        <v>7216</v>
      </c>
      <c r="G4407" s="70" t="s">
        <v>3596</v>
      </c>
      <c r="H4407" s="93"/>
      <c r="I4407" s="85">
        <f t="shared" si="172"/>
        <v>3.7230400000000001</v>
      </c>
      <c r="J4407" s="85">
        <v>5284.9392562302774</v>
      </c>
      <c r="K4407" s="131" t="s">
        <v>3177</v>
      </c>
      <c r="L4407" s="60">
        <v>60</v>
      </c>
      <c r="S4407"/>
      <c r="T4407"/>
      <c r="U4407"/>
      <c r="V4407"/>
      <c r="W4407"/>
      <c r="X4407"/>
      <c r="Y4407"/>
      <c r="Z4407"/>
    </row>
    <row r="4408" spans="1:26" ht="14" x14ac:dyDescent="0.15">
      <c r="A4408" s="70" t="s">
        <v>3635</v>
      </c>
      <c r="B4408" s="118"/>
      <c r="C4408" s="70" t="s">
        <v>3636</v>
      </c>
      <c r="D4408" s="70" t="s">
        <v>6983</v>
      </c>
      <c r="E4408" s="70" t="s">
        <v>4872</v>
      </c>
      <c r="F4408" s="70" t="s">
        <v>3752</v>
      </c>
      <c r="G4408" s="70" t="s">
        <v>2336</v>
      </c>
      <c r="H4408" s="93"/>
      <c r="I4408" s="85">
        <f t="shared" si="172"/>
        <v>3.4366900000000005</v>
      </c>
      <c r="J4408" s="85">
        <v>2733.3169843793216</v>
      </c>
      <c r="K4408" s="131" t="s">
        <v>3177</v>
      </c>
      <c r="L4408" s="60">
        <v>60</v>
      </c>
    </row>
    <row r="4409" spans="1:26" ht="14" x14ac:dyDescent="0.15">
      <c r="A4409" s="73" t="s">
        <v>3635</v>
      </c>
      <c r="B4409" s="118"/>
      <c r="C4409" s="70" t="s">
        <v>3636</v>
      </c>
      <c r="D4409" s="70" t="s">
        <v>6983</v>
      </c>
      <c r="E4409" s="70" t="s">
        <v>4872</v>
      </c>
      <c r="F4409" s="70" t="s">
        <v>7228</v>
      </c>
      <c r="G4409" s="70" t="s">
        <v>7230</v>
      </c>
      <c r="H4409" s="93"/>
      <c r="I4409" s="85">
        <f t="shared" si="172"/>
        <v>2.4448251995097476</v>
      </c>
      <c r="J4409" s="85">
        <v>278.5</v>
      </c>
      <c r="K4409" s="131" t="s">
        <v>6391</v>
      </c>
      <c r="L4409" s="69">
        <v>61</v>
      </c>
      <c r="M4409" s="49" t="s">
        <v>6390</v>
      </c>
    </row>
    <row r="4410" spans="1:26" ht="14" x14ac:dyDescent="0.15">
      <c r="A4410" s="70" t="s">
        <v>3635</v>
      </c>
      <c r="B4410" s="118"/>
      <c r="C4410" s="70" t="s">
        <v>3636</v>
      </c>
      <c r="D4410" s="70" t="s">
        <v>3437</v>
      </c>
      <c r="E4410" s="70" t="s">
        <v>4449</v>
      </c>
      <c r="F4410" s="70" t="s">
        <v>4450</v>
      </c>
      <c r="G4410" s="70" t="s">
        <v>3442</v>
      </c>
      <c r="H4410" s="93"/>
      <c r="I4410" s="85">
        <f t="shared" si="172"/>
        <v>3.9030900000000006</v>
      </c>
      <c r="J4410" s="85">
        <v>8000.0002396172686</v>
      </c>
      <c r="K4410" s="131" t="s">
        <v>3177</v>
      </c>
      <c r="L4410" s="60">
        <v>60</v>
      </c>
    </row>
    <row r="4411" spans="1:26" ht="28" x14ac:dyDescent="0.15">
      <c r="A4411" s="70" t="s">
        <v>3635</v>
      </c>
      <c r="B4411" s="118"/>
      <c r="C4411" s="70" t="s">
        <v>3636</v>
      </c>
      <c r="D4411" s="70" t="s">
        <v>3437</v>
      </c>
      <c r="E4411" s="70" t="s">
        <v>3463</v>
      </c>
      <c r="F4411" s="70" t="s">
        <v>3464</v>
      </c>
      <c r="G4411" s="70" t="s">
        <v>3228</v>
      </c>
      <c r="H4411" s="93"/>
      <c r="I4411" s="85">
        <f t="shared" si="172"/>
        <v>3.0017300000000002</v>
      </c>
      <c r="J4411" s="85">
        <v>1003.9914167817969</v>
      </c>
      <c r="K4411" s="131" t="s">
        <v>6393</v>
      </c>
      <c r="L4411" s="60">
        <v>60</v>
      </c>
      <c r="M4411" s="49" t="s">
        <v>6392</v>
      </c>
    </row>
    <row r="4412" spans="1:26" ht="14" x14ac:dyDescent="0.15">
      <c r="A4412" s="70" t="s">
        <v>3635</v>
      </c>
      <c r="B4412" s="118"/>
      <c r="C4412" s="70" t="s">
        <v>3636</v>
      </c>
      <c r="D4412" s="70" t="s">
        <v>3437</v>
      </c>
      <c r="E4412" s="70" t="s">
        <v>6262</v>
      </c>
      <c r="F4412" s="70" t="s">
        <v>6263</v>
      </c>
      <c r="G4412" s="70" t="s">
        <v>3939</v>
      </c>
      <c r="H4412" s="93"/>
      <c r="I4412" s="85">
        <f t="shared" si="172"/>
        <v>4.3388547462523235</v>
      </c>
      <c r="J4412" s="85">
        <v>21820</v>
      </c>
      <c r="K4412" s="131" t="s">
        <v>3177</v>
      </c>
      <c r="L4412" s="60">
        <v>75</v>
      </c>
    </row>
    <row r="4413" spans="1:26" ht="14" x14ac:dyDescent="0.15">
      <c r="A4413" s="70" t="s">
        <v>3635</v>
      </c>
      <c r="B4413" s="118"/>
      <c r="C4413" s="70" t="s">
        <v>3636</v>
      </c>
      <c r="D4413" s="70" t="s">
        <v>3437</v>
      </c>
      <c r="E4413" s="70" t="s">
        <v>3070</v>
      </c>
      <c r="F4413" s="70" t="s">
        <v>2781</v>
      </c>
      <c r="G4413" s="70" t="s">
        <v>6305</v>
      </c>
      <c r="H4413" s="93"/>
      <c r="I4413" s="85">
        <f t="shared" si="172"/>
        <v>3.4273200000000004</v>
      </c>
      <c r="J4413" s="85">
        <v>2674.9766783555733</v>
      </c>
      <c r="K4413" s="131" t="s">
        <v>3177</v>
      </c>
      <c r="L4413" s="60">
        <v>60</v>
      </c>
    </row>
    <row r="4414" spans="1:26" ht="14" x14ac:dyDescent="0.15">
      <c r="A4414" s="73" t="s">
        <v>3635</v>
      </c>
      <c r="B4414" s="118"/>
      <c r="C4414" s="70" t="s">
        <v>3636</v>
      </c>
      <c r="D4414" s="70" t="s">
        <v>3437</v>
      </c>
      <c r="E4414" s="70" t="s">
        <v>3070</v>
      </c>
      <c r="F4414" s="70" t="s">
        <v>2781</v>
      </c>
      <c r="G4414" s="70" t="s">
        <v>4194</v>
      </c>
      <c r="H4414" s="93"/>
      <c r="I4414" s="85">
        <f t="shared" si="172"/>
        <v>3.6989700000000001</v>
      </c>
      <c r="J4414" s="85">
        <v>4999.9999500797403</v>
      </c>
      <c r="K4414" s="131" t="s">
        <v>6817</v>
      </c>
      <c r="L4414" s="69">
        <v>66</v>
      </c>
      <c r="M4414" s="49" t="s">
        <v>6392</v>
      </c>
    </row>
    <row r="4415" spans="1:26" ht="14" x14ac:dyDescent="0.15">
      <c r="A4415" s="70" t="s">
        <v>3635</v>
      </c>
      <c r="B4415" s="118"/>
      <c r="C4415" s="70" t="s">
        <v>3636</v>
      </c>
      <c r="D4415" s="70" t="s">
        <v>3437</v>
      </c>
      <c r="E4415" s="70" t="s">
        <v>5992</v>
      </c>
      <c r="F4415" s="70" t="s">
        <v>6216</v>
      </c>
      <c r="G4415" s="70" t="s">
        <v>6217</v>
      </c>
      <c r="H4415" s="93"/>
      <c r="I4415" s="85">
        <f t="shared" si="172"/>
        <v>1.3483000000000003</v>
      </c>
      <c r="J4415" s="85">
        <v>22.299750295314972</v>
      </c>
      <c r="K4415" s="131" t="s">
        <v>3177</v>
      </c>
      <c r="L4415" s="60">
        <v>60</v>
      </c>
    </row>
    <row r="4416" spans="1:26" ht="14" x14ac:dyDescent="0.15">
      <c r="A4416" s="73" t="s">
        <v>3635</v>
      </c>
      <c r="B4416" s="118"/>
      <c r="C4416" s="70" t="s">
        <v>3636</v>
      </c>
      <c r="D4416" s="70" t="s">
        <v>3437</v>
      </c>
      <c r="E4416" s="70" t="s">
        <v>5992</v>
      </c>
      <c r="F4416" s="70" t="s">
        <v>6218</v>
      </c>
      <c r="G4416" s="70" t="s">
        <v>6219</v>
      </c>
      <c r="H4416" s="93"/>
      <c r="I4416" s="85">
        <f t="shared" si="172"/>
        <v>1.23363</v>
      </c>
      <c r="J4416" s="85">
        <v>17.124977123103772</v>
      </c>
      <c r="K4416" s="131" t="s">
        <v>3177</v>
      </c>
      <c r="L4416" s="60">
        <v>60</v>
      </c>
    </row>
    <row r="4417" spans="1:16" ht="14" x14ac:dyDescent="0.15">
      <c r="A4417" s="70" t="s">
        <v>3635</v>
      </c>
      <c r="B4417" s="118"/>
      <c r="C4417" s="70" t="s">
        <v>3636</v>
      </c>
      <c r="D4417" s="70" t="s">
        <v>3437</v>
      </c>
      <c r="E4417" s="70" t="s">
        <v>5992</v>
      </c>
      <c r="F4417" s="70" t="s">
        <v>6218</v>
      </c>
      <c r="G4417" s="70" t="s">
        <v>6220</v>
      </c>
      <c r="H4417" s="93"/>
      <c r="I4417" s="85">
        <f t="shared" si="172"/>
        <v>1.4393300000000002</v>
      </c>
      <c r="J4417" s="85">
        <v>27.499829424260373</v>
      </c>
      <c r="K4417" s="131" t="s">
        <v>6816</v>
      </c>
      <c r="L4417" s="60">
        <v>60</v>
      </c>
      <c r="M4417" s="49" t="s">
        <v>6392</v>
      </c>
    </row>
    <row r="4418" spans="1:16" ht="16" x14ac:dyDescent="0.2">
      <c r="A4418" s="70" t="s">
        <v>3635</v>
      </c>
      <c r="B4418" s="118"/>
      <c r="C4418" s="70" t="s">
        <v>3636</v>
      </c>
      <c r="D4418" s="70" t="s">
        <v>3437</v>
      </c>
      <c r="E4418" s="70" t="s">
        <v>5992</v>
      </c>
      <c r="F4418" s="70" t="s">
        <v>6218</v>
      </c>
      <c r="G4418" s="70" t="s">
        <v>3609</v>
      </c>
      <c r="H4418" s="93"/>
      <c r="I4418" s="85">
        <f t="shared" si="172"/>
        <v>1.4624000000000001</v>
      </c>
      <c r="J4418" s="85">
        <v>29.000133690540697</v>
      </c>
      <c r="K4418" s="131"/>
      <c r="L4418" s="60">
        <v>60</v>
      </c>
      <c r="N4418" s="48"/>
    </row>
    <row r="4419" spans="1:16" ht="14" x14ac:dyDescent="0.15">
      <c r="A4419" s="70" t="s">
        <v>3635</v>
      </c>
      <c r="B4419" s="118"/>
      <c r="C4419" s="70" t="s">
        <v>3636</v>
      </c>
      <c r="D4419" s="70" t="s">
        <v>3437</v>
      </c>
      <c r="E4419" s="70" t="s">
        <v>6221</v>
      </c>
      <c r="F4419" s="70" t="s">
        <v>6344</v>
      </c>
      <c r="G4419" s="70" t="s">
        <v>6178</v>
      </c>
      <c r="H4419" s="93"/>
      <c r="I4419" s="85">
        <f t="shared" si="172"/>
        <v>2.3802100000000004</v>
      </c>
      <c r="J4419" s="85">
        <v>239.99931380578897</v>
      </c>
      <c r="K4419" s="131" t="s">
        <v>3177</v>
      </c>
      <c r="L4419" s="60">
        <v>60</v>
      </c>
    </row>
    <row r="4420" spans="1:16" ht="14" x14ac:dyDescent="0.15">
      <c r="A4420" s="70" t="s">
        <v>3635</v>
      </c>
      <c r="B4420" s="118"/>
      <c r="C4420" s="70" t="s">
        <v>3636</v>
      </c>
      <c r="D4420" s="70" t="s">
        <v>3437</v>
      </c>
      <c r="E4420" s="70" t="s">
        <v>5178</v>
      </c>
      <c r="F4420" s="70" t="s">
        <v>5179</v>
      </c>
      <c r="G4420" s="70" t="s">
        <v>6403</v>
      </c>
      <c r="H4420" s="93"/>
      <c r="I4420" s="85">
        <f t="shared" si="172"/>
        <v>3.8503600000000002</v>
      </c>
      <c r="J4420" s="85">
        <v>7085.3286562285093</v>
      </c>
      <c r="K4420" s="131" t="s">
        <v>3177</v>
      </c>
      <c r="L4420" s="60">
        <v>60</v>
      </c>
    </row>
    <row r="4421" spans="1:16" ht="14" x14ac:dyDescent="0.15">
      <c r="A4421" s="70" t="s">
        <v>3635</v>
      </c>
      <c r="B4421" s="118"/>
      <c r="C4421" s="70" t="s">
        <v>3636</v>
      </c>
      <c r="D4421" s="70" t="s">
        <v>3437</v>
      </c>
      <c r="E4421" s="70" t="s">
        <v>5178</v>
      </c>
      <c r="F4421" s="70" t="s">
        <v>5672</v>
      </c>
      <c r="G4421" s="70" t="s">
        <v>3833</v>
      </c>
      <c r="H4421" s="93"/>
      <c r="I4421" s="85">
        <f t="shared" si="172"/>
        <v>3.3010299956639813</v>
      </c>
      <c r="J4421" s="85">
        <v>2000</v>
      </c>
      <c r="K4421" s="131" t="s">
        <v>6485</v>
      </c>
      <c r="L4421" s="60">
        <v>68</v>
      </c>
    </row>
    <row r="4422" spans="1:16" ht="14" x14ac:dyDescent="0.15">
      <c r="A4422" s="70" t="s">
        <v>3635</v>
      </c>
      <c r="B4422" s="118"/>
      <c r="C4422" s="73" t="s">
        <v>3636</v>
      </c>
      <c r="D4422" s="73" t="s">
        <v>3437</v>
      </c>
      <c r="E4422" s="70" t="s">
        <v>5334</v>
      </c>
      <c r="F4422" s="73" t="s">
        <v>5335</v>
      </c>
      <c r="G4422" s="73" t="s">
        <v>7952</v>
      </c>
      <c r="H4422" s="108"/>
      <c r="I4422" s="85">
        <f t="shared" si="172"/>
        <v>1.9294189257142926</v>
      </c>
      <c r="J4422" s="95">
        <v>85</v>
      </c>
      <c r="K4422" s="131" t="s">
        <v>3177</v>
      </c>
      <c r="L4422" s="69">
        <v>75</v>
      </c>
    </row>
    <row r="4423" spans="1:16" ht="14" x14ac:dyDescent="0.15">
      <c r="A4423" s="70" t="s">
        <v>3635</v>
      </c>
      <c r="B4423" s="118"/>
      <c r="C4423" s="70" t="s">
        <v>3636</v>
      </c>
      <c r="D4423" s="70" t="s">
        <v>3437</v>
      </c>
      <c r="E4423" s="70" t="s">
        <v>5334</v>
      </c>
      <c r="F4423" s="70" t="s">
        <v>5335</v>
      </c>
      <c r="G4423" s="70" t="s">
        <v>7951</v>
      </c>
      <c r="H4423" s="93"/>
      <c r="I4423" s="85">
        <f t="shared" si="172"/>
        <v>2.3091000000000004</v>
      </c>
      <c r="J4423" s="85">
        <v>203.75111779830044</v>
      </c>
      <c r="K4423" s="131" t="s">
        <v>3177</v>
      </c>
      <c r="L4423" s="60">
        <v>60</v>
      </c>
    </row>
    <row r="4424" spans="1:16" ht="14" x14ac:dyDescent="0.15">
      <c r="A4424" s="70" t="s">
        <v>3635</v>
      </c>
      <c r="B4424" s="118"/>
      <c r="C4424" s="70" t="s">
        <v>3636</v>
      </c>
      <c r="D4424" s="70" t="s">
        <v>3437</v>
      </c>
      <c r="E4424" s="70" t="s">
        <v>5334</v>
      </c>
      <c r="F4424" s="70" t="s">
        <v>5335</v>
      </c>
      <c r="G4424" s="70" t="s">
        <v>5336</v>
      </c>
      <c r="H4424" s="93"/>
      <c r="I4424" s="85">
        <f t="shared" si="172"/>
        <v>2.3138700000000005</v>
      </c>
      <c r="J4424" s="85">
        <v>206.00131847354913</v>
      </c>
      <c r="K4424" s="131" t="s">
        <v>6816</v>
      </c>
      <c r="L4424" s="60">
        <v>60</v>
      </c>
      <c r="M4424" s="49" t="s">
        <v>6392</v>
      </c>
    </row>
    <row r="4425" spans="1:16" ht="28" x14ac:dyDescent="0.15">
      <c r="A4425" s="70" t="s">
        <v>3635</v>
      </c>
      <c r="B4425" s="118"/>
      <c r="C4425" s="70" t="s">
        <v>3636</v>
      </c>
      <c r="D4425" s="70" t="s">
        <v>3437</v>
      </c>
      <c r="E4425" s="70" t="s">
        <v>5334</v>
      </c>
      <c r="F4425" s="70" t="s">
        <v>5335</v>
      </c>
      <c r="G4425" s="70" t="s">
        <v>3899</v>
      </c>
      <c r="H4425" s="93"/>
      <c r="I4425" s="85">
        <f t="shared" si="172"/>
        <v>2.5440700000000005</v>
      </c>
      <c r="J4425" s="85">
        <v>350.00157607101471</v>
      </c>
      <c r="K4425" s="131" t="s">
        <v>7875</v>
      </c>
      <c r="L4425" s="69">
        <v>66</v>
      </c>
      <c r="M4425" s="49" t="s">
        <v>6728</v>
      </c>
      <c r="P4425" s="51"/>
    </row>
    <row r="4426" spans="1:16" ht="14" x14ac:dyDescent="0.15">
      <c r="A4426" s="70" t="s">
        <v>3635</v>
      </c>
      <c r="B4426" s="118"/>
      <c r="C4426" s="70" t="s">
        <v>3636</v>
      </c>
      <c r="D4426" s="70" t="s">
        <v>3437</v>
      </c>
      <c r="E4426" s="70" t="s">
        <v>5334</v>
      </c>
      <c r="F4426" s="70" t="s">
        <v>5335</v>
      </c>
      <c r="G4426" s="70" t="s">
        <v>3075</v>
      </c>
      <c r="H4426" s="93"/>
      <c r="I4426" s="85">
        <f t="shared" si="172"/>
        <v>2.5987900000000006</v>
      </c>
      <c r="J4426" s="85">
        <v>396.99953675478844</v>
      </c>
      <c r="K4426" s="131" t="s">
        <v>6816</v>
      </c>
      <c r="L4426" s="69">
        <v>66</v>
      </c>
      <c r="M4426" s="49" t="s">
        <v>6392</v>
      </c>
      <c r="P4426" s="51"/>
    </row>
    <row r="4427" spans="1:16" ht="14" x14ac:dyDescent="0.15">
      <c r="A4427" s="73" t="s">
        <v>3635</v>
      </c>
      <c r="B4427" s="117" t="s">
        <v>5871</v>
      </c>
      <c r="C4427" s="73" t="s">
        <v>3636</v>
      </c>
      <c r="D4427" s="73" t="s">
        <v>3437</v>
      </c>
      <c r="E4427" s="73" t="s">
        <v>5334</v>
      </c>
      <c r="F4427" s="73" t="s">
        <v>7953</v>
      </c>
      <c r="G4427" s="73" t="s">
        <v>6206</v>
      </c>
      <c r="H4427" s="108"/>
      <c r="I4427" s="85">
        <v>-999</v>
      </c>
      <c r="J4427" s="95">
        <v>-999</v>
      </c>
      <c r="K4427" s="131" t="s">
        <v>3177</v>
      </c>
      <c r="L4427" s="60">
        <v>-999</v>
      </c>
      <c r="M4427" s="33"/>
    </row>
    <row r="4428" spans="1:16" ht="14" x14ac:dyDescent="0.15">
      <c r="A4428" s="70" t="s">
        <v>3635</v>
      </c>
      <c r="B4428" s="117" t="s">
        <v>5872</v>
      </c>
      <c r="C4428" s="70" t="s">
        <v>3636</v>
      </c>
      <c r="D4428" s="70" t="s">
        <v>3437</v>
      </c>
      <c r="E4428" s="70" t="s">
        <v>5334</v>
      </c>
      <c r="F4428" s="70" t="s">
        <v>7953</v>
      </c>
      <c r="G4428" s="70" t="s">
        <v>6207</v>
      </c>
      <c r="H4428" s="93"/>
      <c r="I4428" s="85">
        <v>-999</v>
      </c>
      <c r="J4428" s="85">
        <v>-999</v>
      </c>
      <c r="K4428" s="131" t="s">
        <v>3177</v>
      </c>
      <c r="L4428" s="60">
        <v>-999</v>
      </c>
      <c r="M4428" s="33"/>
    </row>
    <row r="4429" spans="1:16" ht="14" x14ac:dyDescent="0.15">
      <c r="A4429" s="70" t="s">
        <v>3635</v>
      </c>
      <c r="B4429" s="117" t="s">
        <v>2557</v>
      </c>
      <c r="C4429" s="70" t="s">
        <v>3636</v>
      </c>
      <c r="D4429" s="70" t="s">
        <v>3437</v>
      </c>
      <c r="E4429" s="70" t="s">
        <v>5334</v>
      </c>
      <c r="F4429" s="70" t="s">
        <v>7953</v>
      </c>
      <c r="G4429" s="70" t="s">
        <v>6204</v>
      </c>
      <c r="H4429" s="93"/>
      <c r="I4429" s="85">
        <f t="shared" ref="I4429:I4455" si="173">LOG(J4429)</f>
        <v>2.3521825181113627</v>
      </c>
      <c r="J4429" s="85">
        <v>225</v>
      </c>
      <c r="K4429" s="131" t="s">
        <v>6391</v>
      </c>
      <c r="L4429" s="60" t="s">
        <v>7553</v>
      </c>
      <c r="M4429" s="33" t="s">
        <v>6392</v>
      </c>
    </row>
    <row r="4430" spans="1:16" ht="14" x14ac:dyDescent="0.15">
      <c r="A4430" s="70" t="s">
        <v>3635</v>
      </c>
      <c r="B4430" s="117" t="s">
        <v>2557</v>
      </c>
      <c r="C4430" s="70" t="s">
        <v>3636</v>
      </c>
      <c r="D4430" s="70" t="s">
        <v>3437</v>
      </c>
      <c r="E4430" s="70" t="s">
        <v>5334</v>
      </c>
      <c r="F4430" s="70" t="s">
        <v>7953</v>
      </c>
      <c r="G4430" s="70" t="s">
        <v>6487</v>
      </c>
      <c r="H4430" s="93"/>
      <c r="I4430" s="85">
        <f t="shared" si="173"/>
        <v>2.3979400086720375</v>
      </c>
      <c r="J4430" s="85">
        <v>250</v>
      </c>
      <c r="K4430" s="131" t="s">
        <v>3177</v>
      </c>
      <c r="L4430" s="60">
        <v>72</v>
      </c>
      <c r="P4430" s="51"/>
    </row>
    <row r="4431" spans="1:16" ht="14" x14ac:dyDescent="0.15">
      <c r="A4431" s="70" t="s">
        <v>3635</v>
      </c>
      <c r="B4431" s="118"/>
      <c r="C4431" s="70" t="s">
        <v>3636</v>
      </c>
      <c r="D4431" s="70" t="s">
        <v>3437</v>
      </c>
      <c r="E4431" s="70" t="s">
        <v>5334</v>
      </c>
      <c r="F4431" s="70" t="s">
        <v>7953</v>
      </c>
      <c r="G4431" s="70" t="s">
        <v>4028</v>
      </c>
      <c r="H4431" s="93"/>
      <c r="I4431" s="85">
        <f t="shared" si="173"/>
        <v>2.6989700000000005</v>
      </c>
      <c r="J4431" s="85">
        <v>499.99999500797441</v>
      </c>
      <c r="K4431" s="131" t="s">
        <v>6816</v>
      </c>
      <c r="L4431" s="69">
        <v>66</v>
      </c>
      <c r="M4431" s="49" t="s">
        <v>6809</v>
      </c>
      <c r="P4431" s="51"/>
    </row>
    <row r="4432" spans="1:16" ht="14" x14ac:dyDescent="0.15">
      <c r="A4432" s="70" t="s">
        <v>3635</v>
      </c>
      <c r="B4432" s="118"/>
      <c r="C4432" s="70" t="s">
        <v>3636</v>
      </c>
      <c r="D4432" s="70" t="s">
        <v>3437</v>
      </c>
      <c r="E4432" s="70" t="s">
        <v>5334</v>
      </c>
      <c r="F4432" s="70" t="s">
        <v>7953</v>
      </c>
      <c r="G4432" s="70" t="s">
        <v>6343</v>
      </c>
      <c r="H4432" s="93"/>
      <c r="I4432" s="85">
        <f t="shared" si="173"/>
        <v>2.6989700000000005</v>
      </c>
      <c r="J4432" s="85">
        <v>499.99999500797441</v>
      </c>
      <c r="K4432" s="131" t="s">
        <v>3177</v>
      </c>
      <c r="L4432" s="69">
        <v>66</v>
      </c>
      <c r="P4432" s="51"/>
    </row>
    <row r="4433" spans="1:16" ht="14" x14ac:dyDescent="0.15">
      <c r="A4433" s="73" t="s">
        <v>3635</v>
      </c>
      <c r="B4433" s="118"/>
      <c r="C4433" s="70" t="s">
        <v>3636</v>
      </c>
      <c r="D4433" s="70" t="s">
        <v>3437</v>
      </c>
      <c r="E4433" s="70" t="s">
        <v>5334</v>
      </c>
      <c r="F4433" s="70" t="s">
        <v>7953</v>
      </c>
      <c r="G4433" s="70" t="s">
        <v>3992</v>
      </c>
      <c r="H4433" s="93"/>
      <c r="I4433" s="85">
        <f t="shared" si="173"/>
        <v>2.6989700000000005</v>
      </c>
      <c r="J4433" s="85">
        <v>499.99999500797441</v>
      </c>
      <c r="K4433" s="131" t="s">
        <v>3177</v>
      </c>
      <c r="L4433" s="69">
        <v>66</v>
      </c>
      <c r="P4433" s="51"/>
    </row>
    <row r="4434" spans="1:16" ht="14" x14ac:dyDescent="0.15">
      <c r="A4434" s="70" t="s">
        <v>3635</v>
      </c>
      <c r="B4434" s="118"/>
      <c r="C4434" s="70" t="s">
        <v>3636</v>
      </c>
      <c r="D4434" s="70" t="s">
        <v>3437</v>
      </c>
      <c r="E4434" s="70" t="s">
        <v>5334</v>
      </c>
      <c r="F4434" s="70" t="s">
        <v>7953</v>
      </c>
      <c r="G4434" s="70" t="s">
        <v>7954</v>
      </c>
      <c r="H4434" s="93"/>
      <c r="I4434" s="85">
        <f t="shared" si="173"/>
        <v>2.6989700000000005</v>
      </c>
      <c r="J4434" s="85">
        <v>499.99999500797441</v>
      </c>
      <c r="K4434" s="131" t="s">
        <v>3177</v>
      </c>
      <c r="L4434" s="69">
        <v>66</v>
      </c>
      <c r="P4434" s="51"/>
    </row>
    <row r="4435" spans="1:16" ht="14" x14ac:dyDescent="0.15">
      <c r="A4435" s="70" t="s">
        <v>3635</v>
      </c>
      <c r="B4435" s="117" t="s">
        <v>2557</v>
      </c>
      <c r="C4435" s="70" t="s">
        <v>3636</v>
      </c>
      <c r="D4435" s="70" t="s">
        <v>3437</v>
      </c>
      <c r="E4435" s="70" t="s">
        <v>5334</v>
      </c>
      <c r="F4435" s="70" t="s">
        <v>7953</v>
      </c>
      <c r="G4435" s="70" t="s">
        <v>6205</v>
      </c>
      <c r="H4435" s="93"/>
      <c r="I4435" s="85">
        <f t="shared" si="173"/>
        <v>2.7888751157754168</v>
      </c>
      <c r="J4435" s="85">
        <v>615</v>
      </c>
      <c r="K4435" s="131" t="s">
        <v>6391</v>
      </c>
      <c r="L4435" s="60">
        <v>72</v>
      </c>
      <c r="M4435" s="49" t="s">
        <v>6392</v>
      </c>
      <c r="P4435" s="51"/>
    </row>
    <row r="4436" spans="1:16" ht="14" x14ac:dyDescent="0.15">
      <c r="A4436" s="70" t="s">
        <v>3635</v>
      </c>
      <c r="B4436" s="117" t="s">
        <v>2270</v>
      </c>
      <c r="C4436" s="70" t="s">
        <v>3636</v>
      </c>
      <c r="D4436" s="70" t="s">
        <v>3437</v>
      </c>
      <c r="E4436" s="70" t="s">
        <v>5334</v>
      </c>
      <c r="F4436" s="70" t="s">
        <v>7953</v>
      </c>
      <c r="G4436" s="70" t="s">
        <v>6203</v>
      </c>
      <c r="H4436" s="93"/>
      <c r="I4436" s="85">
        <f t="shared" si="173"/>
        <v>2.8129133566428557</v>
      </c>
      <c r="J4436" s="85">
        <v>650</v>
      </c>
      <c r="K4436" s="131" t="s">
        <v>3177</v>
      </c>
      <c r="L4436" s="60">
        <v>72</v>
      </c>
      <c r="P4436" s="51"/>
    </row>
    <row r="4437" spans="1:16" ht="14" x14ac:dyDescent="0.15">
      <c r="A4437" s="70" t="s">
        <v>3635</v>
      </c>
      <c r="B4437" s="118"/>
      <c r="C4437" s="73" t="s">
        <v>3636</v>
      </c>
      <c r="D4437" s="73" t="s">
        <v>3437</v>
      </c>
      <c r="E4437" s="70" t="s">
        <v>5334</v>
      </c>
      <c r="F4437" s="73" t="s">
        <v>7955</v>
      </c>
      <c r="G4437" s="73" t="s">
        <v>7961</v>
      </c>
      <c r="H4437" s="108"/>
      <c r="I4437" s="85">
        <f t="shared" si="173"/>
        <v>2.1760900000000003</v>
      </c>
      <c r="J4437" s="95">
        <v>149.99956513820399</v>
      </c>
      <c r="K4437" s="131" t="s">
        <v>6662</v>
      </c>
      <c r="L4437" s="69">
        <v>66</v>
      </c>
      <c r="M4437" s="49" t="s">
        <v>6728</v>
      </c>
    </row>
    <row r="4438" spans="1:16" ht="14" x14ac:dyDescent="0.15">
      <c r="A4438" s="70" t="s">
        <v>3635</v>
      </c>
      <c r="B4438" s="118"/>
      <c r="C4438" s="70" t="s">
        <v>3636</v>
      </c>
      <c r="D4438" s="70" t="s">
        <v>3437</v>
      </c>
      <c r="E4438" s="70" t="s">
        <v>5334</v>
      </c>
      <c r="F4438" s="70" t="s">
        <v>7955</v>
      </c>
      <c r="G4438" s="70" t="s">
        <v>3348</v>
      </c>
      <c r="H4438" s="93"/>
      <c r="I4438" s="85">
        <f t="shared" si="173"/>
        <v>2.1760900000000003</v>
      </c>
      <c r="J4438" s="85">
        <v>149.99956513820399</v>
      </c>
      <c r="K4438" s="131" t="s">
        <v>3177</v>
      </c>
      <c r="L4438" s="69">
        <v>66</v>
      </c>
    </row>
    <row r="4439" spans="1:16" ht="14" x14ac:dyDescent="0.15">
      <c r="A4439" s="70" t="s">
        <v>3635</v>
      </c>
      <c r="B4439" s="118"/>
      <c r="C4439" s="70" t="s">
        <v>3636</v>
      </c>
      <c r="D4439" s="70" t="s">
        <v>3437</v>
      </c>
      <c r="E4439" s="70" t="s">
        <v>5334</v>
      </c>
      <c r="F4439" s="70" t="s">
        <v>7955</v>
      </c>
      <c r="G4439" s="70" t="s">
        <v>3164</v>
      </c>
      <c r="H4439" s="93"/>
      <c r="I4439" s="85">
        <f t="shared" si="173"/>
        <v>2.1760900000000003</v>
      </c>
      <c r="J4439" s="85">
        <v>149.99956513820399</v>
      </c>
      <c r="K4439" s="131" t="s">
        <v>6630</v>
      </c>
      <c r="L4439" s="69">
        <v>66</v>
      </c>
      <c r="M4439" s="49" t="s">
        <v>6392</v>
      </c>
    </row>
    <row r="4440" spans="1:16" ht="14" x14ac:dyDescent="0.15">
      <c r="A4440" s="70" t="s">
        <v>3635</v>
      </c>
      <c r="B4440" s="118"/>
      <c r="C4440" s="73" t="s">
        <v>3636</v>
      </c>
      <c r="D4440" s="73" t="s">
        <v>3437</v>
      </c>
      <c r="E4440" s="70" t="s">
        <v>5334</v>
      </c>
      <c r="F4440" s="73" t="s">
        <v>7955</v>
      </c>
      <c r="G4440" s="73" t="s">
        <v>5924</v>
      </c>
      <c r="H4440" s="108"/>
      <c r="I4440" s="85">
        <f t="shared" si="173"/>
        <v>2.1760900000000003</v>
      </c>
      <c r="J4440" s="95">
        <v>149.99956513820399</v>
      </c>
      <c r="K4440" s="131" t="s">
        <v>6630</v>
      </c>
      <c r="L4440" s="69">
        <v>66</v>
      </c>
      <c r="M4440" s="49" t="s">
        <v>6809</v>
      </c>
    </row>
    <row r="4441" spans="1:16" ht="14" x14ac:dyDescent="0.15">
      <c r="A4441" s="70" t="s">
        <v>3635</v>
      </c>
      <c r="B4441" s="118"/>
      <c r="C4441" s="70" t="s">
        <v>3636</v>
      </c>
      <c r="D4441" s="70" t="s">
        <v>3437</v>
      </c>
      <c r="E4441" s="70" t="s">
        <v>5334</v>
      </c>
      <c r="F4441" s="70" t="s">
        <v>7955</v>
      </c>
      <c r="G4441" s="70" t="s">
        <v>3356</v>
      </c>
      <c r="H4441" s="93"/>
      <c r="I4441" s="85">
        <f t="shared" si="173"/>
        <v>2.1760900000000003</v>
      </c>
      <c r="J4441" s="85">
        <v>149.99956513820399</v>
      </c>
      <c r="K4441" s="131" t="s">
        <v>6630</v>
      </c>
      <c r="L4441" s="69">
        <v>66</v>
      </c>
      <c r="M4441" s="49" t="s">
        <v>6392</v>
      </c>
    </row>
    <row r="4442" spans="1:16" ht="14" x14ac:dyDescent="0.15">
      <c r="A4442" s="70" t="s">
        <v>3635</v>
      </c>
      <c r="B4442" s="118"/>
      <c r="C4442" s="70" t="s">
        <v>3636</v>
      </c>
      <c r="D4442" s="70" t="s">
        <v>3437</v>
      </c>
      <c r="E4442" s="70" t="s">
        <v>5334</v>
      </c>
      <c r="F4442" s="70" t="s">
        <v>7955</v>
      </c>
      <c r="G4442" s="70" t="s">
        <v>3165</v>
      </c>
      <c r="H4442" s="93"/>
      <c r="I4442" s="85">
        <f t="shared" si="173"/>
        <v>2.39622</v>
      </c>
      <c r="J4442" s="85">
        <v>249.011841493861</v>
      </c>
      <c r="K4442" s="131" t="s">
        <v>6630</v>
      </c>
      <c r="L4442" s="60">
        <v>60</v>
      </c>
      <c r="M4442" s="49" t="s">
        <v>6392</v>
      </c>
    </row>
    <row r="4443" spans="1:16" ht="14" x14ac:dyDescent="0.15">
      <c r="A4443" s="70" t="s">
        <v>3635</v>
      </c>
      <c r="B4443" s="118"/>
      <c r="C4443" s="70" t="s">
        <v>3636</v>
      </c>
      <c r="D4443" s="70" t="s">
        <v>3437</v>
      </c>
      <c r="E4443" s="70" t="s">
        <v>5334</v>
      </c>
      <c r="F4443" s="70" t="s">
        <v>7955</v>
      </c>
      <c r="G4443" s="70" t="s">
        <v>3163</v>
      </c>
      <c r="H4443" s="93"/>
      <c r="I4443" s="85">
        <f t="shared" si="173"/>
        <v>2.4009700000000005</v>
      </c>
      <c r="J4443" s="85">
        <v>251.75030188046443</v>
      </c>
      <c r="K4443" s="131" t="s">
        <v>3177</v>
      </c>
      <c r="L4443" s="60">
        <v>60</v>
      </c>
      <c r="P4443" s="51"/>
    </row>
    <row r="4444" spans="1:16" ht="14" x14ac:dyDescent="0.15">
      <c r="A4444" s="73" t="s">
        <v>3635</v>
      </c>
      <c r="B4444" s="118"/>
      <c r="C4444" s="70" t="s">
        <v>3636</v>
      </c>
      <c r="D4444" s="70" t="s">
        <v>3437</v>
      </c>
      <c r="E4444" s="70" t="s">
        <v>5334</v>
      </c>
      <c r="F4444" s="70" t="s">
        <v>7955</v>
      </c>
      <c r="G4444" s="70" t="s">
        <v>2130</v>
      </c>
      <c r="H4444" s="93"/>
      <c r="I4444" s="85">
        <f t="shared" si="173"/>
        <v>2.6232500000000001</v>
      </c>
      <c r="J4444" s="85">
        <v>420.00068624663163</v>
      </c>
      <c r="K4444" s="131" t="s">
        <v>3177</v>
      </c>
      <c r="L4444" s="60">
        <v>60</v>
      </c>
      <c r="P4444" s="51"/>
    </row>
    <row r="4445" spans="1:16" ht="14" x14ac:dyDescent="0.15">
      <c r="A4445" s="70" t="s">
        <v>3635</v>
      </c>
      <c r="B4445" s="118"/>
      <c r="C4445" s="70" t="s">
        <v>3636</v>
      </c>
      <c r="D4445" s="70" t="s">
        <v>3437</v>
      </c>
      <c r="E4445" s="70" t="s">
        <v>5334</v>
      </c>
      <c r="F4445" s="70" t="s">
        <v>7955</v>
      </c>
      <c r="G4445" s="70" t="s">
        <v>6178</v>
      </c>
      <c r="H4445" s="93"/>
      <c r="I4445" s="85">
        <f t="shared" si="173"/>
        <v>2.7781500000000001</v>
      </c>
      <c r="J4445" s="85">
        <v>599.99827253364413</v>
      </c>
      <c r="K4445" s="131" t="s">
        <v>3177</v>
      </c>
      <c r="L4445" s="69">
        <v>66</v>
      </c>
      <c r="P4445" s="51"/>
    </row>
    <row r="4446" spans="1:16" ht="14" x14ac:dyDescent="0.15">
      <c r="A4446" s="70" t="s">
        <v>3635</v>
      </c>
      <c r="B4446" s="117" t="s">
        <v>6813</v>
      </c>
      <c r="C4446" s="70" t="s">
        <v>3636</v>
      </c>
      <c r="D4446" s="70" t="s">
        <v>3437</v>
      </c>
      <c r="E4446" s="70" t="s">
        <v>5334</v>
      </c>
      <c r="F4446" s="70" t="s">
        <v>3357</v>
      </c>
      <c r="G4446" s="70" t="s">
        <v>6368</v>
      </c>
      <c r="H4446" s="93"/>
      <c r="I4446" s="85">
        <f t="shared" si="173"/>
        <v>1.7634279935629373</v>
      </c>
      <c r="J4446" s="85">
        <f>AVERAGE(44, 72)</f>
        <v>58</v>
      </c>
      <c r="K4446" s="131" t="s">
        <v>3177</v>
      </c>
      <c r="L4446" s="60" t="s">
        <v>255</v>
      </c>
      <c r="M4446" s="33"/>
    </row>
    <row r="4447" spans="1:16" ht="28" x14ac:dyDescent="0.15">
      <c r="A4447" s="70" t="s">
        <v>3635</v>
      </c>
      <c r="B4447" s="117" t="s">
        <v>7519</v>
      </c>
      <c r="C4447" s="70" t="s">
        <v>3636</v>
      </c>
      <c r="D4447" s="70" t="s">
        <v>3437</v>
      </c>
      <c r="E4447" s="70" t="s">
        <v>5334</v>
      </c>
      <c r="F4447" s="70" t="s">
        <v>3357</v>
      </c>
      <c r="G4447" s="70" t="s">
        <v>4027</v>
      </c>
      <c r="H4447" s="93"/>
      <c r="I4447" s="85">
        <f t="shared" si="173"/>
        <v>1.8260748027008264</v>
      </c>
      <c r="J4447" s="85">
        <f>AVERAGE(46,88)</f>
        <v>67</v>
      </c>
      <c r="K4447" s="131" t="s">
        <v>6519</v>
      </c>
      <c r="L4447" s="60" t="s">
        <v>255</v>
      </c>
      <c r="M4447" s="33" t="s">
        <v>6392</v>
      </c>
    </row>
    <row r="4448" spans="1:16" ht="28" x14ac:dyDescent="0.15">
      <c r="A4448" s="70" t="s">
        <v>3635</v>
      </c>
      <c r="B4448" s="118"/>
      <c r="C4448" s="70" t="s">
        <v>3636</v>
      </c>
      <c r="D4448" s="70" t="s">
        <v>3437</v>
      </c>
      <c r="E4448" s="70" t="s">
        <v>5334</v>
      </c>
      <c r="F4448" s="70" t="s">
        <v>3357</v>
      </c>
      <c r="G4448" s="70" t="s">
        <v>4012</v>
      </c>
      <c r="H4448" s="93"/>
      <c r="I4448" s="85">
        <f t="shared" si="173"/>
        <v>1.8750599999999999</v>
      </c>
      <c r="J4448" s="85">
        <v>74.9997818203002</v>
      </c>
      <c r="K4448" s="131" t="s">
        <v>6518</v>
      </c>
      <c r="L4448" s="69">
        <v>66</v>
      </c>
      <c r="M4448" s="49" t="s">
        <v>6392</v>
      </c>
    </row>
    <row r="4449" spans="1:26" ht="14" x14ac:dyDescent="0.15">
      <c r="A4449" s="70" t="s">
        <v>3635</v>
      </c>
      <c r="B4449" s="118"/>
      <c r="C4449" s="70" t="s">
        <v>3636</v>
      </c>
      <c r="D4449" s="70" t="s">
        <v>3437</v>
      </c>
      <c r="E4449" s="70" t="s">
        <v>5334</v>
      </c>
      <c r="F4449" s="70" t="s">
        <v>3357</v>
      </c>
      <c r="G4449" s="70" t="s">
        <v>3866</v>
      </c>
      <c r="H4449" s="93"/>
      <c r="I4449" s="85">
        <f t="shared" si="173"/>
        <v>1.9030899999999999</v>
      </c>
      <c r="J4449" s="85">
        <v>80.000002396172576</v>
      </c>
      <c r="K4449" s="131" t="s">
        <v>3177</v>
      </c>
      <c r="L4449" s="69">
        <v>66</v>
      </c>
    </row>
    <row r="4450" spans="1:26" s="2" customFormat="1" ht="14" x14ac:dyDescent="0.15">
      <c r="A4450" s="70" t="s">
        <v>3635</v>
      </c>
      <c r="B4450" s="118"/>
      <c r="C4450" s="70" t="s">
        <v>3636</v>
      </c>
      <c r="D4450" s="70" t="s">
        <v>3437</v>
      </c>
      <c r="E4450" s="70" t="s">
        <v>5334</v>
      </c>
      <c r="F4450" s="70" t="s">
        <v>3357</v>
      </c>
      <c r="G4450" s="70" t="s">
        <v>4011</v>
      </c>
      <c r="H4450" s="93"/>
      <c r="I4450" s="85">
        <f t="shared" si="173"/>
        <v>2.0597500000000002</v>
      </c>
      <c r="J4450" s="95">
        <v>114.74928813381027</v>
      </c>
      <c r="K4450" s="131" t="s">
        <v>3177</v>
      </c>
      <c r="L4450" s="60">
        <v>60</v>
      </c>
      <c r="M4450" s="49"/>
      <c r="N4450" s="37"/>
      <c r="O4450" s="37"/>
      <c r="P4450" s="37"/>
      <c r="Q4450" s="3"/>
      <c r="R4450" s="3"/>
      <c r="S4450" s="6"/>
      <c r="T4450" s="6"/>
      <c r="U4450" s="6"/>
      <c r="V4450" s="6"/>
      <c r="W4450" s="6"/>
      <c r="X4450" s="6"/>
      <c r="Y4450" s="6"/>
      <c r="Z4450" s="6"/>
    </row>
    <row r="4451" spans="1:26" s="2" customFormat="1" ht="14" x14ac:dyDescent="0.15">
      <c r="A4451" s="70" t="s">
        <v>3635</v>
      </c>
      <c r="B4451" s="118"/>
      <c r="C4451" s="70" t="s">
        <v>3636</v>
      </c>
      <c r="D4451" s="70" t="s">
        <v>3437</v>
      </c>
      <c r="E4451" s="70" t="s">
        <v>5334</v>
      </c>
      <c r="F4451" s="70" t="s">
        <v>3357</v>
      </c>
      <c r="G4451" s="70" t="s">
        <v>4013</v>
      </c>
      <c r="H4451" s="93"/>
      <c r="I4451" s="85">
        <f t="shared" si="173"/>
        <v>2.1142200000000004</v>
      </c>
      <c r="J4451" s="85">
        <v>130.08283701204593</v>
      </c>
      <c r="K4451" s="131" t="s">
        <v>3177</v>
      </c>
      <c r="L4451" s="60">
        <v>60</v>
      </c>
      <c r="M4451" s="49"/>
      <c r="N4451" s="37"/>
      <c r="O4451" s="37"/>
      <c r="P4451" s="37"/>
      <c r="Q4451" s="3"/>
      <c r="R4451" s="3"/>
      <c r="S4451" s="6"/>
      <c r="T4451" s="6"/>
      <c r="U4451" s="6"/>
      <c r="V4451" s="6"/>
      <c r="W4451" s="6"/>
      <c r="X4451" s="6"/>
      <c r="Y4451" s="6"/>
      <c r="Z4451" s="6"/>
    </row>
    <row r="4452" spans="1:26" s="2" customFormat="1" ht="14" x14ac:dyDescent="0.15">
      <c r="A4452" s="70" t="s">
        <v>3635</v>
      </c>
      <c r="B4452" s="118"/>
      <c r="C4452" s="70" t="s">
        <v>3636</v>
      </c>
      <c r="D4452" s="70" t="s">
        <v>3437</v>
      </c>
      <c r="E4452" s="70" t="s">
        <v>5334</v>
      </c>
      <c r="F4452" s="70" t="s">
        <v>3357</v>
      </c>
      <c r="G4452" s="70" t="s">
        <v>4014</v>
      </c>
      <c r="H4452" s="93"/>
      <c r="I4452" s="85">
        <f t="shared" si="173"/>
        <v>2.22011</v>
      </c>
      <c r="J4452" s="85">
        <v>166.00073080838632</v>
      </c>
      <c r="K4452" s="131" t="s">
        <v>3177</v>
      </c>
      <c r="L4452" s="60">
        <v>60</v>
      </c>
      <c r="M4452" s="49"/>
      <c r="N4452" s="37"/>
      <c r="O4452" s="37"/>
      <c r="P4452" s="37"/>
      <c r="Q4452" s="3"/>
      <c r="R4452" s="3"/>
      <c r="S4452" s="6"/>
      <c r="T4452" s="6"/>
      <c r="U4452" s="6"/>
      <c r="V4452" s="6"/>
      <c r="W4452" s="6"/>
      <c r="X4452" s="6"/>
      <c r="Y4452" s="6"/>
      <c r="Z4452" s="6"/>
    </row>
    <row r="4453" spans="1:26" s="2" customFormat="1" ht="28" x14ac:dyDescent="0.15">
      <c r="A4453" s="70" t="s">
        <v>3635</v>
      </c>
      <c r="B4453" s="117" t="s">
        <v>7520</v>
      </c>
      <c r="C4453" s="70" t="s">
        <v>3636</v>
      </c>
      <c r="D4453" s="70" t="s">
        <v>3437</v>
      </c>
      <c r="E4453" s="70" t="s">
        <v>5334</v>
      </c>
      <c r="F4453" s="70" t="s">
        <v>3357</v>
      </c>
      <c r="G4453" s="70" t="s">
        <v>4960</v>
      </c>
      <c r="H4453" s="93"/>
      <c r="I4453" s="85">
        <f t="shared" si="173"/>
        <v>2.4205333226934997</v>
      </c>
      <c r="J4453" s="85">
        <v>263.35000000000002</v>
      </c>
      <c r="K4453" s="131" t="s">
        <v>3177</v>
      </c>
      <c r="L4453" s="60">
        <v>152</v>
      </c>
      <c r="M4453" s="49"/>
      <c r="N4453" s="37"/>
      <c r="O4453" s="37"/>
      <c r="P4453" s="51"/>
      <c r="Q4453" s="3"/>
      <c r="R4453" s="3"/>
      <c r="S4453" s="6"/>
      <c r="T4453" s="6"/>
      <c r="U4453" s="6"/>
      <c r="V4453" s="6"/>
      <c r="W4453" s="6"/>
      <c r="X4453" s="6"/>
      <c r="Y4453" s="6"/>
      <c r="Z4453" s="6"/>
    </row>
    <row r="4454" spans="1:26" s="2" customFormat="1" ht="14" x14ac:dyDescent="0.15">
      <c r="A4454" s="70" t="s">
        <v>3635</v>
      </c>
      <c r="B4454" s="118"/>
      <c r="C4454" s="70" t="s">
        <v>3636</v>
      </c>
      <c r="D4454" s="70" t="s">
        <v>3437</v>
      </c>
      <c r="E4454" s="70" t="s">
        <v>5334</v>
      </c>
      <c r="F4454" s="70" t="s">
        <v>3357</v>
      </c>
      <c r="G4454" s="70" t="s">
        <v>4857</v>
      </c>
      <c r="H4454" s="93"/>
      <c r="I4454" s="85">
        <f t="shared" si="173"/>
        <v>2.5561818466529114</v>
      </c>
      <c r="J4454" s="85">
        <v>359.9</v>
      </c>
      <c r="K4454" s="131" t="s">
        <v>6485</v>
      </c>
      <c r="L4454" s="60">
        <v>68</v>
      </c>
      <c r="M4454" s="49"/>
      <c r="N4454" s="37"/>
      <c r="O4454" s="37"/>
      <c r="P4454" s="51"/>
      <c r="Q4454" s="3"/>
      <c r="R4454" s="3"/>
      <c r="S4454" s="6"/>
      <c r="T4454" s="6"/>
      <c r="U4454" s="6"/>
      <c r="V4454" s="6"/>
      <c r="W4454" s="6"/>
      <c r="X4454" s="6"/>
      <c r="Y4454" s="6"/>
      <c r="Z4454" s="6"/>
    </row>
    <row r="4455" spans="1:26" s="2" customFormat="1" ht="28" x14ac:dyDescent="0.15">
      <c r="A4455" s="70" t="s">
        <v>3635</v>
      </c>
      <c r="B4455" s="118"/>
      <c r="C4455" s="70" t="s">
        <v>3636</v>
      </c>
      <c r="D4455" s="70" t="s">
        <v>3437</v>
      </c>
      <c r="E4455" s="70" t="s">
        <v>5334</v>
      </c>
      <c r="F4455" s="70" t="s">
        <v>3402</v>
      </c>
      <c r="G4455" s="70" t="s">
        <v>3824</v>
      </c>
      <c r="H4455" s="93"/>
      <c r="I4455" s="85">
        <f t="shared" si="173"/>
        <v>2.6989700000000005</v>
      </c>
      <c r="J4455" s="85">
        <v>499.99999500797441</v>
      </c>
      <c r="K4455" s="131" t="s">
        <v>6383</v>
      </c>
      <c r="L4455" s="69">
        <v>66</v>
      </c>
      <c r="M4455" s="49" t="s">
        <v>6390</v>
      </c>
      <c r="N4455" s="37"/>
      <c r="O4455" s="37"/>
      <c r="P4455" s="51"/>
      <c r="Q4455" s="3"/>
      <c r="R4455" s="3"/>
      <c r="S4455" s="6"/>
      <c r="T4455" s="6"/>
      <c r="U4455" s="6"/>
      <c r="V4455" s="6"/>
      <c r="W4455" s="6"/>
      <c r="X4455" s="6"/>
      <c r="Y4455" s="6"/>
      <c r="Z4455" s="6"/>
    </row>
    <row r="4456" spans="1:26" s="2" customFormat="1" ht="14" x14ac:dyDescent="0.15">
      <c r="A4456" s="70" t="s">
        <v>3635</v>
      </c>
      <c r="B4456" s="118" t="s">
        <v>2148</v>
      </c>
      <c r="C4456" s="70" t="s">
        <v>3636</v>
      </c>
      <c r="D4456" s="70" t="s">
        <v>3437</v>
      </c>
      <c r="E4456" s="70" t="s">
        <v>3826</v>
      </c>
      <c r="F4456" s="70" t="s">
        <v>3827</v>
      </c>
      <c r="G4456" s="70" t="s">
        <v>5628</v>
      </c>
      <c r="H4456" s="93"/>
      <c r="I4456" s="85">
        <v>-999</v>
      </c>
      <c r="J4456" s="85">
        <v>-999</v>
      </c>
      <c r="K4456" s="131" t="s">
        <v>3177</v>
      </c>
      <c r="L4456" s="60">
        <v>-999</v>
      </c>
      <c r="M4456" s="33"/>
      <c r="N4456" s="37"/>
      <c r="O4456" s="37"/>
      <c r="P4456" s="51"/>
      <c r="Q4456" s="3"/>
      <c r="R4456" s="3"/>
      <c r="S4456" s="6"/>
      <c r="T4456" s="6"/>
      <c r="U4456" s="6"/>
      <c r="V4456" s="6"/>
      <c r="W4456" s="6"/>
      <c r="X4456" s="6"/>
      <c r="Y4456" s="6"/>
      <c r="Z4456" s="6"/>
    </row>
    <row r="4457" spans="1:26" s="2" customFormat="1" ht="14" x14ac:dyDescent="0.15">
      <c r="A4457" s="70" t="s">
        <v>3635</v>
      </c>
      <c r="B4457" s="118"/>
      <c r="C4457" s="70" t="s">
        <v>3636</v>
      </c>
      <c r="D4457" s="70" t="s">
        <v>3437</v>
      </c>
      <c r="E4457" s="70" t="s">
        <v>3826</v>
      </c>
      <c r="F4457" s="70" t="s">
        <v>3827</v>
      </c>
      <c r="G4457" s="70" t="s">
        <v>2981</v>
      </c>
      <c r="H4457" s="93"/>
      <c r="I4457" s="85">
        <f t="shared" ref="I4457:I4488" si="174">LOG(J4457)</f>
        <v>1.1972799999999999</v>
      </c>
      <c r="J4457" s="85">
        <v>15.749979759188241</v>
      </c>
      <c r="K4457" s="131" t="s">
        <v>3177</v>
      </c>
      <c r="L4457" s="60">
        <v>60</v>
      </c>
      <c r="M4457" s="49"/>
      <c r="N4457" s="37"/>
      <c r="O4457" s="37"/>
      <c r="P4457" s="51"/>
      <c r="Q4457" s="3"/>
      <c r="R4457" s="3"/>
      <c r="S4457" s="6"/>
      <c r="T4457" s="6"/>
      <c r="U4457" s="6"/>
      <c r="V4457" s="6"/>
      <c r="W4457" s="6"/>
      <c r="X4457" s="6"/>
      <c r="Y4457" s="6"/>
      <c r="Z4457" s="6"/>
    </row>
    <row r="4458" spans="1:26" s="2" customFormat="1" ht="14" x14ac:dyDescent="0.15">
      <c r="A4458" s="73" t="s">
        <v>3635</v>
      </c>
      <c r="B4458" s="118"/>
      <c r="C4458" s="70" t="s">
        <v>3636</v>
      </c>
      <c r="D4458" s="70" t="s">
        <v>3437</v>
      </c>
      <c r="E4458" s="70" t="s">
        <v>3826</v>
      </c>
      <c r="F4458" s="70" t="s">
        <v>3827</v>
      </c>
      <c r="G4458" s="70" t="s">
        <v>2824</v>
      </c>
      <c r="H4458" s="93"/>
      <c r="I4458" s="85">
        <f t="shared" si="174"/>
        <v>1.2135200000000002</v>
      </c>
      <c r="J4458" s="85">
        <v>16.350084443175422</v>
      </c>
      <c r="K4458" s="131" t="s">
        <v>3177</v>
      </c>
      <c r="L4458" s="60">
        <v>60</v>
      </c>
      <c r="M4458" s="49"/>
      <c r="N4458" s="37"/>
      <c r="O4458" s="37"/>
      <c r="P4458" s="51"/>
      <c r="Q4458" s="3"/>
      <c r="R4458" s="3"/>
      <c r="S4458" s="6"/>
      <c r="T4458" s="6"/>
      <c r="U4458" s="6"/>
      <c r="V4458" s="6"/>
      <c r="W4458" s="6"/>
      <c r="X4458" s="6"/>
      <c r="Y4458" s="6"/>
      <c r="Z4458" s="6"/>
    </row>
    <row r="4459" spans="1:26" s="2" customFormat="1" ht="14" x14ac:dyDescent="0.15">
      <c r="A4459" s="73" t="s">
        <v>3635</v>
      </c>
      <c r="B4459" s="118"/>
      <c r="C4459" s="70" t="s">
        <v>3636</v>
      </c>
      <c r="D4459" s="70" t="s">
        <v>3437</v>
      </c>
      <c r="E4459" s="70" t="s">
        <v>3826</v>
      </c>
      <c r="F4459" s="70" t="s">
        <v>3827</v>
      </c>
      <c r="G4459" s="70" t="s">
        <v>3406</v>
      </c>
      <c r="H4459" s="93"/>
      <c r="I4459" s="85">
        <f t="shared" si="174"/>
        <v>1.2174799999999999</v>
      </c>
      <c r="J4459" s="85">
        <v>16.499850149526083</v>
      </c>
      <c r="K4459" s="131" t="s">
        <v>3177</v>
      </c>
      <c r="L4459" s="60">
        <v>60</v>
      </c>
      <c r="M4459" s="49"/>
      <c r="N4459" s="37"/>
      <c r="O4459" s="37"/>
      <c r="P4459" s="51"/>
      <c r="Q4459" s="3"/>
      <c r="R4459" s="3"/>
      <c r="S4459" s="6"/>
      <c r="T4459" s="6"/>
      <c r="U4459" s="6"/>
      <c r="V4459" s="6"/>
      <c r="W4459" s="6"/>
      <c r="X4459" s="6"/>
      <c r="Y4459" s="6"/>
      <c r="Z4459" s="6"/>
    </row>
    <row r="4460" spans="1:26" s="2" customFormat="1" ht="14" x14ac:dyDescent="0.15">
      <c r="A4460" s="70" t="s">
        <v>3635</v>
      </c>
      <c r="B4460" s="118"/>
      <c r="C4460" s="70" t="s">
        <v>3636</v>
      </c>
      <c r="D4460" s="70" t="s">
        <v>3437</v>
      </c>
      <c r="E4460" s="70" t="s">
        <v>3826</v>
      </c>
      <c r="F4460" s="70" t="s">
        <v>3827</v>
      </c>
      <c r="G4460" s="70" t="s">
        <v>2982</v>
      </c>
      <c r="H4460" s="93"/>
      <c r="I4460" s="85">
        <f t="shared" si="174"/>
        <v>1.2276296495710086</v>
      </c>
      <c r="J4460" s="85">
        <v>16.89</v>
      </c>
      <c r="K4460" s="131" t="s">
        <v>3177</v>
      </c>
      <c r="L4460" s="60">
        <v>265</v>
      </c>
      <c r="M4460" s="49"/>
      <c r="N4460" s="37"/>
      <c r="O4460" s="37"/>
      <c r="P4460" s="51"/>
      <c r="Q4460" s="3"/>
      <c r="R4460" s="3"/>
      <c r="S4460" s="6"/>
      <c r="T4460" s="6"/>
      <c r="U4460" s="6"/>
      <c r="V4460" s="6"/>
      <c r="W4460" s="6"/>
      <c r="X4460" s="6"/>
      <c r="Y4460" s="6"/>
      <c r="Z4460" s="6"/>
    </row>
    <row r="4461" spans="1:26" s="2" customFormat="1" ht="14" x14ac:dyDescent="0.15">
      <c r="A4461" s="70" t="s">
        <v>3635</v>
      </c>
      <c r="B4461" s="118"/>
      <c r="C4461" s="70" t="s">
        <v>3636</v>
      </c>
      <c r="D4461" s="70" t="s">
        <v>3437</v>
      </c>
      <c r="E4461" s="70" t="s">
        <v>3826</v>
      </c>
      <c r="F4461" s="70" t="s">
        <v>3827</v>
      </c>
      <c r="G4461" s="70" t="s">
        <v>2823</v>
      </c>
      <c r="H4461" s="93"/>
      <c r="I4461" s="85">
        <f t="shared" si="174"/>
        <v>1.2304500000000003</v>
      </c>
      <c r="J4461" s="85">
        <v>17.000042221563668</v>
      </c>
      <c r="K4461" s="131" t="s">
        <v>3177</v>
      </c>
      <c r="L4461" s="69">
        <v>66</v>
      </c>
      <c r="M4461" s="49"/>
      <c r="N4461" s="37"/>
      <c r="O4461" s="37"/>
      <c r="P4461" s="51"/>
      <c r="Q4461" s="3"/>
      <c r="R4461" s="3"/>
      <c r="S4461" s="6"/>
      <c r="T4461" s="6"/>
      <c r="U4461" s="6"/>
      <c r="V4461" s="6"/>
      <c r="W4461" s="6"/>
      <c r="X4461" s="6"/>
      <c r="Y4461" s="6"/>
      <c r="Z4461" s="6"/>
    </row>
    <row r="4462" spans="1:26" s="2" customFormat="1" ht="14" x14ac:dyDescent="0.15">
      <c r="A4462" s="70" t="s">
        <v>3635</v>
      </c>
      <c r="B4462" s="118"/>
      <c r="C4462" s="70" t="s">
        <v>3636</v>
      </c>
      <c r="D4462" s="70" t="s">
        <v>3437</v>
      </c>
      <c r="E4462" s="70" t="s">
        <v>3826</v>
      </c>
      <c r="F4462" s="70" t="s">
        <v>3827</v>
      </c>
      <c r="G4462" s="70" t="s">
        <v>3601</v>
      </c>
      <c r="H4462" s="93"/>
      <c r="I4462" s="85">
        <f t="shared" si="174"/>
        <v>1.2718400000000001</v>
      </c>
      <c r="J4462" s="85">
        <v>18.699930825331165</v>
      </c>
      <c r="K4462" s="131" t="s">
        <v>3177</v>
      </c>
      <c r="L4462" s="60">
        <v>60</v>
      </c>
      <c r="M4462" s="49"/>
      <c r="N4462" s="37"/>
      <c r="O4462" s="37"/>
      <c r="P4462" s="51"/>
      <c r="Q4462" s="3"/>
      <c r="R4462" s="3"/>
      <c r="S4462" s="6"/>
      <c r="T4462" s="6"/>
      <c r="U4462" s="6"/>
      <c r="V4462" s="6"/>
      <c r="W4462" s="6"/>
      <c r="X4462" s="6"/>
      <c r="Y4462" s="6"/>
      <c r="Z4462" s="6"/>
    </row>
    <row r="4463" spans="1:26" s="2" customFormat="1" ht="14" x14ac:dyDescent="0.15">
      <c r="A4463" s="73" t="s">
        <v>3635</v>
      </c>
      <c r="B4463" s="118"/>
      <c r="C4463" s="70" t="s">
        <v>3636</v>
      </c>
      <c r="D4463" s="70" t="s">
        <v>3437</v>
      </c>
      <c r="E4463" s="70" t="s">
        <v>3826</v>
      </c>
      <c r="F4463" s="70" t="s">
        <v>3827</v>
      </c>
      <c r="G4463" s="70" t="s">
        <v>3404</v>
      </c>
      <c r="H4463" s="93"/>
      <c r="I4463" s="85">
        <f t="shared" si="174"/>
        <v>1.2889200000000001</v>
      </c>
      <c r="J4463" s="85">
        <v>19.450017660558039</v>
      </c>
      <c r="K4463" s="131" t="s">
        <v>3177</v>
      </c>
      <c r="L4463" s="60">
        <v>60</v>
      </c>
      <c r="M4463" s="49"/>
      <c r="N4463" s="37"/>
      <c r="O4463" s="37"/>
      <c r="P4463" s="51"/>
      <c r="Q4463" s="3"/>
      <c r="R4463" s="3"/>
      <c r="S4463" s="6"/>
      <c r="T4463" s="6"/>
      <c r="U4463" s="6"/>
      <c r="V4463" s="6"/>
      <c r="W4463" s="6"/>
      <c r="X4463" s="6"/>
      <c r="Y4463" s="6"/>
      <c r="Z4463" s="6"/>
    </row>
    <row r="4464" spans="1:26" s="2" customFormat="1" ht="14" x14ac:dyDescent="0.15">
      <c r="A4464" s="70" t="s">
        <v>3635</v>
      </c>
      <c r="B4464" s="118"/>
      <c r="C4464" s="70" t="s">
        <v>3636</v>
      </c>
      <c r="D4464" s="70" t="s">
        <v>3437</v>
      </c>
      <c r="E4464" s="70" t="s">
        <v>3826</v>
      </c>
      <c r="F4464" s="70" t="s">
        <v>3827</v>
      </c>
      <c r="G4464" s="70" t="s">
        <v>4223</v>
      </c>
      <c r="H4464" s="93"/>
      <c r="I4464" s="85">
        <f t="shared" si="174"/>
        <v>1.3424199999999999</v>
      </c>
      <c r="J4464" s="85">
        <v>21.999864198351659</v>
      </c>
      <c r="K4464" s="131" t="s">
        <v>3177</v>
      </c>
      <c r="L4464" s="60">
        <v>60</v>
      </c>
      <c r="M4464" s="49"/>
      <c r="N4464" s="37"/>
      <c r="O4464" s="37"/>
      <c r="P4464" s="51"/>
      <c r="Q4464" s="3"/>
      <c r="R4464" s="3"/>
      <c r="S4464" s="6"/>
      <c r="T4464" s="6"/>
      <c r="U4464" s="6"/>
      <c r="V4464" s="6"/>
      <c r="W4464" s="6"/>
      <c r="X4464" s="6"/>
      <c r="Y4464" s="6"/>
      <c r="Z4464" s="6"/>
    </row>
    <row r="4465" spans="1:26" s="2" customFormat="1" ht="16" x14ac:dyDescent="0.2">
      <c r="A4465" s="70" t="s">
        <v>3635</v>
      </c>
      <c r="B4465" s="118"/>
      <c r="C4465" s="70" t="s">
        <v>3636</v>
      </c>
      <c r="D4465" s="70" t="s">
        <v>3437</v>
      </c>
      <c r="E4465" s="70" t="s">
        <v>3826</v>
      </c>
      <c r="F4465" s="70" t="s">
        <v>3827</v>
      </c>
      <c r="G4465" s="70" t="s">
        <v>5336</v>
      </c>
      <c r="H4465" s="93"/>
      <c r="I4465" s="85">
        <f t="shared" si="174"/>
        <v>1.3617300000000003</v>
      </c>
      <c r="J4465" s="85">
        <v>23.000114603619075</v>
      </c>
      <c r="K4465" s="131" t="s">
        <v>3177</v>
      </c>
      <c r="L4465" s="69">
        <v>66</v>
      </c>
      <c r="M4465" s="49"/>
      <c r="N4465" s="48"/>
      <c r="O4465" s="37"/>
      <c r="P4465" s="51"/>
      <c r="Q4465" s="3"/>
      <c r="R4465" s="3"/>
      <c r="S4465" s="6"/>
      <c r="T4465" s="6"/>
      <c r="U4465" s="6"/>
      <c r="V4465" s="6"/>
      <c r="W4465" s="6"/>
      <c r="X4465" s="6"/>
      <c r="Y4465" s="6"/>
      <c r="Z4465" s="6"/>
    </row>
    <row r="4466" spans="1:26" s="2" customFormat="1" ht="14" x14ac:dyDescent="0.15">
      <c r="A4466" s="70" t="s">
        <v>3635</v>
      </c>
      <c r="B4466" s="118"/>
      <c r="C4466" s="70" t="s">
        <v>3636</v>
      </c>
      <c r="D4466" s="70" t="s">
        <v>3437</v>
      </c>
      <c r="E4466" s="70" t="s">
        <v>3826</v>
      </c>
      <c r="F4466" s="70" t="s">
        <v>3827</v>
      </c>
      <c r="G4466" s="70" t="s">
        <v>7149</v>
      </c>
      <c r="H4466" s="93"/>
      <c r="I4466" s="85">
        <f t="shared" si="174"/>
        <v>1.3617300000000003</v>
      </c>
      <c r="J4466" s="85">
        <v>23.000114603619075</v>
      </c>
      <c r="K4466" s="131" t="s">
        <v>3177</v>
      </c>
      <c r="L4466" s="69">
        <v>66</v>
      </c>
      <c r="M4466" s="49"/>
      <c r="N4466" s="37"/>
      <c r="O4466" s="37"/>
      <c r="P4466" s="51"/>
      <c r="Q4466" s="3"/>
      <c r="R4466" s="3"/>
      <c r="S4466" s="6"/>
      <c r="T4466" s="6"/>
      <c r="U4466" s="6"/>
      <c r="V4466" s="6"/>
      <c r="W4466" s="6"/>
      <c r="X4466" s="6"/>
      <c r="Y4466" s="6"/>
      <c r="Z4466" s="6"/>
    </row>
    <row r="4467" spans="1:26" s="2" customFormat="1" ht="14" x14ac:dyDescent="0.15">
      <c r="A4467" s="73" t="s">
        <v>3635</v>
      </c>
      <c r="B4467" s="118"/>
      <c r="C4467" s="70" t="s">
        <v>3636</v>
      </c>
      <c r="D4467" s="70" t="s">
        <v>3437</v>
      </c>
      <c r="E4467" s="70" t="s">
        <v>3826</v>
      </c>
      <c r="F4467" s="70" t="s">
        <v>3827</v>
      </c>
      <c r="G4467" s="70" t="s">
        <v>3205</v>
      </c>
      <c r="H4467" s="93"/>
      <c r="I4467" s="85">
        <f t="shared" si="174"/>
        <v>1.3617300000000003</v>
      </c>
      <c r="J4467" s="85">
        <v>23.000114603619075</v>
      </c>
      <c r="K4467" s="131" t="s">
        <v>3177</v>
      </c>
      <c r="L4467" s="69">
        <v>66</v>
      </c>
      <c r="M4467" s="49"/>
      <c r="N4467" s="37"/>
      <c r="O4467" s="37"/>
      <c r="P4467" s="51"/>
      <c r="Q4467" s="3"/>
      <c r="R4467" s="3"/>
      <c r="S4467" s="6"/>
      <c r="T4467" s="6"/>
      <c r="U4467" s="6"/>
      <c r="V4467" s="6"/>
      <c r="W4467" s="6"/>
      <c r="X4467" s="6"/>
      <c r="Y4467" s="6"/>
      <c r="Z4467" s="6"/>
    </row>
    <row r="4468" spans="1:26" s="2" customFormat="1" ht="14" x14ac:dyDescent="0.15">
      <c r="A4468" s="70" t="s">
        <v>3635</v>
      </c>
      <c r="B4468" s="118"/>
      <c r="C4468" s="70" t="s">
        <v>3636</v>
      </c>
      <c r="D4468" s="70" t="s">
        <v>3437</v>
      </c>
      <c r="E4468" s="70" t="s">
        <v>3826</v>
      </c>
      <c r="F4468" s="70" t="s">
        <v>3827</v>
      </c>
      <c r="G4468" s="70" t="s">
        <v>2164</v>
      </c>
      <c r="H4468" s="93"/>
      <c r="I4468" s="85">
        <f t="shared" si="174"/>
        <v>1.4207800000000002</v>
      </c>
      <c r="J4468" s="85">
        <v>26.3499624100841</v>
      </c>
      <c r="K4468" s="131" t="s">
        <v>3177</v>
      </c>
      <c r="L4468" s="60">
        <v>60</v>
      </c>
      <c r="M4468" s="49"/>
      <c r="N4468" s="37"/>
      <c r="O4468" s="37"/>
      <c r="P4468" s="51"/>
      <c r="Q4468" s="3"/>
      <c r="R4468" s="3"/>
      <c r="S4468" s="6"/>
      <c r="T4468" s="6"/>
      <c r="U4468" s="6"/>
      <c r="V4468" s="6"/>
      <c r="W4468" s="6"/>
      <c r="X4468" s="6"/>
      <c r="Y4468" s="6"/>
      <c r="Z4468" s="6"/>
    </row>
    <row r="4469" spans="1:26" s="2" customFormat="1" ht="14" x14ac:dyDescent="0.15">
      <c r="A4469" s="70" t="s">
        <v>3635</v>
      </c>
      <c r="B4469" s="118"/>
      <c r="C4469" s="70" t="s">
        <v>3636</v>
      </c>
      <c r="D4469" s="70" t="s">
        <v>3437</v>
      </c>
      <c r="E4469" s="70" t="s">
        <v>3826</v>
      </c>
      <c r="F4469" s="70" t="s">
        <v>3827</v>
      </c>
      <c r="G4469" s="70" t="s">
        <v>3992</v>
      </c>
      <c r="H4469" s="93"/>
      <c r="I4469" s="85">
        <f t="shared" si="174"/>
        <v>1.5051500000000002</v>
      </c>
      <c r="J4469" s="85">
        <v>32.000001597448417</v>
      </c>
      <c r="K4469" s="131" t="s">
        <v>3177</v>
      </c>
      <c r="L4469" s="60">
        <v>60</v>
      </c>
      <c r="M4469" s="49"/>
      <c r="N4469" s="37"/>
      <c r="O4469" s="37"/>
      <c r="P4469" s="51"/>
      <c r="Q4469" s="3"/>
      <c r="R4469" s="3"/>
      <c r="S4469" s="6"/>
      <c r="T4469" s="6"/>
      <c r="U4469" s="6"/>
      <c r="V4469" s="6"/>
      <c r="W4469" s="6"/>
      <c r="X4469" s="6"/>
      <c r="Y4469" s="6"/>
      <c r="Z4469" s="6"/>
    </row>
    <row r="4470" spans="1:26" s="2" customFormat="1" ht="14" x14ac:dyDescent="0.15">
      <c r="A4470" s="73" t="s">
        <v>3635</v>
      </c>
      <c r="B4470" s="118"/>
      <c r="C4470" s="70" t="s">
        <v>3636</v>
      </c>
      <c r="D4470" s="70" t="s">
        <v>3437</v>
      </c>
      <c r="E4470" s="70" t="s">
        <v>3826</v>
      </c>
      <c r="F4470" s="70" t="s">
        <v>2847</v>
      </c>
      <c r="G4470" s="70" t="s">
        <v>8002</v>
      </c>
      <c r="H4470" s="93"/>
      <c r="I4470" s="85">
        <f t="shared" si="174"/>
        <v>1.6127800000000003</v>
      </c>
      <c r="J4470" s="85">
        <v>40.999635904176493</v>
      </c>
      <c r="K4470" s="131" t="s">
        <v>6630</v>
      </c>
      <c r="L4470" s="69">
        <v>66</v>
      </c>
      <c r="M4470" s="49" t="s">
        <v>6392</v>
      </c>
      <c r="N4470" s="37"/>
      <c r="O4470" s="37"/>
      <c r="P4470" s="35"/>
      <c r="Q4470" s="3"/>
      <c r="R4470" s="3"/>
      <c r="S4470" s="6"/>
      <c r="T4470" s="6"/>
      <c r="U4470" s="6"/>
      <c r="V4470" s="6"/>
      <c r="W4470" s="6"/>
      <c r="X4470" s="6"/>
      <c r="Y4470" s="6"/>
      <c r="Z4470" s="6"/>
    </row>
    <row r="4471" spans="1:26" s="2" customFormat="1" ht="14" x14ac:dyDescent="0.15">
      <c r="A4471" s="70" t="s">
        <v>3635</v>
      </c>
      <c r="B4471" s="118"/>
      <c r="C4471" s="70" t="s">
        <v>3636</v>
      </c>
      <c r="D4471" s="70" t="s">
        <v>3437</v>
      </c>
      <c r="E4471" s="70" t="s">
        <v>3826</v>
      </c>
      <c r="F4471" s="70" t="s">
        <v>2847</v>
      </c>
      <c r="G4471" s="70" t="s">
        <v>2130</v>
      </c>
      <c r="H4471" s="93"/>
      <c r="I4471" s="85">
        <f t="shared" si="174"/>
        <v>1.6232492903979006</v>
      </c>
      <c r="J4471" s="85">
        <v>42</v>
      </c>
      <c r="K4471" s="131" t="s">
        <v>3177</v>
      </c>
      <c r="L4471" s="60">
        <v>75</v>
      </c>
      <c r="M4471" s="49"/>
      <c r="N4471" s="37"/>
      <c r="O4471" s="37"/>
      <c r="P4471" s="35"/>
      <c r="Q4471" s="3"/>
      <c r="R4471" s="3"/>
      <c r="S4471" s="6"/>
      <c r="T4471" s="6"/>
      <c r="U4471" s="6"/>
      <c r="V4471" s="6"/>
      <c r="W4471" s="6"/>
      <c r="X4471" s="6"/>
      <c r="Y4471" s="6"/>
      <c r="Z4471" s="6"/>
    </row>
    <row r="4472" spans="1:26" s="2" customFormat="1" ht="28" x14ac:dyDescent="0.15">
      <c r="A4472" s="70" t="s">
        <v>3635</v>
      </c>
      <c r="B4472" s="118"/>
      <c r="C4472" s="70" t="s">
        <v>3636</v>
      </c>
      <c r="D4472" s="70" t="s">
        <v>3437</v>
      </c>
      <c r="E4472" s="70" t="s">
        <v>3826</v>
      </c>
      <c r="F4472" s="70" t="s">
        <v>2847</v>
      </c>
      <c r="G4472" s="70" t="s">
        <v>2987</v>
      </c>
      <c r="H4472" s="93"/>
      <c r="I4472" s="85">
        <f t="shared" si="174"/>
        <v>1.64246</v>
      </c>
      <c r="J4472" s="85">
        <v>43.899543080548575</v>
      </c>
      <c r="K4472" s="131" t="s">
        <v>6619</v>
      </c>
      <c r="L4472" s="60">
        <v>60</v>
      </c>
      <c r="M4472" s="49" t="s">
        <v>6392</v>
      </c>
      <c r="N4472" s="37"/>
      <c r="O4472" s="37"/>
      <c r="P4472" s="35"/>
      <c r="Q4472" s="3"/>
      <c r="R4472" s="3"/>
      <c r="S4472" s="6"/>
      <c r="T4472" s="6"/>
      <c r="U4472" s="6"/>
      <c r="V4472" s="6"/>
      <c r="W4472" s="6"/>
      <c r="X4472" s="6"/>
      <c r="Y4472" s="6"/>
      <c r="Z4472" s="6"/>
    </row>
    <row r="4473" spans="1:26" ht="14" x14ac:dyDescent="0.15">
      <c r="A4473" s="70" t="s">
        <v>3635</v>
      </c>
      <c r="B4473" s="118"/>
      <c r="C4473" s="70" t="s">
        <v>3636</v>
      </c>
      <c r="D4473" s="70" t="s">
        <v>3437</v>
      </c>
      <c r="E4473" s="70" t="s">
        <v>3826</v>
      </c>
      <c r="F4473" s="70" t="s">
        <v>2847</v>
      </c>
      <c r="G4473" s="70" t="s">
        <v>2986</v>
      </c>
      <c r="H4473" s="93"/>
      <c r="I4473" s="85">
        <f t="shared" si="174"/>
        <v>1.73719</v>
      </c>
      <c r="J4473" s="85">
        <v>54.599667757142555</v>
      </c>
      <c r="K4473" s="131" t="s">
        <v>3177</v>
      </c>
      <c r="L4473" s="60">
        <v>60</v>
      </c>
      <c r="P4473" s="35"/>
    </row>
    <row r="4474" spans="1:26" ht="14" x14ac:dyDescent="0.15">
      <c r="A4474" s="70" t="s">
        <v>3635</v>
      </c>
      <c r="B4474" s="118"/>
      <c r="C4474" s="70" t="s">
        <v>3636</v>
      </c>
      <c r="D4474" s="70" t="s">
        <v>3437</v>
      </c>
      <c r="E4474" s="70" t="s">
        <v>3826</v>
      </c>
      <c r="F4474" s="70" t="s">
        <v>2847</v>
      </c>
      <c r="G4474" s="70" t="s">
        <v>4218</v>
      </c>
      <c r="H4474" s="93"/>
      <c r="I4474" s="85">
        <f t="shared" si="174"/>
        <v>1.7623</v>
      </c>
      <c r="J4474" s="85">
        <v>57.849551996508993</v>
      </c>
      <c r="K4474" s="131" t="s">
        <v>3177</v>
      </c>
      <c r="L4474" s="60">
        <v>60</v>
      </c>
      <c r="P4474" s="35"/>
    </row>
    <row r="4475" spans="1:26" ht="14" x14ac:dyDescent="0.15">
      <c r="A4475" s="70" t="s">
        <v>3635</v>
      </c>
      <c r="B4475" s="118"/>
      <c r="C4475" s="70" t="s">
        <v>3636</v>
      </c>
      <c r="D4475" s="70" t="s">
        <v>3437</v>
      </c>
      <c r="E4475" s="70" t="s">
        <v>3826</v>
      </c>
      <c r="F4475" s="70" t="s">
        <v>2847</v>
      </c>
      <c r="G4475" s="70" t="s">
        <v>2819</v>
      </c>
      <c r="H4475" s="93"/>
      <c r="I4475" s="85">
        <f t="shared" si="174"/>
        <v>1.7810400000000002</v>
      </c>
      <c r="J4475" s="85">
        <v>60.400425766255559</v>
      </c>
      <c r="K4475" s="131" t="s">
        <v>3177</v>
      </c>
      <c r="L4475" s="60">
        <v>60</v>
      </c>
      <c r="P4475" s="35"/>
    </row>
    <row r="4476" spans="1:26" ht="14" x14ac:dyDescent="0.15">
      <c r="A4476" s="70" t="s">
        <v>3635</v>
      </c>
      <c r="B4476" s="118"/>
      <c r="C4476" s="70" t="s">
        <v>3636</v>
      </c>
      <c r="D4476" s="70" t="s">
        <v>3437</v>
      </c>
      <c r="E4476" s="70" t="s">
        <v>3826</v>
      </c>
      <c r="F4476" s="70" t="s">
        <v>2847</v>
      </c>
      <c r="G4476" s="70" t="s">
        <v>6297</v>
      </c>
      <c r="H4476" s="93"/>
      <c r="I4476" s="85">
        <f t="shared" si="174"/>
        <v>1.8435600000000003</v>
      </c>
      <c r="J4476" s="85">
        <v>69.752535691459499</v>
      </c>
      <c r="K4476" s="131" t="s">
        <v>6391</v>
      </c>
      <c r="L4476" s="60">
        <v>60</v>
      </c>
      <c r="M4476" s="49" t="s">
        <v>6392</v>
      </c>
      <c r="P4476" s="35"/>
    </row>
    <row r="4477" spans="1:26" ht="14" x14ac:dyDescent="0.15">
      <c r="A4477" s="73" t="s">
        <v>3635</v>
      </c>
      <c r="B4477" s="118"/>
      <c r="C4477" s="70" t="s">
        <v>3636</v>
      </c>
      <c r="D4477" s="70" t="s">
        <v>3437</v>
      </c>
      <c r="E4477" s="70" t="s">
        <v>3826</v>
      </c>
      <c r="F4477" s="70" t="s">
        <v>2847</v>
      </c>
      <c r="G4477" s="70" t="s">
        <v>2834</v>
      </c>
      <c r="H4477" s="93"/>
      <c r="I4477" s="85">
        <f t="shared" si="174"/>
        <v>1.8573299999999999</v>
      </c>
      <c r="J4477" s="85">
        <v>71.999586127518953</v>
      </c>
      <c r="K4477" s="131" t="s">
        <v>3177</v>
      </c>
      <c r="L4477" s="69">
        <v>66</v>
      </c>
      <c r="P4477" s="35"/>
    </row>
    <row r="4478" spans="1:26" ht="14" x14ac:dyDescent="0.15">
      <c r="A4478" s="70" t="s">
        <v>3635</v>
      </c>
      <c r="B4478" s="118"/>
      <c r="C4478" s="70" t="s">
        <v>3636</v>
      </c>
      <c r="D4478" s="70" t="s">
        <v>3437</v>
      </c>
      <c r="E4478" s="70" t="s">
        <v>3826</v>
      </c>
      <c r="F4478" s="70" t="s">
        <v>2847</v>
      </c>
      <c r="G4478" s="70" t="s">
        <v>2984</v>
      </c>
      <c r="H4478" s="93"/>
      <c r="I4478" s="85">
        <f t="shared" si="174"/>
        <v>1.8573299999999999</v>
      </c>
      <c r="J4478" s="85">
        <v>71.999586127518953</v>
      </c>
      <c r="K4478" s="131" t="s">
        <v>3177</v>
      </c>
      <c r="L4478" s="69">
        <v>66</v>
      </c>
      <c r="P4478" s="35"/>
    </row>
    <row r="4479" spans="1:26" ht="14" x14ac:dyDescent="0.15">
      <c r="A4479" s="70" t="s">
        <v>3635</v>
      </c>
      <c r="B4479" s="118"/>
      <c r="C4479" s="70" t="s">
        <v>3636</v>
      </c>
      <c r="D4479" s="70" t="s">
        <v>3437</v>
      </c>
      <c r="E4479" s="70" t="s">
        <v>3826</v>
      </c>
      <c r="F4479" s="70" t="s">
        <v>2847</v>
      </c>
      <c r="G4479" s="70" t="s">
        <v>6139</v>
      </c>
      <c r="H4479" s="93"/>
      <c r="I4479" s="85">
        <f t="shared" si="174"/>
        <v>1.8573299999999999</v>
      </c>
      <c r="J4479" s="85">
        <v>71.999586127518953</v>
      </c>
      <c r="K4479" s="131" t="s">
        <v>3177</v>
      </c>
      <c r="L4479" s="69">
        <v>66</v>
      </c>
      <c r="P4479" s="35"/>
    </row>
    <row r="4480" spans="1:26" ht="14" x14ac:dyDescent="0.15">
      <c r="A4480" s="70" t="s">
        <v>3635</v>
      </c>
      <c r="B4480" s="118"/>
      <c r="C4480" s="70" t="s">
        <v>3636</v>
      </c>
      <c r="D4480" s="70" t="s">
        <v>3437</v>
      </c>
      <c r="E4480" s="70" t="s">
        <v>3826</v>
      </c>
      <c r="F4480" s="70" t="s">
        <v>2847</v>
      </c>
      <c r="G4480" s="70" t="s">
        <v>2844</v>
      </c>
      <c r="H4480" s="93"/>
      <c r="I4480" s="85">
        <f t="shared" si="174"/>
        <v>1.8733200000000001</v>
      </c>
      <c r="J4480" s="85">
        <v>74.699896485953658</v>
      </c>
      <c r="K4480" s="131" t="s">
        <v>3177</v>
      </c>
      <c r="L4480" s="60">
        <v>60</v>
      </c>
      <c r="P4480" s="35"/>
    </row>
    <row r="4481" spans="1:16" ht="14" x14ac:dyDescent="0.15">
      <c r="A4481" s="70" t="s">
        <v>3635</v>
      </c>
      <c r="B4481" s="118"/>
      <c r="C4481" s="70" t="s">
        <v>3636</v>
      </c>
      <c r="D4481" s="70" t="s">
        <v>3437</v>
      </c>
      <c r="E4481" s="70" t="s">
        <v>3826</v>
      </c>
      <c r="F4481" s="70" t="s">
        <v>2847</v>
      </c>
      <c r="G4481" s="70" t="s">
        <v>3209</v>
      </c>
      <c r="H4481" s="93"/>
      <c r="I4481" s="85">
        <f t="shared" si="174"/>
        <v>1.8893</v>
      </c>
      <c r="J4481" s="85">
        <v>77.499696187757564</v>
      </c>
      <c r="K4481" s="131" t="s">
        <v>6391</v>
      </c>
      <c r="L4481" s="60">
        <v>60</v>
      </c>
      <c r="M4481" s="49" t="s">
        <v>6728</v>
      </c>
      <c r="P4481" s="35"/>
    </row>
    <row r="4482" spans="1:16" ht="28" x14ac:dyDescent="0.15">
      <c r="A4482" s="73" t="s">
        <v>3635</v>
      </c>
      <c r="B4482" s="118"/>
      <c r="C4482" s="70" t="s">
        <v>3636</v>
      </c>
      <c r="D4482" s="70" t="s">
        <v>3437</v>
      </c>
      <c r="E4482" s="70" t="s">
        <v>3826</v>
      </c>
      <c r="F4482" s="70" t="s">
        <v>2847</v>
      </c>
      <c r="G4482" s="70" t="s">
        <v>6058</v>
      </c>
      <c r="H4482" s="93"/>
      <c r="I4482" s="85">
        <f t="shared" si="174"/>
        <v>1.9241500000000002</v>
      </c>
      <c r="J4482" s="85">
        <v>83.974997580355904</v>
      </c>
      <c r="K4482" s="131" t="s">
        <v>7875</v>
      </c>
      <c r="L4482" s="60">
        <v>60</v>
      </c>
      <c r="M4482" s="49" t="s">
        <v>6390</v>
      </c>
      <c r="P4482" s="35"/>
    </row>
    <row r="4483" spans="1:16" ht="14" x14ac:dyDescent="0.15">
      <c r="A4483" s="73" t="s">
        <v>3635</v>
      </c>
      <c r="B4483" s="118"/>
      <c r="C4483" s="70" t="s">
        <v>3636</v>
      </c>
      <c r="D4483" s="70" t="s">
        <v>3437</v>
      </c>
      <c r="E4483" s="70" t="s">
        <v>3826</v>
      </c>
      <c r="F4483" s="70" t="s">
        <v>2847</v>
      </c>
      <c r="G4483" s="70" t="s">
        <v>2981</v>
      </c>
      <c r="H4483" s="93"/>
      <c r="I4483" s="85">
        <f t="shared" si="174"/>
        <v>1.94743</v>
      </c>
      <c r="J4483" s="85">
        <v>88.599240704652189</v>
      </c>
      <c r="K4483" s="131" t="s">
        <v>3177</v>
      </c>
      <c r="L4483" s="60">
        <v>60</v>
      </c>
    </row>
    <row r="4484" spans="1:16" ht="14" x14ac:dyDescent="0.15">
      <c r="A4484" s="70" t="s">
        <v>3635</v>
      </c>
      <c r="B4484" s="118"/>
      <c r="C4484" s="70" t="s">
        <v>3636</v>
      </c>
      <c r="D4484" s="70" t="s">
        <v>3437</v>
      </c>
      <c r="E4484" s="70" t="s">
        <v>3826</v>
      </c>
      <c r="F4484" s="70" t="s">
        <v>2847</v>
      </c>
      <c r="G4484" s="70" t="s">
        <v>2848</v>
      </c>
      <c r="H4484" s="93"/>
      <c r="I4484" s="85">
        <f t="shared" si="174"/>
        <v>2.01912</v>
      </c>
      <c r="J4484" s="85">
        <v>104.50089259696503</v>
      </c>
      <c r="K4484" s="131" t="s">
        <v>3177</v>
      </c>
      <c r="L4484" s="60">
        <v>60</v>
      </c>
    </row>
    <row r="4485" spans="1:16" ht="14" x14ac:dyDescent="0.15">
      <c r="A4485" s="70" t="s">
        <v>3635</v>
      </c>
      <c r="B4485" s="118"/>
      <c r="C4485" s="70" t="s">
        <v>3636</v>
      </c>
      <c r="D4485" s="70" t="s">
        <v>3437</v>
      </c>
      <c r="E4485" s="70" t="s">
        <v>3826</v>
      </c>
      <c r="F4485" s="70" t="s">
        <v>2847</v>
      </c>
      <c r="G4485" s="70" t="s">
        <v>2985</v>
      </c>
      <c r="H4485" s="93"/>
      <c r="I4485" s="85">
        <f t="shared" si="174"/>
        <v>2.12662</v>
      </c>
      <c r="J4485" s="85">
        <v>133.85050066641114</v>
      </c>
      <c r="K4485" s="131" t="s">
        <v>6391</v>
      </c>
      <c r="L4485" s="60">
        <v>60</v>
      </c>
      <c r="M4485" s="49" t="s">
        <v>6809</v>
      </c>
    </row>
    <row r="4486" spans="1:16" ht="14" x14ac:dyDescent="0.15">
      <c r="A4486" s="70" t="s">
        <v>3635</v>
      </c>
      <c r="B4486" s="118"/>
      <c r="C4486" s="70" t="s">
        <v>3636</v>
      </c>
      <c r="D4486" s="70" t="s">
        <v>3437</v>
      </c>
      <c r="E4486" s="70" t="s">
        <v>3826</v>
      </c>
      <c r="F4486" s="70" t="s">
        <v>2847</v>
      </c>
      <c r="G4486" s="70" t="s">
        <v>5350</v>
      </c>
      <c r="H4486" s="93"/>
      <c r="I4486" s="85">
        <f t="shared" si="174"/>
        <v>2.13314</v>
      </c>
      <c r="J4486" s="85">
        <v>135.87513856919276</v>
      </c>
      <c r="K4486" s="131" t="s">
        <v>3177</v>
      </c>
      <c r="L4486" s="60">
        <v>60</v>
      </c>
    </row>
    <row r="4487" spans="1:16" ht="16" x14ac:dyDescent="0.2">
      <c r="A4487" s="70" t="s">
        <v>3635</v>
      </c>
      <c r="B4487" s="118"/>
      <c r="C4487" s="70" t="s">
        <v>3636</v>
      </c>
      <c r="D4487" s="70" t="s">
        <v>3437</v>
      </c>
      <c r="E4487" s="70" t="s">
        <v>3826</v>
      </c>
      <c r="F4487" s="70" t="s">
        <v>6140</v>
      </c>
      <c r="G4487" s="70" t="s">
        <v>2981</v>
      </c>
      <c r="H4487" s="93"/>
      <c r="I4487" s="85">
        <f t="shared" si="174"/>
        <v>1.7340000000000002</v>
      </c>
      <c r="J4487" s="85">
        <v>54.20008904016241</v>
      </c>
      <c r="K4487" s="131" t="s">
        <v>6391</v>
      </c>
      <c r="L4487" s="60">
        <v>60</v>
      </c>
      <c r="M4487" s="49" t="s">
        <v>6392</v>
      </c>
      <c r="N4487" s="48"/>
      <c r="P4487" s="35"/>
    </row>
    <row r="4488" spans="1:16" ht="14" x14ac:dyDescent="0.15">
      <c r="A4488" s="70" t="s">
        <v>3635</v>
      </c>
      <c r="B4488" s="118"/>
      <c r="C4488" s="70" t="s">
        <v>3636</v>
      </c>
      <c r="D4488" s="70" t="s">
        <v>3437</v>
      </c>
      <c r="E4488" s="70" t="s">
        <v>3826</v>
      </c>
      <c r="F4488" s="70" t="s">
        <v>6140</v>
      </c>
      <c r="G4488" s="70" t="s">
        <v>7798</v>
      </c>
      <c r="H4488" s="93"/>
      <c r="I4488" s="85">
        <f t="shared" si="174"/>
        <v>1.8034600000000001</v>
      </c>
      <c r="J4488" s="85">
        <v>63.60042239857448</v>
      </c>
      <c r="K4488" s="131" t="s">
        <v>3177</v>
      </c>
      <c r="L4488" s="60">
        <v>60</v>
      </c>
      <c r="P4488" s="35"/>
    </row>
    <row r="4489" spans="1:16" ht="14" x14ac:dyDescent="0.15">
      <c r="A4489" s="70" t="s">
        <v>3635</v>
      </c>
      <c r="B4489" s="118"/>
      <c r="C4489" s="70" t="s">
        <v>3636</v>
      </c>
      <c r="D4489" s="70" t="s">
        <v>3437</v>
      </c>
      <c r="E4489" s="70" t="s">
        <v>3826</v>
      </c>
      <c r="F4489" s="70" t="s">
        <v>6140</v>
      </c>
      <c r="G4489" s="70" t="s">
        <v>5111</v>
      </c>
      <c r="H4489" s="93"/>
      <c r="I4489" s="85">
        <f t="shared" ref="I4489:I4516" si="175">LOG(J4489)</f>
        <v>1.8603400000000001</v>
      </c>
      <c r="J4489" s="85">
        <v>72.500332778657508</v>
      </c>
      <c r="K4489" s="131" t="s">
        <v>3177</v>
      </c>
      <c r="L4489" s="60">
        <v>60</v>
      </c>
      <c r="P4489" s="35"/>
    </row>
    <row r="4490" spans="1:16" ht="14" x14ac:dyDescent="0.15">
      <c r="A4490" s="70" t="s">
        <v>3635</v>
      </c>
      <c r="B4490" s="117" t="s">
        <v>2557</v>
      </c>
      <c r="C4490" s="70" t="s">
        <v>3636</v>
      </c>
      <c r="D4490" s="70" t="s">
        <v>3437</v>
      </c>
      <c r="E4490" s="70" t="s">
        <v>3826</v>
      </c>
      <c r="F4490" s="70" t="s">
        <v>6140</v>
      </c>
      <c r="G4490" s="70" t="s">
        <v>7853</v>
      </c>
      <c r="H4490" s="93"/>
      <c r="I4490" s="85">
        <f t="shared" si="175"/>
        <v>1.8739015978644613</v>
      </c>
      <c r="J4490" s="85">
        <v>74.8</v>
      </c>
      <c r="K4490" s="131" t="s">
        <v>6391</v>
      </c>
      <c r="L4490" s="60">
        <v>71</v>
      </c>
      <c r="M4490" s="49" t="s">
        <v>6392</v>
      </c>
      <c r="P4490" s="35"/>
    </row>
    <row r="4491" spans="1:16" ht="14" x14ac:dyDescent="0.15">
      <c r="A4491" s="70" t="s">
        <v>3635</v>
      </c>
      <c r="B4491" s="118"/>
      <c r="C4491" s="70" t="s">
        <v>3636</v>
      </c>
      <c r="D4491" s="70" t="s">
        <v>3437</v>
      </c>
      <c r="E4491" s="70" t="s">
        <v>3826</v>
      </c>
      <c r="F4491" s="70" t="s">
        <v>6140</v>
      </c>
      <c r="G4491" s="70" t="s">
        <v>7149</v>
      </c>
      <c r="H4491" s="93"/>
      <c r="I4491" s="85">
        <f t="shared" si="175"/>
        <v>1.9294199999999999</v>
      </c>
      <c r="J4491" s="85">
        <v>85.000210259171723</v>
      </c>
      <c r="K4491" s="131" t="s">
        <v>6391</v>
      </c>
      <c r="L4491" s="69">
        <v>66</v>
      </c>
      <c r="M4491" s="49" t="s">
        <v>6392</v>
      </c>
    </row>
    <row r="4492" spans="1:16" ht="16" x14ac:dyDescent="0.2">
      <c r="A4492" s="70" t="s">
        <v>3635</v>
      </c>
      <c r="B4492" s="118"/>
      <c r="C4492" s="70" t="s">
        <v>3636</v>
      </c>
      <c r="D4492" s="70" t="s">
        <v>3437</v>
      </c>
      <c r="E4492" s="70" t="s">
        <v>3826</v>
      </c>
      <c r="F4492" s="70" t="s">
        <v>7799</v>
      </c>
      <c r="G4492" s="70" t="s">
        <v>7369</v>
      </c>
      <c r="H4492" s="93"/>
      <c r="I4492" s="85">
        <f t="shared" si="175"/>
        <v>1.60206</v>
      </c>
      <c r="J4492" s="85">
        <v>40.000000798724201</v>
      </c>
      <c r="K4492" s="131" t="s">
        <v>3177</v>
      </c>
      <c r="L4492" s="60">
        <v>60</v>
      </c>
      <c r="N4492" s="48"/>
      <c r="P4492" s="36"/>
    </row>
    <row r="4493" spans="1:16" ht="14" x14ac:dyDescent="0.15">
      <c r="A4493" s="70" t="s">
        <v>3635</v>
      </c>
      <c r="B4493" s="118"/>
      <c r="C4493" s="70" t="s">
        <v>3636</v>
      </c>
      <c r="D4493" s="70" t="s">
        <v>3437</v>
      </c>
      <c r="E4493" s="70" t="s">
        <v>3826</v>
      </c>
      <c r="F4493" s="70" t="s">
        <v>7799</v>
      </c>
      <c r="G4493" s="70" t="s">
        <v>7803</v>
      </c>
      <c r="H4493" s="93"/>
      <c r="I4493" s="85">
        <f t="shared" si="175"/>
        <v>1.6232500000000003</v>
      </c>
      <c r="J4493" s="85">
        <v>42.000068624663172</v>
      </c>
      <c r="K4493" s="131" t="s">
        <v>3177</v>
      </c>
      <c r="L4493" s="60">
        <v>60</v>
      </c>
      <c r="P4493" s="35"/>
    </row>
    <row r="4494" spans="1:16" ht="14" x14ac:dyDescent="0.15">
      <c r="A4494" s="70" t="s">
        <v>3635</v>
      </c>
      <c r="B4494" s="118"/>
      <c r="C4494" s="70" t="s">
        <v>3636</v>
      </c>
      <c r="D4494" s="70" t="s">
        <v>3437</v>
      </c>
      <c r="E4494" s="70" t="s">
        <v>3826</v>
      </c>
      <c r="F4494" s="70" t="s">
        <v>7799</v>
      </c>
      <c r="G4494" s="70" t="s">
        <v>5862</v>
      </c>
      <c r="H4494" s="93"/>
      <c r="I4494" s="85">
        <f t="shared" si="175"/>
        <v>1.6989700043360187</v>
      </c>
      <c r="J4494" s="85">
        <v>50</v>
      </c>
      <c r="K4494" s="131" t="s">
        <v>3177</v>
      </c>
      <c r="L4494" s="69">
        <v>66</v>
      </c>
      <c r="P4494" s="35"/>
    </row>
    <row r="4495" spans="1:16" ht="28" x14ac:dyDescent="0.15">
      <c r="A4495" s="70" t="s">
        <v>3635</v>
      </c>
      <c r="B4495" s="118"/>
      <c r="C4495" s="70" t="s">
        <v>3636</v>
      </c>
      <c r="D4495" s="70" t="s">
        <v>3437</v>
      </c>
      <c r="E4495" s="70" t="s">
        <v>3826</v>
      </c>
      <c r="F4495" s="70" t="s">
        <v>7799</v>
      </c>
      <c r="G4495" s="70" t="s">
        <v>3002</v>
      </c>
      <c r="H4495" s="93"/>
      <c r="I4495" s="85">
        <f t="shared" si="175"/>
        <v>1.8129100000000002</v>
      </c>
      <c r="J4495" s="85">
        <v>64.999497619814377</v>
      </c>
      <c r="K4495" s="131" t="s">
        <v>7875</v>
      </c>
      <c r="L4495" s="69">
        <v>61</v>
      </c>
      <c r="M4495" s="49" t="s">
        <v>6392</v>
      </c>
      <c r="P4495" s="35"/>
    </row>
    <row r="4496" spans="1:16" ht="28" x14ac:dyDescent="0.15">
      <c r="A4496" s="70" t="s">
        <v>3635</v>
      </c>
      <c r="B4496" s="118"/>
      <c r="C4496" s="70" t="s">
        <v>3636</v>
      </c>
      <c r="D4496" s="70" t="s">
        <v>3437</v>
      </c>
      <c r="E4496" s="70" t="s">
        <v>3826</v>
      </c>
      <c r="F4496" s="70" t="s">
        <v>7799</v>
      </c>
      <c r="G4496" s="70" t="s">
        <v>5350</v>
      </c>
      <c r="H4496" s="93"/>
      <c r="I4496" s="85">
        <f t="shared" si="175"/>
        <v>1.8129100000000002</v>
      </c>
      <c r="J4496" s="85">
        <v>64.999497619814377</v>
      </c>
      <c r="K4496" s="131" t="s">
        <v>7875</v>
      </c>
      <c r="L4496" s="69">
        <v>66</v>
      </c>
      <c r="M4496" s="49" t="s">
        <v>6392</v>
      </c>
      <c r="P4496" s="35"/>
    </row>
    <row r="4497" spans="1:16" ht="14" x14ac:dyDescent="0.15">
      <c r="A4497" s="70" t="s">
        <v>3635</v>
      </c>
      <c r="B4497" s="118"/>
      <c r="C4497" s="70" t="s">
        <v>3636</v>
      </c>
      <c r="D4497" s="70" t="s">
        <v>3437</v>
      </c>
      <c r="E4497" s="70" t="s">
        <v>3826</v>
      </c>
      <c r="F4497" s="70" t="s">
        <v>7804</v>
      </c>
      <c r="G4497" s="70" t="s">
        <v>7805</v>
      </c>
      <c r="H4497" s="93"/>
      <c r="I4497" s="85">
        <f t="shared" si="175"/>
        <v>1.01912</v>
      </c>
      <c r="J4497" s="85">
        <v>10.450089259696501</v>
      </c>
      <c r="K4497" s="131" t="s">
        <v>3177</v>
      </c>
      <c r="L4497" s="60">
        <v>60</v>
      </c>
      <c r="P4497" s="51"/>
    </row>
    <row r="4498" spans="1:16" ht="14" x14ac:dyDescent="0.15">
      <c r="A4498" s="70" t="s">
        <v>3635</v>
      </c>
      <c r="B4498" s="118"/>
      <c r="C4498" s="70" t="s">
        <v>3636</v>
      </c>
      <c r="D4498" s="70" t="s">
        <v>3437</v>
      </c>
      <c r="E4498" s="70" t="s">
        <v>3826</v>
      </c>
      <c r="F4498" s="70" t="s">
        <v>7804</v>
      </c>
      <c r="G4498" s="70" t="s">
        <v>5189</v>
      </c>
      <c r="H4498" s="93"/>
      <c r="I4498" s="85">
        <f t="shared" si="175"/>
        <v>1.0969100000000001</v>
      </c>
      <c r="J4498" s="85">
        <v>12.499999625598049</v>
      </c>
      <c r="K4498" s="131" t="s">
        <v>3177</v>
      </c>
      <c r="L4498" s="60">
        <v>60</v>
      </c>
      <c r="P4498" s="51"/>
    </row>
    <row r="4499" spans="1:16" ht="14" x14ac:dyDescent="0.15">
      <c r="A4499" s="70" t="s">
        <v>3635</v>
      </c>
      <c r="B4499" s="118"/>
      <c r="C4499" s="70" t="s">
        <v>3636</v>
      </c>
      <c r="D4499" s="70" t="s">
        <v>3437</v>
      </c>
      <c r="E4499" s="70" t="s">
        <v>3826</v>
      </c>
      <c r="F4499" s="70" t="s">
        <v>5190</v>
      </c>
      <c r="G4499" s="70" t="s">
        <v>2130</v>
      </c>
      <c r="H4499" s="93"/>
      <c r="I4499" s="85">
        <f t="shared" si="175"/>
        <v>0.83569000000000004</v>
      </c>
      <c r="J4499" s="85">
        <v>6.8499909860228438</v>
      </c>
      <c r="K4499" s="131" t="s">
        <v>3177</v>
      </c>
      <c r="L4499" s="60">
        <v>60</v>
      </c>
      <c r="P4499" s="51"/>
    </row>
    <row r="4500" spans="1:16" ht="14" x14ac:dyDescent="0.15">
      <c r="A4500" s="70" t="s">
        <v>3635</v>
      </c>
      <c r="B4500" s="118"/>
      <c r="C4500" s="70" t="s">
        <v>3636</v>
      </c>
      <c r="D4500" s="70" t="s">
        <v>3437</v>
      </c>
      <c r="E4500" s="70" t="s">
        <v>3826</v>
      </c>
      <c r="F4500" s="70" t="s">
        <v>5190</v>
      </c>
      <c r="G4500" s="70" t="s">
        <v>5443</v>
      </c>
      <c r="H4500" s="93"/>
      <c r="I4500" s="85">
        <f t="shared" si="175"/>
        <v>0.88081000000000009</v>
      </c>
      <c r="J4500" s="85">
        <v>7.5999371366152699</v>
      </c>
      <c r="K4500" s="131" t="s">
        <v>3177</v>
      </c>
      <c r="L4500" s="60">
        <v>60</v>
      </c>
      <c r="P4500" s="51"/>
    </row>
    <row r="4501" spans="1:16" ht="14" x14ac:dyDescent="0.15">
      <c r="A4501" s="70" t="s">
        <v>3635</v>
      </c>
      <c r="B4501" s="118"/>
      <c r="C4501" s="70" t="s">
        <v>3636</v>
      </c>
      <c r="D4501" s="70" t="s">
        <v>3437</v>
      </c>
      <c r="E4501" s="70" t="s">
        <v>3826</v>
      </c>
      <c r="F4501" s="70" t="s">
        <v>5190</v>
      </c>
      <c r="G4501" s="70" t="s">
        <v>6950</v>
      </c>
      <c r="H4501" s="93"/>
      <c r="I4501" s="85">
        <f t="shared" si="175"/>
        <v>0.8883700000000001</v>
      </c>
      <c r="J4501" s="85">
        <v>7.7333915582751924</v>
      </c>
      <c r="K4501" s="131" t="s">
        <v>3177</v>
      </c>
      <c r="L4501" s="60">
        <v>60</v>
      </c>
      <c r="P4501" s="51"/>
    </row>
    <row r="4502" spans="1:16" ht="14" x14ac:dyDescent="0.15">
      <c r="A4502" s="70" t="s">
        <v>3635</v>
      </c>
      <c r="B4502" s="118"/>
      <c r="C4502" s="70" t="s">
        <v>3636</v>
      </c>
      <c r="D4502" s="70" t="s">
        <v>3437</v>
      </c>
      <c r="E4502" s="70" t="s">
        <v>3826</v>
      </c>
      <c r="F4502" s="70" t="s">
        <v>5190</v>
      </c>
      <c r="G4502" s="70" t="s">
        <v>7315</v>
      </c>
      <c r="H4502" s="93"/>
      <c r="I4502" s="85">
        <f t="shared" si="175"/>
        <v>0.94448000000000021</v>
      </c>
      <c r="J4502" s="85">
        <v>8.7999458550589047</v>
      </c>
      <c r="K4502" s="131" t="s">
        <v>3177</v>
      </c>
      <c r="L4502" s="60">
        <v>60</v>
      </c>
      <c r="P4502" s="51"/>
    </row>
    <row r="4503" spans="1:16" ht="16" x14ac:dyDescent="0.2">
      <c r="A4503" s="70" t="s">
        <v>3635</v>
      </c>
      <c r="B4503" s="118"/>
      <c r="C4503" s="70" t="s">
        <v>3636</v>
      </c>
      <c r="D4503" s="70" t="s">
        <v>3437</v>
      </c>
      <c r="E4503" s="70" t="s">
        <v>3826</v>
      </c>
      <c r="F4503" s="70" t="s">
        <v>5190</v>
      </c>
      <c r="G4503" s="70" t="s">
        <v>5221</v>
      </c>
      <c r="H4503" s="93"/>
      <c r="I4503" s="85">
        <f t="shared" si="175"/>
        <v>1.0367599999999999</v>
      </c>
      <c r="J4503" s="85">
        <v>10.883284945685718</v>
      </c>
      <c r="K4503" s="131" t="s">
        <v>3177</v>
      </c>
      <c r="L4503" s="60">
        <v>60</v>
      </c>
      <c r="N4503" s="48"/>
      <c r="P4503" s="51"/>
    </row>
    <row r="4504" spans="1:16" ht="14" x14ac:dyDescent="0.15">
      <c r="A4504" s="70" t="s">
        <v>3635</v>
      </c>
      <c r="B4504" s="118"/>
      <c r="C4504" s="70" t="s">
        <v>3636</v>
      </c>
      <c r="D4504" s="70" t="s">
        <v>3437</v>
      </c>
      <c r="E4504" s="70" t="s">
        <v>3826</v>
      </c>
      <c r="F4504" s="70" t="s">
        <v>5190</v>
      </c>
      <c r="G4504" s="70" t="s">
        <v>4188</v>
      </c>
      <c r="H4504" s="93"/>
      <c r="I4504" s="85">
        <f t="shared" si="175"/>
        <v>1.0625800000000003</v>
      </c>
      <c r="J4504" s="85">
        <v>11.549947229854666</v>
      </c>
      <c r="K4504" s="131" t="s">
        <v>3177</v>
      </c>
      <c r="L4504" s="60">
        <v>60</v>
      </c>
      <c r="P4504" s="51"/>
    </row>
    <row r="4505" spans="1:16" ht="14" x14ac:dyDescent="0.15">
      <c r="A4505" s="70" t="s">
        <v>3635</v>
      </c>
      <c r="B4505" s="118"/>
      <c r="C4505" s="70" t="s">
        <v>3636</v>
      </c>
      <c r="D4505" s="70" t="s">
        <v>3437</v>
      </c>
      <c r="E4505" s="70" t="s">
        <v>3826</v>
      </c>
      <c r="F4505" s="70" t="s">
        <v>5190</v>
      </c>
      <c r="G4505" s="70" t="s">
        <v>7800</v>
      </c>
      <c r="H4505" s="93"/>
      <c r="I4505" s="85">
        <f t="shared" si="175"/>
        <v>1.06819</v>
      </c>
      <c r="J4505" s="85">
        <v>11.700111486105868</v>
      </c>
      <c r="K4505" s="131" t="s">
        <v>6630</v>
      </c>
      <c r="L4505" s="60">
        <v>60</v>
      </c>
      <c r="M4505" s="49" t="s">
        <v>6392</v>
      </c>
      <c r="P4505" s="51"/>
    </row>
    <row r="4506" spans="1:16" ht="14" x14ac:dyDescent="0.15">
      <c r="A4506" s="70" t="s">
        <v>3635</v>
      </c>
      <c r="B4506" s="118"/>
      <c r="C4506" s="70" t="s">
        <v>3636</v>
      </c>
      <c r="D4506" s="70" t="s">
        <v>3437</v>
      </c>
      <c r="E4506" s="70" t="s">
        <v>3826</v>
      </c>
      <c r="F4506" s="70" t="s">
        <v>5190</v>
      </c>
      <c r="G4506" s="70" t="s">
        <v>7064</v>
      </c>
      <c r="H4506" s="93"/>
      <c r="I4506" s="85">
        <f t="shared" si="175"/>
        <v>1.3379600000000003</v>
      </c>
      <c r="J4506" s="85">
        <v>21.775092071073249</v>
      </c>
      <c r="K4506" s="131" t="s">
        <v>3177</v>
      </c>
      <c r="L4506" s="60">
        <v>60</v>
      </c>
      <c r="P4506" s="51"/>
    </row>
    <row r="4507" spans="1:16" ht="14" x14ac:dyDescent="0.15">
      <c r="A4507" s="70" t="s">
        <v>3635</v>
      </c>
      <c r="B4507" s="118"/>
      <c r="C4507" s="70" t="s">
        <v>3636</v>
      </c>
      <c r="D4507" s="70" t="s">
        <v>3437</v>
      </c>
      <c r="E4507" s="70" t="s">
        <v>3826</v>
      </c>
      <c r="F4507" s="70" t="s">
        <v>5190</v>
      </c>
      <c r="G4507" s="70" t="s">
        <v>5183</v>
      </c>
      <c r="H4507" s="93"/>
      <c r="I4507" s="85">
        <f t="shared" si="175"/>
        <v>1.3802100000000002</v>
      </c>
      <c r="J4507" s="85">
        <v>23.999931380578893</v>
      </c>
      <c r="K4507" s="131" t="s">
        <v>6816</v>
      </c>
      <c r="L4507" s="69">
        <v>66</v>
      </c>
      <c r="M4507" s="49" t="s">
        <v>6392</v>
      </c>
      <c r="P4507" s="51"/>
    </row>
    <row r="4508" spans="1:16" ht="16" x14ac:dyDescent="0.2">
      <c r="A4508" s="70" t="s">
        <v>3635</v>
      </c>
      <c r="B4508" s="118"/>
      <c r="C4508" s="70" t="s">
        <v>3636</v>
      </c>
      <c r="D4508" s="70" t="s">
        <v>3437</v>
      </c>
      <c r="E4508" s="70" t="s">
        <v>3826</v>
      </c>
      <c r="F4508" s="70" t="s">
        <v>5190</v>
      </c>
      <c r="G4508" s="70" t="s">
        <v>5444</v>
      </c>
      <c r="H4508" s="93"/>
      <c r="I4508" s="85">
        <f t="shared" si="175"/>
        <v>1.3802100000000002</v>
      </c>
      <c r="J4508" s="85">
        <v>23.999931380578893</v>
      </c>
      <c r="K4508" s="131" t="s">
        <v>3177</v>
      </c>
      <c r="L4508" s="69">
        <v>66</v>
      </c>
      <c r="N4508" s="48"/>
      <c r="P4508" s="51"/>
    </row>
    <row r="4509" spans="1:16" ht="16" x14ac:dyDescent="0.2">
      <c r="A4509" s="70" t="s">
        <v>3635</v>
      </c>
      <c r="B4509" s="118"/>
      <c r="C4509" s="70" t="s">
        <v>3636</v>
      </c>
      <c r="D4509" s="70" t="s">
        <v>3437</v>
      </c>
      <c r="E4509" s="70" t="s">
        <v>3457</v>
      </c>
      <c r="F4509" s="70" t="s">
        <v>3850</v>
      </c>
      <c r="G4509" s="70" t="s">
        <v>4040</v>
      </c>
      <c r="H4509" s="93"/>
      <c r="I4509" s="85">
        <f t="shared" si="175"/>
        <v>1.3384600000000002</v>
      </c>
      <c r="J4509" s="85">
        <v>21.800176008978656</v>
      </c>
      <c r="K4509" s="131" t="s">
        <v>3177</v>
      </c>
      <c r="L4509" s="60">
        <v>60</v>
      </c>
      <c r="N4509" s="48"/>
      <c r="P4509" s="51"/>
    </row>
    <row r="4510" spans="1:16" ht="14" x14ac:dyDescent="0.15">
      <c r="A4510" s="70" t="s">
        <v>3635</v>
      </c>
      <c r="B4510" s="118"/>
      <c r="C4510" s="70" t="s">
        <v>3636</v>
      </c>
      <c r="D4510" s="70" t="s">
        <v>3437</v>
      </c>
      <c r="E4510" s="70" t="s">
        <v>3457</v>
      </c>
      <c r="F4510" s="70" t="s">
        <v>3850</v>
      </c>
      <c r="G4510" s="70" t="s">
        <v>3851</v>
      </c>
      <c r="H4510" s="93"/>
      <c r="I4510" s="85">
        <f t="shared" si="175"/>
        <v>1.3617300000000003</v>
      </c>
      <c r="J4510" s="85">
        <v>23.000114603619075</v>
      </c>
      <c r="K4510" s="131" t="s">
        <v>3177</v>
      </c>
      <c r="L4510" s="60">
        <v>60</v>
      </c>
      <c r="M4510" s="49" t="s">
        <v>6727</v>
      </c>
    </row>
    <row r="4511" spans="1:16" ht="14" x14ac:dyDescent="0.15">
      <c r="A4511" s="70" t="s">
        <v>3635</v>
      </c>
      <c r="B4511" s="117" t="s">
        <v>2161</v>
      </c>
      <c r="C4511" s="70" t="s">
        <v>3636</v>
      </c>
      <c r="D4511" s="70" t="s">
        <v>3437</v>
      </c>
      <c r="E4511" s="70" t="s">
        <v>3457</v>
      </c>
      <c r="F4511" s="70" t="s">
        <v>3850</v>
      </c>
      <c r="G4511" s="70" t="s">
        <v>2967</v>
      </c>
      <c r="H4511" s="93"/>
      <c r="I4511" s="85">
        <f t="shared" si="175"/>
        <v>1.5118833609788744</v>
      </c>
      <c r="J4511" s="85">
        <f>AVERAGE(20, 45)</f>
        <v>32.5</v>
      </c>
      <c r="K4511" s="131" t="s">
        <v>3177</v>
      </c>
      <c r="L4511" s="60">
        <v>97</v>
      </c>
      <c r="M4511" s="49" t="s">
        <v>6727</v>
      </c>
    </row>
    <row r="4512" spans="1:16" ht="16" x14ac:dyDescent="0.2">
      <c r="A4512" s="70" t="s">
        <v>3635</v>
      </c>
      <c r="B4512" s="118"/>
      <c r="C4512" s="70" t="s">
        <v>3636</v>
      </c>
      <c r="D4512" s="70" t="s">
        <v>3437</v>
      </c>
      <c r="E4512" s="70" t="s">
        <v>3457</v>
      </c>
      <c r="F4512" s="70" t="s">
        <v>6505</v>
      </c>
      <c r="G4512" s="70" t="s">
        <v>4038</v>
      </c>
      <c r="H4512" s="93"/>
      <c r="I4512" s="85">
        <f t="shared" si="175"/>
        <v>0.90309000000000006</v>
      </c>
      <c r="J4512" s="85">
        <v>8.0000002396172594</v>
      </c>
      <c r="K4512" s="131" t="s">
        <v>3177</v>
      </c>
      <c r="L4512" s="60">
        <v>60</v>
      </c>
      <c r="N4512" s="48"/>
    </row>
    <row r="4513" spans="1:18" ht="14" x14ac:dyDescent="0.15">
      <c r="A4513" s="70" t="s">
        <v>3635</v>
      </c>
      <c r="B4513" s="118"/>
      <c r="C4513" s="70" t="s">
        <v>3636</v>
      </c>
      <c r="D4513" s="70" t="s">
        <v>3437</v>
      </c>
      <c r="E4513" s="70" t="s">
        <v>3457</v>
      </c>
      <c r="F4513" s="70" t="s">
        <v>6505</v>
      </c>
      <c r="G4513" s="70" t="s">
        <v>4126</v>
      </c>
      <c r="H4513" s="93"/>
      <c r="I4513" s="85">
        <f t="shared" si="175"/>
        <v>0.95423999999999998</v>
      </c>
      <c r="J4513" s="85">
        <v>8.999947996372013</v>
      </c>
      <c r="K4513" s="131" t="s">
        <v>3177</v>
      </c>
      <c r="L4513" s="69">
        <v>66</v>
      </c>
    </row>
    <row r="4514" spans="1:18" ht="14" x14ac:dyDescent="0.15">
      <c r="A4514" s="70" t="s">
        <v>3635</v>
      </c>
      <c r="B4514" s="118"/>
      <c r="C4514" s="70" t="s">
        <v>3636</v>
      </c>
      <c r="D4514" s="70" t="s">
        <v>3437</v>
      </c>
      <c r="E4514" s="70" t="s">
        <v>3457</v>
      </c>
      <c r="F4514" s="70" t="s">
        <v>4039</v>
      </c>
      <c r="G4514" s="70" t="s">
        <v>4223</v>
      </c>
      <c r="H4514" s="93"/>
      <c r="I4514" s="85">
        <f t="shared" si="175"/>
        <v>1.2624500000000001</v>
      </c>
      <c r="J4514" s="85">
        <v>18.299954081751743</v>
      </c>
      <c r="K4514" s="131" t="s">
        <v>3177</v>
      </c>
      <c r="L4514" s="60">
        <v>60</v>
      </c>
      <c r="P4514" s="51"/>
    </row>
    <row r="4515" spans="1:18" ht="14" x14ac:dyDescent="0.15">
      <c r="A4515" s="70" t="s">
        <v>3635</v>
      </c>
      <c r="B4515" s="118"/>
      <c r="C4515" s="70" t="s">
        <v>3636</v>
      </c>
      <c r="D4515" s="70" t="s">
        <v>3437</v>
      </c>
      <c r="E4515" s="70" t="s">
        <v>3457</v>
      </c>
      <c r="F4515" s="70" t="s">
        <v>4039</v>
      </c>
      <c r="G4515" s="70" t="s">
        <v>4225</v>
      </c>
      <c r="H4515" s="93"/>
      <c r="I4515" s="85">
        <f t="shared" si="175"/>
        <v>1.2783700000000002</v>
      </c>
      <c r="J4515" s="85">
        <v>18.983225206581469</v>
      </c>
      <c r="K4515" s="131" t="s">
        <v>3177</v>
      </c>
      <c r="L4515" s="60">
        <v>60</v>
      </c>
      <c r="P4515" s="51"/>
    </row>
    <row r="4516" spans="1:18" ht="14" x14ac:dyDescent="0.15">
      <c r="A4516" s="73" t="s">
        <v>3635</v>
      </c>
      <c r="B4516" s="118"/>
      <c r="C4516" s="70" t="s">
        <v>3636</v>
      </c>
      <c r="D4516" s="70" t="s">
        <v>3437</v>
      </c>
      <c r="E4516" s="70" t="s">
        <v>3457</v>
      </c>
      <c r="F4516" s="70" t="s">
        <v>4039</v>
      </c>
      <c r="G4516" s="70" t="s">
        <v>4226</v>
      </c>
      <c r="H4516" s="93"/>
      <c r="I4516" s="85">
        <f t="shared" si="175"/>
        <v>1.4624000000000001</v>
      </c>
      <c r="J4516" s="85">
        <v>29.000133690540697</v>
      </c>
      <c r="K4516" s="131" t="s">
        <v>3177</v>
      </c>
      <c r="L4516" s="69">
        <v>66</v>
      </c>
    </row>
    <row r="4517" spans="1:18" ht="28" x14ac:dyDescent="0.15">
      <c r="A4517" s="70" t="s">
        <v>3635</v>
      </c>
      <c r="B4517" s="117" t="s">
        <v>2197</v>
      </c>
      <c r="C4517" s="70" t="s">
        <v>3636</v>
      </c>
      <c r="D4517" s="70" t="s">
        <v>3437</v>
      </c>
      <c r="E4517" s="70" t="s">
        <v>3457</v>
      </c>
      <c r="F4517" s="70" t="s">
        <v>4227</v>
      </c>
      <c r="G4517" s="70" t="s">
        <v>2981</v>
      </c>
      <c r="H4517" s="93"/>
      <c r="I4517" s="85">
        <v>-999</v>
      </c>
      <c r="J4517" s="85">
        <v>-999</v>
      </c>
      <c r="K4517" s="131" t="s">
        <v>3177</v>
      </c>
      <c r="L4517" s="60">
        <v>-999</v>
      </c>
      <c r="M4517" s="33"/>
    </row>
    <row r="4518" spans="1:18" ht="14" x14ac:dyDescent="0.15">
      <c r="A4518" s="70" t="s">
        <v>3635</v>
      </c>
      <c r="B4518" s="117" t="s">
        <v>2198</v>
      </c>
      <c r="C4518" s="70" t="s">
        <v>3636</v>
      </c>
      <c r="D4518" s="70" t="s">
        <v>3437</v>
      </c>
      <c r="E4518" s="70" t="s">
        <v>3457</v>
      </c>
      <c r="F4518" s="70" t="s">
        <v>4227</v>
      </c>
      <c r="G4518" s="70" t="s">
        <v>6245</v>
      </c>
      <c r="H4518" s="93"/>
      <c r="I4518" s="85">
        <v>-999</v>
      </c>
      <c r="J4518" s="85">
        <v>-999</v>
      </c>
      <c r="L4518" s="60">
        <v>-999</v>
      </c>
      <c r="M4518" s="33" t="s">
        <v>6727</v>
      </c>
      <c r="N4518" s="37">
        <f>2.761*(LOG(175)) +-6.8244</f>
        <v>-0.63137194757714088</v>
      </c>
    </row>
    <row r="4519" spans="1:18" ht="14" x14ac:dyDescent="0.15">
      <c r="A4519" s="70" t="s">
        <v>3635</v>
      </c>
      <c r="B4519" s="118"/>
      <c r="C4519" s="70" t="s">
        <v>3636</v>
      </c>
      <c r="D4519" s="70" t="s">
        <v>3437</v>
      </c>
      <c r="E4519" s="70" t="s">
        <v>3457</v>
      </c>
      <c r="F4519" s="70" t="s">
        <v>4227</v>
      </c>
      <c r="G4519" s="70" t="s">
        <v>4228</v>
      </c>
      <c r="H4519" s="93"/>
      <c r="I4519" s="85">
        <f t="shared" ref="I4519:I4530" si="176">LOG(J4519)</f>
        <v>1.7356</v>
      </c>
      <c r="J4519" s="85">
        <v>54.400137824672747</v>
      </c>
      <c r="K4519" s="131" t="s">
        <v>3177</v>
      </c>
      <c r="L4519" s="60">
        <v>60</v>
      </c>
    </row>
    <row r="4520" spans="1:18" ht="14" x14ac:dyDescent="0.15">
      <c r="A4520" s="70" t="s">
        <v>3635</v>
      </c>
      <c r="B4520" s="117" t="s">
        <v>4882</v>
      </c>
      <c r="C4520" s="70" t="s">
        <v>3636</v>
      </c>
      <c r="D4520" s="70" t="s">
        <v>3437</v>
      </c>
      <c r="E4520" s="70" t="s">
        <v>3457</v>
      </c>
      <c r="F4520" s="70" t="s">
        <v>4227</v>
      </c>
      <c r="G4520" s="70" t="s">
        <v>4024</v>
      </c>
      <c r="H4520" s="93"/>
      <c r="I4520" s="85">
        <f t="shared" si="176"/>
        <v>1.7403626894942439</v>
      </c>
      <c r="J4520" s="85">
        <v>55</v>
      </c>
      <c r="K4520" s="131" t="s">
        <v>3177</v>
      </c>
      <c r="L4520" s="60" t="s">
        <v>255</v>
      </c>
      <c r="M4520" s="33"/>
    </row>
    <row r="4521" spans="1:18" ht="14" x14ac:dyDescent="0.15">
      <c r="A4521" s="70" t="s">
        <v>3635</v>
      </c>
      <c r="B4521" s="118"/>
      <c r="C4521" s="70" t="s">
        <v>3636</v>
      </c>
      <c r="D4521" s="70" t="s">
        <v>3437</v>
      </c>
      <c r="E4521" s="70" t="s">
        <v>3457</v>
      </c>
      <c r="F4521" s="70" t="s">
        <v>4227</v>
      </c>
      <c r="G4521" s="70" t="s">
        <v>6219</v>
      </c>
      <c r="H4521" s="93"/>
      <c r="I4521" s="85">
        <f t="shared" si="176"/>
        <v>1.7558700000000003</v>
      </c>
      <c r="J4521" s="85">
        <v>56.999362709414271</v>
      </c>
      <c r="K4521" s="131" t="s">
        <v>3177</v>
      </c>
      <c r="L4521" s="69">
        <v>66</v>
      </c>
    </row>
    <row r="4522" spans="1:18" ht="14" x14ac:dyDescent="0.15">
      <c r="A4522" s="70" t="s">
        <v>3635</v>
      </c>
      <c r="B4522" s="118"/>
      <c r="C4522" s="70" t="s">
        <v>3636</v>
      </c>
      <c r="D4522" s="70" t="s">
        <v>3437</v>
      </c>
      <c r="E4522" s="70" t="s">
        <v>3457</v>
      </c>
      <c r="F4522" s="70" t="s">
        <v>4229</v>
      </c>
      <c r="G4522" s="70" t="s">
        <v>3793</v>
      </c>
      <c r="H4522" s="93"/>
      <c r="I4522" s="85">
        <f t="shared" si="176"/>
        <v>1.60206</v>
      </c>
      <c r="J4522" s="85">
        <v>40.000000798724201</v>
      </c>
      <c r="K4522" s="131" t="s">
        <v>3177</v>
      </c>
      <c r="L4522" s="69">
        <v>66</v>
      </c>
    </row>
    <row r="4523" spans="1:18" ht="14" x14ac:dyDescent="0.15">
      <c r="A4523" s="70" t="s">
        <v>3635</v>
      </c>
      <c r="B4523" s="118"/>
      <c r="C4523" s="70" t="s">
        <v>3636</v>
      </c>
      <c r="D4523" s="70" t="s">
        <v>3437</v>
      </c>
      <c r="E4523" s="70" t="s">
        <v>3457</v>
      </c>
      <c r="F4523" s="70" t="s">
        <v>4229</v>
      </c>
      <c r="G4523" s="70" t="s">
        <v>3795</v>
      </c>
      <c r="H4523" s="93"/>
      <c r="I4523" s="85">
        <f t="shared" si="176"/>
        <v>1.60206</v>
      </c>
      <c r="J4523" s="85">
        <v>40.000000798724201</v>
      </c>
      <c r="K4523" s="131" t="s">
        <v>3177</v>
      </c>
      <c r="L4523" s="69">
        <v>66</v>
      </c>
    </row>
    <row r="4524" spans="1:18" ht="16" x14ac:dyDescent="0.2">
      <c r="A4524" s="70" t="s">
        <v>3635</v>
      </c>
      <c r="B4524" s="118"/>
      <c r="C4524" s="70" t="s">
        <v>3636</v>
      </c>
      <c r="D4524" s="70" t="s">
        <v>3437</v>
      </c>
      <c r="E4524" s="70" t="s">
        <v>3457</v>
      </c>
      <c r="F4524" s="70" t="s">
        <v>4229</v>
      </c>
      <c r="G4524" s="70" t="s">
        <v>3796</v>
      </c>
      <c r="H4524" s="93"/>
      <c r="I4524" s="85">
        <f t="shared" si="176"/>
        <v>1.60206</v>
      </c>
      <c r="J4524" s="85">
        <v>40.000000798724201</v>
      </c>
      <c r="K4524" s="131" t="s">
        <v>6630</v>
      </c>
      <c r="L4524" s="69">
        <v>66</v>
      </c>
      <c r="M4524" s="49" t="s">
        <v>6392</v>
      </c>
      <c r="N4524" s="48"/>
    </row>
    <row r="4525" spans="1:18" ht="14" x14ac:dyDescent="0.15">
      <c r="A4525" s="70" t="s">
        <v>3635</v>
      </c>
      <c r="B4525" s="118"/>
      <c r="C4525" s="70" t="s">
        <v>3636</v>
      </c>
      <c r="D4525" s="70" t="s">
        <v>3437</v>
      </c>
      <c r="E4525" s="70" t="s">
        <v>3457</v>
      </c>
      <c r="F4525" s="70" t="s">
        <v>4229</v>
      </c>
      <c r="G4525" s="70" t="s">
        <v>3794</v>
      </c>
      <c r="H4525" s="93"/>
      <c r="I4525" s="85">
        <f t="shared" si="176"/>
        <v>1.9294199999999999</v>
      </c>
      <c r="J4525" s="85">
        <v>85.000210259171723</v>
      </c>
      <c r="K4525" s="131" t="s">
        <v>6630</v>
      </c>
      <c r="L4525" s="69">
        <v>66</v>
      </c>
      <c r="M4525" s="49" t="s">
        <v>6392</v>
      </c>
    </row>
    <row r="4526" spans="1:18" ht="14" x14ac:dyDescent="0.15">
      <c r="A4526" s="70" t="s">
        <v>3635</v>
      </c>
      <c r="B4526" s="118"/>
      <c r="C4526" s="70" t="s">
        <v>3636</v>
      </c>
      <c r="D4526" s="70" t="s">
        <v>3437</v>
      </c>
      <c r="E4526" s="70" t="s">
        <v>3457</v>
      </c>
      <c r="F4526" s="70" t="s">
        <v>3797</v>
      </c>
      <c r="G4526" s="70" t="s">
        <v>3905</v>
      </c>
      <c r="H4526" s="93"/>
      <c r="I4526" s="85">
        <f t="shared" si="176"/>
        <v>2.5653800000000002</v>
      </c>
      <c r="J4526" s="85">
        <v>367.60380665869661</v>
      </c>
      <c r="K4526" s="131" t="s">
        <v>6630</v>
      </c>
      <c r="L4526" s="60">
        <v>60</v>
      </c>
      <c r="M4526" s="49" t="s">
        <v>6392</v>
      </c>
    </row>
    <row r="4527" spans="1:18" ht="14" x14ac:dyDescent="0.15">
      <c r="A4527" s="73" t="s">
        <v>3635</v>
      </c>
      <c r="B4527" s="118"/>
      <c r="C4527" s="70" t="s">
        <v>3636</v>
      </c>
      <c r="D4527" s="70" t="s">
        <v>3437</v>
      </c>
      <c r="E4527" s="70" t="s">
        <v>3457</v>
      </c>
      <c r="F4527" s="70" t="s">
        <v>2901</v>
      </c>
      <c r="G4527" s="70" t="s">
        <v>3767</v>
      </c>
      <c r="H4527" s="93"/>
      <c r="I4527" s="85">
        <f t="shared" si="176"/>
        <v>2.1398799999999998</v>
      </c>
      <c r="J4527" s="85">
        <v>138.00029030247268</v>
      </c>
      <c r="K4527" s="131" t="s">
        <v>6630</v>
      </c>
      <c r="L4527" s="60">
        <v>60</v>
      </c>
      <c r="M4527" s="49" t="s">
        <v>6392</v>
      </c>
      <c r="Q4527" s="6"/>
      <c r="R4527" s="6"/>
    </row>
    <row r="4528" spans="1:18" ht="14" x14ac:dyDescent="0.15">
      <c r="A4528" s="70" t="s">
        <v>3635</v>
      </c>
      <c r="B4528" s="117" t="s">
        <v>2470</v>
      </c>
      <c r="C4528" s="70" t="s">
        <v>3636</v>
      </c>
      <c r="D4528" s="70" t="s">
        <v>3437</v>
      </c>
      <c r="E4528" s="70" t="s">
        <v>3457</v>
      </c>
      <c r="F4528" s="70" t="s">
        <v>2901</v>
      </c>
      <c r="G4528" s="70" t="s">
        <v>5231</v>
      </c>
      <c r="H4528" s="93"/>
      <c r="I4528" s="85">
        <f t="shared" si="176"/>
        <v>2.3686280524228591</v>
      </c>
      <c r="J4528" s="85">
        <v>233.68350201942908</v>
      </c>
      <c r="K4528" s="131" t="s">
        <v>7601</v>
      </c>
      <c r="L4528" s="60" t="s">
        <v>7602</v>
      </c>
      <c r="M4528" s="33"/>
      <c r="N4528" s="37">
        <f>1000*10^N4527</f>
        <v>1000</v>
      </c>
      <c r="Q4528" s="6"/>
      <c r="R4528" s="6"/>
    </row>
    <row r="4529" spans="1:18" ht="14" x14ac:dyDescent="0.15">
      <c r="A4529" s="70" t="s">
        <v>3635</v>
      </c>
      <c r="B4529" s="118"/>
      <c r="C4529" s="70" t="s">
        <v>3636</v>
      </c>
      <c r="D4529" s="70" t="s">
        <v>3437</v>
      </c>
      <c r="E4529" s="70" t="s">
        <v>3457</v>
      </c>
      <c r="F4529" s="70" t="s">
        <v>3798</v>
      </c>
      <c r="G4529" s="70" t="s">
        <v>3799</v>
      </c>
      <c r="H4529" s="93"/>
      <c r="I4529" s="85">
        <f t="shared" si="176"/>
        <v>1.4514000000000002</v>
      </c>
      <c r="J4529" s="85">
        <v>28.274829840696068</v>
      </c>
      <c r="K4529" s="131" t="s">
        <v>3177</v>
      </c>
      <c r="L4529" s="69">
        <v>66</v>
      </c>
      <c r="Q4529" s="6"/>
      <c r="R4529" s="6"/>
    </row>
    <row r="4530" spans="1:18" ht="14" x14ac:dyDescent="0.15">
      <c r="A4530" s="73" t="s">
        <v>3635</v>
      </c>
      <c r="B4530" s="118"/>
      <c r="C4530" s="70" t="s">
        <v>3636</v>
      </c>
      <c r="D4530" s="70" t="s">
        <v>3437</v>
      </c>
      <c r="E4530" s="70" t="s">
        <v>3457</v>
      </c>
      <c r="F4530" s="70" t="s">
        <v>6828</v>
      </c>
      <c r="G4530" s="70" t="s">
        <v>6829</v>
      </c>
      <c r="H4530" s="93"/>
      <c r="I4530" s="85">
        <f t="shared" si="176"/>
        <v>1.7182200000000003</v>
      </c>
      <c r="J4530" s="85">
        <v>52.266088560600423</v>
      </c>
      <c r="K4530" s="131" t="s">
        <v>3177</v>
      </c>
      <c r="L4530" s="60">
        <v>60</v>
      </c>
      <c r="Q4530" s="6"/>
      <c r="R4530" s="6"/>
    </row>
    <row r="4531" spans="1:18" ht="28" x14ac:dyDescent="0.15">
      <c r="A4531" s="70" t="s">
        <v>3635</v>
      </c>
      <c r="B4531" s="117" t="s">
        <v>2554</v>
      </c>
      <c r="C4531" s="70" t="s">
        <v>3636</v>
      </c>
      <c r="D4531" s="70" t="s">
        <v>3437</v>
      </c>
      <c r="E4531" s="70" t="s">
        <v>3457</v>
      </c>
      <c r="F4531" s="70" t="s">
        <v>4045</v>
      </c>
      <c r="G4531" s="70" t="s">
        <v>5232</v>
      </c>
      <c r="H4531" s="93"/>
      <c r="I4531" s="85">
        <v>-999</v>
      </c>
      <c r="J4531" s="85">
        <v>-999</v>
      </c>
      <c r="K4531" s="131" t="s">
        <v>3177</v>
      </c>
      <c r="L4531" s="60">
        <v>-999</v>
      </c>
      <c r="M4531" s="33" t="s">
        <v>6392</v>
      </c>
      <c r="Q4531" s="6"/>
      <c r="R4531" s="6"/>
    </row>
    <row r="4532" spans="1:18" ht="14" x14ac:dyDescent="0.15">
      <c r="A4532" s="70" t="s">
        <v>3635</v>
      </c>
      <c r="B4532" s="117" t="s">
        <v>2555</v>
      </c>
      <c r="C4532" s="70" t="s">
        <v>3636</v>
      </c>
      <c r="D4532" s="70" t="s">
        <v>3437</v>
      </c>
      <c r="E4532" s="70" t="s">
        <v>3457</v>
      </c>
      <c r="F4532" s="70" t="s">
        <v>4045</v>
      </c>
      <c r="G4532" s="70" t="s">
        <v>2981</v>
      </c>
      <c r="H4532" s="93"/>
      <c r="I4532" s="85">
        <v>-999</v>
      </c>
      <c r="J4532" s="85">
        <v>-999</v>
      </c>
      <c r="K4532" s="131" t="s">
        <v>3177</v>
      </c>
      <c r="L4532" s="60">
        <v>-999</v>
      </c>
      <c r="M4532" s="33"/>
      <c r="Q4532" s="6"/>
      <c r="R4532" s="6"/>
    </row>
    <row r="4533" spans="1:18" ht="14" x14ac:dyDescent="0.15">
      <c r="A4533" s="70" t="s">
        <v>3635</v>
      </c>
      <c r="B4533" s="118"/>
      <c r="C4533" s="70" t="s">
        <v>3636</v>
      </c>
      <c r="D4533" s="70" t="s">
        <v>3437</v>
      </c>
      <c r="E4533" s="70" t="s">
        <v>3457</v>
      </c>
      <c r="F4533" s="70" t="s">
        <v>4045</v>
      </c>
      <c r="G4533" s="70" t="s">
        <v>4669</v>
      </c>
      <c r="H4533" s="93"/>
      <c r="I4533" s="85">
        <f t="shared" ref="I4533:I4552" si="177">LOG(J4533)</f>
        <v>2.0453200000000002</v>
      </c>
      <c r="J4533" s="85">
        <v>110.99923866362846</v>
      </c>
      <c r="K4533" s="131" t="s">
        <v>3177</v>
      </c>
      <c r="L4533" s="60">
        <v>60</v>
      </c>
      <c r="Q4533" s="6"/>
      <c r="R4533" s="6"/>
    </row>
    <row r="4534" spans="1:18" ht="14" x14ac:dyDescent="0.15">
      <c r="A4534" s="73" t="s">
        <v>3635</v>
      </c>
      <c r="B4534" s="118"/>
      <c r="C4534" s="70" t="s">
        <v>3636</v>
      </c>
      <c r="D4534" s="70" t="s">
        <v>3437</v>
      </c>
      <c r="E4534" s="70" t="s">
        <v>3457</v>
      </c>
      <c r="F4534" s="70" t="s">
        <v>4046</v>
      </c>
      <c r="G4534" s="70" t="s">
        <v>3858</v>
      </c>
      <c r="H4534" s="93"/>
      <c r="I4534" s="85">
        <f t="shared" si="177"/>
        <v>1.3085600000000002</v>
      </c>
      <c r="J4534" s="85">
        <v>20.349793192134438</v>
      </c>
      <c r="K4534" s="131" t="s">
        <v>3177</v>
      </c>
      <c r="L4534" s="60">
        <v>60</v>
      </c>
      <c r="P4534" s="51"/>
    </row>
    <row r="4535" spans="1:18" ht="14" x14ac:dyDescent="0.15">
      <c r="A4535" s="73" t="s">
        <v>3635</v>
      </c>
      <c r="B4535" s="118"/>
      <c r="C4535" s="70" t="s">
        <v>3636</v>
      </c>
      <c r="D4535" s="70" t="s">
        <v>3437</v>
      </c>
      <c r="E4535" s="70" t="s">
        <v>3457</v>
      </c>
      <c r="F4535" s="70" t="s">
        <v>4046</v>
      </c>
      <c r="G4535" s="70" t="s">
        <v>3599</v>
      </c>
      <c r="H4535" s="93"/>
      <c r="I4535" s="85">
        <f t="shared" si="177"/>
        <v>1.4195800000000001</v>
      </c>
      <c r="J4535" s="85">
        <v>26.277255268195344</v>
      </c>
      <c r="K4535" s="131" t="s">
        <v>3177</v>
      </c>
      <c r="L4535" s="60">
        <v>60</v>
      </c>
    </row>
    <row r="4536" spans="1:18" ht="14" x14ac:dyDescent="0.15">
      <c r="A4536" s="70" t="s">
        <v>3635</v>
      </c>
      <c r="B4536" s="118"/>
      <c r="C4536" s="70" t="s">
        <v>3636</v>
      </c>
      <c r="D4536" s="70" t="s">
        <v>3437</v>
      </c>
      <c r="E4536" s="70" t="s">
        <v>3457</v>
      </c>
      <c r="F4536" s="70" t="s">
        <v>4046</v>
      </c>
      <c r="G4536" s="70" t="s">
        <v>4047</v>
      </c>
      <c r="H4536" s="93"/>
      <c r="I4536" s="85">
        <f t="shared" si="177"/>
        <v>1.4540800000000003</v>
      </c>
      <c r="J4536" s="85">
        <v>28.449851248097069</v>
      </c>
      <c r="K4536" s="131" t="s">
        <v>3177</v>
      </c>
      <c r="L4536" s="60">
        <v>60</v>
      </c>
    </row>
    <row r="4537" spans="1:18" ht="14" x14ac:dyDescent="0.15">
      <c r="A4537" s="70" t="s">
        <v>3635</v>
      </c>
      <c r="B4537" s="118"/>
      <c r="C4537" s="70" t="s">
        <v>3636</v>
      </c>
      <c r="D4537" s="70" t="s">
        <v>3437</v>
      </c>
      <c r="E4537" s="70" t="s">
        <v>3457</v>
      </c>
      <c r="F4537" s="70" t="s">
        <v>4046</v>
      </c>
      <c r="G4537" s="70" t="s">
        <v>3790</v>
      </c>
      <c r="H4537" s="93"/>
      <c r="I4537" s="85">
        <f t="shared" si="177"/>
        <v>1.5081300000000002</v>
      </c>
      <c r="J4537" s="85">
        <v>32.220331176527651</v>
      </c>
      <c r="K4537" s="131" t="s">
        <v>3177</v>
      </c>
      <c r="L4537" s="60">
        <v>60</v>
      </c>
    </row>
    <row r="4538" spans="1:18" ht="14" x14ac:dyDescent="0.15">
      <c r="A4538" s="70" t="s">
        <v>3635</v>
      </c>
      <c r="B4538" s="118"/>
      <c r="C4538" s="70" t="s">
        <v>3636</v>
      </c>
      <c r="D4538" s="70" t="s">
        <v>3437</v>
      </c>
      <c r="E4538" s="70" t="s">
        <v>3457</v>
      </c>
      <c r="F4538" s="70" t="s">
        <v>4046</v>
      </c>
      <c r="G4538" s="70" t="s">
        <v>3833</v>
      </c>
      <c r="H4538" s="93"/>
      <c r="I4538" s="85">
        <f t="shared" si="177"/>
        <v>1.5440700000000003</v>
      </c>
      <c r="J4538" s="85">
        <v>35.000157607101464</v>
      </c>
      <c r="K4538" s="131" t="s">
        <v>3177</v>
      </c>
      <c r="L4538" s="60">
        <v>60</v>
      </c>
      <c r="M4538" s="49" t="s">
        <v>6728</v>
      </c>
    </row>
    <row r="4539" spans="1:18" ht="14" x14ac:dyDescent="0.15">
      <c r="A4539" s="70" t="s">
        <v>3635</v>
      </c>
      <c r="B4539" s="118"/>
      <c r="C4539" s="73" t="s">
        <v>3636</v>
      </c>
      <c r="D4539" s="73" t="s">
        <v>3437</v>
      </c>
      <c r="E4539" s="70" t="s">
        <v>3457</v>
      </c>
      <c r="F4539" s="73" t="s">
        <v>4046</v>
      </c>
      <c r="G4539" s="73" t="s">
        <v>3804</v>
      </c>
      <c r="H4539" s="108"/>
      <c r="I4539" s="85">
        <f t="shared" si="177"/>
        <v>1.5602100000000001</v>
      </c>
      <c r="J4539" s="95">
        <v>36.325366102772321</v>
      </c>
      <c r="K4539" s="131" t="s">
        <v>3177</v>
      </c>
      <c r="L4539" s="60">
        <v>60</v>
      </c>
    </row>
    <row r="4540" spans="1:18" ht="14" x14ac:dyDescent="0.15">
      <c r="A4540" s="70" t="s">
        <v>3635</v>
      </c>
      <c r="B4540" s="118"/>
      <c r="C4540" s="70" t="s">
        <v>3636</v>
      </c>
      <c r="D4540" s="70" t="s">
        <v>3437</v>
      </c>
      <c r="E4540" s="70" t="s">
        <v>3457</v>
      </c>
      <c r="F4540" s="70" t="s">
        <v>4046</v>
      </c>
      <c r="G4540" s="70" t="s">
        <v>3859</v>
      </c>
      <c r="H4540" s="93"/>
      <c r="I4540" s="85">
        <f t="shared" si="177"/>
        <v>1.5652600000000003</v>
      </c>
      <c r="J4540" s="85">
        <v>36.750224800474854</v>
      </c>
      <c r="K4540" s="131" t="s">
        <v>3177</v>
      </c>
      <c r="L4540" s="60">
        <v>60</v>
      </c>
    </row>
    <row r="4541" spans="1:18" ht="14" x14ac:dyDescent="0.15">
      <c r="A4541" s="70" t="s">
        <v>3635</v>
      </c>
      <c r="B4541" s="118"/>
      <c r="C4541" s="70" t="s">
        <v>3636</v>
      </c>
      <c r="D4541" s="70" t="s">
        <v>3437</v>
      </c>
      <c r="E4541" s="70" t="s">
        <v>3457</v>
      </c>
      <c r="F4541" s="70" t="s">
        <v>4046</v>
      </c>
      <c r="G4541" s="70" t="s">
        <v>6830</v>
      </c>
      <c r="H4541" s="93"/>
      <c r="I4541" s="85">
        <f t="shared" si="177"/>
        <v>1.5799300000000003</v>
      </c>
      <c r="J4541" s="85">
        <v>38.012812196826964</v>
      </c>
      <c r="K4541" s="131" t="s">
        <v>3177</v>
      </c>
      <c r="L4541" s="60">
        <v>60</v>
      </c>
    </row>
    <row r="4542" spans="1:18" ht="14" x14ac:dyDescent="0.15">
      <c r="A4542" s="70" t="s">
        <v>3635</v>
      </c>
      <c r="B4542" s="118"/>
      <c r="C4542" s="70" t="s">
        <v>3636</v>
      </c>
      <c r="D4542" s="70" t="s">
        <v>3437</v>
      </c>
      <c r="E4542" s="70" t="s">
        <v>3457</v>
      </c>
      <c r="F4542" s="70" t="s">
        <v>4046</v>
      </c>
      <c r="G4542" s="70" t="s">
        <v>4048</v>
      </c>
      <c r="H4542" s="93"/>
      <c r="I4542" s="85">
        <f t="shared" si="177"/>
        <v>1.5910600000000001</v>
      </c>
      <c r="J4542" s="85">
        <v>38.999586287443293</v>
      </c>
      <c r="K4542" s="131" t="s">
        <v>3177</v>
      </c>
      <c r="L4542" s="60">
        <v>60</v>
      </c>
    </row>
    <row r="4543" spans="1:18" ht="16" x14ac:dyDescent="0.2">
      <c r="A4543" s="70" t="s">
        <v>3635</v>
      </c>
      <c r="B4543" s="118"/>
      <c r="C4543" s="70" t="s">
        <v>3636</v>
      </c>
      <c r="D4543" s="70" t="s">
        <v>3437</v>
      </c>
      <c r="E4543" s="70" t="s">
        <v>3457</v>
      </c>
      <c r="F4543" s="70" t="s">
        <v>4046</v>
      </c>
      <c r="G4543" s="70" t="s">
        <v>4003</v>
      </c>
      <c r="H4543" s="93"/>
      <c r="I4543" s="85">
        <f t="shared" si="177"/>
        <v>1.5932900000000001</v>
      </c>
      <c r="J4543" s="85">
        <v>39.20035499759404</v>
      </c>
      <c r="K4543" s="131" t="s">
        <v>3177</v>
      </c>
      <c r="L4543" s="60">
        <v>60</v>
      </c>
      <c r="M4543" s="49" t="s">
        <v>6392</v>
      </c>
      <c r="N4543" s="48"/>
    </row>
    <row r="4544" spans="1:18" ht="16" x14ac:dyDescent="0.2">
      <c r="A4544" s="70" t="s">
        <v>3635</v>
      </c>
      <c r="B4544" s="118"/>
      <c r="C4544" s="70" t="s">
        <v>3636</v>
      </c>
      <c r="D4544" s="70" t="s">
        <v>3437</v>
      </c>
      <c r="E4544" s="70" t="s">
        <v>3457</v>
      </c>
      <c r="F4544" s="70" t="s">
        <v>4046</v>
      </c>
      <c r="G4544" s="70" t="s">
        <v>3600</v>
      </c>
      <c r="H4544" s="93"/>
      <c r="I4544" s="85">
        <f t="shared" si="177"/>
        <v>1.60206</v>
      </c>
      <c r="J4544" s="85">
        <v>40.000000798724201</v>
      </c>
      <c r="K4544" s="131" t="s">
        <v>3177</v>
      </c>
      <c r="L4544" s="69">
        <v>66</v>
      </c>
      <c r="N4544" s="48"/>
    </row>
    <row r="4545" spans="1:14" ht="14" x14ac:dyDescent="0.15">
      <c r="A4545" s="70" t="s">
        <v>3635</v>
      </c>
      <c r="B4545" s="118"/>
      <c r="C4545" s="70" t="s">
        <v>3636</v>
      </c>
      <c r="D4545" s="70" t="s">
        <v>3437</v>
      </c>
      <c r="E4545" s="70" t="s">
        <v>3457</v>
      </c>
      <c r="F4545" s="70" t="s">
        <v>4046</v>
      </c>
      <c r="G4545" s="70" t="s">
        <v>4071</v>
      </c>
      <c r="H4545" s="93"/>
      <c r="I4545" s="85">
        <f t="shared" si="177"/>
        <v>1.6127800000000003</v>
      </c>
      <c r="J4545" s="85">
        <v>40.999635904176493</v>
      </c>
      <c r="K4545" s="131" t="s">
        <v>3177</v>
      </c>
      <c r="L4545" s="69">
        <v>66</v>
      </c>
    </row>
    <row r="4546" spans="1:14" ht="14" x14ac:dyDescent="0.15">
      <c r="A4546" s="70" t="s">
        <v>3635</v>
      </c>
      <c r="B4546" s="118"/>
      <c r="C4546" s="70" t="s">
        <v>3636</v>
      </c>
      <c r="D4546" s="70" t="s">
        <v>3437</v>
      </c>
      <c r="E4546" s="70" t="s">
        <v>3457</v>
      </c>
      <c r="F4546" s="70" t="s">
        <v>4046</v>
      </c>
      <c r="G4546" s="70" t="s">
        <v>4049</v>
      </c>
      <c r="H4546" s="93"/>
      <c r="I4546" s="85">
        <f t="shared" si="177"/>
        <v>1.6232500000000003</v>
      </c>
      <c r="J4546" s="85">
        <v>42.000068624663172</v>
      </c>
      <c r="K4546" s="131" t="s">
        <v>3177</v>
      </c>
      <c r="L4546" s="69">
        <v>66</v>
      </c>
    </row>
    <row r="4547" spans="1:14" ht="14" x14ac:dyDescent="0.15">
      <c r="A4547" s="73" t="s">
        <v>3635</v>
      </c>
      <c r="B4547" s="118"/>
      <c r="C4547" s="70" t="s">
        <v>3636</v>
      </c>
      <c r="D4547" s="70" t="s">
        <v>3437</v>
      </c>
      <c r="E4547" s="70" t="s">
        <v>3457</v>
      </c>
      <c r="F4547" s="70" t="s">
        <v>4046</v>
      </c>
      <c r="G4547" s="70" t="s">
        <v>4249</v>
      </c>
      <c r="H4547" s="93"/>
      <c r="I4547" s="85">
        <f t="shared" si="177"/>
        <v>1.6232500000000003</v>
      </c>
      <c r="J4547" s="85">
        <v>42.000068624663172</v>
      </c>
      <c r="K4547" s="131" t="s">
        <v>3177</v>
      </c>
      <c r="L4547" s="69">
        <v>66</v>
      </c>
    </row>
    <row r="4548" spans="1:14" ht="14" x14ac:dyDescent="0.15">
      <c r="A4548" s="70" t="s">
        <v>3635</v>
      </c>
      <c r="B4548" s="118"/>
      <c r="C4548" s="70" t="s">
        <v>3636</v>
      </c>
      <c r="D4548" s="70" t="s">
        <v>3437</v>
      </c>
      <c r="E4548" s="70" t="s">
        <v>3457</v>
      </c>
      <c r="F4548" s="70" t="s">
        <v>4046</v>
      </c>
      <c r="G4548" s="70" t="s">
        <v>4040</v>
      </c>
      <c r="H4548" s="93"/>
      <c r="I4548" s="85">
        <f t="shared" si="177"/>
        <v>1.6693899999999999</v>
      </c>
      <c r="J4548" s="85">
        <v>46.707863247577166</v>
      </c>
      <c r="K4548" s="131" t="s">
        <v>3177</v>
      </c>
      <c r="L4548" s="60">
        <v>60</v>
      </c>
    </row>
    <row r="4549" spans="1:14" ht="14" x14ac:dyDescent="0.15">
      <c r="A4549" s="70" t="s">
        <v>3635</v>
      </c>
      <c r="B4549" s="118"/>
      <c r="C4549" s="70" t="s">
        <v>3636</v>
      </c>
      <c r="D4549" s="70" t="s">
        <v>3437</v>
      </c>
      <c r="E4549" s="70" t="s">
        <v>3457</v>
      </c>
      <c r="F4549" s="70" t="s">
        <v>4046</v>
      </c>
      <c r="G4549" s="70" t="s">
        <v>4223</v>
      </c>
      <c r="H4549" s="93"/>
      <c r="I4549" s="85">
        <f t="shared" si="177"/>
        <v>1.7591000000000001</v>
      </c>
      <c r="J4549" s="85">
        <v>57.424867262878301</v>
      </c>
      <c r="K4549" s="131" t="s">
        <v>3177</v>
      </c>
      <c r="L4549" s="60">
        <v>60</v>
      </c>
    </row>
    <row r="4550" spans="1:14" ht="14" x14ac:dyDescent="0.15">
      <c r="A4550" s="70" t="s">
        <v>3635</v>
      </c>
      <c r="B4550" s="118"/>
      <c r="C4550" s="70" t="s">
        <v>3636</v>
      </c>
      <c r="D4550" s="70" t="s">
        <v>3437</v>
      </c>
      <c r="E4550" s="70" t="s">
        <v>3457</v>
      </c>
      <c r="F4550" s="70" t="s">
        <v>4046</v>
      </c>
      <c r="G4550" s="70" t="s">
        <v>4960</v>
      </c>
      <c r="H4550" s="93"/>
      <c r="I4550" s="85">
        <f t="shared" si="177"/>
        <v>1.8112400000000002</v>
      </c>
      <c r="J4550" s="85">
        <v>64.750033880762899</v>
      </c>
      <c r="K4550" s="131" t="s">
        <v>6630</v>
      </c>
      <c r="L4550" s="60">
        <v>60</v>
      </c>
      <c r="M4550" s="49" t="s">
        <v>6392</v>
      </c>
    </row>
    <row r="4551" spans="1:14" ht="14" x14ac:dyDescent="0.15">
      <c r="A4551" s="70" t="s">
        <v>3635</v>
      </c>
      <c r="B4551" s="118"/>
      <c r="C4551" s="70" t="s">
        <v>3636</v>
      </c>
      <c r="D4551" s="70" t="s">
        <v>3437</v>
      </c>
      <c r="E4551" s="70" t="s">
        <v>3457</v>
      </c>
      <c r="F4551" s="70" t="s">
        <v>4046</v>
      </c>
      <c r="G4551" s="70" t="s">
        <v>4024</v>
      </c>
      <c r="H4551" s="93"/>
      <c r="I4551" s="85">
        <f t="shared" si="177"/>
        <v>1.9294189257142926</v>
      </c>
      <c r="J4551" s="85">
        <v>85</v>
      </c>
      <c r="K4551" s="131" t="s">
        <v>3177</v>
      </c>
      <c r="L4551" s="60">
        <v>75</v>
      </c>
    </row>
    <row r="4552" spans="1:14" ht="14" x14ac:dyDescent="0.15">
      <c r="A4552" s="70" t="s">
        <v>3635</v>
      </c>
      <c r="B4552" s="118"/>
      <c r="C4552" s="70" t="s">
        <v>3636</v>
      </c>
      <c r="D4552" s="70" t="s">
        <v>3437</v>
      </c>
      <c r="E4552" s="70" t="s">
        <v>3457</v>
      </c>
      <c r="F4552" s="70" t="s">
        <v>4046</v>
      </c>
      <c r="G4552" s="70" t="s">
        <v>3807</v>
      </c>
      <c r="H4552" s="93"/>
      <c r="I4552" s="85">
        <f t="shared" si="177"/>
        <v>2.09951</v>
      </c>
      <c r="J4552" s="85">
        <v>125.7505809175609</v>
      </c>
      <c r="K4552" s="131" t="s">
        <v>3177</v>
      </c>
      <c r="L4552" s="60">
        <v>60</v>
      </c>
    </row>
    <row r="4553" spans="1:14" ht="14" x14ac:dyDescent="0.15">
      <c r="A4553" s="73" t="s">
        <v>3635</v>
      </c>
      <c r="B4553" s="118" t="s">
        <v>5013</v>
      </c>
      <c r="C4553" s="70" t="s">
        <v>3636</v>
      </c>
      <c r="D4553" s="70" t="s">
        <v>3437</v>
      </c>
      <c r="E4553" s="70" t="s">
        <v>3457</v>
      </c>
      <c r="F4553" s="70" t="s">
        <v>7105</v>
      </c>
      <c r="G4553" s="70" t="s">
        <v>7369</v>
      </c>
      <c r="H4553" s="93"/>
      <c r="I4553" s="85">
        <v>-999</v>
      </c>
      <c r="J4553" s="85">
        <v>-999</v>
      </c>
      <c r="K4553" s="131" t="s">
        <v>3177</v>
      </c>
      <c r="L4553" s="60">
        <v>-999</v>
      </c>
      <c r="M4553" s="33" t="s">
        <v>6392</v>
      </c>
    </row>
    <row r="4554" spans="1:14" ht="14" x14ac:dyDescent="0.15">
      <c r="A4554" s="70" t="s">
        <v>3635</v>
      </c>
      <c r="B4554" s="117" t="s">
        <v>6941</v>
      </c>
      <c r="C4554" s="70" t="s">
        <v>3636</v>
      </c>
      <c r="D4554" s="70" t="s">
        <v>3437</v>
      </c>
      <c r="E4554" s="70" t="s">
        <v>3457</v>
      </c>
      <c r="F4554" s="70" t="s">
        <v>3203</v>
      </c>
      <c r="G4554" s="70" t="s">
        <v>7149</v>
      </c>
      <c r="H4554" s="93"/>
      <c r="I4554" s="85">
        <v>-999</v>
      </c>
      <c r="J4554" s="85">
        <v>-999</v>
      </c>
      <c r="K4554" s="131" t="s">
        <v>3177</v>
      </c>
      <c r="L4554" s="60">
        <v>-999</v>
      </c>
      <c r="M4554" s="33"/>
    </row>
    <row r="4555" spans="1:14" ht="14" x14ac:dyDescent="0.15">
      <c r="A4555" s="70" t="s">
        <v>3635</v>
      </c>
      <c r="B4555" s="118"/>
      <c r="C4555" s="70" t="s">
        <v>3636</v>
      </c>
      <c r="D4555" s="70" t="s">
        <v>3437</v>
      </c>
      <c r="E4555" s="70" t="s">
        <v>3457</v>
      </c>
      <c r="F4555" s="70" t="s">
        <v>3203</v>
      </c>
      <c r="G4555" s="70" t="s">
        <v>3204</v>
      </c>
      <c r="H4555" s="93"/>
      <c r="I4555" s="85">
        <f>LOG(J4555)</f>
        <v>1.9030899999999999</v>
      </c>
      <c r="J4555" s="85">
        <v>80.000002396172576</v>
      </c>
      <c r="K4555" s="131" t="s">
        <v>3177</v>
      </c>
      <c r="L4555" s="69">
        <v>66</v>
      </c>
    </row>
    <row r="4556" spans="1:14" ht="14" x14ac:dyDescent="0.15">
      <c r="A4556" s="70" t="s">
        <v>3635</v>
      </c>
      <c r="B4556" s="118"/>
      <c r="C4556" s="70" t="s">
        <v>3636</v>
      </c>
      <c r="D4556" s="70" t="s">
        <v>3437</v>
      </c>
      <c r="E4556" s="70" t="s">
        <v>3457</v>
      </c>
      <c r="F4556" s="70" t="s">
        <v>3410</v>
      </c>
      <c r="G4556" s="70" t="s">
        <v>3905</v>
      </c>
      <c r="H4556" s="93"/>
      <c r="I4556" s="85">
        <f>LOG(J4556)</f>
        <v>2.4248800000000004</v>
      </c>
      <c r="J4556" s="85">
        <v>265.99899758559781</v>
      </c>
      <c r="K4556" s="131" t="s">
        <v>6391</v>
      </c>
      <c r="L4556" s="60">
        <v>60</v>
      </c>
      <c r="M4556" s="49" t="s">
        <v>6392</v>
      </c>
    </row>
    <row r="4557" spans="1:14" ht="16" x14ac:dyDescent="0.2">
      <c r="A4557" s="70" t="s">
        <v>3635</v>
      </c>
      <c r="B4557" s="117" t="s">
        <v>4627</v>
      </c>
      <c r="C4557" s="70" t="s">
        <v>3636</v>
      </c>
      <c r="D4557" s="70" t="s">
        <v>3437</v>
      </c>
      <c r="E4557" s="70" t="s">
        <v>3457</v>
      </c>
      <c r="F4557" s="70" t="s">
        <v>2980</v>
      </c>
      <c r="G4557" s="70" t="s">
        <v>5473</v>
      </c>
      <c r="H4557" s="93"/>
      <c r="I4557" s="85">
        <v>-999</v>
      </c>
      <c r="J4557" s="85">
        <v>-999</v>
      </c>
      <c r="K4557" s="131" t="s">
        <v>3177</v>
      </c>
      <c r="L4557" s="60">
        <v>-999</v>
      </c>
      <c r="M4557" s="33"/>
      <c r="N4557" s="48"/>
    </row>
    <row r="4558" spans="1:14" ht="14" x14ac:dyDescent="0.15">
      <c r="A4558" s="70" t="s">
        <v>3635</v>
      </c>
      <c r="B4558" s="118"/>
      <c r="C4558" s="70" t="s">
        <v>3636</v>
      </c>
      <c r="D4558" s="70" t="s">
        <v>3437</v>
      </c>
      <c r="E4558" s="70" t="s">
        <v>3457</v>
      </c>
      <c r="F4558" s="70" t="s">
        <v>2980</v>
      </c>
      <c r="G4558" s="70" t="s">
        <v>6297</v>
      </c>
      <c r="H4558" s="93"/>
      <c r="I4558" s="85">
        <f t="shared" ref="I4558:I4574" si="178">LOG(J4558)</f>
        <v>2.1832700000000003</v>
      </c>
      <c r="J4558" s="85">
        <v>152.50005488989058</v>
      </c>
      <c r="K4558" s="131" t="s">
        <v>3177</v>
      </c>
      <c r="L4558" s="60">
        <v>60</v>
      </c>
    </row>
    <row r="4559" spans="1:14" ht="14" x14ac:dyDescent="0.15">
      <c r="A4559" s="70" t="s">
        <v>3635</v>
      </c>
      <c r="B4559" s="118"/>
      <c r="C4559" s="70" t="s">
        <v>3636</v>
      </c>
      <c r="D4559" s="70" t="s">
        <v>3437</v>
      </c>
      <c r="E4559" s="70" t="s">
        <v>3457</v>
      </c>
      <c r="F4559" s="70" t="s">
        <v>2980</v>
      </c>
      <c r="G4559" s="70" t="s">
        <v>4222</v>
      </c>
      <c r="H4559" s="93"/>
      <c r="I4559" s="85">
        <f t="shared" si="178"/>
        <v>2.2141800000000003</v>
      </c>
      <c r="J4559" s="85">
        <v>163.74950657126288</v>
      </c>
      <c r="K4559" s="131" t="s">
        <v>3177</v>
      </c>
      <c r="L4559" s="60">
        <v>60</v>
      </c>
    </row>
    <row r="4560" spans="1:14" ht="14" x14ac:dyDescent="0.15">
      <c r="A4560" s="70" t="s">
        <v>3635</v>
      </c>
      <c r="B4560" s="118"/>
      <c r="C4560" s="70" t="s">
        <v>3636</v>
      </c>
      <c r="D4560" s="70" t="s">
        <v>3437</v>
      </c>
      <c r="E4560" s="70" t="s">
        <v>3457</v>
      </c>
      <c r="F4560" s="70" t="s">
        <v>2980</v>
      </c>
      <c r="G4560" s="70" t="s">
        <v>3825</v>
      </c>
      <c r="H4560" s="93"/>
      <c r="I4560" s="85">
        <f t="shared" si="178"/>
        <v>2.2966700000000002</v>
      </c>
      <c r="J4560" s="85">
        <v>198.00219282889842</v>
      </c>
      <c r="K4560" s="131" t="s">
        <v>3177</v>
      </c>
      <c r="L4560" s="69">
        <v>66</v>
      </c>
    </row>
    <row r="4561" spans="1:16" ht="14" x14ac:dyDescent="0.15">
      <c r="A4561" s="70" t="s">
        <v>3635</v>
      </c>
      <c r="B4561" s="118"/>
      <c r="C4561" s="70" t="s">
        <v>3636</v>
      </c>
      <c r="D4561" s="70" t="s">
        <v>3437</v>
      </c>
      <c r="E4561" s="70" t="s">
        <v>3457</v>
      </c>
      <c r="F4561" s="70" t="s">
        <v>2980</v>
      </c>
      <c r="G4561" s="70" t="s">
        <v>7149</v>
      </c>
      <c r="H4561" s="93"/>
      <c r="I4561" s="85">
        <f t="shared" si="178"/>
        <v>2.2966700000000002</v>
      </c>
      <c r="J4561" s="85">
        <v>198.00219282889842</v>
      </c>
      <c r="K4561" s="131" t="s">
        <v>3177</v>
      </c>
      <c r="L4561" s="69">
        <v>66</v>
      </c>
    </row>
    <row r="4562" spans="1:16" ht="14" x14ac:dyDescent="0.15">
      <c r="A4562" s="70" t="s">
        <v>3635</v>
      </c>
      <c r="B4562" s="118"/>
      <c r="C4562" s="70" t="s">
        <v>3636</v>
      </c>
      <c r="D4562" s="70" t="s">
        <v>3437</v>
      </c>
      <c r="E4562" s="70" t="s">
        <v>3457</v>
      </c>
      <c r="F4562" s="70" t="s">
        <v>2980</v>
      </c>
      <c r="G4562" s="70" t="s">
        <v>2981</v>
      </c>
      <c r="H4562" s="93"/>
      <c r="I4562" s="85">
        <f t="shared" si="178"/>
        <v>2.2966700000000002</v>
      </c>
      <c r="J4562" s="85">
        <v>198.00219282889842</v>
      </c>
      <c r="K4562" s="131" t="s">
        <v>3177</v>
      </c>
      <c r="L4562" s="69">
        <v>66</v>
      </c>
      <c r="M4562" s="49" t="s">
        <v>6390</v>
      </c>
    </row>
    <row r="4563" spans="1:16" ht="14" x14ac:dyDescent="0.15">
      <c r="A4563" s="70" t="s">
        <v>3635</v>
      </c>
      <c r="B4563" s="118"/>
      <c r="C4563" s="70" t="s">
        <v>3636</v>
      </c>
      <c r="D4563" s="70" t="s">
        <v>3437</v>
      </c>
      <c r="E4563" s="70" t="s">
        <v>3457</v>
      </c>
      <c r="F4563" s="70" t="s">
        <v>2980</v>
      </c>
      <c r="G4563" s="70" t="s">
        <v>3405</v>
      </c>
      <c r="H4563" s="93"/>
      <c r="I4563" s="85">
        <f t="shared" si="178"/>
        <v>2.2966700000000002</v>
      </c>
      <c r="J4563" s="85">
        <v>198.00219282889842</v>
      </c>
      <c r="K4563" s="131" t="s">
        <v>3177</v>
      </c>
      <c r="L4563" s="69">
        <v>66</v>
      </c>
      <c r="M4563" s="49" t="s">
        <v>6392</v>
      </c>
    </row>
    <row r="4564" spans="1:16" ht="14" x14ac:dyDescent="0.15">
      <c r="A4564" s="70" t="s">
        <v>3635</v>
      </c>
      <c r="B4564" s="118"/>
      <c r="C4564" s="70" t="s">
        <v>3636</v>
      </c>
      <c r="D4564" s="70" t="s">
        <v>3437</v>
      </c>
      <c r="E4564" s="70" t="s">
        <v>3457</v>
      </c>
      <c r="F4564" s="70" t="s">
        <v>2980</v>
      </c>
      <c r="G4564" s="70" t="s">
        <v>3173</v>
      </c>
      <c r="H4564" s="93"/>
      <c r="I4564" s="85">
        <f t="shared" si="178"/>
        <v>2.3010299999999999</v>
      </c>
      <c r="J4564" s="85">
        <v>200.00000199681045</v>
      </c>
      <c r="K4564" s="131" t="s">
        <v>3177</v>
      </c>
      <c r="L4564" s="69">
        <v>66</v>
      </c>
    </row>
    <row r="4565" spans="1:16" ht="14" x14ac:dyDescent="0.15">
      <c r="A4565" s="70" t="s">
        <v>3635</v>
      </c>
      <c r="B4565" s="118"/>
      <c r="C4565" s="70" t="s">
        <v>3636</v>
      </c>
      <c r="D4565" s="70" t="s">
        <v>3437</v>
      </c>
      <c r="E4565" s="70" t="s">
        <v>3457</v>
      </c>
      <c r="F4565" s="70" t="s">
        <v>2980</v>
      </c>
      <c r="G4565" s="70" t="s">
        <v>4194</v>
      </c>
      <c r="H4565" s="93"/>
      <c r="I4565" s="85">
        <f t="shared" si="178"/>
        <v>2.3075000000000006</v>
      </c>
      <c r="J4565" s="85">
        <v>203.00185198596861</v>
      </c>
      <c r="K4565" s="131" t="s">
        <v>3177</v>
      </c>
      <c r="L4565" s="60">
        <v>60</v>
      </c>
    </row>
    <row r="4566" spans="1:16" ht="14" x14ac:dyDescent="0.15">
      <c r="A4566" s="70" t="s">
        <v>3635</v>
      </c>
      <c r="B4566" s="118"/>
      <c r="C4566" s="70" t="s">
        <v>3636</v>
      </c>
      <c r="D4566" s="70" t="s">
        <v>3437</v>
      </c>
      <c r="E4566" s="70" t="s">
        <v>3457</v>
      </c>
      <c r="F4566" s="70" t="s">
        <v>2980</v>
      </c>
      <c r="G4566" s="70" t="s">
        <v>3418</v>
      </c>
      <c r="H4566" s="93"/>
      <c r="I4566" s="85">
        <f t="shared" si="178"/>
        <v>2.31392</v>
      </c>
      <c r="J4566" s="85">
        <v>206.02503661710156</v>
      </c>
      <c r="K4566" s="131" t="s">
        <v>3177</v>
      </c>
      <c r="L4566" s="60">
        <v>60</v>
      </c>
    </row>
    <row r="4567" spans="1:16" ht="14" x14ac:dyDescent="0.15">
      <c r="A4567" s="70" t="s">
        <v>3635</v>
      </c>
      <c r="B4567" s="118"/>
      <c r="C4567" s="70" t="s">
        <v>3636</v>
      </c>
      <c r="D4567" s="70" t="s">
        <v>3437</v>
      </c>
      <c r="E4567" s="70" t="s">
        <v>3457</v>
      </c>
      <c r="F4567" s="70" t="s">
        <v>2980</v>
      </c>
      <c r="G4567" s="70" t="s">
        <v>2820</v>
      </c>
      <c r="H4567" s="93"/>
      <c r="I4567" s="85">
        <f t="shared" si="178"/>
        <v>2.3569800000000005</v>
      </c>
      <c r="J4567" s="85">
        <v>227.49926610759189</v>
      </c>
      <c r="K4567" s="131" t="s">
        <v>3177</v>
      </c>
      <c r="L4567" s="60">
        <v>60</v>
      </c>
    </row>
    <row r="4568" spans="1:16" ht="14" x14ac:dyDescent="0.15">
      <c r="A4568" s="70" t="s">
        <v>3635</v>
      </c>
      <c r="B4568" s="118"/>
      <c r="C4568" s="70" t="s">
        <v>3636</v>
      </c>
      <c r="D4568" s="70" t="s">
        <v>3437</v>
      </c>
      <c r="E4568" s="70" t="s">
        <v>3457</v>
      </c>
      <c r="F4568" s="70" t="s">
        <v>2980</v>
      </c>
      <c r="G4568" s="70" t="s">
        <v>4082</v>
      </c>
      <c r="H4568" s="93"/>
      <c r="I4568" s="85">
        <f t="shared" si="178"/>
        <v>2.3614099999999998</v>
      </c>
      <c r="J4568" s="85">
        <v>229.83173734904688</v>
      </c>
      <c r="K4568" s="131" t="s">
        <v>3177</v>
      </c>
      <c r="L4568" s="60">
        <v>60</v>
      </c>
    </row>
    <row r="4569" spans="1:16" ht="14" x14ac:dyDescent="0.15">
      <c r="A4569" s="70" t="s">
        <v>3635</v>
      </c>
      <c r="B4569" s="118"/>
      <c r="C4569" s="70" t="s">
        <v>3636</v>
      </c>
      <c r="D4569" s="70" t="s">
        <v>3437</v>
      </c>
      <c r="E4569" s="70" t="s">
        <v>3457</v>
      </c>
      <c r="F4569" s="70" t="s">
        <v>2980</v>
      </c>
      <c r="G4569" s="70" t="s">
        <v>3415</v>
      </c>
      <c r="H4569" s="93"/>
      <c r="I4569" s="85">
        <f t="shared" si="178"/>
        <v>2.3756599999999999</v>
      </c>
      <c r="J4569" s="85">
        <v>237.49802366326344</v>
      </c>
      <c r="K4569" s="131" t="s">
        <v>3177</v>
      </c>
      <c r="L4569" s="60">
        <v>60</v>
      </c>
    </row>
    <row r="4570" spans="1:16" ht="14" x14ac:dyDescent="0.15">
      <c r="A4570" s="70" t="s">
        <v>3635</v>
      </c>
      <c r="B4570" s="118"/>
      <c r="C4570" s="70" t="s">
        <v>3636</v>
      </c>
      <c r="D4570" s="70" t="s">
        <v>3437</v>
      </c>
      <c r="E4570" s="70" t="s">
        <v>3457</v>
      </c>
      <c r="F4570" s="70" t="s">
        <v>2980</v>
      </c>
      <c r="G4570" s="70" t="s">
        <v>2983</v>
      </c>
      <c r="H4570" s="93"/>
      <c r="I4570" s="85">
        <f t="shared" si="178"/>
        <v>2.3887200000000006</v>
      </c>
      <c r="J4570" s="85">
        <v>244.74847813114897</v>
      </c>
      <c r="K4570" s="131" t="s">
        <v>3177</v>
      </c>
      <c r="L4570" s="60">
        <v>60</v>
      </c>
    </row>
    <row r="4571" spans="1:16" ht="14" x14ac:dyDescent="0.15">
      <c r="A4571" s="73" t="s">
        <v>3635</v>
      </c>
      <c r="B4571" s="118"/>
      <c r="C4571" s="70" t="s">
        <v>3636</v>
      </c>
      <c r="D4571" s="70" t="s">
        <v>3437</v>
      </c>
      <c r="E4571" s="70" t="s">
        <v>3457</v>
      </c>
      <c r="F4571" s="70" t="s">
        <v>2980</v>
      </c>
      <c r="G4571" s="70" t="s">
        <v>4430</v>
      </c>
      <c r="H4571" s="93"/>
      <c r="I4571" s="85">
        <f t="shared" si="178"/>
        <v>2.4758900000000006</v>
      </c>
      <c r="J4571" s="85">
        <v>299.15068387472962</v>
      </c>
      <c r="K4571" s="131" t="s">
        <v>3177</v>
      </c>
      <c r="L4571" s="69">
        <v>66</v>
      </c>
    </row>
    <row r="4572" spans="1:16" ht="14" x14ac:dyDescent="0.15">
      <c r="A4572" s="70" t="s">
        <v>3635</v>
      </c>
      <c r="B4572" s="118"/>
      <c r="C4572" s="70" t="s">
        <v>3636</v>
      </c>
      <c r="D4572" s="70" t="s">
        <v>3437</v>
      </c>
      <c r="E4572" s="70" t="s">
        <v>3457</v>
      </c>
      <c r="F4572" s="70" t="s">
        <v>2821</v>
      </c>
      <c r="G4572" s="70" t="s">
        <v>2229</v>
      </c>
      <c r="H4572" s="93"/>
      <c r="I4572" s="85">
        <f t="shared" si="178"/>
        <v>1.60206</v>
      </c>
      <c r="J4572" s="85">
        <v>40.000000798724201</v>
      </c>
      <c r="K4572" s="131" t="s">
        <v>3177</v>
      </c>
      <c r="L4572" s="69">
        <v>66</v>
      </c>
    </row>
    <row r="4573" spans="1:16" ht="16" x14ac:dyDescent="0.2">
      <c r="A4573" s="73" t="s">
        <v>3635</v>
      </c>
      <c r="B4573" s="118"/>
      <c r="C4573" s="70" t="s">
        <v>3636</v>
      </c>
      <c r="D4573" s="70" t="s">
        <v>3437</v>
      </c>
      <c r="E4573" s="70" t="s">
        <v>3457</v>
      </c>
      <c r="F4573" s="70" t="s">
        <v>2822</v>
      </c>
      <c r="G4573" s="70" t="s">
        <v>4567</v>
      </c>
      <c r="H4573" s="93"/>
      <c r="I4573" s="85">
        <f t="shared" si="178"/>
        <v>1.6941033425132446</v>
      </c>
      <c r="J4573" s="85">
        <f>AVERAGE(59.9998272533644, 48.5, 44.9, 39.3, 61.3, 38.2, 53.9)</f>
        <v>49.44283246476634</v>
      </c>
      <c r="K4573" s="131" t="s">
        <v>3177</v>
      </c>
      <c r="L4573" s="69" t="s">
        <v>1723</v>
      </c>
      <c r="N4573" s="48"/>
    </row>
    <row r="4574" spans="1:16" ht="14" x14ac:dyDescent="0.15">
      <c r="A4574" s="70" t="s">
        <v>3635</v>
      </c>
      <c r="B4574" s="118"/>
      <c r="C4574" s="70" t="s">
        <v>3636</v>
      </c>
      <c r="D4574" s="70" t="s">
        <v>3437</v>
      </c>
      <c r="E4574" s="70" t="s">
        <v>3457</v>
      </c>
      <c r="F4574" s="70" t="s">
        <v>3644</v>
      </c>
      <c r="G4574" s="70" t="s">
        <v>3645</v>
      </c>
      <c r="H4574" s="93"/>
      <c r="I4574" s="85">
        <f t="shared" si="178"/>
        <v>1.3497600000000001</v>
      </c>
      <c r="J4574" s="85">
        <v>22.374843173251058</v>
      </c>
      <c r="K4574" s="131" t="s">
        <v>3177</v>
      </c>
      <c r="L4574" s="60">
        <v>60</v>
      </c>
      <c r="P4574" s="51"/>
    </row>
    <row r="4575" spans="1:16" ht="14" x14ac:dyDescent="0.15">
      <c r="A4575" s="70" t="s">
        <v>3635</v>
      </c>
      <c r="B4575" s="117" t="s">
        <v>2470</v>
      </c>
      <c r="C4575" s="70" t="s">
        <v>3636</v>
      </c>
      <c r="D4575" s="70" t="s">
        <v>3437</v>
      </c>
      <c r="E4575" s="70" t="s">
        <v>3457</v>
      </c>
      <c r="F4575" s="70" t="s">
        <v>3646</v>
      </c>
      <c r="G4575" s="70" t="s">
        <v>4843</v>
      </c>
      <c r="H4575" s="93"/>
      <c r="I4575" s="85">
        <v>-999</v>
      </c>
      <c r="J4575" s="85">
        <v>-999</v>
      </c>
      <c r="K4575" s="131" t="s">
        <v>3177</v>
      </c>
      <c r="L4575" s="60">
        <v>-999</v>
      </c>
      <c r="M4575" s="33" t="s">
        <v>6392</v>
      </c>
    </row>
    <row r="4576" spans="1:16" ht="14" x14ac:dyDescent="0.15">
      <c r="A4576" s="70" t="s">
        <v>3635</v>
      </c>
      <c r="B4576" s="118"/>
      <c r="C4576" s="70" t="s">
        <v>3636</v>
      </c>
      <c r="D4576" s="70" t="s">
        <v>3437</v>
      </c>
      <c r="E4576" s="70" t="s">
        <v>3457</v>
      </c>
      <c r="F4576" s="70" t="s">
        <v>3646</v>
      </c>
      <c r="G4576" s="70" t="s">
        <v>3188</v>
      </c>
      <c r="H4576" s="93"/>
      <c r="I4576" s="85">
        <f>LOG(J4576)</f>
        <v>1.3979400000000002</v>
      </c>
      <c r="J4576" s="85">
        <v>24.999999500797397</v>
      </c>
      <c r="K4576" s="131" t="s">
        <v>3177</v>
      </c>
      <c r="L4576" s="60">
        <v>60</v>
      </c>
    </row>
    <row r="4577" spans="1:14" ht="14" x14ac:dyDescent="0.15">
      <c r="A4577" s="70" t="s">
        <v>3635</v>
      </c>
      <c r="B4577" s="118"/>
      <c r="C4577" s="70" t="s">
        <v>3636</v>
      </c>
      <c r="D4577" s="70" t="s">
        <v>3437</v>
      </c>
      <c r="E4577" s="70" t="s">
        <v>3457</v>
      </c>
      <c r="F4577" s="70" t="s">
        <v>3189</v>
      </c>
      <c r="G4577" s="70" t="s">
        <v>3190</v>
      </c>
      <c r="H4577" s="93"/>
      <c r="I4577" s="85">
        <f>LOG(J4577)</f>
        <v>2.9918900000000006</v>
      </c>
      <c r="J4577" s="85">
        <v>981.49931310869442</v>
      </c>
      <c r="K4577" s="131" t="s">
        <v>3177</v>
      </c>
      <c r="L4577" s="60">
        <v>60</v>
      </c>
    </row>
    <row r="4578" spans="1:14" ht="14" x14ac:dyDescent="0.15">
      <c r="A4578" s="70" t="s">
        <v>3635</v>
      </c>
      <c r="B4578" s="118"/>
      <c r="C4578" s="70" t="s">
        <v>3636</v>
      </c>
      <c r="D4578" s="70" t="s">
        <v>3437</v>
      </c>
      <c r="E4578" s="70" t="s">
        <v>3457</v>
      </c>
      <c r="F4578" s="70" t="s">
        <v>3021</v>
      </c>
      <c r="G4578" s="70" t="s">
        <v>2846</v>
      </c>
      <c r="H4578" s="93"/>
      <c r="I4578" s="85">
        <f>LOG(J4578)</f>
        <v>1.3973600000000002</v>
      </c>
      <c r="J4578" s="85">
        <v>24.966634302175336</v>
      </c>
      <c r="K4578" s="131" t="s">
        <v>3177</v>
      </c>
      <c r="L4578" s="60">
        <v>60</v>
      </c>
    </row>
    <row r="4579" spans="1:14" ht="16" x14ac:dyDescent="0.2">
      <c r="A4579" s="70" t="s">
        <v>3635</v>
      </c>
      <c r="B4579" s="118"/>
      <c r="C4579" s="70" t="s">
        <v>3636</v>
      </c>
      <c r="D4579" s="70" t="s">
        <v>3437</v>
      </c>
      <c r="E4579" s="70" t="s">
        <v>3457</v>
      </c>
      <c r="F4579" s="70" t="s">
        <v>3021</v>
      </c>
      <c r="G4579" s="70" t="s">
        <v>3864</v>
      </c>
      <c r="H4579" s="93"/>
      <c r="I4579" s="85">
        <f>LOG(J4579)</f>
        <v>1.4459900000000003</v>
      </c>
      <c r="J4579" s="85">
        <v>27.924795412794197</v>
      </c>
      <c r="K4579" s="131" t="s">
        <v>3177</v>
      </c>
      <c r="L4579" s="60">
        <v>60</v>
      </c>
      <c r="N4579" s="48"/>
    </row>
    <row r="4580" spans="1:14" ht="14" x14ac:dyDescent="0.15">
      <c r="A4580" s="73" t="s">
        <v>3635</v>
      </c>
      <c r="B4580" s="118"/>
      <c r="C4580" s="70" t="s">
        <v>3636</v>
      </c>
      <c r="D4580" s="70" t="s">
        <v>3437</v>
      </c>
      <c r="E4580" s="70" t="s">
        <v>3457</v>
      </c>
      <c r="F4580" s="70" t="s">
        <v>3021</v>
      </c>
      <c r="G4580" s="70" t="s">
        <v>2845</v>
      </c>
      <c r="H4580" s="93"/>
      <c r="I4580" s="85">
        <f>LOG(J4580)</f>
        <v>1.4771200000000002</v>
      </c>
      <c r="J4580" s="85">
        <v>29.999913327161494</v>
      </c>
      <c r="K4580" s="131" t="s">
        <v>3177</v>
      </c>
      <c r="L4580" s="69">
        <v>66</v>
      </c>
    </row>
    <row r="4581" spans="1:14" ht="14" x14ac:dyDescent="0.15">
      <c r="A4581" s="73" t="s">
        <v>3635</v>
      </c>
      <c r="B4581" s="117" t="s">
        <v>6311</v>
      </c>
      <c r="C4581" s="70" t="s">
        <v>3636</v>
      </c>
      <c r="D4581" s="70" t="s">
        <v>3437</v>
      </c>
      <c r="E4581" s="70" t="s">
        <v>3457</v>
      </c>
      <c r="F4581" s="70" t="s">
        <v>3218</v>
      </c>
      <c r="G4581" s="70" t="s">
        <v>5313</v>
      </c>
      <c r="H4581" s="93"/>
      <c r="I4581" s="85">
        <v>-999</v>
      </c>
      <c r="J4581" s="85">
        <v>-999</v>
      </c>
      <c r="K4581" s="131" t="s">
        <v>3177</v>
      </c>
      <c r="L4581" s="60">
        <v>-999</v>
      </c>
      <c r="M4581" s="33"/>
    </row>
    <row r="4582" spans="1:14" ht="14" x14ac:dyDescent="0.15">
      <c r="A4582" s="73" t="s">
        <v>3635</v>
      </c>
      <c r="B4582" s="117" t="s">
        <v>6312</v>
      </c>
      <c r="C4582" s="70" t="s">
        <v>3636</v>
      </c>
      <c r="D4582" s="70" t="s">
        <v>3437</v>
      </c>
      <c r="E4582" s="73" t="s">
        <v>3457</v>
      </c>
      <c r="F4582" s="70" t="s">
        <v>3218</v>
      </c>
      <c r="G4582" s="70" t="s">
        <v>3338</v>
      </c>
      <c r="H4582" s="93"/>
      <c r="I4582" s="85">
        <v>-999</v>
      </c>
      <c r="J4582" s="85">
        <v>-999</v>
      </c>
      <c r="K4582" s="131" t="s">
        <v>3177</v>
      </c>
      <c r="L4582" s="60">
        <v>-999</v>
      </c>
      <c r="M4582" s="33" t="s">
        <v>6392</v>
      </c>
    </row>
    <row r="4583" spans="1:14" ht="14" x14ac:dyDescent="0.15">
      <c r="A4583" s="70" t="s">
        <v>3635</v>
      </c>
      <c r="B4583" s="117" t="s">
        <v>2729</v>
      </c>
      <c r="C4583" s="70" t="s">
        <v>3636</v>
      </c>
      <c r="D4583" s="70" t="s">
        <v>3437</v>
      </c>
      <c r="E4583" s="70" t="s">
        <v>3457</v>
      </c>
      <c r="F4583" s="70" t="s">
        <v>3218</v>
      </c>
      <c r="G4583" s="70" t="s">
        <v>6764</v>
      </c>
      <c r="H4583" s="93"/>
      <c r="I4583" s="85">
        <v>-999</v>
      </c>
      <c r="J4583" s="85">
        <v>-999</v>
      </c>
      <c r="K4583" s="131" t="s">
        <v>3177</v>
      </c>
      <c r="L4583" s="60">
        <v>-999</v>
      </c>
      <c r="M4583" s="33"/>
    </row>
    <row r="4584" spans="1:14" ht="42" x14ac:dyDescent="0.15">
      <c r="A4584" s="70" t="s">
        <v>3635</v>
      </c>
      <c r="B4584" s="117" t="s">
        <v>5878</v>
      </c>
      <c r="C4584" s="70" t="s">
        <v>3636</v>
      </c>
      <c r="D4584" s="70" t="s">
        <v>3437</v>
      </c>
      <c r="E4584" s="70" t="s">
        <v>3457</v>
      </c>
      <c r="F4584" s="70" t="s">
        <v>3218</v>
      </c>
      <c r="G4584" s="70" t="s">
        <v>3867</v>
      </c>
      <c r="H4584" s="93"/>
      <c r="I4584" s="85">
        <v>-999</v>
      </c>
      <c r="J4584" s="85">
        <v>-999</v>
      </c>
      <c r="K4584" s="131" t="s">
        <v>3177</v>
      </c>
      <c r="L4584" s="60">
        <v>-999</v>
      </c>
      <c r="M4584" s="33"/>
    </row>
    <row r="4585" spans="1:14" ht="42" x14ac:dyDescent="0.15">
      <c r="A4585" s="70" t="s">
        <v>3635</v>
      </c>
      <c r="B4585" s="117" t="s">
        <v>3060</v>
      </c>
      <c r="C4585" s="70" t="s">
        <v>3636</v>
      </c>
      <c r="D4585" s="70" t="s">
        <v>3437</v>
      </c>
      <c r="E4585" s="70" t="s">
        <v>3457</v>
      </c>
      <c r="F4585" s="70" t="s">
        <v>3218</v>
      </c>
      <c r="G4585" s="70" t="s">
        <v>7124</v>
      </c>
      <c r="H4585" s="93"/>
      <c r="I4585" s="85">
        <v>-999</v>
      </c>
      <c r="J4585" s="85">
        <v>-999</v>
      </c>
      <c r="K4585" s="131" t="s">
        <v>3177</v>
      </c>
      <c r="L4585" s="60">
        <v>-999</v>
      </c>
      <c r="M4585" s="33"/>
    </row>
    <row r="4586" spans="1:14" ht="14" x14ac:dyDescent="0.15">
      <c r="A4586" s="70" t="s">
        <v>3635</v>
      </c>
      <c r="B4586" s="118"/>
      <c r="C4586" s="70" t="s">
        <v>3636</v>
      </c>
      <c r="D4586" s="70" t="s">
        <v>3437</v>
      </c>
      <c r="E4586" s="70" t="s">
        <v>3457</v>
      </c>
      <c r="F4586" s="70" t="s">
        <v>3218</v>
      </c>
      <c r="G4586" s="70" t="s">
        <v>3219</v>
      </c>
      <c r="H4586" s="93"/>
      <c r="I4586" s="85">
        <f t="shared" ref="I4586:I4593" si="179">LOG(J4586)</f>
        <v>1.5224400000000002</v>
      </c>
      <c r="J4586" s="85">
        <v>33.299675392897669</v>
      </c>
      <c r="K4586" s="131" t="s">
        <v>3177</v>
      </c>
      <c r="L4586" s="60">
        <v>60</v>
      </c>
    </row>
    <row r="4587" spans="1:14" ht="14" x14ac:dyDescent="0.15">
      <c r="A4587" s="70" t="s">
        <v>3635</v>
      </c>
      <c r="B4587" s="118"/>
      <c r="C4587" s="70" t="s">
        <v>3636</v>
      </c>
      <c r="D4587" s="70" t="s">
        <v>3437</v>
      </c>
      <c r="E4587" s="70" t="s">
        <v>3457</v>
      </c>
      <c r="F4587" s="70" t="s">
        <v>3218</v>
      </c>
      <c r="G4587" s="70" t="s">
        <v>7367</v>
      </c>
      <c r="H4587" s="93"/>
      <c r="I4587" s="85">
        <f t="shared" si="179"/>
        <v>1.6989700000000001</v>
      </c>
      <c r="J4587" s="85">
        <v>49.999999500797408</v>
      </c>
      <c r="K4587" s="131" t="s">
        <v>3177</v>
      </c>
      <c r="L4587" s="60">
        <v>60</v>
      </c>
    </row>
    <row r="4588" spans="1:14" ht="14" x14ac:dyDescent="0.15">
      <c r="A4588" s="70" t="s">
        <v>3635</v>
      </c>
      <c r="B4588" s="118"/>
      <c r="C4588" s="70" t="s">
        <v>3636</v>
      </c>
      <c r="D4588" s="70" t="s">
        <v>3437</v>
      </c>
      <c r="E4588" s="70" t="s">
        <v>3457</v>
      </c>
      <c r="F4588" s="70" t="s">
        <v>3218</v>
      </c>
      <c r="G4588" s="70" t="s">
        <v>4451</v>
      </c>
      <c r="H4588" s="93"/>
      <c r="I4588" s="85">
        <f t="shared" si="179"/>
        <v>1.6989700000000001</v>
      </c>
      <c r="J4588" s="85">
        <v>49.999999500797408</v>
      </c>
      <c r="K4588" s="131" t="s">
        <v>3177</v>
      </c>
      <c r="L4588" s="69">
        <v>66</v>
      </c>
      <c r="M4588" s="49" t="s">
        <v>6727</v>
      </c>
    </row>
    <row r="4589" spans="1:14" ht="16" x14ac:dyDescent="0.2">
      <c r="A4589" s="70" t="s">
        <v>3635</v>
      </c>
      <c r="B4589" s="118"/>
      <c r="C4589" s="70" t="s">
        <v>3636</v>
      </c>
      <c r="D4589" s="70" t="s">
        <v>3437</v>
      </c>
      <c r="E4589" s="70" t="s">
        <v>3457</v>
      </c>
      <c r="F4589" s="70" t="s">
        <v>3218</v>
      </c>
      <c r="G4589" s="70" t="s">
        <v>2090</v>
      </c>
      <c r="H4589" s="93"/>
      <c r="I4589" s="85">
        <f t="shared" si="179"/>
        <v>1.7313900000000002</v>
      </c>
      <c r="J4589" s="85">
        <v>53.87533702877996</v>
      </c>
      <c r="K4589" s="131" t="s">
        <v>3177</v>
      </c>
      <c r="L4589" s="60">
        <v>60</v>
      </c>
      <c r="N4589" s="48"/>
    </row>
    <row r="4590" spans="1:14" ht="14" x14ac:dyDescent="0.15">
      <c r="A4590" s="70" t="s">
        <v>3635</v>
      </c>
      <c r="B4590" s="118"/>
      <c r="C4590" s="70" t="s">
        <v>3636</v>
      </c>
      <c r="D4590" s="70" t="s">
        <v>3437</v>
      </c>
      <c r="E4590" s="70" t="s">
        <v>3457</v>
      </c>
      <c r="F4590" s="70" t="s">
        <v>3218</v>
      </c>
      <c r="G4590" s="70" t="s">
        <v>2988</v>
      </c>
      <c r="H4590" s="93"/>
      <c r="I4590" s="85">
        <f t="shared" si="179"/>
        <v>1.8407300000000002</v>
      </c>
      <c r="J4590" s="85">
        <v>69.299483857675455</v>
      </c>
      <c r="K4590" s="131" t="s">
        <v>3177</v>
      </c>
      <c r="L4590" s="60">
        <v>60</v>
      </c>
    </row>
    <row r="4591" spans="1:14" ht="14" x14ac:dyDescent="0.15">
      <c r="A4591" s="70" t="s">
        <v>3635</v>
      </c>
      <c r="B4591" s="118"/>
      <c r="C4591" s="70" t="s">
        <v>3636</v>
      </c>
      <c r="D4591" s="70" t="s">
        <v>3437</v>
      </c>
      <c r="E4591" s="70" t="s">
        <v>3457</v>
      </c>
      <c r="F4591" s="70" t="s">
        <v>2989</v>
      </c>
      <c r="G4591" s="70" t="s">
        <v>3451</v>
      </c>
      <c r="H4591" s="93"/>
      <c r="I4591" s="85">
        <f t="shared" si="179"/>
        <v>1.6989700000000001</v>
      </c>
      <c r="J4591" s="85">
        <v>49.999999500797408</v>
      </c>
      <c r="K4591" s="131" t="s">
        <v>3177</v>
      </c>
      <c r="L4591" s="69">
        <v>66</v>
      </c>
    </row>
    <row r="4592" spans="1:14" ht="14" x14ac:dyDescent="0.15">
      <c r="A4592" s="70" t="s">
        <v>3635</v>
      </c>
      <c r="B4592" s="118"/>
      <c r="C4592" s="70" t="s">
        <v>3636</v>
      </c>
      <c r="D4592" s="70" t="s">
        <v>3437</v>
      </c>
      <c r="E4592" s="70" t="s">
        <v>3457</v>
      </c>
      <c r="F4592" s="70" t="s">
        <v>3452</v>
      </c>
      <c r="G4592" s="70" t="s">
        <v>3453</v>
      </c>
      <c r="H4592" s="93"/>
      <c r="I4592" s="85">
        <f t="shared" si="179"/>
        <v>1.5587100000000003</v>
      </c>
      <c r="J4592" s="85">
        <v>36.200119151374764</v>
      </c>
      <c r="K4592" s="131" t="s">
        <v>3177</v>
      </c>
      <c r="L4592" s="60">
        <v>60</v>
      </c>
    </row>
    <row r="4593" spans="1:16" ht="14" x14ac:dyDescent="0.15">
      <c r="A4593" s="70" t="s">
        <v>3635</v>
      </c>
      <c r="B4593" s="118"/>
      <c r="C4593" s="70" t="s">
        <v>3636</v>
      </c>
      <c r="D4593" s="70" t="s">
        <v>3437</v>
      </c>
      <c r="E4593" s="70" t="s">
        <v>3457</v>
      </c>
      <c r="F4593" s="70" t="s">
        <v>2994</v>
      </c>
      <c r="G4593" s="70" t="s">
        <v>2995</v>
      </c>
      <c r="H4593" s="93"/>
      <c r="I4593" s="85">
        <f t="shared" si="179"/>
        <v>2.0791812460476247</v>
      </c>
      <c r="J4593" s="85">
        <v>120</v>
      </c>
      <c r="K4593" s="131" t="s">
        <v>3177</v>
      </c>
      <c r="L4593" s="60">
        <v>75</v>
      </c>
    </row>
    <row r="4594" spans="1:16" ht="28" x14ac:dyDescent="0.15">
      <c r="A4594" s="70" t="s">
        <v>3635</v>
      </c>
      <c r="B4594" s="117" t="s">
        <v>4932</v>
      </c>
      <c r="C4594" s="70" t="s">
        <v>3636</v>
      </c>
      <c r="D4594" s="70" t="s">
        <v>3437</v>
      </c>
      <c r="E4594" s="70" t="s">
        <v>3457</v>
      </c>
      <c r="F4594" s="70" t="s">
        <v>2993</v>
      </c>
      <c r="G4594" s="70" t="s">
        <v>2091</v>
      </c>
      <c r="H4594" s="93"/>
      <c r="I4594" s="85">
        <v>-999</v>
      </c>
      <c r="J4594" s="85">
        <v>-999</v>
      </c>
      <c r="K4594" s="131" t="s">
        <v>3177</v>
      </c>
      <c r="L4594" s="60">
        <v>-999</v>
      </c>
      <c r="M4594" s="33"/>
    </row>
    <row r="4595" spans="1:16" ht="14" x14ac:dyDescent="0.15">
      <c r="A4595" s="70" t="s">
        <v>3635</v>
      </c>
      <c r="B4595" s="117" t="s">
        <v>4934</v>
      </c>
      <c r="C4595" s="70" t="s">
        <v>3636</v>
      </c>
      <c r="D4595" s="70" t="s">
        <v>3437</v>
      </c>
      <c r="E4595" s="73" t="s">
        <v>3457</v>
      </c>
      <c r="F4595" s="70" t="s">
        <v>2993</v>
      </c>
      <c r="G4595" s="70" t="s">
        <v>5200</v>
      </c>
      <c r="H4595" s="93"/>
      <c r="I4595" s="85">
        <v>-999</v>
      </c>
      <c r="J4595" s="85">
        <v>-999</v>
      </c>
      <c r="K4595" s="131" t="s">
        <v>3177</v>
      </c>
      <c r="L4595" s="60">
        <v>-999</v>
      </c>
      <c r="M4595" s="33" t="s">
        <v>6390</v>
      </c>
    </row>
    <row r="4596" spans="1:16" ht="14" x14ac:dyDescent="0.15">
      <c r="A4596" s="70" t="s">
        <v>3635</v>
      </c>
      <c r="B4596" s="118"/>
      <c r="C4596" s="70" t="s">
        <v>3636</v>
      </c>
      <c r="D4596" s="70" t="s">
        <v>3437</v>
      </c>
      <c r="E4596" s="70" t="s">
        <v>3457</v>
      </c>
      <c r="F4596" s="70" t="s">
        <v>2993</v>
      </c>
      <c r="G4596" s="70" t="s">
        <v>4441</v>
      </c>
      <c r="H4596" s="93"/>
      <c r="I4596" s="85">
        <f t="shared" ref="I4596:I4638" si="180">LOG(J4596)</f>
        <v>1.1122700000000001</v>
      </c>
      <c r="J4596" s="85">
        <v>12.950006905446124</v>
      </c>
      <c r="K4596" s="131" t="s">
        <v>3177</v>
      </c>
      <c r="L4596" s="60">
        <v>60</v>
      </c>
      <c r="P4596" s="51"/>
    </row>
    <row r="4597" spans="1:16" ht="16" x14ac:dyDescent="0.2">
      <c r="A4597" s="70" t="s">
        <v>3635</v>
      </c>
      <c r="B4597" s="118"/>
      <c r="C4597" s="70" t="s">
        <v>3636</v>
      </c>
      <c r="D4597" s="70" t="s">
        <v>3437</v>
      </c>
      <c r="E4597" s="70" t="s">
        <v>3457</v>
      </c>
      <c r="F4597" s="70" t="s">
        <v>2993</v>
      </c>
      <c r="G4597" s="70" t="s">
        <v>3654</v>
      </c>
      <c r="H4597" s="93"/>
      <c r="I4597" s="85">
        <f t="shared" si="180"/>
        <v>1.2549100000000002</v>
      </c>
      <c r="J4597" s="85">
        <v>17.984981689509077</v>
      </c>
      <c r="K4597" s="131" t="s">
        <v>3177</v>
      </c>
      <c r="L4597" s="60">
        <v>60</v>
      </c>
      <c r="N4597" s="48"/>
      <c r="P4597" s="51"/>
    </row>
    <row r="4598" spans="1:16" ht="14" x14ac:dyDescent="0.15">
      <c r="A4598" s="70" t="s">
        <v>3635</v>
      </c>
      <c r="B4598" s="118"/>
      <c r="C4598" s="70" t="s">
        <v>3636</v>
      </c>
      <c r="D4598" s="70" t="s">
        <v>3437</v>
      </c>
      <c r="E4598" s="70" t="s">
        <v>3457</v>
      </c>
      <c r="F4598" s="70" t="s">
        <v>2993</v>
      </c>
      <c r="G4598" s="70" t="s">
        <v>7224</v>
      </c>
      <c r="H4598" s="93"/>
      <c r="I4598" s="85">
        <f t="shared" si="180"/>
        <v>1.3258200000000002</v>
      </c>
      <c r="J4598" s="85">
        <v>21.174833299521055</v>
      </c>
      <c r="K4598" s="131" t="s">
        <v>3177</v>
      </c>
      <c r="L4598" s="60">
        <v>60</v>
      </c>
      <c r="P4598" s="51"/>
    </row>
    <row r="4599" spans="1:16" ht="14" x14ac:dyDescent="0.15">
      <c r="A4599" s="70" t="s">
        <v>3635</v>
      </c>
      <c r="B4599" s="118"/>
      <c r="C4599" s="70" t="s">
        <v>3636</v>
      </c>
      <c r="D4599" s="70" t="s">
        <v>3437</v>
      </c>
      <c r="E4599" s="70" t="s">
        <v>3457</v>
      </c>
      <c r="F4599" s="70" t="s">
        <v>2993</v>
      </c>
      <c r="G4599" s="70" t="s">
        <v>3421</v>
      </c>
      <c r="H4599" s="93"/>
      <c r="I4599" s="85">
        <f t="shared" si="180"/>
        <v>1.3280400000000001</v>
      </c>
      <c r="J4599" s="85">
        <v>21.283350638592552</v>
      </c>
      <c r="K4599" s="131" t="s">
        <v>3177</v>
      </c>
      <c r="L4599" s="60">
        <v>60</v>
      </c>
      <c r="P4599" s="51"/>
    </row>
    <row r="4600" spans="1:16" ht="14" x14ac:dyDescent="0.15">
      <c r="A4600" s="70" t="s">
        <v>3635</v>
      </c>
      <c r="B4600" s="118"/>
      <c r="C4600" s="70" t="s">
        <v>3636</v>
      </c>
      <c r="D4600" s="70" t="s">
        <v>3437</v>
      </c>
      <c r="E4600" s="70" t="s">
        <v>3457</v>
      </c>
      <c r="F4600" s="70" t="s">
        <v>2993</v>
      </c>
      <c r="G4600" s="70" t="s">
        <v>3033</v>
      </c>
      <c r="H4600" s="93"/>
      <c r="I4600" s="85">
        <f t="shared" si="180"/>
        <v>1.3294000000000001</v>
      </c>
      <c r="J4600" s="85">
        <v>21.350104251272274</v>
      </c>
      <c r="K4600" s="131" t="s">
        <v>3177</v>
      </c>
      <c r="L4600" s="60">
        <v>60</v>
      </c>
      <c r="P4600" s="51"/>
    </row>
    <row r="4601" spans="1:16" ht="14" x14ac:dyDescent="0.15">
      <c r="A4601" s="70" t="s">
        <v>3635</v>
      </c>
      <c r="B4601" s="118"/>
      <c r="C4601" s="70" t="s">
        <v>3636</v>
      </c>
      <c r="D4601" s="70" t="s">
        <v>3437</v>
      </c>
      <c r="E4601" s="70" t="s">
        <v>3457</v>
      </c>
      <c r="F4601" s="70" t="s">
        <v>2993</v>
      </c>
      <c r="G4601" s="70" t="s">
        <v>3036</v>
      </c>
      <c r="H4601" s="93"/>
      <c r="I4601" s="85">
        <f t="shared" si="180"/>
        <v>1.3424199999999999</v>
      </c>
      <c r="J4601" s="85">
        <v>21.999864198351659</v>
      </c>
      <c r="K4601" s="131" t="s">
        <v>3177</v>
      </c>
      <c r="L4601" s="69">
        <v>66</v>
      </c>
      <c r="P4601" s="51"/>
    </row>
    <row r="4602" spans="1:16" ht="14" x14ac:dyDescent="0.15">
      <c r="A4602" s="70" t="s">
        <v>3635</v>
      </c>
      <c r="B4602" s="118"/>
      <c r="C4602" s="70" t="s">
        <v>3636</v>
      </c>
      <c r="D4602" s="70" t="s">
        <v>3437</v>
      </c>
      <c r="E4602" s="70" t="s">
        <v>3457</v>
      </c>
      <c r="F4602" s="70" t="s">
        <v>2993</v>
      </c>
      <c r="G4602" s="70" t="s">
        <v>3035</v>
      </c>
      <c r="H4602" s="93"/>
      <c r="I4602" s="85">
        <f t="shared" si="180"/>
        <v>1.3738300000000003</v>
      </c>
      <c r="J4602" s="85">
        <v>23.649937643784327</v>
      </c>
      <c r="K4602" s="131" t="s">
        <v>3177</v>
      </c>
      <c r="L4602" s="60">
        <v>60</v>
      </c>
    </row>
    <row r="4603" spans="1:16" ht="28" x14ac:dyDescent="0.15">
      <c r="A4603" s="70" t="s">
        <v>3635</v>
      </c>
      <c r="B4603" s="117" t="s">
        <v>5083</v>
      </c>
      <c r="C4603" s="70" t="s">
        <v>3636</v>
      </c>
      <c r="D4603" s="70" t="s">
        <v>3437</v>
      </c>
      <c r="E4603" s="70" t="s">
        <v>3457</v>
      </c>
      <c r="F4603" s="70" t="s">
        <v>2993</v>
      </c>
      <c r="G4603" s="70" t="s">
        <v>7762</v>
      </c>
      <c r="H4603" s="93"/>
      <c r="I4603" s="85">
        <f t="shared" si="180"/>
        <v>1.3905818785504354</v>
      </c>
      <c r="J4603" s="85">
        <v>24.58</v>
      </c>
      <c r="K4603" s="131" t="s">
        <v>3177</v>
      </c>
      <c r="L4603" s="60">
        <v>216</v>
      </c>
      <c r="M4603" s="33"/>
    </row>
    <row r="4604" spans="1:16" ht="14" x14ac:dyDescent="0.15">
      <c r="A4604" s="70" t="s">
        <v>3635</v>
      </c>
      <c r="B4604" s="118"/>
      <c r="C4604" s="70" t="s">
        <v>3636</v>
      </c>
      <c r="D4604" s="70" t="s">
        <v>3437</v>
      </c>
      <c r="E4604" s="70" t="s">
        <v>3457</v>
      </c>
      <c r="F4604" s="70" t="s">
        <v>2993</v>
      </c>
      <c r="G4604" s="70" t="s">
        <v>3466</v>
      </c>
      <c r="H4604" s="93"/>
      <c r="I4604" s="85">
        <f t="shared" si="180"/>
        <v>1.4199600000000003</v>
      </c>
      <c r="J4604" s="85">
        <v>26.300257464166226</v>
      </c>
      <c r="K4604" s="131" t="s">
        <v>3177</v>
      </c>
      <c r="L4604" s="60">
        <v>60</v>
      </c>
    </row>
    <row r="4605" spans="1:16" ht="42" x14ac:dyDescent="0.15">
      <c r="A4605" s="70" t="s">
        <v>3635</v>
      </c>
      <c r="B4605" s="117" t="s">
        <v>7407</v>
      </c>
      <c r="C4605" s="70" t="s">
        <v>3636</v>
      </c>
      <c r="D4605" s="70" t="s">
        <v>3437</v>
      </c>
      <c r="E4605" s="70" t="s">
        <v>3457</v>
      </c>
      <c r="F4605" s="70" t="s">
        <v>2993</v>
      </c>
      <c r="G4605" s="70" t="s">
        <v>7126</v>
      </c>
      <c r="H4605" s="93"/>
      <c r="I4605" s="85">
        <f t="shared" si="180"/>
        <v>1.4369600000000002</v>
      </c>
      <c r="J4605" s="85">
        <v>27.350168103482694</v>
      </c>
      <c r="K4605" s="131" t="s">
        <v>7399</v>
      </c>
      <c r="L4605" s="60">
        <v>60</v>
      </c>
    </row>
    <row r="4606" spans="1:16" ht="14" x14ac:dyDescent="0.15">
      <c r="A4606" s="70" t="s">
        <v>3635</v>
      </c>
      <c r="B4606" s="118"/>
      <c r="C4606" s="70" t="s">
        <v>3636</v>
      </c>
      <c r="D4606" s="70" t="s">
        <v>3437</v>
      </c>
      <c r="E4606" s="70" t="s">
        <v>3457</v>
      </c>
      <c r="F4606" s="70" t="s">
        <v>2993</v>
      </c>
      <c r="G4606" s="70" t="s">
        <v>6085</v>
      </c>
      <c r="H4606" s="93"/>
      <c r="I4606" s="85">
        <f t="shared" si="180"/>
        <v>1.4369600000000002</v>
      </c>
      <c r="J4606" s="85">
        <v>27.350168103482694</v>
      </c>
      <c r="K4606" s="131" t="s">
        <v>3177</v>
      </c>
      <c r="L4606" s="60">
        <v>60</v>
      </c>
    </row>
    <row r="4607" spans="1:16" ht="14" x14ac:dyDescent="0.15">
      <c r="A4607" s="70" t="s">
        <v>3635</v>
      </c>
      <c r="B4607" s="118"/>
      <c r="C4607" s="73" t="s">
        <v>3636</v>
      </c>
      <c r="D4607" s="73" t="s">
        <v>3437</v>
      </c>
      <c r="E4607" s="70" t="s">
        <v>3457</v>
      </c>
      <c r="F4607" s="73" t="s">
        <v>2993</v>
      </c>
      <c r="G4607" s="73" t="s">
        <v>3034</v>
      </c>
      <c r="H4607" s="93"/>
      <c r="I4607" s="85">
        <f t="shared" si="180"/>
        <v>1.4456000000000002</v>
      </c>
      <c r="J4607" s="95">
        <v>27.899729974082664</v>
      </c>
      <c r="K4607" s="131" t="s">
        <v>3177</v>
      </c>
      <c r="L4607" s="60">
        <v>60</v>
      </c>
    </row>
    <row r="4608" spans="1:16" ht="56" x14ac:dyDescent="0.15">
      <c r="A4608" s="70" t="s">
        <v>3635</v>
      </c>
      <c r="B4608" s="117" t="s">
        <v>5235</v>
      </c>
      <c r="C4608" s="70" t="s">
        <v>3636</v>
      </c>
      <c r="D4608" s="70" t="s">
        <v>3437</v>
      </c>
      <c r="E4608" s="70" t="s">
        <v>3457</v>
      </c>
      <c r="F4608" s="70" t="s">
        <v>2993</v>
      </c>
      <c r="G4608" s="70" t="s">
        <v>4523</v>
      </c>
      <c r="H4608" s="93"/>
      <c r="I4608" s="85">
        <f t="shared" si="180"/>
        <v>1.4471580313422192</v>
      </c>
      <c r="J4608" s="85">
        <f>AVERAGE(24,32)</f>
        <v>28</v>
      </c>
      <c r="K4608" s="131" t="s">
        <v>3177</v>
      </c>
      <c r="L4608" s="60" t="s">
        <v>255</v>
      </c>
      <c r="M4608" s="33"/>
    </row>
    <row r="4609" spans="1:14" ht="14" x14ac:dyDescent="0.15">
      <c r="A4609" s="73" t="s">
        <v>3635</v>
      </c>
      <c r="B4609" s="118"/>
      <c r="C4609" s="73" t="s">
        <v>3636</v>
      </c>
      <c r="D4609" s="73" t="s">
        <v>3437</v>
      </c>
      <c r="E4609" s="70" t="s">
        <v>3457</v>
      </c>
      <c r="F4609" s="73" t="s">
        <v>2993</v>
      </c>
      <c r="G4609" s="73" t="s">
        <v>3655</v>
      </c>
      <c r="H4609" s="93"/>
      <c r="I4609" s="85">
        <f t="shared" si="180"/>
        <v>1.44716</v>
      </c>
      <c r="J4609" s="95">
        <v>28.000126924345338</v>
      </c>
      <c r="K4609" s="131" t="s">
        <v>3177</v>
      </c>
      <c r="L4609" s="60">
        <v>60</v>
      </c>
    </row>
    <row r="4610" spans="1:14" ht="28" x14ac:dyDescent="0.15">
      <c r="A4610" s="70" t="s">
        <v>3635</v>
      </c>
      <c r="B4610" s="117" t="s">
        <v>4533</v>
      </c>
      <c r="C4610" s="70" t="s">
        <v>3636</v>
      </c>
      <c r="D4610" s="70" t="s">
        <v>3437</v>
      </c>
      <c r="E4610" s="70" t="s">
        <v>3457</v>
      </c>
      <c r="F4610" s="70" t="s">
        <v>2993</v>
      </c>
      <c r="G4610" s="70" t="s">
        <v>4769</v>
      </c>
      <c r="H4610" s="93"/>
      <c r="I4610" s="85">
        <f t="shared" si="180"/>
        <v>1.4653828514484184</v>
      </c>
      <c r="J4610" s="85">
        <f>AVERAGE(31.3, 28.1, 28.2)</f>
        <v>29.200000000000003</v>
      </c>
      <c r="K4610" s="131" t="s">
        <v>6656</v>
      </c>
      <c r="L4610" s="60">
        <v>81</v>
      </c>
    </row>
    <row r="4611" spans="1:14" ht="16" x14ac:dyDescent="0.2">
      <c r="A4611" s="70" t="s">
        <v>3635</v>
      </c>
      <c r="B4611" s="118"/>
      <c r="C4611" s="73" t="s">
        <v>3636</v>
      </c>
      <c r="D4611" s="73" t="s">
        <v>3437</v>
      </c>
      <c r="E4611" s="70" t="s">
        <v>3457</v>
      </c>
      <c r="F4611" s="73" t="s">
        <v>2993</v>
      </c>
      <c r="G4611" s="73" t="s">
        <v>3038</v>
      </c>
      <c r="H4611" s="93"/>
      <c r="I4611" s="85">
        <f t="shared" si="180"/>
        <v>1.4681600000000001</v>
      </c>
      <c r="J4611" s="95">
        <v>29.387321214750685</v>
      </c>
      <c r="K4611" s="131" t="s">
        <v>3177</v>
      </c>
      <c r="L4611" s="60">
        <v>60</v>
      </c>
      <c r="N4611" s="48"/>
    </row>
    <row r="4612" spans="1:14" ht="14" x14ac:dyDescent="0.15">
      <c r="A4612" s="73" t="s">
        <v>3635</v>
      </c>
      <c r="B4612" s="118"/>
      <c r="C4612" s="70" t="s">
        <v>3636</v>
      </c>
      <c r="D4612" s="70" t="s">
        <v>3437</v>
      </c>
      <c r="E4612" s="70" t="s">
        <v>3457</v>
      </c>
      <c r="F4612" s="70" t="s">
        <v>2993</v>
      </c>
      <c r="G4612" s="70" t="s">
        <v>3833</v>
      </c>
      <c r="H4612" s="93"/>
      <c r="I4612" s="85">
        <f t="shared" si="180"/>
        <v>1.51322</v>
      </c>
      <c r="J4612" s="85">
        <v>32.60018014965565</v>
      </c>
      <c r="K4612" s="131" t="s">
        <v>3177</v>
      </c>
      <c r="L4612" s="60">
        <v>60</v>
      </c>
    </row>
    <row r="4613" spans="1:14" ht="14" x14ac:dyDescent="0.15">
      <c r="A4613" s="70" t="s">
        <v>3635</v>
      </c>
      <c r="B4613" s="118"/>
      <c r="C4613" s="70" t="s">
        <v>3636</v>
      </c>
      <c r="D4613" s="70" t="s">
        <v>3437</v>
      </c>
      <c r="E4613" s="70" t="s">
        <v>3457</v>
      </c>
      <c r="F4613" s="70" t="s">
        <v>2993</v>
      </c>
      <c r="G4613" s="70" t="s">
        <v>3037</v>
      </c>
      <c r="H4613" s="93"/>
      <c r="I4613" s="85">
        <f t="shared" si="180"/>
        <v>1.5185100000000002</v>
      </c>
      <c r="J4613" s="85">
        <v>32.999700628522916</v>
      </c>
      <c r="K4613" s="131" t="s">
        <v>3177</v>
      </c>
      <c r="L4613" s="69">
        <v>66</v>
      </c>
    </row>
    <row r="4614" spans="1:14" ht="16" x14ac:dyDescent="0.2">
      <c r="A4614" s="73" t="s">
        <v>3635</v>
      </c>
      <c r="B4614" s="118"/>
      <c r="C4614" s="70" t="s">
        <v>3636</v>
      </c>
      <c r="D4614" s="70" t="s">
        <v>3437</v>
      </c>
      <c r="E4614" s="70" t="s">
        <v>3457</v>
      </c>
      <c r="F4614" s="70" t="s">
        <v>2993</v>
      </c>
      <c r="G4614" s="70" t="s">
        <v>3040</v>
      </c>
      <c r="H4614" s="93"/>
      <c r="I4614" s="85">
        <f t="shared" si="180"/>
        <v>1.5563</v>
      </c>
      <c r="J4614" s="85">
        <v>35.999792704335675</v>
      </c>
      <c r="K4614" s="131" t="s">
        <v>3177</v>
      </c>
      <c r="L4614" s="69">
        <v>66</v>
      </c>
      <c r="N4614" s="48"/>
    </row>
    <row r="4615" spans="1:14" ht="16" x14ac:dyDescent="0.2">
      <c r="A4615" s="70" t="s">
        <v>3635</v>
      </c>
      <c r="B4615" s="118"/>
      <c r="C4615" s="70" t="s">
        <v>3636</v>
      </c>
      <c r="D4615" s="70" t="s">
        <v>3437</v>
      </c>
      <c r="E4615" s="70" t="s">
        <v>3457</v>
      </c>
      <c r="F4615" s="70" t="s">
        <v>2993</v>
      </c>
      <c r="G4615" s="70" t="s">
        <v>3020</v>
      </c>
      <c r="H4615" s="93"/>
      <c r="I4615" s="85">
        <f t="shared" si="180"/>
        <v>1.5563</v>
      </c>
      <c r="J4615" s="85">
        <v>35.999792704335675</v>
      </c>
      <c r="K4615" s="131" t="s">
        <v>3177</v>
      </c>
      <c r="L4615" s="69">
        <v>66</v>
      </c>
      <c r="N4615" s="48"/>
    </row>
    <row r="4616" spans="1:14" ht="14" x14ac:dyDescent="0.15">
      <c r="A4616" s="70" t="s">
        <v>3635</v>
      </c>
      <c r="B4616" s="118"/>
      <c r="C4616" s="70" t="s">
        <v>3636</v>
      </c>
      <c r="D4616" s="70" t="s">
        <v>3437</v>
      </c>
      <c r="E4616" s="70" t="s">
        <v>3457</v>
      </c>
      <c r="F4616" s="70" t="s">
        <v>2993</v>
      </c>
      <c r="G4616" s="70" t="s">
        <v>4439</v>
      </c>
      <c r="H4616" s="93"/>
      <c r="I4616" s="85">
        <f t="shared" si="180"/>
        <v>1.5910600000000001</v>
      </c>
      <c r="J4616" s="85">
        <v>38.999586287443293</v>
      </c>
      <c r="K4616" s="131" t="s">
        <v>3177</v>
      </c>
      <c r="L4616" s="69">
        <v>66</v>
      </c>
    </row>
    <row r="4617" spans="1:14" ht="14" x14ac:dyDescent="0.15">
      <c r="A4617" s="70" t="s">
        <v>3635</v>
      </c>
      <c r="B4617" s="118"/>
      <c r="C4617" s="70" t="s">
        <v>3636</v>
      </c>
      <c r="D4617" s="70" t="s">
        <v>3437</v>
      </c>
      <c r="E4617" s="70" t="s">
        <v>3457</v>
      </c>
      <c r="F4617" s="70" t="s">
        <v>2993</v>
      </c>
      <c r="G4617" s="70" t="s">
        <v>4451</v>
      </c>
      <c r="H4617" s="93"/>
      <c r="I4617" s="85">
        <f t="shared" si="180"/>
        <v>1.5976999999999999</v>
      </c>
      <c r="J4617" s="85">
        <v>39.600438961152513</v>
      </c>
      <c r="K4617" s="131" t="s">
        <v>3177</v>
      </c>
      <c r="L4617" s="60">
        <v>60</v>
      </c>
    </row>
    <row r="4618" spans="1:14" ht="16" x14ac:dyDescent="0.2">
      <c r="A4618" s="70" t="s">
        <v>3635</v>
      </c>
      <c r="B4618" s="118"/>
      <c r="C4618" s="70" t="s">
        <v>3636</v>
      </c>
      <c r="D4618" s="70" t="s">
        <v>3437</v>
      </c>
      <c r="E4618" s="70" t="s">
        <v>3457</v>
      </c>
      <c r="F4618" s="70" t="s">
        <v>2993</v>
      </c>
      <c r="G4618" s="70" t="s">
        <v>6970</v>
      </c>
      <c r="H4618" s="93"/>
      <c r="I4618" s="85">
        <f t="shared" si="180"/>
        <v>1.60206</v>
      </c>
      <c r="J4618" s="85">
        <v>40.000000798724201</v>
      </c>
      <c r="K4618" s="131" t="s">
        <v>3177</v>
      </c>
      <c r="L4618" s="69">
        <v>66</v>
      </c>
      <c r="N4618" s="48"/>
    </row>
    <row r="4619" spans="1:14" ht="14" x14ac:dyDescent="0.15">
      <c r="A4619" s="70" t="s">
        <v>3635</v>
      </c>
      <c r="B4619" s="118"/>
      <c r="C4619" s="70" t="s">
        <v>3636</v>
      </c>
      <c r="D4619" s="70" t="s">
        <v>3437</v>
      </c>
      <c r="E4619" s="70" t="s">
        <v>3457</v>
      </c>
      <c r="F4619" s="70" t="s">
        <v>2993</v>
      </c>
      <c r="G4619" s="70" t="s">
        <v>3653</v>
      </c>
      <c r="H4619" s="93"/>
      <c r="I4619" s="85">
        <f t="shared" si="180"/>
        <v>1.60206</v>
      </c>
      <c r="J4619" s="85">
        <v>40.000000798724201</v>
      </c>
      <c r="K4619" s="131" t="s">
        <v>3177</v>
      </c>
      <c r="L4619" s="69">
        <v>66</v>
      </c>
      <c r="M4619" s="49" t="s">
        <v>6390</v>
      </c>
    </row>
    <row r="4620" spans="1:14" ht="14" x14ac:dyDescent="0.15">
      <c r="A4620" s="70" t="s">
        <v>3635</v>
      </c>
      <c r="B4620" s="118"/>
      <c r="C4620" s="70" t="s">
        <v>3636</v>
      </c>
      <c r="D4620" s="70" t="s">
        <v>3437</v>
      </c>
      <c r="E4620" s="70" t="s">
        <v>3457</v>
      </c>
      <c r="F4620" s="70" t="s">
        <v>2993</v>
      </c>
      <c r="G4620" s="70" t="s">
        <v>4049</v>
      </c>
      <c r="H4620" s="93"/>
      <c r="I4620" s="85">
        <f t="shared" si="180"/>
        <v>1.60206</v>
      </c>
      <c r="J4620" s="85">
        <v>40.000000798724201</v>
      </c>
      <c r="K4620" s="131" t="s">
        <v>3177</v>
      </c>
      <c r="L4620" s="69">
        <v>66</v>
      </c>
    </row>
    <row r="4621" spans="1:14" ht="16" x14ac:dyDescent="0.2">
      <c r="A4621" s="70" t="s">
        <v>3635</v>
      </c>
      <c r="B4621" s="118"/>
      <c r="C4621" s="70" t="s">
        <v>3636</v>
      </c>
      <c r="D4621" s="70" t="s">
        <v>3437</v>
      </c>
      <c r="E4621" s="70" t="s">
        <v>3457</v>
      </c>
      <c r="F4621" s="70" t="s">
        <v>2993</v>
      </c>
      <c r="G4621" s="70" t="s">
        <v>3039</v>
      </c>
      <c r="H4621" s="93"/>
      <c r="I4621" s="85">
        <f t="shared" si="180"/>
        <v>1.60206</v>
      </c>
      <c r="J4621" s="85">
        <v>40.000000798724201</v>
      </c>
      <c r="K4621" s="131" t="s">
        <v>3177</v>
      </c>
      <c r="L4621" s="69">
        <v>66</v>
      </c>
      <c r="N4621" s="48"/>
    </row>
    <row r="4622" spans="1:14" ht="14" x14ac:dyDescent="0.15">
      <c r="A4622" s="70" t="s">
        <v>3635</v>
      </c>
      <c r="B4622" s="118"/>
      <c r="C4622" s="70" t="s">
        <v>3636</v>
      </c>
      <c r="D4622" s="70" t="s">
        <v>3437</v>
      </c>
      <c r="E4622" s="70" t="s">
        <v>3457</v>
      </c>
      <c r="F4622" s="70" t="s">
        <v>2993</v>
      </c>
      <c r="G4622" s="70" t="s">
        <v>3425</v>
      </c>
      <c r="H4622" s="93"/>
      <c r="I4622" s="85">
        <f t="shared" si="180"/>
        <v>1.60206</v>
      </c>
      <c r="J4622" s="85">
        <v>40.000000798724201</v>
      </c>
      <c r="K4622" s="131" t="s">
        <v>3177</v>
      </c>
      <c r="L4622" s="69">
        <v>66</v>
      </c>
    </row>
    <row r="4623" spans="1:14" ht="14" x14ac:dyDescent="0.15">
      <c r="A4623" s="70" t="s">
        <v>3635</v>
      </c>
      <c r="B4623" s="118"/>
      <c r="C4623" s="70" t="s">
        <v>3636</v>
      </c>
      <c r="D4623" s="70" t="s">
        <v>3437</v>
      </c>
      <c r="E4623" s="70" t="s">
        <v>3457</v>
      </c>
      <c r="F4623" s="70" t="s">
        <v>2993</v>
      </c>
      <c r="G4623" s="70" t="s">
        <v>3426</v>
      </c>
      <c r="H4623" s="93"/>
      <c r="I4623" s="85">
        <f t="shared" si="180"/>
        <v>1.60206</v>
      </c>
      <c r="J4623" s="85">
        <v>40.000000798724201</v>
      </c>
      <c r="K4623" s="131" t="s">
        <v>3177</v>
      </c>
      <c r="L4623" s="69">
        <v>66</v>
      </c>
      <c r="M4623" s="49" t="s">
        <v>6728</v>
      </c>
    </row>
    <row r="4624" spans="1:14" ht="14" x14ac:dyDescent="0.15">
      <c r="A4624" s="70" t="s">
        <v>3635</v>
      </c>
      <c r="B4624" s="118"/>
      <c r="C4624" s="70" t="s">
        <v>3636</v>
      </c>
      <c r="D4624" s="70" t="s">
        <v>3437</v>
      </c>
      <c r="E4624" s="70" t="s">
        <v>3457</v>
      </c>
      <c r="F4624" s="70" t="s">
        <v>2993</v>
      </c>
      <c r="G4624" s="70" t="s">
        <v>2130</v>
      </c>
      <c r="H4624" s="93"/>
      <c r="I4624" s="85">
        <f t="shared" si="180"/>
        <v>1.60206</v>
      </c>
      <c r="J4624" s="85">
        <v>40.000000798724201</v>
      </c>
      <c r="K4624" s="131" t="s">
        <v>3177</v>
      </c>
      <c r="L4624" s="69">
        <v>66</v>
      </c>
    </row>
    <row r="4625" spans="1:14" ht="14" x14ac:dyDescent="0.15">
      <c r="A4625" s="73" t="s">
        <v>3635</v>
      </c>
      <c r="B4625" s="118"/>
      <c r="C4625" s="70" t="s">
        <v>3636</v>
      </c>
      <c r="D4625" s="70" t="s">
        <v>3437</v>
      </c>
      <c r="E4625" s="70" t="s">
        <v>3457</v>
      </c>
      <c r="F4625" s="70" t="s">
        <v>2993</v>
      </c>
      <c r="G4625" s="70" t="s">
        <v>3901</v>
      </c>
      <c r="H4625" s="93"/>
      <c r="I4625" s="85">
        <f t="shared" si="180"/>
        <v>1.60206</v>
      </c>
      <c r="J4625" s="85">
        <v>40.000000798724201</v>
      </c>
      <c r="K4625" s="131" t="s">
        <v>3177</v>
      </c>
      <c r="L4625" s="69">
        <v>66</v>
      </c>
    </row>
    <row r="4626" spans="1:14" ht="14" x14ac:dyDescent="0.15">
      <c r="A4626" s="70" t="s">
        <v>3635</v>
      </c>
      <c r="B4626" s="118"/>
      <c r="C4626" s="70" t="s">
        <v>3636</v>
      </c>
      <c r="D4626" s="70" t="s">
        <v>3437</v>
      </c>
      <c r="E4626" s="70" t="s">
        <v>3457</v>
      </c>
      <c r="F4626" s="70" t="s">
        <v>2993</v>
      </c>
      <c r="G4626" s="70" t="s">
        <v>4440</v>
      </c>
      <c r="H4626" s="93"/>
      <c r="I4626" s="85">
        <f t="shared" si="180"/>
        <v>1.60206</v>
      </c>
      <c r="J4626" s="85">
        <v>40.000000798724201</v>
      </c>
      <c r="K4626" s="131" t="s">
        <v>3177</v>
      </c>
      <c r="L4626" s="69">
        <v>66</v>
      </c>
    </row>
    <row r="4627" spans="1:14" ht="14" x14ac:dyDescent="0.15">
      <c r="A4627" s="70" t="s">
        <v>3635</v>
      </c>
      <c r="B4627" s="118"/>
      <c r="C4627" s="70" t="s">
        <v>3636</v>
      </c>
      <c r="D4627" s="70" t="s">
        <v>3437</v>
      </c>
      <c r="E4627" s="70" t="s">
        <v>3457</v>
      </c>
      <c r="F4627" s="70" t="s">
        <v>2993</v>
      </c>
      <c r="G4627" s="70" t="s">
        <v>4442</v>
      </c>
      <c r="H4627" s="93"/>
      <c r="I4627" s="85">
        <f t="shared" si="180"/>
        <v>1.60206</v>
      </c>
      <c r="J4627" s="85">
        <v>40.000000798724201</v>
      </c>
      <c r="K4627" s="131" t="s">
        <v>3177</v>
      </c>
      <c r="L4627" s="69">
        <v>66</v>
      </c>
      <c r="M4627" s="49" t="s">
        <v>6728</v>
      </c>
    </row>
    <row r="4628" spans="1:14" ht="14" x14ac:dyDescent="0.15">
      <c r="A4628" s="70" t="s">
        <v>3635</v>
      </c>
      <c r="B4628" s="118"/>
      <c r="C4628" s="70" t="s">
        <v>3636</v>
      </c>
      <c r="D4628" s="70" t="s">
        <v>3437</v>
      </c>
      <c r="E4628" s="70" t="s">
        <v>3457</v>
      </c>
      <c r="F4628" s="70" t="s">
        <v>2993</v>
      </c>
      <c r="G4628" s="70" t="s">
        <v>4433</v>
      </c>
      <c r="H4628" s="93"/>
      <c r="I4628" s="85">
        <f t="shared" si="180"/>
        <v>1.60206</v>
      </c>
      <c r="J4628" s="85">
        <v>40.000000798724201</v>
      </c>
      <c r="K4628" s="131" t="s">
        <v>3177</v>
      </c>
      <c r="L4628" s="69">
        <v>66</v>
      </c>
      <c r="M4628" s="49" t="s">
        <v>6392</v>
      </c>
    </row>
    <row r="4629" spans="1:14" ht="14" x14ac:dyDescent="0.15">
      <c r="A4629" s="70" t="s">
        <v>3635</v>
      </c>
      <c r="B4629" s="118"/>
      <c r="C4629" s="70" t="s">
        <v>3636</v>
      </c>
      <c r="D4629" s="70" t="s">
        <v>3437</v>
      </c>
      <c r="E4629" s="70" t="s">
        <v>3457</v>
      </c>
      <c r="F4629" s="70" t="s">
        <v>2993</v>
      </c>
      <c r="G4629" s="70" t="s">
        <v>3210</v>
      </c>
      <c r="H4629" s="93"/>
      <c r="I4629" s="85">
        <f t="shared" si="180"/>
        <v>1.60206</v>
      </c>
      <c r="J4629" s="85">
        <v>40.000000798724201</v>
      </c>
      <c r="K4629" s="131" t="s">
        <v>3177</v>
      </c>
      <c r="L4629" s="69">
        <v>66</v>
      </c>
      <c r="M4629" s="49" t="s">
        <v>6728</v>
      </c>
    </row>
    <row r="4630" spans="1:14" ht="14" x14ac:dyDescent="0.15">
      <c r="A4630" s="70" t="s">
        <v>3635</v>
      </c>
      <c r="B4630" s="118"/>
      <c r="C4630" s="70" t="s">
        <v>3636</v>
      </c>
      <c r="D4630" s="70" t="s">
        <v>3437</v>
      </c>
      <c r="E4630" s="70" t="s">
        <v>3457</v>
      </c>
      <c r="F4630" s="70" t="s">
        <v>2993</v>
      </c>
      <c r="G4630" s="70" t="s">
        <v>4223</v>
      </c>
      <c r="H4630" s="93"/>
      <c r="I4630" s="85">
        <f t="shared" si="180"/>
        <v>1.6388200000000002</v>
      </c>
      <c r="J4630" s="85">
        <v>43.533140652017195</v>
      </c>
      <c r="K4630" s="131" t="s">
        <v>3177</v>
      </c>
      <c r="L4630" s="60">
        <v>60</v>
      </c>
    </row>
    <row r="4631" spans="1:14" ht="14" x14ac:dyDescent="0.15">
      <c r="A4631" s="70" t="s">
        <v>3635</v>
      </c>
      <c r="B4631" s="118"/>
      <c r="C4631" s="70" t="s">
        <v>3636</v>
      </c>
      <c r="D4631" s="70" t="s">
        <v>3437</v>
      </c>
      <c r="E4631" s="70" t="s">
        <v>3457</v>
      </c>
      <c r="F4631" s="70" t="s">
        <v>2993</v>
      </c>
      <c r="G4631" s="70" t="s">
        <v>6086</v>
      </c>
      <c r="H4631" s="93"/>
      <c r="I4631" s="85">
        <f t="shared" si="180"/>
        <v>1.7303784685876429</v>
      </c>
      <c r="J4631" s="85">
        <f>AVERAGE(53,54.5)</f>
        <v>53.75</v>
      </c>
      <c r="K4631" s="131" t="s">
        <v>3177</v>
      </c>
      <c r="L4631" s="69">
        <v>264</v>
      </c>
      <c r="M4631" s="49" t="s">
        <v>6392</v>
      </c>
    </row>
    <row r="4632" spans="1:14" ht="16" x14ac:dyDescent="0.2">
      <c r="A4632" s="70" t="s">
        <v>3635</v>
      </c>
      <c r="B4632" s="118"/>
      <c r="C4632" s="70" t="s">
        <v>3636</v>
      </c>
      <c r="D4632" s="70" t="s">
        <v>3437</v>
      </c>
      <c r="E4632" s="70" t="s">
        <v>3457</v>
      </c>
      <c r="F4632" s="70" t="s">
        <v>2993</v>
      </c>
      <c r="G4632" s="70" t="s">
        <v>3424</v>
      </c>
      <c r="H4632" s="93"/>
      <c r="I4632" s="85">
        <f t="shared" si="180"/>
        <v>1.7708500000000003</v>
      </c>
      <c r="J4632" s="85">
        <v>58.999726713977353</v>
      </c>
      <c r="K4632" s="131" t="s">
        <v>3177</v>
      </c>
      <c r="L4632" s="60">
        <v>60</v>
      </c>
      <c r="N4632" s="48"/>
    </row>
    <row r="4633" spans="1:14" ht="14" x14ac:dyDescent="0.15">
      <c r="A4633" s="70" t="s">
        <v>3635</v>
      </c>
      <c r="B4633" s="118"/>
      <c r="C4633" s="73" t="s">
        <v>3636</v>
      </c>
      <c r="D4633" s="73" t="s">
        <v>3437</v>
      </c>
      <c r="E4633" s="70" t="s">
        <v>3457</v>
      </c>
      <c r="F4633" s="73" t="s">
        <v>2993</v>
      </c>
      <c r="G4633" s="73" t="s">
        <v>3423</v>
      </c>
      <c r="H4633" s="93"/>
      <c r="I4633" s="85">
        <f t="shared" si="180"/>
        <v>1.7781500000000001</v>
      </c>
      <c r="J4633" s="95">
        <v>59.999827253364401</v>
      </c>
      <c r="K4633" s="131" t="s">
        <v>3177</v>
      </c>
      <c r="L4633" s="69">
        <v>66</v>
      </c>
      <c r="M4633" s="49" t="s">
        <v>6728</v>
      </c>
    </row>
    <row r="4634" spans="1:14" ht="14" x14ac:dyDescent="0.15">
      <c r="A4634" s="70" t="s">
        <v>3635</v>
      </c>
      <c r="B4634" s="118"/>
      <c r="C4634" s="73" t="s">
        <v>3636</v>
      </c>
      <c r="D4634" s="73" t="s">
        <v>3437</v>
      </c>
      <c r="E4634" s="70" t="s">
        <v>3457</v>
      </c>
      <c r="F4634" s="73" t="s">
        <v>2993</v>
      </c>
      <c r="G4634" s="73" t="s">
        <v>3422</v>
      </c>
      <c r="H4634" s="93"/>
      <c r="I4634" s="85">
        <f t="shared" si="180"/>
        <v>1.8208599999999999</v>
      </c>
      <c r="J4634" s="95">
        <v>66.200306472694223</v>
      </c>
      <c r="K4634" s="131" t="s">
        <v>3177</v>
      </c>
      <c r="L4634" s="69">
        <v>60</v>
      </c>
    </row>
    <row r="4635" spans="1:14" ht="14" x14ac:dyDescent="0.15">
      <c r="A4635" s="70" t="s">
        <v>3635</v>
      </c>
      <c r="B4635" s="118"/>
      <c r="C4635" s="73" t="s">
        <v>3636</v>
      </c>
      <c r="D4635" s="73" t="s">
        <v>3437</v>
      </c>
      <c r="E4635" s="70" t="s">
        <v>3457</v>
      </c>
      <c r="F4635" s="73" t="s">
        <v>2993</v>
      </c>
      <c r="G4635" s="73" t="s">
        <v>6343</v>
      </c>
      <c r="H4635" s="93"/>
      <c r="I4635" s="85">
        <f t="shared" si="180"/>
        <v>1.8512583487190752</v>
      </c>
      <c r="J4635" s="95">
        <v>71</v>
      </c>
      <c r="K4635" s="131" t="s">
        <v>3177</v>
      </c>
      <c r="L4635" s="69">
        <v>66</v>
      </c>
      <c r="M4635" s="49" t="s">
        <v>6392</v>
      </c>
    </row>
    <row r="4636" spans="1:14" ht="14" x14ac:dyDescent="0.15">
      <c r="A4636" s="70" t="s">
        <v>3635</v>
      </c>
      <c r="B4636" s="118"/>
      <c r="C4636" s="70" t="s">
        <v>3636</v>
      </c>
      <c r="D4636" s="70" t="s">
        <v>3437</v>
      </c>
      <c r="E4636" s="70" t="s">
        <v>3457</v>
      </c>
      <c r="F4636" s="70" t="s">
        <v>6954</v>
      </c>
      <c r="G4636" s="70" t="s">
        <v>3406</v>
      </c>
      <c r="H4636" s="93"/>
      <c r="I4636" s="85">
        <f t="shared" si="180"/>
        <v>1.4014</v>
      </c>
      <c r="J4636" s="85">
        <v>25.199968621092381</v>
      </c>
      <c r="K4636" s="131" t="s">
        <v>3177</v>
      </c>
      <c r="L4636" s="60">
        <v>60</v>
      </c>
    </row>
    <row r="4637" spans="1:14" ht="14" x14ac:dyDescent="0.15">
      <c r="A4637" s="70" t="s">
        <v>3635</v>
      </c>
      <c r="B4637" s="117" t="s">
        <v>4882</v>
      </c>
      <c r="C4637" s="70" t="s">
        <v>3636</v>
      </c>
      <c r="D4637" s="70" t="s">
        <v>3437</v>
      </c>
      <c r="E4637" s="73" t="s">
        <v>3457</v>
      </c>
      <c r="F4637" s="70" t="s">
        <v>6954</v>
      </c>
      <c r="G4637" s="70" t="s">
        <v>5499</v>
      </c>
      <c r="H4637" s="93"/>
      <c r="I4637" s="85">
        <f t="shared" si="180"/>
        <v>1.5118833609788744</v>
      </c>
      <c r="J4637" s="85">
        <f>AVERAGE(25,40)</f>
        <v>32.5</v>
      </c>
      <c r="K4637" s="131" t="s">
        <v>3177</v>
      </c>
      <c r="L4637" s="60" t="s">
        <v>255</v>
      </c>
      <c r="M4637" s="33"/>
    </row>
    <row r="4638" spans="1:14" ht="14" x14ac:dyDescent="0.15">
      <c r="A4638" s="70" t="s">
        <v>3635</v>
      </c>
      <c r="B4638" s="118"/>
      <c r="C4638" s="70" t="s">
        <v>3636</v>
      </c>
      <c r="D4638" s="70" t="s">
        <v>3437</v>
      </c>
      <c r="E4638" s="70" t="s">
        <v>3457</v>
      </c>
      <c r="F4638" s="70" t="s">
        <v>4706</v>
      </c>
      <c r="G4638" s="70" t="s">
        <v>2098</v>
      </c>
      <c r="H4638" s="93"/>
      <c r="I4638" s="85">
        <f t="shared" si="180"/>
        <v>1.48855</v>
      </c>
      <c r="J4638" s="85">
        <v>30.799949186102069</v>
      </c>
      <c r="K4638" s="131" t="s">
        <v>6391</v>
      </c>
      <c r="L4638" s="60">
        <v>60</v>
      </c>
      <c r="M4638" s="49" t="s">
        <v>6728</v>
      </c>
    </row>
    <row r="4639" spans="1:14" ht="14" x14ac:dyDescent="0.15">
      <c r="A4639" s="70" t="s">
        <v>3635</v>
      </c>
      <c r="B4639" s="117" t="s">
        <v>6873</v>
      </c>
      <c r="C4639" s="70" t="s">
        <v>3636</v>
      </c>
      <c r="D4639" s="70" t="s">
        <v>3437</v>
      </c>
      <c r="E4639" s="70" t="s">
        <v>3457</v>
      </c>
      <c r="F4639" s="70" t="s">
        <v>4707</v>
      </c>
      <c r="G4639" s="70" t="s">
        <v>5294</v>
      </c>
      <c r="H4639" s="93"/>
      <c r="I4639" s="85">
        <v>-999</v>
      </c>
      <c r="J4639" s="85">
        <v>-999</v>
      </c>
      <c r="K4639" s="131" t="s">
        <v>3177</v>
      </c>
      <c r="L4639" s="60">
        <v>-999</v>
      </c>
      <c r="M4639" s="33" t="s">
        <v>6392</v>
      </c>
    </row>
    <row r="4640" spans="1:14" ht="14" x14ac:dyDescent="0.15">
      <c r="A4640" s="70" t="s">
        <v>3635</v>
      </c>
      <c r="B4640" s="117" t="s">
        <v>2557</v>
      </c>
      <c r="C4640" s="70" t="s">
        <v>3636</v>
      </c>
      <c r="D4640" s="70" t="s">
        <v>3437</v>
      </c>
      <c r="E4640" s="70" t="s">
        <v>3457</v>
      </c>
      <c r="F4640" s="70" t="s">
        <v>4707</v>
      </c>
      <c r="G4640" s="70" t="s">
        <v>7131</v>
      </c>
      <c r="H4640" s="93"/>
      <c r="I4640" s="85">
        <v>-999</v>
      </c>
      <c r="J4640" s="85">
        <v>-999</v>
      </c>
      <c r="K4640" s="131" t="s">
        <v>3177</v>
      </c>
      <c r="L4640" s="60">
        <v>-999</v>
      </c>
      <c r="M4640" s="33" t="s">
        <v>6728</v>
      </c>
    </row>
    <row r="4641" spans="1:16" ht="14" x14ac:dyDescent="0.15">
      <c r="A4641" s="70" t="s">
        <v>3635</v>
      </c>
      <c r="B4641" s="117" t="s">
        <v>6941</v>
      </c>
      <c r="C4641" s="70" t="s">
        <v>3636</v>
      </c>
      <c r="D4641" s="70" t="s">
        <v>3437</v>
      </c>
      <c r="E4641" s="70" t="s">
        <v>3457</v>
      </c>
      <c r="F4641" s="70" t="s">
        <v>4707</v>
      </c>
      <c r="G4641" s="70" t="s">
        <v>4624</v>
      </c>
      <c r="H4641" s="93"/>
      <c r="I4641" s="85">
        <v>-999</v>
      </c>
      <c r="J4641" s="85">
        <v>-999</v>
      </c>
      <c r="K4641" s="131" t="s">
        <v>3177</v>
      </c>
      <c r="L4641" s="60">
        <v>-999</v>
      </c>
      <c r="M4641" s="33" t="s">
        <v>6392</v>
      </c>
    </row>
    <row r="4642" spans="1:16" ht="14" x14ac:dyDescent="0.15">
      <c r="A4642" s="70" t="s">
        <v>3635</v>
      </c>
      <c r="B4642" s="118"/>
      <c r="C4642" s="70" t="s">
        <v>3636</v>
      </c>
      <c r="D4642" s="70" t="s">
        <v>3437</v>
      </c>
      <c r="E4642" s="70" t="s">
        <v>3457</v>
      </c>
      <c r="F4642" s="70" t="s">
        <v>4707</v>
      </c>
      <c r="G4642" s="70" t="s">
        <v>4709</v>
      </c>
      <c r="H4642" s="93"/>
      <c r="I4642" s="85">
        <f t="shared" ref="I4642:I4656" si="181">LOG(J4642)</f>
        <v>0.91943000000000008</v>
      </c>
      <c r="J4642" s="85">
        <v>8.3067281927162853</v>
      </c>
      <c r="K4642" s="131" t="s">
        <v>3177</v>
      </c>
      <c r="L4642" s="60">
        <v>60</v>
      </c>
    </row>
    <row r="4643" spans="1:16" ht="14" x14ac:dyDescent="0.15">
      <c r="A4643" s="70" t="s">
        <v>3635</v>
      </c>
      <c r="B4643" s="118"/>
      <c r="C4643" s="70" t="s">
        <v>3636</v>
      </c>
      <c r="D4643" s="70" t="s">
        <v>3437</v>
      </c>
      <c r="E4643" s="70" t="s">
        <v>3457</v>
      </c>
      <c r="F4643" s="70" t="s">
        <v>4707</v>
      </c>
      <c r="G4643" s="70" t="s">
        <v>1913</v>
      </c>
      <c r="H4643" s="93"/>
      <c r="I4643" s="85">
        <f t="shared" si="181"/>
        <v>0.97197</v>
      </c>
      <c r="J4643" s="85">
        <v>9.3749724467368782</v>
      </c>
      <c r="K4643" s="131" t="s">
        <v>3177</v>
      </c>
      <c r="L4643" s="60">
        <v>60</v>
      </c>
    </row>
    <row r="4644" spans="1:16" ht="14" x14ac:dyDescent="0.15">
      <c r="A4644" s="70" t="s">
        <v>3635</v>
      </c>
      <c r="B4644" s="118"/>
      <c r="C4644" s="70" t="s">
        <v>3636</v>
      </c>
      <c r="D4644" s="70" t="s">
        <v>3437</v>
      </c>
      <c r="E4644" s="70" t="s">
        <v>3457</v>
      </c>
      <c r="F4644" s="70" t="s">
        <v>4707</v>
      </c>
      <c r="G4644" s="70" t="s">
        <v>3804</v>
      </c>
      <c r="H4644" s="93"/>
      <c r="I4644" s="85">
        <f t="shared" si="181"/>
        <v>1.0374300000000001</v>
      </c>
      <c r="J4644" s="85">
        <v>10.90008789566228</v>
      </c>
      <c r="K4644" s="131" t="s">
        <v>3177</v>
      </c>
      <c r="L4644" s="60">
        <v>60</v>
      </c>
    </row>
    <row r="4645" spans="1:16" ht="14" x14ac:dyDescent="0.15">
      <c r="A4645" s="73" t="s">
        <v>3635</v>
      </c>
      <c r="B4645" s="118"/>
      <c r="C4645" s="70" t="s">
        <v>3636</v>
      </c>
      <c r="D4645" s="70" t="s">
        <v>3437</v>
      </c>
      <c r="E4645" s="70" t="s">
        <v>3457</v>
      </c>
      <c r="F4645" s="70" t="s">
        <v>4707</v>
      </c>
      <c r="G4645" s="70" t="s">
        <v>1909</v>
      </c>
      <c r="H4645" s="93"/>
      <c r="I4645" s="85">
        <f t="shared" si="181"/>
        <v>1.0433600000000003</v>
      </c>
      <c r="J4645" s="85">
        <v>11.049942039172706</v>
      </c>
      <c r="K4645" s="131" t="s">
        <v>6663</v>
      </c>
      <c r="L4645" s="60">
        <v>60</v>
      </c>
      <c r="M4645" s="49" t="s">
        <v>6728</v>
      </c>
    </row>
    <row r="4646" spans="1:16" ht="14" x14ac:dyDescent="0.15">
      <c r="A4646" s="70" t="s">
        <v>3635</v>
      </c>
      <c r="B4646" s="118"/>
      <c r="C4646" s="70" t="s">
        <v>3636</v>
      </c>
      <c r="D4646" s="70" t="s">
        <v>3437</v>
      </c>
      <c r="E4646" s="70" t="s">
        <v>3457</v>
      </c>
      <c r="F4646" s="70" t="s">
        <v>4707</v>
      </c>
      <c r="G4646" s="70" t="s">
        <v>3188</v>
      </c>
      <c r="H4646" s="93"/>
      <c r="I4646" s="85">
        <f t="shared" si="181"/>
        <v>1.0569</v>
      </c>
      <c r="J4646" s="85">
        <v>11.39987265569977</v>
      </c>
      <c r="K4646" s="131" t="s">
        <v>3177</v>
      </c>
      <c r="L4646" s="60">
        <v>60</v>
      </c>
    </row>
    <row r="4647" spans="1:16" ht="14" x14ac:dyDescent="0.15">
      <c r="A4647" s="73" t="s">
        <v>3635</v>
      </c>
      <c r="B4647" s="118"/>
      <c r="C4647" s="70" t="s">
        <v>3636</v>
      </c>
      <c r="D4647" s="70" t="s">
        <v>3437</v>
      </c>
      <c r="E4647" s="70" t="s">
        <v>3457</v>
      </c>
      <c r="F4647" s="70" t="s">
        <v>4707</v>
      </c>
      <c r="G4647" s="70" t="s">
        <v>3605</v>
      </c>
      <c r="H4647" s="93"/>
      <c r="I4647" s="85">
        <f t="shared" si="181"/>
        <v>1.0890200000000001</v>
      </c>
      <c r="J4647" s="85">
        <v>12.274957581255038</v>
      </c>
      <c r="K4647" s="131" t="s">
        <v>3177</v>
      </c>
      <c r="L4647" s="60">
        <v>60</v>
      </c>
    </row>
    <row r="4648" spans="1:16" ht="14" x14ac:dyDescent="0.15">
      <c r="A4648" s="70" t="s">
        <v>3635</v>
      </c>
      <c r="B4648" s="117" t="s">
        <v>6873</v>
      </c>
      <c r="C4648" s="70" t="s">
        <v>3636</v>
      </c>
      <c r="D4648" s="70" t="s">
        <v>3437</v>
      </c>
      <c r="E4648" s="70" t="s">
        <v>3457</v>
      </c>
      <c r="F4648" s="70" t="s">
        <v>4707</v>
      </c>
      <c r="G4648" s="70" t="s">
        <v>5454</v>
      </c>
      <c r="H4648" s="93"/>
      <c r="I4648" s="85">
        <f t="shared" si="181"/>
        <v>1.110589710299249</v>
      </c>
      <c r="J4648" s="85">
        <v>12.9</v>
      </c>
      <c r="K4648" s="131" t="s">
        <v>3177</v>
      </c>
      <c r="L4648" s="60">
        <v>76</v>
      </c>
    </row>
    <row r="4649" spans="1:16" ht="14" x14ac:dyDescent="0.15">
      <c r="A4649" s="70" t="s">
        <v>3635</v>
      </c>
      <c r="B4649" s="118"/>
      <c r="C4649" s="70" t="s">
        <v>3636</v>
      </c>
      <c r="D4649" s="70" t="s">
        <v>3437</v>
      </c>
      <c r="E4649" s="70" t="s">
        <v>3457</v>
      </c>
      <c r="F4649" s="70" t="s">
        <v>4707</v>
      </c>
      <c r="G4649" s="70" t="s">
        <v>3465</v>
      </c>
      <c r="H4649" s="93"/>
      <c r="I4649" s="85">
        <f t="shared" si="181"/>
        <v>1.2787500000000001</v>
      </c>
      <c r="J4649" s="85">
        <v>18.999842462147331</v>
      </c>
      <c r="K4649" s="131" t="s">
        <v>3177</v>
      </c>
      <c r="L4649" s="69">
        <v>66</v>
      </c>
      <c r="P4649" s="51"/>
    </row>
    <row r="4650" spans="1:16" ht="14" x14ac:dyDescent="0.15">
      <c r="A4650" s="70" t="s">
        <v>3635</v>
      </c>
      <c r="B4650" s="118"/>
      <c r="C4650" s="70" t="s">
        <v>3636</v>
      </c>
      <c r="D4650" s="70" t="s">
        <v>3437</v>
      </c>
      <c r="E4650" s="70" t="s">
        <v>3457</v>
      </c>
      <c r="F4650" s="70" t="s">
        <v>4707</v>
      </c>
      <c r="G4650" s="70" t="s">
        <v>3833</v>
      </c>
      <c r="H4650" s="93"/>
      <c r="I4650" s="85">
        <f t="shared" si="181"/>
        <v>1.2787500000000001</v>
      </c>
      <c r="J4650" s="85">
        <v>18.999842462147331</v>
      </c>
      <c r="K4650" s="131" t="s">
        <v>3177</v>
      </c>
      <c r="L4650" s="69">
        <v>66</v>
      </c>
      <c r="P4650" s="51"/>
    </row>
    <row r="4651" spans="1:16" ht="14" x14ac:dyDescent="0.15">
      <c r="A4651" s="73" t="s">
        <v>3635</v>
      </c>
      <c r="B4651" s="118"/>
      <c r="C4651" s="70" t="s">
        <v>3636</v>
      </c>
      <c r="D4651" s="70" t="s">
        <v>3437</v>
      </c>
      <c r="E4651" s="70" t="s">
        <v>3457</v>
      </c>
      <c r="F4651" s="70" t="s">
        <v>4707</v>
      </c>
      <c r="G4651" s="70" t="s">
        <v>4567</v>
      </c>
      <c r="H4651" s="93"/>
      <c r="I4651" s="85">
        <f t="shared" si="181"/>
        <v>1.2787500000000001</v>
      </c>
      <c r="J4651" s="85">
        <v>18.999842462147331</v>
      </c>
      <c r="K4651" s="131" t="s">
        <v>3177</v>
      </c>
      <c r="L4651" s="69">
        <v>66</v>
      </c>
      <c r="P4651" s="51"/>
    </row>
    <row r="4652" spans="1:16" ht="14" x14ac:dyDescent="0.15">
      <c r="A4652" s="70" t="s">
        <v>3635</v>
      </c>
      <c r="B4652" s="118"/>
      <c r="C4652" s="70" t="s">
        <v>3636</v>
      </c>
      <c r="D4652" s="70" t="s">
        <v>3437</v>
      </c>
      <c r="E4652" s="70" t="s">
        <v>3457</v>
      </c>
      <c r="F4652" s="70" t="s">
        <v>4707</v>
      </c>
      <c r="G4652" s="70" t="s">
        <v>3254</v>
      </c>
      <c r="H4652" s="93"/>
      <c r="I4652" s="85">
        <f t="shared" si="181"/>
        <v>1.3010300000000001</v>
      </c>
      <c r="J4652" s="85">
        <v>20.000000199681054</v>
      </c>
      <c r="K4652" s="131" t="s">
        <v>3177</v>
      </c>
      <c r="L4652" s="69">
        <v>66</v>
      </c>
      <c r="P4652" s="51"/>
    </row>
    <row r="4653" spans="1:16" ht="14" x14ac:dyDescent="0.15">
      <c r="A4653" s="70" t="s">
        <v>3635</v>
      </c>
      <c r="B4653" s="118"/>
      <c r="C4653" s="70" t="s">
        <v>3636</v>
      </c>
      <c r="D4653" s="70" t="s">
        <v>3437</v>
      </c>
      <c r="E4653" s="70" t="s">
        <v>3457</v>
      </c>
      <c r="F4653" s="70" t="s">
        <v>4707</v>
      </c>
      <c r="G4653" s="70" t="s">
        <v>3595</v>
      </c>
      <c r="H4653" s="93"/>
      <c r="I4653" s="85">
        <f t="shared" si="181"/>
        <v>1.3010300000000001</v>
      </c>
      <c r="J4653" s="85">
        <v>20.000000199681054</v>
      </c>
      <c r="K4653" s="131" t="s">
        <v>3177</v>
      </c>
      <c r="L4653" s="69">
        <v>66</v>
      </c>
      <c r="M4653" s="49" t="s">
        <v>6392</v>
      </c>
      <c r="P4653" s="51"/>
    </row>
    <row r="4654" spans="1:16" ht="14" x14ac:dyDescent="0.15">
      <c r="A4654" s="70" t="s">
        <v>3635</v>
      </c>
      <c r="B4654" s="118"/>
      <c r="C4654" s="70" t="s">
        <v>3636</v>
      </c>
      <c r="D4654" s="70" t="s">
        <v>3437</v>
      </c>
      <c r="E4654" s="70" t="s">
        <v>3457</v>
      </c>
      <c r="F4654" s="70" t="s">
        <v>4707</v>
      </c>
      <c r="G4654" s="70" t="s">
        <v>1908</v>
      </c>
      <c r="H4654" s="93"/>
      <c r="I4654" s="85">
        <f t="shared" si="181"/>
        <v>1.3010300000000001</v>
      </c>
      <c r="J4654" s="85">
        <v>20.000000199681054</v>
      </c>
      <c r="K4654" s="131" t="s">
        <v>3177</v>
      </c>
      <c r="L4654" s="69">
        <v>66</v>
      </c>
      <c r="M4654" s="49" t="s">
        <v>6392</v>
      </c>
      <c r="P4654" s="51"/>
    </row>
    <row r="4655" spans="1:16" ht="16" x14ac:dyDescent="0.2">
      <c r="A4655" s="70" t="s">
        <v>3635</v>
      </c>
      <c r="B4655" s="118"/>
      <c r="C4655" s="70" t="s">
        <v>3636</v>
      </c>
      <c r="D4655" s="70" t="s">
        <v>3437</v>
      </c>
      <c r="E4655" s="70" t="s">
        <v>3457</v>
      </c>
      <c r="F4655" s="70" t="s">
        <v>4707</v>
      </c>
      <c r="G4655" s="70" t="s">
        <v>4314</v>
      </c>
      <c r="H4655" s="93"/>
      <c r="I4655" s="85">
        <f t="shared" si="181"/>
        <v>1.3010300000000001</v>
      </c>
      <c r="J4655" s="85">
        <v>20.000000199681054</v>
      </c>
      <c r="K4655" s="131" t="s">
        <v>3177</v>
      </c>
      <c r="L4655" s="69">
        <v>66</v>
      </c>
      <c r="N4655" s="48"/>
      <c r="P4655" s="51"/>
    </row>
    <row r="4656" spans="1:16" ht="16" x14ac:dyDescent="0.2">
      <c r="A4656" s="70" t="s">
        <v>3635</v>
      </c>
      <c r="B4656" s="117" t="s">
        <v>4896</v>
      </c>
      <c r="C4656" s="70" t="s">
        <v>3636</v>
      </c>
      <c r="D4656" s="70" t="s">
        <v>3437</v>
      </c>
      <c r="E4656" s="70" t="s">
        <v>3457</v>
      </c>
      <c r="F4656" s="70" t="s">
        <v>4707</v>
      </c>
      <c r="G4656" s="70" t="s">
        <v>4770</v>
      </c>
      <c r="H4656" s="93"/>
      <c r="I4656" s="85">
        <f t="shared" si="181"/>
        <v>1.3579348470004537</v>
      </c>
      <c r="J4656" s="85">
        <v>22.8</v>
      </c>
      <c r="K4656" s="131" t="s">
        <v>3177</v>
      </c>
      <c r="L4656" s="60">
        <v>71</v>
      </c>
      <c r="M4656" s="47"/>
      <c r="P4656" s="51"/>
    </row>
    <row r="4657" spans="1:26" ht="14" x14ac:dyDescent="0.15">
      <c r="A4657" s="70" t="s">
        <v>3635</v>
      </c>
      <c r="B4657" s="117" t="s">
        <v>4896</v>
      </c>
      <c r="C4657" s="70" t="s">
        <v>3636</v>
      </c>
      <c r="D4657" s="70" t="s">
        <v>3437</v>
      </c>
      <c r="E4657" s="70" t="s">
        <v>3457</v>
      </c>
      <c r="F4657" s="70" t="s">
        <v>1910</v>
      </c>
      <c r="G4657" s="70" t="s">
        <v>6487</v>
      </c>
      <c r="H4657" s="93"/>
      <c r="I4657" s="85">
        <v>-999</v>
      </c>
      <c r="J4657" s="85">
        <v>-999</v>
      </c>
      <c r="K4657" s="131" t="s">
        <v>3177</v>
      </c>
      <c r="L4657" s="60">
        <v>-999</v>
      </c>
      <c r="M4657" s="33"/>
    </row>
    <row r="4658" spans="1:26" ht="16" x14ac:dyDescent="0.2">
      <c r="A4658" s="70" t="s">
        <v>3635</v>
      </c>
      <c r="B4658" s="118"/>
      <c r="C4658" s="70" t="s">
        <v>3636</v>
      </c>
      <c r="D4658" s="70" t="s">
        <v>3437</v>
      </c>
      <c r="E4658" s="70" t="s">
        <v>3457</v>
      </c>
      <c r="F4658" s="70" t="s">
        <v>1910</v>
      </c>
      <c r="G4658" s="70" t="s">
        <v>3833</v>
      </c>
      <c r="H4658" s="93"/>
      <c r="I4658" s="85">
        <f>LOG(J4658)</f>
        <v>1.60206</v>
      </c>
      <c r="J4658" s="85">
        <v>40.000000798724201</v>
      </c>
      <c r="K4658" s="131" t="s">
        <v>3177</v>
      </c>
      <c r="L4658" s="69">
        <v>66</v>
      </c>
      <c r="M4658" s="49" t="s">
        <v>6392</v>
      </c>
      <c r="N4658" s="48"/>
    </row>
    <row r="4659" spans="1:26" ht="14" x14ac:dyDescent="0.15">
      <c r="A4659" s="70" t="s">
        <v>3635</v>
      </c>
      <c r="B4659" s="118"/>
      <c r="C4659" s="70" t="s">
        <v>3636</v>
      </c>
      <c r="D4659" s="70" t="s">
        <v>3437</v>
      </c>
      <c r="E4659" s="70" t="s">
        <v>3457</v>
      </c>
      <c r="F4659" s="70" t="s">
        <v>1910</v>
      </c>
      <c r="G4659" s="70" t="s">
        <v>4669</v>
      </c>
      <c r="H4659" s="93"/>
      <c r="I4659" s="85">
        <f>LOG(J4659)</f>
        <v>1.60206</v>
      </c>
      <c r="J4659" s="85">
        <v>40.000000798724201</v>
      </c>
      <c r="K4659" s="131" t="s">
        <v>3177</v>
      </c>
      <c r="L4659" s="69">
        <v>66</v>
      </c>
    </row>
    <row r="4660" spans="1:26" ht="14" x14ac:dyDescent="0.15">
      <c r="A4660" s="70" t="s">
        <v>3635</v>
      </c>
      <c r="B4660" s="117" t="s">
        <v>2470</v>
      </c>
      <c r="C4660" s="70" t="s">
        <v>3636</v>
      </c>
      <c r="D4660" s="70" t="s">
        <v>3437</v>
      </c>
      <c r="E4660" s="70" t="s">
        <v>3457</v>
      </c>
      <c r="F4660" s="70" t="s">
        <v>4051</v>
      </c>
      <c r="G4660" s="70" t="s">
        <v>4608</v>
      </c>
      <c r="H4660" s="93"/>
      <c r="I4660" s="85">
        <v>-999</v>
      </c>
      <c r="J4660" s="85">
        <v>-999</v>
      </c>
      <c r="K4660" s="131" t="s">
        <v>3177</v>
      </c>
      <c r="L4660" s="60">
        <v>-999</v>
      </c>
      <c r="M4660" s="33" t="s">
        <v>6728</v>
      </c>
    </row>
    <row r="4661" spans="1:26" ht="14" x14ac:dyDescent="0.15">
      <c r="A4661" s="73" t="s">
        <v>3635</v>
      </c>
      <c r="B4661" s="118"/>
      <c r="C4661" s="70" t="s">
        <v>3636</v>
      </c>
      <c r="D4661" s="70" t="s">
        <v>3437</v>
      </c>
      <c r="E4661" s="70" t="s">
        <v>3457</v>
      </c>
      <c r="F4661" s="70" t="s">
        <v>4563</v>
      </c>
      <c r="G4661" s="70" t="s">
        <v>4564</v>
      </c>
      <c r="H4661" s="93"/>
      <c r="I4661" s="85">
        <f t="shared" ref="I4661:I4673" si="182">LOG(J4661)</f>
        <v>1.05115</v>
      </c>
      <c r="J4661" s="85">
        <v>11.249934658505206</v>
      </c>
      <c r="K4661" s="131" t="s">
        <v>3177</v>
      </c>
      <c r="L4661" s="60">
        <v>60</v>
      </c>
    </row>
    <row r="4662" spans="1:26" ht="14" x14ac:dyDescent="0.15">
      <c r="A4662" s="70" t="s">
        <v>3635</v>
      </c>
      <c r="B4662" s="118"/>
      <c r="C4662" s="70" t="s">
        <v>3636</v>
      </c>
      <c r="D4662" s="70" t="s">
        <v>3437</v>
      </c>
      <c r="E4662" s="70" t="s">
        <v>3457</v>
      </c>
      <c r="F4662" s="70" t="s">
        <v>4563</v>
      </c>
      <c r="G4662" s="70" t="s">
        <v>5692</v>
      </c>
      <c r="H4662" s="93"/>
      <c r="I4662" s="85">
        <f t="shared" si="182"/>
        <v>1.1760912590556813</v>
      </c>
      <c r="J4662" s="85">
        <v>15</v>
      </c>
      <c r="K4662" s="131" t="s">
        <v>6485</v>
      </c>
      <c r="L4662" s="60">
        <v>68</v>
      </c>
      <c r="P4662" s="51"/>
    </row>
    <row r="4663" spans="1:26" ht="14" x14ac:dyDescent="0.15">
      <c r="A4663" s="70" t="s">
        <v>3635</v>
      </c>
      <c r="B4663" s="118"/>
      <c r="C4663" s="70" t="s">
        <v>3636</v>
      </c>
      <c r="D4663" s="70" t="s">
        <v>3437</v>
      </c>
      <c r="E4663" s="70" t="s">
        <v>3457</v>
      </c>
      <c r="F4663" s="70" t="s">
        <v>4565</v>
      </c>
      <c r="G4663" s="70" t="s">
        <v>3992</v>
      </c>
      <c r="H4663" s="93"/>
      <c r="I4663" s="85">
        <f t="shared" si="182"/>
        <v>1.9655900000000002</v>
      </c>
      <c r="J4663" s="85">
        <v>92.382561542213608</v>
      </c>
      <c r="K4663" s="131" t="s">
        <v>3177</v>
      </c>
      <c r="L4663" s="60">
        <v>60</v>
      </c>
    </row>
    <row r="4664" spans="1:26" ht="14" x14ac:dyDescent="0.15">
      <c r="A4664" s="70" t="s">
        <v>3635</v>
      </c>
      <c r="B4664" s="118"/>
      <c r="C4664" s="70" t="s">
        <v>3636</v>
      </c>
      <c r="D4664" s="70" t="s">
        <v>3437</v>
      </c>
      <c r="E4664" s="70" t="s">
        <v>3457</v>
      </c>
      <c r="F4664" s="70" t="s">
        <v>4565</v>
      </c>
      <c r="G4664" s="70" t="s">
        <v>6979</v>
      </c>
      <c r="H4664" s="93"/>
      <c r="I4664" s="85">
        <f t="shared" si="182"/>
        <v>2.0791800000000005</v>
      </c>
      <c r="J4664" s="85">
        <v>119.99965570481169</v>
      </c>
      <c r="K4664" s="131" t="s">
        <v>3177</v>
      </c>
      <c r="L4664" s="69">
        <v>66</v>
      </c>
    </row>
    <row r="4665" spans="1:26" ht="14" x14ac:dyDescent="0.15">
      <c r="A4665" s="73" t="s">
        <v>3635</v>
      </c>
      <c r="B4665" s="118"/>
      <c r="C4665" s="70" t="s">
        <v>3636</v>
      </c>
      <c r="D4665" s="70" t="s">
        <v>3437</v>
      </c>
      <c r="E4665" s="70" t="s">
        <v>3457</v>
      </c>
      <c r="F4665" s="70" t="s">
        <v>4565</v>
      </c>
      <c r="G4665" s="70" t="s">
        <v>6980</v>
      </c>
      <c r="H4665" s="93"/>
      <c r="I4665" s="85">
        <f t="shared" si="182"/>
        <v>2.0863600000000004</v>
      </c>
      <c r="J4665" s="85">
        <v>122.00004756607701</v>
      </c>
      <c r="K4665" s="131" t="s">
        <v>3177</v>
      </c>
      <c r="L4665" s="60">
        <v>60</v>
      </c>
    </row>
    <row r="4666" spans="1:26" ht="14" x14ac:dyDescent="0.15">
      <c r="A4666" s="70" t="s">
        <v>3635</v>
      </c>
      <c r="B4666" s="118"/>
      <c r="C4666" s="70" t="s">
        <v>3636</v>
      </c>
      <c r="D4666" s="70" t="s">
        <v>3437</v>
      </c>
      <c r="E4666" s="70" t="s">
        <v>3457</v>
      </c>
      <c r="F4666" s="70" t="s">
        <v>4565</v>
      </c>
      <c r="G4666" s="70" t="s">
        <v>6978</v>
      </c>
      <c r="H4666" s="93"/>
      <c r="I4666" s="85">
        <f t="shared" si="182"/>
        <v>2.1319400000000002</v>
      </c>
      <c r="J4666" s="85">
        <v>135.50021989472347</v>
      </c>
      <c r="K4666" s="131" t="s">
        <v>3177</v>
      </c>
      <c r="L4666" s="60">
        <v>60</v>
      </c>
    </row>
    <row r="4667" spans="1:26" ht="14" x14ac:dyDescent="0.15">
      <c r="A4667" s="70" t="s">
        <v>3635</v>
      </c>
      <c r="B4667" s="118"/>
      <c r="C4667" s="70" t="s">
        <v>3636</v>
      </c>
      <c r="D4667" s="70" t="s">
        <v>3437</v>
      </c>
      <c r="E4667" s="70" t="s">
        <v>3457</v>
      </c>
      <c r="F4667" s="70" t="s">
        <v>4565</v>
      </c>
      <c r="G4667" s="70" t="s">
        <v>3905</v>
      </c>
      <c r="H4667" s="93"/>
      <c r="I4667" s="85">
        <f t="shared" si="182"/>
        <v>2.2528500000000005</v>
      </c>
      <c r="J4667" s="85">
        <v>178.99875074740714</v>
      </c>
      <c r="K4667" s="131" t="s">
        <v>3177</v>
      </c>
      <c r="L4667" s="60">
        <v>60</v>
      </c>
    </row>
    <row r="4668" spans="1:26" ht="14" x14ac:dyDescent="0.15">
      <c r="A4668" s="73" t="s">
        <v>3635</v>
      </c>
      <c r="B4668" s="118"/>
      <c r="C4668" s="70" t="s">
        <v>3636</v>
      </c>
      <c r="D4668" s="70" t="s">
        <v>3437</v>
      </c>
      <c r="E4668" s="70" t="s">
        <v>3457</v>
      </c>
      <c r="F4668" s="70" t="s">
        <v>4565</v>
      </c>
      <c r="G4668" s="70" t="s">
        <v>4489</v>
      </c>
      <c r="H4668" s="93"/>
      <c r="I4668" s="85">
        <f t="shared" si="182"/>
        <v>2.2966700000000002</v>
      </c>
      <c r="J4668" s="85">
        <v>198.00219282889842</v>
      </c>
      <c r="K4668" s="131" t="s">
        <v>3177</v>
      </c>
      <c r="L4668" s="69">
        <v>66</v>
      </c>
      <c r="S4668"/>
      <c r="T4668"/>
      <c r="U4668"/>
      <c r="V4668"/>
      <c r="W4668"/>
      <c r="X4668"/>
      <c r="Y4668"/>
      <c r="Z4668"/>
    </row>
    <row r="4669" spans="1:26" ht="14" x14ac:dyDescent="0.15">
      <c r="A4669" s="73" t="s">
        <v>3635</v>
      </c>
      <c r="B4669" s="118"/>
      <c r="C4669" s="70" t="s">
        <v>3636</v>
      </c>
      <c r="D4669" s="70" t="s">
        <v>3437</v>
      </c>
      <c r="E4669" s="70" t="s">
        <v>3457</v>
      </c>
      <c r="F4669" s="70" t="s">
        <v>4565</v>
      </c>
      <c r="G4669" s="70" t="s">
        <v>1915</v>
      </c>
      <c r="H4669" s="93"/>
      <c r="I4669" s="85">
        <f t="shared" si="182"/>
        <v>2.3304100000000005</v>
      </c>
      <c r="J4669" s="85">
        <v>213.99814067815171</v>
      </c>
      <c r="K4669" s="131" t="s">
        <v>3177</v>
      </c>
      <c r="L4669" s="60">
        <v>60</v>
      </c>
    </row>
    <row r="4670" spans="1:26" ht="14" x14ac:dyDescent="0.15">
      <c r="A4670" s="70" t="s">
        <v>3635</v>
      </c>
      <c r="B4670" s="117" t="s">
        <v>7969</v>
      </c>
      <c r="C4670" s="70" t="s">
        <v>3636</v>
      </c>
      <c r="D4670" s="70" t="s">
        <v>3437</v>
      </c>
      <c r="E4670" s="70" t="s">
        <v>3457</v>
      </c>
      <c r="F4670" s="70" t="s">
        <v>4893</v>
      </c>
      <c r="G4670" s="70" t="s">
        <v>6002</v>
      </c>
      <c r="H4670" s="93"/>
      <c r="I4670" s="85">
        <f t="shared" si="182"/>
        <v>1.6989700043360187</v>
      </c>
      <c r="J4670" s="85">
        <f>1000*0.05</f>
        <v>50</v>
      </c>
      <c r="K4670" s="131" t="s">
        <v>3177</v>
      </c>
      <c r="L4670" s="60" t="s">
        <v>7677</v>
      </c>
      <c r="M4670" s="33"/>
    </row>
    <row r="4671" spans="1:26" ht="28" x14ac:dyDescent="0.15">
      <c r="A4671" s="70" t="s">
        <v>3635</v>
      </c>
      <c r="B4671" s="117" t="s">
        <v>4896</v>
      </c>
      <c r="C4671" s="70" t="s">
        <v>3636</v>
      </c>
      <c r="D4671" s="70" t="s">
        <v>3437</v>
      </c>
      <c r="E4671" s="70" t="s">
        <v>3457</v>
      </c>
      <c r="F4671" s="70" t="s">
        <v>4893</v>
      </c>
      <c r="G4671" s="70" t="s">
        <v>4894</v>
      </c>
      <c r="H4671" s="93"/>
      <c r="I4671" s="85">
        <f t="shared" si="182"/>
        <v>1.8512583487190752</v>
      </c>
      <c r="J4671" s="85">
        <v>71</v>
      </c>
      <c r="K4671" s="131" t="s">
        <v>1874</v>
      </c>
      <c r="L4671" s="60">
        <v>218</v>
      </c>
      <c r="M4671" s="33" t="s">
        <v>6809</v>
      </c>
    </row>
    <row r="4672" spans="1:26" ht="14" x14ac:dyDescent="0.15">
      <c r="A4672" s="70" t="s">
        <v>3635</v>
      </c>
      <c r="B4672" s="118"/>
      <c r="C4672" s="70" t="s">
        <v>3636</v>
      </c>
      <c r="D4672" s="70" t="s">
        <v>3437</v>
      </c>
      <c r="E4672" s="70" t="s">
        <v>3457</v>
      </c>
      <c r="F4672" s="70" t="s">
        <v>7414</v>
      </c>
      <c r="G4672" s="70" t="s">
        <v>4445</v>
      </c>
      <c r="H4672" s="93"/>
      <c r="I4672" s="85">
        <f t="shared" si="182"/>
        <v>1.3283799999999999</v>
      </c>
      <c r="J4672" s="85">
        <v>21.300019449380763</v>
      </c>
      <c r="K4672" s="131" t="s">
        <v>3177</v>
      </c>
      <c r="L4672" s="60">
        <v>60</v>
      </c>
      <c r="P4672" s="51"/>
    </row>
    <row r="4673" spans="1:13" ht="14" x14ac:dyDescent="0.15">
      <c r="A4673" s="70" t="s">
        <v>3635</v>
      </c>
      <c r="B4673" s="118"/>
      <c r="C4673" s="70" t="s">
        <v>3636</v>
      </c>
      <c r="D4673" s="70" t="s">
        <v>3437</v>
      </c>
      <c r="E4673" s="70" t="s">
        <v>3457</v>
      </c>
      <c r="F4673" s="70" t="s">
        <v>7414</v>
      </c>
      <c r="G4673" s="70" t="s">
        <v>4428</v>
      </c>
      <c r="H4673" s="93"/>
      <c r="I4673" s="85">
        <f t="shared" si="182"/>
        <v>1.50413</v>
      </c>
      <c r="J4673" s="85">
        <v>31.924933404727962</v>
      </c>
      <c r="K4673" s="131" t="s">
        <v>3177</v>
      </c>
      <c r="L4673" s="60">
        <v>60</v>
      </c>
    </row>
    <row r="4674" spans="1:13" ht="14" x14ac:dyDescent="0.15">
      <c r="A4674" s="70" t="s">
        <v>3635</v>
      </c>
      <c r="B4674" s="117" t="s">
        <v>2470</v>
      </c>
      <c r="C4674" s="70" t="s">
        <v>3636</v>
      </c>
      <c r="D4674" s="70" t="s">
        <v>3437</v>
      </c>
      <c r="E4674" s="70" t="s">
        <v>3457</v>
      </c>
      <c r="F4674" s="70" t="s">
        <v>4429</v>
      </c>
      <c r="G4674" s="70" t="s">
        <v>1915</v>
      </c>
      <c r="H4674" s="93"/>
      <c r="I4674" s="85">
        <v>-999</v>
      </c>
      <c r="J4674" s="85">
        <v>-999</v>
      </c>
      <c r="K4674" s="131" t="s">
        <v>3177</v>
      </c>
      <c r="L4674" s="60">
        <v>-999</v>
      </c>
      <c r="M4674" s="33" t="s">
        <v>6392</v>
      </c>
    </row>
    <row r="4675" spans="1:13" ht="14" x14ac:dyDescent="0.15">
      <c r="A4675" s="70" t="s">
        <v>3635</v>
      </c>
      <c r="B4675" s="117" t="s">
        <v>2470</v>
      </c>
      <c r="C4675" s="73" t="s">
        <v>3636</v>
      </c>
      <c r="D4675" s="73" t="s">
        <v>3437</v>
      </c>
      <c r="E4675" s="70" t="s">
        <v>3457</v>
      </c>
      <c r="F4675" s="73" t="s">
        <v>4429</v>
      </c>
      <c r="G4675" s="73" t="s">
        <v>4895</v>
      </c>
      <c r="H4675" s="93"/>
      <c r="I4675" s="85">
        <v>-999</v>
      </c>
      <c r="J4675" s="95">
        <v>-999</v>
      </c>
      <c r="K4675" s="131" t="s">
        <v>3177</v>
      </c>
      <c r="L4675" s="60">
        <v>-999</v>
      </c>
      <c r="M4675" s="33" t="s">
        <v>6728</v>
      </c>
    </row>
    <row r="4676" spans="1:13" ht="14" x14ac:dyDescent="0.15">
      <c r="A4676" s="70" t="s">
        <v>3635</v>
      </c>
      <c r="B4676" s="118"/>
      <c r="C4676" s="70" t="s">
        <v>3636</v>
      </c>
      <c r="D4676" s="70" t="s">
        <v>3437</v>
      </c>
      <c r="E4676" s="70" t="s">
        <v>3457</v>
      </c>
      <c r="F4676" s="70" t="s">
        <v>4429</v>
      </c>
      <c r="G4676" s="70" t="s">
        <v>3909</v>
      </c>
      <c r="H4676" s="93"/>
      <c r="I4676" s="85">
        <f t="shared" ref="I4676:I4712" si="183">LOG(J4676)</f>
        <v>2</v>
      </c>
      <c r="J4676" s="85">
        <v>100</v>
      </c>
      <c r="K4676" s="131" t="s">
        <v>3177</v>
      </c>
      <c r="L4676" s="60">
        <v>60</v>
      </c>
    </row>
    <row r="4677" spans="1:13" ht="14" x14ac:dyDescent="0.15">
      <c r="A4677" s="70" t="s">
        <v>3635</v>
      </c>
      <c r="B4677" s="117" t="s">
        <v>4896</v>
      </c>
      <c r="C4677" s="70" t="s">
        <v>3636</v>
      </c>
      <c r="D4677" s="70" t="s">
        <v>3437</v>
      </c>
      <c r="E4677" s="70" t="s">
        <v>3457</v>
      </c>
      <c r="F4677" s="70" t="s">
        <v>4429</v>
      </c>
      <c r="G4677" s="70" t="s">
        <v>4760</v>
      </c>
      <c r="H4677" s="93"/>
      <c r="I4677" s="85">
        <f t="shared" si="183"/>
        <v>2.3802112417116059</v>
      </c>
      <c r="J4677" s="85">
        <f>1000*0.24</f>
        <v>240</v>
      </c>
      <c r="K4677" s="131" t="s">
        <v>3177</v>
      </c>
      <c r="L4677" s="60" t="s">
        <v>7677</v>
      </c>
      <c r="M4677" s="33"/>
    </row>
    <row r="4678" spans="1:13" ht="14" x14ac:dyDescent="0.15">
      <c r="A4678" s="70" t="s">
        <v>3635</v>
      </c>
      <c r="B4678" s="118"/>
      <c r="C4678" s="70" t="s">
        <v>3636</v>
      </c>
      <c r="D4678" s="70" t="s">
        <v>3437</v>
      </c>
      <c r="E4678" s="70" t="s">
        <v>3457</v>
      </c>
      <c r="F4678" s="70" t="s">
        <v>4429</v>
      </c>
      <c r="G4678" s="70" t="s">
        <v>3908</v>
      </c>
      <c r="H4678" s="93"/>
      <c r="I4678" s="85">
        <f t="shared" si="183"/>
        <v>2.4471600000000002</v>
      </c>
      <c r="J4678" s="85">
        <v>280.00126924345341</v>
      </c>
      <c r="K4678" s="131" t="s">
        <v>3177</v>
      </c>
      <c r="L4678" s="69">
        <v>66</v>
      </c>
      <c r="M4678" s="49" t="s">
        <v>6809</v>
      </c>
    </row>
    <row r="4679" spans="1:13" ht="14" x14ac:dyDescent="0.15">
      <c r="A4679" s="73" t="s">
        <v>3635</v>
      </c>
      <c r="B4679" s="118"/>
      <c r="C4679" s="70" t="s">
        <v>3636</v>
      </c>
      <c r="D4679" s="70" t="s">
        <v>3437</v>
      </c>
      <c r="E4679" s="70" t="s">
        <v>3457</v>
      </c>
      <c r="F4679" s="70" t="s">
        <v>4429</v>
      </c>
      <c r="G4679" s="70" t="s">
        <v>3713</v>
      </c>
      <c r="H4679" s="93"/>
      <c r="I4679" s="85">
        <f t="shared" si="183"/>
        <v>2.4471600000000002</v>
      </c>
      <c r="J4679" s="85">
        <v>280.00126924345341</v>
      </c>
      <c r="K4679" s="131" t="s">
        <v>3177</v>
      </c>
      <c r="L4679" s="69">
        <v>66</v>
      </c>
      <c r="M4679" s="49" t="s">
        <v>6809</v>
      </c>
    </row>
    <row r="4680" spans="1:13" ht="14" x14ac:dyDescent="0.15">
      <c r="A4680" s="70" t="s">
        <v>3635</v>
      </c>
      <c r="B4680" s="118"/>
      <c r="C4680" s="70" t="s">
        <v>3636</v>
      </c>
      <c r="D4680" s="70" t="s">
        <v>3437</v>
      </c>
      <c r="E4680" s="70" t="s">
        <v>3457</v>
      </c>
      <c r="F4680" s="70" t="s">
        <v>4594</v>
      </c>
      <c r="G4680" s="70" t="s">
        <v>2981</v>
      </c>
      <c r="H4680" s="93"/>
      <c r="I4680" s="85">
        <f t="shared" si="183"/>
        <v>2.1139400000000004</v>
      </c>
      <c r="J4680" s="85">
        <v>129.99899653754548</v>
      </c>
      <c r="K4680" s="131" t="s">
        <v>3177</v>
      </c>
      <c r="L4680" s="69">
        <v>66</v>
      </c>
      <c r="M4680" s="49" t="s">
        <v>6392</v>
      </c>
    </row>
    <row r="4681" spans="1:13" ht="14" x14ac:dyDescent="0.15">
      <c r="A4681" s="70" t="s">
        <v>3635</v>
      </c>
      <c r="B4681" s="118"/>
      <c r="C4681" s="70" t="s">
        <v>3636</v>
      </c>
      <c r="D4681" s="70" t="s">
        <v>3437</v>
      </c>
      <c r="E4681" s="70" t="s">
        <v>3258</v>
      </c>
      <c r="F4681" s="70" t="s">
        <v>5717</v>
      </c>
      <c r="G4681" s="70" t="s">
        <v>6545</v>
      </c>
      <c r="H4681" s="93"/>
      <c r="I4681" s="85">
        <f t="shared" si="183"/>
        <v>2.0156700000000005</v>
      </c>
      <c r="J4681" s="85">
        <v>103.67403461014715</v>
      </c>
      <c r="K4681" s="131" t="s">
        <v>3177</v>
      </c>
      <c r="L4681" s="60">
        <v>60</v>
      </c>
    </row>
    <row r="4682" spans="1:13" ht="14" x14ac:dyDescent="0.15">
      <c r="A4682" s="70" t="s">
        <v>3635</v>
      </c>
      <c r="B4682" s="118"/>
      <c r="C4682" s="70" t="s">
        <v>3636</v>
      </c>
      <c r="D4682" s="70" t="s">
        <v>3437</v>
      </c>
      <c r="E4682" s="70" t="s">
        <v>3258</v>
      </c>
      <c r="F4682" s="70" t="s">
        <v>5717</v>
      </c>
      <c r="G4682" s="70" t="s">
        <v>6274</v>
      </c>
      <c r="H4682" s="93"/>
      <c r="I4682" s="85">
        <f t="shared" si="183"/>
        <v>2.0425800000000005</v>
      </c>
      <c r="J4682" s="85">
        <v>110.30113973450034</v>
      </c>
      <c r="K4682" s="131" t="s">
        <v>3177</v>
      </c>
      <c r="L4682" s="60">
        <v>60</v>
      </c>
    </row>
    <row r="4683" spans="1:13" ht="14" x14ac:dyDescent="0.15">
      <c r="A4683" s="70" t="s">
        <v>3635</v>
      </c>
      <c r="B4683" s="118"/>
      <c r="C4683" s="70" t="s">
        <v>3636</v>
      </c>
      <c r="D4683" s="70" t="s">
        <v>3437</v>
      </c>
      <c r="E4683" s="73" t="s">
        <v>3258</v>
      </c>
      <c r="F4683" s="70" t="s">
        <v>5717</v>
      </c>
      <c r="G4683" s="70" t="s">
        <v>6538</v>
      </c>
      <c r="H4683" s="93"/>
      <c r="I4683" s="85">
        <f t="shared" si="183"/>
        <v>2.0863600000000004</v>
      </c>
      <c r="J4683" s="85">
        <v>122.00004756607701</v>
      </c>
      <c r="K4683" s="131" t="s">
        <v>3177</v>
      </c>
      <c r="L4683" s="60">
        <v>60</v>
      </c>
    </row>
    <row r="4684" spans="1:13" ht="14" x14ac:dyDescent="0.15">
      <c r="A4684" s="70" t="s">
        <v>3635</v>
      </c>
      <c r="B4684" s="118"/>
      <c r="C4684" s="70" t="s">
        <v>3636</v>
      </c>
      <c r="D4684" s="70" t="s">
        <v>3437</v>
      </c>
      <c r="E4684" s="70" t="s">
        <v>3258</v>
      </c>
      <c r="F4684" s="70" t="s">
        <v>5717</v>
      </c>
      <c r="G4684" s="70" t="s">
        <v>2981</v>
      </c>
      <c r="H4684" s="93"/>
      <c r="I4684" s="85">
        <f t="shared" si="183"/>
        <v>2.2052</v>
      </c>
      <c r="J4684" s="85">
        <v>160.39838825084189</v>
      </c>
      <c r="K4684" s="131" t="s">
        <v>6391</v>
      </c>
      <c r="L4684" s="60">
        <v>60</v>
      </c>
      <c r="M4684" s="49" t="s">
        <v>6390</v>
      </c>
    </row>
    <row r="4685" spans="1:13" ht="14" x14ac:dyDescent="0.15">
      <c r="A4685" s="70" t="s">
        <v>3635</v>
      </c>
      <c r="B4685" s="118"/>
      <c r="C4685" s="70" t="s">
        <v>3636</v>
      </c>
      <c r="D4685" s="70" t="s">
        <v>3437</v>
      </c>
      <c r="E4685" s="70" t="s">
        <v>3258</v>
      </c>
      <c r="F4685" s="70" t="s">
        <v>6549</v>
      </c>
      <c r="G4685" s="70" t="s">
        <v>3833</v>
      </c>
      <c r="H4685" s="93"/>
      <c r="I4685" s="85">
        <f t="shared" si="183"/>
        <v>2.9542400000000004</v>
      </c>
      <c r="J4685" s="85">
        <v>899.99479963720182</v>
      </c>
      <c r="K4685" s="131" t="s">
        <v>6391</v>
      </c>
      <c r="L4685" s="69">
        <v>66</v>
      </c>
      <c r="M4685" s="49" t="s">
        <v>6390</v>
      </c>
    </row>
    <row r="4686" spans="1:13" ht="42" x14ac:dyDescent="0.15">
      <c r="A4686" s="70" t="s">
        <v>3635</v>
      </c>
      <c r="B4686" s="118"/>
      <c r="C4686" s="70" t="s">
        <v>3636</v>
      </c>
      <c r="D4686" s="70" t="s">
        <v>3437</v>
      </c>
      <c r="E4686" s="70" t="s">
        <v>3258</v>
      </c>
      <c r="F4686" s="70" t="s">
        <v>6549</v>
      </c>
      <c r="G4686" s="70" t="s">
        <v>2383</v>
      </c>
      <c r="H4686" s="93"/>
      <c r="I4686" s="85">
        <f t="shared" si="183"/>
        <v>2.9542400000000004</v>
      </c>
      <c r="J4686" s="85">
        <v>899.99479963720182</v>
      </c>
      <c r="K4686" s="131" t="s">
        <v>6386</v>
      </c>
      <c r="L4686" s="69">
        <v>66</v>
      </c>
      <c r="M4686" s="49" t="s">
        <v>6392</v>
      </c>
    </row>
    <row r="4687" spans="1:13" ht="14" x14ac:dyDescent="0.15">
      <c r="A4687" s="70" t="s">
        <v>3635</v>
      </c>
      <c r="B4687" s="118"/>
      <c r="C4687" s="70" t="s">
        <v>3636</v>
      </c>
      <c r="D4687" s="70" t="s">
        <v>3437</v>
      </c>
      <c r="E4687" s="70" t="s">
        <v>3258</v>
      </c>
      <c r="F4687" s="70" t="s">
        <v>6549</v>
      </c>
      <c r="G4687" s="70" t="s">
        <v>6545</v>
      </c>
      <c r="H4687" s="93"/>
      <c r="I4687" s="85">
        <f t="shared" si="183"/>
        <v>2.9583200000000005</v>
      </c>
      <c r="J4687" s="85">
        <v>908.48968355949683</v>
      </c>
      <c r="K4687" s="131" t="s">
        <v>3177</v>
      </c>
      <c r="L4687" s="60">
        <v>60</v>
      </c>
    </row>
    <row r="4688" spans="1:13" ht="14" x14ac:dyDescent="0.15">
      <c r="A4688" s="70" t="s">
        <v>3635</v>
      </c>
      <c r="B4688" s="118"/>
      <c r="C4688" s="70" t="s">
        <v>3636</v>
      </c>
      <c r="D4688" s="70" t="s">
        <v>3437</v>
      </c>
      <c r="E4688" s="70" t="s">
        <v>3258</v>
      </c>
      <c r="F4688" s="70" t="s">
        <v>6549</v>
      </c>
      <c r="G4688" s="70" t="s">
        <v>3282</v>
      </c>
      <c r="H4688" s="93"/>
      <c r="I4688" s="85">
        <f t="shared" si="183"/>
        <v>2.9661400000000002</v>
      </c>
      <c r="J4688" s="85">
        <v>924.99630946172647</v>
      </c>
      <c r="K4688" s="131" t="s">
        <v>3177</v>
      </c>
      <c r="L4688" s="60">
        <v>60</v>
      </c>
    </row>
    <row r="4689" spans="1:13" ht="14" x14ac:dyDescent="0.15">
      <c r="A4689" s="70" t="s">
        <v>3635</v>
      </c>
      <c r="B4689" s="118"/>
      <c r="C4689" s="70" t="s">
        <v>3636</v>
      </c>
      <c r="D4689" s="70" t="s">
        <v>3437</v>
      </c>
      <c r="E4689" s="70" t="s">
        <v>3258</v>
      </c>
      <c r="F4689" s="70" t="s">
        <v>6549</v>
      </c>
      <c r="G4689" s="70" t="s">
        <v>3283</v>
      </c>
      <c r="H4689" s="93"/>
      <c r="I4689" s="85">
        <f t="shared" si="183"/>
        <v>3.1348143703204601</v>
      </c>
      <c r="J4689" s="85">
        <v>1364</v>
      </c>
      <c r="K4689" s="131" t="s">
        <v>6384</v>
      </c>
      <c r="L4689" s="60">
        <v>75</v>
      </c>
      <c r="M4689" s="49" t="s">
        <v>6392</v>
      </c>
    </row>
    <row r="4690" spans="1:13" ht="14" x14ac:dyDescent="0.15">
      <c r="A4690" s="70" t="s">
        <v>3635</v>
      </c>
      <c r="B4690" s="118"/>
      <c r="C4690" s="70" t="s">
        <v>3636</v>
      </c>
      <c r="D4690" s="70" t="s">
        <v>3437</v>
      </c>
      <c r="E4690" s="70" t="s">
        <v>3258</v>
      </c>
      <c r="F4690" s="70" t="s">
        <v>3284</v>
      </c>
      <c r="G4690" s="70" t="s">
        <v>4268</v>
      </c>
      <c r="H4690" s="93"/>
      <c r="I4690" s="85">
        <f t="shared" si="183"/>
        <v>1.8052699999999999</v>
      </c>
      <c r="J4690" s="85">
        <v>63.866041668015491</v>
      </c>
      <c r="K4690" s="131" t="s">
        <v>3177</v>
      </c>
      <c r="L4690" s="60">
        <v>60</v>
      </c>
    </row>
    <row r="4691" spans="1:13" ht="14" x14ac:dyDescent="0.15">
      <c r="A4691" s="70" t="s">
        <v>3635</v>
      </c>
      <c r="B4691" s="118"/>
      <c r="C4691" s="70" t="s">
        <v>3636</v>
      </c>
      <c r="D4691" s="70" t="s">
        <v>3437</v>
      </c>
      <c r="E4691" s="70" t="s">
        <v>3258</v>
      </c>
      <c r="F4691" s="70" t="s">
        <v>3284</v>
      </c>
      <c r="G4691" s="70" t="s">
        <v>3285</v>
      </c>
      <c r="H4691" s="93"/>
      <c r="I4691" s="85">
        <f t="shared" si="183"/>
        <v>2.22011</v>
      </c>
      <c r="J4691" s="85">
        <v>166.00073080838632</v>
      </c>
      <c r="K4691" s="131" t="s">
        <v>3177</v>
      </c>
      <c r="L4691" s="60">
        <v>60</v>
      </c>
    </row>
    <row r="4692" spans="1:13" ht="14" x14ac:dyDescent="0.15">
      <c r="A4692" s="70" t="s">
        <v>3635</v>
      </c>
      <c r="B4692" s="118"/>
      <c r="C4692" s="70" t="s">
        <v>3636</v>
      </c>
      <c r="D4692" s="70" t="s">
        <v>3437</v>
      </c>
      <c r="E4692" s="70" t="s">
        <v>3258</v>
      </c>
      <c r="F4692" s="70" t="s">
        <v>6574</v>
      </c>
      <c r="G4692" s="70" t="s">
        <v>3512</v>
      </c>
      <c r="H4692" s="93"/>
      <c r="I4692" s="85">
        <f t="shared" si="183"/>
        <v>3.5250400000000006</v>
      </c>
      <c r="J4692" s="85">
        <v>3349.9629203570894</v>
      </c>
      <c r="K4692" s="131" t="s">
        <v>3177</v>
      </c>
      <c r="L4692" s="69">
        <v>66</v>
      </c>
    </row>
    <row r="4693" spans="1:13" ht="14" x14ac:dyDescent="0.15">
      <c r="A4693" s="70" t="s">
        <v>3635</v>
      </c>
      <c r="B4693" s="117" t="s">
        <v>6041</v>
      </c>
      <c r="C4693" s="70" t="s">
        <v>3636</v>
      </c>
      <c r="D4693" s="70" t="s">
        <v>3437</v>
      </c>
      <c r="E4693" s="70" t="s">
        <v>3258</v>
      </c>
      <c r="F4693" s="70" t="s">
        <v>6574</v>
      </c>
      <c r="G4693" s="70" t="s">
        <v>5599</v>
      </c>
      <c r="H4693" s="93"/>
      <c r="I4693" s="85">
        <f t="shared" si="183"/>
        <v>3.5321171162488039</v>
      </c>
      <c r="J4693" s="85">
        <f>AVERAGE(3630, 3180)</f>
        <v>3405</v>
      </c>
      <c r="K4693" s="131" t="s">
        <v>3177</v>
      </c>
      <c r="L4693" s="60" t="s">
        <v>255</v>
      </c>
      <c r="M4693" s="33"/>
    </row>
    <row r="4694" spans="1:13" ht="14" x14ac:dyDescent="0.15">
      <c r="A4694" s="73" t="s">
        <v>3635</v>
      </c>
      <c r="B4694" s="118"/>
      <c r="C4694" s="70" t="s">
        <v>3636</v>
      </c>
      <c r="D4694" s="70" t="s">
        <v>3437</v>
      </c>
      <c r="E4694" s="70" t="s">
        <v>3258</v>
      </c>
      <c r="F4694" s="70" t="s">
        <v>6574</v>
      </c>
      <c r="G4694" s="70" t="s">
        <v>7212</v>
      </c>
      <c r="H4694" s="93"/>
      <c r="I4694" s="85">
        <f t="shared" si="183"/>
        <v>3.5799800000000004</v>
      </c>
      <c r="J4694" s="85">
        <v>3801.7188835497095</v>
      </c>
      <c r="K4694" s="131" t="s">
        <v>3177</v>
      </c>
      <c r="L4694" s="60">
        <v>60</v>
      </c>
    </row>
    <row r="4695" spans="1:13" ht="14" x14ac:dyDescent="0.15">
      <c r="A4695" s="70" t="s">
        <v>3635</v>
      </c>
      <c r="B4695" s="118"/>
      <c r="C4695" s="70" t="s">
        <v>3636</v>
      </c>
      <c r="D4695" s="70" t="s">
        <v>3437</v>
      </c>
      <c r="E4695" s="70" t="s">
        <v>3258</v>
      </c>
      <c r="F4695" s="70" t="s">
        <v>6574</v>
      </c>
      <c r="G4695" s="70" t="s">
        <v>3513</v>
      </c>
      <c r="H4695" s="93"/>
      <c r="I4695" s="85">
        <f t="shared" si="183"/>
        <v>3.7993400000000004</v>
      </c>
      <c r="J4695" s="85">
        <v>6299.9920294741987</v>
      </c>
      <c r="K4695" s="131" t="s">
        <v>3177</v>
      </c>
      <c r="L4695" s="69">
        <v>66</v>
      </c>
    </row>
    <row r="4696" spans="1:13" ht="56" x14ac:dyDescent="0.15">
      <c r="A4696" s="70" t="s">
        <v>3635</v>
      </c>
      <c r="B4696" s="118"/>
      <c r="C4696" s="70" t="s">
        <v>3636</v>
      </c>
      <c r="D4696" s="70" t="s">
        <v>3437</v>
      </c>
      <c r="E4696" s="70" t="s">
        <v>3258</v>
      </c>
      <c r="F4696" s="70" t="s">
        <v>6574</v>
      </c>
      <c r="G4696" s="70" t="s">
        <v>4139</v>
      </c>
      <c r="H4696" s="93"/>
      <c r="I4696" s="85">
        <f t="shared" si="183"/>
        <v>3.7993400000000004</v>
      </c>
      <c r="J4696" s="85">
        <v>6299.9920294741987</v>
      </c>
      <c r="K4696" s="131" t="s">
        <v>6580</v>
      </c>
      <c r="L4696" s="69">
        <v>66</v>
      </c>
      <c r="M4696" s="49" t="s">
        <v>6390</v>
      </c>
    </row>
    <row r="4697" spans="1:13" ht="14" x14ac:dyDescent="0.15">
      <c r="A4697" s="70" t="s">
        <v>3635</v>
      </c>
      <c r="B4697" s="118"/>
      <c r="C4697" s="70" t="s">
        <v>3636</v>
      </c>
      <c r="D4697" s="70" t="s">
        <v>3437</v>
      </c>
      <c r="E4697" s="70" t="s">
        <v>3258</v>
      </c>
      <c r="F4697" s="70" t="s">
        <v>6574</v>
      </c>
      <c r="G4697" s="70" t="s">
        <v>3286</v>
      </c>
      <c r="H4697" s="93"/>
      <c r="I4697" s="85">
        <f t="shared" si="183"/>
        <v>3.8591400000000009</v>
      </c>
      <c r="J4697" s="85">
        <v>7230.0283461687695</v>
      </c>
      <c r="K4697" s="131" t="s">
        <v>3177</v>
      </c>
      <c r="L4697" s="60">
        <v>60</v>
      </c>
    </row>
    <row r="4698" spans="1:13" ht="14" x14ac:dyDescent="0.15">
      <c r="A4698" s="73" t="s">
        <v>3635</v>
      </c>
      <c r="B4698" s="118"/>
      <c r="C4698" s="70" t="s">
        <v>3636</v>
      </c>
      <c r="D4698" s="70" t="s">
        <v>3437</v>
      </c>
      <c r="E4698" s="70" t="s">
        <v>3258</v>
      </c>
      <c r="F4698" s="70" t="s">
        <v>3288</v>
      </c>
      <c r="G4698" s="70" t="s">
        <v>6321</v>
      </c>
      <c r="H4698" s="93"/>
      <c r="I4698" s="85">
        <f t="shared" si="183"/>
        <v>2.2787500000000001</v>
      </c>
      <c r="J4698" s="85">
        <v>189.99842462147336</v>
      </c>
      <c r="K4698" s="131" t="s">
        <v>3177</v>
      </c>
      <c r="L4698" s="60">
        <v>60</v>
      </c>
    </row>
    <row r="4699" spans="1:13" ht="14" x14ac:dyDescent="0.15">
      <c r="A4699" s="70" t="s">
        <v>3635</v>
      </c>
      <c r="B4699" s="117" t="s">
        <v>7289</v>
      </c>
      <c r="C4699" s="70" t="s">
        <v>3636</v>
      </c>
      <c r="D4699" s="70" t="s">
        <v>3437</v>
      </c>
      <c r="E4699" s="70" t="s">
        <v>3258</v>
      </c>
      <c r="F4699" s="70" t="s">
        <v>3288</v>
      </c>
      <c r="G4699" s="70" t="s">
        <v>6012</v>
      </c>
      <c r="H4699" s="93"/>
      <c r="I4699" s="85">
        <f t="shared" si="183"/>
        <v>2.3117538610557542</v>
      </c>
      <c r="J4699" s="85">
        <f>AVERAGE(191, 219)</f>
        <v>205</v>
      </c>
      <c r="K4699" s="131" t="s">
        <v>6630</v>
      </c>
      <c r="L4699" s="60">
        <v>73</v>
      </c>
      <c r="M4699" s="49" t="s">
        <v>6392</v>
      </c>
    </row>
    <row r="4700" spans="1:13" ht="14" x14ac:dyDescent="0.15">
      <c r="A4700" s="70" t="s">
        <v>3635</v>
      </c>
      <c r="B4700" s="118"/>
      <c r="C4700" s="70" t="s">
        <v>3636</v>
      </c>
      <c r="D4700" s="70" t="s">
        <v>3437</v>
      </c>
      <c r="E4700" s="70" t="s">
        <v>3258</v>
      </c>
      <c r="F4700" s="70" t="s">
        <v>3288</v>
      </c>
      <c r="G4700" s="70" t="s">
        <v>4204</v>
      </c>
      <c r="H4700" s="93"/>
      <c r="I4700" s="85">
        <f t="shared" si="183"/>
        <v>2.3521800000000006</v>
      </c>
      <c r="J4700" s="85">
        <v>224.9986954165031</v>
      </c>
      <c r="K4700" s="131" t="s">
        <v>3177</v>
      </c>
      <c r="L4700" s="60">
        <v>66</v>
      </c>
    </row>
    <row r="4701" spans="1:13" ht="14" x14ac:dyDescent="0.15">
      <c r="A4701" s="70" t="s">
        <v>3635</v>
      </c>
      <c r="B4701" s="118"/>
      <c r="C4701" s="70" t="s">
        <v>3636</v>
      </c>
      <c r="D4701" s="70" t="s">
        <v>3437</v>
      </c>
      <c r="E4701" s="70" t="s">
        <v>3258</v>
      </c>
      <c r="F4701" s="70" t="s">
        <v>3288</v>
      </c>
      <c r="G4701" s="70" t="s">
        <v>7717</v>
      </c>
      <c r="H4701" s="93"/>
      <c r="I4701" s="85">
        <f t="shared" si="183"/>
        <v>2.3979400000000002</v>
      </c>
      <c r="J4701" s="85">
        <v>249.99999500797404</v>
      </c>
      <c r="K4701" s="131" t="s">
        <v>3177</v>
      </c>
      <c r="L4701" s="60">
        <v>60</v>
      </c>
      <c r="M4701" s="50"/>
    </row>
    <row r="4702" spans="1:13" ht="14" x14ac:dyDescent="0.15">
      <c r="A4702" s="70" t="s">
        <v>3635</v>
      </c>
      <c r="B4702" s="118"/>
      <c r="C4702" s="70" t="s">
        <v>3636</v>
      </c>
      <c r="D4702" s="70" t="s">
        <v>3437</v>
      </c>
      <c r="E4702" s="70" t="s">
        <v>3258</v>
      </c>
      <c r="F4702" s="70" t="s">
        <v>3288</v>
      </c>
      <c r="G4702" s="70" t="s">
        <v>3905</v>
      </c>
      <c r="H4702" s="93"/>
      <c r="I4702" s="85">
        <f t="shared" si="183"/>
        <v>2.6379899999999998</v>
      </c>
      <c r="J4702" s="85">
        <v>434.50021931910777</v>
      </c>
      <c r="K4702" s="131" t="s">
        <v>3177</v>
      </c>
      <c r="L4702" s="60">
        <v>60</v>
      </c>
    </row>
    <row r="4703" spans="1:13" ht="14" x14ac:dyDescent="0.15">
      <c r="A4703" s="73" t="s">
        <v>3635</v>
      </c>
      <c r="B4703" s="118"/>
      <c r="C4703" s="70" t="s">
        <v>3636</v>
      </c>
      <c r="D4703" s="70" t="s">
        <v>3437</v>
      </c>
      <c r="E4703" s="70" t="s">
        <v>3258</v>
      </c>
      <c r="F4703" s="70" t="s">
        <v>3288</v>
      </c>
      <c r="G4703" s="70" t="s">
        <v>4203</v>
      </c>
      <c r="H4703" s="93"/>
      <c r="I4703" s="85">
        <f t="shared" si="183"/>
        <v>2.6857400000000005</v>
      </c>
      <c r="J4703" s="85">
        <v>484.998058413254</v>
      </c>
      <c r="K4703" s="131" t="s">
        <v>3177</v>
      </c>
      <c r="L4703" s="60">
        <v>60</v>
      </c>
    </row>
    <row r="4704" spans="1:13" ht="14" x14ac:dyDescent="0.15">
      <c r="A4704" s="73" t="s">
        <v>3635</v>
      </c>
      <c r="B4704" s="118"/>
      <c r="C4704" s="70" t="s">
        <v>3636</v>
      </c>
      <c r="D4704" s="70" t="s">
        <v>3437</v>
      </c>
      <c r="E4704" s="70" t="s">
        <v>3258</v>
      </c>
      <c r="F4704" s="70" t="s">
        <v>3288</v>
      </c>
      <c r="G4704" s="70" t="s">
        <v>3966</v>
      </c>
      <c r="H4704" s="93"/>
      <c r="I4704" s="85">
        <f t="shared" si="183"/>
        <v>2.6972299999999998</v>
      </c>
      <c r="J4704" s="85">
        <v>498.00075364970525</v>
      </c>
      <c r="K4704" s="131" t="s">
        <v>3177</v>
      </c>
      <c r="L4704" s="69">
        <v>66</v>
      </c>
    </row>
    <row r="4705" spans="1:13" ht="14" x14ac:dyDescent="0.15">
      <c r="A4705" s="70" t="s">
        <v>3635</v>
      </c>
      <c r="B4705" s="118"/>
      <c r="C4705" s="70" t="s">
        <v>3636</v>
      </c>
      <c r="D4705" s="70" t="s">
        <v>3437</v>
      </c>
      <c r="E4705" s="70" t="s">
        <v>3258</v>
      </c>
      <c r="F4705" s="70" t="s">
        <v>3288</v>
      </c>
      <c r="G4705" s="70" t="s">
        <v>3924</v>
      </c>
      <c r="H4705" s="93"/>
      <c r="I4705" s="85">
        <f t="shared" si="183"/>
        <v>2.7045800000000004</v>
      </c>
      <c r="J4705" s="85">
        <v>506.50064179724302</v>
      </c>
      <c r="K4705" s="131" t="s">
        <v>3177</v>
      </c>
      <c r="L4705" s="60">
        <v>60</v>
      </c>
    </row>
    <row r="4706" spans="1:13" ht="14" x14ac:dyDescent="0.15">
      <c r="A4706" s="70" t="s">
        <v>3635</v>
      </c>
      <c r="B4706" s="118"/>
      <c r="C4706" s="70" t="s">
        <v>3636</v>
      </c>
      <c r="D4706" s="70" t="s">
        <v>3437</v>
      </c>
      <c r="E4706" s="70" t="s">
        <v>3258</v>
      </c>
      <c r="F4706" s="70" t="s">
        <v>3288</v>
      </c>
      <c r="G4706" s="70" t="s">
        <v>4143</v>
      </c>
      <c r="H4706" s="93"/>
      <c r="I4706" s="85">
        <f t="shared" si="183"/>
        <v>2.7745200000000003</v>
      </c>
      <c r="J4706" s="85">
        <v>595.00415708210733</v>
      </c>
      <c r="K4706" s="131" t="s">
        <v>3177</v>
      </c>
      <c r="L4706" s="60">
        <v>60</v>
      </c>
    </row>
    <row r="4707" spans="1:13" ht="14" x14ac:dyDescent="0.15">
      <c r="A4707" s="70" t="s">
        <v>3635</v>
      </c>
      <c r="B4707" s="118"/>
      <c r="C4707" s="70" t="s">
        <v>3636</v>
      </c>
      <c r="D4707" s="70" t="s">
        <v>3437</v>
      </c>
      <c r="E4707" s="70" t="s">
        <v>3258</v>
      </c>
      <c r="F4707" s="70" t="s">
        <v>3288</v>
      </c>
      <c r="G4707" s="70" t="s">
        <v>3289</v>
      </c>
      <c r="H4707" s="93"/>
      <c r="I4707" s="85">
        <f t="shared" si="183"/>
        <v>2.7951800000000002</v>
      </c>
      <c r="J4707" s="85">
        <v>623.99340551902378</v>
      </c>
      <c r="K4707" s="131" t="s">
        <v>3177</v>
      </c>
      <c r="L4707" s="60">
        <v>60</v>
      </c>
    </row>
    <row r="4708" spans="1:13" ht="14" x14ac:dyDescent="0.15">
      <c r="A4708" s="70" t="s">
        <v>3635</v>
      </c>
      <c r="B4708" s="118"/>
      <c r="C4708" s="70" t="s">
        <v>3636</v>
      </c>
      <c r="D4708" s="70" t="s">
        <v>3437</v>
      </c>
      <c r="E4708" s="70" t="s">
        <v>3258</v>
      </c>
      <c r="F4708" s="70" t="s">
        <v>3288</v>
      </c>
      <c r="G4708" s="70" t="s">
        <v>3514</v>
      </c>
      <c r="H4708" s="93"/>
      <c r="I4708" s="85">
        <f t="shared" si="183"/>
        <v>2.8109000000000006</v>
      </c>
      <c r="J4708" s="85">
        <v>646.99362280868195</v>
      </c>
      <c r="K4708" s="131" t="s">
        <v>6391</v>
      </c>
      <c r="L4708" s="60">
        <v>60</v>
      </c>
      <c r="M4708" s="49" t="s">
        <v>6392</v>
      </c>
    </row>
    <row r="4709" spans="1:13" ht="14" x14ac:dyDescent="0.15">
      <c r="A4709" s="70" t="s">
        <v>3635</v>
      </c>
      <c r="B4709" s="118"/>
      <c r="C4709" s="70" t="s">
        <v>3636</v>
      </c>
      <c r="D4709" s="70" t="s">
        <v>3437</v>
      </c>
      <c r="E4709" s="70" t="s">
        <v>3258</v>
      </c>
      <c r="F4709" s="70" t="s">
        <v>3288</v>
      </c>
      <c r="G4709" s="70" t="s">
        <v>3698</v>
      </c>
      <c r="H4709" s="93"/>
      <c r="I4709" s="85">
        <f t="shared" si="183"/>
        <v>2.8129100000000005</v>
      </c>
      <c r="J4709" s="85">
        <v>649.99497619814383</v>
      </c>
      <c r="K4709" s="134" t="s">
        <v>3177</v>
      </c>
      <c r="L4709" s="60">
        <v>60</v>
      </c>
    </row>
    <row r="4710" spans="1:13" ht="14" x14ac:dyDescent="0.15">
      <c r="A4710" s="70" t="s">
        <v>3635</v>
      </c>
      <c r="B4710" s="118"/>
      <c r="C4710" s="70" t="s">
        <v>3636</v>
      </c>
      <c r="D4710" s="70" t="s">
        <v>3437</v>
      </c>
      <c r="E4710" s="70" t="s">
        <v>3258</v>
      </c>
      <c r="F4710" s="70" t="s">
        <v>3288</v>
      </c>
      <c r="G4710" s="70" t="s">
        <v>6322</v>
      </c>
      <c r="H4710" s="93"/>
      <c r="I4710" s="85">
        <f t="shared" si="183"/>
        <v>2.8432300000000006</v>
      </c>
      <c r="J4710" s="85">
        <v>696.99554143973774</v>
      </c>
      <c r="K4710" s="131" t="s">
        <v>3177</v>
      </c>
      <c r="L4710" s="60">
        <v>60</v>
      </c>
    </row>
    <row r="4711" spans="1:13" ht="14" x14ac:dyDescent="0.15">
      <c r="A4711" s="70" t="s">
        <v>3635</v>
      </c>
      <c r="B4711" s="118"/>
      <c r="C4711" s="70" t="s">
        <v>3636</v>
      </c>
      <c r="D4711" s="70" t="s">
        <v>3437</v>
      </c>
      <c r="E4711" s="70" t="s">
        <v>3258</v>
      </c>
      <c r="F4711" s="70" t="s">
        <v>3288</v>
      </c>
      <c r="G4711" s="70" t="s">
        <v>2118</v>
      </c>
      <c r="H4711" s="93"/>
      <c r="I4711" s="85">
        <f t="shared" si="183"/>
        <v>2.8639200000000002</v>
      </c>
      <c r="J4711" s="85">
        <v>731.00441509085294</v>
      </c>
      <c r="K4711" s="131" t="s">
        <v>3177</v>
      </c>
      <c r="L4711" s="60">
        <v>60</v>
      </c>
    </row>
    <row r="4712" spans="1:13" ht="14" x14ac:dyDescent="0.15">
      <c r="A4712" s="70" t="s">
        <v>3635</v>
      </c>
      <c r="B4712" s="118"/>
      <c r="C4712" s="70" t="s">
        <v>3636</v>
      </c>
      <c r="D4712" s="70" t="s">
        <v>3437</v>
      </c>
      <c r="E4712" s="70" t="s">
        <v>3258</v>
      </c>
      <c r="F4712" s="70" t="s">
        <v>3288</v>
      </c>
      <c r="G4712" s="70" t="s">
        <v>3656</v>
      </c>
      <c r="H4712" s="93"/>
      <c r="I4712" s="85">
        <f t="shared" si="183"/>
        <v>2.8819000000000004</v>
      </c>
      <c r="J4712" s="85">
        <v>761.90355504937133</v>
      </c>
      <c r="K4712" s="131" t="s">
        <v>3177</v>
      </c>
      <c r="L4712" s="60">
        <v>60</v>
      </c>
    </row>
    <row r="4713" spans="1:13" ht="28" x14ac:dyDescent="0.15">
      <c r="A4713" s="70" t="s">
        <v>3635</v>
      </c>
      <c r="B4713" s="117" t="s">
        <v>7365</v>
      </c>
      <c r="C4713" s="70" t="s">
        <v>3636</v>
      </c>
      <c r="D4713" s="70" t="s">
        <v>3437</v>
      </c>
      <c r="E4713" s="70" t="s">
        <v>3258</v>
      </c>
      <c r="F4713" s="70" t="s">
        <v>2778</v>
      </c>
      <c r="G4713" s="70" t="s">
        <v>6016</v>
      </c>
      <c r="H4713" s="93"/>
      <c r="I4713" s="85">
        <v>-999</v>
      </c>
      <c r="J4713" s="85">
        <v>-999</v>
      </c>
      <c r="K4713" s="131" t="s">
        <v>3177</v>
      </c>
      <c r="L4713" s="60">
        <v>-999</v>
      </c>
      <c r="M4713" s="33"/>
    </row>
    <row r="4714" spans="1:13" ht="14" x14ac:dyDescent="0.15">
      <c r="A4714" s="70" t="s">
        <v>3635</v>
      </c>
      <c r="B4714" s="118"/>
      <c r="C4714" s="70" t="s">
        <v>3636</v>
      </c>
      <c r="D4714" s="70" t="s">
        <v>3437</v>
      </c>
      <c r="E4714" s="70" t="s">
        <v>3258</v>
      </c>
      <c r="F4714" s="70" t="s">
        <v>2778</v>
      </c>
      <c r="G4714" s="70" t="s">
        <v>2921</v>
      </c>
      <c r="H4714" s="93"/>
      <c r="I4714" s="85">
        <f t="shared" ref="I4714:I4745" si="184">LOG(J4714)</f>
        <v>1.9493900000000002</v>
      </c>
      <c r="J4714" s="85">
        <v>88.99999863825758</v>
      </c>
      <c r="K4714" s="131" t="s">
        <v>3177</v>
      </c>
      <c r="L4714" s="60">
        <v>60</v>
      </c>
    </row>
    <row r="4715" spans="1:13" ht="14" x14ac:dyDescent="0.15">
      <c r="A4715" s="70" t="s">
        <v>3635</v>
      </c>
      <c r="B4715" s="118"/>
      <c r="C4715" s="70" t="s">
        <v>3636</v>
      </c>
      <c r="D4715" s="70" t="s">
        <v>3437</v>
      </c>
      <c r="E4715" s="70" t="s">
        <v>3258</v>
      </c>
      <c r="F4715" s="70" t="s">
        <v>2778</v>
      </c>
      <c r="G4715" s="70" t="s">
        <v>2779</v>
      </c>
      <c r="H4715" s="93"/>
      <c r="I4715" s="85">
        <f t="shared" si="184"/>
        <v>2.0969099999999998</v>
      </c>
      <c r="J4715" s="85">
        <v>124.99999625598045</v>
      </c>
      <c r="K4715" s="131" t="s">
        <v>3177</v>
      </c>
      <c r="L4715" s="69">
        <v>66</v>
      </c>
    </row>
    <row r="4716" spans="1:13" ht="14" x14ac:dyDescent="0.15">
      <c r="A4716" s="70" t="s">
        <v>3635</v>
      </c>
      <c r="B4716" s="118"/>
      <c r="C4716" s="70" t="s">
        <v>3636</v>
      </c>
      <c r="D4716" s="70" t="s">
        <v>3437</v>
      </c>
      <c r="E4716" s="70" t="s">
        <v>3258</v>
      </c>
      <c r="F4716" s="70" t="s">
        <v>2778</v>
      </c>
      <c r="G4716" s="70" t="s">
        <v>2923</v>
      </c>
      <c r="H4716" s="93"/>
      <c r="I4716" s="85">
        <f t="shared" si="184"/>
        <v>2.1194799999999998</v>
      </c>
      <c r="J4716" s="85">
        <v>131.66792760039542</v>
      </c>
      <c r="K4716" s="131" t="s">
        <v>3177</v>
      </c>
      <c r="L4716" s="60">
        <v>60</v>
      </c>
    </row>
    <row r="4717" spans="1:13" ht="14" x14ac:dyDescent="0.15">
      <c r="A4717" s="70" t="s">
        <v>3635</v>
      </c>
      <c r="B4717" s="118"/>
      <c r="C4717" s="70" t="s">
        <v>3636</v>
      </c>
      <c r="D4717" s="70" t="s">
        <v>3437</v>
      </c>
      <c r="E4717" s="70" t="s">
        <v>3258</v>
      </c>
      <c r="F4717" s="70" t="s">
        <v>2778</v>
      </c>
      <c r="G4717" s="70" t="s">
        <v>6154</v>
      </c>
      <c r="H4717" s="93"/>
      <c r="I4717" s="85">
        <f t="shared" si="184"/>
        <v>2.1461299999999999</v>
      </c>
      <c r="J4717" s="85">
        <v>140.000633223953</v>
      </c>
      <c r="K4717" s="131" t="s">
        <v>6630</v>
      </c>
      <c r="L4717" s="69">
        <v>66</v>
      </c>
      <c r="M4717" s="49" t="s">
        <v>6392</v>
      </c>
    </row>
    <row r="4718" spans="1:13" ht="14" x14ac:dyDescent="0.15">
      <c r="A4718" s="70" t="s">
        <v>3635</v>
      </c>
      <c r="B4718" s="118"/>
      <c r="C4718" s="70" t="s">
        <v>3636</v>
      </c>
      <c r="D4718" s="70" t="s">
        <v>3437</v>
      </c>
      <c r="E4718" s="70" t="s">
        <v>3258</v>
      </c>
      <c r="F4718" s="70" t="s">
        <v>2778</v>
      </c>
      <c r="G4718" s="70" t="s">
        <v>2922</v>
      </c>
      <c r="H4718" s="93"/>
      <c r="I4718" s="85">
        <f t="shared" si="184"/>
        <v>2.1945100000000006</v>
      </c>
      <c r="J4718" s="85">
        <v>156.4984353906446</v>
      </c>
      <c r="K4718" s="131" t="s">
        <v>3177</v>
      </c>
      <c r="L4718" s="60">
        <v>60</v>
      </c>
    </row>
    <row r="4719" spans="1:13" ht="14" x14ac:dyDescent="0.15">
      <c r="A4719" s="70" t="s">
        <v>3635</v>
      </c>
      <c r="B4719" s="118"/>
      <c r="C4719" s="70" t="s">
        <v>3636</v>
      </c>
      <c r="D4719" s="70" t="s">
        <v>3437</v>
      </c>
      <c r="E4719" s="70" t="s">
        <v>3258</v>
      </c>
      <c r="F4719" s="70" t="s">
        <v>2778</v>
      </c>
      <c r="G4719" s="70" t="s">
        <v>6424</v>
      </c>
      <c r="H4719" s="93"/>
      <c r="I4719" s="85">
        <f t="shared" si="184"/>
        <v>2.2185355052165279</v>
      </c>
      <c r="J4719" s="85">
        <v>165.4</v>
      </c>
      <c r="K4719" s="131" t="s">
        <v>6485</v>
      </c>
      <c r="L4719" s="60">
        <v>68</v>
      </c>
    </row>
    <row r="4720" spans="1:13" ht="14" x14ac:dyDescent="0.15">
      <c r="A4720" s="73" t="s">
        <v>3635</v>
      </c>
      <c r="B4720" s="118"/>
      <c r="C4720" s="70" t="s">
        <v>3636</v>
      </c>
      <c r="D4720" s="70" t="s">
        <v>3437</v>
      </c>
      <c r="E4720" s="70" t="s">
        <v>3258</v>
      </c>
      <c r="F4720" s="70" t="s">
        <v>2778</v>
      </c>
      <c r="G4720" s="70" t="s">
        <v>3833</v>
      </c>
      <c r="H4720" s="93"/>
      <c r="I4720" s="85">
        <f t="shared" si="184"/>
        <v>2.2779200000000004</v>
      </c>
      <c r="J4720" s="85">
        <v>189.63565672464267</v>
      </c>
      <c r="K4720" s="131" t="s">
        <v>3177</v>
      </c>
      <c r="L4720" s="60">
        <v>60</v>
      </c>
    </row>
    <row r="4721" spans="1:13" ht="28" x14ac:dyDescent="0.15">
      <c r="A4721" s="70" t="s">
        <v>3635</v>
      </c>
      <c r="B4721" s="118"/>
      <c r="C4721" s="70" t="s">
        <v>3636</v>
      </c>
      <c r="D4721" s="70" t="s">
        <v>3437</v>
      </c>
      <c r="E4721" s="70" t="s">
        <v>3258</v>
      </c>
      <c r="F4721" s="70" t="s">
        <v>2778</v>
      </c>
      <c r="G4721" s="70" t="s">
        <v>5327</v>
      </c>
      <c r="H4721" s="93"/>
      <c r="I4721" s="85">
        <f t="shared" si="184"/>
        <v>2.2787536009528289</v>
      </c>
      <c r="J4721" s="85">
        <v>190</v>
      </c>
      <c r="K4721" s="131" t="s">
        <v>6606</v>
      </c>
      <c r="L4721" s="60">
        <v>68</v>
      </c>
      <c r="M4721" s="49" t="s">
        <v>6728</v>
      </c>
    </row>
    <row r="4722" spans="1:13" ht="14" x14ac:dyDescent="0.15">
      <c r="A4722" s="70" t="s">
        <v>3635</v>
      </c>
      <c r="B4722" s="118"/>
      <c r="C4722" s="70" t="s">
        <v>3636</v>
      </c>
      <c r="D4722" s="70" t="s">
        <v>3437</v>
      </c>
      <c r="E4722" s="70" t="s">
        <v>3258</v>
      </c>
      <c r="F4722" s="70" t="s">
        <v>2778</v>
      </c>
      <c r="G4722" s="70" t="s">
        <v>4230</v>
      </c>
      <c r="H4722" s="93"/>
      <c r="I4722" s="85">
        <f t="shared" si="184"/>
        <v>2.2810299999999999</v>
      </c>
      <c r="J4722" s="85">
        <v>190.99851911122641</v>
      </c>
      <c r="K4722" s="131" t="s">
        <v>3177</v>
      </c>
      <c r="L4722" s="60">
        <v>60</v>
      </c>
    </row>
    <row r="4723" spans="1:13" ht="14" x14ac:dyDescent="0.15">
      <c r="A4723" s="70" t="s">
        <v>3635</v>
      </c>
      <c r="B4723" s="118"/>
      <c r="C4723" s="70" t="s">
        <v>3636</v>
      </c>
      <c r="D4723" s="70" t="s">
        <v>3437</v>
      </c>
      <c r="E4723" s="70" t="s">
        <v>3258</v>
      </c>
      <c r="F4723" s="70" t="s">
        <v>2778</v>
      </c>
      <c r="G4723" s="70" t="s">
        <v>2925</v>
      </c>
      <c r="H4723" s="93"/>
      <c r="I4723" s="85">
        <f t="shared" si="184"/>
        <v>2.3170200000000003</v>
      </c>
      <c r="J4723" s="85">
        <v>207.50090729538317</v>
      </c>
      <c r="K4723" s="131" t="s">
        <v>6783</v>
      </c>
      <c r="L4723" s="60">
        <v>60</v>
      </c>
      <c r="M4723" s="49" t="s">
        <v>6728</v>
      </c>
    </row>
    <row r="4724" spans="1:13" ht="14" x14ac:dyDescent="0.15">
      <c r="A4724" s="70" t="s">
        <v>3635</v>
      </c>
      <c r="B4724" s="118"/>
      <c r="C4724" s="70" t="s">
        <v>3636</v>
      </c>
      <c r="D4724" s="70" t="s">
        <v>3437</v>
      </c>
      <c r="E4724" s="70" t="s">
        <v>3258</v>
      </c>
      <c r="F4724" s="70" t="s">
        <v>2778</v>
      </c>
      <c r="G4724" s="70" t="s">
        <v>4960</v>
      </c>
      <c r="H4724" s="93"/>
      <c r="I4724" s="85">
        <f t="shared" si="184"/>
        <v>2.3283800000000001</v>
      </c>
      <c r="J4724" s="85">
        <v>213.00019449380778</v>
      </c>
      <c r="K4724" s="131" t="s">
        <v>3177</v>
      </c>
      <c r="L4724" s="60">
        <v>60</v>
      </c>
      <c r="M4724" s="49" t="s">
        <v>6727</v>
      </c>
    </row>
    <row r="4725" spans="1:13" ht="14" x14ac:dyDescent="0.15">
      <c r="A4725" s="70" t="s">
        <v>3635</v>
      </c>
      <c r="B4725" s="118"/>
      <c r="C4725" s="70" t="s">
        <v>3636</v>
      </c>
      <c r="D4725" s="70" t="s">
        <v>3437</v>
      </c>
      <c r="E4725" s="70" t="s">
        <v>3258</v>
      </c>
      <c r="F4725" s="70" t="s">
        <v>2778</v>
      </c>
      <c r="G4725" s="70" t="s">
        <v>2920</v>
      </c>
      <c r="H4725" s="93"/>
      <c r="I4725" s="85">
        <f t="shared" si="184"/>
        <v>2.3424200000000002</v>
      </c>
      <c r="J4725" s="85">
        <v>219.99864198351676</v>
      </c>
      <c r="K4725" s="131" t="s">
        <v>3177</v>
      </c>
      <c r="L4725" s="69">
        <v>60</v>
      </c>
    </row>
    <row r="4726" spans="1:13" ht="14" x14ac:dyDescent="0.15">
      <c r="A4726" s="70" t="s">
        <v>3635</v>
      </c>
      <c r="B4726" s="118"/>
      <c r="C4726" s="70" t="s">
        <v>3636</v>
      </c>
      <c r="D4726" s="70" t="s">
        <v>3437</v>
      </c>
      <c r="E4726" s="70" t="s">
        <v>3258</v>
      </c>
      <c r="F4726" s="70" t="s">
        <v>2778</v>
      </c>
      <c r="G4726" s="70" t="s">
        <v>5988</v>
      </c>
      <c r="H4726" s="93"/>
      <c r="I4726" s="85">
        <f t="shared" si="184"/>
        <v>2.43933</v>
      </c>
      <c r="J4726" s="85">
        <v>274.99829424260366</v>
      </c>
      <c r="K4726" s="131" t="s">
        <v>6630</v>
      </c>
      <c r="L4726" s="69">
        <v>66</v>
      </c>
      <c r="M4726" s="49" t="s">
        <v>6392</v>
      </c>
    </row>
    <row r="4727" spans="1:13" ht="14" x14ac:dyDescent="0.15">
      <c r="A4727" s="70" t="s">
        <v>3635</v>
      </c>
      <c r="B4727" s="118"/>
      <c r="C4727" s="70" t="s">
        <v>3636</v>
      </c>
      <c r="D4727" s="70" t="s">
        <v>3437</v>
      </c>
      <c r="E4727" s="70" t="s">
        <v>3258</v>
      </c>
      <c r="F4727" s="70" t="s">
        <v>2778</v>
      </c>
      <c r="G4727" s="70" t="s">
        <v>2928</v>
      </c>
      <c r="H4727" s="93"/>
      <c r="I4727" s="85">
        <f t="shared" si="184"/>
        <v>2.4479299999999999</v>
      </c>
      <c r="J4727" s="85">
        <v>280.49814919141687</v>
      </c>
      <c r="K4727" s="131" t="s">
        <v>3177</v>
      </c>
      <c r="L4727" s="60">
        <v>60</v>
      </c>
    </row>
    <row r="4728" spans="1:13" ht="28" x14ac:dyDescent="0.15">
      <c r="A4728" s="70" t="s">
        <v>3635</v>
      </c>
      <c r="B4728" s="118"/>
      <c r="C4728" s="70" t="s">
        <v>3636</v>
      </c>
      <c r="D4728" s="70" t="s">
        <v>3437</v>
      </c>
      <c r="E4728" s="70" t="s">
        <v>3258</v>
      </c>
      <c r="F4728" s="70" t="s">
        <v>2778</v>
      </c>
      <c r="G4728" s="70" t="s">
        <v>4599</v>
      </c>
      <c r="H4728" s="93"/>
      <c r="I4728" s="85">
        <f t="shared" si="184"/>
        <v>2.4771200000000007</v>
      </c>
      <c r="J4728" s="85">
        <v>299.99913327161516</v>
      </c>
      <c r="K4728" s="131" t="s">
        <v>7907</v>
      </c>
      <c r="L4728" s="69">
        <v>66</v>
      </c>
      <c r="M4728" s="49" t="s">
        <v>6390</v>
      </c>
    </row>
    <row r="4729" spans="1:13" ht="14" x14ac:dyDescent="0.15">
      <c r="A4729" s="70" t="s">
        <v>3635</v>
      </c>
      <c r="B4729" s="118"/>
      <c r="C4729" s="70" t="s">
        <v>3636</v>
      </c>
      <c r="D4729" s="70" t="s">
        <v>3437</v>
      </c>
      <c r="E4729" s="70" t="s">
        <v>3258</v>
      </c>
      <c r="F4729" s="70" t="s">
        <v>2778</v>
      </c>
      <c r="G4729" s="70" t="s">
        <v>6143</v>
      </c>
      <c r="H4729" s="93"/>
      <c r="I4729" s="85">
        <f t="shared" si="184"/>
        <v>2.4955400000000001</v>
      </c>
      <c r="J4729" s="85">
        <v>312.99687390626622</v>
      </c>
      <c r="K4729" s="131" t="s">
        <v>3177</v>
      </c>
      <c r="L4729" s="60">
        <v>60</v>
      </c>
    </row>
    <row r="4730" spans="1:13" ht="14" x14ac:dyDescent="0.15">
      <c r="A4730" s="70" t="s">
        <v>3635</v>
      </c>
      <c r="B4730" s="118"/>
      <c r="C4730" s="70" t="s">
        <v>3636</v>
      </c>
      <c r="D4730" s="70" t="s">
        <v>3437</v>
      </c>
      <c r="E4730" s="70" t="s">
        <v>3258</v>
      </c>
      <c r="F4730" s="70" t="s">
        <v>2778</v>
      </c>
      <c r="G4730" s="70" t="s">
        <v>5987</v>
      </c>
      <c r="H4730" s="93"/>
      <c r="I4730" s="85">
        <f t="shared" si="184"/>
        <v>2.5599099999999999</v>
      </c>
      <c r="J4730" s="85">
        <v>363.00282093533883</v>
      </c>
      <c r="K4730" s="131" t="s">
        <v>3177</v>
      </c>
      <c r="L4730" s="60">
        <v>60</v>
      </c>
    </row>
    <row r="4731" spans="1:13" ht="14" x14ac:dyDescent="0.15">
      <c r="A4731" s="70" t="s">
        <v>3635</v>
      </c>
      <c r="B4731" s="118"/>
      <c r="C4731" s="70" t="s">
        <v>3636</v>
      </c>
      <c r="D4731" s="70" t="s">
        <v>3437</v>
      </c>
      <c r="E4731" s="73" t="s">
        <v>3258</v>
      </c>
      <c r="F4731" s="70" t="s">
        <v>2778</v>
      </c>
      <c r="G4731" s="70" t="s">
        <v>3242</v>
      </c>
      <c r="H4731" s="93"/>
      <c r="I4731" s="85">
        <f t="shared" si="184"/>
        <v>2.6085260335771943</v>
      </c>
      <c r="J4731" s="85">
        <v>406</v>
      </c>
      <c r="K4731" s="131" t="s">
        <v>3177</v>
      </c>
      <c r="L4731" s="60">
        <v>75</v>
      </c>
    </row>
    <row r="4732" spans="1:13" ht="14" x14ac:dyDescent="0.15">
      <c r="A4732" s="70" t="s">
        <v>3635</v>
      </c>
      <c r="B4732" s="118"/>
      <c r="C4732" s="70" t="s">
        <v>3636</v>
      </c>
      <c r="D4732" s="70" t="s">
        <v>3437</v>
      </c>
      <c r="E4732" s="70" t="s">
        <v>3258</v>
      </c>
      <c r="F4732" s="70" t="s">
        <v>2778</v>
      </c>
      <c r="G4732" s="70" t="s">
        <v>1989</v>
      </c>
      <c r="H4732" s="93"/>
      <c r="I4732" s="85">
        <f t="shared" si="184"/>
        <v>2.6566730458848502</v>
      </c>
      <c r="J4732" s="85">
        <v>453.6</v>
      </c>
      <c r="K4732" s="131" t="s">
        <v>6485</v>
      </c>
      <c r="L4732" s="60">
        <v>68</v>
      </c>
    </row>
    <row r="4733" spans="1:13" ht="14" x14ac:dyDescent="0.15">
      <c r="A4733" s="70" t="s">
        <v>3635</v>
      </c>
      <c r="B4733" s="118"/>
      <c r="C4733" s="70" t="s">
        <v>3636</v>
      </c>
      <c r="D4733" s="70" t="s">
        <v>3437</v>
      </c>
      <c r="E4733" s="70" t="s">
        <v>3258</v>
      </c>
      <c r="F4733" s="70" t="s">
        <v>2778</v>
      </c>
      <c r="G4733" s="70" t="s">
        <v>2929</v>
      </c>
      <c r="H4733" s="93"/>
      <c r="I4733" s="85">
        <f t="shared" si="184"/>
        <v>2.69285</v>
      </c>
      <c r="J4733" s="85">
        <v>493.00349717018258</v>
      </c>
      <c r="K4733" s="131" t="s">
        <v>3177</v>
      </c>
      <c r="L4733" s="60">
        <v>60</v>
      </c>
    </row>
    <row r="4734" spans="1:13" ht="14" x14ac:dyDescent="0.15">
      <c r="A4734" s="70" t="s">
        <v>3635</v>
      </c>
      <c r="B4734" s="118"/>
      <c r="C4734" s="70" t="s">
        <v>3636</v>
      </c>
      <c r="D4734" s="70" t="s">
        <v>3437</v>
      </c>
      <c r="E4734" s="70" t="s">
        <v>3258</v>
      </c>
      <c r="F4734" s="70" t="s">
        <v>2778</v>
      </c>
      <c r="G4734" s="70" t="s">
        <v>2780</v>
      </c>
      <c r="H4734" s="93"/>
      <c r="I4734" s="85">
        <f t="shared" si="184"/>
        <v>2.6989700000000005</v>
      </c>
      <c r="J4734" s="85">
        <v>499.99999500797441</v>
      </c>
      <c r="K4734" s="131" t="s">
        <v>3177</v>
      </c>
      <c r="L4734" s="69">
        <v>66</v>
      </c>
    </row>
    <row r="4735" spans="1:13" ht="14" x14ac:dyDescent="0.15">
      <c r="A4735" s="70" t="s">
        <v>3635</v>
      </c>
      <c r="B4735" s="118"/>
      <c r="C4735" s="70" t="s">
        <v>3636</v>
      </c>
      <c r="D4735" s="70" t="s">
        <v>3437</v>
      </c>
      <c r="E4735" s="70" t="s">
        <v>3258</v>
      </c>
      <c r="F4735" s="70" t="s">
        <v>2778</v>
      </c>
      <c r="G4735" s="70" t="s">
        <v>6147</v>
      </c>
      <c r="H4735" s="93"/>
      <c r="I4735" s="85">
        <f t="shared" si="184"/>
        <v>2.7411500000000006</v>
      </c>
      <c r="J4735" s="85">
        <v>550.99797150148493</v>
      </c>
      <c r="K4735" s="131" t="s">
        <v>3177</v>
      </c>
      <c r="L4735" s="60">
        <v>60</v>
      </c>
    </row>
    <row r="4736" spans="1:13" ht="14" x14ac:dyDescent="0.15">
      <c r="A4736" s="70" t="s">
        <v>3635</v>
      </c>
      <c r="B4736" s="118"/>
      <c r="C4736" s="70" t="s">
        <v>3636</v>
      </c>
      <c r="D4736" s="70" t="s">
        <v>3437</v>
      </c>
      <c r="E4736" s="70" t="s">
        <v>3258</v>
      </c>
      <c r="F4736" s="70" t="s">
        <v>2778</v>
      </c>
      <c r="G4736" s="70" t="s">
        <v>2906</v>
      </c>
      <c r="H4736" s="93"/>
      <c r="I4736" s="85">
        <f t="shared" si="184"/>
        <v>2.7623000000000006</v>
      </c>
      <c r="J4736" s="85">
        <v>578.49551996509058</v>
      </c>
      <c r="K4736" s="131" t="s">
        <v>3177</v>
      </c>
      <c r="L4736" s="60">
        <v>60</v>
      </c>
    </row>
    <row r="4737" spans="1:15" ht="14" x14ac:dyDescent="0.15">
      <c r="A4737" s="70" t="s">
        <v>3635</v>
      </c>
      <c r="B4737" s="118"/>
      <c r="C4737" s="70" t="s">
        <v>3636</v>
      </c>
      <c r="D4737" s="70" t="s">
        <v>3437</v>
      </c>
      <c r="E4737" s="70" t="s">
        <v>3258</v>
      </c>
      <c r="F4737" s="70" t="s">
        <v>2778</v>
      </c>
      <c r="G4737" s="70" t="s">
        <v>2924</v>
      </c>
      <c r="H4737" s="93"/>
      <c r="I4737" s="85">
        <f t="shared" si="184"/>
        <v>2.83988</v>
      </c>
      <c r="J4737" s="85">
        <v>691.63983736456794</v>
      </c>
      <c r="K4737" s="131" t="s">
        <v>3177</v>
      </c>
      <c r="L4737" s="60">
        <v>60</v>
      </c>
    </row>
    <row r="4738" spans="1:15" x14ac:dyDescent="0.15">
      <c r="A4738" s="70" t="s">
        <v>3635</v>
      </c>
      <c r="B4738" s="118"/>
      <c r="C4738" s="70" t="s">
        <v>3636</v>
      </c>
      <c r="D4738" s="70" t="s">
        <v>3437</v>
      </c>
      <c r="E4738" s="70" t="s">
        <v>3258</v>
      </c>
      <c r="F4738" s="70" t="s">
        <v>2778</v>
      </c>
      <c r="G4738" s="70" t="s">
        <v>5989</v>
      </c>
      <c r="H4738" s="93"/>
      <c r="I4738" s="85">
        <f t="shared" si="184"/>
        <v>2.8808100000000003</v>
      </c>
      <c r="J4738" s="85">
        <v>759.99371366152729</v>
      </c>
      <c r="K4738" s="131"/>
      <c r="L4738" s="60">
        <v>60</v>
      </c>
    </row>
    <row r="4739" spans="1:15" ht="28" x14ac:dyDescent="0.15">
      <c r="A4739" s="70" t="s">
        <v>3635</v>
      </c>
      <c r="B4739" s="117" t="s">
        <v>6643</v>
      </c>
      <c r="C4739" s="70" t="s">
        <v>3636</v>
      </c>
      <c r="D4739" s="70" t="s">
        <v>3437</v>
      </c>
      <c r="E4739" s="70" t="s">
        <v>3258</v>
      </c>
      <c r="F4739" s="70" t="s">
        <v>5398</v>
      </c>
      <c r="G4739" s="70" t="s">
        <v>5399</v>
      </c>
      <c r="H4739" s="93"/>
      <c r="I4739" s="85">
        <f t="shared" si="184"/>
        <v>2.1233284146286691</v>
      </c>
      <c r="J4739" s="85">
        <v>132.83986165333698</v>
      </c>
      <c r="K4739" s="131" t="s">
        <v>6630</v>
      </c>
      <c r="L4739" s="60" t="s">
        <v>7560</v>
      </c>
      <c r="M4739" s="33" t="s">
        <v>6392</v>
      </c>
      <c r="N4739" s="37" t="s">
        <v>7603</v>
      </c>
      <c r="O4739" s="37">
        <f>2.725*LOG(162)-6.8976</f>
        <v>-0.87667158537133094</v>
      </c>
    </row>
    <row r="4740" spans="1:15" ht="14" x14ac:dyDescent="0.15">
      <c r="A4740" s="70" t="s">
        <v>3635</v>
      </c>
      <c r="B4740" s="118"/>
      <c r="C4740" s="70" t="s">
        <v>3636</v>
      </c>
      <c r="D4740" s="70" t="s">
        <v>3437</v>
      </c>
      <c r="E4740" s="70" t="s">
        <v>3258</v>
      </c>
      <c r="F4740" s="70" t="s">
        <v>2926</v>
      </c>
      <c r="G4740" s="70" t="s">
        <v>2927</v>
      </c>
      <c r="H4740" s="93"/>
      <c r="I4740" s="85">
        <f t="shared" si="184"/>
        <v>1.5628900000000001</v>
      </c>
      <c r="J4740" s="85">
        <v>36.550220389623334</v>
      </c>
      <c r="K4740" s="131" t="s">
        <v>3177</v>
      </c>
      <c r="L4740" s="60">
        <v>60</v>
      </c>
    </row>
    <row r="4741" spans="1:15" ht="14" x14ac:dyDescent="0.15">
      <c r="A4741" s="70" t="s">
        <v>3635</v>
      </c>
      <c r="B4741" s="118"/>
      <c r="C4741" s="70" t="s">
        <v>3636</v>
      </c>
      <c r="D4741" s="70" t="s">
        <v>3437</v>
      </c>
      <c r="E4741" s="70" t="s">
        <v>3258</v>
      </c>
      <c r="F4741" s="70" t="s">
        <v>2926</v>
      </c>
      <c r="G4741" s="70" t="s">
        <v>3955</v>
      </c>
      <c r="H4741" s="93"/>
      <c r="I4741" s="85">
        <f t="shared" si="184"/>
        <v>1.7032900000000002</v>
      </c>
      <c r="J4741" s="85">
        <v>50.499839751862218</v>
      </c>
      <c r="K4741" s="131" t="s">
        <v>3177</v>
      </c>
      <c r="L4741" s="60">
        <v>60</v>
      </c>
    </row>
    <row r="4742" spans="1:15" ht="14" x14ac:dyDescent="0.15">
      <c r="A4742" s="70" t="s">
        <v>3635</v>
      </c>
      <c r="B4742" s="118"/>
      <c r="C4742" s="70" t="s">
        <v>3636</v>
      </c>
      <c r="D4742" s="70" t="s">
        <v>3437</v>
      </c>
      <c r="E4742" s="70" t="s">
        <v>3258</v>
      </c>
      <c r="F4742" s="70" t="s">
        <v>2926</v>
      </c>
      <c r="G4742" s="70" t="s">
        <v>2844</v>
      </c>
      <c r="H4742" s="93"/>
      <c r="I4742" s="85">
        <f t="shared" si="184"/>
        <v>1.7185000000000001</v>
      </c>
      <c r="J4742" s="85">
        <v>52.299796618215581</v>
      </c>
      <c r="K4742" s="131" t="s">
        <v>3177</v>
      </c>
      <c r="L4742" s="60">
        <v>60</v>
      </c>
    </row>
    <row r="4743" spans="1:15" ht="14" x14ac:dyDescent="0.15">
      <c r="A4743" s="70" t="s">
        <v>3635</v>
      </c>
      <c r="B4743" s="118" t="s">
        <v>6621</v>
      </c>
      <c r="C4743" s="70" t="s">
        <v>3636</v>
      </c>
      <c r="D4743" s="70" t="s">
        <v>3437</v>
      </c>
      <c r="E4743" s="70" t="s">
        <v>3258</v>
      </c>
      <c r="F4743" s="70" t="s">
        <v>2926</v>
      </c>
      <c r="G4743" s="70" t="s">
        <v>2230</v>
      </c>
      <c r="H4743" s="93"/>
      <c r="I4743" s="85">
        <f t="shared" si="184"/>
        <v>1.72916478969277</v>
      </c>
      <c r="J4743" s="85">
        <f>AVERAGE(59.3, 47.9)</f>
        <v>53.599999999999994</v>
      </c>
      <c r="K4743" s="131" t="s">
        <v>3177</v>
      </c>
      <c r="L4743" s="60">
        <v>90</v>
      </c>
    </row>
    <row r="4744" spans="1:15" ht="16" x14ac:dyDescent="0.2">
      <c r="A4744" s="70" t="s">
        <v>3635</v>
      </c>
      <c r="B4744" s="118"/>
      <c r="C4744" s="70" t="s">
        <v>3636</v>
      </c>
      <c r="D4744" s="70" t="s">
        <v>3437</v>
      </c>
      <c r="E4744" s="70" t="s">
        <v>3258</v>
      </c>
      <c r="F4744" s="70" t="s">
        <v>2926</v>
      </c>
      <c r="G4744" s="70" t="s">
        <v>5985</v>
      </c>
      <c r="H4744" s="93"/>
      <c r="I4744" s="85">
        <f t="shared" si="184"/>
        <v>1.7902899999999999</v>
      </c>
      <c r="J4744" s="85">
        <v>61.700687047205726</v>
      </c>
      <c r="K4744" s="131" t="s">
        <v>3177</v>
      </c>
      <c r="L4744" s="60">
        <v>60</v>
      </c>
      <c r="N4744" s="48"/>
    </row>
    <row r="4745" spans="1:15" ht="14" x14ac:dyDescent="0.15">
      <c r="A4745" s="70" t="s">
        <v>3635</v>
      </c>
      <c r="B4745" s="118"/>
      <c r="C4745" s="70" t="s">
        <v>3636</v>
      </c>
      <c r="D4745" s="70" t="s">
        <v>3437</v>
      </c>
      <c r="E4745" s="70" t="s">
        <v>3258</v>
      </c>
      <c r="F4745" s="70" t="s">
        <v>2926</v>
      </c>
      <c r="G4745" s="70" t="s">
        <v>4484</v>
      </c>
      <c r="H4745" s="93"/>
      <c r="I4745" s="85">
        <f t="shared" si="184"/>
        <v>1.7923900000000001</v>
      </c>
      <c r="J4745" s="85">
        <v>61.999758807232553</v>
      </c>
      <c r="K4745" s="131" t="s">
        <v>3177</v>
      </c>
      <c r="L4745" s="60">
        <v>60</v>
      </c>
    </row>
    <row r="4746" spans="1:15" ht="14" x14ac:dyDescent="0.15">
      <c r="A4746" s="70" t="s">
        <v>3635</v>
      </c>
      <c r="B4746" s="118"/>
      <c r="C4746" s="70" t="s">
        <v>3636</v>
      </c>
      <c r="D4746" s="70" t="s">
        <v>3437</v>
      </c>
      <c r="E4746" s="70" t="s">
        <v>3258</v>
      </c>
      <c r="F4746" s="70" t="s">
        <v>2926</v>
      </c>
      <c r="G4746" s="70" t="s">
        <v>6155</v>
      </c>
      <c r="H4746" s="93"/>
      <c r="I4746" s="85">
        <f t="shared" ref="I4746:I4763" si="185">LOG(J4746)</f>
        <v>1.7937900000000002</v>
      </c>
      <c r="J4746" s="85">
        <v>62.199944904300409</v>
      </c>
      <c r="K4746" s="131" t="s">
        <v>3177</v>
      </c>
      <c r="L4746" s="60">
        <v>60</v>
      </c>
    </row>
    <row r="4747" spans="1:15" ht="14" x14ac:dyDescent="0.15">
      <c r="A4747" s="70" t="s">
        <v>3635</v>
      </c>
      <c r="B4747" s="118"/>
      <c r="C4747" s="70" t="s">
        <v>3636</v>
      </c>
      <c r="D4747" s="70" t="s">
        <v>3437</v>
      </c>
      <c r="E4747" s="70" t="s">
        <v>3258</v>
      </c>
      <c r="F4747" s="70" t="s">
        <v>2926</v>
      </c>
      <c r="G4747" s="70" t="s">
        <v>4014</v>
      </c>
      <c r="H4747" s="93"/>
      <c r="I4747" s="85">
        <f t="shared" si="185"/>
        <v>1.7993399999999999</v>
      </c>
      <c r="J4747" s="85">
        <v>62.999920294741955</v>
      </c>
      <c r="K4747" s="131" t="s">
        <v>3177</v>
      </c>
      <c r="L4747" s="60">
        <v>60</v>
      </c>
    </row>
    <row r="4748" spans="1:15" ht="14" x14ac:dyDescent="0.15">
      <c r="A4748" s="70" t="s">
        <v>3635</v>
      </c>
      <c r="B4748" s="118"/>
      <c r="C4748" s="70" t="s">
        <v>3636</v>
      </c>
      <c r="D4748" s="70" t="s">
        <v>3437</v>
      </c>
      <c r="E4748" s="70" t="s">
        <v>3258</v>
      </c>
      <c r="F4748" s="70" t="s">
        <v>2926</v>
      </c>
      <c r="G4748" s="70" t="s">
        <v>6156</v>
      </c>
      <c r="H4748" s="93"/>
      <c r="I4748" s="85">
        <f t="shared" si="185"/>
        <v>1.8325100000000001</v>
      </c>
      <c r="J4748" s="85">
        <v>68.000170244089148</v>
      </c>
      <c r="K4748" s="131" t="s">
        <v>3177</v>
      </c>
      <c r="L4748" s="60">
        <v>60</v>
      </c>
    </row>
    <row r="4749" spans="1:15" ht="28" x14ac:dyDescent="0.15">
      <c r="A4749" s="70" t="s">
        <v>3635</v>
      </c>
      <c r="B4749" s="118"/>
      <c r="C4749" s="70" t="s">
        <v>3636</v>
      </c>
      <c r="D4749" s="70" t="s">
        <v>3437</v>
      </c>
      <c r="E4749" s="70" t="s">
        <v>3258</v>
      </c>
      <c r="F4749" s="70" t="s">
        <v>2926</v>
      </c>
      <c r="G4749" s="70" t="s">
        <v>6031</v>
      </c>
      <c r="H4749" s="93"/>
      <c r="I4749" s="85">
        <f t="shared" si="185"/>
        <v>1.8413600000000001</v>
      </c>
      <c r="J4749" s="85">
        <v>69.400084621050951</v>
      </c>
      <c r="K4749" s="131" t="s">
        <v>6518</v>
      </c>
      <c r="L4749" s="60">
        <v>60</v>
      </c>
      <c r="M4749" s="49" t="s">
        <v>6728</v>
      </c>
    </row>
    <row r="4750" spans="1:15" ht="14" x14ac:dyDescent="0.15">
      <c r="A4750" s="70" t="s">
        <v>3635</v>
      </c>
      <c r="B4750" s="118" t="s">
        <v>6526</v>
      </c>
      <c r="C4750" s="70" t="s">
        <v>3636</v>
      </c>
      <c r="D4750" s="70" t="s">
        <v>3437</v>
      </c>
      <c r="E4750" s="70" t="s">
        <v>3258</v>
      </c>
      <c r="F4750" s="70" t="s">
        <v>2926</v>
      </c>
      <c r="G4750" s="70" t="s">
        <v>5400</v>
      </c>
      <c r="H4750" s="93"/>
      <c r="I4750" s="85">
        <f t="shared" si="185"/>
        <v>1.8475726591421122</v>
      </c>
      <c r="J4750" s="85">
        <v>70.400000000000006</v>
      </c>
      <c r="K4750" s="131" t="s">
        <v>6702</v>
      </c>
      <c r="L4750" s="60">
        <v>86</v>
      </c>
      <c r="M4750" s="49" t="s">
        <v>6392</v>
      </c>
    </row>
    <row r="4751" spans="1:15" ht="14" x14ac:dyDescent="0.15">
      <c r="A4751" s="70" t="s">
        <v>3635</v>
      </c>
      <c r="B4751" s="118"/>
      <c r="C4751" s="70" t="s">
        <v>3636</v>
      </c>
      <c r="D4751" s="70" t="s">
        <v>3437</v>
      </c>
      <c r="E4751" s="70" t="s">
        <v>3258</v>
      </c>
      <c r="F4751" s="70" t="s">
        <v>2926</v>
      </c>
      <c r="G4751" s="70" t="s">
        <v>3449</v>
      </c>
      <c r="H4751" s="93"/>
      <c r="I4751" s="85">
        <f t="shared" si="185"/>
        <v>1.8518700000000003</v>
      </c>
      <c r="J4751" s="85">
        <v>71.100065366077317</v>
      </c>
      <c r="K4751" s="131" t="s">
        <v>3177</v>
      </c>
      <c r="L4751" s="60">
        <v>60</v>
      </c>
    </row>
    <row r="4752" spans="1:15" ht="14" x14ac:dyDescent="0.15">
      <c r="A4752" s="70" t="s">
        <v>3635</v>
      </c>
      <c r="B4752" s="118"/>
      <c r="C4752" s="70" t="s">
        <v>3636</v>
      </c>
      <c r="D4752" s="70" t="s">
        <v>3437</v>
      </c>
      <c r="E4752" s="70" t="s">
        <v>3258</v>
      </c>
      <c r="F4752" s="70" t="s">
        <v>2926</v>
      </c>
      <c r="G4752" s="70" t="s">
        <v>7275</v>
      </c>
      <c r="H4752" s="93"/>
      <c r="I4752" s="85">
        <f t="shared" si="185"/>
        <v>1.8633200000000003</v>
      </c>
      <c r="J4752" s="85">
        <v>72.999519247620086</v>
      </c>
      <c r="K4752" s="131" t="s">
        <v>3177</v>
      </c>
      <c r="L4752" s="60">
        <v>60</v>
      </c>
    </row>
    <row r="4753" spans="1:15" ht="14" x14ac:dyDescent="0.15">
      <c r="A4753" s="70" t="s">
        <v>3635</v>
      </c>
      <c r="B4753" s="118"/>
      <c r="C4753" s="70" t="s">
        <v>3636</v>
      </c>
      <c r="D4753" s="70" t="s">
        <v>3437</v>
      </c>
      <c r="E4753" s="70" t="s">
        <v>3258</v>
      </c>
      <c r="F4753" s="70" t="s">
        <v>2926</v>
      </c>
      <c r="G4753" s="70" t="s">
        <v>4960</v>
      </c>
      <c r="H4753" s="93"/>
      <c r="I4753" s="85">
        <f t="shared" si="185"/>
        <v>1.8737600000000003</v>
      </c>
      <c r="J4753" s="85">
        <v>74.775616098626713</v>
      </c>
      <c r="K4753" s="131" t="s">
        <v>3177</v>
      </c>
      <c r="L4753" s="60">
        <v>60</v>
      </c>
    </row>
    <row r="4754" spans="1:15" ht="14" x14ac:dyDescent="0.15">
      <c r="A4754" s="70" t="s">
        <v>3635</v>
      </c>
      <c r="B4754" s="118"/>
      <c r="C4754" s="70" t="s">
        <v>3636</v>
      </c>
      <c r="D4754" s="70" t="s">
        <v>3437</v>
      </c>
      <c r="E4754" s="70" t="s">
        <v>3258</v>
      </c>
      <c r="F4754" s="70" t="s">
        <v>2926</v>
      </c>
      <c r="G4754" s="70" t="s">
        <v>2130</v>
      </c>
      <c r="H4754" s="93"/>
      <c r="I4754" s="85">
        <f t="shared" si="185"/>
        <v>1.8739000000000001</v>
      </c>
      <c r="J4754" s="85">
        <v>74.799724794933354</v>
      </c>
      <c r="K4754" s="131" t="s">
        <v>3177</v>
      </c>
      <c r="L4754" s="60">
        <v>60</v>
      </c>
    </row>
    <row r="4755" spans="1:15" ht="14" x14ac:dyDescent="0.15">
      <c r="A4755" s="70" t="s">
        <v>3635</v>
      </c>
      <c r="B4755" s="118"/>
      <c r="C4755" s="70" t="s">
        <v>3636</v>
      </c>
      <c r="D4755" s="70" t="s">
        <v>3437</v>
      </c>
      <c r="E4755" s="70" t="s">
        <v>3258</v>
      </c>
      <c r="F4755" s="70" t="s">
        <v>2926</v>
      </c>
      <c r="G4755" s="70" t="s">
        <v>6161</v>
      </c>
      <c r="H4755" s="93"/>
      <c r="I4755" s="85">
        <f t="shared" si="185"/>
        <v>1.8750599999999999</v>
      </c>
      <c r="J4755" s="85">
        <v>74.9997818203002</v>
      </c>
      <c r="K4755" s="131" t="s">
        <v>3177</v>
      </c>
      <c r="L4755" s="69">
        <v>66</v>
      </c>
    </row>
    <row r="4756" spans="1:15" ht="14" x14ac:dyDescent="0.15">
      <c r="A4756" s="70" t="s">
        <v>3635</v>
      </c>
      <c r="B4756" s="118"/>
      <c r="C4756" s="70" t="s">
        <v>3636</v>
      </c>
      <c r="D4756" s="70" t="s">
        <v>3437</v>
      </c>
      <c r="E4756" s="70" t="s">
        <v>3258</v>
      </c>
      <c r="F4756" s="70" t="s">
        <v>2926</v>
      </c>
      <c r="G4756" s="70" t="s">
        <v>7655</v>
      </c>
      <c r="H4756" s="93"/>
      <c r="I4756" s="85">
        <f t="shared" si="185"/>
        <v>1.8750599999999999</v>
      </c>
      <c r="J4756" s="85">
        <v>74.9997818203002</v>
      </c>
      <c r="K4756" s="131" t="s">
        <v>3177</v>
      </c>
      <c r="L4756" s="69">
        <v>66</v>
      </c>
    </row>
    <row r="4757" spans="1:15" ht="14" x14ac:dyDescent="0.15">
      <c r="A4757" s="70" t="s">
        <v>3635</v>
      </c>
      <c r="B4757" s="118"/>
      <c r="C4757" s="70" t="s">
        <v>3636</v>
      </c>
      <c r="D4757" s="70" t="s">
        <v>3437</v>
      </c>
      <c r="E4757" s="70" t="s">
        <v>3258</v>
      </c>
      <c r="F4757" s="70" t="s">
        <v>2926</v>
      </c>
      <c r="G4757" s="70" t="s">
        <v>5986</v>
      </c>
      <c r="H4757" s="93"/>
      <c r="I4757" s="85">
        <f t="shared" si="185"/>
        <v>1.9294199999999999</v>
      </c>
      <c r="J4757" s="85">
        <v>85.000210259171723</v>
      </c>
      <c r="K4757" s="131" t="s">
        <v>3177</v>
      </c>
      <c r="L4757" s="69">
        <v>66</v>
      </c>
    </row>
    <row r="4758" spans="1:15" ht="14" x14ac:dyDescent="0.15">
      <c r="A4758" s="73" t="s">
        <v>3635</v>
      </c>
      <c r="B4758" s="118"/>
      <c r="C4758" s="70" t="s">
        <v>3636</v>
      </c>
      <c r="D4758" s="70" t="s">
        <v>3437</v>
      </c>
      <c r="E4758" s="70" t="s">
        <v>3258</v>
      </c>
      <c r="F4758" s="70" t="s">
        <v>2926</v>
      </c>
      <c r="G4758" s="70" t="s">
        <v>6146</v>
      </c>
      <c r="H4758" s="93"/>
      <c r="I4758" s="85">
        <f t="shared" si="185"/>
        <v>1.9306900000000002</v>
      </c>
      <c r="J4758" s="85">
        <v>85.249138726077106</v>
      </c>
      <c r="K4758" s="131" t="s">
        <v>3177</v>
      </c>
      <c r="L4758" s="69">
        <v>66</v>
      </c>
    </row>
    <row r="4759" spans="1:15" ht="14" x14ac:dyDescent="0.15">
      <c r="A4759" s="70" t="s">
        <v>3635</v>
      </c>
      <c r="B4759" s="118"/>
      <c r="C4759" s="70" t="s">
        <v>3636</v>
      </c>
      <c r="D4759" s="70" t="s">
        <v>3437</v>
      </c>
      <c r="E4759" s="70" t="s">
        <v>3258</v>
      </c>
      <c r="F4759" s="70" t="s">
        <v>2926</v>
      </c>
      <c r="G4759" s="70" t="s">
        <v>6160</v>
      </c>
      <c r="H4759" s="93"/>
      <c r="I4759" s="85">
        <f t="shared" si="185"/>
        <v>1.9510900000000002</v>
      </c>
      <c r="J4759" s="85">
        <v>89.349062498642041</v>
      </c>
      <c r="K4759" s="131" t="s">
        <v>3177</v>
      </c>
      <c r="L4759" s="60">
        <v>60</v>
      </c>
    </row>
    <row r="4760" spans="1:15" ht="14" x14ac:dyDescent="0.15">
      <c r="A4760" s="70" t="s">
        <v>3635</v>
      </c>
      <c r="B4760" s="118"/>
      <c r="C4760" s="70" t="s">
        <v>3636</v>
      </c>
      <c r="D4760" s="70" t="s">
        <v>3437</v>
      </c>
      <c r="E4760" s="70" t="s">
        <v>3258</v>
      </c>
      <c r="F4760" s="70" t="s">
        <v>2926</v>
      </c>
      <c r="G4760" s="70" t="s">
        <v>6030</v>
      </c>
      <c r="H4760" s="93"/>
      <c r="I4760" s="85">
        <f t="shared" si="185"/>
        <v>1.9623700000000004</v>
      </c>
      <c r="J4760" s="85">
        <v>91.70014027142463</v>
      </c>
      <c r="K4760" s="131" t="s">
        <v>3177</v>
      </c>
      <c r="L4760" s="63">
        <v>60</v>
      </c>
    </row>
    <row r="4761" spans="1:15" ht="14" x14ac:dyDescent="0.15">
      <c r="A4761" s="70" t="s">
        <v>3635</v>
      </c>
      <c r="B4761" s="118"/>
      <c r="C4761" s="70" t="s">
        <v>3636</v>
      </c>
      <c r="D4761" s="70" t="s">
        <v>3437</v>
      </c>
      <c r="E4761" s="70" t="s">
        <v>3258</v>
      </c>
      <c r="F4761" s="70" t="s">
        <v>2926</v>
      </c>
      <c r="G4761" s="70" t="s">
        <v>3348</v>
      </c>
      <c r="H4761" s="93"/>
      <c r="I4761" s="85">
        <f t="shared" si="185"/>
        <v>2</v>
      </c>
      <c r="J4761" s="85">
        <v>100</v>
      </c>
      <c r="K4761" s="131" t="s">
        <v>3177</v>
      </c>
      <c r="L4761" s="69">
        <v>66</v>
      </c>
    </row>
    <row r="4762" spans="1:15" ht="14" x14ac:dyDescent="0.15">
      <c r="A4762" s="70" t="s">
        <v>3635</v>
      </c>
      <c r="B4762" s="118"/>
      <c r="C4762" s="70" t="s">
        <v>3636</v>
      </c>
      <c r="D4762" s="70" t="s">
        <v>3437</v>
      </c>
      <c r="E4762" s="70" t="s">
        <v>3258</v>
      </c>
      <c r="F4762" s="70" t="s">
        <v>2926</v>
      </c>
      <c r="G4762" s="70" t="s">
        <v>3626</v>
      </c>
      <c r="H4762" s="93"/>
      <c r="I4762" s="85">
        <f t="shared" si="185"/>
        <v>2.0488499999999998</v>
      </c>
      <c r="J4762" s="85">
        <v>111.90513100824023</v>
      </c>
      <c r="K4762" s="131" t="s">
        <v>3177</v>
      </c>
      <c r="L4762" s="60">
        <v>60</v>
      </c>
    </row>
    <row r="4763" spans="1:15" ht="14" x14ac:dyDescent="0.15">
      <c r="A4763" s="70" t="s">
        <v>3635</v>
      </c>
      <c r="B4763" s="118"/>
      <c r="C4763" s="70" t="s">
        <v>3636</v>
      </c>
      <c r="D4763" s="70" t="s">
        <v>3437</v>
      </c>
      <c r="E4763" s="73" t="s">
        <v>3258</v>
      </c>
      <c r="F4763" s="70" t="s">
        <v>2926</v>
      </c>
      <c r="G4763" s="70" t="s">
        <v>3989</v>
      </c>
      <c r="H4763" s="93"/>
      <c r="I4763" s="85">
        <f t="shared" si="185"/>
        <v>2.1311900000000006</v>
      </c>
      <c r="J4763" s="85">
        <v>135.26642124099396</v>
      </c>
      <c r="K4763" s="131" t="s">
        <v>3177</v>
      </c>
      <c r="L4763" s="60">
        <v>60</v>
      </c>
    </row>
    <row r="4764" spans="1:15" ht="28" x14ac:dyDescent="0.15">
      <c r="A4764" s="70" t="s">
        <v>3635</v>
      </c>
      <c r="B4764" s="118" t="s">
        <v>8013</v>
      </c>
      <c r="C4764" s="70" t="s">
        <v>3636</v>
      </c>
      <c r="D4764" s="70" t="s">
        <v>3437</v>
      </c>
      <c r="E4764" s="70" t="s">
        <v>3258</v>
      </c>
      <c r="F4764" s="70" t="s">
        <v>7713</v>
      </c>
      <c r="G4764" s="70" t="s">
        <v>3131</v>
      </c>
      <c r="H4764" s="93"/>
      <c r="I4764" s="85">
        <v>-999</v>
      </c>
      <c r="J4764" s="85">
        <v>-999</v>
      </c>
      <c r="K4764" s="131" t="s">
        <v>3177</v>
      </c>
      <c r="L4764" s="60">
        <v>-999</v>
      </c>
      <c r="M4764" s="33"/>
      <c r="O4764" s="37">
        <f>1000*10^O4763</f>
        <v>1000</v>
      </c>
    </row>
    <row r="4765" spans="1:15" ht="14" x14ac:dyDescent="0.15">
      <c r="A4765" s="70" t="s">
        <v>3635</v>
      </c>
      <c r="B4765" s="118"/>
      <c r="C4765" s="70" t="s">
        <v>3636</v>
      </c>
      <c r="D4765" s="70" t="s">
        <v>3437</v>
      </c>
      <c r="E4765" s="70" t="s">
        <v>3258</v>
      </c>
      <c r="F4765" s="70" t="s">
        <v>7713</v>
      </c>
      <c r="G4765" s="70" t="s">
        <v>7715</v>
      </c>
      <c r="H4765" s="93"/>
      <c r="I4765" s="85">
        <f t="shared" ref="I4765:I4796" si="186">LOG(J4765)</f>
        <v>2.3035600000000005</v>
      </c>
      <c r="J4765" s="85">
        <v>201.16851035713219</v>
      </c>
      <c r="K4765" s="131" t="s">
        <v>3177</v>
      </c>
      <c r="L4765" s="60">
        <v>60</v>
      </c>
    </row>
    <row r="4766" spans="1:15" ht="14" x14ac:dyDescent="0.15">
      <c r="A4766" s="70" t="s">
        <v>3635</v>
      </c>
      <c r="B4766" s="118"/>
      <c r="C4766" s="73" t="s">
        <v>3636</v>
      </c>
      <c r="D4766" s="73" t="s">
        <v>3437</v>
      </c>
      <c r="E4766" s="70" t="s">
        <v>3258</v>
      </c>
      <c r="F4766" s="73" t="s">
        <v>7713</v>
      </c>
      <c r="G4766" s="73" t="s">
        <v>7714</v>
      </c>
      <c r="H4766" s="93"/>
      <c r="I4766" s="85">
        <f t="shared" si="186"/>
        <v>2.3521800000000006</v>
      </c>
      <c r="J4766" s="95">
        <v>224.9986954165031</v>
      </c>
      <c r="K4766" s="131" t="s">
        <v>3177</v>
      </c>
      <c r="L4766" s="69">
        <v>66</v>
      </c>
    </row>
    <row r="4767" spans="1:15" ht="14" x14ac:dyDescent="0.15">
      <c r="A4767" s="70" t="s">
        <v>3635</v>
      </c>
      <c r="B4767" s="118"/>
      <c r="C4767" s="70" t="s">
        <v>3636</v>
      </c>
      <c r="D4767" s="70" t="s">
        <v>7093</v>
      </c>
      <c r="E4767" s="70" t="s">
        <v>3403</v>
      </c>
      <c r="F4767" s="70" t="s">
        <v>3375</v>
      </c>
      <c r="G4767" s="70" t="s">
        <v>3815</v>
      </c>
      <c r="H4767" s="93"/>
      <c r="I4767" s="85">
        <f t="shared" si="186"/>
        <v>5.6368217635143676</v>
      </c>
      <c r="J4767" s="85">
        <v>433333</v>
      </c>
      <c r="K4767" s="134" t="s">
        <v>6485</v>
      </c>
      <c r="L4767" s="60">
        <v>68</v>
      </c>
    </row>
    <row r="4768" spans="1:15" ht="14" x14ac:dyDescent="0.15">
      <c r="A4768" s="73" t="s">
        <v>3635</v>
      </c>
      <c r="B4768" s="118"/>
      <c r="C4768" s="70" t="s">
        <v>3636</v>
      </c>
      <c r="D4768" s="70" t="s">
        <v>6172</v>
      </c>
      <c r="E4768" s="70" t="s">
        <v>6173</v>
      </c>
      <c r="F4768" s="70" t="s">
        <v>6351</v>
      </c>
      <c r="G4768" s="70" t="s">
        <v>2924</v>
      </c>
      <c r="H4768" s="93"/>
      <c r="I4768" s="85">
        <f t="shared" si="186"/>
        <v>3.6369900000000004</v>
      </c>
      <c r="J4768" s="85">
        <v>4335.0089654558778</v>
      </c>
      <c r="K4768" s="131" t="s">
        <v>3177</v>
      </c>
      <c r="L4768" s="60">
        <v>60</v>
      </c>
      <c r="M4768" s="50"/>
    </row>
    <row r="4769" spans="1:13" ht="14" x14ac:dyDescent="0.15">
      <c r="A4769" s="70" t="s">
        <v>3635</v>
      </c>
      <c r="B4769" s="118"/>
      <c r="C4769" s="70" t="s">
        <v>3636</v>
      </c>
      <c r="D4769" s="70" t="s">
        <v>6172</v>
      </c>
      <c r="E4769" s="70" t="s">
        <v>6346</v>
      </c>
      <c r="F4769" s="70" t="s">
        <v>3149</v>
      </c>
      <c r="G4769" s="70" t="s">
        <v>3319</v>
      </c>
      <c r="H4769" s="93"/>
      <c r="I4769" s="85">
        <f t="shared" si="186"/>
        <v>3.5809199999999999</v>
      </c>
      <c r="J4769" s="85">
        <v>3809.9563493981541</v>
      </c>
      <c r="K4769" s="131" t="s">
        <v>3177</v>
      </c>
      <c r="L4769" s="60">
        <v>60</v>
      </c>
      <c r="M4769" s="49" t="s">
        <v>6727</v>
      </c>
    </row>
    <row r="4770" spans="1:13" ht="14" x14ac:dyDescent="0.15">
      <c r="A4770" s="70" t="s">
        <v>3635</v>
      </c>
      <c r="B4770" s="118"/>
      <c r="C4770" s="70" t="s">
        <v>3636</v>
      </c>
      <c r="D4770" s="70" t="s">
        <v>6172</v>
      </c>
      <c r="E4770" s="70" t="s">
        <v>6346</v>
      </c>
      <c r="F4770" s="70" t="s">
        <v>3320</v>
      </c>
      <c r="G4770" s="70" t="s">
        <v>3321</v>
      </c>
      <c r="H4770" s="93"/>
      <c r="I4770" s="85">
        <f t="shared" si="186"/>
        <v>3.62364</v>
      </c>
      <c r="J4770" s="85">
        <v>4203.7801970002665</v>
      </c>
      <c r="K4770" s="131" t="s">
        <v>3177</v>
      </c>
      <c r="L4770" s="60">
        <v>60</v>
      </c>
    </row>
    <row r="4771" spans="1:13" ht="14" x14ac:dyDescent="0.15">
      <c r="A4771" s="70" t="s">
        <v>3635</v>
      </c>
      <c r="B4771" s="118"/>
      <c r="C4771" s="70" t="s">
        <v>3636</v>
      </c>
      <c r="D4771" s="70" t="s">
        <v>6172</v>
      </c>
      <c r="E4771" s="73" t="s">
        <v>3151</v>
      </c>
      <c r="F4771" s="70" t="s">
        <v>3104</v>
      </c>
      <c r="G4771" s="70" t="s">
        <v>3106</v>
      </c>
      <c r="H4771" s="93"/>
      <c r="I4771" s="85">
        <f t="shared" si="186"/>
        <v>3.7781512503836434</v>
      </c>
      <c r="J4771" s="85">
        <v>6000</v>
      </c>
      <c r="K4771" s="131" t="s">
        <v>3177</v>
      </c>
      <c r="L4771" s="60">
        <v>75</v>
      </c>
      <c r="M4771" s="50" t="s">
        <v>6727</v>
      </c>
    </row>
    <row r="4772" spans="1:13" ht="14" x14ac:dyDescent="0.15">
      <c r="A4772" s="70" t="s">
        <v>3635</v>
      </c>
      <c r="B4772" s="118"/>
      <c r="C4772" s="70" t="s">
        <v>3636</v>
      </c>
      <c r="D4772" s="70" t="s">
        <v>6172</v>
      </c>
      <c r="E4772" s="70" t="s">
        <v>3107</v>
      </c>
      <c r="F4772" s="70" t="s">
        <v>2948</v>
      </c>
      <c r="G4772" s="70" t="s">
        <v>3105</v>
      </c>
      <c r="H4772" s="93"/>
      <c r="I4772" s="85">
        <f t="shared" si="186"/>
        <v>2.5178600000000007</v>
      </c>
      <c r="J4772" s="85">
        <v>329.50347568431044</v>
      </c>
      <c r="K4772" s="131" t="s">
        <v>3177</v>
      </c>
      <c r="L4772" s="60">
        <v>60</v>
      </c>
    </row>
    <row r="4773" spans="1:13" ht="14" x14ac:dyDescent="0.15">
      <c r="A4773" s="70" t="s">
        <v>3635</v>
      </c>
      <c r="B4773" s="118"/>
      <c r="C4773" s="70" t="s">
        <v>3636</v>
      </c>
      <c r="D4773" s="70" t="s">
        <v>6172</v>
      </c>
      <c r="E4773" s="70" t="s">
        <v>3107</v>
      </c>
      <c r="F4773" s="70" t="s">
        <v>2949</v>
      </c>
      <c r="G4773" s="70" t="s">
        <v>3588</v>
      </c>
      <c r="H4773" s="93"/>
      <c r="I4773" s="85">
        <f t="shared" si="186"/>
        <v>4.3489500000000003</v>
      </c>
      <c r="J4773" s="85">
        <v>22333.150881274611</v>
      </c>
      <c r="K4773" s="131" t="s">
        <v>6817</v>
      </c>
      <c r="L4773" s="60">
        <v>60</v>
      </c>
      <c r="M4773" s="49" t="s">
        <v>6728</v>
      </c>
    </row>
    <row r="4774" spans="1:13" ht="14" x14ac:dyDescent="0.15">
      <c r="A4774" s="70" t="s">
        <v>3635</v>
      </c>
      <c r="B4774" s="118"/>
      <c r="C4774" s="70" t="s">
        <v>3636</v>
      </c>
      <c r="D4774" s="70" t="s">
        <v>6172</v>
      </c>
      <c r="E4774" s="70" t="s">
        <v>3107</v>
      </c>
      <c r="F4774" s="70" t="s">
        <v>3121</v>
      </c>
      <c r="G4774" s="70" t="s">
        <v>4194</v>
      </c>
      <c r="H4774" s="93"/>
      <c r="I4774" s="85">
        <f t="shared" si="186"/>
        <v>3.6242800000000002</v>
      </c>
      <c r="J4774" s="85">
        <v>4209.9796832627626</v>
      </c>
      <c r="K4774" s="131" t="s">
        <v>3177</v>
      </c>
      <c r="L4774" s="60">
        <v>60</v>
      </c>
    </row>
    <row r="4775" spans="1:13" ht="16" x14ac:dyDescent="0.2">
      <c r="A4775" s="73" t="s">
        <v>7877</v>
      </c>
      <c r="B4775" s="118"/>
      <c r="C4775" s="70" t="s">
        <v>3636</v>
      </c>
      <c r="D4775" s="70" t="s">
        <v>6510</v>
      </c>
      <c r="E4775" s="70" t="s">
        <v>6511</v>
      </c>
      <c r="F4775" s="70" t="s">
        <v>5371</v>
      </c>
      <c r="G4775" s="70" t="s">
        <v>5372</v>
      </c>
      <c r="H4775" s="93"/>
      <c r="I4775" s="85">
        <f t="shared" si="186"/>
        <v>8</v>
      </c>
      <c r="J4775" s="85">
        <v>100000000</v>
      </c>
      <c r="K4775" s="131" t="s">
        <v>6485</v>
      </c>
      <c r="L4775" s="60">
        <v>68</v>
      </c>
      <c r="M4775" s="47"/>
    </row>
    <row r="4776" spans="1:13" ht="16" x14ac:dyDescent="0.2">
      <c r="A4776" s="70" t="s">
        <v>7877</v>
      </c>
      <c r="B4776" s="118"/>
      <c r="C4776" s="70" t="s">
        <v>3636</v>
      </c>
      <c r="D4776" s="70" t="s">
        <v>6510</v>
      </c>
      <c r="E4776" s="70" t="s">
        <v>6511</v>
      </c>
      <c r="F4776" s="70" t="s">
        <v>5373</v>
      </c>
      <c r="G4776" s="70" t="s">
        <v>3608</v>
      </c>
      <c r="H4776" s="93"/>
      <c r="I4776" s="85">
        <f t="shared" si="186"/>
        <v>7.3617278360175931</v>
      </c>
      <c r="J4776" s="85">
        <v>23000000</v>
      </c>
      <c r="K4776" s="131" t="s">
        <v>6485</v>
      </c>
      <c r="L4776" s="60">
        <v>68</v>
      </c>
      <c r="M4776" s="47"/>
    </row>
    <row r="4777" spans="1:13" ht="16" x14ac:dyDescent="0.2">
      <c r="A4777" s="70" t="s">
        <v>7877</v>
      </c>
      <c r="B4777" s="118"/>
      <c r="C4777" s="70" t="s">
        <v>3636</v>
      </c>
      <c r="D4777" s="70" t="s">
        <v>6510</v>
      </c>
      <c r="E4777" s="70" t="s">
        <v>6511</v>
      </c>
      <c r="F4777" s="70" t="s">
        <v>5373</v>
      </c>
      <c r="G4777" s="70" t="s">
        <v>5374</v>
      </c>
      <c r="H4777" s="93"/>
      <c r="I4777" s="85">
        <f t="shared" si="186"/>
        <v>7.3617278360175931</v>
      </c>
      <c r="J4777" s="85">
        <v>23000000</v>
      </c>
      <c r="K4777" s="131" t="s">
        <v>6485</v>
      </c>
      <c r="L4777" s="63">
        <v>68</v>
      </c>
      <c r="M4777" s="47"/>
    </row>
    <row r="4778" spans="1:13" ht="16" x14ac:dyDescent="0.2">
      <c r="A4778" s="70" t="s">
        <v>7877</v>
      </c>
      <c r="B4778" s="118"/>
      <c r="C4778" s="70" t="s">
        <v>3636</v>
      </c>
      <c r="D4778" s="70" t="s">
        <v>6510</v>
      </c>
      <c r="E4778" s="70" t="s">
        <v>6500</v>
      </c>
      <c r="F4778" s="70" t="s">
        <v>5639</v>
      </c>
      <c r="G4778" s="70" t="s">
        <v>5640</v>
      </c>
      <c r="H4778" s="93"/>
      <c r="I4778" s="85">
        <f t="shared" si="186"/>
        <v>7</v>
      </c>
      <c r="J4778" s="85">
        <v>10000000</v>
      </c>
      <c r="K4778" s="131" t="s">
        <v>6485</v>
      </c>
      <c r="L4778" s="63">
        <v>68</v>
      </c>
      <c r="M4778" s="47"/>
    </row>
    <row r="4779" spans="1:13" ht="16" x14ac:dyDescent="0.2">
      <c r="A4779" s="70" t="s">
        <v>7877</v>
      </c>
      <c r="B4779" s="118"/>
      <c r="C4779" s="70" t="s">
        <v>3636</v>
      </c>
      <c r="D4779" s="70" t="s">
        <v>6510</v>
      </c>
      <c r="E4779" s="70" t="s">
        <v>6500</v>
      </c>
      <c r="F4779" s="70" t="s">
        <v>5639</v>
      </c>
      <c r="G4779" s="70" t="s">
        <v>4445</v>
      </c>
      <c r="H4779" s="93"/>
      <c r="I4779" s="85">
        <f t="shared" si="186"/>
        <v>7.3010299956639813</v>
      </c>
      <c r="J4779" s="85">
        <v>20000000</v>
      </c>
      <c r="K4779" s="131" t="s">
        <v>6485</v>
      </c>
      <c r="L4779" s="60">
        <v>68</v>
      </c>
      <c r="M4779" s="47"/>
    </row>
    <row r="4780" spans="1:13" ht="16" x14ac:dyDescent="0.2">
      <c r="A4780" s="70" t="s">
        <v>7877</v>
      </c>
      <c r="B4780" s="118"/>
      <c r="C4780" s="70" t="s">
        <v>3636</v>
      </c>
      <c r="D4780" s="70" t="s">
        <v>6510</v>
      </c>
      <c r="E4780" s="70" t="s">
        <v>6500</v>
      </c>
      <c r="F4780" s="70" t="s">
        <v>5639</v>
      </c>
      <c r="G4780" s="70" t="s">
        <v>5382</v>
      </c>
      <c r="H4780" s="93"/>
      <c r="I4780" s="85">
        <f t="shared" si="186"/>
        <v>7.3010299956639813</v>
      </c>
      <c r="J4780" s="85">
        <v>20000000</v>
      </c>
      <c r="K4780" s="131" t="s">
        <v>6485</v>
      </c>
      <c r="L4780" s="60">
        <v>68</v>
      </c>
      <c r="M4780" s="47"/>
    </row>
    <row r="4781" spans="1:13" ht="16" x14ac:dyDescent="0.2">
      <c r="A4781" s="73" t="s">
        <v>7877</v>
      </c>
      <c r="B4781" s="118"/>
      <c r="C4781" s="70" t="s">
        <v>3636</v>
      </c>
      <c r="D4781" s="70" t="s">
        <v>6510</v>
      </c>
      <c r="E4781" s="70" t="s">
        <v>6500</v>
      </c>
      <c r="F4781" s="70" t="s">
        <v>5639</v>
      </c>
      <c r="G4781" s="70" t="s">
        <v>5383</v>
      </c>
      <c r="H4781" s="93"/>
      <c r="I4781" s="85">
        <f t="shared" si="186"/>
        <v>7.8450980400142569</v>
      </c>
      <c r="J4781" s="85">
        <v>70000000</v>
      </c>
      <c r="K4781" s="131" t="s">
        <v>6485</v>
      </c>
      <c r="L4781" s="60">
        <v>68</v>
      </c>
      <c r="M4781" s="47"/>
    </row>
    <row r="4782" spans="1:13" ht="16" x14ac:dyDescent="0.2">
      <c r="A4782" s="70" t="s">
        <v>7877</v>
      </c>
      <c r="B4782" s="118"/>
      <c r="C4782" s="70" t="s">
        <v>3636</v>
      </c>
      <c r="D4782" s="70" t="s">
        <v>6510</v>
      </c>
      <c r="E4782" s="70" t="s">
        <v>6500</v>
      </c>
      <c r="F4782" s="70" t="s">
        <v>5639</v>
      </c>
      <c r="G4782" s="70" t="s">
        <v>4126</v>
      </c>
      <c r="H4782" s="93"/>
      <c r="I4782" s="85">
        <f t="shared" si="186"/>
        <v>8.2787536009528289</v>
      </c>
      <c r="J4782" s="85">
        <v>190000000</v>
      </c>
      <c r="K4782" s="131" t="s">
        <v>6485</v>
      </c>
      <c r="L4782" s="63">
        <v>68</v>
      </c>
      <c r="M4782" s="47"/>
    </row>
    <row r="4783" spans="1:13" ht="16" x14ac:dyDescent="0.2">
      <c r="A4783" s="70" t="s">
        <v>7877</v>
      </c>
      <c r="B4783" s="118"/>
      <c r="C4783" s="70" t="s">
        <v>3636</v>
      </c>
      <c r="D4783" s="70" t="s">
        <v>6510</v>
      </c>
      <c r="E4783" s="70" t="s">
        <v>6500</v>
      </c>
      <c r="F4783" s="70" t="s">
        <v>4922</v>
      </c>
      <c r="G4783" s="70" t="s">
        <v>5387</v>
      </c>
      <c r="H4783" s="93"/>
      <c r="I4783" s="85">
        <f t="shared" si="186"/>
        <v>7.4771212547196626</v>
      </c>
      <c r="J4783" s="85">
        <v>30000000</v>
      </c>
      <c r="K4783" s="131" t="s">
        <v>6485</v>
      </c>
      <c r="L4783" s="60">
        <v>68</v>
      </c>
      <c r="M4783" s="47"/>
    </row>
    <row r="4784" spans="1:13" ht="16" x14ac:dyDescent="0.2">
      <c r="A4784" s="70" t="s">
        <v>7877</v>
      </c>
      <c r="B4784" s="118"/>
      <c r="C4784" s="70" t="s">
        <v>3636</v>
      </c>
      <c r="D4784" s="70" t="s">
        <v>6510</v>
      </c>
      <c r="E4784" s="70" t="s">
        <v>6501</v>
      </c>
      <c r="F4784" s="70" t="s">
        <v>6186</v>
      </c>
      <c r="G4784" s="70" t="s">
        <v>3520</v>
      </c>
      <c r="H4784" s="93"/>
      <c r="I4784" s="85">
        <f t="shared" si="186"/>
        <v>4.6020599913279625</v>
      </c>
      <c r="J4784" s="95">
        <v>40000</v>
      </c>
      <c r="K4784" s="131" t="s">
        <v>3177</v>
      </c>
      <c r="L4784" s="60">
        <v>106</v>
      </c>
      <c r="M4784" s="47"/>
    </row>
    <row r="4785" spans="1:14" ht="16" x14ac:dyDescent="0.2">
      <c r="A4785" s="70" t="s">
        <v>7877</v>
      </c>
      <c r="B4785" s="118"/>
      <c r="C4785" s="70" t="s">
        <v>3636</v>
      </c>
      <c r="D4785" s="70" t="s">
        <v>6510</v>
      </c>
      <c r="E4785" s="70" t="s">
        <v>6501</v>
      </c>
      <c r="F4785" s="70" t="s">
        <v>6186</v>
      </c>
      <c r="G4785" s="70" t="s">
        <v>5861</v>
      </c>
      <c r="H4785" s="93"/>
      <c r="I4785" s="85">
        <f t="shared" si="186"/>
        <v>4.653212513775344</v>
      </c>
      <c r="J4785" s="85">
        <v>45000</v>
      </c>
      <c r="K4785" s="131" t="s">
        <v>3177</v>
      </c>
      <c r="L4785" s="60">
        <v>137</v>
      </c>
      <c r="M4785" s="47"/>
      <c r="N4785" s="48"/>
    </row>
    <row r="4786" spans="1:14" ht="16" x14ac:dyDescent="0.2">
      <c r="A4786" s="70" t="s">
        <v>7877</v>
      </c>
      <c r="B4786" s="118"/>
      <c r="C4786" s="70" t="s">
        <v>3636</v>
      </c>
      <c r="D4786" s="70" t="s">
        <v>6510</v>
      </c>
      <c r="E4786" s="70" t="s">
        <v>6501</v>
      </c>
      <c r="F4786" s="70" t="s">
        <v>6186</v>
      </c>
      <c r="G4786" s="70" t="s">
        <v>5451</v>
      </c>
      <c r="H4786" s="93"/>
      <c r="I4786" s="85">
        <f t="shared" si="186"/>
        <v>4.6989700043360187</v>
      </c>
      <c r="J4786" s="85">
        <v>50000</v>
      </c>
      <c r="K4786" s="131" t="s">
        <v>6485</v>
      </c>
      <c r="L4786" s="60">
        <v>-999</v>
      </c>
      <c r="M4786" s="47"/>
    </row>
    <row r="4787" spans="1:14" ht="16" x14ac:dyDescent="0.2">
      <c r="A4787" s="70" t="s">
        <v>7877</v>
      </c>
      <c r="B4787" s="118"/>
      <c r="C4787" s="70" t="s">
        <v>3636</v>
      </c>
      <c r="D4787" s="70" t="s">
        <v>6510</v>
      </c>
      <c r="E4787" s="70" t="s">
        <v>6501</v>
      </c>
      <c r="F4787" s="70" t="s">
        <v>6186</v>
      </c>
      <c r="G4787" s="70" t="s">
        <v>6200</v>
      </c>
      <c r="H4787" s="93"/>
      <c r="I4787" s="85">
        <f t="shared" si="186"/>
        <v>4.8597385661971471</v>
      </c>
      <c r="J4787" s="85">
        <v>72400</v>
      </c>
      <c r="K4787" s="131" t="s">
        <v>6485</v>
      </c>
      <c r="L4787" s="60">
        <v>68</v>
      </c>
      <c r="M4787" s="47"/>
    </row>
    <row r="4788" spans="1:14" ht="16" x14ac:dyDescent="0.2">
      <c r="A4788" s="70" t="s">
        <v>7877</v>
      </c>
      <c r="B4788" s="118"/>
      <c r="C4788" s="70" t="s">
        <v>3636</v>
      </c>
      <c r="D4788" s="70" t="s">
        <v>6510</v>
      </c>
      <c r="E4788" s="70" t="s">
        <v>6501</v>
      </c>
      <c r="F4788" s="70" t="s">
        <v>6194</v>
      </c>
      <c r="G4788" s="70" t="s">
        <v>5445</v>
      </c>
      <c r="H4788" s="93"/>
      <c r="I4788" s="85">
        <f t="shared" si="186"/>
        <v>4.9030899869919438</v>
      </c>
      <c r="J4788" s="85">
        <v>80000</v>
      </c>
      <c r="K4788" s="131" t="s">
        <v>6485</v>
      </c>
      <c r="L4788" s="60">
        <v>68</v>
      </c>
      <c r="M4788" s="47"/>
    </row>
    <row r="4789" spans="1:14" ht="16" x14ac:dyDescent="0.2">
      <c r="A4789" s="70" t="s">
        <v>7877</v>
      </c>
      <c r="B4789" s="118"/>
      <c r="C4789" s="70" t="s">
        <v>3636</v>
      </c>
      <c r="D4789" s="70" t="s">
        <v>6510</v>
      </c>
      <c r="E4789" s="70" t="s">
        <v>6501</v>
      </c>
      <c r="F4789" s="70" t="s">
        <v>3960</v>
      </c>
      <c r="G4789" s="70" t="s">
        <v>4912</v>
      </c>
      <c r="H4789" s="93"/>
      <c r="I4789" s="85">
        <f t="shared" si="186"/>
        <v>5.2304489213782741</v>
      </c>
      <c r="J4789" s="85">
        <v>170000</v>
      </c>
      <c r="K4789" s="131"/>
      <c r="L4789" s="60">
        <v>106</v>
      </c>
      <c r="M4789" s="47"/>
    </row>
    <row r="4790" spans="1:14" ht="16" x14ac:dyDescent="0.2">
      <c r="A4790" s="70" t="s">
        <v>7877</v>
      </c>
      <c r="B4790" s="118"/>
      <c r="C4790" s="70" t="s">
        <v>3636</v>
      </c>
      <c r="D4790" s="70" t="s">
        <v>6510</v>
      </c>
      <c r="E4790" s="70" t="s">
        <v>6501</v>
      </c>
      <c r="F4790" s="70" t="s">
        <v>6189</v>
      </c>
      <c r="G4790" s="70" t="s">
        <v>5448</v>
      </c>
      <c r="H4790" s="93"/>
      <c r="I4790" s="85">
        <f t="shared" si="186"/>
        <v>5.8609366207000937</v>
      </c>
      <c r="J4790" s="85">
        <v>726000</v>
      </c>
      <c r="K4790" s="131" t="s">
        <v>6485</v>
      </c>
      <c r="L4790" s="60">
        <v>68</v>
      </c>
      <c r="M4790" s="47"/>
    </row>
    <row r="4791" spans="1:14" ht="16" x14ac:dyDescent="0.2">
      <c r="A4791" s="73" t="s">
        <v>7877</v>
      </c>
      <c r="B4791" s="118"/>
      <c r="C4791" s="70" t="s">
        <v>3636</v>
      </c>
      <c r="D4791" s="70" t="s">
        <v>6510</v>
      </c>
      <c r="E4791" s="70" t="s">
        <v>6501</v>
      </c>
      <c r="F4791" s="70" t="s">
        <v>6189</v>
      </c>
      <c r="G4791" s="70" t="s">
        <v>5449</v>
      </c>
      <c r="H4791" s="93"/>
      <c r="I4791" s="85">
        <f t="shared" si="186"/>
        <v>5.9030899869919438</v>
      </c>
      <c r="J4791" s="85">
        <v>800000</v>
      </c>
      <c r="K4791" s="131" t="s">
        <v>6485</v>
      </c>
      <c r="L4791" s="60">
        <v>68</v>
      </c>
      <c r="M4791" s="47"/>
    </row>
    <row r="4792" spans="1:14" ht="34" x14ac:dyDescent="0.2">
      <c r="A4792" s="70" t="s">
        <v>7877</v>
      </c>
      <c r="B4792" s="118"/>
      <c r="C4792" s="70" t="s">
        <v>3636</v>
      </c>
      <c r="D4792" s="70" t="s">
        <v>6510</v>
      </c>
      <c r="E4792" s="70" t="s">
        <v>6501</v>
      </c>
      <c r="F4792" s="70" t="s">
        <v>3274</v>
      </c>
      <c r="G4792" s="70" t="s">
        <v>2118</v>
      </c>
      <c r="H4792" s="93"/>
      <c r="I4792" s="85">
        <f t="shared" si="186"/>
        <v>5.5882717068423293</v>
      </c>
      <c r="J4792" s="85">
        <f>AVERAGE(400000, 375000)</f>
        <v>387500</v>
      </c>
      <c r="K4792" s="131" t="s">
        <v>3177</v>
      </c>
      <c r="L4792" s="60" t="s">
        <v>6689</v>
      </c>
      <c r="M4792" s="47" t="s">
        <v>7882</v>
      </c>
    </row>
    <row r="4793" spans="1:14" ht="16" x14ac:dyDescent="0.2">
      <c r="A4793" s="70" t="s">
        <v>7877</v>
      </c>
      <c r="B4793" s="118"/>
      <c r="C4793" s="70" t="s">
        <v>3636</v>
      </c>
      <c r="D4793" s="70" t="s">
        <v>6510</v>
      </c>
      <c r="E4793" s="70" t="s">
        <v>6501</v>
      </c>
      <c r="F4793" s="70" t="s">
        <v>5450</v>
      </c>
      <c r="G4793" s="70" t="s">
        <v>5447</v>
      </c>
      <c r="H4793" s="93"/>
      <c r="I4793" s="85">
        <f t="shared" si="186"/>
        <v>5.214843848047698</v>
      </c>
      <c r="J4793" s="85">
        <v>164000</v>
      </c>
      <c r="K4793" s="131" t="s">
        <v>6485</v>
      </c>
      <c r="L4793" s="60">
        <v>68</v>
      </c>
      <c r="M4793" s="47"/>
    </row>
    <row r="4794" spans="1:14" ht="16" x14ac:dyDescent="0.2">
      <c r="A4794" s="70" t="s">
        <v>7877</v>
      </c>
      <c r="B4794" s="118"/>
      <c r="C4794" s="70" t="s">
        <v>3636</v>
      </c>
      <c r="D4794" s="70" t="s">
        <v>6510</v>
      </c>
      <c r="E4794" s="70" t="s">
        <v>6501</v>
      </c>
      <c r="F4794" s="70" t="s">
        <v>6367</v>
      </c>
      <c r="G4794" s="70" t="s">
        <v>3275</v>
      </c>
      <c r="H4794" s="93"/>
      <c r="I4794" s="85">
        <f t="shared" si="186"/>
        <v>5.0413926851582254</v>
      </c>
      <c r="J4794" s="85">
        <v>110000</v>
      </c>
      <c r="K4794" s="131" t="s">
        <v>3177</v>
      </c>
      <c r="L4794" s="60">
        <v>137</v>
      </c>
      <c r="M4794" s="47"/>
    </row>
    <row r="4795" spans="1:14" ht="16" x14ac:dyDescent="0.2">
      <c r="A4795" s="70" t="s">
        <v>7877</v>
      </c>
      <c r="B4795" s="118"/>
      <c r="C4795" s="70" t="s">
        <v>3636</v>
      </c>
      <c r="D4795" s="70" t="s">
        <v>6510</v>
      </c>
      <c r="E4795" s="70" t="s">
        <v>6501</v>
      </c>
      <c r="F4795" s="70" t="s">
        <v>6367</v>
      </c>
      <c r="G4795" s="70" t="s">
        <v>3608</v>
      </c>
      <c r="H4795" s="93"/>
      <c r="I4795" s="85">
        <f t="shared" si="186"/>
        <v>5.0791812460476251</v>
      </c>
      <c r="J4795" s="85">
        <v>120000</v>
      </c>
      <c r="K4795" s="131" t="s">
        <v>3177</v>
      </c>
      <c r="L4795" s="60">
        <v>137</v>
      </c>
      <c r="M4795" s="47"/>
      <c r="N4795" s="48"/>
    </row>
    <row r="4796" spans="1:14" ht="16" x14ac:dyDescent="0.2">
      <c r="A4796" s="70" t="s">
        <v>7877</v>
      </c>
      <c r="B4796" s="118"/>
      <c r="C4796" s="70" t="s">
        <v>3636</v>
      </c>
      <c r="D4796" s="70" t="s">
        <v>6510</v>
      </c>
      <c r="E4796" s="70" t="s">
        <v>6501</v>
      </c>
      <c r="F4796" s="70" t="s">
        <v>6367</v>
      </c>
      <c r="G4796" s="70" t="s">
        <v>3479</v>
      </c>
      <c r="H4796" s="93"/>
      <c r="I4796" s="85">
        <f t="shared" si="186"/>
        <v>5.0791812460476251</v>
      </c>
      <c r="J4796" s="85">
        <v>120000</v>
      </c>
      <c r="K4796" s="131" t="s">
        <v>3177</v>
      </c>
      <c r="L4796" s="60">
        <v>137</v>
      </c>
      <c r="M4796" s="47"/>
    </row>
    <row r="4797" spans="1:14" ht="16" x14ac:dyDescent="0.2">
      <c r="A4797" s="70" t="s">
        <v>7877</v>
      </c>
      <c r="B4797" s="118"/>
      <c r="C4797" s="70" t="s">
        <v>3636</v>
      </c>
      <c r="D4797" s="70" t="s">
        <v>6510</v>
      </c>
      <c r="E4797" s="70" t="s">
        <v>6501</v>
      </c>
      <c r="F4797" s="70" t="s">
        <v>6367</v>
      </c>
      <c r="G4797" s="70" t="s">
        <v>7275</v>
      </c>
      <c r="H4797" s="93"/>
      <c r="I4797" s="85">
        <f t="shared" ref="I4797:I4828" si="187">LOG(J4797)</f>
        <v>5.1055101847699742</v>
      </c>
      <c r="J4797" s="85">
        <f>AVERAGE(115000, 140000)</f>
        <v>127500</v>
      </c>
      <c r="K4797" s="131" t="s">
        <v>3177</v>
      </c>
      <c r="L4797" s="60">
        <v>137</v>
      </c>
      <c r="M4797" s="47"/>
    </row>
    <row r="4798" spans="1:14" ht="16" x14ac:dyDescent="0.2">
      <c r="A4798" s="70" t="s">
        <v>7877</v>
      </c>
      <c r="B4798" s="118"/>
      <c r="C4798" s="70" t="s">
        <v>3636</v>
      </c>
      <c r="D4798" s="70" t="s">
        <v>6510</v>
      </c>
      <c r="E4798" s="70" t="s">
        <v>6501</v>
      </c>
      <c r="F4798" s="70" t="s">
        <v>6367</v>
      </c>
      <c r="G4798" s="70" t="s">
        <v>5766</v>
      </c>
      <c r="H4798" s="93"/>
      <c r="I4798" s="85">
        <f t="shared" si="187"/>
        <v>5.2552725051033065</v>
      </c>
      <c r="J4798" s="85">
        <v>180000</v>
      </c>
      <c r="K4798" s="131" t="s">
        <v>3177</v>
      </c>
      <c r="L4798" s="60">
        <v>134</v>
      </c>
      <c r="M4798" s="47"/>
      <c r="N4798" s="50"/>
    </row>
    <row r="4799" spans="1:14" ht="16" x14ac:dyDescent="0.2">
      <c r="A4799" s="70" t="s">
        <v>7877</v>
      </c>
      <c r="B4799" s="118"/>
      <c r="C4799" s="70" t="s">
        <v>3636</v>
      </c>
      <c r="D4799" s="70" t="s">
        <v>6510</v>
      </c>
      <c r="E4799" s="70" t="s">
        <v>6501</v>
      </c>
      <c r="F4799" s="70" t="s">
        <v>6367</v>
      </c>
      <c r="G4799" s="70" t="s">
        <v>5452</v>
      </c>
      <c r="H4799" s="93"/>
      <c r="I4799" s="85">
        <f t="shared" si="187"/>
        <v>5.2600713879850751</v>
      </c>
      <c r="J4799" s="85">
        <v>182000</v>
      </c>
      <c r="K4799" s="131" t="s">
        <v>6485</v>
      </c>
      <c r="L4799" s="60">
        <v>68</v>
      </c>
      <c r="M4799" s="47"/>
    </row>
    <row r="4800" spans="1:14" ht="16" x14ac:dyDescent="0.2">
      <c r="A4800" s="70" t="s">
        <v>7877</v>
      </c>
      <c r="B4800" s="118"/>
      <c r="C4800" s="70" t="s">
        <v>3636</v>
      </c>
      <c r="D4800" s="70" t="s">
        <v>6510</v>
      </c>
      <c r="E4800" s="70" t="s">
        <v>6501</v>
      </c>
      <c r="F4800" s="70" t="s">
        <v>3480</v>
      </c>
      <c r="G4800" s="70" t="s">
        <v>4445</v>
      </c>
      <c r="H4800" s="93"/>
      <c r="I4800" s="85">
        <f t="shared" si="187"/>
        <v>5.0530784434834199</v>
      </c>
      <c r="J4800" s="85">
        <v>113000</v>
      </c>
      <c r="K4800" s="131" t="s">
        <v>6705</v>
      </c>
      <c r="L4800" s="60">
        <v>88</v>
      </c>
      <c r="M4800" s="47"/>
    </row>
    <row r="4801" spans="1:14" ht="16" x14ac:dyDescent="0.2">
      <c r="A4801" s="70" t="s">
        <v>7877</v>
      </c>
      <c r="B4801" s="118"/>
      <c r="C4801" s="70" t="s">
        <v>3636</v>
      </c>
      <c r="D4801" s="70" t="s">
        <v>6510</v>
      </c>
      <c r="E4801" s="70" t="s">
        <v>6501</v>
      </c>
      <c r="F4801" s="70" t="s">
        <v>3480</v>
      </c>
      <c r="G4801" s="70" t="s">
        <v>3965</v>
      </c>
      <c r="H4801" s="93"/>
      <c r="I4801" s="85">
        <f t="shared" si="187"/>
        <v>5.0644579892269181</v>
      </c>
      <c r="J4801" s="85">
        <v>116000</v>
      </c>
      <c r="K4801" s="131" t="s">
        <v>6705</v>
      </c>
      <c r="L4801" s="60">
        <v>93</v>
      </c>
      <c r="M4801" s="47"/>
    </row>
    <row r="4802" spans="1:14" ht="16" x14ac:dyDescent="0.2">
      <c r="A4802" s="70" t="s">
        <v>7877</v>
      </c>
      <c r="B4802" s="119"/>
      <c r="C4802" s="70" t="s">
        <v>3636</v>
      </c>
      <c r="D4802" s="70" t="s">
        <v>6510</v>
      </c>
      <c r="E4802" s="70" t="s">
        <v>6501</v>
      </c>
      <c r="F4802" s="70" t="s">
        <v>5446</v>
      </c>
      <c r="G4802" s="70" t="s">
        <v>5454</v>
      </c>
      <c r="H4802" s="93"/>
      <c r="I4802" s="85">
        <f t="shared" si="187"/>
        <v>5.2787536009528289</v>
      </c>
      <c r="J4802" s="85">
        <v>190000</v>
      </c>
      <c r="K4802" s="131" t="s">
        <v>6485</v>
      </c>
      <c r="L4802" s="60">
        <v>68</v>
      </c>
      <c r="M4802" s="47"/>
    </row>
    <row r="4803" spans="1:14" ht="16" x14ac:dyDescent="0.2">
      <c r="A4803" s="70" t="s">
        <v>7877</v>
      </c>
      <c r="B4803" s="118"/>
      <c r="C4803" s="70" t="s">
        <v>3636</v>
      </c>
      <c r="D4803" s="70" t="s">
        <v>6510</v>
      </c>
      <c r="E4803" s="70" t="s">
        <v>6501</v>
      </c>
      <c r="F4803" s="70" t="s">
        <v>3119</v>
      </c>
      <c r="G4803" s="70" t="s">
        <v>3120</v>
      </c>
      <c r="H4803" s="93"/>
      <c r="I4803" s="85">
        <f t="shared" si="187"/>
        <v>6.6334684555795862</v>
      </c>
      <c r="J4803" s="85">
        <v>4300000</v>
      </c>
      <c r="K4803" s="131" t="s">
        <v>6485</v>
      </c>
      <c r="L4803" s="60">
        <v>68</v>
      </c>
      <c r="M4803" s="47"/>
    </row>
    <row r="4804" spans="1:14" ht="16" x14ac:dyDescent="0.2">
      <c r="A4804" s="70" t="s">
        <v>7877</v>
      </c>
      <c r="B4804" s="118"/>
      <c r="C4804" s="70" t="s">
        <v>3636</v>
      </c>
      <c r="D4804" s="70" t="s">
        <v>6510</v>
      </c>
      <c r="E4804" s="70" t="s">
        <v>6501</v>
      </c>
      <c r="F4804" s="70" t="s">
        <v>2955</v>
      </c>
      <c r="G4804" s="70" t="s">
        <v>3156</v>
      </c>
      <c r="H4804" s="93"/>
      <c r="I4804" s="85">
        <f t="shared" si="187"/>
        <v>5.3138672203691533</v>
      </c>
      <c r="J4804" s="85">
        <v>206000</v>
      </c>
      <c r="K4804" s="131" t="s">
        <v>6485</v>
      </c>
      <c r="L4804" s="60">
        <v>68</v>
      </c>
      <c r="M4804" s="47"/>
    </row>
    <row r="4805" spans="1:14" ht="16" x14ac:dyDescent="0.2">
      <c r="A4805" s="73" t="s">
        <v>7877</v>
      </c>
      <c r="B4805" s="118"/>
      <c r="C4805" s="70" t="s">
        <v>3636</v>
      </c>
      <c r="D4805" s="70" t="s">
        <v>6510</v>
      </c>
      <c r="E4805" s="70" t="s">
        <v>6501</v>
      </c>
      <c r="F4805" s="70" t="s">
        <v>3157</v>
      </c>
      <c r="G4805" s="70" t="s">
        <v>3158</v>
      </c>
      <c r="H4805" s="93"/>
      <c r="I4805" s="85">
        <f t="shared" si="187"/>
        <v>6.1335389083702179</v>
      </c>
      <c r="J4805" s="85">
        <v>1360000</v>
      </c>
      <c r="K4805" s="131" t="s">
        <v>6485</v>
      </c>
      <c r="L4805" s="60">
        <v>68</v>
      </c>
      <c r="M4805" s="47"/>
    </row>
    <row r="4806" spans="1:14" ht="16" x14ac:dyDescent="0.2">
      <c r="A4806" s="70" t="s">
        <v>7877</v>
      </c>
      <c r="B4806" s="118"/>
      <c r="C4806" s="70" t="s">
        <v>3636</v>
      </c>
      <c r="D4806" s="70" t="s">
        <v>6510</v>
      </c>
      <c r="E4806" s="70" t="s">
        <v>6501</v>
      </c>
      <c r="F4806" s="70" t="s">
        <v>3481</v>
      </c>
      <c r="G4806" s="70" t="s">
        <v>3482</v>
      </c>
      <c r="H4806" s="93"/>
      <c r="I4806" s="85">
        <f t="shared" si="187"/>
        <v>4.7781512503836439</v>
      </c>
      <c r="J4806" s="85">
        <v>60000</v>
      </c>
      <c r="K4806" s="131" t="s">
        <v>3177</v>
      </c>
      <c r="L4806" s="60">
        <v>137</v>
      </c>
      <c r="M4806" s="47"/>
    </row>
    <row r="4807" spans="1:14" ht="16" x14ac:dyDescent="0.2">
      <c r="A4807" s="73" t="s">
        <v>7877</v>
      </c>
      <c r="B4807" s="118"/>
      <c r="C4807" s="70" t="s">
        <v>3636</v>
      </c>
      <c r="D4807" s="70" t="s">
        <v>6510</v>
      </c>
      <c r="E4807" s="70" t="s">
        <v>6501</v>
      </c>
      <c r="F4807" s="70" t="s">
        <v>3483</v>
      </c>
      <c r="G4807" s="70" t="s">
        <v>3484</v>
      </c>
      <c r="H4807" s="93"/>
      <c r="I4807" s="85">
        <f t="shared" si="187"/>
        <v>5</v>
      </c>
      <c r="J4807" s="85">
        <v>100000</v>
      </c>
      <c r="K4807" s="131" t="s">
        <v>3177</v>
      </c>
      <c r="L4807" s="60">
        <v>137</v>
      </c>
      <c r="M4807" s="47"/>
    </row>
    <row r="4808" spans="1:14" ht="16" x14ac:dyDescent="0.2">
      <c r="A4808" s="70" t="s">
        <v>7877</v>
      </c>
      <c r="B4808" s="118"/>
      <c r="C4808" s="70" t="s">
        <v>3636</v>
      </c>
      <c r="D4808" s="70" t="s">
        <v>6510</v>
      </c>
      <c r="E4808" s="70" t="s">
        <v>6501</v>
      </c>
      <c r="F4808" s="70" t="s">
        <v>3483</v>
      </c>
      <c r="G4808" s="70" t="s">
        <v>3855</v>
      </c>
      <c r="H4808" s="93"/>
      <c r="I4808" s="85">
        <f t="shared" si="187"/>
        <v>5.4471580313422194</v>
      </c>
      <c r="J4808" s="85">
        <v>280000</v>
      </c>
      <c r="K4808" s="131" t="s">
        <v>3177</v>
      </c>
      <c r="L4808" s="60" t="s">
        <v>6777</v>
      </c>
      <c r="M4808" s="47"/>
    </row>
    <row r="4809" spans="1:14" ht="16" x14ac:dyDescent="0.2">
      <c r="A4809" s="70" t="s">
        <v>7877</v>
      </c>
      <c r="B4809" s="118"/>
      <c r="C4809" s="70" t="s">
        <v>3636</v>
      </c>
      <c r="D4809" s="70" t="s">
        <v>6510</v>
      </c>
      <c r="E4809" s="70" t="s">
        <v>6501</v>
      </c>
      <c r="F4809" s="70" t="s">
        <v>2947</v>
      </c>
      <c r="G4809" s="70" t="s">
        <v>2323</v>
      </c>
      <c r="H4809" s="93"/>
      <c r="I4809" s="85">
        <f t="shared" si="187"/>
        <v>4.7032913781186609</v>
      </c>
      <c r="J4809" s="85">
        <v>50500</v>
      </c>
      <c r="K4809" s="131" t="s">
        <v>6485</v>
      </c>
      <c r="L4809" s="60">
        <v>68</v>
      </c>
      <c r="M4809" s="47"/>
    </row>
    <row r="4810" spans="1:14" ht="16" x14ac:dyDescent="0.2">
      <c r="A4810" s="70" t="s">
        <v>7877</v>
      </c>
      <c r="B4810" s="118"/>
      <c r="C4810" s="70" t="s">
        <v>3636</v>
      </c>
      <c r="D4810" s="70" t="s">
        <v>6510</v>
      </c>
      <c r="E4810" s="70" t="s">
        <v>6501</v>
      </c>
      <c r="F4810" s="70" t="s">
        <v>2947</v>
      </c>
      <c r="G4810" s="70" t="s">
        <v>4912</v>
      </c>
      <c r="H4810" s="93"/>
      <c r="I4810" s="85">
        <f t="shared" si="187"/>
        <v>4.7589118923979736</v>
      </c>
      <c r="J4810" s="85">
        <v>57400</v>
      </c>
      <c r="K4810" s="131" t="s">
        <v>6485</v>
      </c>
      <c r="L4810" s="60">
        <v>68</v>
      </c>
      <c r="M4810" s="47"/>
    </row>
    <row r="4811" spans="1:14" ht="16" x14ac:dyDescent="0.2">
      <c r="A4811" s="70" t="s">
        <v>7877</v>
      </c>
      <c r="B4811" s="118"/>
      <c r="C4811" s="70" t="s">
        <v>3636</v>
      </c>
      <c r="D4811" s="70" t="s">
        <v>6510</v>
      </c>
      <c r="E4811" s="70" t="s">
        <v>6501</v>
      </c>
      <c r="F4811" s="70" t="s">
        <v>2947</v>
      </c>
      <c r="G4811" s="70" t="s">
        <v>3065</v>
      </c>
      <c r="H4811" s="93"/>
      <c r="I4811" s="85">
        <f t="shared" si="187"/>
        <v>4.8325089127062366</v>
      </c>
      <c r="J4811" s="85">
        <f>AVERAGE(78000, 58000)</f>
        <v>68000</v>
      </c>
      <c r="K4811" s="131" t="s">
        <v>3177</v>
      </c>
      <c r="L4811" s="60">
        <v>60</v>
      </c>
      <c r="M4811" s="47"/>
    </row>
    <row r="4812" spans="1:14" ht="16" x14ac:dyDescent="0.2">
      <c r="A4812" s="73" t="s">
        <v>7877</v>
      </c>
      <c r="B4812" s="118"/>
      <c r="C4812" s="70" t="s">
        <v>3636</v>
      </c>
      <c r="D4812" s="70" t="s">
        <v>6510</v>
      </c>
      <c r="E4812" s="70" t="s">
        <v>6501</v>
      </c>
      <c r="F4812" s="70" t="s">
        <v>2947</v>
      </c>
      <c r="G4812" s="70" t="s">
        <v>7417</v>
      </c>
      <c r="H4812" s="93"/>
      <c r="I4812" s="85">
        <f t="shared" si="187"/>
        <v>5.0413926851582254</v>
      </c>
      <c r="J4812" s="85">
        <v>110000</v>
      </c>
      <c r="K4812" s="131" t="s">
        <v>3177</v>
      </c>
      <c r="L4812" s="60">
        <v>134</v>
      </c>
      <c r="M4812" s="47"/>
      <c r="N4812" s="50"/>
    </row>
    <row r="4813" spans="1:14" ht="16" x14ac:dyDescent="0.2">
      <c r="A4813" s="70" t="s">
        <v>7877</v>
      </c>
      <c r="B4813" s="118"/>
      <c r="C4813" s="70" t="s">
        <v>3636</v>
      </c>
      <c r="D4813" s="70" t="s">
        <v>6510</v>
      </c>
      <c r="E4813" s="70" t="s">
        <v>6501</v>
      </c>
      <c r="F4813" s="70" t="s">
        <v>2947</v>
      </c>
      <c r="G4813" s="70" t="s">
        <v>5800</v>
      </c>
      <c r="H4813" s="93"/>
      <c r="I4813" s="85">
        <f t="shared" si="187"/>
        <v>5.133219456732494</v>
      </c>
      <c r="J4813" s="85">
        <v>135900</v>
      </c>
      <c r="K4813" s="131" t="s">
        <v>6485</v>
      </c>
      <c r="L4813" s="60">
        <v>68</v>
      </c>
      <c r="M4813" s="47"/>
    </row>
    <row r="4814" spans="1:14" ht="34" x14ac:dyDescent="0.2">
      <c r="A4814" s="70" t="s">
        <v>7877</v>
      </c>
      <c r="B4814" s="118"/>
      <c r="C4814" s="70" t="s">
        <v>3636</v>
      </c>
      <c r="D4814" s="70" t="s">
        <v>6510</v>
      </c>
      <c r="E4814" s="70" t="s">
        <v>6501</v>
      </c>
      <c r="F4814" s="70" t="s">
        <v>6298</v>
      </c>
      <c r="G4814" s="70" t="s">
        <v>6299</v>
      </c>
      <c r="H4814" s="93"/>
      <c r="I4814" s="85">
        <f t="shared" si="187"/>
        <v>5.1139433523068369</v>
      </c>
      <c r="J4814" s="85">
        <v>130000</v>
      </c>
      <c r="K4814" s="131" t="s">
        <v>3177</v>
      </c>
      <c r="L4814" s="60">
        <v>134</v>
      </c>
      <c r="M4814" s="47" t="s">
        <v>7608</v>
      </c>
      <c r="N4814" s="50"/>
    </row>
    <row r="4815" spans="1:14" ht="14" x14ac:dyDescent="0.15">
      <c r="A4815" s="70" t="s">
        <v>7877</v>
      </c>
      <c r="B4815" s="118"/>
      <c r="C4815" s="70" t="s">
        <v>3636</v>
      </c>
      <c r="D4815" s="70" t="s">
        <v>6510</v>
      </c>
      <c r="E4815" s="70" t="s">
        <v>6501</v>
      </c>
      <c r="F4815" s="70" t="s">
        <v>5812</v>
      </c>
      <c r="G4815" s="70" t="s">
        <v>3581</v>
      </c>
      <c r="H4815" s="93"/>
      <c r="I4815" s="85">
        <f t="shared" si="187"/>
        <v>5.2430380486862944</v>
      </c>
      <c r="J4815" s="85">
        <v>175000</v>
      </c>
      <c r="K4815" s="131" t="s">
        <v>6485</v>
      </c>
      <c r="L4815" s="60">
        <v>68</v>
      </c>
    </row>
    <row r="4816" spans="1:14" ht="16" x14ac:dyDescent="0.2">
      <c r="A4816" s="70" t="s">
        <v>7877</v>
      </c>
      <c r="B4816" s="118"/>
      <c r="C4816" s="70" t="s">
        <v>3636</v>
      </c>
      <c r="D4816" s="70" t="s">
        <v>6510</v>
      </c>
      <c r="E4816" s="70" t="s">
        <v>3396</v>
      </c>
      <c r="F4816" s="70" t="s">
        <v>7864</v>
      </c>
      <c r="G4816" s="70" t="s">
        <v>6834</v>
      </c>
      <c r="H4816" s="93"/>
      <c r="I4816" s="85">
        <f t="shared" si="187"/>
        <v>7.4548448600085102</v>
      </c>
      <c r="J4816" s="85">
        <v>28500000</v>
      </c>
      <c r="K4816" s="131" t="s">
        <v>6485</v>
      </c>
      <c r="L4816" s="60">
        <v>68</v>
      </c>
      <c r="M4816" s="47"/>
    </row>
    <row r="4817" spans="1:18" ht="16" x14ac:dyDescent="0.2">
      <c r="A4817" s="70" t="s">
        <v>7877</v>
      </c>
      <c r="B4817" s="118"/>
      <c r="C4817" s="70" t="s">
        <v>3636</v>
      </c>
      <c r="D4817" s="70" t="s">
        <v>6510</v>
      </c>
      <c r="E4817" s="70" t="s">
        <v>3397</v>
      </c>
      <c r="F4817" s="70" t="s">
        <v>5802</v>
      </c>
      <c r="G4817" s="70" t="s">
        <v>5813</v>
      </c>
      <c r="H4817" s="93"/>
      <c r="I4817" s="85">
        <f t="shared" si="187"/>
        <v>6.1335389083702179</v>
      </c>
      <c r="J4817" s="85">
        <v>1360000</v>
      </c>
      <c r="K4817" s="131" t="s">
        <v>6485</v>
      </c>
      <c r="L4817" s="60">
        <v>68</v>
      </c>
      <c r="M4817" s="47"/>
    </row>
    <row r="4818" spans="1:18" ht="16" x14ac:dyDescent="0.2">
      <c r="A4818" s="73" t="s">
        <v>7877</v>
      </c>
      <c r="B4818" s="118"/>
      <c r="C4818" s="70" t="s">
        <v>3636</v>
      </c>
      <c r="D4818" s="70" t="s">
        <v>6510</v>
      </c>
      <c r="E4818" s="70" t="s">
        <v>3397</v>
      </c>
      <c r="F4818" s="70" t="s">
        <v>7868</v>
      </c>
      <c r="G4818" s="70" t="s">
        <v>7869</v>
      </c>
      <c r="H4818" s="93"/>
      <c r="I4818" s="85">
        <f t="shared" si="187"/>
        <v>5.9542425094393252</v>
      </c>
      <c r="J4818" s="85">
        <v>900000</v>
      </c>
      <c r="K4818" s="131" t="s">
        <v>6485</v>
      </c>
      <c r="L4818" s="60">
        <v>68</v>
      </c>
      <c r="M4818" s="47"/>
    </row>
    <row r="4819" spans="1:18" ht="16" x14ac:dyDescent="0.2">
      <c r="A4819" s="70" t="s">
        <v>7877</v>
      </c>
      <c r="B4819" s="118"/>
      <c r="C4819" s="70" t="s">
        <v>3636</v>
      </c>
      <c r="D4819" s="70" t="s">
        <v>6510</v>
      </c>
      <c r="E4819" s="70" t="s">
        <v>4009</v>
      </c>
      <c r="F4819" s="70" t="s">
        <v>5823</v>
      </c>
      <c r="G4819" s="70" t="s">
        <v>7870</v>
      </c>
      <c r="H4819" s="93"/>
      <c r="I4819" s="85">
        <f t="shared" si="187"/>
        <v>7.5051499783199063</v>
      </c>
      <c r="J4819" s="85">
        <v>32000000</v>
      </c>
      <c r="K4819" s="131" t="s">
        <v>6485</v>
      </c>
      <c r="L4819" s="60">
        <v>68</v>
      </c>
      <c r="M4819" s="47"/>
    </row>
    <row r="4820" spans="1:18" ht="16" x14ac:dyDescent="0.2">
      <c r="A4820" s="70" t="s">
        <v>7877</v>
      </c>
      <c r="B4820" s="118"/>
      <c r="C4820" s="70" t="s">
        <v>3636</v>
      </c>
      <c r="D4820" s="70" t="s">
        <v>6510</v>
      </c>
      <c r="E4820" s="70" t="s">
        <v>3822</v>
      </c>
      <c r="F4820" s="70" t="s">
        <v>6300</v>
      </c>
      <c r="G4820" s="70" t="s">
        <v>7808</v>
      </c>
      <c r="H4820" s="93"/>
      <c r="I4820" s="85">
        <f t="shared" si="187"/>
        <v>4.8129133566428557</v>
      </c>
      <c r="J4820" s="85">
        <f>AVERAGE(50000, 80000)</f>
        <v>65000</v>
      </c>
      <c r="K4820" s="131" t="s">
        <v>3177</v>
      </c>
      <c r="L4820" s="60">
        <v>137</v>
      </c>
      <c r="M4820" s="47"/>
    </row>
    <row r="4821" spans="1:18" ht="16" x14ac:dyDescent="0.2">
      <c r="A4821" s="70" t="s">
        <v>7877</v>
      </c>
      <c r="B4821" s="118"/>
      <c r="C4821" s="70" t="s">
        <v>3636</v>
      </c>
      <c r="D4821" s="70" t="s">
        <v>6510</v>
      </c>
      <c r="E4821" s="70" t="s">
        <v>3822</v>
      </c>
      <c r="F4821" s="70" t="s">
        <v>5475</v>
      </c>
      <c r="G4821" s="70" t="s">
        <v>5103</v>
      </c>
      <c r="H4821" s="93"/>
      <c r="I4821" s="85">
        <f t="shared" si="187"/>
        <v>4.5118833609788744</v>
      </c>
      <c r="J4821" s="85">
        <v>32500</v>
      </c>
      <c r="K4821" s="131" t="s">
        <v>6485</v>
      </c>
      <c r="L4821" s="60">
        <v>68</v>
      </c>
      <c r="M4821" s="47"/>
    </row>
    <row r="4822" spans="1:18" ht="16" x14ac:dyDescent="0.2">
      <c r="A4822" s="70" t="s">
        <v>7877</v>
      </c>
      <c r="B4822" s="118"/>
      <c r="C4822" s="70" t="s">
        <v>3636</v>
      </c>
      <c r="D4822" s="70" t="s">
        <v>6510</v>
      </c>
      <c r="E4822" s="70" t="s">
        <v>3822</v>
      </c>
      <c r="F4822" s="70" t="s">
        <v>6192</v>
      </c>
      <c r="G4822" s="70" t="s">
        <v>5864</v>
      </c>
      <c r="H4822" s="93"/>
      <c r="I4822" s="85">
        <f t="shared" si="187"/>
        <v>4.6283889300503116</v>
      </c>
      <c r="J4822" s="85">
        <f>85000/2</f>
        <v>42500</v>
      </c>
      <c r="K4822" s="131" t="s">
        <v>3177</v>
      </c>
      <c r="L4822" s="60">
        <v>137</v>
      </c>
      <c r="M4822" s="47"/>
      <c r="N4822" s="48"/>
    </row>
    <row r="4823" spans="1:18" ht="16" x14ac:dyDescent="0.2">
      <c r="A4823" s="70" t="s">
        <v>7877</v>
      </c>
      <c r="B4823" s="118"/>
      <c r="C4823" s="70" t="s">
        <v>3636</v>
      </c>
      <c r="D4823" s="70" t="s">
        <v>6510</v>
      </c>
      <c r="E4823" s="70" t="s">
        <v>3822</v>
      </c>
      <c r="F4823" s="70" t="s">
        <v>6192</v>
      </c>
      <c r="G4823" s="70" t="s">
        <v>6193</v>
      </c>
      <c r="H4823" s="93"/>
      <c r="I4823" s="85">
        <f t="shared" si="187"/>
        <v>4.720159303405957</v>
      </c>
      <c r="J4823" s="85">
        <v>52500</v>
      </c>
      <c r="K4823" s="131" t="s">
        <v>6485</v>
      </c>
      <c r="L4823" s="60">
        <v>68</v>
      </c>
      <c r="M4823" s="47"/>
      <c r="Q4823"/>
      <c r="R4823"/>
    </row>
    <row r="4824" spans="1:18" ht="16" x14ac:dyDescent="0.2">
      <c r="A4824" s="70" t="s">
        <v>7877</v>
      </c>
      <c r="B4824" s="118"/>
      <c r="C4824" s="70" t="s">
        <v>3636</v>
      </c>
      <c r="D4824" s="70" t="s">
        <v>6510</v>
      </c>
      <c r="E4824" s="70" t="s">
        <v>3822</v>
      </c>
      <c r="F4824" s="70" t="s">
        <v>6192</v>
      </c>
      <c r="G4824" s="70" t="s">
        <v>5036</v>
      </c>
      <c r="H4824" s="93"/>
      <c r="I4824" s="85">
        <f t="shared" si="187"/>
        <v>4.7781512503836439</v>
      </c>
      <c r="J4824" s="85">
        <v>60000</v>
      </c>
      <c r="K4824" s="131" t="s">
        <v>3177</v>
      </c>
      <c r="L4824" s="60">
        <v>137</v>
      </c>
      <c r="M4824" s="47"/>
    </row>
    <row r="4825" spans="1:18" ht="16" x14ac:dyDescent="0.2">
      <c r="A4825" s="73" t="s">
        <v>7877</v>
      </c>
      <c r="B4825" s="118"/>
      <c r="C4825" s="70" t="s">
        <v>3636</v>
      </c>
      <c r="D4825" s="70" t="s">
        <v>6510</v>
      </c>
      <c r="E4825" s="70" t="s">
        <v>3822</v>
      </c>
      <c r="F4825" s="70" t="s">
        <v>8020</v>
      </c>
      <c r="G4825" s="70" t="s">
        <v>7197</v>
      </c>
      <c r="H4825" s="93"/>
      <c r="I4825" s="85">
        <f t="shared" si="187"/>
        <v>5.0107238653917729</v>
      </c>
      <c r="J4825" s="85">
        <v>102500</v>
      </c>
      <c r="K4825" s="131" t="s">
        <v>6485</v>
      </c>
      <c r="L4825" s="60">
        <v>68</v>
      </c>
      <c r="M4825" s="47"/>
    </row>
    <row r="4826" spans="1:18" ht="16" x14ac:dyDescent="0.2">
      <c r="A4826" s="70" t="s">
        <v>7877</v>
      </c>
      <c r="B4826" s="118"/>
      <c r="C4826" s="70" t="s">
        <v>3636</v>
      </c>
      <c r="D4826" s="70" t="s">
        <v>6510</v>
      </c>
      <c r="E4826" s="70" t="s">
        <v>3166</v>
      </c>
      <c r="F4826" s="70" t="s">
        <v>5037</v>
      </c>
      <c r="G4826" s="70" t="s">
        <v>7937</v>
      </c>
      <c r="H4826" s="93"/>
      <c r="I4826" s="85">
        <f t="shared" si="187"/>
        <v>5.2626092738450554</v>
      </c>
      <c r="J4826" s="85">
        <f>AVERAGE(136100, 209100, 204000)</f>
        <v>183066.66666666666</v>
      </c>
      <c r="K4826" s="131" t="s">
        <v>6620</v>
      </c>
      <c r="L4826" s="60">
        <v>79</v>
      </c>
      <c r="M4826" s="47"/>
    </row>
    <row r="4827" spans="1:18" ht="34" x14ac:dyDescent="0.2">
      <c r="A4827" s="70" t="s">
        <v>7877</v>
      </c>
      <c r="B4827" s="118"/>
      <c r="C4827" s="70" t="s">
        <v>3636</v>
      </c>
      <c r="D4827" s="70" t="s">
        <v>6510</v>
      </c>
      <c r="E4827" s="70" t="s">
        <v>3166</v>
      </c>
      <c r="F4827" s="70" t="s">
        <v>5037</v>
      </c>
      <c r="G4827" s="70" t="s">
        <v>4088</v>
      </c>
      <c r="H4827" s="93"/>
      <c r="I4827" s="85">
        <f t="shared" si="187"/>
        <v>5.6349808000512285</v>
      </c>
      <c r="J4827" s="85">
        <f>AVERAGE(500000, 363000)</f>
        <v>431500</v>
      </c>
      <c r="K4827" s="131" t="s">
        <v>3177</v>
      </c>
      <c r="L4827" s="60" t="s">
        <v>6689</v>
      </c>
      <c r="M4827" s="47" t="s">
        <v>7607</v>
      </c>
    </row>
    <row r="4828" spans="1:18" ht="16" x14ac:dyDescent="0.2">
      <c r="A4828" s="70" t="s">
        <v>7877</v>
      </c>
      <c r="B4828" s="118"/>
      <c r="C4828" s="70" t="s">
        <v>3636</v>
      </c>
      <c r="D4828" s="70" t="s">
        <v>6510</v>
      </c>
      <c r="E4828" s="70" t="s">
        <v>3166</v>
      </c>
      <c r="F4828" s="70" t="s">
        <v>8021</v>
      </c>
      <c r="G4828" s="70" t="s">
        <v>5459</v>
      </c>
      <c r="H4828" s="93"/>
      <c r="I4828" s="85">
        <f t="shared" si="187"/>
        <v>7.1469028699281987</v>
      </c>
      <c r="J4828" s="85">
        <v>14025000</v>
      </c>
      <c r="K4828" s="131"/>
      <c r="L4828" s="60">
        <v>68</v>
      </c>
      <c r="M4828" s="47"/>
    </row>
    <row r="4829" spans="1:18" ht="28" x14ac:dyDescent="0.2">
      <c r="A4829" s="70" t="s">
        <v>7877</v>
      </c>
      <c r="B4829" s="118"/>
      <c r="C4829" s="70" t="s">
        <v>3636</v>
      </c>
      <c r="D4829" s="70" t="s">
        <v>6510</v>
      </c>
      <c r="E4829" s="70" t="s">
        <v>3167</v>
      </c>
      <c r="F4829" s="70" t="s">
        <v>5038</v>
      </c>
      <c r="G4829" s="70" t="s">
        <v>5039</v>
      </c>
      <c r="H4829" s="93"/>
      <c r="I4829" s="85">
        <f t="shared" ref="I4829:I4838" si="188">LOG(J4829)</f>
        <v>5.1114305517659799</v>
      </c>
      <c r="J4829" s="85">
        <f>AVERAGE(160000, 98500)</f>
        <v>129250</v>
      </c>
      <c r="K4829" s="131" t="s">
        <v>8039</v>
      </c>
      <c r="L4829" s="60">
        <v>89</v>
      </c>
      <c r="M4829" s="47"/>
    </row>
    <row r="4830" spans="1:18" ht="16" x14ac:dyDescent="0.2">
      <c r="A4830" s="70" t="s">
        <v>7877</v>
      </c>
      <c r="B4830" s="118"/>
      <c r="C4830" s="70" t="s">
        <v>3636</v>
      </c>
      <c r="D4830" s="70" t="s">
        <v>6510</v>
      </c>
      <c r="E4830" s="70" t="s">
        <v>3167</v>
      </c>
      <c r="F4830" s="70" t="s">
        <v>7873</v>
      </c>
      <c r="G4830" s="70" t="s">
        <v>5617</v>
      </c>
      <c r="H4830" s="93"/>
      <c r="I4830" s="85">
        <f t="shared" si="188"/>
        <v>4.9216864754836021</v>
      </c>
      <c r="J4830" s="85">
        <v>83500</v>
      </c>
      <c r="K4830" s="131" t="s">
        <v>6485</v>
      </c>
      <c r="L4830" s="60">
        <v>68</v>
      </c>
      <c r="M4830" s="47"/>
    </row>
    <row r="4831" spans="1:18" ht="16" x14ac:dyDescent="0.2">
      <c r="A4831" s="70" t="s">
        <v>7877</v>
      </c>
      <c r="B4831" s="118"/>
      <c r="C4831" s="70" t="s">
        <v>3636</v>
      </c>
      <c r="D4831" s="70" t="s">
        <v>6510</v>
      </c>
      <c r="E4831" s="70" t="s">
        <v>3167</v>
      </c>
      <c r="F4831" s="70" t="s">
        <v>5040</v>
      </c>
      <c r="G4831" s="70" t="s">
        <v>2913</v>
      </c>
      <c r="H4831" s="93"/>
      <c r="I4831" s="85">
        <f t="shared" si="188"/>
        <v>4.9238374976879662</v>
      </c>
      <c r="J4831" s="85">
        <f>185*453.5924</f>
        <v>83914.593999999997</v>
      </c>
      <c r="K4831" s="131" t="s">
        <v>3177</v>
      </c>
      <c r="L4831" s="60">
        <v>215</v>
      </c>
      <c r="M4831" s="47"/>
    </row>
    <row r="4832" spans="1:18" ht="16" x14ac:dyDescent="0.2">
      <c r="A4832" s="70" t="s">
        <v>7877</v>
      </c>
      <c r="B4832" s="118"/>
      <c r="C4832" s="70" t="s">
        <v>3636</v>
      </c>
      <c r="D4832" s="70" t="s">
        <v>6510</v>
      </c>
      <c r="E4832" s="70" t="s">
        <v>3167</v>
      </c>
      <c r="F4832" s="70" t="s">
        <v>5040</v>
      </c>
      <c r="G4832" s="70" t="s">
        <v>5432</v>
      </c>
      <c r="H4832" s="93"/>
      <c r="I4832" s="85">
        <f t="shared" si="188"/>
        <v>5.0606978403536118</v>
      </c>
      <c r="J4832" s="85">
        <v>115000</v>
      </c>
      <c r="K4832" s="131" t="s">
        <v>3177</v>
      </c>
      <c r="L4832" s="60">
        <v>75</v>
      </c>
      <c r="M4832" s="47"/>
    </row>
    <row r="4833" spans="1:15" ht="16" x14ac:dyDescent="0.2">
      <c r="A4833" s="70" t="s">
        <v>7877</v>
      </c>
      <c r="B4833" s="118"/>
      <c r="C4833" s="70" t="s">
        <v>3636</v>
      </c>
      <c r="D4833" s="70" t="s">
        <v>6510</v>
      </c>
      <c r="E4833" s="70" t="s">
        <v>3167</v>
      </c>
      <c r="F4833" s="70" t="s">
        <v>5476</v>
      </c>
      <c r="G4833" s="70" t="s">
        <v>3136</v>
      </c>
      <c r="H4833" s="93"/>
      <c r="I4833" s="85">
        <f t="shared" si="188"/>
        <v>4.6074550232146683</v>
      </c>
      <c r="J4833" s="85">
        <v>40500</v>
      </c>
      <c r="K4833" s="131" t="s">
        <v>6485</v>
      </c>
      <c r="L4833" s="60">
        <v>68</v>
      </c>
      <c r="M4833" s="47"/>
    </row>
    <row r="4834" spans="1:15" ht="16" x14ac:dyDescent="0.2">
      <c r="A4834" s="70" t="s">
        <v>7877</v>
      </c>
      <c r="B4834" s="118"/>
      <c r="C4834" s="70" t="s">
        <v>3636</v>
      </c>
      <c r="D4834" s="70" t="s">
        <v>6510</v>
      </c>
      <c r="E4834" s="70" t="s">
        <v>3358</v>
      </c>
      <c r="F4834" s="70" t="s">
        <v>5477</v>
      </c>
      <c r="G4834" s="70" t="s">
        <v>5433</v>
      </c>
      <c r="H4834" s="93"/>
      <c r="I4834" s="85">
        <f t="shared" si="188"/>
        <v>6.8450980400142569</v>
      </c>
      <c r="J4834" s="85">
        <v>7000000</v>
      </c>
      <c r="K4834" s="131" t="s">
        <v>3177</v>
      </c>
      <c r="L4834" s="60">
        <v>106</v>
      </c>
      <c r="M4834" s="47"/>
    </row>
    <row r="4835" spans="1:15" ht="16" x14ac:dyDescent="0.2">
      <c r="A4835" s="70" t="s">
        <v>7877</v>
      </c>
      <c r="B4835" s="118"/>
      <c r="C4835" s="70" t="s">
        <v>3636</v>
      </c>
      <c r="D4835" s="70" t="s">
        <v>6510</v>
      </c>
      <c r="E4835" s="70" t="s">
        <v>3358</v>
      </c>
      <c r="F4835" s="70" t="s">
        <v>5477</v>
      </c>
      <c r="G4835" s="70" t="s">
        <v>1858</v>
      </c>
      <c r="H4835" s="93"/>
      <c r="I4835" s="85">
        <f t="shared" si="188"/>
        <v>7.0561422620590522</v>
      </c>
      <c r="J4835" s="85">
        <v>11380000</v>
      </c>
      <c r="K4835" s="131" t="s">
        <v>6485</v>
      </c>
      <c r="L4835" s="60">
        <v>68</v>
      </c>
      <c r="M4835" s="47"/>
      <c r="O4835" s="51"/>
    </row>
    <row r="4836" spans="1:15" ht="16" x14ac:dyDescent="0.2">
      <c r="A4836" s="70" t="s">
        <v>7877</v>
      </c>
      <c r="B4836" s="118"/>
      <c r="C4836" s="70" t="s">
        <v>3636</v>
      </c>
      <c r="D4836" s="70" t="s">
        <v>6510</v>
      </c>
      <c r="E4836" s="70" t="s">
        <v>3358</v>
      </c>
      <c r="F4836" s="70" t="s">
        <v>5824</v>
      </c>
      <c r="G4836" s="70" t="s">
        <v>3972</v>
      </c>
      <c r="H4836" s="93"/>
      <c r="I4836" s="85">
        <f t="shared" si="188"/>
        <v>6.4771212547196626</v>
      </c>
      <c r="J4836" s="85">
        <v>3000000</v>
      </c>
      <c r="K4836" s="131" t="s">
        <v>3177</v>
      </c>
      <c r="L4836" s="60">
        <v>106</v>
      </c>
      <c r="M4836" s="47"/>
    </row>
    <row r="4837" spans="1:15" ht="16" x14ac:dyDescent="0.2">
      <c r="A4837" s="70" t="s">
        <v>7877</v>
      </c>
      <c r="B4837" s="118"/>
      <c r="C4837" s="70" t="s">
        <v>3636</v>
      </c>
      <c r="D4837" s="70" t="s">
        <v>6510</v>
      </c>
      <c r="E4837" s="70" t="s">
        <v>3358</v>
      </c>
      <c r="F4837" s="70" t="s">
        <v>5824</v>
      </c>
      <c r="G4837" s="70" t="s">
        <v>5825</v>
      </c>
      <c r="H4837" s="93"/>
      <c r="I4837" s="85">
        <f t="shared" si="188"/>
        <v>6.7634279935629369</v>
      </c>
      <c r="J4837" s="85">
        <v>5800000</v>
      </c>
      <c r="K4837" s="131" t="s">
        <v>6485</v>
      </c>
      <c r="L4837" s="60">
        <v>68</v>
      </c>
      <c r="M4837" s="47"/>
    </row>
    <row r="4838" spans="1:15" ht="16" x14ac:dyDescent="0.2">
      <c r="A4838" s="70" t="s">
        <v>7877</v>
      </c>
      <c r="B4838" s="118"/>
      <c r="C4838" s="70" t="s">
        <v>3636</v>
      </c>
      <c r="D4838" s="70" t="s">
        <v>6510</v>
      </c>
      <c r="E4838" s="70" t="s">
        <v>3358</v>
      </c>
      <c r="F4838" s="70" t="s">
        <v>5434</v>
      </c>
      <c r="G4838" s="70" t="s">
        <v>5822</v>
      </c>
      <c r="H4838" s="93"/>
      <c r="I4838" s="85">
        <f t="shared" si="188"/>
        <v>6.3424226808222066</v>
      </c>
      <c r="J4838" s="85">
        <v>2200000</v>
      </c>
      <c r="K4838" s="131" t="s">
        <v>3177</v>
      </c>
      <c r="L4838" s="60">
        <v>137</v>
      </c>
      <c r="M4838" s="47"/>
    </row>
    <row r="4839" spans="1:15" ht="16" x14ac:dyDescent="0.2">
      <c r="A4839" s="70" t="s">
        <v>7877</v>
      </c>
      <c r="B4839" s="118"/>
      <c r="C4839" s="70" t="s">
        <v>3636</v>
      </c>
      <c r="D4839" s="70" t="s">
        <v>6510</v>
      </c>
      <c r="E4839" s="70" t="s">
        <v>3358</v>
      </c>
      <c r="F4839" s="70" t="s">
        <v>5435</v>
      </c>
      <c r="G4839" s="70" t="s">
        <v>5222</v>
      </c>
      <c r="H4839" s="93"/>
      <c r="I4839" s="85">
        <v>-999</v>
      </c>
      <c r="J4839" s="85">
        <v>-999</v>
      </c>
      <c r="K4839" s="131" t="s">
        <v>3177</v>
      </c>
      <c r="L4839" s="60">
        <v>-999</v>
      </c>
      <c r="M4839" s="47"/>
    </row>
    <row r="4840" spans="1:15" ht="16" x14ac:dyDescent="0.2">
      <c r="A4840" s="70" t="s">
        <v>7877</v>
      </c>
      <c r="B4840" s="118"/>
      <c r="C4840" s="70" t="s">
        <v>3636</v>
      </c>
      <c r="D4840" s="70" t="s">
        <v>6510</v>
      </c>
      <c r="E4840" s="70" t="s">
        <v>3358</v>
      </c>
      <c r="F4840" s="70" t="s">
        <v>5435</v>
      </c>
      <c r="G4840" s="70" t="s">
        <v>5451</v>
      </c>
      <c r="H4840" s="93"/>
      <c r="I4840" s="85">
        <f t="shared" ref="I4840:I4871" si="189">LOG(J4840)</f>
        <v>6</v>
      </c>
      <c r="J4840" s="85">
        <v>1000000</v>
      </c>
      <c r="K4840" s="131" t="s">
        <v>3177</v>
      </c>
      <c r="L4840" s="60">
        <v>106</v>
      </c>
      <c r="M4840" s="47"/>
    </row>
    <row r="4841" spans="1:15" ht="16" x14ac:dyDescent="0.2">
      <c r="A4841" s="70" t="s">
        <v>7877</v>
      </c>
      <c r="B4841" s="118"/>
      <c r="C4841" s="70" t="s">
        <v>3636</v>
      </c>
      <c r="D4841" s="70" t="s">
        <v>6510</v>
      </c>
      <c r="E4841" s="70" t="s">
        <v>3358</v>
      </c>
      <c r="F4841" s="70" t="s">
        <v>5435</v>
      </c>
      <c r="G4841" s="70" t="s">
        <v>5638</v>
      </c>
      <c r="H4841" s="93"/>
      <c r="I4841" s="85">
        <f t="shared" si="189"/>
        <v>6.1760912590556813</v>
      </c>
      <c r="J4841" s="85">
        <v>1500000</v>
      </c>
      <c r="K4841" s="131" t="s">
        <v>3177</v>
      </c>
      <c r="L4841" s="60">
        <v>137</v>
      </c>
      <c r="M4841" s="47"/>
    </row>
    <row r="4842" spans="1:15" ht="16" x14ac:dyDescent="0.2">
      <c r="A4842" s="70" t="s">
        <v>7877</v>
      </c>
      <c r="B4842" s="118"/>
      <c r="C4842" s="70" t="s">
        <v>3636</v>
      </c>
      <c r="D4842" s="70" t="s">
        <v>6510</v>
      </c>
      <c r="E4842" s="70" t="s">
        <v>3358</v>
      </c>
      <c r="F4842" s="70" t="s">
        <v>5435</v>
      </c>
      <c r="G4842" s="70" t="s">
        <v>5464</v>
      </c>
      <c r="H4842" s="93"/>
      <c r="I4842" s="85">
        <f t="shared" si="189"/>
        <v>6.1760912590556813</v>
      </c>
      <c r="J4842" s="85">
        <v>1500000</v>
      </c>
      <c r="K4842" s="131" t="s">
        <v>3177</v>
      </c>
      <c r="L4842" s="60">
        <v>106</v>
      </c>
      <c r="M4842" s="47"/>
    </row>
    <row r="4843" spans="1:15" ht="34" x14ac:dyDescent="0.2">
      <c r="A4843" s="70" t="s">
        <v>7877</v>
      </c>
      <c r="B4843" s="118"/>
      <c r="C4843" s="70" t="s">
        <v>3636</v>
      </c>
      <c r="D4843" s="70" t="s">
        <v>6510</v>
      </c>
      <c r="E4843" s="70" t="s">
        <v>3358</v>
      </c>
      <c r="F4843" s="70" t="s">
        <v>5435</v>
      </c>
      <c r="G4843" s="70" t="s">
        <v>5465</v>
      </c>
      <c r="H4843" s="93"/>
      <c r="I4843" s="85">
        <f t="shared" si="189"/>
        <v>6.3222192947339195</v>
      </c>
      <c r="J4843" s="85">
        <f>AVERAGE(1000000, 3200000)</f>
        <v>2100000</v>
      </c>
      <c r="K4843" s="131" t="s">
        <v>3177</v>
      </c>
      <c r="L4843" s="60" t="s">
        <v>6689</v>
      </c>
      <c r="M4843" s="47" t="s">
        <v>6633</v>
      </c>
    </row>
    <row r="4844" spans="1:15" ht="34" x14ac:dyDescent="0.2">
      <c r="A4844" s="70" t="s">
        <v>7877</v>
      </c>
      <c r="B4844" s="118"/>
      <c r="C4844" s="70" t="s">
        <v>3636</v>
      </c>
      <c r="D4844" s="70" t="s">
        <v>6510</v>
      </c>
      <c r="E4844" s="70" t="s">
        <v>3358</v>
      </c>
      <c r="F4844" s="70" t="s">
        <v>5435</v>
      </c>
      <c r="G4844" s="70" t="s">
        <v>5431</v>
      </c>
      <c r="H4844" s="93"/>
      <c r="I4844" s="85">
        <f t="shared" si="189"/>
        <v>6.3617278360175931</v>
      </c>
      <c r="J4844" s="85">
        <f>AVERAGE(1000000, 3600000)</f>
        <v>2300000</v>
      </c>
      <c r="K4844" s="131" t="s">
        <v>3177</v>
      </c>
      <c r="L4844" s="60" t="s">
        <v>6689</v>
      </c>
      <c r="M4844" s="47" t="s">
        <v>6415</v>
      </c>
    </row>
    <row r="4845" spans="1:15" ht="16" x14ac:dyDescent="0.2">
      <c r="A4845" s="70" t="s">
        <v>7877</v>
      </c>
      <c r="B4845" s="118"/>
      <c r="C4845" s="70" t="s">
        <v>3636</v>
      </c>
      <c r="D4845" s="70" t="s">
        <v>6510</v>
      </c>
      <c r="E4845" s="70" t="s">
        <v>3358</v>
      </c>
      <c r="F4845" s="70" t="s">
        <v>5435</v>
      </c>
      <c r="G4845" s="70" t="s">
        <v>5421</v>
      </c>
      <c r="H4845" s="93"/>
      <c r="I4845" s="85">
        <f t="shared" si="189"/>
        <v>6.4149733479708182</v>
      </c>
      <c r="J4845" s="85">
        <f>2.6*1000*1000</f>
        <v>2600000</v>
      </c>
      <c r="K4845" s="131" t="s">
        <v>1095</v>
      </c>
      <c r="L4845" s="60">
        <v>141</v>
      </c>
      <c r="M4845" s="47"/>
    </row>
    <row r="4846" spans="1:15" ht="34" x14ac:dyDescent="0.2">
      <c r="A4846" s="70" t="s">
        <v>7877</v>
      </c>
      <c r="B4846" s="118"/>
      <c r="C4846" s="70" t="s">
        <v>3636</v>
      </c>
      <c r="D4846" s="70" t="s">
        <v>6510</v>
      </c>
      <c r="E4846" s="70" t="s">
        <v>3358</v>
      </c>
      <c r="F4846" s="70" t="s">
        <v>5435</v>
      </c>
      <c r="G4846" s="70" t="s">
        <v>5689</v>
      </c>
      <c r="H4846" s="93"/>
      <c r="I4846" s="85">
        <f t="shared" si="189"/>
        <v>6.4623979978989565</v>
      </c>
      <c r="J4846" s="85">
        <f>AVERAGE(1000000, 4800000)</f>
        <v>2900000</v>
      </c>
      <c r="K4846" s="131" t="s">
        <v>3177</v>
      </c>
      <c r="L4846" s="60" t="s">
        <v>6689</v>
      </c>
      <c r="M4846" s="47" t="s">
        <v>6414</v>
      </c>
    </row>
    <row r="4847" spans="1:15" ht="34" x14ac:dyDescent="0.2">
      <c r="A4847" s="70" t="s">
        <v>7877</v>
      </c>
      <c r="B4847" s="118"/>
      <c r="C4847" s="70" t="s">
        <v>3636</v>
      </c>
      <c r="D4847" s="70" t="s">
        <v>6510</v>
      </c>
      <c r="E4847" s="70" t="s">
        <v>3358</v>
      </c>
      <c r="F4847" s="70" t="s">
        <v>5435</v>
      </c>
      <c r="G4847" s="70" t="s">
        <v>5420</v>
      </c>
      <c r="H4847" s="93"/>
      <c r="I4847" s="85">
        <f t="shared" si="189"/>
        <v>6.5314789170422554</v>
      </c>
      <c r="J4847" s="85">
        <f>3.4*1000*1000</f>
        <v>3400000</v>
      </c>
      <c r="K4847" s="131" t="s">
        <v>3177</v>
      </c>
      <c r="L4847" s="60">
        <v>134</v>
      </c>
      <c r="M4847" s="47" t="s">
        <v>6632</v>
      </c>
      <c r="N4847" s="50"/>
    </row>
    <row r="4848" spans="1:15" ht="16" x14ac:dyDescent="0.2">
      <c r="A4848" s="70" t="s">
        <v>7877</v>
      </c>
      <c r="B4848" s="118"/>
      <c r="C4848" s="70" t="s">
        <v>3636</v>
      </c>
      <c r="D4848" s="70" t="s">
        <v>6510</v>
      </c>
      <c r="E4848" s="70" t="s">
        <v>3358</v>
      </c>
      <c r="F4848" s="70" t="s">
        <v>5435</v>
      </c>
      <c r="G4848" s="70" t="s">
        <v>5170</v>
      </c>
      <c r="H4848" s="93"/>
      <c r="I4848" s="85">
        <f t="shared" si="189"/>
        <v>6.5314789170422554</v>
      </c>
      <c r="J4848" s="94">
        <f>3.4*1000*1000</f>
        <v>3400000</v>
      </c>
      <c r="L4848" s="71">
        <v>141</v>
      </c>
      <c r="M4848" s="47"/>
    </row>
    <row r="4849" spans="1:14" ht="16" x14ac:dyDescent="0.2">
      <c r="A4849" s="70" t="s">
        <v>7877</v>
      </c>
      <c r="B4849" s="118"/>
      <c r="C4849" s="70" t="s">
        <v>3636</v>
      </c>
      <c r="D4849" s="70" t="s">
        <v>6510</v>
      </c>
      <c r="E4849" s="70" t="s">
        <v>3358</v>
      </c>
      <c r="F4849" s="70" t="s">
        <v>5435</v>
      </c>
      <c r="G4849" s="70" t="s">
        <v>5223</v>
      </c>
      <c r="H4849" s="93"/>
      <c r="I4849" s="85">
        <f t="shared" si="189"/>
        <v>6.6812412373755876</v>
      </c>
      <c r="J4849" s="85">
        <f>4.8*1000*1000</f>
        <v>4800000</v>
      </c>
      <c r="K4849" s="131" t="s">
        <v>6414</v>
      </c>
      <c r="L4849" s="60">
        <v>141</v>
      </c>
      <c r="M4849" s="47"/>
    </row>
    <row r="4850" spans="1:14" ht="34" x14ac:dyDescent="0.2">
      <c r="A4850" s="70" t="s">
        <v>7877</v>
      </c>
      <c r="B4850" s="118"/>
      <c r="C4850" s="70" t="s">
        <v>3636</v>
      </c>
      <c r="D4850" s="70" t="s">
        <v>6510</v>
      </c>
      <c r="E4850" s="70" t="s">
        <v>3358</v>
      </c>
      <c r="F4850" s="70" t="s">
        <v>5435</v>
      </c>
      <c r="G4850" s="70" t="s">
        <v>7866</v>
      </c>
      <c r="H4850" s="93"/>
      <c r="I4850" s="85">
        <f t="shared" si="189"/>
        <v>6.7481880270062007</v>
      </c>
      <c r="J4850" s="85">
        <f>5600*1000</f>
        <v>5600000</v>
      </c>
      <c r="K4850" s="131" t="s">
        <v>3177</v>
      </c>
      <c r="L4850" s="60">
        <v>134</v>
      </c>
      <c r="M4850" s="47" t="s">
        <v>6411</v>
      </c>
      <c r="N4850" s="49"/>
    </row>
    <row r="4851" spans="1:14" ht="14" x14ac:dyDescent="0.15">
      <c r="A4851" s="70" t="s">
        <v>7877</v>
      </c>
      <c r="B4851" s="118"/>
      <c r="C4851" s="70" t="s">
        <v>3636</v>
      </c>
      <c r="D4851" s="70" t="s">
        <v>6510</v>
      </c>
      <c r="E4851" s="70" t="s">
        <v>3358</v>
      </c>
      <c r="F4851" s="70" t="s">
        <v>5224</v>
      </c>
      <c r="G4851" s="70" t="s">
        <v>5233</v>
      </c>
      <c r="H4851" s="93"/>
      <c r="I4851" s="85">
        <f t="shared" si="189"/>
        <v>6.3979400086720375</v>
      </c>
      <c r="J4851" s="85">
        <v>2500000</v>
      </c>
      <c r="K4851" s="131" t="s">
        <v>3177</v>
      </c>
      <c r="L4851" s="60">
        <v>137</v>
      </c>
      <c r="M4851" s="33"/>
    </row>
    <row r="4852" spans="1:14" ht="51" x14ac:dyDescent="0.2">
      <c r="A4852" s="70" t="s">
        <v>7877</v>
      </c>
      <c r="B4852" s="118"/>
      <c r="C4852" s="70" t="s">
        <v>3636</v>
      </c>
      <c r="D4852" s="70" t="s">
        <v>6510</v>
      </c>
      <c r="E4852" s="70" t="s">
        <v>3358</v>
      </c>
      <c r="F4852" s="70" t="s">
        <v>5300</v>
      </c>
      <c r="G4852" s="70" t="s">
        <v>5301</v>
      </c>
      <c r="H4852" s="93"/>
      <c r="I4852" s="85">
        <f t="shared" si="189"/>
        <v>6.6789733759197656</v>
      </c>
      <c r="J4852" s="85">
        <f>AVERAGE(3500000, 6050000)</f>
        <v>4775000</v>
      </c>
      <c r="K4852" s="131" t="s">
        <v>3177</v>
      </c>
      <c r="L4852" s="60" t="s">
        <v>6689</v>
      </c>
      <c r="M4852" s="47" t="s">
        <v>6410</v>
      </c>
    </row>
    <row r="4853" spans="1:14" ht="14" x14ac:dyDescent="0.15">
      <c r="A4853" s="73" t="s">
        <v>7029</v>
      </c>
      <c r="B4853" s="118"/>
      <c r="C4853" s="70" t="s">
        <v>3636</v>
      </c>
      <c r="D4853" s="70" t="s">
        <v>2837</v>
      </c>
      <c r="E4853" s="70" t="s">
        <v>7198</v>
      </c>
      <c r="F4853" s="70" t="s">
        <v>3982</v>
      </c>
      <c r="G4853" s="70" t="s">
        <v>5569</v>
      </c>
      <c r="H4853" s="93"/>
      <c r="I4853" s="85">
        <f t="shared" si="189"/>
        <v>4.7781512503836439</v>
      </c>
      <c r="J4853" s="85">
        <v>60000</v>
      </c>
      <c r="K4853" s="131" t="s">
        <v>6485</v>
      </c>
      <c r="L4853" s="63">
        <v>68</v>
      </c>
    </row>
    <row r="4854" spans="1:14" ht="14" x14ac:dyDescent="0.15">
      <c r="A4854" s="70" t="s">
        <v>7029</v>
      </c>
      <c r="B4854" s="118"/>
      <c r="C4854" s="70" t="s">
        <v>3636</v>
      </c>
      <c r="D4854" s="70" t="s">
        <v>2837</v>
      </c>
      <c r="E4854" s="70" t="s">
        <v>7198</v>
      </c>
      <c r="F4854" s="70" t="s">
        <v>3982</v>
      </c>
      <c r="G4854" s="70" t="s">
        <v>3688</v>
      </c>
      <c r="H4854" s="93"/>
      <c r="I4854" s="85">
        <f t="shared" si="189"/>
        <v>5.0791812460476251</v>
      </c>
      <c r="J4854" s="85">
        <v>120000</v>
      </c>
      <c r="K4854" s="131" t="s">
        <v>3177</v>
      </c>
      <c r="L4854" s="69">
        <v>61</v>
      </c>
      <c r="M4854" s="50"/>
    </row>
    <row r="4855" spans="1:14" ht="28" x14ac:dyDescent="0.15">
      <c r="A4855" s="70" t="s">
        <v>7029</v>
      </c>
      <c r="B4855" s="118" t="s">
        <v>2486</v>
      </c>
      <c r="C4855" s="70" t="s">
        <v>3636</v>
      </c>
      <c r="D4855" s="70" t="s">
        <v>2837</v>
      </c>
      <c r="E4855" s="70" t="s">
        <v>7198</v>
      </c>
      <c r="F4855" s="70" t="s">
        <v>3982</v>
      </c>
      <c r="G4855" s="70" t="s">
        <v>7897</v>
      </c>
      <c r="H4855" s="93"/>
      <c r="I4855" s="85">
        <f t="shared" si="189"/>
        <v>5.153814864344529</v>
      </c>
      <c r="J4855" s="85">
        <f>AVERAGE(130000, 155000)</f>
        <v>142500</v>
      </c>
      <c r="K4855" s="131" t="s">
        <v>1326</v>
      </c>
      <c r="L4855" s="60" t="s">
        <v>1387</v>
      </c>
      <c r="M4855" s="33"/>
    </row>
    <row r="4856" spans="1:14" ht="14" x14ac:dyDescent="0.15">
      <c r="A4856" s="70" t="s">
        <v>7029</v>
      </c>
      <c r="B4856" s="118"/>
      <c r="C4856" s="70" t="s">
        <v>3636</v>
      </c>
      <c r="D4856" s="70" t="s">
        <v>2837</v>
      </c>
      <c r="E4856" s="70" t="s">
        <v>7198</v>
      </c>
      <c r="F4856" s="70" t="s">
        <v>3689</v>
      </c>
      <c r="G4856" s="70" t="s">
        <v>3687</v>
      </c>
      <c r="H4856" s="93"/>
      <c r="I4856" s="85">
        <f t="shared" si="189"/>
        <v>4.6766899999999998</v>
      </c>
      <c r="J4856" s="85">
        <v>47499.605206891225</v>
      </c>
      <c r="K4856" s="131" t="s">
        <v>3177</v>
      </c>
      <c r="L4856" s="60">
        <v>60</v>
      </c>
      <c r="M4856" s="49" t="s">
        <v>6392</v>
      </c>
    </row>
    <row r="4857" spans="1:14" ht="28" x14ac:dyDescent="0.2">
      <c r="A4857" s="70" t="s">
        <v>7029</v>
      </c>
      <c r="B4857" s="118"/>
      <c r="C4857" s="70" t="s">
        <v>3636</v>
      </c>
      <c r="D4857" s="70" t="s">
        <v>2837</v>
      </c>
      <c r="E4857" s="70" t="s">
        <v>3724</v>
      </c>
      <c r="F4857" s="70" t="s">
        <v>3496</v>
      </c>
      <c r="G4857" s="70" t="s">
        <v>4207</v>
      </c>
      <c r="H4857" s="93"/>
      <c r="I4857" s="85">
        <f t="shared" si="189"/>
        <v>4.937850000000001</v>
      </c>
      <c r="J4857" s="85">
        <v>86666.248943968283</v>
      </c>
      <c r="K4857" s="131" t="s">
        <v>6737</v>
      </c>
      <c r="L4857" s="60">
        <v>60</v>
      </c>
      <c r="M4857" s="47" t="s">
        <v>6728</v>
      </c>
    </row>
    <row r="4858" spans="1:14" ht="42" x14ac:dyDescent="0.2">
      <c r="A4858" s="70" t="s">
        <v>7029</v>
      </c>
      <c r="B4858" s="118"/>
      <c r="C4858" s="70" t="s">
        <v>3636</v>
      </c>
      <c r="D4858" s="70" t="s">
        <v>2837</v>
      </c>
      <c r="E4858" s="70" t="s">
        <v>3724</v>
      </c>
      <c r="F4858" s="70" t="s">
        <v>3499</v>
      </c>
      <c r="G4858" s="70" t="s">
        <v>4181</v>
      </c>
      <c r="H4858" s="93"/>
      <c r="I4858" s="85">
        <f t="shared" si="189"/>
        <v>4.8363200000000006</v>
      </c>
      <c r="J4858" s="85">
        <v>68599.349897000575</v>
      </c>
      <c r="K4858" s="131" t="s">
        <v>7741</v>
      </c>
      <c r="L4858" s="69">
        <v>61</v>
      </c>
      <c r="M4858" s="47" t="s">
        <v>6727</v>
      </c>
    </row>
    <row r="4859" spans="1:14" ht="42" x14ac:dyDescent="0.15">
      <c r="A4859" s="73" t="s">
        <v>7029</v>
      </c>
      <c r="B4859" s="118"/>
      <c r="C4859" s="70" t="s">
        <v>3636</v>
      </c>
      <c r="D4859" s="70" t="s">
        <v>2837</v>
      </c>
      <c r="E4859" s="70" t="s">
        <v>3724</v>
      </c>
      <c r="F4859" s="70" t="s">
        <v>3499</v>
      </c>
      <c r="G4859" s="70" t="s">
        <v>3498</v>
      </c>
      <c r="H4859" s="93"/>
      <c r="I4859" s="85">
        <f t="shared" si="189"/>
        <v>4.8451000000000004</v>
      </c>
      <c r="J4859" s="85">
        <v>70000.315913089813</v>
      </c>
      <c r="K4859" s="131" t="s">
        <v>7741</v>
      </c>
      <c r="L4859" s="69">
        <v>61</v>
      </c>
      <c r="M4859" s="49" t="s">
        <v>6390</v>
      </c>
    </row>
    <row r="4860" spans="1:14" ht="14" x14ac:dyDescent="0.15">
      <c r="A4860" s="70" t="s">
        <v>7029</v>
      </c>
      <c r="B4860" s="118"/>
      <c r="C4860" s="70" t="s">
        <v>3636</v>
      </c>
      <c r="D4860" s="70" t="s">
        <v>2837</v>
      </c>
      <c r="E4860" s="70" t="s">
        <v>3724</v>
      </c>
      <c r="F4860" s="70" t="s">
        <v>4152</v>
      </c>
      <c r="G4860" s="70" t="s">
        <v>3323</v>
      </c>
      <c r="H4860" s="93"/>
      <c r="I4860" s="85">
        <f t="shared" si="189"/>
        <v>4.2121899999999997</v>
      </c>
      <c r="J4860" s="85">
        <v>16300.089912086862</v>
      </c>
      <c r="K4860" s="131" t="s">
        <v>3177</v>
      </c>
      <c r="L4860" s="69">
        <v>61</v>
      </c>
      <c r="M4860" s="50" t="s">
        <v>6727</v>
      </c>
    </row>
    <row r="4861" spans="1:14" ht="14" x14ac:dyDescent="0.15">
      <c r="A4861" s="70" t="s">
        <v>7029</v>
      </c>
      <c r="B4861" s="118"/>
      <c r="C4861" s="70" t="s">
        <v>3636</v>
      </c>
      <c r="D4861" s="70" t="s">
        <v>2837</v>
      </c>
      <c r="E4861" s="70" t="s">
        <v>3724</v>
      </c>
      <c r="F4861" s="70" t="s">
        <v>4152</v>
      </c>
      <c r="G4861" s="70" t="s">
        <v>3742</v>
      </c>
      <c r="H4861" s="93"/>
      <c r="I4861" s="85">
        <f t="shared" si="189"/>
        <v>4.2174800000000001</v>
      </c>
      <c r="J4861" s="95">
        <v>16499.850149526093</v>
      </c>
      <c r="K4861" s="131" t="s">
        <v>3177</v>
      </c>
      <c r="L4861" s="69">
        <v>61</v>
      </c>
      <c r="M4861" s="50"/>
    </row>
    <row r="4862" spans="1:14" ht="14" x14ac:dyDescent="0.15">
      <c r="A4862" s="70" t="s">
        <v>7029</v>
      </c>
      <c r="B4862" s="118"/>
      <c r="C4862" s="70" t="s">
        <v>3636</v>
      </c>
      <c r="D4862" s="70" t="s">
        <v>2837</v>
      </c>
      <c r="E4862" s="70" t="s">
        <v>3724</v>
      </c>
      <c r="F4862" s="70" t="s">
        <v>4152</v>
      </c>
      <c r="G4862" s="70" t="s">
        <v>3743</v>
      </c>
      <c r="H4862" s="93"/>
      <c r="I4862" s="85">
        <f t="shared" si="189"/>
        <v>4.2174800000000001</v>
      </c>
      <c r="J4862" s="85">
        <v>16499.850149526093</v>
      </c>
      <c r="K4862" s="131" t="s">
        <v>6522</v>
      </c>
      <c r="L4862" s="69">
        <v>61</v>
      </c>
      <c r="M4862" s="49" t="s">
        <v>6727</v>
      </c>
    </row>
    <row r="4863" spans="1:14" ht="14" x14ac:dyDescent="0.15">
      <c r="A4863" s="73" t="s">
        <v>7029</v>
      </c>
      <c r="B4863" s="118"/>
      <c r="C4863" s="70" t="s">
        <v>3636</v>
      </c>
      <c r="D4863" s="70" t="s">
        <v>2837</v>
      </c>
      <c r="E4863" s="70" t="s">
        <v>3724</v>
      </c>
      <c r="F4863" s="70" t="s">
        <v>4152</v>
      </c>
      <c r="G4863" s="70" t="s">
        <v>3324</v>
      </c>
      <c r="H4863" s="93"/>
      <c r="I4863" s="85">
        <f t="shared" si="189"/>
        <v>4.2174800000000001</v>
      </c>
      <c r="J4863" s="85">
        <v>16499.850149526093</v>
      </c>
      <c r="K4863" s="131" t="s">
        <v>3177</v>
      </c>
      <c r="L4863" s="69">
        <v>61</v>
      </c>
      <c r="M4863" s="50" t="s">
        <v>6727</v>
      </c>
    </row>
    <row r="4864" spans="1:14" ht="14" x14ac:dyDescent="0.15">
      <c r="A4864" s="70" t="s">
        <v>7029</v>
      </c>
      <c r="B4864" s="118"/>
      <c r="C4864" s="70" t="s">
        <v>3636</v>
      </c>
      <c r="D4864" s="70" t="s">
        <v>2837</v>
      </c>
      <c r="E4864" s="70" t="s">
        <v>3724</v>
      </c>
      <c r="F4864" s="70" t="s">
        <v>4152</v>
      </c>
      <c r="G4864" s="70" t="s">
        <v>3176</v>
      </c>
      <c r="H4864" s="93"/>
      <c r="I4864" s="85">
        <f t="shared" si="189"/>
        <v>4.3579300000000005</v>
      </c>
      <c r="J4864" s="85">
        <v>22799.7455390334</v>
      </c>
      <c r="K4864" s="131" t="s">
        <v>3177</v>
      </c>
      <c r="L4864" s="63">
        <v>60</v>
      </c>
      <c r="M4864" s="50" t="s">
        <v>6727</v>
      </c>
    </row>
    <row r="4865" spans="1:13" ht="14" x14ac:dyDescent="0.15">
      <c r="A4865" s="70" t="s">
        <v>7029</v>
      </c>
      <c r="B4865" s="118"/>
      <c r="C4865" s="70" t="s">
        <v>3636</v>
      </c>
      <c r="D4865" s="70" t="s">
        <v>2837</v>
      </c>
      <c r="E4865" s="70" t="s">
        <v>3724</v>
      </c>
      <c r="F4865" s="70" t="s">
        <v>4152</v>
      </c>
      <c r="G4865" s="70" t="s">
        <v>3524</v>
      </c>
      <c r="H4865" s="93"/>
      <c r="I4865" s="85">
        <f t="shared" si="189"/>
        <v>4.4149700000000003</v>
      </c>
      <c r="J4865" s="85">
        <v>25999.799567092476</v>
      </c>
      <c r="K4865" s="131" t="s">
        <v>3177</v>
      </c>
      <c r="L4865" s="60">
        <v>60</v>
      </c>
      <c r="M4865" s="50" t="s">
        <v>6392</v>
      </c>
    </row>
    <row r="4866" spans="1:13" ht="14" x14ac:dyDescent="0.15">
      <c r="A4866" s="70" t="s">
        <v>7029</v>
      </c>
      <c r="B4866" s="118"/>
      <c r="C4866" s="70" t="s">
        <v>3636</v>
      </c>
      <c r="D4866" s="70" t="s">
        <v>2837</v>
      </c>
      <c r="E4866" s="70" t="s">
        <v>3724</v>
      </c>
      <c r="F4866" s="70" t="s">
        <v>4153</v>
      </c>
      <c r="G4866" s="70" t="s">
        <v>3932</v>
      </c>
      <c r="H4866" s="93"/>
      <c r="I4866" s="85">
        <f t="shared" si="189"/>
        <v>4.7443600000000012</v>
      </c>
      <c r="J4866" s="85">
        <v>55508.564980303127</v>
      </c>
      <c r="K4866" s="131" t="s">
        <v>3177</v>
      </c>
      <c r="L4866" s="60">
        <v>60</v>
      </c>
    </row>
    <row r="4867" spans="1:13" ht="42" x14ac:dyDescent="0.15">
      <c r="A4867" s="70" t="s">
        <v>7029</v>
      </c>
      <c r="B4867" s="118"/>
      <c r="C4867" s="70" t="s">
        <v>3636</v>
      </c>
      <c r="D4867" s="70" t="s">
        <v>2837</v>
      </c>
      <c r="E4867" s="70" t="s">
        <v>3724</v>
      </c>
      <c r="F4867" s="70" t="s">
        <v>3755</v>
      </c>
      <c r="G4867" s="70" t="s">
        <v>3756</v>
      </c>
      <c r="H4867" s="93"/>
      <c r="I4867" s="85">
        <f t="shared" si="189"/>
        <v>4.6020599999999998</v>
      </c>
      <c r="J4867" s="85">
        <v>40000.000798724192</v>
      </c>
      <c r="K4867" s="131" t="s">
        <v>6729</v>
      </c>
      <c r="L4867" s="60">
        <v>60</v>
      </c>
      <c r="M4867" s="49" t="s">
        <v>6725</v>
      </c>
    </row>
    <row r="4868" spans="1:13" ht="28" x14ac:dyDescent="0.15">
      <c r="A4868" s="70" t="s">
        <v>7029</v>
      </c>
      <c r="B4868" s="118"/>
      <c r="C4868" s="70" t="s">
        <v>3636</v>
      </c>
      <c r="D4868" s="70" t="s">
        <v>2837</v>
      </c>
      <c r="E4868" s="70" t="s">
        <v>3724</v>
      </c>
      <c r="F4868" s="70" t="s">
        <v>3330</v>
      </c>
      <c r="G4868" s="70" t="s">
        <v>2918</v>
      </c>
      <c r="H4868" s="93"/>
      <c r="I4868" s="85">
        <f t="shared" si="189"/>
        <v>3.9822700000000006</v>
      </c>
      <c r="J4868" s="85">
        <v>9599.9727439248272</v>
      </c>
      <c r="K4868" s="131" t="s">
        <v>6658</v>
      </c>
      <c r="L4868" s="69">
        <v>61</v>
      </c>
      <c r="M4868" s="49" t="s">
        <v>6392</v>
      </c>
    </row>
    <row r="4869" spans="1:13" ht="14" x14ac:dyDescent="0.15">
      <c r="A4869" s="70" t="s">
        <v>7029</v>
      </c>
      <c r="B4869" s="118"/>
      <c r="C4869" s="70" t="s">
        <v>3636</v>
      </c>
      <c r="D4869" s="70" t="s">
        <v>2837</v>
      </c>
      <c r="E4869" s="70" t="s">
        <v>3724</v>
      </c>
      <c r="F4869" s="70" t="s">
        <v>3330</v>
      </c>
      <c r="G4869" s="70" t="s">
        <v>4191</v>
      </c>
      <c r="H4869" s="93"/>
      <c r="I4869" s="85">
        <f t="shared" si="189"/>
        <v>3.9890000000000003</v>
      </c>
      <c r="J4869" s="85">
        <v>9749.8963771738727</v>
      </c>
      <c r="K4869" s="131" t="s">
        <v>6670</v>
      </c>
      <c r="L4869" s="69">
        <v>61</v>
      </c>
      <c r="M4869" s="49" t="s">
        <v>6728</v>
      </c>
    </row>
    <row r="4870" spans="1:13" ht="28" x14ac:dyDescent="0.15">
      <c r="A4870" s="70" t="s">
        <v>7029</v>
      </c>
      <c r="B4870" s="118"/>
      <c r="C4870" s="70" t="s">
        <v>3636</v>
      </c>
      <c r="D4870" s="70" t="s">
        <v>2837</v>
      </c>
      <c r="E4870" s="70" t="s">
        <v>4379</v>
      </c>
      <c r="F4870" s="70" t="s">
        <v>4215</v>
      </c>
      <c r="G4870" s="70" t="s">
        <v>4216</v>
      </c>
      <c r="H4870" s="93"/>
      <c r="I4870" s="85">
        <f t="shared" si="189"/>
        <v>4.5510400000000004</v>
      </c>
      <c r="J4870" s="85">
        <v>35566.407493235864</v>
      </c>
      <c r="K4870" s="131" t="s">
        <v>6676</v>
      </c>
      <c r="L4870" s="63">
        <v>60</v>
      </c>
      <c r="M4870" s="49" t="s">
        <v>6390</v>
      </c>
    </row>
    <row r="4871" spans="1:13" ht="14" x14ac:dyDescent="0.15">
      <c r="A4871" s="70" t="s">
        <v>7029</v>
      </c>
      <c r="B4871" s="118"/>
      <c r="C4871" s="70" t="s">
        <v>3636</v>
      </c>
      <c r="D4871" s="70" t="s">
        <v>2837</v>
      </c>
      <c r="E4871" s="70" t="s">
        <v>4379</v>
      </c>
      <c r="F4871" s="70" t="s">
        <v>3768</v>
      </c>
      <c r="G4871" s="70" t="s">
        <v>3769</v>
      </c>
      <c r="H4871" s="93"/>
      <c r="I4871" s="85">
        <f t="shared" si="189"/>
        <v>4.327700000000001</v>
      </c>
      <c r="J4871" s="85">
        <v>21266.694872358308</v>
      </c>
      <c r="K4871" s="131" t="s">
        <v>3177</v>
      </c>
      <c r="L4871" s="60">
        <v>60</v>
      </c>
    </row>
    <row r="4872" spans="1:13" ht="14" x14ac:dyDescent="0.15">
      <c r="A4872" s="70" t="s">
        <v>7029</v>
      </c>
      <c r="B4872" s="118"/>
      <c r="C4872" s="70" t="s">
        <v>3636</v>
      </c>
      <c r="D4872" s="70" t="s">
        <v>2837</v>
      </c>
      <c r="E4872" s="70" t="s">
        <v>4379</v>
      </c>
      <c r="F4872" s="70" t="s">
        <v>4380</v>
      </c>
      <c r="G4872" s="70" t="s">
        <v>4381</v>
      </c>
      <c r="H4872" s="93"/>
      <c r="I4872" s="85">
        <f t="shared" ref="I4872:I4903" si="190">LOG(J4872)</f>
        <v>4.5083100000000007</v>
      </c>
      <c r="J4872" s="85">
        <v>32233.688154104955</v>
      </c>
      <c r="K4872" s="131" t="s">
        <v>3177</v>
      </c>
      <c r="L4872" s="63">
        <v>60</v>
      </c>
    </row>
    <row r="4873" spans="1:13" ht="14" x14ac:dyDescent="0.15">
      <c r="A4873" s="70" t="s">
        <v>7029</v>
      </c>
      <c r="B4873" s="118"/>
      <c r="C4873" s="70" t="s">
        <v>3636</v>
      </c>
      <c r="D4873" s="70" t="s">
        <v>3773</v>
      </c>
      <c r="E4873" s="70" t="s">
        <v>3774</v>
      </c>
      <c r="F4873" s="70" t="s">
        <v>2234</v>
      </c>
      <c r="G4873" s="70" t="s">
        <v>2212</v>
      </c>
      <c r="H4873" s="93"/>
      <c r="I4873" s="85">
        <f t="shared" si="190"/>
        <v>3.8893000000000004</v>
      </c>
      <c r="J4873" s="85">
        <v>7749.9696187757672</v>
      </c>
      <c r="K4873" s="131" t="s">
        <v>3177</v>
      </c>
      <c r="L4873" s="60">
        <v>61</v>
      </c>
      <c r="M4873" s="49" t="s">
        <v>6727</v>
      </c>
    </row>
    <row r="4874" spans="1:13" ht="14" x14ac:dyDescent="0.15">
      <c r="A4874" s="70" t="s">
        <v>7029</v>
      </c>
      <c r="B4874" s="118"/>
      <c r="C4874" s="70" t="s">
        <v>3636</v>
      </c>
      <c r="D4874" s="70" t="s">
        <v>3773</v>
      </c>
      <c r="E4874" s="70" t="s">
        <v>3774</v>
      </c>
      <c r="F4874" s="70" t="s">
        <v>2213</v>
      </c>
      <c r="G4874" s="70" t="s">
        <v>2214</v>
      </c>
      <c r="H4874" s="93"/>
      <c r="I4874" s="85">
        <f t="shared" si="190"/>
        <v>3.7193300000000002</v>
      </c>
      <c r="J4874" s="85">
        <v>5239.9844718617996</v>
      </c>
      <c r="K4874" s="131" t="s">
        <v>3177</v>
      </c>
      <c r="L4874" s="60">
        <v>60</v>
      </c>
      <c r="M4874" s="50"/>
    </row>
    <row r="4875" spans="1:13" ht="28" x14ac:dyDescent="0.15">
      <c r="A4875" s="70" t="s">
        <v>7029</v>
      </c>
      <c r="B4875" s="118"/>
      <c r="C4875" s="70" t="s">
        <v>3636</v>
      </c>
      <c r="D4875" s="70" t="s">
        <v>3773</v>
      </c>
      <c r="E4875" s="70" t="s">
        <v>3774</v>
      </c>
      <c r="F4875" s="70" t="s">
        <v>4487</v>
      </c>
      <c r="G4875" s="70" t="s">
        <v>2115</v>
      </c>
      <c r="H4875" s="93"/>
      <c r="I4875" s="85">
        <f t="shared" si="190"/>
        <v>4.3664199999999997</v>
      </c>
      <c r="J4875" s="85">
        <v>23249.841685140746</v>
      </c>
      <c r="K4875" s="131" t="s">
        <v>6629</v>
      </c>
      <c r="L4875" s="63">
        <v>60</v>
      </c>
      <c r="M4875" s="50" t="s">
        <v>6392</v>
      </c>
    </row>
    <row r="4876" spans="1:13" ht="14" x14ac:dyDescent="0.15">
      <c r="A4876" s="70" t="s">
        <v>7029</v>
      </c>
      <c r="B4876" s="118"/>
      <c r="C4876" s="70" t="s">
        <v>3636</v>
      </c>
      <c r="D4876" s="70" t="s">
        <v>3773</v>
      </c>
      <c r="E4876" s="70" t="s">
        <v>3774</v>
      </c>
      <c r="F4876" s="70" t="s">
        <v>2116</v>
      </c>
      <c r="G4876" s="70" t="s">
        <v>7048</v>
      </c>
      <c r="H4876" s="93"/>
      <c r="I4876" s="85">
        <f t="shared" si="190"/>
        <v>3.6020600000000003</v>
      </c>
      <c r="J4876" s="85">
        <v>4000.0000798724222</v>
      </c>
      <c r="K4876" s="131" t="s">
        <v>6630</v>
      </c>
      <c r="L4876" s="69">
        <v>61</v>
      </c>
      <c r="M4876" s="49" t="s">
        <v>6727</v>
      </c>
    </row>
    <row r="4877" spans="1:13" ht="14" x14ac:dyDescent="0.15">
      <c r="A4877" s="70" t="s">
        <v>7029</v>
      </c>
      <c r="B4877" s="118"/>
      <c r="C4877" s="70" t="s">
        <v>3636</v>
      </c>
      <c r="D4877" s="70" t="s">
        <v>3773</v>
      </c>
      <c r="E4877" s="70" t="s">
        <v>3774</v>
      </c>
      <c r="F4877" s="70" t="s">
        <v>2116</v>
      </c>
      <c r="G4877" s="70" t="s">
        <v>7258</v>
      </c>
      <c r="H4877" s="93"/>
      <c r="I4877" s="85">
        <f t="shared" si="190"/>
        <v>3.67117</v>
      </c>
      <c r="J4877" s="85">
        <v>4689.9693012675471</v>
      </c>
      <c r="K4877" s="131" t="s">
        <v>3177</v>
      </c>
      <c r="L4877" s="69">
        <v>61</v>
      </c>
    </row>
    <row r="4878" spans="1:13" ht="14" x14ac:dyDescent="0.15">
      <c r="A4878" s="73" t="s">
        <v>7029</v>
      </c>
      <c r="B4878" s="118"/>
      <c r="C4878" s="70" t="s">
        <v>3636</v>
      </c>
      <c r="D4878" s="70" t="s">
        <v>3773</v>
      </c>
      <c r="E4878" s="70" t="s">
        <v>3774</v>
      </c>
      <c r="F4878" s="70" t="s">
        <v>2116</v>
      </c>
      <c r="G4878" s="70" t="s">
        <v>7050</v>
      </c>
      <c r="H4878" s="93"/>
      <c r="I4878" s="85">
        <f t="shared" si="190"/>
        <v>3.7283499999999998</v>
      </c>
      <c r="J4878" s="85">
        <v>5349.9534101253548</v>
      </c>
      <c r="K4878" s="131" t="s">
        <v>6391</v>
      </c>
      <c r="L4878" s="69">
        <v>61</v>
      </c>
      <c r="M4878" s="49" t="s">
        <v>6727</v>
      </c>
    </row>
    <row r="4879" spans="1:13" ht="14" x14ac:dyDescent="0.15">
      <c r="A4879" s="70" t="s">
        <v>7029</v>
      </c>
      <c r="B4879" s="118"/>
      <c r="C4879" s="70" t="s">
        <v>3636</v>
      </c>
      <c r="D4879" s="70" t="s">
        <v>3773</v>
      </c>
      <c r="E4879" s="70" t="s">
        <v>3774</v>
      </c>
      <c r="F4879" s="70" t="s">
        <v>2116</v>
      </c>
      <c r="G4879" s="70" t="s">
        <v>2118</v>
      </c>
      <c r="H4879" s="93"/>
      <c r="I4879" s="85">
        <f t="shared" si="190"/>
        <v>3.9180300000000003</v>
      </c>
      <c r="J4879" s="85">
        <v>8279.9935790625059</v>
      </c>
      <c r="K4879" s="131" t="s">
        <v>3177</v>
      </c>
      <c r="L4879" s="60">
        <v>60</v>
      </c>
    </row>
    <row r="4880" spans="1:13" ht="14" x14ac:dyDescent="0.15">
      <c r="A4880" s="70" t="s">
        <v>7029</v>
      </c>
      <c r="B4880" s="118"/>
      <c r="C4880" s="70" t="s">
        <v>3636</v>
      </c>
      <c r="D4880" s="70" t="s">
        <v>3773</v>
      </c>
      <c r="E4880" s="70" t="s">
        <v>3774</v>
      </c>
      <c r="F4880" s="70" t="s">
        <v>2116</v>
      </c>
      <c r="G4880" s="70" t="s">
        <v>2117</v>
      </c>
      <c r="H4880" s="93"/>
      <c r="I4880" s="85">
        <f t="shared" si="190"/>
        <v>3.9926600000000003</v>
      </c>
      <c r="J4880" s="85">
        <v>9832.4104566919814</v>
      </c>
      <c r="K4880" s="131" t="s">
        <v>3177</v>
      </c>
      <c r="L4880" s="60">
        <v>60</v>
      </c>
    </row>
    <row r="4881" spans="1:13" ht="14" x14ac:dyDescent="0.15">
      <c r="A4881" s="70" t="s">
        <v>7029</v>
      </c>
      <c r="B4881" s="118"/>
      <c r="C4881" s="70" t="s">
        <v>3636</v>
      </c>
      <c r="D4881" s="70" t="s">
        <v>3773</v>
      </c>
      <c r="E4881" s="70" t="s">
        <v>3774</v>
      </c>
      <c r="F4881" s="70" t="s">
        <v>7051</v>
      </c>
      <c r="G4881" s="70" t="s">
        <v>7052</v>
      </c>
      <c r="H4881" s="93"/>
      <c r="I4881" s="85">
        <f t="shared" si="190"/>
        <v>3.7781500000000001</v>
      </c>
      <c r="J4881" s="85">
        <v>5999.9827253364419</v>
      </c>
      <c r="K4881" s="131" t="s">
        <v>6391</v>
      </c>
      <c r="L4881" s="69" t="s">
        <v>7299</v>
      </c>
      <c r="M4881" s="49" t="s">
        <v>6728</v>
      </c>
    </row>
    <row r="4882" spans="1:13" ht="14" x14ac:dyDescent="0.15">
      <c r="A4882" s="70" t="s">
        <v>7029</v>
      </c>
      <c r="B4882" s="118"/>
      <c r="C4882" s="70" t="s">
        <v>3636</v>
      </c>
      <c r="D4882" s="70" t="s">
        <v>3773</v>
      </c>
      <c r="E4882" s="73" t="s">
        <v>3774</v>
      </c>
      <c r="F4882" s="70" t="s">
        <v>2231</v>
      </c>
      <c r="G4882" s="70" t="s">
        <v>2232</v>
      </c>
      <c r="H4882" s="93"/>
      <c r="I4882" s="85">
        <f t="shared" si="190"/>
        <v>3.5836200000000002</v>
      </c>
      <c r="J4882" s="85">
        <v>3833.7165526970089</v>
      </c>
      <c r="K4882" s="131" t="s">
        <v>3177</v>
      </c>
      <c r="L4882" s="60">
        <v>60</v>
      </c>
    </row>
    <row r="4883" spans="1:13" ht="14" x14ac:dyDescent="0.15">
      <c r="A4883" s="70" t="s">
        <v>7029</v>
      </c>
      <c r="B4883" s="118"/>
      <c r="C4883" s="70" t="s">
        <v>3636</v>
      </c>
      <c r="D4883" s="70" t="s">
        <v>3773</v>
      </c>
      <c r="E4883" s="70" t="s">
        <v>7053</v>
      </c>
      <c r="F4883" s="70" t="s">
        <v>7056</v>
      </c>
      <c r="G4883" s="70" t="s">
        <v>7057</v>
      </c>
      <c r="H4883" s="93"/>
      <c r="I4883" s="85">
        <f t="shared" si="190"/>
        <v>3.8292999999999999</v>
      </c>
      <c r="J4883" s="85">
        <v>6749.9413612194912</v>
      </c>
      <c r="K4883" s="131" t="s">
        <v>3177</v>
      </c>
      <c r="L4883" s="69">
        <v>61</v>
      </c>
    </row>
    <row r="4884" spans="1:13" ht="14" x14ac:dyDescent="0.15">
      <c r="A4884" s="70" t="s">
        <v>7029</v>
      </c>
      <c r="B4884" s="118"/>
      <c r="C4884" s="70" t="s">
        <v>3636</v>
      </c>
      <c r="D4884" s="70" t="s">
        <v>3773</v>
      </c>
      <c r="E4884" s="70" t="s">
        <v>7053</v>
      </c>
      <c r="F4884" s="70" t="s">
        <v>7058</v>
      </c>
      <c r="G4884" s="70" t="s">
        <v>3389</v>
      </c>
      <c r="H4884" s="93"/>
      <c r="I4884" s="85">
        <f t="shared" si="190"/>
        <v>3.3521825181113627</v>
      </c>
      <c r="J4884" s="85">
        <v>2250</v>
      </c>
      <c r="K4884" s="131" t="s">
        <v>6522</v>
      </c>
      <c r="L4884" s="69">
        <v>61</v>
      </c>
      <c r="M4884" s="49" t="s">
        <v>6725</v>
      </c>
    </row>
    <row r="4885" spans="1:13" ht="14" x14ac:dyDescent="0.15">
      <c r="A4885" s="73" t="s">
        <v>7029</v>
      </c>
      <c r="B4885" s="118"/>
      <c r="C4885" s="70" t="s">
        <v>3636</v>
      </c>
      <c r="D4885" s="70" t="s">
        <v>3773</v>
      </c>
      <c r="E4885" s="70" t="s">
        <v>7053</v>
      </c>
      <c r="F4885" s="70" t="s">
        <v>7058</v>
      </c>
      <c r="G4885" s="70" t="s">
        <v>7110</v>
      </c>
      <c r="H4885" s="93"/>
      <c r="I4885" s="85">
        <f t="shared" si="190"/>
        <v>3.5118800000000006</v>
      </c>
      <c r="J4885" s="85">
        <v>3249.9748485428022</v>
      </c>
      <c r="K4885" s="131" t="s">
        <v>3177</v>
      </c>
      <c r="L4885" s="60">
        <v>60</v>
      </c>
    </row>
    <row r="4886" spans="1:13" ht="14" x14ac:dyDescent="0.15">
      <c r="A4886" s="70" t="s">
        <v>7029</v>
      </c>
      <c r="B4886" s="118"/>
      <c r="C4886" s="70" t="s">
        <v>3636</v>
      </c>
      <c r="D4886" s="70" t="s">
        <v>3773</v>
      </c>
      <c r="E4886" s="70" t="s">
        <v>7053</v>
      </c>
      <c r="F4886" s="70" t="s">
        <v>7058</v>
      </c>
      <c r="G4886" s="70" t="s">
        <v>7109</v>
      </c>
      <c r="H4886" s="93"/>
      <c r="I4886" s="85">
        <f t="shared" si="190"/>
        <v>4.0755499999999998</v>
      </c>
      <c r="J4886" s="85">
        <v>11900.083260453186</v>
      </c>
      <c r="K4886" s="131" t="s">
        <v>3177</v>
      </c>
      <c r="L4886" s="60">
        <v>60</v>
      </c>
    </row>
    <row r="4887" spans="1:13" ht="14" x14ac:dyDescent="0.15">
      <c r="A4887" s="73" t="s">
        <v>7029</v>
      </c>
      <c r="B4887" s="118"/>
      <c r="C4887" s="73" t="s">
        <v>3636</v>
      </c>
      <c r="D4887" s="73" t="s">
        <v>3773</v>
      </c>
      <c r="E4887" s="73" t="s">
        <v>7053</v>
      </c>
      <c r="F4887" s="73" t="s">
        <v>3592</v>
      </c>
      <c r="G4887" s="73" t="s">
        <v>3597</v>
      </c>
      <c r="H4887" s="108"/>
      <c r="I4887" s="85">
        <f t="shared" si="190"/>
        <v>3.3483000000000001</v>
      </c>
      <c r="J4887" s="95">
        <v>2229.9750295314971</v>
      </c>
      <c r="K4887" s="131" t="s">
        <v>6666</v>
      </c>
      <c r="L4887" s="69">
        <v>61</v>
      </c>
      <c r="M4887" s="49" t="s">
        <v>6728</v>
      </c>
    </row>
    <row r="4888" spans="1:13" ht="14" x14ac:dyDescent="0.15">
      <c r="A4888" s="70" t="s">
        <v>7029</v>
      </c>
      <c r="B4888" s="118"/>
      <c r="C4888" s="70" t="s">
        <v>3636</v>
      </c>
      <c r="D4888" s="70" t="s">
        <v>3773</v>
      </c>
      <c r="E4888" s="70" t="s">
        <v>7053</v>
      </c>
      <c r="F4888" s="70" t="s">
        <v>3592</v>
      </c>
      <c r="G4888" s="70" t="s">
        <v>3596</v>
      </c>
      <c r="H4888" s="93"/>
      <c r="I4888" s="85">
        <f t="shared" si="190"/>
        <v>3.5550944485783194</v>
      </c>
      <c r="J4888" s="85">
        <v>3590</v>
      </c>
      <c r="K4888" s="131" t="s">
        <v>6677</v>
      </c>
      <c r="L4888" s="69">
        <v>61</v>
      </c>
      <c r="M4888" s="49" t="s">
        <v>6725</v>
      </c>
    </row>
    <row r="4889" spans="1:13" ht="14" x14ac:dyDescent="0.15">
      <c r="A4889" s="73" t="s">
        <v>7029</v>
      </c>
      <c r="B4889" s="118"/>
      <c r="C4889" s="70" t="s">
        <v>3636</v>
      </c>
      <c r="D4889" s="70" t="s">
        <v>3773</v>
      </c>
      <c r="E4889" s="70" t="s">
        <v>7053</v>
      </c>
      <c r="F4889" s="70" t="s">
        <v>3592</v>
      </c>
      <c r="G4889" s="70" t="s">
        <v>3593</v>
      </c>
      <c r="H4889" s="93"/>
      <c r="I4889" s="85">
        <f t="shared" si="190"/>
        <v>3.5949400000000007</v>
      </c>
      <c r="J4889" s="85">
        <v>3934.9570825919182</v>
      </c>
      <c r="K4889" s="131" t="s">
        <v>6585</v>
      </c>
      <c r="L4889" s="69" t="s">
        <v>5112</v>
      </c>
      <c r="M4889" s="49" t="s">
        <v>6725</v>
      </c>
    </row>
    <row r="4890" spans="1:13" ht="28" x14ac:dyDescent="0.15">
      <c r="A4890" s="70" t="s">
        <v>7029</v>
      </c>
      <c r="B4890" s="118"/>
      <c r="C4890" s="70" t="s">
        <v>3636</v>
      </c>
      <c r="D4890" s="70" t="s">
        <v>3773</v>
      </c>
      <c r="E4890" s="70" t="s">
        <v>7053</v>
      </c>
      <c r="F4890" s="70" t="s">
        <v>3590</v>
      </c>
      <c r="G4890" s="70" t="s">
        <v>3839</v>
      </c>
      <c r="H4890" s="93"/>
      <c r="I4890" s="85">
        <f t="shared" si="190"/>
        <v>3.9623699999999999</v>
      </c>
      <c r="J4890" s="85">
        <v>9170.0140271424589</v>
      </c>
      <c r="K4890" s="131" t="s">
        <v>6456</v>
      </c>
      <c r="L4890" s="60">
        <v>60</v>
      </c>
      <c r="M4890" s="49" t="s">
        <v>6390</v>
      </c>
    </row>
    <row r="4891" spans="1:13" ht="28" x14ac:dyDescent="0.15">
      <c r="A4891" s="70" t="s">
        <v>7029</v>
      </c>
      <c r="B4891" s="118"/>
      <c r="C4891" s="70" t="s">
        <v>3636</v>
      </c>
      <c r="D4891" s="70" t="s">
        <v>3773</v>
      </c>
      <c r="E4891" s="70" t="s">
        <v>7053</v>
      </c>
      <c r="F4891" s="70" t="s">
        <v>4677</v>
      </c>
      <c r="G4891" s="70" t="s">
        <v>2359</v>
      </c>
      <c r="H4891" s="93"/>
      <c r="I4891" s="85">
        <f t="shared" si="190"/>
        <v>5</v>
      </c>
      <c r="J4891" s="85">
        <v>100000</v>
      </c>
      <c r="K4891" s="131" t="s">
        <v>6654</v>
      </c>
      <c r="L4891" s="69">
        <v>61</v>
      </c>
      <c r="M4891" s="49" t="s">
        <v>6725</v>
      </c>
    </row>
    <row r="4892" spans="1:13" ht="14" x14ac:dyDescent="0.15">
      <c r="A4892" s="70" t="s">
        <v>7029</v>
      </c>
      <c r="B4892" s="118"/>
      <c r="C4892" s="70" t="s">
        <v>3636</v>
      </c>
      <c r="D4892" s="70" t="s">
        <v>3773</v>
      </c>
      <c r="E4892" s="70" t="s">
        <v>7053</v>
      </c>
      <c r="F4892" s="70" t="s">
        <v>2093</v>
      </c>
      <c r="G4892" s="70" t="s">
        <v>3388</v>
      </c>
      <c r="H4892" s="93"/>
      <c r="I4892" s="85">
        <f t="shared" si="190"/>
        <v>4.71265</v>
      </c>
      <c r="J4892" s="85">
        <v>51600.035450694937</v>
      </c>
      <c r="K4892" s="131" t="s">
        <v>6662</v>
      </c>
      <c r="L4892" s="63">
        <v>60</v>
      </c>
      <c r="M4892" s="49" t="s">
        <v>6725</v>
      </c>
    </row>
    <row r="4893" spans="1:13" ht="14" x14ac:dyDescent="0.15">
      <c r="A4893" s="70" t="s">
        <v>7029</v>
      </c>
      <c r="B4893" s="118"/>
      <c r="C4893" s="70" t="s">
        <v>3636</v>
      </c>
      <c r="D4893" s="70" t="s">
        <v>3773</v>
      </c>
      <c r="E4893" s="70" t="s">
        <v>4076</v>
      </c>
      <c r="F4893" s="70" t="s">
        <v>4263</v>
      </c>
      <c r="G4893" s="70" t="s">
        <v>4116</v>
      </c>
      <c r="H4893" s="93"/>
      <c r="I4893" s="85">
        <f t="shared" si="190"/>
        <v>2.5158700000000001</v>
      </c>
      <c r="J4893" s="85">
        <v>327.99709705763223</v>
      </c>
      <c r="K4893" s="131" t="s">
        <v>3177</v>
      </c>
      <c r="L4893" s="69">
        <v>61</v>
      </c>
      <c r="M4893" s="50"/>
    </row>
    <row r="4894" spans="1:13" ht="14" x14ac:dyDescent="0.15">
      <c r="A4894" s="70" t="s">
        <v>7029</v>
      </c>
      <c r="B4894" s="118"/>
      <c r="C4894" s="70" t="s">
        <v>3636</v>
      </c>
      <c r="D4894" s="70" t="s">
        <v>3773</v>
      </c>
      <c r="E4894" s="70" t="s">
        <v>4076</v>
      </c>
      <c r="F4894" s="70" t="s">
        <v>4263</v>
      </c>
      <c r="G4894" s="70" t="s">
        <v>4301</v>
      </c>
      <c r="H4894" s="93"/>
      <c r="I4894" s="85">
        <f t="shared" si="190"/>
        <v>3.0791800000000005</v>
      </c>
      <c r="J4894" s="85">
        <v>1199.9965570481172</v>
      </c>
      <c r="K4894" s="131" t="s">
        <v>3177</v>
      </c>
      <c r="L4894" s="69">
        <v>60</v>
      </c>
      <c r="M4894" s="50"/>
    </row>
    <row r="4895" spans="1:13" ht="14" x14ac:dyDescent="0.15">
      <c r="A4895" s="70" t="s">
        <v>7029</v>
      </c>
      <c r="B4895" s="118"/>
      <c r="C4895" s="70" t="s">
        <v>3636</v>
      </c>
      <c r="D4895" s="70" t="s">
        <v>3773</v>
      </c>
      <c r="E4895" s="70" t="s">
        <v>4076</v>
      </c>
      <c r="F4895" s="70" t="s">
        <v>4263</v>
      </c>
      <c r="G4895" s="70" t="s">
        <v>4115</v>
      </c>
      <c r="H4895" s="93"/>
      <c r="I4895" s="85">
        <f t="shared" si="190"/>
        <v>3.2827400000000004</v>
      </c>
      <c r="J4895" s="85">
        <v>1917.5204309445273</v>
      </c>
      <c r="K4895" s="131" t="s">
        <v>3177</v>
      </c>
      <c r="L4895" s="60">
        <v>60</v>
      </c>
      <c r="M4895" s="50"/>
    </row>
    <row r="4896" spans="1:13" ht="14" x14ac:dyDescent="0.15">
      <c r="A4896" s="70" t="s">
        <v>7029</v>
      </c>
      <c r="B4896" s="118"/>
      <c r="C4896" s="70" t="s">
        <v>3636</v>
      </c>
      <c r="D4896" s="70" t="s">
        <v>3773</v>
      </c>
      <c r="E4896" s="70" t="s">
        <v>4076</v>
      </c>
      <c r="F4896" s="70" t="s">
        <v>3638</v>
      </c>
      <c r="G4896" s="70" t="s">
        <v>3639</v>
      </c>
      <c r="H4896" s="93"/>
      <c r="I4896" s="85">
        <f t="shared" si="190"/>
        <v>3.5921800000000004</v>
      </c>
      <c r="J4896" s="85">
        <v>3910.0291936232725</v>
      </c>
      <c r="K4896" s="131" t="s">
        <v>3177</v>
      </c>
      <c r="L4896" s="60">
        <v>60</v>
      </c>
      <c r="M4896" s="50"/>
    </row>
    <row r="4897" spans="1:15" ht="14" x14ac:dyDescent="0.15">
      <c r="A4897" s="70" t="s">
        <v>7029</v>
      </c>
      <c r="B4897" s="118"/>
      <c r="C4897" s="70" t="s">
        <v>3636</v>
      </c>
      <c r="D4897" s="70" t="s">
        <v>3773</v>
      </c>
      <c r="E4897" s="70" t="s">
        <v>4076</v>
      </c>
      <c r="F4897" s="70" t="s">
        <v>3640</v>
      </c>
      <c r="G4897" s="70" t="s">
        <v>4117</v>
      </c>
      <c r="H4897" s="93"/>
      <c r="I4897" s="85">
        <f t="shared" si="190"/>
        <v>3</v>
      </c>
      <c r="J4897" s="85">
        <v>1000</v>
      </c>
      <c r="K4897" s="131" t="s">
        <v>3177</v>
      </c>
      <c r="L4897" s="60">
        <v>60</v>
      </c>
      <c r="M4897" s="50"/>
    </row>
    <row r="4898" spans="1:15" ht="14" x14ac:dyDescent="0.15">
      <c r="A4898" s="70" t="s">
        <v>7029</v>
      </c>
      <c r="B4898" s="118"/>
      <c r="C4898" s="70" t="s">
        <v>3636</v>
      </c>
      <c r="D4898" s="70" t="s">
        <v>3773</v>
      </c>
      <c r="E4898" s="70" t="s">
        <v>4076</v>
      </c>
      <c r="F4898" s="70" t="s">
        <v>3640</v>
      </c>
      <c r="G4898" s="70" t="s">
        <v>3641</v>
      </c>
      <c r="H4898" s="93"/>
      <c r="I4898" s="85">
        <f t="shared" si="190"/>
        <v>3.5051500000000004</v>
      </c>
      <c r="J4898" s="85">
        <v>3200.0001597448445</v>
      </c>
      <c r="K4898" s="131" t="s">
        <v>3177</v>
      </c>
      <c r="L4898" s="69">
        <v>61</v>
      </c>
      <c r="M4898" s="50"/>
    </row>
    <row r="4899" spans="1:15" ht="28" x14ac:dyDescent="0.15">
      <c r="A4899" s="70" t="s">
        <v>7029</v>
      </c>
      <c r="B4899" s="118"/>
      <c r="C4899" s="70" t="s">
        <v>3636</v>
      </c>
      <c r="D4899" s="70" t="s">
        <v>3773</v>
      </c>
      <c r="E4899" s="70" t="s">
        <v>4076</v>
      </c>
      <c r="F4899" s="70" t="s">
        <v>4266</v>
      </c>
      <c r="G4899" s="70" t="s">
        <v>4275</v>
      </c>
      <c r="H4899" s="93"/>
      <c r="I4899" s="85">
        <f t="shared" si="190"/>
        <v>3.8165700000000005</v>
      </c>
      <c r="J4899" s="85">
        <v>6554.9593078038397</v>
      </c>
      <c r="K4899" s="131" t="s">
        <v>6696</v>
      </c>
      <c r="L4899" s="60">
        <v>60</v>
      </c>
      <c r="M4899" s="49" t="s">
        <v>6727</v>
      </c>
    </row>
    <row r="4900" spans="1:15" ht="14" x14ac:dyDescent="0.15">
      <c r="A4900" s="70" t="s">
        <v>7029</v>
      </c>
      <c r="B4900" s="118"/>
      <c r="C4900" s="70" t="s">
        <v>3636</v>
      </c>
      <c r="D4900" s="70" t="s">
        <v>3773</v>
      </c>
      <c r="E4900" s="70" t="s">
        <v>4076</v>
      </c>
      <c r="F4900" s="70" t="s">
        <v>4266</v>
      </c>
      <c r="G4900" s="70" t="s">
        <v>3868</v>
      </c>
      <c r="H4900" s="93"/>
      <c r="I4900" s="85">
        <f t="shared" si="190"/>
        <v>3.8750599999999999</v>
      </c>
      <c r="J4900" s="85">
        <v>7499.9781820300241</v>
      </c>
      <c r="K4900" s="131" t="s">
        <v>6817</v>
      </c>
      <c r="L4900" s="60">
        <v>60</v>
      </c>
      <c r="M4900" s="49" t="s">
        <v>6390</v>
      </c>
    </row>
    <row r="4901" spans="1:15" ht="28" x14ac:dyDescent="0.15">
      <c r="A4901" s="70" t="s">
        <v>7029</v>
      </c>
      <c r="B4901" s="118"/>
      <c r="C4901" s="70" t="s">
        <v>3636</v>
      </c>
      <c r="D4901" s="70" t="s">
        <v>3773</v>
      </c>
      <c r="E4901" s="70" t="s">
        <v>4076</v>
      </c>
      <c r="F4901" s="70" t="s">
        <v>4266</v>
      </c>
      <c r="G4901" s="70" t="s">
        <v>6418</v>
      </c>
      <c r="H4901" s="93"/>
      <c r="I4901" s="85">
        <f t="shared" si="190"/>
        <v>4.4857214264815797</v>
      </c>
      <c r="J4901" s="85">
        <f>AVERAGE(3200, 58000)</f>
        <v>30600</v>
      </c>
      <c r="K4901" s="131" t="s">
        <v>6696</v>
      </c>
      <c r="L4901" s="63">
        <v>96</v>
      </c>
      <c r="M4901" s="49" t="s">
        <v>6390</v>
      </c>
    </row>
    <row r="4902" spans="1:15" ht="14" x14ac:dyDescent="0.15">
      <c r="A4902" s="70" t="s">
        <v>7029</v>
      </c>
      <c r="B4902" s="118"/>
      <c r="C4902" s="70" t="s">
        <v>3636</v>
      </c>
      <c r="D4902" s="70" t="s">
        <v>3773</v>
      </c>
      <c r="E4902" s="70" t="s">
        <v>4076</v>
      </c>
      <c r="F4902" s="70" t="s">
        <v>3869</v>
      </c>
      <c r="G4902" s="70" t="s">
        <v>3870</v>
      </c>
      <c r="H4902" s="93"/>
      <c r="I4902" s="85">
        <f t="shared" si="190"/>
        <v>2.3521800000000006</v>
      </c>
      <c r="J4902" s="85">
        <v>224.9986954165031</v>
      </c>
      <c r="K4902" s="131" t="s">
        <v>3177</v>
      </c>
      <c r="L4902" s="69">
        <v>61</v>
      </c>
    </row>
    <row r="4903" spans="1:15" ht="14" x14ac:dyDescent="0.15">
      <c r="A4903" s="70" t="s">
        <v>7029</v>
      </c>
      <c r="B4903" s="118"/>
      <c r="C4903" s="70" t="s">
        <v>3636</v>
      </c>
      <c r="D4903" s="70" t="s">
        <v>3773</v>
      </c>
      <c r="E4903" s="70" t="s">
        <v>4076</v>
      </c>
      <c r="F4903" s="70" t="s">
        <v>4297</v>
      </c>
      <c r="G4903" s="70" t="s">
        <v>4306</v>
      </c>
      <c r="H4903" s="93"/>
      <c r="I4903" s="85">
        <f t="shared" si="190"/>
        <v>2.1673200000000001</v>
      </c>
      <c r="J4903" s="85">
        <v>147.00090213722874</v>
      </c>
      <c r="K4903" s="131" t="s">
        <v>3177</v>
      </c>
      <c r="L4903" s="60">
        <v>60</v>
      </c>
    </row>
    <row r="4904" spans="1:15" ht="14" x14ac:dyDescent="0.15">
      <c r="A4904" s="73" t="s">
        <v>7029</v>
      </c>
      <c r="B4904" s="118"/>
      <c r="C4904" s="70" t="s">
        <v>3636</v>
      </c>
      <c r="D4904" s="70" t="s">
        <v>3773</v>
      </c>
      <c r="E4904" s="70" t="s">
        <v>4076</v>
      </c>
      <c r="F4904" s="70" t="s">
        <v>4297</v>
      </c>
      <c r="G4904" s="70" t="s">
        <v>3630</v>
      </c>
      <c r="H4904" s="93"/>
      <c r="I4904" s="85">
        <f t="shared" ref="I4904:I4935" si="191">LOG(J4904)</f>
        <v>2.3249000000000004</v>
      </c>
      <c r="J4904" s="85">
        <v>211.30024470241329</v>
      </c>
      <c r="K4904" s="131" t="s">
        <v>6817</v>
      </c>
      <c r="L4904" s="69">
        <v>61</v>
      </c>
      <c r="M4904" s="49" t="s">
        <v>6390</v>
      </c>
    </row>
    <row r="4905" spans="1:15" ht="14" x14ac:dyDescent="0.15">
      <c r="A4905" s="70" t="s">
        <v>7029</v>
      </c>
      <c r="B4905" s="118"/>
      <c r="C4905" s="73" t="s">
        <v>3636</v>
      </c>
      <c r="D4905" s="73" t="s">
        <v>3773</v>
      </c>
      <c r="E4905" s="70" t="s">
        <v>4076</v>
      </c>
      <c r="F4905" s="73" t="s">
        <v>4297</v>
      </c>
      <c r="G4905" s="73" t="s">
        <v>3871</v>
      </c>
      <c r="H4905" s="108"/>
      <c r="I4905" s="85">
        <f t="shared" si="191"/>
        <v>2.7299699999999998</v>
      </c>
      <c r="J4905" s="85">
        <v>536.99470080923902</v>
      </c>
      <c r="K4905" s="131" t="s">
        <v>6817</v>
      </c>
      <c r="L4905" s="69">
        <v>61</v>
      </c>
      <c r="M4905" s="49" t="s">
        <v>6727</v>
      </c>
    </row>
    <row r="4906" spans="1:15" ht="42" x14ac:dyDescent="0.15">
      <c r="A4906" s="70" t="s">
        <v>7029</v>
      </c>
      <c r="B4906" s="118"/>
      <c r="C4906" s="70" t="s">
        <v>3636</v>
      </c>
      <c r="D4906" s="70" t="s">
        <v>3773</v>
      </c>
      <c r="E4906" s="73" t="s">
        <v>4076</v>
      </c>
      <c r="F4906" s="70" t="s">
        <v>3631</v>
      </c>
      <c r="G4906" s="70" t="s">
        <v>4285</v>
      </c>
      <c r="H4906" s="93"/>
      <c r="I4906" s="85">
        <f t="shared" si="191"/>
        <v>4.3802099999999999</v>
      </c>
      <c r="J4906" s="85">
        <v>23999.931380578884</v>
      </c>
      <c r="K4906" s="131" t="s">
        <v>6730</v>
      </c>
      <c r="L4906" s="69">
        <v>61</v>
      </c>
      <c r="M4906" s="49" t="s">
        <v>6390</v>
      </c>
    </row>
    <row r="4907" spans="1:15" ht="14" x14ac:dyDescent="0.15">
      <c r="A4907" s="70" t="s">
        <v>7029</v>
      </c>
      <c r="B4907" s="118" t="s">
        <v>2070</v>
      </c>
      <c r="C4907" s="70" t="s">
        <v>3636</v>
      </c>
      <c r="D4907" s="70" t="s">
        <v>3773</v>
      </c>
      <c r="E4907" s="70" t="s">
        <v>4286</v>
      </c>
      <c r="F4907" s="70" t="s">
        <v>3898</v>
      </c>
      <c r="G4907" s="70" t="s">
        <v>6324</v>
      </c>
      <c r="H4907" s="93"/>
      <c r="I4907" s="85">
        <f t="shared" si="191"/>
        <v>4.4313637641589869</v>
      </c>
      <c r="J4907" s="85">
        <v>27000</v>
      </c>
      <c r="K4907" s="131" t="s">
        <v>6735</v>
      </c>
      <c r="L4907" s="60">
        <v>68</v>
      </c>
      <c r="M4907" s="49" t="s">
        <v>6728</v>
      </c>
    </row>
    <row r="4908" spans="1:15" ht="14" x14ac:dyDescent="0.15">
      <c r="A4908" s="70" t="s">
        <v>7029</v>
      </c>
      <c r="B4908" s="118"/>
      <c r="C4908" s="70" t="s">
        <v>3636</v>
      </c>
      <c r="D4908" s="70" t="s">
        <v>3773</v>
      </c>
      <c r="E4908" s="70" t="s">
        <v>4286</v>
      </c>
      <c r="F4908" s="70" t="s">
        <v>3898</v>
      </c>
      <c r="G4908" s="70" t="s">
        <v>3608</v>
      </c>
      <c r="H4908" s="93"/>
      <c r="I4908" s="85">
        <f t="shared" si="191"/>
        <v>4.653212513775344</v>
      </c>
      <c r="J4908" s="85">
        <v>45000</v>
      </c>
      <c r="K4908" s="131" t="s">
        <v>6485</v>
      </c>
      <c r="L4908" s="63">
        <v>68</v>
      </c>
      <c r="O4908" s="51"/>
    </row>
    <row r="4909" spans="1:15" ht="28" x14ac:dyDescent="0.15">
      <c r="A4909" s="70" t="s">
        <v>7029</v>
      </c>
      <c r="B4909" s="118" t="s">
        <v>1966</v>
      </c>
      <c r="C4909" s="70" t="s">
        <v>3636</v>
      </c>
      <c r="D4909" s="70" t="s">
        <v>3773</v>
      </c>
      <c r="E4909" s="70" t="s">
        <v>4286</v>
      </c>
      <c r="F4909" s="70" t="s">
        <v>3898</v>
      </c>
      <c r="G4909" s="70" t="s">
        <v>4971</v>
      </c>
      <c r="H4909" s="93"/>
      <c r="I4909" s="85">
        <f t="shared" si="191"/>
        <v>4.9777236052888476</v>
      </c>
      <c r="J4909" s="85">
        <f>AVERAGE(140000, 50000)</f>
        <v>95000</v>
      </c>
      <c r="K4909" s="131" t="s">
        <v>6816</v>
      </c>
      <c r="L4909" s="63">
        <v>137</v>
      </c>
      <c r="M4909" s="33" t="s">
        <v>6728</v>
      </c>
    </row>
    <row r="4910" spans="1:15" ht="56" x14ac:dyDescent="0.15">
      <c r="A4910" s="70" t="s">
        <v>7029</v>
      </c>
      <c r="B4910" s="118" t="s">
        <v>1900</v>
      </c>
      <c r="C4910" s="70" t="s">
        <v>3636</v>
      </c>
      <c r="D4910" s="70" t="s">
        <v>3773</v>
      </c>
      <c r="E4910" s="70" t="s">
        <v>4286</v>
      </c>
      <c r="F4910" s="70" t="s">
        <v>3516</v>
      </c>
      <c r="G4910" s="70" t="s">
        <v>3517</v>
      </c>
      <c r="H4910" s="93"/>
      <c r="I4910" s="85">
        <f t="shared" si="191"/>
        <v>5.1461280356782382</v>
      </c>
      <c r="J4910" s="85">
        <v>140000</v>
      </c>
      <c r="K4910" s="131" t="s">
        <v>6485</v>
      </c>
      <c r="L4910" s="60">
        <v>68</v>
      </c>
    </row>
    <row r="4911" spans="1:15" ht="56" x14ac:dyDescent="0.15">
      <c r="A4911" s="70" t="s">
        <v>7029</v>
      </c>
      <c r="B4911" s="118" t="s">
        <v>2331</v>
      </c>
      <c r="C4911" s="70" t="s">
        <v>3636</v>
      </c>
      <c r="D4911" s="70" t="s">
        <v>3773</v>
      </c>
      <c r="E4911" s="70" t="s">
        <v>4286</v>
      </c>
      <c r="F4911" s="70" t="s">
        <v>3066</v>
      </c>
      <c r="G4911" s="70" t="s">
        <v>6151</v>
      </c>
      <c r="H4911" s="93"/>
      <c r="I4911" s="85">
        <f t="shared" si="191"/>
        <v>4.9030899869919438</v>
      </c>
      <c r="J4911" s="85">
        <v>80000</v>
      </c>
      <c r="K4911" s="131" t="s">
        <v>6485</v>
      </c>
      <c r="L4911" s="60">
        <v>68</v>
      </c>
    </row>
    <row r="4912" spans="1:15" ht="14" x14ac:dyDescent="0.15">
      <c r="A4912" s="73" t="s">
        <v>7029</v>
      </c>
      <c r="B4912" s="118"/>
      <c r="C4912" s="70" t="s">
        <v>3636</v>
      </c>
      <c r="D4912" s="70" t="s">
        <v>3773</v>
      </c>
      <c r="E4912" s="70" t="s">
        <v>2036</v>
      </c>
      <c r="F4912" s="70" t="s">
        <v>3904</v>
      </c>
      <c r="G4912" s="70" t="s">
        <v>3905</v>
      </c>
      <c r="H4912" s="93"/>
      <c r="I4912" s="85">
        <f t="shared" si="191"/>
        <v>3.0916700000000006</v>
      </c>
      <c r="J4912" s="85">
        <v>1235.0086516929125</v>
      </c>
      <c r="K4912" s="131" t="s">
        <v>3177</v>
      </c>
      <c r="L4912" s="60">
        <v>61</v>
      </c>
    </row>
    <row r="4913" spans="1:15" ht="14" x14ac:dyDescent="0.15">
      <c r="A4913" s="73" t="s">
        <v>7029</v>
      </c>
      <c r="B4913" s="118"/>
      <c r="C4913" s="70" t="s">
        <v>3636</v>
      </c>
      <c r="D4913" s="70" t="s">
        <v>3773</v>
      </c>
      <c r="E4913" s="70" t="s">
        <v>2036</v>
      </c>
      <c r="F4913" s="70" t="s">
        <v>3904</v>
      </c>
      <c r="G4913" s="70" t="s">
        <v>3712</v>
      </c>
      <c r="H4913" s="93"/>
      <c r="I4913" s="85">
        <f t="shared" si="191"/>
        <v>3.0916700000000006</v>
      </c>
      <c r="J4913" s="85">
        <v>1235.0086516929125</v>
      </c>
      <c r="K4913" s="131" t="s">
        <v>6817</v>
      </c>
      <c r="L4913" s="60">
        <v>61</v>
      </c>
      <c r="M4913" s="49" t="s">
        <v>6392</v>
      </c>
    </row>
    <row r="4914" spans="1:15" ht="14" x14ac:dyDescent="0.15">
      <c r="A4914" s="70" t="s">
        <v>7029</v>
      </c>
      <c r="B4914" s="118"/>
      <c r="C4914" s="73" t="s">
        <v>3636</v>
      </c>
      <c r="D4914" s="73" t="s">
        <v>3773</v>
      </c>
      <c r="E4914" s="70" t="s">
        <v>2036</v>
      </c>
      <c r="F4914" s="73" t="s">
        <v>3904</v>
      </c>
      <c r="G4914" s="73" t="s">
        <v>4447</v>
      </c>
      <c r="H4914" s="108"/>
      <c r="I4914" s="85">
        <f t="shared" si="191"/>
        <v>3.0969100000000003</v>
      </c>
      <c r="J4914" s="95">
        <v>1249.9999625598048</v>
      </c>
      <c r="K4914" s="131" t="s">
        <v>6817</v>
      </c>
      <c r="L4914" s="60">
        <v>61</v>
      </c>
      <c r="M4914" s="50" t="s">
        <v>6392</v>
      </c>
    </row>
    <row r="4915" spans="1:15" ht="14" x14ac:dyDescent="0.15">
      <c r="A4915" s="70" t="s">
        <v>7029</v>
      </c>
      <c r="B4915" s="118"/>
      <c r="C4915" s="70" t="s">
        <v>3636</v>
      </c>
      <c r="D4915" s="70" t="s">
        <v>3773</v>
      </c>
      <c r="E4915" s="70" t="s">
        <v>2036</v>
      </c>
      <c r="F4915" s="70" t="s">
        <v>4568</v>
      </c>
      <c r="G4915" s="70" t="s">
        <v>6948</v>
      </c>
      <c r="H4915" s="93"/>
      <c r="I4915" s="85">
        <f t="shared" si="191"/>
        <v>3.5790800000000003</v>
      </c>
      <c r="J4915" s="85">
        <v>3793.8486381195939</v>
      </c>
      <c r="K4915" s="131" t="s">
        <v>3177</v>
      </c>
      <c r="L4915" s="60">
        <v>60</v>
      </c>
    </row>
    <row r="4916" spans="1:15" ht="14" x14ac:dyDescent="0.15">
      <c r="A4916" s="70" t="s">
        <v>7029</v>
      </c>
      <c r="B4916" s="118"/>
      <c r="C4916" s="70" t="s">
        <v>3636</v>
      </c>
      <c r="D4916" s="70" t="s">
        <v>3773</v>
      </c>
      <c r="E4916" s="70" t="s">
        <v>2036</v>
      </c>
      <c r="F4916" s="70" t="s">
        <v>4568</v>
      </c>
      <c r="G4916" s="70" t="s">
        <v>4435</v>
      </c>
      <c r="H4916" s="93"/>
      <c r="I4916" s="85">
        <f t="shared" si="191"/>
        <v>3.6053100000000002</v>
      </c>
      <c r="J4916" s="85">
        <v>4030.0459691891647</v>
      </c>
      <c r="K4916" s="131" t="s">
        <v>3177</v>
      </c>
      <c r="L4916" s="60">
        <v>60</v>
      </c>
    </row>
    <row r="4917" spans="1:15" ht="28" x14ac:dyDescent="0.15">
      <c r="A4917" s="70" t="s">
        <v>7029</v>
      </c>
      <c r="B4917" s="118"/>
      <c r="C4917" s="70" t="s">
        <v>3636</v>
      </c>
      <c r="D4917" s="70" t="s">
        <v>3773</v>
      </c>
      <c r="E4917" s="70" t="s">
        <v>2036</v>
      </c>
      <c r="F4917" s="70" t="s">
        <v>4436</v>
      </c>
      <c r="G4917" s="70" t="s">
        <v>4437</v>
      </c>
      <c r="H4917" s="93"/>
      <c r="I4917" s="85">
        <f t="shared" si="191"/>
        <v>3.1271000000000004</v>
      </c>
      <c r="J4917" s="85">
        <v>1339.9851948997987</v>
      </c>
      <c r="K4917" s="131" t="s">
        <v>6385</v>
      </c>
      <c r="L4917" s="69">
        <v>61</v>
      </c>
      <c r="M4917" s="49" t="s">
        <v>6727</v>
      </c>
    </row>
    <row r="4918" spans="1:15" ht="14" x14ac:dyDescent="0.15">
      <c r="A4918" s="70" t="s">
        <v>7029</v>
      </c>
      <c r="B4918" s="118"/>
      <c r="C4918" s="70" t="s">
        <v>3636</v>
      </c>
      <c r="D4918" s="70" t="s">
        <v>3773</v>
      </c>
      <c r="E4918" s="70" t="s">
        <v>2036</v>
      </c>
      <c r="F4918" s="70" t="s">
        <v>6949</v>
      </c>
      <c r="G4918" s="70" t="s">
        <v>6950</v>
      </c>
      <c r="H4918" s="93"/>
      <c r="I4918" s="85">
        <f t="shared" si="191"/>
        <v>3.4771212547196626</v>
      </c>
      <c r="J4918" s="85">
        <v>3000</v>
      </c>
      <c r="K4918" s="131" t="s">
        <v>3177</v>
      </c>
      <c r="L4918" s="60">
        <v>75</v>
      </c>
    </row>
    <row r="4919" spans="1:15" ht="14" x14ac:dyDescent="0.15">
      <c r="A4919" s="70" t="s">
        <v>7029</v>
      </c>
      <c r="B4919" s="118"/>
      <c r="C4919" s="70" t="s">
        <v>3636</v>
      </c>
      <c r="D4919" s="70" t="s">
        <v>3773</v>
      </c>
      <c r="E4919" s="70" t="s">
        <v>2036</v>
      </c>
      <c r="F4919" s="70" t="s">
        <v>6951</v>
      </c>
      <c r="G4919" s="70" t="s">
        <v>7418</v>
      </c>
      <c r="H4919" s="93"/>
      <c r="I4919" s="85">
        <f t="shared" si="191"/>
        <v>3.84198</v>
      </c>
      <c r="J4919" s="85">
        <v>6949.9231127311632</v>
      </c>
      <c r="K4919" s="131" t="s">
        <v>3177</v>
      </c>
      <c r="L4919" s="60">
        <v>60</v>
      </c>
      <c r="O4919" s="51"/>
    </row>
    <row r="4920" spans="1:15" ht="42" x14ac:dyDescent="0.15">
      <c r="A4920" s="70" t="s">
        <v>7029</v>
      </c>
      <c r="B4920" s="118"/>
      <c r="C4920" s="70" t="s">
        <v>3636</v>
      </c>
      <c r="D4920" s="70" t="s">
        <v>3773</v>
      </c>
      <c r="E4920" s="70" t="s">
        <v>7167</v>
      </c>
      <c r="F4920" s="70" t="s">
        <v>4723</v>
      </c>
      <c r="G4920" s="70" t="s">
        <v>4724</v>
      </c>
      <c r="H4920" s="93"/>
      <c r="I4920" s="85">
        <f t="shared" si="191"/>
        <v>5.1461300000000012</v>
      </c>
      <c r="J4920" s="85">
        <v>140000.63322395334</v>
      </c>
      <c r="K4920" s="131" t="s">
        <v>6581</v>
      </c>
      <c r="L4920" s="60">
        <v>60</v>
      </c>
      <c r="M4920" s="49" t="s">
        <v>6728</v>
      </c>
    </row>
    <row r="4921" spans="1:15" ht="14" x14ac:dyDescent="0.15">
      <c r="A4921" s="62" t="s">
        <v>7029</v>
      </c>
      <c r="B4921" s="117" t="s">
        <v>4753</v>
      </c>
      <c r="C4921" s="100" t="s">
        <v>3636</v>
      </c>
      <c r="D4921" s="61" t="s">
        <v>2548</v>
      </c>
      <c r="E4921" s="102" t="s">
        <v>2687</v>
      </c>
      <c r="F4921" s="100" t="s">
        <v>1376</v>
      </c>
      <c r="G4921" s="100" t="s">
        <v>4754</v>
      </c>
      <c r="H4921" s="177"/>
      <c r="I4921" s="103">
        <f t="shared" si="191"/>
        <v>0.64097805735833202</v>
      </c>
      <c r="J4921" s="103">
        <f>AVERAGE(4.45, 4.3)</f>
        <v>4.375</v>
      </c>
      <c r="K4921" s="135"/>
      <c r="L4921" s="62">
        <v>247</v>
      </c>
      <c r="M4921" s="50"/>
      <c r="N4921" s="51"/>
      <c r="O4921" s="35"/>
    </row>
    <row r="4922" spans="1:15" ht="42" x14ac:dyDescent="0.15">
      <c r="A4922" s="62" t="s">
        <v>7029</v>
      </c>
      <c r="B4922" s="117" t="s">
        <v>4751</v>
      </c>
      <c r="C4922" s="102" t="s">
        <v>3636</v>
      </c>
      <c r="D4922" s="62" t="s">
        <v>2548</v>
      </c>
      <c r="E4922" s="102" t="s">
        <v>2687</v>
      </c>
      <c r="F4922" s="102" t="s">
        <v>1376</v>
      </c>
      <c r="G4922" s="102" t="s">
        <v>4752</v>
      </c>
      <c r="H4922" s="175"/>
      <c r="I4922" s="85">
        <f t="shared" si="191"/>
        <v>0.80542533525031323</v>
      </c>
      <c r="J4922" s="104">
        <v>6.3888888888890003</v>
      </c>
      <c r="K4922" s="144"/>
      <c r="L4922" s="62">
        <v>153</v>
      </c>
      <c r="M4922" s="50"/>
      <c r="N4922" s="51"/>
    </row>
    <row r="4923" spans="1:15" ht="28" x14ac:dyDescent="0.15">
      <c r="A4923" s="62" t="s">
        <v>7029</v>
      </c>
      <c r="B4923" s="117" t="s">
        <v>4755</v>
      </c>
      <c r="C4923" s="102" t="s">
        <v>3636</v>
      </c>
      <c r="D4923" s="62" t="s">
        <v>2548</v>
      </c>
      <c r="E4923" s="102" t="s">
        <v>2687</v>
      </c>
      <c r="F4923" s="102" t="s">
        <v>4591</v>
      </c>
      <c r="G4923" s="102" t="s">
        <v>4750</v>
      </c>
      <c r="H4923" s="175"/>
      <c r="I4923" s="85">
        <f t="shared" si="191"/>
        <v>0.69897000433601886</v>
      </c>
      <c r="J4923" s="103">
        <v>5</v>
      </c>
      <c r="K4923" s="135"/>
      <c r="L4923" s="62">
        <v>246</v>
      </c>
      <c r="M4923" s="50"/>
      <c r="N4923" s="35"/>
      <c r="O4923" s="35"/>
    </row>
    <row r="4924" spans="1:15" ht="28" x14ac:dyDescent="0.15">
      <c r="A4924" s="62" t="s">
        <v>7029</v>
      </c>
      <c r="B4924" s="117" t="s">
        <v>1560</v>
      </c>
      <c r="C4924" s="207" t="s">
        <v>3636</v>
      </c>
      <c r="D4924" s="77" t="s">
        <v>2548</v>
      </c>
      <c r="E4924" s="102" t="s">
        <v>2687</v>
      </c>
      <c r="F4924" s="207" t="s">
        <v>1561</v>
      </c>
      <c r="G4924" s="207" t="s">
        <v>5454</v>
      </c>
      <c r="H4924" s="175"/>
      <c r="I4924" s="85">
        <f t="shared" si="191"/>
        <v>0.96260607292412703</v>
      </c>
      <c r="J4924" s="209">
        <v>9.1750000000000007</v>
      </c>
      <c r="K4924" s="144"/>
      <c r="L4924" s="62">
        <v>153</v>
      </c>
      <c r="M4924" s="50"/>
      <c r="N4924" s="35"/>
    </row>
    <row r="4925" spans="1:15" ht="28" x14ac:dyDescent="0.15">
      <c r="A4925" s="62" t="s">
        <v>7029</v>
      </c>
      <c r="B4925" s="117" t="s">
        <v>1278</v>
      </c>
      <c r="C4925" s="207" t="s">
        <v>3636</v>
      </c>
      <c r="D4925" s="77" t="s">
        <v>2548</v>
      </c>
      <c r="E4925" s="102" t="s">
        <v>2687</v>
      </c>
      <c r="F4925" s="207" t="s">
        <v>1279</v>
      </c>
      <c r="G4925" s="207" t="s">
        <v>5873</v>
      </c>
      <c r="H4925" s="175"/>
      <c r="I4925" s="85">
        <f t="shared" si="191"/>
        <v>0.72427586960078905</v>
      </c>
      <c r="J4925" s="209">
        <v>5.3</v>
      </c>
      <c r="K4925" s="144"/>
      <c r="L4925" s="62">
        <v>153</v>
      </c>
      <c r="M4925" s="50"/>
      <c r="N4925" s="35"/>
    </row>
    <row r="4926" spans="1:15" ht="42" x14ac:dyDescent="0.15">
      <c r="A4926" s="62" t="s">
        <v>7029</v>
      </c>
      <c r="B4926" s="117" t="s">
        <v>1646</v>
      </c>
      <c r="C4926" s="207" t="s">
        <v>3636</v>
      </c>
      <c r="D4926" s="77" t="s">
        <v>2548</v>
      </c>
      <c r="E4926" s="102" t="s">
        <v>2687</v>
      </c>
      <c r="F4926" s="207" t="s">
        <v>1647</v>
      </c>
      <c r="G4926" s="207" t="s">
        <v>1648</v>
      </c>
      <c r="H4926" s="175"/>
      <c r="I4926" s="85">
        <f t="shared" si="191"/>
        <v>1.1222158782728267</v>
      </c>
      <c r="J4926" s="209">
        <v>13.25</v>
      </c>
      <c r="K4926" s="144"/>
      <c r="L4926" s="62">
        <v>153</v>
      </c>
      <c r="M4926" s="50"/>
      <c r="N4926" s="35"/>
      <c r="O4926" s="35"/>
    </row>
    <row r="4927" spans="1:15" ht="14" x14ac:dyDescent="0.15">
      <c r="A4927" s="62" t="s">
        <v>7029</v>
      </c>
      <c r="B4927" s="117" t="s">
        <v>1463</v>
      </c>
      <c r="C4927" s="207" t="s">
        <v>3636</v>
      </c>
      <c r="D4927" s="77" t="s">
        <v>2548</v>
      </c>
      <c r="E4927" s="102" t="s">
        <v>2687</v>
      </c>
      <c r="F4927" s="207" t="s">
        <v>1647</v>
      </c>
      <c r="G4927" s="207" t="s">
        <v>1193</v>
      </c>
      <c r="H4927" s="175"/>
      <c r="I4927" s="85">
        <f t="shared" si="191"/>
        <v>1.146128035678238</v>
      </c>
      <c r="J4927" s="209">
        <v>14</v>
      </c>
      <c r="K4927" s="144"/>
      <c r="L4927" s="62">
        <v>153</v>
      </c>
      <c r="M4927" s="50"/>
      <c r="N4927" s="35"/>
      <c r="O4927" s="35"/>
    </row>
    <row r="4928" spans="1:15" ht="28" x14ac:dyDescent="0.15">
      <c r="A4928" s="62" t="s">
        <v>7029</v>
      </c>
      <c r="B4928" s="117" t="s">
        <v>1464</v>
      </c>
      <c r="C4928" s="207" t="s">
        <v>3636</v>
      </c>
      <c r="D4928" s="77" t="s">
        <v>2548</v>
      </c>
      <c r="E4928" s="100" t="s">
        <v>2687</v>
      </c>
      <c r="F4928" s="207" t="s">
        <v>1647</v>
      </c>
      <c r="G4928" s="207" t="s">
        <v>1187</v>
      </c>
      <c r="H4928" s="175"/>
      <c r="I4928" s="85">
        <f t="shared" si="191"/>
        <v>1.1931245983544616</v>
      </c>
      <c r="J4928" s="209">
        <v>15.6</v>
      </c>
      <c r="K4928" s="144"/>
      <c r="L4928" s="62">
        <v>153</v>
      </c>
      <c r="M4928" s="50"/>
      <c r="N4928" s="35"/>
      <c r="O4928" s="51"/>
    </row>
    <row r="4929" spans="1:15" ht="28" x14ac:dyDescent="0.15">
      <c r="A4929" s="62" t="s">
        <v>7029</v>
      </c>
      <c r="B4929" s="117" t="s">
        <v>1270</v>
      </c>
      <c r="C4929" s="207" t="s">
        <v>3636</v>
      </c>
      <c r="D4929" s="77" t="s">
        <v>2548</v>
      </c>
      <c r="E4929" s="102" t="s">
        <v>2687</v>
      </c>
      <c r="F4929" s="207" t="s">
        <v>1647</v>
      </c>
      <c r="G4929" s="207" t="s">
        <v>2985</v>
      </c>
      <c r="H4929" s="175"/>
      <c r="I4929" s="85">
        <f t="shared" si="191"/>
        <v>2.0899051114393981</v>
      </c>
      <c r="J4929" s="123">
        <f>1000*0.123</f>
        <v>123</v>
      </c>
      <c r="K4929" s="135"/>
      <c r="L4929" s="62">
        <v>60</v>
      </c>
      <c r="M4929" s="50"/>
      <c r="N4929" s="35"/>
    </row>
    <row r="4930" spans="1:15" ht="98" x14ac:dyDescent="0.15">
      <c r="A4930" s="62" t="s">
        <v>7029</v>
      </c>
      <c r="B4930" s="117" t="s">
        <v>4351</v>
      </c>
      <c r="C4930" s="207" t="s">
        <v>3636</v>
      </c>
      <c r="D4930" s="77" t="s">
        <v>2548</v>
      </c>
      <c r="E4930" s="102" t="s">
        <v>2687</v>
      </c>
      <c r="F4930" s="207" t="s">
        <v>1415</v>
      </c>
      <c r="G4930" s="207" t="s">
        <v>3959</v>
      </c>
      <c r="H4930" s="175"/>
      <c r="I4930" s="85">
        <f t="shared" si="191"/>
        <v>0.73417731256336793</v>
      </c>
      <c r="J4930" s="209">
        <v>5.4222222222219996</v>
      </c>
      <c r="K4930" s="144"/>
      <c r="L4930" s="62">
        <v>153</v>
      </c>
      <c r="M4930" s="50"/>
      <c r="O4930" s="51"/>
    </row>
    <row r="4931" spans="1:15" ht="56" x14ac:dyDescent="0.15">
      <c r="A4931" s="62" t="s">
        <v>7029</v>
      </c>
      <c r="B4931" s="117" t="s">
        <v>1600</v>
      </c>
      <c r="C4931" s="207" t="s">
        <v>3636</v>
      </c>
      <c r="D4931" s="77" t="s">
        <v>2548</v>
      </c>
      <c r="E4931" s="102" t="s">
        <v>2687</v>
      </c>
      <c r="F4931" s="207" t="s">
        <v>1415</v>
      </c>
      <c r="G4931" s="207" t="s">
        <v>1406</v>
      </c>
      <c r="H4931" s="175"/>
      <c r="I4931" s="103">
        <f t="shared" si="191"/>
        <v>0.77815125038364363</v>
      </c>
      <c r="J4931" s="123">
        <v>6</v>
      </c>
      <c r="K4931" s="135"/>
      <c r="L4931" s="62">
        <v>246</v>
      </c>
      <c r="M4931" s="50"/>
    </row>
    <row r="4932" spans="1:15" ht="28" x14ac:dyDescent="0.15">
      <c r="A4932" s="62" t="s">
        <v>7029</v>
      </c>
      <c r="B4932" s="117" t="s">
        <v>1708</v>
      </c>
      <c r="C4932" s="207" t="s">
        <v>3636</v>
      </c>
      <c r="D4932" s="77" t="s">
        <v>2548</v>
      </c>
      <c r="E4932" s="102" t="s">
        <v>2687</v>
      </c>
      <c r="F4932" s="207" t="s">
        <v>1415</v>
      </c>
      <c r="G4932" s="207" t="s">
        <v>6180</v>
      </c>
      <c r="H4932" s="175"/>
      <c r="I4932" s="85">
        <f t="shared" si="191"/>
        <v>0.97405090279287732</v>
      </c>
      <c r="J4932" s="209">
        <v>9.42</v>
      </c>
      <c r="K4932" s="144"/>
      <c r="L4932" s="62">
        <v>153</v>
      </c>
      <c r="M4932" s="50"/>
      <c r="O4932" s="35"/>
    </row>
    <row r="4933" spans="1:15" ht="70" x14ac:dyDescent="0.15">
      <c r="A4933" s="62" t="s">
        <v>7029</v>
      </c>
      <c r="B4933" s="117" t="s">
        <v>4352</v>
      </c>
      <c r="C4933" s="207" t="s">
        <v>3636</v>
      </c>
      <c r="D4933" s="77" t="s">
        <v>2548</v>
      </c>
      <c r="E4933" s="102" t="s">
        <v>2687</v>
      </c>
      <c r="F4933" s="207" t="s">
        <v>4353</v>
      </c>
      <c r="G4933" s="207" t="s">
        <v>6823</v>
      </c>
      <c r="H4933" s="175"/>
      <c r="I4933" s="85">
        <f t="shared" si="191"/>
        <v>0.6239381001884875</v>
      </c>
      <c r="J4933" s="209">
        <v>4.2066666666670001</v>
      </c>
      <c r="K4933" s="144"/>
      <c r="L4933" s="62">
        <v>153</v>
      </c>
      <c r="M4933" s="50"/>
    </row>
    <row r="4934" spans="1:15" ht="28" x14ac:dyDescent="0.15">
      <c r="A4934" s="62" t="s">
        <v>7029</v>
      </c>
      <c r="B4934" s="117" t="s">
        <v>1338</v>
      </c>
      <c r="C4934" s="207" t="s">
        <v>3636</v>
      </c>
      <c r="D4934" s="77" t="s">
        <v>2548</v>
      </c>
      <c r="E4934" s="102" t="s">
        <v>2687</v>
      </c>
      <c r="F4934" s="207" t="s">
        <v>1130</v>
      </c>
      <c r="G4934" s="207" t="s">
        <v>5816</v>
      </c>
      <c r="H4934" s="175"/>
      <c r="I4934" s="103">
        <f t="shared" si="191"/>
        <v>0.6020599913279624</v>
      </c>
      <c r="J4934" s="123">
        <v>4</v>
      </c>
      <c r="K4934" s="135"/>
      <c r="L4934" s="62">
        <v>281</v>
      </c>
      <c r="M4934" s="35"/>
    </row>
    <row r="4935" spans="1:15" ht="28" x14ac:dyDescent="0.15">
      <c r="A4935" s="62" t="s">
        <v>7029</v>
      </c>
      <c r="B4935" s="117" t="s">
        <v>4411</v>
      </c>
      <c r="C4935" s="207" t="s">
        <v>3636</v>
      </c>
      <c r="D4935" s="77" t="s">
        <v>2548</v>
      </c>
      <c r="E4935" s="102" t="s">
        <v>2687</v>
      </c>
      <c r="F4935" s="207" t="s">
        <v>1130</v>
      </c>
      <c r="G4935" s="207" t="s">
        <v>4193</v>
      </c>
      <c r="H4935" s="175"/>
      <c r="I4935" s="85">
        <f t="shared" si="191"/>
        <v>0.52827377716704371</v>
      </c>
      <c r="J4935" s="209">
        <v>3.375</v>
      </c>
      <c r="K4935" s="144">
        <f>AVERAGE(J4935, J4936, J4939)</f>
        <v>3.8205555555556665</v>
      </c>
      <c r="L4935" s="62">
        <v>153</v>
      </c>
      <c r="M4935" s="35"/>
    </row>
    <row r="4936" spans="1:15" ht="70" x14ac:dyDescent="0.15">
      <c r="A4936" s="61" t="s">
        <v>7029</v>
      </c>
      <c r="B4936" s="117" t="s">
        <v>1367</v>
      </c>
      <c r="C4936" s="207" t="s">
        <v>3636</v>
      </c>
      <c r="D4936" s="77" t="s">
        <v>2548</v>
      </c>
      <c r="E4936" s="102" t="s">
        <v>2687</v>
      </c>
      <c r="F4936" s="207" t="s">
        <v>1130</v>
      </c>
      <c r="G4936" s="207" t="s">
        <v>1368</v>
      </c>
      <c r="H4936" s="175"/>
      <c r="I4936" s="85">
        <f>LOG(J4936)</f>
        <v>0.69108149212296843</v>
      </c>
      <c r="J4936" s="209">
        <v>4.91</v>
      </c>
      <c r="K4936" s="144"/>
      <c r="L4936" s="62">
        <v>153</v>
      </c>
      <c r="M4936" s="35"/>
      <c r="O4936" s="35"/>
    </row>
    <row r="4937" spans="1:15" ht="70" x14ac:dyDescent="0.15">
      <c r="A4937" s="62" t="s">
        <v>7029</v>
      </c>
      <c r="B4937" s="117" t="s">
        <v>1280</v>
      </c>
      <c r="C4937" s="207" t="s">
        <v>3636</v>
      </c>
      <c r="D4937" s="77" t="s">
        <v>2548</v>
      </c>
      <c r="E4937" s="102" t="s">
        <v>2687</v>
      </c>
      <c r="F4937" s="207" t="s">
        <v>1130</v>
      </c>
      <c r="G4937" s="207" t="s">
        <v>1230</v>
      </c>
      <c r="H4937" s="175"/>
      <c r="I4937" s="85">
        <f>LOG(J4937)</f>
        <v>0.90880029619332359</v>
      </c>
      <c r="J4937" s="209">
        <v>8.1058823529410002</v>
      </c>
      <c r="K4937" s="144"/>
      <c r="L4937" s="62">
        <v>153</v>
      </c>
      <c r="M4937" s="35"/>
      <c r="O4937" s="35"/>
    </row>
    <row r="4938" spans="1:15" ht="28" x14ac:dyDescent="0.15">
      <c r="A4938" s="62" t="s">
        <v>7029</v>
      </c>
      <c r="B4938" s="117" t="s">
        <v>1443</v>
      </c>
      <c r="C4938" s="207" t="s">
        <v>3636</v>
      </c>
      <c r="D4938" s="77" t="s">
        <v>2548</v>
      </c>
      <c r="E4938" s="102" t="s">
        <v>1366</v>
      </c>
      <c r="F4938" s="207" t="s">
        <v>4385</v>
      </c>
      <c r="G4938" s="207" t="s">
        <v>4386</v>
      </c>
      <c r="H4938" s="177"/>
      <c r="I4938" s="103">
        <f>LOG(J4938)</f>
        <v>0.51851393987788741</v>
      </c>
      <c r="J4938" s="123">
        <v>3.3</v>
      </c>
      <c r="K4938" s="135"/>
      <c r="L4938" s="62" t="s">
        <v>7548</v>
      </c>
      <c r="M4938" s="50"/>
      <c r="N4938" s="51"/>
      <c r="O4938" s="51"/>
    </row>
    <row r="4939" spans="1:15" ht="28" x14ac:dyDescent="0.15">
      <c r="A4939" s="62" t="s">
        <v>7029</v>
      </c>
      <c r="B4939" s="117" t="s">
        <v>4387</v>
      </c>
      <c r="C4939" s="207" t="s">
        <v>3636</v>
      </c>
      <c r="D4939" s="77" t="s">
        <v>2548</v>
      </c>
      <c r="E4939" s="102" t="s">
        <v>1366</v>
      </c>
      <c r="F4939" s="207" t="s">
        <v>4388</v>
      </c>
      <c r="G4939" s="207" t="s">
        <v>4232</v>
      </c>
      <c r="H4939" s="175"/>
      <c r="I4939" s="85">
        <f>LOG(J4939)</f>
        <v>0.50197164591870946</v>
      </c>
      <c r="J4939" s="209">
        <v>3.1766666666669998</v>
      </c>
      <c r="K4939" s="144"/>
      <c r="L4939" s="62">
        <v>153</v>
      </c>
      <c r="M4939" s="50"/>
      <c r="N4939" s="51"/>
    </row>
    <row r="4940" spans="1:15" ht="14" x14ac:dyDescent="0.15">
      <c r="A4940" s="61" t="s">
        <v>7029</v>
      </c>
      <c r="B4940" s="117" t="s">
        <v>1567</v>
      </c>
      <c r="C4940" s="207" t="s">
        <v>3636</v>
      </c>
      <c r="D4940" s="77" t="s">
        <v>2548</v>
      </c>
      <c r="E4940" s="102" t="s">
        <v>2421</v>
      </c>
      <c r="F4940" s="207" t="s">
        <v>4354</v>
      </c>
      <c r="G4940" s="207" t="s">
        <v>1568</v>
      </c>
      <c r="H4940" s="175"/>
      <c r="I4940" s="103">
        <v>-999</v>
      </c>
      <c r="J4940" s="123">
        <v>-999</v>
      </c>
      <c r="K4940" s="135"/>
      <c r="L4940" s="62">
        <v>-999</v>
      </c>
    </row>
    <row r="4941" spans="1:15" ht="56" x14ac:dyDescent="0.15">
      <c r="A4941" s="62" t="s">
        <v>7029</v>
      </c>
      <c r="B4941" s="117" t="s">
        <v>1412</v>
      </c>
      <c r="C4941" s="207" t="s">
        <v>3636</v>
      </c>
      <c r="D4941" s="77" t="s">
        <v>2548</v>
      </c>
      <c r="E4941" s="102" t="s">
        <v>2421</v>
      </c>
      <c r="F4941" s="207" t="s">
        <v>4354</v>
      </c>
      <c r="G4941" s="207" t="s">
        <v>5065</v>
      </c>
      <c r="H4941" s="177"/>
      <c r="I4941" s="85">
        <f t="shared" ref="I4941:I4946" si="192">LOG(J4941)</f>
        <v>1.0755469613925308</v>
      </c>
      <c r="J4941" s="209">
        <v>11.9</v>
      </c>
      <c r="K4941" s="144"/>
      <c r="L4941" s="62">
        <v>153</v>
      </c>
    </row>
    <row r="4942" spans="1:15" ht="42" x14ac:dyDescent="0.15">
      <c r="A4942" s="62" t="s">
        <v>7029</v>
      </c>
      <c r="B4942" s="117" t="s">
        <v>4355</v>
      </c>
      <c r="C4942" s="207" t="s">
        <v>3636</v>
      </c>
      <c r="D4942" s="77" t="s">
        <v>2548</v>
      </c>
      <c r="E4942" s="102" t="s">
        <v>2421</v>
      </c>
      <c r="F4942" s="207" t="s">
        <v>4354</v>
      </c>
      <c r="G4942" s="207" t="s">
        <v>4356</v>
      </c>
      <c r="H4942" s="175"/>
      <c r="I4942" s="85">
        <f t="shared" si="192"/>
        <v>1.1775364999298621</v>
      </c>
      <c r="J4942" s="209">
        <v>15.05</v>
      </c>
      <c r="K4942" s="144"/>
      <c r="L4942" s="62">
        <v>153</v>
      </c>
    </row>
    <row r="4943" spans="1:15" ht="56" x14ac:dyDescent="0.15">
      <c r="A4943" s="62" t="s">
        <v>7029</v>
      </c>
      <c r="B4943" s="117" t="s">
        <v>4357</v>
      </c>
      <c r="C4943" s="207" t="s">
        <v>3636</v>
      </c>
      <c r="D4943" s="77" t="s">
        <v>2548</v>
      </c>
      <c r="E4943" s="102" t="s">
        <v>2421</v>
      </c>
      <c r="F4943" s="207" t="s">
        <v>4354</v>
      </c>
      <c r="G4943" s="207" t="s">
        <v>4358</v>
      </c>
      <c r="H4943" s="175"/>
      <c r="I4943" s="85">
        <f t="shared" si="192"/>
        <v>1.4540822707310899</v>
      </c>
      <c r="J4943" s="209">
        <v>28.45</v>
      </c>
      <c r="K4943" s="144"/>
      <c r="L4943" s="62">
        <v>153</v>
      </c>
    </row>
    <row r="4944" spans="1:15" ht="56" x14ac:dyDescent="0.15">
      <c r="A4944" s="62" t="s">
        <v>7029</v>
      </c>
      <c r="B4944" s="117" t="s">
        <v>1709</v>
      </c>
      <c r="C4944" s="207" t="s">
        <v>3636</v>
      </c>
      <c r="D4944" s="77" t="s">
        <v>2548</v>
      </c>
      <c r="E4944" s="102" t="s">
        <v>2421</v>
      </c>
      <c r="F4944" s="207" t="s">
        <v>4354</v>
      </c>
      <c r="G4944" s="207" t="s">
        <v>1710</v>
      </c>
      <c r="H4944" s="177"/>
      <c r="I4944" s="85">
        <f t="shared" si="192"/>
        <v>1.5487987437823512</v>
      </c>
      <c r="J4944" s="209">
        <v>35.383333333332999</v>
      </c>
      <c r="K4944" s="144"/>
      <c r="L4944" s="62">
        <v>153</v>
      </c>
    </row>
    <row r="4945" spans="1:12" ht="70" x14ac:dyDescent="0.15">
      <c r="A4945" s="62" t="s">
        <v>7029</v>
      </c>
      <c r="B4945" s="117" t="s">
        <v>4690</v>
      </c>
      <c r="C4945" s="207" t="s">
        <v>3636</v>
      </c>
      <c r="D4945" s="77" t="s">
        <v>2548</v>
      </c>
      <c r="E4945" s="102" t="s">
        <v>2421</v>
      </c>
      <c r="F4945" s="207" t="s">
        <v>4354</v>
      </c>
      <c r="G4945" s="207" t="s">
        <v>1712</v>
      </c>
      <c r="H4945" s="175"/>
      <c r="I4945" s="85">
        <f t="shared" si="192"/>
        <v>1.7086333210153981</v>
      </c>
      <c r="J4945" s="209">
        <v>51.125</v>
      </c>
      <c r="K4945" s="144"/>
      <c r="L4945" s="62">
        <v>153</v>
      </c>
    </row>
    <row r="4946" spans="1:12" ht="28" x14ac:dyDescent="0.15">
      <c r="A4946" s="62" t="s">
        <v>7029</v>
      </c>
      <c r="B4946" s="117" t="s">
        <v>4507</v>
      </c>
      <c r="C4946" s="207" t="s">
        <v>3636</v>
      </c>
      <c r="D4946" s="77" t="s">
        <v>2548</v>
      </c>
      <c r="E4946" s="102" t="s">
        <v>2421</v>
      </c>
      <c r="F4946" s="207" t="s">
        <v>4354</v>
      </c>
      <c r="G4946" s="207" t="s">
        <v>1566</v>
      </c>
      <c r="H4946" s="175"/>
      <c r="I4946" s="85">
        <f t="shared" si="192"/>
        <v>2.018492453401473</v>
      </c>
      <c r="J4946" s="209">
        <v>104.35</v>
      </c>
      <c r="K4946" s="144"/>
      <c r="L4946" s="62">
        <v>153</v>
      </c>
    </row>
    <row r="4947" spans="1:12" ht="14" x14ac:dyDescent="0.15">
      <c r="A4947" s="62" t="s">
        <v>7029</v>
      </c>
      <c r="B4947" s="117" t="s">
        <v>1945</v>
      </c>
      <c r="C4947" s="207" t="s">
        <v>3636</v>
      </c>
      <c r="D4947" s="77" t="s">
        <v>2548</v>
      </c>
      <c r="E4947" s="102" t="s">
        <v>2421</v>
      </c>
      <c r="F4947" s="207" t="s">
        <v>1531</v>
      </c>
      <c r="G4947" s="207" t="s">
        <v>1282</v>
      </c>
      <c r="H4947" s="175"/>
      <c r="I4947" s="103">
        <v>-999</v>
      </c>
      <c r="J4947" s="123">
        <v>-999</v>
      </c>
      <c r="K4947" s="135"/>
      <c r="L4947" s="62">
        <v>-999</v>
      </c>
    </row>
    <row r="4948" spans="1:12" ht="42" x14ac:dyDescent="0.15">
      <c r="A4948" s="62" t="s">
        <v>7029</v>
      </c>
      <c r="B4948" s="117" t="s">
        <v>1530</v>
      </c>
      <c r="C4948" s="207" t="s">
        <v>3636</v>
      </c>
      <c r="D4948" s="77" t="s">
        <v>2548</v>
      </c>
      <c r="E4948" s="102" t="s">
        <v>2421</v>
      </c>
      <c r="F4948" s="207" t="s">
        <v>1531</v>
      </c>
      <c r="G4948" s="207" t="s">
        <v>2042</v>
      </c>
      <c r="H4948" s="175"/>
      <c r="I4948" s="85">
        <f t="shared" ref="I4948:I4958" si="193">LOG(J4948)</f>
        <v>0.77085201164214423</v>
      </c>
      <c r="J4948" s="209">
        <v>5.9</v>
      </c>
      <c r="K4948" s="144"/>
      <c r="L4948" s="62">
        <v>153</v>
      </c>
    </row>
    <row r="4949" spans="1:12" ht="28" x14ac:dyDescent="0.15">
      <c r="A4949" s="62" t="s">
        <v>7029</v>
      </c>
      <c r="B4949" s="117" t="s">
        <v>1444</v>
      </c>
      <c r="C4949" s="207" t="s">
        <v>3636</v>
      </c>
      <c r="D4949" s="77" t="s">
        <v>2548</v>
      </c>
      <c r="E4949" s="102" t="s">
        <v>2421</v>
      </c>
      <c r="F4949" s="207" t="s">
        <v>1531</v>
      </c>
      <c r="G4949" s="207" t="s">
        <v>1445</v>
      </c>
      <c r="H4949" s="175"/>
      <c r="I4949" s="85">
        <f t="shared" si="193"/>
        <v>0.83463260633607073</v>
      </c>
      <c r="J4949" s="209">
        <v>6.833333333333</v>
      </c>
      <c r="K4949" s="144"/>
      <c r="L4949" s="62">
        <v>153</v>
      </c>
    </row>
    <row r="4950" spans="1:12" ht="28" x14ac:dyDescent="0.15">
      <c r="A4950" s="62" t="s">
        <v>7029</v>
      </c>
      <c r="B4950" s="117" t="s">
        <v>1283</v>
      </c>
      <c r="C4950" s="207" t="s">
        <v>3636</v>
      </c>
      <c r="D4950" s="77" t="s">
        <v>2548</v>
      </c>
      <c r="E4950" s="102" t="s">
        <v>2421</v>
      </c>
      <c r="F4950" s="207" t="s">
        <v>1531</v>
      </c>
      <c r="G4950" s="207" t="s">
        <v>5924</v>
      </c>
      <c r="H4950" s="175"/>
      <c r="I4950" s="103">
        <f t="shared" si="193"/>
        <v>1.0413926851582251</v>
      </c>
      <c r="J4950" s="123">
        <v>11</v>
      </c>
      <c r="K4950" s="135"/>
      <c r="L4950" s="62">
        <v>246</v>
      </c>
    </row>
    <row r="4951" spans="1:12" ht="42" x14ac:dyDescent="0.15">
      <c r="A4951" s="61" t="s">
        <v>7029</v>
      </c>
      <c r="B4951" s="117" t="s">
        <v>1528</v>
      </c>
      <c r="C4951" s="207" t="s">
        <v>3636</v>
      </c>
      <c r="D4951" s="77" t="s">
        <v>2548</v>
      </c>
      <c r="E4951" s="102" t="s">
        <v>2421</v>
      </c>
      <c r="F4951" s="207" t="s">
        <v>1531</v>
      </c>
      <c r="G4951" s="207" t="s">
        <v>1446</v>
      </c>
      <c r="H4951" s="175"/>
      <c r="I4951" s="85">
        <f t="shared" si="193"/>
        <v>1.0941715463244894</v>
      </c>
      <c r="J4951" s="209">
        <v>12.421428571429001</v>
      </c>
      <c r="K4951" s="144"/>
      <c r="L4951" s="62">
        <v>153</v>
      </c>
    </row>
    <row r="4952" spans="1:12" ht="28" x14ac:dyDescent="0.15">
      <c r="A4952" s="62" t="s">
        <v>7029</v>
      </c>
      <c r="B4952" s="117" t="s">
        <v>1625</v>
      </c>
      <c r="C4952" s="207" t="s">
        <v>3636</v>
      </c>
      <c r="D4952" s="77" t="s">
        <v>2548</v>
      </c>
      <c r="E4952" s="102" t="s">
        <v>2421</v>
      </c>
      <c r="F4952" s="207" t="s">
        <v>1531</v>
      </c>
      <c r="G4952" s="207" t="s">
        <v>1529</v>
      </c>
      <c r="H4952" s="175"/>
      <c r="I4952" s="85">
        <f t="shared" si="193"/>
        <v>1.1751250862836704</v>
      </c>
      <c r="J4952" s="209">
        <v>14.966666666667001</v>
      </c>
      <c r="K4952" s="144"/>
      <c r="L4952" s="62">
        <v>153</v>
      </c>
    </row>
    <row r="4953" spans="1:12" ht="56" x14ac:dyDescent="0.15">
      <c r="A4953" s="62" t="s">
        <v>7029</v>
      </c>
      <c r="B4953" s="117" t="s">
        <v>1943</v>
      </c>
      <c r="C4953" s="207" t="s">
        <v>3636</v>
      </c>
      <c r="D4953" s="77" t="s">
        <v>2548</v>
      </c>
      <c r="E4953" s="102" t="s">
        <v>2421</v>
      </c>
      <c r="F4953" s="207" t="s">
        <v>1531</v>
      </c>
      <c r="G4953" s="207" t="s">
        <v>1944</v>
      </c>
      <c r="H4953" s="175"/>
      <c r="I4953" s="85">
        <f t="shared" si="193"/>
        <v>1.6131367982116502</v>
      </c>
      <c r="J4953" s="209">
        <v>41.033333333332997</v>
      </c>
      <c r="K4953" s="144"/>
      <c r="L4953" s="62">
        <v>153</v>
      </c>
    </row>
    <row r="4954" spans="1:12" ht="126" x14ac:dyDescent="0.15">
      <c r="A4954" s="62" t="s">
        <v>7029</v>
      </c>
      <c r="B4954" s="117" t="s">
        <v>1746</v>
      </c>
      <c r="C4954" s="207" t="s">
        <v>3636</v>
      </c>
      <c r="D4954" s="77" t="s">
        <v>2548</v>
      </c>
      <c r="E4954" s="102" t="s">
        <v>2421</v>
      </c>
      <c r="F4954" s="207" t="s">
        <v>1747</v>
      </c>
      <c r="G4954" s="207" t="s">
        <v>1748</v>
      </c>
      <c r="H4954" s="175"/>
      <c r="I4954" s="85">
        <f t="shared" si="193"/>
        <v>1.1328606121183731</v>
      </c>
      <c r="J4954" s="209">
        <v>13.578775625</v>
      </c>
      <c r="K4954" s="144"/>
      <c r="L4954" s="62">
        <v>153</v>
      </c>
    </row>
    <row r="4955" spans="1:12" ht="42" x14ac:dyDescent="0.15">
      <c r="A4955" s="62" t="s">
        <v>7029</v>
      </c>
      <c r="B4955" s="117" t="s">
        <v>1449</v>
      </c>
      <c r="C4955" s="207" t="s">
        <v>3636</v>
      </c>
      <c r="D4955" s="77" t="s">
        <v>2548</v>
      </c>
      <c r="E4955" s="102" t="s">
        <v>2421</v>
      </c>
      <c r="F4955" s="207" t="s">
        <v>1747</v>
      </c>
      <c r="G4955" s="207" t="s">
        <v>1450</v>
      </c>
      <c r="H4955" s="175"/>
      <c r="I4955" s="85">
        <f t="shared" si="193"/>
        <v>1.2504200023088941</v>
      </c>
      <c r="J4955" s="209">
        <v>17.8</v>
      </c>
      <c r="K4955" s="144"/>
      <c r="L4955" s="62">
        <v>153</v>
      </c>
    </row>
    <row r="4956" spans="1:12" ht="42" x14ac:dyDescent="0.15">
      <c r="A4956" s="62" t="s">
        <v>7029</v>
      </c>
      <c r="B4956" s="117" t="s">
        <v>1564</v>
      </c>
      <c r="C4956" s="207" t="s">
        <v>3636</v>
      </c>
      <c r="D4956" s="77" t="s">
        <v>2548</v>
      </c>
      <c r="E4956" s="102" t="s">
        <v>2421</v>
      </c>
      <c r="F4956" s="207" t="s">
        <v>1747</v>
      </c>
      <c r="G4956" s="207" t="s">
        <v>1369</v>
      </c>
      <c r="H4956" s="175"/>
      <c r="I4956" s="85">
        <f t="shared" si="193"/>
        <v>1.3536277589855434</v>
      </c>
      <c r="J4956" s="209">
        <v>22.574999999999999</v>
      </c>
      <c r="K4956" s="144"/>
      <c r="L4956" s="62">
        <v>153</v>
      </c>
    </row>
    <row r="4957" spans="1:12" ht="42" x14ac:dyDescent="0.15">
      <c r="A4957" s="62" t="s">
        <v>7029</v>
      </c>
      <c r="B4957" s="117" t="s">
        <v>462</v>
      </c>
      <c r="C4957" s="207" t="s">
        <v>3636</v>
      </c>
      <c r="D4957" s="77" t="s">
        <v>2548</v>
      </c>
      <c r="E4957" s="102" t="s">
        <v>2421</v>
      </c>
      <c r="F4957" s="207" t="s">
        <v>1747</v>
      </c>
      <c r="G4957" s="207" t="s">
        <v>463</v>
      </c>
      <c r="H4957" s="175"/>
      <c r="I4957" s="103">
        <f t="shared" si="193"/>
        <v>1.4313637641589874</v>
      </c>
      <c r="J4957" s="123">
        <v>27</v>
      </c>
      <c r="K4957" s="135"/>
      <c r="L4957" s="62">
        <v>250</v>
      </c>
    </row>
    <row r="4958" spans="1:12" ht="56" x14ac:dyDescent="0.15">
      <c r="A4958" s="62" t="s">
        <v>7029</v>
      </c>
      <c r="B4958" s="117" t="s">
        <v>4241</v>
      </c>
      <c r="C4958" s="207" t="s">
        <v>3636</v>
      </c>
      <c r="D4958" s="77" t="s">
        <v>2548</v>
      </c>
      <c r="E4958" s="102" t="s">
        <v>2421</v>
      </c>
      <c r="F4958" s="207" t="s">
        <v>1747</v>
      </c>
      <c r="G4958" s="207" t="s">
        <v>5748</v>
      </c>
      <c r="H4958" s="175"/>
      <c r="I4958" s="85">
        <f t="shared" si="193"/>
        <v>1.5004717160421372</v>
      </c>
      <c r="J4958" s="209">
        <v>31.657142857143</v>
      </c>
      <c r="K4958" s="144"/>
      <c r="L4958" s="62">
        <v>153</v>
      </c>
    </row>
    <row r="4959" spans="1:12" ht="14" x14ac:dyDescent="0.15">
      <c r="A4959" s="62" t="s">
        <v>7029</v>
      </c>
      <c r="B4959" s="117" t="s">
        <v>1894</v>
      </c>
      <c r="C4959" s="207" t="s">
        <v>3636</v>
      </c>
      <c r="D4959" s="77" t="s">
        <v>2548</v>
      </c>
      <c r="E4959" s="102" t="s">
        <v>2421</v>
      </c>
      <c r="F4959" s="207" t="s">
        <v>2389</v>
      </c>
      <c r="G4959" s="207" t="s">
        <v>2782</v>
      </c>
      <c r="H4959" s="175"/>
      <c r="I4959" s="103">
        <v>-999</v>
      </c>
      <c r="J4959" s="123">
        <v>-999</v>
      </c>
      <c r="K4959" s="135"/>
      <c r="L4959" s="62">
        <v>-999</v>
      </c>
    </row>
    <row r="4960" spans="1:12" ht="14" x14ac:dyDescent="0.15">
      <c r="A4960" s="62" t="s">
        <v>7029</v>
      </c>
      <c r="B4960" s="117" t="s">
        <v>1895</v>
      </c>
      <c r="C4960" s="207" t="s">
        <v>3636</v>
      </c>
      <c r="D4960" s="77" t="s">
        <v>2548</v>
      </c>
      <c r="E4960" s="102" t="s">
        <v>2421</v>
      </c>
      <c r="F4960" s="207" t="s">
        <v>2389</v>
      </c>
      <c r="G4960" s="207" t="s">
        <v>1891</v>
      </c>
      <c r="H4960" s="175"/>
      <c r="I4960" s="103">
        <v>-999</v>
      </c>
      <c r="J4960" s="123">
        <v>-999</v>
      </c>
      <c r="K4960" s="135"/>
      <c r="L4960" s="62">
        <v>-999</v>
      </c>
    </row>
    <row r="4961" spans="1:12" ht="56" x14ac:dyDescent="0.15">
      <c r="A4961" s="62" t="s">
        <v>7029</v>
      </c>
      <c r="B4961" s="117" t="s">
        <v>1701</v>
      </c>
      <c r="C4961" s="207" t="s">
        <v>3636</v>
      </c>
      <c r="D4961" s="77" t="s">
        <v>2548</v>
      </c>
      <c r="E4961" s="102" t="s">
        <v>2421</v>
      </c>
      <c r="F4961" s="207" t="s">
        <v>4168</v>
      </c>
      <c r="G4961" s="207" t="s">
        <v>5325</v>
      </c>
      <c r="H4961" s="175"/>
      <c r="I4961" s="85">
        <f>LOG(J4961)</f>
        <v>1.0869527242574961</v>
      </c>
      <c r="J4961" s="209">
        <v>12.216666666667001</v>
      </c>
      <c r="K4961" s="144"/>
      <c r="L4961" s="62">
        <v>153</v>
      </c>
    </row>
    <row r="4962" spans="1:12" ht="42" x14ac:dyDescent="0.15">
      <c r="A4962" s="62" t="s">
        <v>7029</v>
      </c>
      <c r="B4962" s="117" t="s">
        <v>4344</v>
      </c>
      <c r="C4962" s="207" t="s">
        <v>3636</v>
      </c>
      <c r="D4962" s="77" t="s">
        <v>2548</v>
      </c>
      <c r="E4962" s="102" t="s">
        <v>2421</v>
      </c>
      <c r="F4962" s="207" t="s">
        <v>4168</v>
      </c>
      <c r="G4962" s="207" t="s">
        <v>4345</v>
      </c>
      <c r="H4962" s="175"/>
      <c r="I4962" s="85">
        <f>LOG(J4962)</f>
        <v>1.2540644529143379</v>
      </c>
      <c r="J4962" s="209">
        <v>17.95</v>
      </c>
      <c r="K4962" s="144"/>
      <c r="L4962" s="62">
        <v>153</v>
      </c>
    </row>
    <row r="4963" spans="1:12" ht="56" x14ac:dyDescent="0.15">
      <c r="A4963" s="62" t="s">
        <v>7029</v>
      </c>
      <c r="B4963" s="118" t="s">
        <v>1926</v>
      </c>
      <c r="C4963" s="208" t="s">
        <v>3636</v>
      </c>
      <c r="D4963" s="77" t="s">
        <v>2548</v>
      </c>
      <c r="E4963" s="107" t="s">
        <v>2421</v>
      </c>
      <c r="F4963" s="208" t="s">
        <v>4168</v>
      </c>
      <c r="G4963" s="208" t="s">
        <v>3959</v>
      </c>
      <c r="H4963" s="179"/>
      <c r="I4963" s="85">
        <f>LOG(J4963)</f>
        <v>1.2648178230095364</v>
      </c>
      <c r="J4963" s="209">
        <v>18.399999999999999</v>
      </c>
      <c r="K4963" s="144"/>
      <c r="L4963" s="62">
        <v>153</v>
      </c>
    </row>
    <row r="4964" spans="1:12" ht="56" x14ac:dyDescent="0.15">
      <c r="A4964" s="62" t="s">
        <v>7029</v>
      </c>
      <c r="B4964" s="117" t="s">
        <v>4349</v>
      </c>
      <c r="C4964" s="207" t="s">
        <v>3636</v>
      </c>
      <c r="D4964" s="77" t="s">
        <v>2548</v>
      </c>
      <c r="E4964" s="100" t="s">
        <v>2421</v>
      </c>
      <c r="F4964" s="207" t="s">
        <v>4350</v>
      </c>
      <c r="G4964" s="207" t="s">
        <v>4523</v>
      </c>
      <c r="H4964" s="175"/>
      <c r="I4964" s="85">
        <f>LOG(J4964)</f>
        <v>1.1818435879447726</v>
      </c>
      <c r="J4964" s="209">
        <v>15.2</v>
      </c>
      <c r="K4964" s="143"/>
      <c r="L4964" s="61">
        <v>153</v>
      </c>
    </row>
    <row r="4965" spans="1:12" ht="42" x14ac:dyDescent="0.15">
      <c r="A4965" s="62" t="s">
        <v>7029</v>
      </c>
      <c r="B4965" s="117" t="s">
        <v>1552</v>
      </c>
      <c r="C4965" s="207" t="s">
        <v>3636</v>
      </c>
      <c r="D4965" s="77" t="s">
        <v>2548</v>
      </c>
      <c r="E4965" s="102" t="s">
        <v>2421</v>
      </c>
      <c r="F4965" s="207" t="s">
        <v>4350</v>
      </c>
      <c r="G4965" s="207" t="s">
        <v>3319</v>
      </c>
      <c r="H4965" s="175"/>
      <c r="I4965" s="85">
        <f>LOG(J4965)</f>
        <v>1.4210552287780196</v>
      </c>
      <c r="J4965" s="209">
        <v>26.366666666667001</v>
      </c>
      <c r="K4965" s="144"/>
      <c r="L4965" s="62">
        <v>153</v>
      </c>
    </row>
    <row r="4966" spans="1:12" ht="14" x14ac:dyDescent="0.15">
      <c r="A4966" s="61" t="s">
        <v>7029</v>
      </c>
      <c r="B4966" s="117" t="s">
        <v>4509</v>
      </c>
      <c r="C4966" s="207" t="s">
        <v>3636</v>
      </c>
      <c r="D4966" s="77" t="s">
        <v>2548</v>
      </c>
      <c r="E4966" s="102" t="s">
        <v>2421</v>
      </c>
      <c r="F4966" s="207" t="s">
        <v>2393</v>
      </c>
      <c r="G4966" s="207" t="s">
        <v>4510</v>
      </c>
      <c r="H4966" s="177"/>
      <c r="I4966" s="103">
        <v>-999</v>
      </c>
      <c r="J4966" s="123">
        <v>-999</v>
      </c>
      <c r="K4966" s="135"/>
      <c r="L4966" s="62">
        <v>-999</v>
      </c>
    </row>
    <row r="4967" spans="1:12" ht="56" x14ac:dyDescent="0.15">
      <c r="A4967" s="62" t="s">
        <v>7029</v>
      </c>
      <c r="B4967" s="117" t="s">
        <v>1704</v>
      </c>
      <c r="C4967" s="207" t="s">
        <v>3636</v>
      </c>
      <c r="D4967" s="77" t="s">
        <v>2548</v>
      </c>
      <c r="E4967" s="102" t="s">
        <v>2421</v>
      </c>
      <c r="F4967" s="207" t="s">
        <v>2393</v>
      </c>
      <c r="G4967" s="207" t="s">
        <v>4285</v>
      </c>
      <c r="H4967" s="177"/>
      <c r="I4967" s="85">
        <f t="shared" ref="I4967:I4980" si="194">LOG(J4967)</f>
        <v>1.0965308268821932</v>
      </c>
      <c r="J4967" s="209">
        <v>12.489090909091001</v>
      </c>
      <c r="K4967" s="144"/>
      <c r="L4967" s="62">
        <v>153</v>
      </c>
    </row>
    <row r="4968" spans="1:12" ht="98" x14ac:dyDescent="0.15">
      <c r="A4968" s="62" t="s">
        <v>7029</v>
      </c>
      <c r="B4968" s="117" t="s">
        <v>729</v>
      </c>
      <c r="C4968" s="207" t="s">
        <v>3636</v>
      </c>
      <c r="D4968" s="77" t="s">
        <v>2548</v>
      </c>
      <c r="E4968" s="102" t="s">
        <v>4504</v>
      </c>
      <c r="F4968" s="207" t="s">
        <v>4505</v>
      </c>
      <c r="G4968" s="207" t="s">
        <v>651</v>
      </c>
      <c r="H4968" s="177"/>
      <c r="I4968" s="85">
        <f t="shared" si="194"/>
        <v>1.2028957877797823</v>
      </c>
      <c r="J4968" s="209">
        <v>15.954962500000001</v>
      </c>
      <c r="K4968" s="144"/>
      <c r="L4968" s="62">
        <v>153</v>
      </c>
    </row>
    <row r="4969" spans="1:12" ht="56" x14ac:dyDescent="0.15">
      <c r="A4969" s="62" t="s">
        <v>7029</v>
      </c>
      <c r="B4969" s="117" t="s">
        <v>1458</v>
      </c>
      <c r="C4969" s="207" t="s">
        <v>3636</v>
      </c>
      <c r="D4969" s="77" t="s">
        <v>2548</v>
      </c>
      <c r="E4969" s="102" t="s">
        <v>4504</v>
      </c>
      <c r="F4969" s="207" t="s">
        <v>867</v>
      </c>
      <c r="G4969" s="207" t="s">
        <v>3075</v>
      </c>
      <c r="H4969" s="175"/>
      <c r="I4969" s="85">
        <f t="shared" si="194"/>
        <v>0.93993504439943132</v>
      </c>
      <c r="J4969" s="209">
        <v>8.708333333333</v>
      </c>
      <c r="K4969" s="144"/>
      <c r="L4969" s="62">
        <v>153</v>
      </c>
    </row>
    <row r="4970" spans="1:12" ht="70" x14ac:dyDescent="0.15">
      <c r="A4970" s="62" t="s">
        <v>7029</v>
      </c>
      <c r="B4970" s="117" t="s">
        <v>4410</v>
      </c>
      <c r="C4970" s="207" t="s">
        <v>3636</v>
      </c>
      <c r="D4970" s="77" t="s">
        <v>2548</v>
      </c>
      <c r="E4970" s="102" t="s">
        <v>4504</v>
      </c>
      <c r="F4970" s="207" t="s">
        <v>867</v>
      </c>
      <c r="G4970" s="207" t="s">
        <v>4242</v>
      </c>
      <c r="H4970" s="175"/>
      <c r="I4970" s="85">
        <f t="shared" si="194"/>
        <v>0.96438821479641434</v>
      </c>
      <c r="J4970" s="209">
        <v>9.2127272727269993</v>
      </c>
      <c r="K4970" s="144"/>
      <c r="L4970" s="62">
        <v>153</v>
      </c>
    </row>
    <row r="4971" spans="1:12" ht="28" x14ac:dyDescent="0.15">
      <c r="A4971" s="62" t="s">
        <v>7029</v>
      </c>
      <c r="B4971" s="117" t="s">
        <v>1946</v>
      </c>
      <c r="C4971" s="207" t="s">
        <v>3636</v>
      </c>
      <c r="D4971" s="77" t="s">
        <v>2548</v>
      </c>
      <c r="E4971" s="102" t="s">
        <v>4504</v>
      </c>
      <c r="F4971" s="207" t="s">
        <v>867</v>
      </c>
      <c r="G4971" s="207" t="s">
        <v>4414</v>
      </c>
      <c r="H4971" s="175"/>
      <c r="I4971" s="85">
        <f t="shared" si="194"/>
        <v>1.1591158218277691</v>
      </c>
      <c r="J4971" s="209">
        <v>14.425000000000001</v>
      </c>
      <c r="K4971" s="144"/>
      <c r="L4971" s="62">
        <v>153</v>
      </c>
    </row>
    <row r="4972" spans="1:12" ht="112" x14ac:dyDescent="0.15">
      <c r="A4972" s="62" t="s">
        <v>7029</v>
      </c>
      <c r="B4972" s="117" t="s">
        <v>456</v>
      </c>
      <c r="C4972" s="207" t="s">
        <v>3636</v>
      </c>
      <c r="D4972" s="77" t="s">
        <v>2548</v>
      </c>
      <c r="E4972" s="102" t="s">
        <v>4504</v>
      </c>
      <c r="F4972" s="207" t="s">
        <v>867</v>
      </c>
      <c r="G4972" s="207" t="s">
        <v>417</v>
      </c>
      <c r="H4972" s="175"/>
      <c r="I4972" s="85">
        <f t="shared" si="194"/>
        <v>1.2938359002426763</v>
      </c>
      <c r="J4972" s="209">
        <v>19.671428571429001</v>
      </c>
      <c r="K4972" s="144"/>
      <c r="L4972" s="62">
        <v>153</v>
      </c>
    </row>
    <row r="4973" spans="1:12" ht="70" x14ac:dyDescent="0.15">
      <c r="A4973" s="62" t="s">
        <v>7029</v>
      </c>
      <c r="B4973" s="117" t="s">
        <v>2062</v>
      </c>
      <c r="C4973" s="207" t="s">
        <v>3636</v>
      </c>
      <c r="D4973" s="77" t="s">
        <v>2548</v>
      </c>
      <c r="E4973" s="102" t="s">
        <v>1952</v>
      </c>
      <c r="F4973" s="207" t="s">
        <v>1953</v>
      </c>
      <c r="G4973" s="207" t="s">
        <v>2063</v>
      </c>
      <c r="H4973" s="175"/>
      <c r="I4973" s="85">
        <f t="shared" si="194"/>
        <v>0.75587485567249146</v>
      </c>
      <c r="J4973" s="209">
        <v>5.7</v>
      </c>
      <c r="K4973" s="144"/>
      <c r="L4973" s="62">
        <v>153</v>
      </c>
    </row>
    <row r="4974" spans="1:12" ht="42" x14ac:dyDescent="0.15">
      <c r="A4974" s="62" t="s">
        <v>7029</v>
      </c>
      <c r="B4974" s="117" t="s">
        <v>616</v>
      </c>
      <c r="C4974" s="207" t="s">
        <v>3636</v>
      </c>
      <c r="D4974" s="77" t="s">
        <v>2548</v>
      </c>
      <c r="E4974" s="102" t="s">
        <v>2050</v>
      </c>
      <c r="F4974" s="207" t="s">
        <v>4262</v>
      </c>
      <c r="G4974" s="207" t="s">
        <v>4198</v>
      </c>
      <c r="H4974" s="177"/>
      <c r="I4974" s="85">
        <f t="shared" si="194"/>
        <v>1.4892263865098645</v>
      </c>
      <c r="J4974" s="209">
        <v>30.847955555555998</v>
      </c>
      <c r="K4974" s="144"/>
      <c r="L4974" s="62">
        <v>153</v>
      </c>
    </row>
    <row r="4975" spans="1:12" ht="56" x14ac:dyDescent="0.15">
      <c r="A4975" s="62" t="s">
        <v>7029</v>
      </c>
      <c r="B4975" s="117" t="s">
        <v>4424</v>
      </c>
      <c r="C4975" s="207" t="s">
        <v>3636</v>
      </c>
      <c r="D4975" s="77" t="s">
        <v>2548</v>
      </c>
      <c r="E4975" s="102" t="s">
        <v>2050</v>
      </c>
      <c r="F4975" s="207" t="s">
        <v>4262</v>
      </c>
      <c r="G4975" s="207" t="s">
        <v>4415</v>
      </c>
      <c r="H4975" s="175"/>
      <c r="I4975" s="85">
        <f t="shared" si="194"/>
        <v>1.7799930907873527</v>
      </c>
      <c r="J4975" s="209">
        <v>60.255000000000003</v>
      </c>
      <c r="K4975" s="144"/>
      <c r="L4975" s="62">
        <v>153</v>
      </c>
    </row>
    <row r="4976" spans="1:12" ht="56" x14ac:dyDescent="0.15">
      <c r="A4976" s="61" t="s">
        <v>7029</v>
      </c>
      <c r="B4976" s="117" t="s">
        <v>509</v>
      </c>
      <c r="C4976" s="207" t="s">
        <v>3636</v>
      </c>
      <c r="D4976" s="77" t="s">
        <v>2548</v>
      </c>
      <c r="E4976" s="102" t="s">
        <v>510</v>
      </c>
      <c r="F4976" s="207" t="s">
        <v>511</v>
      </c>
      <c r="G4976" s="207" t="s">
        <v>580</v>
      </c>
      <c r="H4976" s="175"/>
      <c r="I4976" s="85">
        <f t="shared" si="194"/>
        <v>1.0138900603284386</v>
      </c>
      <c r="J4976" s="209">
        <v>10.324999999999999</v>
      </c>
      <c r="K4976" s="144"/>
      <c r="L4976" s="62">
        <v>153</v>
      </c>
    </row>
    <row r="4977" spans="1:12" ht="42" x14ac:dyDescent="0.15">
      <c r="A4977" s="62" t="s">
        <v>7029</v>
      </c>
      <c r="B4977" s="117" t="s">
        <v>488</v>
      </c>
      <c r="C4977" s="207" t="s">
        <v>3636</v>
      </c>
      <c r="D4977" s="77" t="s">
        <v>2548</v>
      </c>
      <c r="E4977" s="102" t="s">
        <v>510</v>
      </c>
      <c r="F4977" s="207" t="s">
        <v>489</v>
      </c>
      <c r="G4977" s="207" t="s">
        <v>7562</v>
      </c>
      <c r="H4977" s="175"/>
      <c r="I4977" s="85">
        <f t="shared" si="194"/>
        <v>1.0273496077747566</v>
      </c>
      <c r="J4977" s="209">
        <v>10.65</v>
      </c>
      <c r="K4977" s="144"/>
      <c r="L4977" s="62">
        <v>153</v>
      </c>
    </row>
    <row r="4978" spans="1:12" ht="14" x14ac:dyDescent="0.15">
      <c r="A4978" s="62" t="s">
        <v>7029</v>
      </c>
      <c r="B4978" s="117" t="s">
        <v>436</v>
      </c>
      <c r="C4978" s="207" t="s">
        <v>3636</v>
      </c>
      <c r="D4978" s="77" t="s">
        <v>2548</v>
      </c>
      <c r="E4978" s="100" t="s">
        <v>510</v>
      </c>
      <c r="F4978" s="207" t="s">
        <v>489</v>
      </c>
      <c r="G4978" s="207" t="s">
        <v>2910</v>
      </c>
      <c r="H4978" s="175"/>
      <c r="I4978" s="85">
        <f t="shared" si="194"/>
        <v>1.1658376246901283</v>
      </c>
      <c r="J4978" s="209">
        <v>14.65</v>
      </c>
      <c r="K4978" s="143"/>
      <c r="L4978" s="61">
        <v>153</v>
      </c>
    </row>
    <row r="4979" spans="1:12" ht="70" x14ac:dyDescent="0.15">
      <c r="A4979" s="62" t="s">
        <v>7029</v>
      </c>
      <c r="B4979" s="117" t="s">
        <v>1927</v>
      </c>
      <c r="C4979" s="207" t="s">
        <v>3636</v>
      </c>
      <c r="D4979" s="77" t="s">
        <v>2548</v>
      </c>
      <c r="E4979" s="102" t="s">
        <v>510</v>
      </c>
      <c r="F4979" s="207" t="s">
        <v>489</v>
      </c>
      <c r="G4979" s="207" t="s">
        <v>3596</v>
      </c>
      <c r="H4979" s="175"/>
      <c r="I4979" s="85">
        <f t="shared" si="194"/>
        <v>1.167317334748176</v>
      </c>
      <c r="J4979" s="209">
        <v>14.7</v>
      </c>
      <c r="K4979" s="144"/>
      <c r="L4979" s="62">
        <v>153</v>
      </c>
    </row>
    <row r="4980" spans="1:12" ht="42" x14ac:dyDescent="0.15">
      <c r="A4980" s="62" t="s">
        <v>7029</v>
      </c>
      <c r="B4980" s="117" t="s">
        <v>1928</v>
      </c>
      <c r="C4980" s="207" t="s">
        <v>3636</v>
      </c>
      <c r="D4980" s="77" t="s">
        <v>2548</v>
      </c>
      <c r="E4980" s="102" t="s">
        <v>510</v>
      </c>
      <c r="F4980" s="207" t="s">
        <v>489</v>
      </c>
      <c r="G4980" s="207" t="s">
        <v>1925</v>
      </c>
      <c r="H4980" s="175"/>
      <c r="I4980" s="85">
        <f t="shared" si="194"/>
        <v>1.2265999052073575</v>
      </c>
      <c r="J4980" s="209">
        <v>16.850000000000001</v>
      </c>
      <c r="K4980" s="144"/>
      <c r="L4980" s="62">
        <v>153</v>
      </c>
    </row>
    <row r="4981" spans="1:12" ht="14" x14ac:dyDescent="0.15">
      <c r="A4981" s="62" t="s">
        <v>7029</v>
      </c>
      <c r="B4981" s="117" t="s">
        <v>7517</v>
      </c>
      <c r="C4981" s="207" t="s">
        <v>3636</v>
      </c>
      <c r="D4981" s="77" t="s">
        <v>2548</v>
      </c>
      <c r="E4981" s="102" t="s">
        <v>510</v>
      </c>
      <c r="F4981" s="207" t="s">
        <v>1799</v>
      </c>
      <c r="G4981" s="207" t="s">
        <v>5151</v>
      </c>
      <c r="H4981" s="175"/>
      <c r="I4981" s="103">
        <v>-999</v>
      </c>
      <c r="J4981" s="123">
        <v>-999</v>
      </c>
      <c r="K4981" s="135"/>
      <c r="L4981" s="62">
        <v>-999</v>
      </c>
    </row>
    <row r="4982" spans="1:12" ht="42" x14ac:dyDescent="0.15">
      <c r="A4982" s="62" t="s">
        <v>7029</v>
      </c>
      <c r="B4982" s="117" t="s">
        <v>1798</v>
      </c>
      <c r="C4982" s="207" t="s">
        <v>3636</v>
      </c>
      <c r="D4982" s="77" t="s">
        <v>2548</v>
      </c>
      <c r="E4982" s="102" t="s">
        <v>510</v>
      </c>
      <c r="F4982" s="207" t="s">
        <v>1799</v>
      </c>
      <c r="G4982" s="207" t="s">
        <v>5597</v>
      </c>
      <c r="H4982" s="175"/>
      <c r="I4982" s="85">
        <f t="shared" ref="I4982:I5002" si="195">LOG(J4982)</f>
        <v>1.0437551269686796</v>
      </c>
      <c r="J4982" s="209">
        <v>11.06</v>
      </c>
      <c r="K4982" s="144"/>
      <c r="L4982" s="62">
        <v>153</v>
      </c>
    </row>
    <row r="4983" spans="1:12" ht="42" x14ac:dyDescent="0.15">
      <c r="A4983" s="62" t="s">
        <v>7029</v>
      </c>
      <c r="B4983" s="117" t="s">
        <v>577</v>
      </c>
      <c r="C4983" s="207" t="s">
        <v>3636</v>
      </c>
      <c r="D4983" s="77" t="s">
        <v>2548</v>
      </c>
      <c r="E4983" s="102" t="s">
        <v>510</v>
      </c>
      <c r="F4983" s="207" t="s">
        <v>1799</v>
      </c>
      <c r="G4983" s="207" t="s">
        <v>1962</v>
      </c>
      <c r="H4983" s="175"/>
      <c r="I4983" s="85">
        <f t="shared" si="195"/>
        <v>1.0639897471525535</v>
      </c>
      <c r="J4983" s="209">
        <v>11.5875</v>
      </c>
      <c r="K4983" s="144"/>
      <c r="L4983" s="62">
        <v>153</v>
      </c>
    </row>
    <row r="4984" spans="1:12" ht="28" x14ac:dyDescent="0.15">
      <c r="A4984" s="62" t="s">
        <v>7029</v>
      </c>
      <c r="B4984" s="117" t="s">
        <v>1898</v>
      </c>
      <c r="C4984" s="207" t="s">
        <v>3636</v>
      </c>
      <c r="D4984" s="77" t="s">
        <v>2548</v>
      </c>
      <c r="E4984" s="102" t="s">
        <v>510</v>
      </c>
      <c r="F4984" s="207" t="s">
        <v>1799</v>
      </c>
      <c r="G4984" s="207" t="s">
        <v>4303</v>
      </c>
      <c r="H4984" s="175"/>
      <c r="I4984" s="85">
        <f t="shared" si="195"/>
        <v>1.1012313867906991</v>
      </c>
      <c r="J4984" s="209">
        <v>12.625</v>
      </c>
      <c r="K4984" s="144"/>
      <c r="L4984" s="62">
        <v>153</v>
      </c>
    </row>
    <row r="4985" spans="1:12" ht="56" x14ac:dyDescent="0.15">
      <c r="A4985" s="62" t="s">
        <v>7029</v>
      </c>
      <c r="B4985" s="117" t="s">
        <v>1974</v>
      </c>
      <c r="C4985" s="207" t="s">
        <v>3636</v>
      </c>
      <c r="D4985" s="77" t="s">
        <v>2548</v>
      </c>
      <c r="E4985" s="102" t="s">
        <v>510</v>
      </c>
      <c r="F4985" s="207" t="s">
        <v>1799</v>
      </c>
      <c r="G4985" s="207" t="s">
        <v>1975</v>
      </c>
      <c r="H4985" s="175"/>
      <c r="I4985" s="85">
        <f t="shared" si="195"/>
        <v>1.2030328870147107</v>
      </c>
      <c r="J4985" s="209">
        <v>15.96</v>
      </c>
      <c r="K4985" s="144"/>
      <c r="L4985" s="62">
        <v>153</v>
      </c>
    </row>
    <row r="4986" spans="1:12" ht="28" x14ac:dyDescent="0.15">
      <c r="A4986" s="62" t="s">
        <v>7029</v>
      </c>
      <c r="B4986" s="117" t="s">
        <v>2014</v>
      </c>
      <c r="C4986" s="207" t="s">
        <v>3636</v>
      </c>
      <c r="D4986" s="77" t="s">
        <v>2548</v>
      </c>
      <c r="E4986" s="102" t="s">
        <v>510</v>
      </c>
      <c r="F4986" s="207" t="s">
        <v>1799</v>
      </c>
      <c r="G4986" s="207" t="s">
        <v>3388</v>
      </c>
      <c r="H4986" s="175"/>
      <c r="I4986" s="85">
        <f t="shared" si="195"/>
        <v>1.2867370761287185</v>
      </c>
      <c r="J4986" s="209">
        <v>19.352499999999999</v>
      </c>
      <c r="K4986" s="144"/>
      <c r="L4986" s="62">
        <v>153</v>
      </c>
    </row>
    <row r="4987" spans="1:12" ht="42" x14ac:dyDescent="0.15">
      <c r="A4987" s="61" t="s">
        <v>7029</v>
      </c>
      <c r="B4987" s="117" t="s">
        <v>1447</v>
      </c>
      <c r="C4987" s="207" t="s">
        <v>3636</v>
      </c>
      <c r="D4987" s="77" t="s">
        <v>2548</v>
      </c>
      <c r="E4987" s="102" t="s">
        <v>510</v>
      </c>
      <c r="F4987" s="207" t="s">
        <v>1799</v>
      </c>
      <c r="G4987" s="207" t="s">
        <v>7275</v>
      </c>
      <c r="H4987" s="175"/>
      <c r="I4987" s="85">
        <f t="shared" si="195"/>
        <v>1.546542663478131</v>
      </c>
      <c r="J4987" s="209">
        <v>35.200000000000003</v>
      </c>
      <c r="K4987" s="144"/>
      <c r="L4987" s="62" t="s">
        <v>1728</v>
      </c>
    </row>
    <row r="4988" spans="1:12" ht="126" x14ac:dyDescent="0.15">
      <c r="A4988" s="62" t="s">
        <v>7029</v>
      </c>
      <c r="B4988" s="117" t="s">
        <v>560</v>
      </c>
      <c r="C4988" s="207" t="s">
        <v>3636</v>
      </c>
      <c r="D4988" s="77" t="s">
        <v>2548</v>
      </c>
      <c r="E4988" s="102" t="s">
        <v>510</v>
      </c>
      <c r="F4988" s="207" t="s">
        <v>1799</v>
      </c>
      <c r="G4988" s="207" t="s">
        <v>559</v>
      </c>
      <c r="H4988" s="175"/>
      <c r="I4988" s="85">
        <f t="shared" si="195"/>
        <v>1.625046715930174</v>
      </c>
      <c r="J4988" s="209">
        <v>42.174186666666998</v>
      </c>
      <c r="K4988" s="144"/>
      <c r="L4988" s="62">
        <v>153</v>
      </c>
    </row>
    <row r="4989" spans="1:12" ht="42" x14ac:dyDescent="0.15">
      <c r="A4989" s="62" t="s">
        <v>7029</v>
      </c>
      <c r="B4989" s="117" t="s">
        <v>1885</v>
      </c>
      <c r="C4989" s="207" t="s">
        <v>3636</v>
      </c>
      <c r="D4989" s="77" t="s">
        <v>2548</v>
      </c>
      <c r="E4989" s="102" t="s">
        <v>510</v>
      </c>
      <c r="F4989" s="207" t="s">
        <v>1799</v>
      </c>
      <c r="G4989" s="207" t="s">
        <v>1446</v>
      </c>
      <c r="H4989" s="175"/>
      <c r="I4989" s="85">
        <f t="shared" si="195"/>
        <v>1.6720978579357175</v>
      </c>
      <c r="J4989" s="209">
        <v>47</v>
      </c>
      <c r="K4989" s="144"/>
      <c r="L4989" s="62">
        <v>153</v>
      </c>
    </row>
    <row r="4990" spans="1:12" ht="14" x14ac:dyDescent="0.15">
      <c r="A4990" s="62" t="s">
        <v>7029</v>
      </c>
      <c r="B4990" s="117" t="s">
        <v>4685</v>
      </c>
      <c r="C4990" s="207" t="s">
        <v>3636</v>
      </c>
      <c r="D4990" s="77" t="s">
        <v>2548</v>
      </c>
      <c r="E4990" s="102" t="s">
        <v>510</v>
      </c>
      <c r="F4990" s="207" t="s">
        <v>1799</v>
      </c>
      <c r="G4990" s="207" t="s">
        <v>7800</v>
      </c>
      <c r="H4990" s="177"/>
      <c r="I4990" s="85">
        <f t="shared" si="195"/>
        <v>1.7781512503836436</v>
      </c>
      <c r="J4990" s="209">
        <v>60</v>
      </c>
      <c r="K4990" s="144"/>
      <c r="L4990" s="62">
        <v>153</v>
      </c>
    </row>
    <row r="4991" spans="1:12" ht="84" x14ac:dyDescent="0.15">
      <c r="A4991" s="62" t="s">
        <v>7029</v>
      </c>
      <c r="B4991" s="117" t="s">
        <v>472</v>
      </c>
      <c r="C4991" s="207" t="s">
        <v>3636</v>
      </c>
      <c r="D4991" s="77" t="s">
        <v>2548</v>
      </c>
      <c r="E4991" s="102" t="s">
        <v>510</v>
      </c>
      <c r="F4991" s="207" t="s">
        <v>1799</v>
      </c>
      <c r="G4991" s="207" t="s">
        <v>473</v>
      </c>
      <c r="H4991" s="175"/>
      <c r="I4991" s="85">
        <f t="shared" si="195"/>
        <v>1.7805079175774432</v>
      </c>
      <c r="J4991" s="209">
        <v>60.326470588234997</v>
      </c>
      <c r="K4991" s="144"/>
      <c r="L4991" s="62">
        <v>153</v>
      </c>
    </row>
    <row r="4992" spans="1:12" ht="14" x14ac:dyDescent="0.15">
      <c r="A4992" s="62" t="s">
        <v>7029</v>
      </c>
      <c r="B4992" s="117" t="s">
        <v>425</v>
      </c>
      <c r="C4992" s="207" t="s">
        <v>3636</v>
      </c>
      <c r="D4992" s="77" t="s">
        <v>2548</v>
      </c>
      <c r="E4992" s="102" t="s">
        <v>510</v>
      </c>
      <c r="F4992" s="207" t="s">
        <v>1799</v>
      </c>
      <c r="G4992" s="207" t="s">
        <v>6187</v>
      </c>
      <c r="H4992" s="177"/>
      <c r="I4992" s="85">
        <f t="shared" si="195"/>
        <v>1.8055008581584002</v>
      </c>
      <c r="J4992" s="209">
        <v>63.9</v>
      </c>
      <c r="K4992" s="144"/>
      <c r="L4992" s="62">
        <v>153</v>
      </c>
    </row>
    <row r="4993" spans="1:12" ht="28" x14ac:dyDescent="0.15">
      <c r="A4993" s="62" t="s">
        <v>7029</v>
      </c>
      <c r="B4993" s="117" t="s">
        <v>426</v>
      </c>
      <c r="C4993" s="207" t="s">
        <v>3636</v>
      </c>
      <c r="D4993" s="77" t="s">
        <v>2548</v>
      </c>
      <c r="E4993" s="102" t="s">
        <v>510</v>
      </c>
      <c r="F4993" s="207" t="s">
        <v>1799</v>
      </c>
      <c r="G4993" s="207" t="s">
        <v>427</v>
      </c>
      <c r="H4993" s="175"/>
      <c r="I4993" s="85">
        <f t="shared" si="195"/>
        <v>2.1398790864012365</v>
      </c>
      <c r="J4993" s="209">
        <v>138</v>
      </c>
      <c r="K4993" s="144"/>
      <c r="L4993" s="62">
        <v>153</v>
      </c>
    </row>
    <row r="4994" spans="1:12" ht="28" x14ac:dyDescent="0.15">
      <c r="A4994" s="62" t="s">
        <v>7029</v>
      </c>
      <c r="B4994" s="117" t="s">
        <v>391</v>
      </c>
      <c r="C4994" s="207" t="s">
        <v>3636</v>
      </c>
      <c r="D4994" s="77" t="s">
        <v>2548</v>
      </c>
      <c r="E4994" s="102" t="s">
        <v>510</v>
      </c>
      <c r="F4994" s="207" t="s">
        <v>392</v>
      </c>
      <c r="G4994" s="207" t="s">
        <v>393</v>
      </c>
      <c r="H4994" s="175"/>
      <c r="I4994" s="85">
        <f t="shared" si="195"/>
        <v>1.1227618173540364</v>
      </c>
      <c r="J4994" s="209">
        <v>13.266666666667</v>
      </c>
      <c r="K4994" s="144"/>
      <c r="L4994" s="62">
        <v>153</v>
      </c>
    </row>
    <row r="4995" spans="1:12" ht="28" x14ac:dyDescent="0.15">
      <c r="A4995" s="62" t="s">
        <v>7029</v>
      </c>
      <c r="B4995" s="117" t="s">
        <v>389</v>
      </c>
      <c r="C4995" s="207" t="s">
        <v>3636</v>
      </c>
      <c r="D4995" s="77" t="s">
        <v>2548</v>
      </c>
      <c r="E4995" s="102" t="s">
        <v>510</v>
      </c>
      <c r="F4995" s="207" t="s">
        <v>392</v>
      </c>
      <c r="G4995" s="207" t="s">
        <v>7086</v>
      </c>
      <c r="H4995" s="175"/>
      <c r="I4995" s="85">
        <f t="shared" si="195"/>
        <v>1.1583624920952498</v>
      </c>
      <c r="J4995" s="209">
        <v>14.4</v>
      </c>
      <c r="K4995" s="144"/>
      <c r="L4995" s="62">
        <v>153</v>
      </c>
    </row>
    <row r="4996" spans="1:12" ht="28" x14ac:dyDescent="0.15">
      <c r="A4996" s="62" t="s">
        <v>7029</v>
      </c>
      <c r="B4996" s="117" t="s">
        <v>4412</v>
      </c>
      <c r="C4996" s="207" t="s">
        <v>3636</v>
      </c>
      <c r="D4996" s="77" t="s">
        <v>2548</v>
      </c>
      <c r="E4996" s="102" t="s">
        <v>510</v>
      </c>
      <c r="F4996" s="207" t="s">
        <v>392</v>
      </c>
      <c r="G4996" s="207" t="s">
        <v>4413</v>
      </c>
      <c r="H4996" s="175"/>
      <c r="I4996" s="85">
        <f t="shared" si="195"/>
        <v>1.1928461151888416</v>
      </c>
      <c r="J4996" s="209">
        <v>15.59</v>
      </c>
      <c r="K4996" s="144"/>
      <c r="L4996" s="62">
        <v>153</v>
      </c>
    </row>
    <row r="4997" spans="1:12" ht="112" x14ac:dyDescent="0.15">
      <c r="A4997" s="62" t="s">
        <v>7029</v>
      </c>
      <c r="B4997" s="117" t="s">
        <v>626</v>
      </c>
      <c r="C4997" s="207" t="s">
        <v>3636</v>
      </c>
      <c r="D4997" s="77" t="s">
        <v>2548</v>
      </c>
      <c r="E4997" s="102" t="s">
        <v>510</v>
      </c>
      <c r="F4997" s="207" t="s">
        <v>392</v>
      </c>
      <c r="G4997" s="207" t="s">
        <v>5180</v>
      </c>
      <c r="H4997" s="175"/>
      <c r="I4997" s="85">
        <f t="shared" si="195"/>
        <v>1.2762175884913591</v>
      </c>
      <c r="J4997" s="209">
        <v>18.889375000000001</v>
      </c>
      <c r="K4997" s="144"/>
      <c r="L4997" s="62">
        <v>153</v>
      </c>
    </row>
    <row r="4998" spans="1:12" ht="42" x14ac:dyDescent="0.15">
      <c r="A4998" s="61" t="s">
        <v>7029</v>
      </c>
      <c r="B4998" s="117" t="s">
        <v>1948</v>
      </c>
      <c r="C4998" s="207" t="s">
        <v>3636</v>
      </c>
      <c r="D4998" s="77" t="s">
        <v>2548</v>
      </c>
      <c r="E4998" s="102" t="s">
        <v>510</v>
      </c>
      <c r="F4998" s="207" t="s">
        <v>1949</v>
      </c>
      <c r="G4998" s="207" t="s">
        <v>6160</v>
      </c>
      <c r="H4998" s="175"/>
      <c r="I4998" s="85">
        <f t="shared" si="195"/>
        <v>1.3288890398395605</v>
      </c>
      <c r="J4998" s="209">
        <v>21.324999999999999</v>
      </c>
      <c r="K4998" s="144"/>
      <c r="L4998" s="62">
        <v>153</v>
      </c>
    </row>
    <row r="4999" spans="1:12" ht="28" x14ac:dyDescent="0.15">
      <c r="A4999" s="62" t="s">
        <v>7029</v>
      </c>
      <c r="B4999" s="117" t="s">
        <v>2058</v>
      </c>
      <c r="C4999" s="207" t="s">
        <v>3636</v>
      </c>
      <c r="D4999" s="77" t="s">
        <v>2548</v>
      </c>
      <c r="E4999" s="102" t="s">
        <v>510</v>
      </c>
      <c r="F4999" s="207" t="s">
        <v>397</v>
      </c>
      <c r="G4999" s="207" t="s">
        <v>478</v>
      </c>
      <c r="H4999" s="175"/>
      <c r="I4999" s="85">
        <f t="shared" si="195"/>
        <v>1.1359273350054684</v>
      </c>
      <c r="J4999" s="209">
        <v>13.675000000000001</v>
      </c>
      <c r="K4999" s="144"/>
      <c r="L4999" s="62">
        <v>153</v>
      </c>
    </row>
    <row r="5000" spans="1:12" ht="14" x14ac:dyDescent="0.15">
      <c r="A5000" s="62" t="s">
        <v>7029</v>
      </c>
      <c r="B5000" s="117" t="s">
        <v>2080</v>
      </c>
      <c r="C5000" s="207" t="s">
        <v>3636</v>
      </c>
      <c r="D5000" s="77" t="s">
        <v>2548</v>
      </c>
      <c r="E5000" s="102" t="s">
        <v>510</v>
      </c>
      <c r="F5000" s="207" t="s">
        <v>397</v>
      </c>
      <c r="G5000" s="207" t="s">
        <v>5211</v>
      </c>
      <c r="H5000" s="175"/>
      <c r="I5000" s="85">
        <f t="shared" si="195"/>
        <v>1.2988530764097066</v>
      </c>
      <c r="J5000" s="209">
        <v>19.899999999999999</v>
      </c>
      <c r="K5000" s="144"/>
      <c r="L5000" s="62">
        <v>153</v>
      </c>
    </row>
    <row r="5001" spans="1:12" ht="42" x14ac:dyDescent="0.15">
      <c r="A5001" s="62" t="s">
        <v>7029</v>
      </c>
      <c r="B5001" s="117" t="s">
        <v>534</v>
      </c>
      <c r="C5001" s="207" t="s">
        <v>3636</v>
      </c>
      <c r="D5001" s="77" t="s">
        <v>2548</v>
      </c>
      <c r="E5001" s="100" t="s">
        <v>510</v>
      </c>
      <c r="F5001" s="207" t="s">
        <v>397</v>
      </c>
      <c r="G5001" s="207" t="s">
        <v>1941</v>
      </c>
      <c r="H5001" s="175"/>
      <c r="I5001" s="85">
        <f t="shared" si="195"/>
        <v>1.3639878297484915</v>
      </c>
      <c r="J5001" s="209">
        <v>23.12</v>
      </c>
      <c r="K5001" s="144"/>
      <c r="L5001" s="62">
        <v>153</v>
      </c>
    </row>
    <row r="5002" spans="1:12" ht="42" x14ac:dyDescent="0.15">
      <c r="A5002" s="62" t="s">
        <v>7029</v>
      </c>
      <c r="B5002" s="117" t="s">
        <v>1947</v>
      </c>
      <c r="C5002" s="207" t="s">
        <v>3636</v>
      </c>
      <c r="D5002" s="77" t="s">
        <v>2548</v>
      </c>
      <c r="E5002" s="102" t="s">
        <v>510</v>
      </c>
      <c r="F5002" s="207" t="s">
        <v>397</v>
      </c>
      <c r="G5002" s="207" t="s">
        <v>7803</v>
      </c>
      <c r="H5002" s="175"/>
      <c r="I5002" s="85">
        <f t="shared" si="195"/>
        <v>1.406823940314623</v>
      </c>
      <c r="J5002" s="209">
        <v>25.516666666667</v>
      </c>
      <c r="K5002" s="144"/>
      <c r="L5002" s="62">
        <v>153</v>
      </c>
    </row>
    <row r="5003" spans="1:12" ht="14" x14ac:dyDescent="0.15">
      <c r="A5003" s="62" t="s">
        <v>7029</v>
      </c>
      <c r="B5003" s="117" t="s">
        <v>4885</v>
      </c>
      <c r="C5003" s="207" t="s">
        <v>3636</v>
      </c>
      <c r="D5003" s="77" t="s">
        <v>2548</v>
      </c>
      <c r="E5003" s="100" t="s">
        <v>510</v>
      </c>
      <c r="F5003" s="207" t="s">
        <v>2055</v>
      </c>
      <c r="G5003" s="207" t="s">
        <v>4886</v>
      </c>
      <c r="H5003" s="177"/>
      <c r="I5003" s="103">
        <v>-999</v>
      </c>
      <c r="J5003" s="123">
        <v>-999</v>
      </c>
      <c r="K5003" s="141"/>
      <c r="L5003" s="61">
        <v>-999</v>
      </c>
    </row>
    <row r="5004" spans="1:12" ht="28" x14ac:dyDescent="0.15">
      <c r="A5004" s="62" t="s">
        <v>7029</v>
      </c>
      <c r="B5004" s="117" t="s">
        <v>2054</v>
      </c>
      <c r="C5004" s="207" t="s">
        <v>3636</v>
      </c>
      <c r="D5004" s="77" t="s">
        <v>2548</v>
      </c>
      <c r="E5004" s="102" t="s">
        <v>510</v>
      </c>
      <c r="F5004" s="207" t="s">
        <v>2055</v>
      </c>
      <c r="G5004" s="207" t="s">
        <v>3406</v>
      </c>
      <c r="H5004" s="175"/>
      <c r="I5004" s="85">
        <f t="shared" ref="I5004:I5017" si="196">LOG(J5004)</f>
        <v>0.76591679396660717</v>
      </c>
      <c r="J5004" s="209">
        <v>5.833333333333</v>
      </c>
      <c r="K5004" s="144"/>
      <c r="L5004" s="62">
        <v>153</v>
      </c>
    </row>
    <row r="5005" spans="1:12" ht="42" x14ac:dyDescent="0.15">
      <c r="A5005" s="62" t="s">
        <v>7029</v>
      </c>
      <c r="B5005" s="117" t="s">
        <v>1572</v>
      </c>
      <c r="C5005" s="207" t="s">
        <v>3636</v>
      </c>
      <c r="D5005" s="77" t="s">
        <v>2548</v>
      </c>
      <c r="E5005" s="102" t="s">
        <v>510</v>
      </c>
      <c r="F5005" s="207" t="s">
        <v>2055</v>
      </c>
      <c r="G5005" s="207" t="s">
        <v>4148</v>
      </c>
      <c r="H5005" s="175"/>
      <c r="I5005" s="85">
        <f t="shared" si="196"/>
        <v>0.89762709129044149</v>
      </c>
      <c r="J5005" s="209">
        <v>7.9</v>
      </c>
      <c r="K5005" s="144"/>
      <c r="L5005" s="62">
        <v>153</v>
      </c>
    </row>
    <row r="5006" spans="1:12" ht="42" x14ac:dyDescent="0.15">
      <c r="A5006" s="62" t="s">
        <v>7029</v>
      </c>
      <c r="B5006" s="117" t="s">
        <v>1939</v>
      </c>
      <c r="C5006" s="207" t="s">
        <v>3636</v>
      </c>
      <c r="D5006" s="77" t="s">
        <v>2548</v>
      </c>
      <c r="E5006" s="100" t="s">
        <v>510</v>
      </c>
      <c r="F5006" s="207" t="s">
        <v>2055</v>
      </c>
      <c r="G5006" s="207" t="s">
        <v>2913</v>
      </c>
      <c r="H5006" s="175"/>
      <c r="I5006" s="85">
        <f t="shared" si="196"/>
        <v>0.94076543563121751</v>
      </c>
      <c r="J5006" s="209">
        <v>8.7249999999999996</v>
      </c>
      <c r="K5006" s="143"/>
      <c r="L5006" s="61">
        <v>153</v>
      </c>
    </row>
    <row r="5007" spans="1:12" ht="42" x14ac:dyDescent="0.15">
      <c r="A5007" s="61" t="s">
        <v>7029</v>
      </c>
      <c r="B5007" s="117" t="s">
        <v>508</v>
      </c>
      <c r="C5007" s="207" t="s">
        <v>3636</v>
      </c>
      <c r="D5007" s="77" t="s">
        <v>2548</v>
      </c>
      <c r="E5007" s="102" t="s">
        <v>510</v>
      </c>
      <c r="F5007" s="207" t="s">
        <v>600</v>
      </c>
      <c r="G5007" s="207" t="s">
        <v>7117</v>
      </c>
      <c r="H5007" s="175"/>
      <c r="I5007" s="85">
        <f t="shared" si="196"/>
        <v>1.8913283438821973</v>
      </c>
      <c r="J5007" s="209">
        <v>77.862499999999997</v>
      </c>
      <c r="K5007" s="144"/>
      <c r="L5007" s="62">
        <v>153</v>
      </c>
    </row>
    <row r="5008" spans="1:12" ht="70" x14ac:dyDescent="0.15">
      <c r="A5008" s="62" t="s">
        <v>7029</v>
      </c>
      <c r="B5008" s="117" t="s">
        <v>596</v>
      </c>
      <c r="C5008" s="207" t="s">
        <v>3636</v>
      </c>
      <c r="D5008" s="77" t="s">
        <v>2548</v>
      </c>
      <c r="E5008" s="102" t="s">
        <v>510</v>
      </c>
      <c r="F5008" s="207" t="s">
        <v>597</v>
      </c>
      <c r="G5008" s="207" t="s">
        <v>598</v>
      </c>
      <c r="H5008" s="175"/>
      <c r="I5008" s="85">
        <f t="shared" si="196"/>
        <v>1.5212773372466584</v>
      </c>
      <c r="J5008" s="209">
        <v>33.210647058824001</v>
      </c>
      <c r="K5008" s="144"/>
      <c r="L5008" s="62">
        <v>153</v>
      </c>
    </row>
    <row r="5009" spans="1:12" ht="56" x14ac:dyDescent="0.15">
      <c r="A5009" s="62" t="s">
        <v>7029</v>
      </c>
      <c r="B5009" s="117" t="s">
        <v>682</v>
      </c>
      <c r="C5009" s="207" t="s">
        <v>3636</v>
      </c>
      <c r="D5009" s="77" t="s">
        <v>2548</v>
      </c>
      <c r="E5009" s="102" t="s">
        <v>510</v>
      </c>
      <c r="F5009" s="207" t="s">
        <v>683</v>
      </c>
      <c r="G5009" s="207" t="s">
        <v>607</v>
      </c>
      <c r="H5009" s="175"/>
      <c r="I5009" s="85">
        <f t="shared" si="196"/>
        <v>1.5569721916970685</v>
      </c>
      <c r="J5009" s="209">
        <v>36.055555555555998</v>
      </c>
      <c r="K5009" s="144"/>
      <c r="L5009" s="62">
        <v>153</v>
      </c>
    </row>
    <row r="5010" spans="1:12" ht="42" x14ac:dyDescent="0.15">
      <c r="A5010" s="62" t="s">
        <v>7029</v>
      </c>
      <c r="B5010" s="117" t="s">
        <v>4574</v>
      </c>
      <c r="C5010" s="207" t="s">
        <v>3636</v>
      </c>
      <c r="D5010" s="77" t="s">
        <v>2548</v>
      </c>
      <c r="E5010" s="102" t="s">
        <v>510</v>
      </c>
      <c r="F5010" s="207" t="s">
        <v>4575</v>
      </c>
      <c r="G5010" s="207" t="s">
        <v>4576</v>
      </c>
      <c r="H5010" s="175"/>
      <c r="I5010" s="85">
        <f t="shared" si="196"/>
        <v>1.4668676203541096</v>
      </c>
      <c r="J5010" s="209">
        <v>29.3</v>
      </c>
      <c r="K5010" s="144"/>
      <c r="L5010" s="62">
        <v>153</v>
      </c>
    </row>
    <row r="5011" spans="1:12" ht="42" x14ac:dyDescent="0.15">
      <c r="A5011" s="62" t="s">
        <v>7029</v>
      </c>
      <c r="B5011" s="117" t="s">
        <v>609</v>
      </c>
      <c r="C5011" s="207" t="s">
        <v>3636</v>
      </c>
      <c r="D5011" s="77" t="s">
        <v>2548</v>
      </c>
      <c r="E5011" s="102" t="s">
        <v>510</v>
      </c>
      <c r="F5011" s="207" t="s">
        <v>610</v>
      </c>
      <c r="G5011" s="207" t="s">
        <v>518</v>
      </c>
      <c r="H5011" s="175"/>
      <c r="I5011" s="85">
        <f t="shared" si="196"/>
        <v>0.76004532796581059</v>
      </c>
      <c r="J5011" s="209">
        <v>5.7549999999999999</v>
      </c>
      <c r="K5011" s="144"/>
      <c r="L5011" s="62">
        <v>153</v>
      </c>
    </row>
    <row r="5012" spans="1:12" ht="42" x14ac:dyDescent="0.15">
      <c r="A5012" s="62" t="s">
        <v>7029</v>
      </c>
      <c r="B5012" s="117" t="s">
        <v>861</v>
      </c>
      <c r="C5012" s="207" t="s">
        <v>3636</v>
      </c>
      <c r="D5012" s="77" t="s">
        <v>2548</v>
      </c>
      <c r="E5012" s="102" t="s">
        <v>510</v>
      </c>
      <c r="F5012" s="207" t="s">
        <v>438</v>
      </c>
      <c r="G5012" s="207" t="s">
        <v>851</v>
      </c>
      <c r="H5012" s="175"/>
      <c r="I5012" s="85">
        <f t="shared" si="196"/>
        <v>0.9493900066449128</v>
      </c>
      <c r="J5012" s="209">
        <v>8.9</v>
      </c>
      <c r="K5012" s="144"/>
      <c r="L5012" s="62">
        <v>153</v>
      </c>
    </row>
    <row r="5013" spans="1:12" ht="112" x14ac:dyDescent="0.15">
      <c r="A5013" s="62" t="s">
        <v>7029</v>
      </c>
      <c r="B5013" s="117" t="s">
        <v>762</v>
      </c>
      <c r="C5013" s="207" t="s">
        <v>3636</v>
      </c>
      <c r="D5013" s="77" t="s">
        <v>2548</v>
      </c>
      <c r="E5013" s="102" t="s">
        <v>510</v>
      </c>
      <c r="F5013" s="207" t="s">
        <v>438</v>
      </c>
      <c r="G5013" s="207" t="s">
        <v>849</v>
      </c>
      <c r="H5013" s="175"/>
      <c r="I5013" s="85">
        <f t="shared" si="196"/>
        <v>1.0017120840591813</v>
      </c>
      <c r="J5013" s="209">
        <v>10.0395</v>
      </c>
      <c r="K5013" s="144"/>
      <c r="L5013" s="62">
        <v>153</v>
      </c>
    </row>
    <row r="5014" spans="1:12" ht="98" x14ac:dyDescent="0.15">
      <c r="A5014" s="62" t="s">
        <v>7029</v>
      </c>
      <c r="B5014" s="117" t="s">
        <v>407</v>
      </c>
      <c r="C5014" s="207" t="s">
        <v>3636</v>
      </c>
      <c r="D5014" s="77" t="s">
        <v>2548</v>
      </c>
      <c r="E5014" s="102" t="s">
        <v>510</v>
      </c>
      <c r="F5014" s="207" t="s">
        <v>438</v>
      </c>
      <c r="G5014" s="207" t="s">
        <v>2323</v>
      </c>
      <c r="H5014" s="175"/>
      <c r="I5014" s="85">
        <f t="shared" si="196"/>
        <v>1.0932215033279089</v>
      </c>
      <c r="J5014" s="209">
        <v>12.394285714285999</v>
      </c>
      <c r="K5014" s="144"/>
      <c r="L5014" s="62">
        <v>153</v>
      </c>
    </row>
    <row r="5015" spans="1:12" ht="84" x14ac:dyDescent="0.15">
      <c r="A5015" s="62" t="s">
        <v>7029</v>
      </c>
      <c r="B5015" s="117" t="s">
        <v>1976</v>
      </c>
      <c r="C5015" s="207" t="s">
        <v>3636</v>
      </c>
      <c r="D5015" s="77" t="s">
        <v>2548</v>
      </c>
      <c r="E5015" s="102" t="s">
        <v>510</v>
      </c>
      <c r="F5015" s="207" t="s">
        <v>1977</v>
      </c>
      <c r="G5015" s="207" t="s">
        <v>1899</v>
      </c>
      <c r="H5015" s="175"/>
      <c r="I5015" s="85">
        <f t="shared" si="196"/>
        <v>1.3695531735295527</v>
      </c>
      <c r="J5015" s="209">
        <v>23.418181818181999</v>
      </c>
      <c r="K5015" s="144"/>
      <c r="L5015" s="62">
        <v>153</v>
      </c>
    </row>
    <row r="5016" spans="1:12" ht="42" x14ac:dyDescent="0.15">
      <c r="A5016" s="62" t="s">
        <v>7029</v>
      </c>
      <c r="B5016" s="117" t="s">
        <v>1796</v>
      </c>
      <c r="C5016" s="207" t="s">
        <v>3636</v>
      </c>
      <c r="D5016" s="77" t="s">
        <v>2548</v>
      </c>
      <c r="E5016" s="102" t="s">
        <v>510</v>
      </c>
      <c r="F5016" s="207" t="s">
        <v>575</v>
      </c>
      <c r="G5016" s="207" t="s">
        <v>576</v>
      </c>
      <c r="H5016" s="175"/>
      <c r="I5016" s="85">
        <f t="shared" si="196"/>
        <v>0.74818802700620035</v>
      </c>
      <c r="J5016" s="209">
        <v>5.6</v>
      </c>
      <c r="K5016" s="144"/>
      <c r="L5016" s="62">
        <v>153</v>
      </c>
    </row>
    <row r="5017" spans="1:12" ht="42" x14ac:dyDescent="0.15">
      <c r="A5017" s="62" t="s">
        <v>7029</v>
      </c>
      <c r="B5017" s="117" t="s">
        <v>1800</v>
      </c>
      <c r="C5017" s="207" t="s">
        <v>3636</v>
      </c>
      <c r="D5017" s="77" t="s">
        <v>2548</v>
      </c>
      <c r="E5017" s="102" t="s">
        <v>510</v>
      </c>
      <c r="F5017" s="207" t="s">
        <v>1801</v>
      </c>
      <c r="G5017" s="207" t="s">
        <v>4577</v>
      </c>
      <c r="H5017" s="175"/>
      <c r="I5017" s="85">
        <f t="shared" si="196"/>
        <v>0.92341673467226648</v>
      </c>
      <c r="J5017" s="209">
        <v>8.3833333333330007</v>
      </c>
      <c r="K5017" s="144"/>
      <c r="L5017" s="62">
        <v>153</v>
      </c>
    </row>
    <row r="5018" spans="1:12" ht="42" x14ac:dyDescent="0.15">
      <c r="A5018" s="62" t="s">
        <v>7029</v>
      </c>
      <c r="B5018" s="117" t="s">
        <v>1880</v>
      </c>
      <c r="C5018" s="207" t="s">
        <v>3636</v>
      </c>
      <c r="D5018" s="77" t="s">
        <v>2548</v>
      </c>
      <c r="E5018" s="102" t="s">
        <v>510</v>
      </c>
      <c r="F5018" s="207" t="s">
        <v>1980</v>
      </c>
      <c r="G5018" s="207" t="s">
        <v>1881</v>
      </c>
      <c r="H5018" s="175"/>
      <c r="I5018" s="103">
        <v>-999</v>
      </c>
      <c r="J5018" s="123">
        <v>-999</v>
      </c>
      <c r="K5018" s="135"/>
      <c r="L5018" s="62">
        <v>-999</v>
      </c>
    </row>
    <row r="5019" spans="1:12" ht="14" x14ac:dyDescent="0.15">
      <c r="A5019" s="62" t="s">
        <v>7029</v>
      </c>
      <c r="B5019" s="117" t="s">
        <v>1882</v>
      </c>
      <c r="C5019" s="207" t="s">
        <v>3636</v>
      </c>
      <c r="D5019" s="77" t="s">
        <v>2548</v>
      </c>
      <c r="E5019" s="102" t="s">
        <v>510</v>
      </c>
      <c r="F5019" s="207" t="s">
        <v>1980</v>
      </c>
      <c r="G5019" s="207" t="s">
        <v>1883</v>
      </c>
      <c r="H5019" s="175"/>
      <c r="I5019" s="103">
        <v>-999</v>
      </c>
      <c r="J5019" s="123">
        <v>-999</v>
      </c>
      <c r="K5019" s="135"/>
      <c r="L5019" s="62">
        <v>-999</v>
      </c>
    </row>
    <row r="5020" spans="1:12" ht="14" x14ac:dyDescent="0.15">
      <c r="A5020" s="62" t="s">
        <v>7029</v>
      </c>
      <c r="B5020" s="117" t="s">
        <v>783</v>
      </c>
      <c r="C5020" s="207" t="s">
        <v>3636</v>
      </c>
      <c r="D5020" s="77" t="s">
        <v>2548</v>
      </c>
      <c r="E5020" s="100" t="s">
        <v>510</v>
      </c>
      <c r="F5020" s="207" t="s">
        <v>1980</v>
      </c>
      <c r="G5020" s="207" t="s">
        <v>784</v>
      </c>
      <c r="H5020" s="175"/>
      <c r="I5020" s="103">
        <v>-999</v>
      </c>
      <c r="J5020" s="123">
        <v>-999</v>
      </c>
      <c r="K5020" s="135"/>
      <c r="L5020" s="62">
        <v>-999</v>
      </c>
    </row>
    <row r="5021" spans="1:12" ht="56" x14ac:dyDescent="0.15">
      <c r="A5021" s="62" t="s">
        <v>7029</v>
      </c>
      <c r="B5021" s="117" t="s">
        <v>1979</v>
      </c>
      <c r="C5021" s="207" t="s">
        <v>3636</v>
      </c>
      <c r="D5021" s="77" t="s">
        <v>2548</v>
      </c>
      <c r="E5021" s="102" t="s">
        <v>510</v>
      </c>
      <c r="F5021" s="207" t="s">
        <v>1980</v>
      </c>
      <c r="G5021" s="207" t="s">
        <v>4669</v>
      </c>
      <c r="H5021" s="175"/>
      <c r="I5021" s="85">
        <f>LOG(J5021)</f>
        <v>0.83569057149242554</v>
      </c>
      <c r="J5021" s="209">
        <v>6.85</v>
      </c>
      <c r="K5021" s="144"/>
      <c r="L5021" s="62">
        <v>153</v>
      </c>
    </row>
    <row r="5022" spans="1:12" ht="42" x14ac:dyDescent="0.15">
      <c r="A5022" s="61" t="s">
        <v>7029</v>
      </c>
      <c r="B5022" s="117" t="s">
        <v>1982</v>
      </c>
      <c r="C5022" s="207" t="s">
        <v>3636</v>
      </c>
      <c r="D5022" s="77" t="s">
        <v>2548</v>
      </c>
      <c r="E5022" s="102" t="s">
        <v>510</v>
      </c>
      <c r="F5022" s="207" t="s">
        <v>1980</v>
      </c>
      <c r="G5022" s="207" t="s">
        <v>6492</v>
      </c>
      <c r="H5022" s="175"/>
      <c r="I5022" s="85">
        <f>LOG(J5022)</f>
        <v>1.0293837776852097</v>
      </c>
      <c r="J5022" s="209">
        <v>10.7</v>
      </c>
      <c r="K5022" s="144"/>
      <c r="L5022" s="62">
        <v>153</v>
      </c>
    </row>
    <row r="5023" spans="1:12" ht="28" x14ac:dyDescent="0.15">
      <c r="A5023" s="62" t="s">
        <v>7029</v>
      </c>
      <c r="B5023" s="117" t="s">
        <v>1983</v>
      </c>
      <c r="C5023" s="207" t="s">
        <v>3636</v>
      </c>
      <c r="D5023" s="77" t="s">
        <v>2548</v>
      </c>
      <c r="E5023" s="102" t="s">
        <v>510</v>
      </c>
      <c r="F5023" s="207" t="s">
        <v>1980</v>
      </c>
      <c r="G5023" s="207" t="s">
        <v>4519</v>
      </c>
      <c r="H5023" s="175"/>
      <c r="I5023" s="85">
        <f>LOG(J5023)</f>
        <v>1.1139433523068367</v>
      </c>
      <c r="J5023" s="209">
        <v>13</v>
      </c>
      <c r="K5023" s="144"/>
      <c r="L5023" s="62">
        <v>153</v>
      </c>
    </row>
    <row r="5024" spans="1:12" ht="14" x14ac:dyDescent="0.15">
      <c r="A5024" s="62" t="s">
        <v>7029</v>
      </c>
      <c r="B5024" s="117" t="s">
        <v>4683</v>
      </c>
      <c r="C5024" s="207" t="s">
        <v>3636</v>
      </c>
      <c r="D5024" s="77" t="s">
        <v>2548</v>
      </c>
      <c r="E5024" s="102" t="s">
        <v>510</v>
      </c>
      <c r="F5024" s="207" t="s">
        <v>1980</v>
      </c>
      <c r="G5024" s="207" t="s">
        <v>4818</v>
      </c>
      <c r="H5024" s="175"/>
      <c r="I5024" s="103">
        <f>LOG(J5024)</f>
        <v>1.2671717284030137</v>
      </c>
      <c r="J5024" s="123">
        <f>AVERAGE(16, 21)</f>
        <v>18.5</v>
      </c>
      <c r="K5024" s="135"/>
      <c r="L5024" s="62">
        <v>248</v>
      </c>
    </row>
    <row r="5025" spans="1:12" ht="28" x14ac:dyDescent="0.15">
      <c r="A5025" s="62" t="s">
        <v>7029</v>
      </c>
      <c r="B5025" s="117" t="s">
        <v>555</v>
      </c>
      <c r="C5025" s="207" t="s">
        <v>3636</v>
      </c>
      <c r="D5025" s="77" t="s">
        <v>2548</v>
      </c>
      <c r="E5025" s="102" t="s">
        <v>510</v>
      </c>
      <c r="F5025" s="207" t="s">
        <v>470</v>
      </c>
      <c r="G5025" s="207" t="s">
        <v>556</v>
      </c>
      <c r="H5025" s="175"/>
      <c r="I5025" s="103">
        <v>-999</v>
      </c>
      <c r="J5025" s="123">
        <v>-999</v>
      </c>
      <c r="K5025" s="135"/>
      <c r="L5025" s="62">
        <v>-999</v>
      </c>
    </row>
    <row r="5026" spans="1:12" ht="14" x14ac:dyDescent="0.15">
      <c r="A5026" s="62" t="s">
        <v>7029</v>
      </c>
      <c r="B5026" s="117" t="s">
        <v>469</v>
      </c>
      <c r="C5026" s="207" t="s">
        <v>3636</v>
      </c>
      <c r="D5026" s="77" t="s">
        <v>2548</v>
      </c>
      <c r="E5026" s="102" t="s">
        <v>510</v>
      </c>
      <c r="F5026" s="207" t="s">
        <v>470</v>
      </c>
      <c r="G5026" s="207" t="s">
        <v>694</v>
      </c>
      <c r="H5026" s="175"/>
      <c r="I5026" s="85">
        <f>LOG(J5026)</f>
        <v>0.94448267215016868</v>
      </c>
      <c r="J5026" s="209">
        <v>8.8000000000000007</v>
      </c>
      <c r="K5026" s="144"/>
      <c r="L5026" s="62">
        <v>153</v>
      </c>
    </row>
    <row r="5027" spans="1:12" ht="56" x14ac:dyDescent="0.15">
      <c r="A5027" s="62" t="s">
        <v>7029</v>
      </c>
      <c r="B5027" s="118" t="s">
        <v>461</v>
      </c>
      <c r="C5027" s="208" t="s">
        <v>3636</v>
      </c>
      <c r="D5027" s="77" t="s">
        <v>2548</v>
      </c>
      <c r="E5027" s="107" t="s">
        <v>510</v>
      </c>
      <c r="F5027" s="208" t="s">
        <v>470</v>
      </c>
      <c r="G5027" s="208" t="s">
        <v>4199</v>
      </c>
      <c r="H5027" s="179"/>
      <c r="I5027" s="85">
        <f>LOG(J5027)</f>
        <v>1.1958996524092338</v>
      </c>
      <c r="J5027" s="209">
        <v>15.7</v>
      </c>
      <c r="K5027" s="144"/>
      <c r="L5027" s="62">
        <v>153</v>
      </c>
    </row>
    <row r="5028" spans="1:12" ht="28" x14ac:dyDescent="0.15">
      <c r="A5028" s="62" t="s">
        <v>7029</v>
      </c>
      <c r="B5028" s="117" t="s">
        <v>553</v>
      </c>
      <c r="C5028" s="207" t="s">
        <v>3636</v>
      </c>
      <c r="D5028" s="77" t="s">
        <v>2548</v>
      </c>
      <c r="E5028" s="102" t="s">
        <v>510</v>
      </c>
      <c r="F5028" s="207" t="s">
        <v>470</v>
      </c>
      <c r="G5028" s="207" t="s">
        <v>554</v>
      </c>
      <c r="H5028" s="175"/>
      <c r="I5028" s="85">
        <f>LOG(J5028)</f>
        <v>1.2304489213782739</v>
      </c>
      <c r="J5028" s="209">
        <v>17</v>
      </c>
      <c r="K5028" s="144"/>
      <c r="L5028" s="62">
        <v>153</v>
      </c>
    </row>
    <row r="5029" spans="1:12" ht="42" x14ac:dyDescent="0.15">
      <c r="A5029" s="61" t="s">
        <v>7029</v>
      </c>
      <c r="B5029" s="117" t="s">
        <v>816</v>
      </c>
      <c r="C5029" s="207" t="s">
        <v>3636</v>
      </c>
      <c r="D5029" s="77" t="s">
        <v>2548</v>
      </c>
      <c r="E5029" s="102" t="s">
        <v>510</v>
      </c>
      <c r="F5029" s="207" t="s">
        <v>817</v>
      </c>
      <c r="G5029" s="207" t="s">
        <v>482</v>
      </c>
      <c r="H5029" s="175"/>
      <c r="I5029" s="85">
        <f>LOG(J5029)</f>
        <v>0.90848501887864974</v>
      </c>
      <c r="J5029" s="209">
        <v>8.1</v>
      </c>
      <c r="K5029" s="144"/>
      <c r="L5029" s="62">
        <v>153</v>
      </c>
    </row>
    <row r="5030" spans="1:12" ht="42" x14ac:dyDescent="0.15">
      <c r="A5030" s="61" t="s">
        <v>7029</v>
      </c>
      <c r="B5030" s="118" t="s">
        <v>894</v>
      </c>
      <c r="C5030" s="208" t="s">
        <v>3636</v>
      </c>
      <c r="D5030" s="77" t="s">
        <v>2548</v>
      </c>
      <c r="E5030" s="107" t="s">
        <v>510</v>
      </c>
      <c r="F5030" s="208" t="s">
        <v>815</v>
      </c>
      <c r="G5030" s="208" t="s">
        <v>3844</v>
      </c>
      <c r="H5030" s="179"/>
      <c r="I5030" s="85">
        <f>LOG(J5030)</f>
        <v>0.84010609445675777</v>
      </c>
      <c r="J5030" s="209">
        <v>6.92</v>
      </c>
      <c r="K5030" s="144"/>
      <c r="L5030" s="62">
        <v>153</v>
      </c>
    </row>
    <row r="5031" spans="1:12" ht="14" x14ac:dyDescent="0.15">
      <c r="A5031" s="62" t="s">
        <v>7029</v>
      </c>
      <c r="B5031" s="117" t="s">
        <v>1938</v>
      </c>
      <c r="C5031" s="207" t="s">
        <v>3636</v>
      </c>
      <c r="D5031" s="77" t="s">
        <v>2548</v>
      </c>
      <c r="E5031" s="102" t="s">
        <v>510</v>
      </c>
      <c r="F5031" s="207" t="s">
        <v>898</v>
      </c>
      <c r="G5031" s="207" t="s">
        <v>532</v>
      </c>
      <c r="H5031" s="175"/>
      <c r="I5031" s="103">
        <v>-999</v>
      </c>
      <c r="J5031" s="123">
        <v>-999</v>
      </c>
      <c r="K5031" s="135"/>
      <c r="L5031" s="62">
        <v>-999</v>
      </c>
    </row>
    <row r="5032" spans="1:12" ht="14" x14ac:dyDescent="0.15">
      <c r="A5032" s="62" t="s">
        <v>7029</v>
      </c>
      <c r="B5032" s="117" t="s">
        <v>533</v>
      </c>
      <c r="C5032" s="207" t="s">
        <v>3636</v>
      </c>
      <c r="D5032" s="77" t="s">
        <v>2548</v>
      </c>
      <c r="E5032" s="102" t="s">
        <v>510</v>
      </c>
      <c r="F5032" s="207" t="s">
        <v>898</v>
      </c>
      <c r="G5032" s="207" t="s">
        <v>7156</v>
      </c>
      <c r="H5032" s="175"/>
      <c r="I5032" s="103">
        <v>-999</v>
      </c>
      <c r="J5032" s="123">
        <v>-999</v>
      </c>
      <c r="K5032" s="135"/>
      <c r="L5032" s="62">
        <v>-999</v>
      </c>
    </row>
    <row r="5033" spans="1:12" ht="70" x14ac:dyDescent="0.15">
      <c r="A5033" s="61" t="s">
        <v>7029</v>
      </c>
      <c r="B5033" s="117" t="s">
        <v>897</v>
      </c>
      <c r="C5033" s="207" t="s">
        <v>3636</v>
      </c>
      <c r="D5033" s="77" t="s">
        <v>2548</v>
      </c>
      <c r="E5033" s="102" t="s">
        <v>510</v>
      </c>
      <c r="F5033" s="207" t="s">
        <v>898</v>
      </c>
      <c r="G5033" s="207" t="s">
        <v>1913</v>
      </c>
      <c r="H5033" s="175"/>
      <c r="I5033" s="85">
        <f t="shared" ref="I5033:I5047" si="197">LOG(J5033)</f>
        <v>0.80106052984785558</v>
      </c>
      <c r="J5033" s="209">
        <v>6.3250000000000002</v>
      </c>
      <c r="K5033" s="144"/>
      <c r="L5033" s="62">
        <v>153</v>
      </c>
    </row>
    <row r="5034" spans="1:12" ht="28" x14ac:dyDescent="0.15">
      <c r="A5034" s="62" t="s">
        <v>7029</v>
      </c>
      <c r="B5034" s="117" t="s">
        <v>1052</v>
      </c>
      <c r="C5034" s="207" t="s">
        <v>3636</v>
      </c>
      <c r="D5034" s="77" t="s">
        <v>2548</v>
      </c>
      <c r="E5034" s="102" t="s">
        <v>510</v>
      </c>
      <c r="F5034" s="207" t="s">
        <v>898</v>
      </c>
      <c r="G5034" s="207" t="s">
        <v>4937</v>
      </c>
      <c r="H5034" s="175"/>
      <c r="I5034" s="85">
        <f t="shared" si="197"/>
        <v>0.81291335664285558</v>
      </c>
      <c r="J5034" s="209">
        <v>6.5</v>
      </c>
      <c r="K5034" s="144"/>
      <c r="L5034" s="62">
        <v>153</v>
      </c>
    </row>
    <row r="5035" spans="1:12" ht="28" x14ac:dyDescent="0.15">
      <c r="A5035" s="62" t="s">
        <v>7029</v>
      </c>
      <c r="B5035" s="117" t="s">
        <v>654</v>
      </c>
      <c r="C5035" s="207" t="s">
        <v>3636</v>
      </c>
      <c r="D5035" s="77" t="s">
        <v>2548</v>
      </c>
      <c r="E5035" s="102" t="s">
        <v>510</v>
      </c>
      <c r="F5035" s="207" t="s">
        <v>898</v>
      </c>
      <c r="G5035" s="207" t="s">
        <v>728</v>
      </c>
      <c r="H5035" s="175"/>
      <c r="I5035" s="85">
        <f t="shared" si="197"/>
        <v>0.87698718442771928</v>
      </c>
      <c r="J5035" s="209">
        <v>7.5333333333330001</v>
      </c>
      <c r="K5035" s="144"/>
      <c r="L5035" s="62">
        <v>153</v>
      </c>
    </row>
    <row r="5036" spans="1:12" ht="56" x14ac:dyDescent="0.15">
      <c r="A5036" s="62" t="s">
        <v>7029</v>
      </c>
      <c r="B5036" s="117" t="s">
        <v>653</v>
      </c>
      <c r="C5036" s="207" t="s">
        <v>3636</v>
      </c>
      <c r="D5036" s="77" t="s">
        <v>2548</v>
      </c>
      <c r="E5036" s="102" t="s">
        <v>510</v>
      </c>
      <c r="F5036" s="207" t="s">
        <v>898</v>
      </c>
      <c r="G5036" s="207" t="s">
        <v>563</v>
      </c>
      <c r="H5036" s="175"/>
      <c r="I5036" s="85">
        <f t="shared" si="197"/>
        <v>0.91513590662201194</v>
      </c>
      <c r="J5036" s="209">
        <v>8.2249999999999996</v>
      </c>
      <c r="K5036" s="144"/>
      <c r="L5036" s="62">
        <v>153</v>
      </c>
    </row>
    <row r="5037" spans="1:12" ht="42" x14ac:dyDescent="0.15">
      <c r="A5037" s="61" t="s">
        <v>7029</v>
      </c>
      <c r="B5037" s="117" t="s">
        <v>655</v>
      </c>
      <c r="C5037" s="207" t="s">
        <v>3636</v>
      </c>
      <c r="D5037" s="77" t="s">
        <v>2548</v>
      </c>
      <c r="E5037" s="102" t="s">
        <v>510</v>
      </c>
      <c r="F5037" s="207" t="s">
        <v>898</v>
      </c>
      <c r="G5037" s="207" t="s">
        <v>8036</v>
      </c>
      <c r="H5037" s="175"/>
      <c r="I5037" s="85">
        <f t="shared" si="197"/>
        <v>0.94448267215016868</v>
      </c>
      <c r="J5037" s="209">
        <v>8.8000000000000007</v>
      </c>
      <c r="K5037" s="144"/>
      <c r="L5037" s="62">
        <v>153</v>
      </c>
    </row>
    <row r="5038" spans="1:12" ht="28" x14ac:dyDescent="0.15">
      <c r="A5038" s="62" t="s">
        <v>7029</v>
      </c>
      <c r="B5038" s="118" t="s">
        <v>564</v>
      </c>
      <c r="C5038" s="208" t="s">
        <v>3636</v>
      </c>
      <c r="D5038" s="77" t="s">
        <v>2548</v>
      </c>
      <c r="E5038" s="107" t="s">
        <v>510</v>
      </c>
      <c r="F5038" s="208" t="s">
        <v>898</v>
      </c>
      <c r="G5038" s="208" t="s">
        <v>7271</v>
      </c>
      <c r="H5038" s="179"/>
      <c r="I5038" s="85">
        <f t="shared" si="197"/>
        <v>1.0211892990699381</v>
      </c>
      <c r="J5038" s="209">
        <v>10.5</v>
      </c>
      <c r="K5038" s="144"/>
      <c r="L5038" s="62">
        <v>153</v>
      </c>
    </row>
    <row r="5039" spans="1:12" ht="56" x14ac:dyDescent="0.15">
      <c r="A5039" s="62" t="s">
        <v>7029</v>
      </c>
      <c r="B5039" s="117" t="s">
        <v>471</v>
      </c>
      <c r="C5039" s="207" t="s">
        <v>3636</v>
      </c>
      <c r="D5039" s="77" t="s">
        <v>2548</v>
      </c>
      <c r="E5039" s="102" t="s">
        <v>510</v>
      </c>
      <c r="F5039" s="207" t="s">
        <v>898</v>
      </c>
      <c r="G5039" s="207" t="s">
        <v>618</v>
      </c>
      <c r="H5039" s="175"/>
      <c r="I5039" s="85">
        <f t="shared" si="197"/>
        <v>1.0941215958405615</v>
      </c>
      <c r="J5039" s="209">
        <v>12.42</v>
      </c>
      <c r="K5039" s="144"/>
      <c r="L5039" s="62">
        <v>153</v>
      </c>
    </row>
    <row r="5040" spans="1:12" ht="28" x14ac:dyDescent="0.15">
      <c r="A5040" s="62" t="s">
        <v>7029</v>
      </c>
      <c r="B5040" s="117" t="s">
        <v>619</v>
      </c>
      <c r="C5040" s="207" t="s">
        <v>3636</v>
      </c>
      <c r="D5040" s="77" t="s">
        <v>2548</v>
      </c>
      <c r="E5040" s="102" t="s">
        <v>510</v>
      </c>
      <c r="F5040" s="207" t="s">
        <v>898</v>
      </c>
      <c r="G5040" s="207" t="s">
        <v>530</v>
      </c>
      <c r="H5040" s="175"/>
      <c r="I5040" s="85">
        <f t="shared" si="197"/>
        <v>1.2624510897304295</v>
      </c>
      <c r="J5040" s="209">
        <v>18.3</v>
      </c>
      <c r="K5040" s="144"/>
      <c r="L5040" s="62">
        <v>153</v>
      </c>
    </row>
    <row r="5041" spans="1:12" ht="56" x14ac:dyDescent="0.15">
      <c r="A5041" s="62" t="s">
        <v>7029</v>
      </c>
      <c r="B5041" s="117" t="s">
        <v>2057</v>
      </c>
      <c r="C5041" s="207" t="s">
        <v>3636</v>
      </c>
      <c r="D5041" s="77" t="s">
        <v>2548</v>
      </c>
      <c r="E5041" s="102" t="s">
        <v>510</v>
      </c>
      <c r="F5041" s="207" t="s">
        <v>4335</v>
      </c>
      <c r="G5041" s="207" t="s">
        <v>1942</v>
      </c>
      <c r="H5041" s="175"/>
      <c r="I5041" s="85">
        <f t="shared" si="197"/>
        <v>1.1383026981662814</v>
      </c>
      <c r="J5041" s="209">
        <v>13.75</v>
      </c>
      <c r="K5041" s="144"/>
      <c r="L5041" s="62">
        <v>153</v>
      </c>
    </row>
    <row r="5042" spans="1:12" ht="28" x14ac:dyDescent="0.15">
      <c r="A5042" s="62" t="s">
        <v>7029</v>
      </c>
      <c r="B5042" s="117" t="s">
        <v>617</v>
      </c>
      <c r="C5042" s="207" t="s">
        <v>3636</v>
      </c>
      <c r="D5042" s="77" t="s">
        <v>2548</v>
      </c>
      <c r="E5042" s="102" t="s">
        <v>510</v>
      </c>
      <c r="F5042" s="207" t="s">
        <v>4335</v>
      </c>
      <c r="G5042" s="207" t="s">
        <v>5544</v>
      </c>
      <c r="H5042" s="175"/>
      <c r="I5042" s="85">
        <f t="shared" si="197"/>
        <v>1.4014005407815442</v>
      </c>
      <c r="J5042" s="123">
        <v>25.2</v>
      </c>
      <c r="K5042" s="135"/>
      <c r="L5042" s="61">
        <v>249</v>
      </c>
    </row>
    <row r="5043" spans="1:12" ht="28" x14ac:dyDescent="0.15">
      <c r="A5043" s="62" t="s">
        <v>7029</v>
      </c>
      <c r="B5043" s="117" t="s">
        <v>2056</v>
      </c>
      <c r="C5043" s="207" t="s">
        <v>3636</v>
      </c>
      <c r="D5043" s="77" t="s">
        <v>2548</v>
      </c>
      <c r="E5043" s="102" t="s">
        <v>510</v>
      </c>
      <c r="F5043" s="207" t="s">
        <v>4884</v>
      </c>
      <c r="G5043" s="207" t="s">
        <v>4323</v>
      </c>
      <c r="H5043" s="175"/>
      <c r="I5043" s="85">
        <f t="shared" si="197"/>
        <v>1.7297720531082863</v>
      </c>
      <c r="J5043" s="209">
        <v>53.674999999999997</v>
      </c>
      <c r="K5043" s="144"/>
      <c r="L5043" s="62">
        <v>153</v>
      </c>
    </row>
    <row r="5044" spans="1:12" ht="84" x14ac:dyDescent="0.15">
      <c r="A5044" s="62" t="s">
        <v>7029</v>
      </c>
      <c r="B5044" s="117" t="s">
        <v>505</v>
      </c>
      <c r="C5044" s="207" t="s">
        <v>3636</v>
      </c>
      <c r="D5044" s="77" t="s">
        <v>2548</v>
      </c>
      <c r="E5044" s="102" t="s">
        <v>510</v>
      </c>
      <c r="F5044" s="207" t="s">
        <v>1871</v>
      </c>
      <c r="G5044" s="207" t="s">
        <v>4166</v>
      </c>
      <c r="H5044" s="175"/>
      <c r="I5044" s="85">
        <f t="shared" si="197"/>
        <v>1.5703882241039915</v>
      </c>
      <c r="J5044" s="209">
        <v>37.186750000000004</v>
      </c>
      <c r="K5044" s="144"/>
      <c r="L5044" s="62">
        <v>153</v>
      </c>
    </row>
    <row r="5045" spans="1:12" ht="42" x14ac:dyDescent="0.15">
      <c r="A5045" s="62" t="s">
        <v>7029</v>
      </c>
      <c r="B5045" s="117" t="s">
        <v>1932</v>
      </c>
      <c r="C5045" s="207" t="s">
        <v>3636</v>
      </c>
      <c r="D5045" s="77" t="s">
        <v>2548</v>
      </c>
      <c r="E5045" s="102" t="s">
        <v>510</v>
      </c>
      <c r="F5045" s="207" t="s">
        <v>1871</v>
      </c>
      <c r="G5045" s="207" t="s">
        <v>824</v>
      </c>
      <c r="H5045" s="175"/>
      <c r="I5045" s="85">
        <f t="shared" si="197"/>
        <v>1.6066500285784386</v>
      </c>
      <c r="J5045" s="209">
        <v>40.424999999999997</v>
      </c>
      <c r="K5045" s="144"/>
      <c r="L5045" s="62">
        <v>153</v>
      </c>
    </row>
    <row r="5046" spans="1:12" ht="84" x14ac:dyDescent="0.15">
      <c r="A5046" s="62" t="s">
        <v>7029</v>
      </c>
      <c r="B5046" s="117" t="s">
        <v>599</v>
      </c>
      <c r="C5046" s="207" t="s">
        <v>3636</v>
      </c>
      <c r="D5046" s="77" t="s">
        <v>2548</v>
      </c>
      <c r="E5046" s="102" t="s">
        <v>510</v>
      </c>
      <c r="F5046" s="207" t="s">
        <v>1871</v>
      </c>
      <c r="G5046" s="207" t="s">
        <v>608</v>
      </c>
      <c r="H5046" s="175"/>
      <c r="I5046" s="85">
        <f t="shared" si="197"/>
        <v>1.9660588705614197</v>
      </c>
      <c r="J5046" s="209">
        <v>92.482352941176003</v>
      </c>
      <c r="K5046" s="144"/>
      <c r="L5046" s="62">
        <v>153</v>
      </c>
    </row>
    <row r="5047" spans="1:12" ht="14" x14ac:dyDescent="0.15">
      <c r="A5047" s="62" t="s">
        <v>7029</v>
      </c>
      <c r="B5047" s="117" t="s">
        <v>684</v>
      </c>
      <c r="C5047" s="207" t="s">
        <v>3636</v>
      </c>
      <c r="D5047" s="77" t="s">
        <v>2548</v>
      </c>
      <c r="E5047" s="102" t="s">
        <v>510</v>
      </c>
      <c r="F5047" s="207" t="s">
        <v>1871</v>
      </c>
      <c r="G5047" s="207" t="s">
        <v>603</v>
      </c>
      <c r="H5047" s="175"/>
      <c r="I5047" s="85">
        <f t="shared" si="197"/>
        <v>2.1271047983648077</v>
      </c>
      <c r="J5047" s="123">
        <v>134</v>
      </c>
      <c r="K5047" s="135"/>
      <c r="L5047" s="62">
        <v>60</v>
      </c>
    </row>
    <row r="5048" spans="1:12" ht="14" x14ac:dyDescent="0.15">
      <c r="A5048" s="62" t="s">
        <v>7029</v>
      </c>
      <c r="B5048" s="117" t="s">
        <v>1895</v>
      </c>
      <c r="C5048" s="207" t="s">
        <v>3636</v>
      </c>
      <c r="D5048" s="77" t="s">
        <v>2548</v>
      </c>
      <c r="E5048" s="100" t="s">
        <v>510</v>
      </c>
      <c r="F5048" s="207" t="s">
        <v>604</v>
      </c>
      <c r="G5048" s="207" t="s">
        <v>605</v>
      </c>
      <c r="H5048" s="175"/>
      <c r="I5048" s="103">
        <v>-999</v>
      </c>
      <c r="J5048" s="123">
        <v>-999</v>
      </c>
      <c r="K5048" s="135"/>
      <c r="L5048" s="62">
        <v>-999</v>
      </c>
    </row>
    <row r="5049" spans="1:12" ht="56" x14ac:dyDescent="0.15">
      <c r="A5049" s="62" t="s">
        <v>7029</v>
      </c>
      <c r="B5049" s="117" t="s">
        <v>940</v>
      </c>
      <c r="C5049" s="207" t="s">
        <v>3636</v>
      </c>
      <c r="D5049" s="77" t="s">
        <v>2548</v>
      </c>
      <c r="E5049" s="102" t="s">
        <v>510</v>
      </c>
      <c r="F5049" s="207" t="s">
        <v>852</v>
      </c>
      <c r="G5049" s="207" t="s">
        <v>941</v>
      </c>
      <c r="H5049" s="175"/>
      <c r="I5049" s="103">
        <v>-999</v>
      </c>
      <c r="J5049" s="123">
        <v>-999</v>
      </c>
      <c r="K5049" s="135"/>
      <c r="L5049" s="62">
        <v>-999</v>
      </c>
    </row>
    <row r="5050" spans="1:12" ht="28" x14ac:dyDescent="0.15">
      <c r="A5050" s="62" t="s">
        <v>7029</v>
      </c>
      <c r="B5050" s="117" t="s">
        <v>1847</v>
      </c>
      <c r="C5050" s="207" t="s">
        <v>3636</v>
      </c>
      <c r="D5050" s="77" t="s">
        <v>2548</v>
      </c>
      <c r="E5050" s="102" t="s">
        <v>510</v>
      </c>
      <c r="F5050" s="207" t="s">
        <v>852</v>
      </c>
      <c r="G5050" s="207" t="s">
        <v>614</v>
      </c>
      <c r="H5050" s="175"/>
      <c r="I5050" s="103">
        <v>-999</v>
      </c>
      <c r="J5050" s="123">
        <v>-999</v>
      </c>
      <c r="K5050" s="135"/>
      <c r="L5050" s="62">
        <v>-999</v>
      </c>
    </row>
    <row r="5051" spans="1:12" ht="70" x14ac:dyDescent="0.15">
      <c r="A5051" s="62" t="s">
        <v>7029</v>
      </c>
      <c r="B5051" s="117" t="s">
        <v>860</v>
      </c>
      <c r="C5051" s="207" t="s">
        <v>3636</v>
      </c>
      <c r="D5051" s="77" t="s">
        <v>2548</v>
      </c>
      <c r="E5051" s="102" t="s">
        <v>510</v>
      </c>
      <c r="F5051" s="207" t="s">
        <v>852</v>
      </c>
      <c r="G5051" s="207" t="s">
        <v>853</v>
      </c>
      <c r="H5051" s="175"/>
      <c r="I5051" s="85">
        <f t="shared" ref="I5051:I5059" si="198">LOG(J5051)</f>
        <v>1.1303337684950061</v>
      </c>
      <c r="J5051" s="209">
        <v>13.5</v>
      </c>
      <c r="K5051" s="144"/>
      <c r="L5051" s="62">
        <v>153</v>
      </c>
    </row>
    <row r="5052" spans="1:12" ht="42" x14ac:dyDescent="0.15">
      <c r="A5052" s="62" t="s">
        <v>7029</v>
      </c>
      <c r="B5052" s="117" t="s">
        <v>687</v>
      </c>
      <c r="C5052" s="207" t="s">
        <v>3636</v>
      </c>
      <c r="D5052" s="77" t="s">
        <v>2548</v>
      </c>
      <c r="E5052" s="100" t="s">
        <v>510</v>
      </c>
      <c r="F5052" s="207" t="s">
        <v>852</v>
      </c>
      <c r="G5052" s="207" t="s">
        <v>688</v>
      </c>
      <c r="H5052" s="175"/>
      <c r="I5052" s="85">
        <f t="shared" si="198"/>
        <v>1.1492191126553799</v>
      </c>
      <c r="J5052" s="209">
        <v>14.1</v>
      </c>
      <c r="K5052" s="144"/>
      <c r="L5052" s="62">
        <v>153</v>
      </c>
    </row>
    <row r="5053" spans="1:12" ht="56" x14ac:dyDescent="0.15">
      <c r="A5053" s="62" t="s">
        <v>7029</v>
      </c>
      <c r="B5053" s="117" t="s">
        <v>2774</v>
      </c>
      <c r="C5053" s="207" t="s">
        <v>3636</v>
      </c>
      <c r="D5053" s="77" t="s">
        <v>2548</v>
      </c>
      <c r="E5053" s="102" t="s">
        <v>510</v>
      </c>
      <c r="F5053" s="207" t="s">
        <v>852</v>
      </c>
      <c r="G5053" s="207" t="s">
        <v>3205</v>
      </c>
      <c r="H5053" s="175"/>
      <c r="I5053" s="85">
        <f t="shared" si="198"/>
        <v>1.3867485908293837</v>
      </c>
      <c r="J5053" s="209">
        <v>24.364000000000001</v>
      </c>
      <c r="K5053" s="144"/>
      <c r="L5053" s="62">
        <v>153</v>
      </c>
    </row>
    <row r="5054" spans="1:12" ht="28" x14ac:dyDescent="0.15">
      <c r="A5054" s="62" t="s">
        <v>7029</v>
      </c>
      <c r="B5054" s="117" t="s">
        <v>2692</v>
      </c>
      <c r="C5054" s="207" t="s">
        <v>3636</v>
      </c>
      <c r="D5054" s="77" t="s">
        <v>2548</v>
      </c>
      <c r="E5054" s="102" t="s">
        <v>510</v>
      </c>
      <c r="F5054" s="207" t="s">
        <v>852</v>
      </c>
      <c r="G5054" s="207" t="s">
        <v>696</v>
      </c>
      <c r="H5054" s="177"/>
      <c r="I5054" s="85">
        <f t="shared" si="198"/>
        <v>1.3891660843645324</v>
      </c>
      <c r="J5054" s="209">
        <v>24.5</v>
      </c>
      <c r="K5054" s="144"/>
      <c r="L5054" s="62">
        <v>153</v>
      </c>
    </row>
    <row r="5055" spans="1:12" ht="14" x14ac:dyDescent="0.15">
      <c r="A5055" s="62" t="s">
        <v>7029</v>
      </c>
      <c r="B5055" s="117" t="s">
        <v>691</v>
      </c>
      <c r="C5055" s="207" t="s">
        <v>3636</v>
      </c>
      <c r="D5055" s="77" t="s">
        <v>2548</v>
      </c>
      <c r="E5055" s="100" t="s">
        <v>510</v>
      </c>
      <c r="F5055" s="207" t="s">
        <v>852</v>
      </c>
      <c r="G5055" s="207" t="s">
        <v>3449</v>
      </c>
      <c r="H5055" s="175"/>
      <c r="I5055" s="85">
        <f t="shared" si="198"/>
        <v>1.414973347970818</v>
      </c>
      <c r="J5055" s="209">
        <v>26</v>
      </c>
      <c r="K5055" s="144"/>
      <c r="L5055" s="62">
        <v>153</v>
      </c>
    </row>
    <row r="5056" spans="1:12" ht="28" x14ac:dyDescent="0.15">
      <c r="A5056" s="62" t="s">
        <v>7029</v>
      </c>
      <c r="B5056" s="117" t="s">
        <v>685</v>
      </c>
      <c r="C5056" s="207" t="s">
        <v>3636</v>
      </c>
      <c r="D5056" s="77" t="s">
        <v>2548</v>
      </c>
      <c r="E5056" s="102" t="s">
        <v>510</v>
      </c>
      <c r="F5056" s="207" t="s">
        <v>852</v>
      </c>
      <c r="G5056" s="207" t="s">
        <v>686</v>
      </c>
      <c r="H5056" s="175"/>
      <c r="I5056" s="85">
        <f t="shared" si="198"/>
        <v>1.5333907080175513</v>
      </c>
      <c r="J5056" s="209">
        <v>34.15</v>
      </c>
      <c r="K5056" s="144"/>
      <c r="L5056" s="62">
        <v>153</v>
      </c>
    </row>
    <row r="5057" spans="1:12" ht="28" x14ac:dyDescent="0.15">
      <c r="A5057" s="62" t="s">
        <v>7029</v>
      </c>
      <c r="B5057" s="117" t="s">
        <v>689</v>
      </c>
      <c r="C5057" s="207" t="s">
        <v>3636</v>
      </c>
      <c r="D5057" s="77" t="s">
        <v>2548</v>
      </c>
      <c r="E5057" s="102" t="s">
        <v>510</v>
      </c>
      <c r="F5057" s="207" t="s">
        <v>852</v>
      </c>
      <c r="G5057" s="207" t="s">
        <v>855</v>
      </c>
      <c r="H5057" s="175"/>
      <c r="I5057" s="85">
        <f t="shared" si="198"/>
        <v>1.6170003411208989</v>
      </c>
      <c r="J5057" s="209">
        <v>41.4</v>
      </c>
      <c r="K5057" s="144"/>
      <c r="L5057" s="62">
        <v>153</v>
      </c>
    </row>
    <row r="5058" spans="1:12" ht="28" x14ac:dyDescent="0.15">
      <c r="A5058" s="62" t="s">
        <v>7029</v>
      </c>
      <c r="B5058" s="117" t="s">
        <v>690</v>
      </c>
      <c r="C5058" s="207" t="s">
        <v>3636</v>
      </c>
      <c r="D5058" s="77" t="s">
        <v>2548</v>
      </c>
      <c r="E5058" s="102" t="s">
        <v>510</v>
      </c>
      <c r="F5058" s="207" t="s">
        <v>852</v>
      </c>
      <c r="G5058" s="207" t="s">
        <v>765</v>
      </c>
      <c r="H5058" s="175"/>
      <c r="I5058" s="85">
        <f t="shared" si="198"/>
        <v>1.7007037171450194</v>
      </c>
      <c r="J5058" s="209">
        <v>50.2</v>
      </c>
      <c r="K5058" s="144"/>
      <c r="L5058" s="61">
        <v>153</v>
      </c>
    </row>
    <row r="5059" spans="1:12" ht="56" x14ac:dyDescent="0.15">
      <c r="A5059" s="62" t="s">
        <v>7029</v>
      </c>
      <c r="B5059" s="117" t="s">
        <v>695</v>
      </c>
      <c r="C5059" s="207" t="s">
        <v>3636</v>
      </c>
      <c r="D5059" s="77" t="s">
        <v>2548</v>
      </c>
      <c r="E5059" s="102" t="s">
        <v>510</v>
      </c>
      <c r="F5059" s="207" t="s">
        <v>4397</v>
      </c>
      <c r="G5059" s="207" t="s">
        <v>4398</v>
      </c>
      <c r="H5059" s="175"/>
      <c r="I5059" s="85">
        <f t="shared" si="198"/>
        <v>1.2671717284030137</v>
      </c>
      <c r="J5059" s="209">
        <v>18.5</v>
      </c>
      <c r="K5059" s="144"/>
      <c r="L5059" s="62">
        <v>153</v>
      </c>
    </row>
    <row r="5060" spans="1:12" ht="14" x14ac:dyDescent="0.15">
      <c r="A5060" s="61" t="s">
        <v>7029</v>
      </c>
      <c r="B5060" s="117" t="s">
        <v>1923</v>
      </c>
      <c r="C5060" s="207" t="s">
        <v>3636</v>
      </c>
      <c r="D5060" s="77" t="s">
        <v>2548</v>
      </c>
      <c r="E5060" s="102" t="s">
        <v>510</v>
      </c>
      <c r="F5060" s="207" t="s">
        <v>1922</v>
      </c>
      <c r="G5060" s="207" t="s">
        <v>1924</v>
      </c>
      <c r="H5060" s="175"/>
      <c r="I5060" s="103">
        <v>-999</v>
      </c>
      <c r="J5060" s="123">
        <v>-999</v>
      </c>
      <c r="K5060" s="135"/>
      <c r="L5060" s="62">
        <v>-999</v>
      </c>
    </row>
    <row r="5061" spans="1:12" ht="28" x14ac:dyDescent="0.15">
      <c r="A5061" s="62" t="s">
        <v>7029</v>
      </c>
      <c r="B5061" s="117" t="s">
        <v>1889</v>
      </c>
      <c r="C5061" s="207" t="s">
        <v>3636</v>
      </c>
      <c r="D5061" s="77" t="s">
        <v>2548</v>
      </c>
      <c r="E5061" s="102" t="s">
        <v>510</v>
      </c>
      <c r="F5061" s="207" t="s">
        <v>1922</v>
      </c>
      <c r="G5061" s="207" t="s">
        <v>1797</v>
      </c>
      <c r="H5061" s="175"/>
      <c r="I5061" s="103">
        <v>-999</v>
      </c>
      <c r="J5061" s="123">
        <v>-999</v>
      </c>
      <c r="K5061" s="135"/>
      <c r="L5061" s="62">
        <v>-999</v>
      </c>
    </row>
    <row r="5062" spans="1:12" ht="42" x14ac:dyDescent="0.15">
      <c r="A5062" s="62" t="s">
        <v>7029</v>
      </c>
      <c r="B5062" s="117" t="s">
        <v>1921</v>
      </c>
      <c r="C5062" s="207" t="s">
        <v>3636</v>
      </c>
      <c r="D5062" s="77" t="s">
        <v>2548</v>
      </c>
      <c r="E5062" s="100" t="s">
        <v>510</v>
      </c>
      <c r="F5062" s="207" t="s">
        <v>1922</v>
      </c>
      <c r="G5062" s="207" t="s">
        <v>3334</v>
      </c>
      <c r="H5062" s="175"/>
      <c r="I5062" s="85">
        <f>LOG(J5062)</f>
        <v>0.9800033715837464</v>
      </c>
      <c r="J5062" s="209">
        <v>9.5500000000000007</v>
      </c>
      <c r="K5062" s="144"/>
      <c r="L5062" s="62">
        <v>153</v>
      </c>
    </row>
    <row r="5063" spans="1:12" ht="28" x14ac:dyDescent="0.15">
      <c r="A5063" s="62" t="s">
        <v>7029</v>
      </c>
      <c r="B5063" s="117" t="s">
        <v>4832</v>
      </c>
      <c r="C5063" s="207" t="s">
        <v>3636</v>
      </c>
      <c r="D5063" s="77" t="s">
        <v>2548</v>
      </c>
      <c r="E5063" s="102" t="s">
        <v>510</v>
      </c>
      <c r="F5063" s="207" t="s">
        <v>4693</v>
      </c>
      <c r="G5063" s="207" t="s">
        <v>4694</v>
      </c>
      <c r="H5063" s="175"/>
      <c r="I5063" s="85">
        <f>LOG(J5063)</f>
        <v>1.6901960800285136</v>
      </c>
      <c r="J5063" s="123">
        <v>49</v>
      </c>
      <c r="K5063" s="135"/>
      <c r="L5063" s="62">
        <v>60</v>
      </c>
    </row>
    <row r="5064" spans="1:12" ht="42" x14ac:dyDescent="0.15">
      <c r="A5064" s="62" t="s">
        <v>7029</v>
      </c>
      <c r="B5064" s="117" t="s">
        <v>4394</v>
      </c>
      <c r="C5064" s="207" t="s">
        <v>3636</v>
      </c>
      <c r="D5064" s="77" t="s">
        <v>2548</v>
      </c>
      <c r="E5064" s="102" t="s">
        <v>510</v>
      </c>
      <c r="F5064" s="207" t="s">
        <v>4395</v>
      </c>
      <c r="G5064" s="207" t="s">
        <v>4396</v>
      </c>
      <c r="H5064" s="175"/>
      <c r="I5064" s="85">
        <f>LOG(J5064)</f>
        <v>1.2088442893407381</v>
      </c>
      <c r="J5064" s="209">
        <v>16.175000000000001</v>
      </c>
      <c r="K5064" s="144"/>
      <c r="L5064" s="62">
        <v>153</v>
      </c>
    </row>
    <row r="5065" spans="1:12" ht="28" x14ac:dyDescent="0.15">
      <c r="A5065" s="62" t="s">
        <v>7029</v>
      </c>
      <c r="B5065" s="117" t="s">
        <v>864</v>
      </c>
      <c r="C5065" s="207" t="s">
        <v>3636</v>
      </c>
      <c r="D5065" s="77" t="s">
        <v>2548</v>
      </c>
      <c r="E5065" s="102" t="s">
        <v>510</v>
      </c>
      <c r="F5065" s="207" t="s">
        <v>1887</v>
      </c>
      <c r="G5065" s="207" t="s">
        <v>865</v>
      </c>
      <c r="H5065" s="175"/>
      <c r="I5065" s="103">
        <v>-999</v>
      </c>
      <c r="J5065" s="123">
        <v>-999</v>
      </c>
      <c r="K5065" s="135"/>
      <c r="L5065" s="62">
        <v>-999</v>
      </c>
    </row>
    <row r="5066" spans="1:12" ht="28" x14ac:dyDescent="0.15">
      <c r="A5066" s="62" t="s">
        <v>7029</v>
      </c>
      <c r="B5066" s="117" t="s">
        <v>625</v>
      </c>
      <c r="C5066" s="207" t="s">
        <v>3636</v>
      </c>
      <c r="D5066" s="77" t="s">
        <v>2548</v>
      </c>
      <c r="E5066" s="102" t="s">
        <v>510</v>
      </c>
      <c r="F5066" s="207" t="s">
        <v>1887</v>
      </c>
      <c r="G5066" s="207" t="s">
        <v>7089</v>
      </c>
      <c r="H5066" s="175"/>
      <c r="I5066" s="103">
        <v>-999</v>
      </c>
      <c r="J5066" s="123">
        <v>-999</v>
      </c>
      <c r="K5066" s="135"/>
      <c r="L5066" s="62">
        <v>-999</v>
      </c>
    </row>
    <row r="5067" spans="1:12" ht="14" x14ac:dyDescent="0.15">
      <c r="A5067" s="62" t="s">
        <v>7029</v>
      </c>
      <c r="B5067" s="117" t="s">
        <v>781</v>
      </c>
      <c r="C5067" s="207" t="s">
        <v>3636</v>
      </c>
      <c r="D5067" s="77" t="s">
        <v>2548</v>
      </c>
      <c r="E5067" s="102" t="s">
        <v>510</v>
      </c>
      <c r="F5067" s="207" t="s">
        <v>1887</v>
      </c>
      <c r="G5067" s="207" t="s">
        <v>3324</v>
      </c>
      <c r="H5067" s="175"/>
      <c r="I5067" s="103">
        <v>-999</v>
      </c>
      <c r="J5067" s="123">
        <v>-999</v>
      </c>
      <c r="K5067" s="135"/>
      <c r="L5067" s="62">
        <v>-999</v>
      </c>
    </row>
    <row r="5068" spans="1:12" ht="14" x14ac:dyDescent="0.15">
      <c r="A5068" s="62" t="s">
        <v>7029</v>
      </c>
      <c r="B5068" s="117" t="s">
        <v>1886</v>
      </c>
      <c r="C5068" s="207" t="s">
        <v>3636</v>
      </c>
      <c r="D5068" s="77" t="s">
        <v>2548</v>
      </c>
      <c r="E5068" s="102" t="s">
        <v>510</v>
      </c>
      <c r="F5068" s="207" t="s">
        <v>1887</v>
      </c>
      <c r="G5068" s="207" t="s">
        <v>1888</v>
      </c>
      <c r="H5068" s="175"/>
      <c r="I5068" s="85">
        <f t="shared" ref="I5068:I5092" si="199">LOG(J5068)</f>
        <v>1.1789769472931695</v>
      </c>
      <c r="J5068" s="209">
        <v>15.1</v>
      </c>
      <c r="K5068" s="144"/>
      <c r="L5068" s="62">
        <v>153</v>
      </c>
    </row>
    <row r="5069" spans="1:12" ht="42" x14ac:dyDescent="0.15">
      <c r="A5069" s="62" t="s">
        <v>7029</v>
      </c>
      <c r="B5069" s="117" t="s">
        <v>1981</v>
      </c>
      <c r="C5069" s="207" t="s">
        <v>3636</v>
      </c>
      <c r="D5069" s="77" t="s">
        <v>2548</v>
      </c>
      <c r="E5069" s="102" t="s">
        <v>510</v>
      </c>
      <c r="F5069" s="207" t="s">
        <v>1887</v>
      </c>
      <c r="G5069" s="207" t="s">
        <v>5420</v>
      </c>
      <c r="H5069" s="175"/>
      <c r="I5069" s="85">
        <f t="shared" si="199"/>
        <v>1.2442771208018428</v>
      </c>
      <c r="J5069" s="209">
        <v>17.55</v>
      </c>
      <c r="K5069" s="144"/>
      <c r="L5069" s="62">
        <v>153</v>
      </c>
    </row>
    <row r="5070" spans="1:12" ht="70" x14ac:dyDescent="0.15">
      <c r="A5070" s="62" t="s">
        <v>7029</v>
      </c>
      <c r="B5070" s="117" t="s">
        <v>4691</v>
      </c>
      <c r="C5070" s="207" t="s">
        <v>3636</v>
      </c>
      <c r="D5070" s="77" t="s">
        <v>2548</v>
      </c>
      <c r="E5070" s="102" t="s">
        <v>510</v>
      </c>
      <c r="F5070" s="207" t="s">
        <v>1887</v>
      </c>
      <c r="G5070" s="207" t="s">
        <v>4692</v>
      </c>
      <c r="H5070" s="175"/>
      <c r="I5070" s="85">
        <f t="shared" si="199"/>
        <v>1.2810191558083406</v>
      </c>
      <c r="J5070" s="209">
        <v>19.099374999999998</v>
      </c>
      <c r="K5070" s="144"/>
      <c r="L5070" s="62">
        <v>153</v>
      </c>
    </row>
    <row r="5071" spans="1:12" ht="42" x14ac:dyDescent="0.15">
      <c r="A5071" s="62" t="s">
        <v>7029</v>
      </c>
      <c r="B5071" s="117" t="s">
        <v>4384</v>
      </c>
      <c r="C5071" s="207" t="s">
        <v>3636</v>
      </c>
      <c r="D5071" s="77" t="s">
        <v>2548</v>
      </c>
      <c r="E5071" s="102" t="s">
        <v>510</v>
      </c>
      <c r="F5071" s="207" t="s">
        <v>1887</v>
      </c>
      <c r="G5071" s="207" t="s">
        <v>4123</v>
      </c>
      <c r="H5071" s="175"/>
      <c r="I5071" s="85">
        <f t="shared" si="199"/>
        <v>1.3180633349627615</v>
      </c>
      <c r="J5071" s="209">
        <v>20.8</v>
      </c>
      <c r="K5071" s="144"/>
      <c r="L5071" s="62">
        <v>153</v>
      </c>
    </row>
    <row r="5072" spans="1:12" ht="42" x14ac:dyDescent="0.15">
      <c r="A5072" s="61" t="s">
        <v>7029</v>
      </c>
      <c r="B5072" s="117" t="s">
        <v>4233</v>
      </c>
      <c r="C5072" s="207" t="s">
        <v>3636</v>
      </c>
      <c r="D5072" s="77" t="s">
        <v>2548</v>
      </c>
      <c r="E5072" s="102" t="s">
        <v>510</v>
      </c>
      <c r="F5072" s="207" t="s">
        <v>1887</v>
      </c>
      <c r="G5072" s="207" t="s">
        <v>4688</v>
      </c>
      <c r="H5072" s="175"/>
      <c r="I5072" s="85">
        <f t="shared" si="199"/>
        <v>1.3226774749122494</v>
      </c>
      <c r="J5072" s="209">
        <v>21.022166666667001</v>
      </c>
      <c r="K5072" s="144"/>
      <c r="L5072" s="62">
        <v>153</v>
      </c>
    </row>
    <row r="5073" spans="1:12" ht="42" x14ac:dyDescent="0.15">
      <c r="A5073" s="62" t="s">
        <v>7029</v>
      </c>
      <c r="B5073" s="117" t="s">
        <v>4686</v>
      </c>
      <c r="C5073" s="207" t="s">
        <v>3636</v>
      </c>
      <c r="D5073" s="77" t="s">
        <v>2548</v>
      </c>
      <c r="E5073" s="102" t="s">
        <v>510</v>
      </c>
      <c r="F5073" s="207" t="s">
        <v>1887</v>
      </c>
      <c r="G5073" s="207" t="s">
        <v>866</v>
      </c>
      <c r="H5073" s="175"/>
      <c r="I5073" s="85">
        <f t="shared" si="199"/>
        <v>1.3809344633307019</v>
      </c>
      <c r="J5073" s="209">
        <v>24.04</v>
      </c>
      <c r="K5073" s="144"/>
      <c r="L5073" s="62">
        <v>153</v>
      </c>
    </row>
    <row r="5074" spans="1:12" ht="28" x14ac:dyDescent="0.15">
      <c r="A5074" s="62" t="s">
        <v>7029</v>
      </c>
      <c r="B5074" s="117" t="s">
        <v>782</v>
      </c>
      <c r="C5074" s="207" t="s">
        <v>3636</v>
      </c>
      <c r="D5074" s="77" t="s">
        <v>2548</v>
      </c>
      <c r="E5074" s="102" t="s">
        <v>510</v>
      </c>
      <c r="F5074" s="207" t="s">
        <v>1887</v>
      </c>
      <c r="G5074" s="207" t="s">
        <v>621</v>
      </c>
      <c r="H5074" s="175"/>
      <c r="I5074" s="85">
        <f t="shared" si="199"/>
        <v>1.6869011939670617</v>
      </c>
      <c r="J5074" s="209">
        <v>48.629655611666998</v>
      </c>
      <c r="K5074" s="144"/>
      <c r="L5074" s="62">
        <v>153</v>
      </c>
    </row>
    <row r="5075" spans="1:12" ht="28" x14ac:dyDescent="0.15">
      <c r="A5075" s="62" t="s">
        <v>7029</v>
      </c>
      <c r="B5075" s="117" t="s">
        <v>479</v>
      </c>
      <c r="C5075" s="207" t="s">
        <v>3636</v>
      </c>
      <c r="D5075" s="77" t="s">
        <v>2548</v>
      </c>
      <c r="E5075" s="102" t="s">
        <v>510</v>
      </c>
      <c r="F5075" s="207" t="s">
        <v>480</v>
      </c>
      <c r="G5075" s="207" t="s">
        <v>481</v>
      </c>
      <c r="H5075" s="175"/>
      <c r="I5075" s="85">
        <f t="shared" si="199"/>
        <v>0.97197127639975645</v>
      </c>
      <c r="J5075" s="209">
        <v>9.375</v>
      </c>
      <c r="K5075" s="144"/>
      <c r="L5075" s="62">
        <v>153</v>
      </c>
    </row>
    <row r="5076" spans="1:12" ht="14" x14ac:dyDescent="0.15">
      <c r="A5076" s="62" t="s">
        <v>7029</v>
      </c>
      <c r="B5076" s="117" t="s">
        <v>641</v>
      </c>
      <c r="C5076" s="207" t="s">
        <v>3636</v>
      </c>
      <c r="D5076" s="77" t="s">
        <v>2548</v>
      </c>
      <c r="E5076" s="102" t="s">
        <v>510</v>
      </c>
      <c r="F5076" s="207" t="s">
        <v>480</v>
      </c>
      <c r="G5076" s="207" t="s">
        <v>725</v>
      </c>
      <c r="H5076" s="175"/>
      <c r="I5076" s="85">
        <f t="shared" si="199"/>
        <v>1.2588766293721312</v>
      </c>
      <c r="J5076" s="209">
        <v>18.149999999999999</v>
      </c>
      <c r="K5076" s="144"/>
      <c r="L5076" s="62">
        <v>153</v>
      </c>
    </row>
    <row r="5077" spans="1:12" ht="28" x14ac:dyDescent="0.15">
      <c r="A5077" s="62" t="s">
        <v>7029</v>
      </c>
      <c r="B5077" s="117" t="s">
        <v>892</v>
      </c>
      <c r="C5077" s="207" t="s">
        <v>3636</v>
      </c>
      <c r="D5077" s="77" t="s">
        <v>2548</v>
      </c>
      <c r="E5077" s="102" t="s">
        <v>510</v>
      </c>
      <c r="F5077" s="207" t="s">
        <v>480</v>
      </c>
      <c r="G5077" s="207" t="s">
        <v>645</v>
      </c>
      <c r="H5077" s="175"/>
      <c r="I5077" s="85">
        <f t="shared" si="199"/>
        <v>1.3210458049962699</v>
      </c>
      <c r="J5077" s="209">
        <v>20.943333333333001</v>
      </c>
      <c r="K5077" s="144"/>
      <c r="L5077" s="62">
        <v>153</v>
      </c>
    </row>
    <row r="5078" spans="1:12" ht="42" x14ac:dyDescent="0.15">
      <c r="A5078" s="62" t="s">
        <v>7029</v>
      </c>
      <c r="B5078" s="117" t="s">
        <v>2644</v>
      </c>
      <c r="C5078" s="207" t="s">
        <v>3636</v>
      </c>
      <c r="D5078" s="77" t="s">
        <v>2548</v>
      </c>
      <c r="E5078" s="102" t="s">
        <v>510</v>
      </c>
      <c r="F5078" s="207" t="s">
        <v>480</v>
      </c>
      <c r="G5078" s="207" t="s">
        <v>5420</v>
      </c>
      <c r="H5078" s="175"/>
      <c r="I5078" s="85">
        <f t="shared" si="199"/>
        <v>1.4445132063340429</v>
      </c>
      <c r="J5078" s="209">
        <v>27.83</v>
      </c>
      <c r="K5078" s="144"/>
      <c r="L5078" s="62">
        <v>153</v>
      </c>
    </row>
    <row r="5079" spans="1:12" ht="14" x14ac:dyDescent="0.15">
      <c r="A5079" s="62" t="s">
        <v>7029</v>
      </c>
      <c r="B5079" s="117" t="s">
        <v>2645</v>
      </c>
      <c r="C5079" s="207" t="s">
        <v>3636</v>
      </c>
      <c r="D5079" s="77" t="s">
        <v>2548</v>
      </c>
      <c r="E5079" s="102" t="s">
        <v>510</v>
      </c>
      <c r="F5079" s="207" t="s">
        <v>480</v>
      </c>
      <c r="G5079" s="207" t="s">
        <v>2634</v>
      </c>
      <c r="H5079" s="177"/>
      <c r="I5079" s="85">
        <f t="shared" si="199"/>
        <v>1.4727564493172123</v>
      </c>
      <c r="J5079" s="209">
        <v>29.7</v>
      </c>
      <c r="K5079" s="144"/>
      <c r="L5079" s="62">
        <v>153</v>
      </c>
    </row>
    <row r="5080" spans="1:12" ht="42" x14ac:dyDescent="0.15">
      <c r="A5080" s="62" t="s">
        <v>7029</v>
      </c>
      <c r="B5080" s="117" t="s">
        <v>2796</v>
      </c>
      <c r="C5080" s="207" t="s">
        <v>3636</v>
      </c>
      <c r="D5080" s="77" t="s">
        <v>2548</v>
      </c>
      <c r="E5080" s="102" t="s">
        <v>510</v>
      </c>
      <c r="F5080" s="207" t="s">
        <v>650</v>
      </c>
      <c r="G5080" s="207" t="s">
        <v>477</v>
      </c>
      <c r="H5080" s="175"/>
      <c r="I5080" s="85">
        <f t="shared" si="199"/>
        <v>1.5759571887637611</v>
      </c>
      <c r="J5080" s="209">
        <v>37.666666666666998</v>
      </c>
      <c r="K5080" s="144"/>
      <c r="L5080" s="62">
        <v>153</v>
      </c>
    </row>
    <row r="5081" spans="1:12" ht="42" x14ac:dyDescent="0.15">
      <c r="A5081" s="62" t="s">
        <v>7029</v>
      </c>
      <c r="B5081" s="117" t="s">
        <v>717</v>
      </c>
      <c r="C5081" s="207" t="s">
        <v>3636</v>
      </c>
      <c r="D5081" s="77" t="s">
        <v>2548</v>
      </c>
      <c r="E5081" s="102" t="s">
        <v>510</v>
      </c>
      <c r="F5081" s="207" t="s">
        <v>566</v>
      </c>
      <c r="G5081" s="207" t="s">
        <v>565</v>
      </c>
      <c r="H5081" s="175"/>
      <c r="I5081" s="85">
        <f t="shared" si="199"/>
        <v>1.2195263136973309</v>
      </c>
      <c r="J5081" s="209">
        <v>16.577777777778</v>
      </c>
      <c r="K5081" s="144"/>
      <c r="L5081" s="62">
        <v>153</v>
      </c>
    </row>
    <row r="5082" spans="1:12" ht="42" x14ac:dyDescent="0.15">
      <c r="A5082" s="62" t="s">
        <v>7029</v>
      </c>
      <c r="B5082" s="117" t="s">
        <v>644</v>
      </c>
      <c r="C5082" s="207" t="s">
        <v>3636</v>
      </c>
      <c r="D5082" s="77" t="s">
        <v>2548</v>
      </c>
      <c r="E5082" s="102" t="s">
        <v>510</v>
      </c>
      <c r="F5082" s="207" t="s">
        <v>566</v>
      </c>
      <c r="G5082" s="207" t="s">
        <v>474</v>
      </c>
      <c r="H5082" s="175"/>
      <c r="I5082" s="85">
        <f t="shared" si="199"/>
        <v>1.2265999052073575</v>
      </c>
      <c r="J5082" s="209">
        <v>16.850000000000001</v>
      </c>
      <c r="K5082" s="144"/>
      <c r="L5082" s="62">
        <v>153</v>
      </c>
    </row>
    <row r="5083" spans="1:12" ht="56" x14ac:dyDescent="0.15">
      <c r="A5083" s="62" t="s">
        <v>7029</v>
      </c>
      <c r="B5083" s="117" t="s">
        <v>2635</v>
      </c>
      <c r="C5083" s="207" t="s">
        <v>3636</v>
      </c>
      <c r="D5083" s="77" t="s">
        <v>2548</v>
      </c>
      <c r="E5083" s="102" t="s">
        <v>510</v>
      </c>
      <c r="F5083" s="207" t="s">
        <v>2518</v>
      </c>
      <c r="G5083" s="207" t="s">
        <v>7156</v>
      </c>
      <c r="H5083" s="175"/>
      <c r="I5083" s="85">
        <f t="shared" si="199"/>
        <v>0.93593889860685342</v>
      </c>
      <c r="J5083" s="209">
        <v>8.628571428571</v>
      </c>
      <c r="K5083" s="144"/>
      <c r="L5083" s="62">
        <v>153</v>
      </c>
    </row>
    <row r="5084" spans="1:12" ht="42" x14ac:dyDescent="0.15">
      <c r="A5084" s="61" t="s">
        <v>7029</v>
      </c>
      <c r="B5084" s="117" t="s">
        <v>535</v>
      </c>
      <c r="C5084" s="207" t="s">
        <v>3636</v>
      </c>
      <c r="D5084" s="77" t="s">
        <v>2548</v>
      </c>
      <c r="E5084" s="102" t="s">
        <v>510</v>
      </c>
      <c r="F5084" s="207" t="s">
        <v>2518</v>
      </c>
      <c r="G5084" s="207" t="s">
        <v>536</v>
      </c>
      <c r="H5084" s="175"/>
      <c r="I5084" s="85">
        <f t="shared" si="199"/>
        <v>1</v>
      </c>
      <c r="J5084" s="123">
        <v>10</v>
      </c>
      <c r="K5084" s="135"/>
      <c r="L5084" s="62">
        <v>246</v>
      </c>
    </row>
    <row r="5085" spans="1:12" ht="42" x14ac:dyDescent="0.15">
      <c r="A5085" s="62" t="s">
        <v>7029</v>
      </c>
      <c r="B5085" s="117" t="s">
        <v>2519</v>
      </c>
      <c r="C5085" s="207" t="s">
        <v>3636</v>
      </c>
      <c r="D5085" s="77" t="s">
        <v>2548</v>
      </c>
      <c r="E5085" s="102" t="s">
        <v>510</v>
      </c>
      <c r="F5085" s="207" t="s">
        <v>2518</v>
      </c>
      <c r="G5085" s="207" t="s">
        <v>5420</v>
      </c>
      <c r="H5085" s="175"/>
      <c r="I5085" s="85">
        <f t="shared" si="199"/>
        <v>1.0644579892269184</v>
      </c>
      <c r="J5085" s="209">
        <v>11.6</v>
      </c>
      <c r="K5085" s="144"/>
      <c r="L5085" s="62">
        <v>153</v>
      </c>
    </row>
    <row r="5086" spans="1:12" ht="14" x14ac:dyDescent="0.15">
      <c r="A5086" s="62" t="s">
        <v>7029</v>
      </c>
      <c r="B5086" s="117" t="s">
        <v>537</v>
      </c>
      <c r="C5086" s="207" t="s">
        <v>3636</v>
      </c>
      <c r="D5086" s="77" t="s">
        <v>2548</v>
      </c>
      <c r="E5086" s="102" t="s">
        <v>510</v>
      </c>
      <c r="F5086" s="207" t="s">
        <v>2518</v>
      </c>
      <c r="G5086" s="207" t="s">
        <v>396</v>
      </c>
      <c r="H5086" s="175"/>
      <c r="I5086" s="85">
        <f t="shared" si="199"/>
        <v>1.0718820073061255</v>
      </c>
      <c r="J5086" s="123">
        <v>11.8</v>
      </c>
      <c r="K5086" s="135"/>
      <c r="L5086" s="62">
        <v>252</v>
      </c>
    </row>
    <row r="5087" spans="1:12" ht="28" x14ac:dyDescent="0.15">
      <c r="A5087" s="62" t="s">
        <v>7029</v>
      </c>
      <c r="B5087" s="117" t="s">
        <v>394</v>
      </c>
      <c r="C5087" s="207" t="s">
        <v>3636</v>
      </c>
      <c r="D5087" s="77" t="s">
        <v>2548</v>
      </c>
      <c r="E5087" s="102" t="s">
        <v>510</v>
      </c>
      <c r="F5087" s="207" t="s">
        <v>2518</v>
      </c>
      <c r="G5087" s="207" t="s">
        <v>395</v>
      </c>
      <c r="H5087" s="175"/>
      <c r="I5087" s="85">
        <f t="shared" si="199"/>
        <v>1.2121876044039579</v>
      </c>
      <c r="J5087" s="209">
        <v>16.3</v>
      </c>
      <c r="K5087" s="144"/>
      <c r="L5087" s="62">
        <v>153</v>
      </c>
    </row>
    <row r="5088" spans="1:12" ht="42" x14ac:dyDescent="0.15">
      <c r="A5088" s="62" t="s">
        <v>7029</v>
      </c>
      <c r="B5088" s="117" t="s">
        <v>4757</v>
      </c>
      <c r="C5088" s="207" t="s">
        <v>3636</v>
      </c>
      <c r="D5088" s="77" t="s">
        <v>2548</v>
      </c>
      <c r="E5088" s="102" t="s">
        <v>510</v>
      </c>
      <c r="F5088" s="207" t="s">
        <v>390</v>
      </c>
      <c r="G5088" s="207" t="s">
        <v>531</v>
      </c>
      <c r="H5088" s="175"/>
      <c r="I5088" s="85">
        <f t="shared" si="199"/>
        <v>1.5403294747908738</v>
      </c>
      <c r="J5088" s="209">
        <v>34.700000000000003</v>
      </c>
      <c r="K5088" s="144"/>
      <c r="L5088" s="62">
        <v>153</v>
      </c>
    </row>
    <row r="5089" spans="1:12" ht="56" x14ac:dyDescent="0.15">
      <c r="A5089" s="62" t="s">
        <v>7029</v>
      </c>
      <c r="B5089" s="117" t="s">
        <v>4469</v>
      </c>
      <c r="C5089" s="207" t="s">
        <v>3636</v>
      </c>
      <c r="D5089" s="77" t="s">
        <v>2548</v>
      </c>
      <c r="E5089" s="100" t="s">
        <v>510</v>
      </c>
      <c r="F5089" s="207" t="s">
        <v>2059</v>
      </c>
      <c r="G5089" s="207" t="s">
        <v>5587</v>
      </c>
      <c r="H5089" s="175"/>
      <c r="I5089" s="85">
        <f t="shared" si="199"/>
        <v>2.2288667903683783</v>
      </c>
      <c r="J5089" s="209">
        <v>169.38181818180999</v>
      </c>
      <c r="K5089" s="144"/>
      <c r="L5089" s="62">
        <v>153</v>
      </c>
    </row>
    <row r="5090" spans="1:12" ht="56" x14ac:dyDescent="0.15">
      <c r="A5090" s="62" t="s">
        <v>7029</v>
      </c>
      <c r="B5090" s="117" t="s">
        <v>544</v>
      </c>
      <c r="C5090" s="207" t="s">
        <v>3636</v>
      </c>
      <c r="D5090" s="77" t="s">
        <v>2548</v>
      </c>
      <c r="E5090" s="207" t="s">
        <v>545</v>
      </c>
      <c r="F5090" s="207" t="s">
        <v>546</v>
      </c>
      <c r="G5090" s="207" t="s">
        <v>870</v>
      </c>
      <c r="H5090" s="175"/>
      <c r="I5090" s="85">
        <f t="shared" si="199"/>
        <v>0.49136169383427269</v>
      </c>
      <c r="J5090" s="209">
        <v>3.1</v>
      </c>
      <c r="K5090" s="144"/>
      <c r="L5090" s="62">
        <v>153</v>
      </c>
    </row>
    <row r="5091" spans="1:12" ht="42" x14ac:dyDescent="0.15">
      <c r="A5091" s="62" t="s">
        <v>7029</v>
      </c>
      <c r="B5091" s="117" t="s">
        <v>1170</v>
      </c>
      <c r="C5091" s="207" t="s">
        <v>3636</v>
      </c>
      <c r="D5091" s="77" t="s">
        <v>2548</v>
      </c>
      <c r="E5091" s="207" t="s">
        <v>545</v>
      </c>
      <c r="F5091" s="207" t="s">
        <v>546</v>
      </c>
      <c r="G5091" s="207" t="s">
        <v>837</v>
      </c>
      <c r="H5091" s="175"/>
      <c r="I5091" s="85">
        <f t="shared" si="199"/>
        <v>0.63911279544208466</v>
      </c>
      <c r="J5091" s="209">
        <v>4.3562500000000002</v>
      </c>
      <c r="K5091" s="144"/>
      <c r="L5091" s="62">
        <v>153</v>
      </c>
    </row>
    <row r="5092" spans="1:12" ht="56" x14ac:dyDescent="0.15">
      <c r="A5092" s="62" t="s">
        <v>7029</v>
      </c>
      <c r="B5092" s="117" t="s">
        <v>2697</v>
      </c>
      <c r="C5092" s="207" t="s">
        <v>3636</v>
      </c>
      <c r="D5092" s="77" t="s">
        <v>2548</v>
      </c>
      <c r="E5092" s="207" t="s">
        <v>5977</v>
      </c>
      <c r="F5092" s="207" t="s">
        <v>2700</v>
      </c>
      <c r="G5092" s="207" t="s">
        <v>833</v>
      </c>
      <c r="H5092" s="175"/>
      <c r="I5092" s="85">
        <f t="shared" si="199"/>
        <v>1.3603093443420586</v>
      </c>
      <c r="J5092" s="209">
        <v>22.925000000000001</v>
      </c>
      <c r="K5092" s="144"/>
      <c r="L5092" s="62">
        <v>153</v>
      </c>
    </row>
    <row r="5093" spans="1:12" ht="28" x14ac:dyDescent="0.15">
      <c r="A5093" s="62" t="s">
        <v>7029</v>
      </c>
      <c r="B5093" s="117" t="s">
        <v>857</v>
      </c>
      <c r="C5093" s="207" t="s">
        <v>3636</v>
      </c>
      <c r="D5093" s="77" t="s">
        <v>2548</v>
      </c>
      <c r="E5093" s="207" t="s">
        <v>5977</v>
      </c>
      <c r="F5093" s="207" t="s">
        <v>6037</v>
      </c>
      <c r="G5093" s="207" t="s">
        <v>773</v>
      </c>
      <c r="H5093" s="175"/>
      <c r="I5093" s="98">
        <v>-999</v>
      </c>
      <c r="J5093" s="123">
        <v>-999</v>
      </c>
      <c r="K5093" s="135"/>
      <c r="L5093" s="62">
        <v>-999</v>
      </c>
    </row>
    <row r="5094" spans="1:12" ht="42" x14ac:dyDescent="0.15">
      <c r="A5094" s="62" t="s">
        <v>7029</v>
      </c>
      <c r="B5094" s="117" t="s">
        <v>493</v>
      </c>
      <c r="C5094" s="207" t="s">
        <v>3636</v>
      </c>
      <c r="D5094" s="77" t="s">
        <v>2548</v>
      </c>
      <c r="E5094" s="207" t="s">
        <v>5977</v>
      </c>
      <c r="F5094" s="207" t="s">
        <v>6037</v>
      </c>
      <c r="G5094" s="207" t="s">
        <v>7931</v>
      </c>
      <c r="H5094" s="175"/>
      <c r="I5094" s="85">
        <f>LOG(J5094)</f>
        <v>0.77815125038364363</v>
      </c>
      <c r="J5094" s="209">
        <v>6</v>
      </c>
      <c r="K5094" s="144"/>
      <c r="L5094" s="62">
        <v>153</v>
      </c>
    </row>
    <row r="5095" spans="1:12" ht="42" x14ac:dyDescent="0.15">
      <c r="A5095" s="62" t="s">
        <v>7029</v>
      </c>
      <c r="B5095" s="117" t="s">
        <v>876</v>
      </c>
      <c r="C5095" s="207" t="s">
        <v>3636</v>
      </c>
      <c r="D5095" s="77" t="s">
        <v>2548</v>
      </c>
      <c r="E5095" s="207" t="s">
        <v>5977</v>
      </c>
      <c r="F5095" s="207" t="s">
        <v>6037</v>
      </c>
      <c r="G5095" s="207" t="s">
        <v>877</v>
      </c>
      <c r="H5095" s="175"/>
      <c r="I5095" s="85">
        <f>LOG(J5095)</f>
        <v>0.88855388573627403</v>
      </c>
      <c r="J5095" s="209">
        <v>7.7366666666670003</v>
      </c>
      <c r="K5095" s="144"/>
      <c r="L5095" s="62">
        <v>153</v>
      </c>
    </row>
    <row r="5096" spans="1:12" ht="42" x14ac:dyDescent="0.15">
      <c r="A5096" s="62" t="s">
        <v>7029</v>
      </c>
      <c r="B5096" s="117" t="s">
        <v>993</v>
      </c>
      <c r="C5096" s="207" t="s">
        <v>3636</v>
      </c>
      <c r="D5096" s="77" t="s">
        <v>2548</v>
      </c>
      <c r="E5096" s="207" t="s">
        <v>5977</v>
      </c>
      <c r="F5096" s="207" t="s">
        <v>6037</v>
      </c>
      <c r="G5096" s="207" t="s">
        <v>4285</v>
      </c>
      <c r="H5096" s="175"/>
      <c r="I5096" s="85">
        <f>LOG(J5096)</f>
        <v>0.97619708532739058</v>
      </c>
      <c r="J5096" s="209">
        <v>9.4666666666670007</v>
      </c>
      <c r="K5096" s="144"/>
      <c r="L5096" s="62">
        <v>153</v>
      </c>
    </row>
    <row r="5097" spans="1:12" ht="70" x14ac:dyDescent="0.15">
      <c r="A5097" s="62" t="s">
        <v>7029</v>
      </c>
      <c r="B5097" s="117" t="s">
        <v>992</v>
      </c>
      <c r="C5097" s="207" t="s">
        <v>3636</v>
      </c>
      <c r="D5097" s="77" t="s">
        <v>2548</v>
      </c>
      <c r="E5097" s="207" t="s">
        <v>5977</v>
      </c>
      <c r="F5097" s="207" t="s">
        <v>6037</v>
      </c>
      <c r="G5097" s="207" t="s">
        <v>4664</v>
      </c>
      <c r="H5097" s="175"/>
      <c r="I5097" s="85">
        <f>LOG(J5097)</f>
        <v>1.2164423949044796</v>
      </c>
      <c r="J5097" s="209">
        <v>16.460476190476001</v>
      </c>
      <c r="K5097" s="144"/>
      <c r="L5097" s="62">
        <v>153</v>
      </c>
    </row>
    <row r="5098" spans="1:12" ht="14" x14ac:dyDescent="0.15">
      <c r="A5098" s="62" t="s">
        <v>7029</v>
      </c>
      <c r="B5098" s="117" t="s">
        <v>1067</v>
      </c>
      <c r="C5098" s="207" t="s">
        <v>3636</v>
      </c>
      <c r="D5098" s="77" t="s">
        <v>2548</v>
      </c>
      <c r="E5098" s="207" t="s">
        <v>5977</v>
      </c>
      <c r="F5098" s="207" t="s">
        <v>1063</v>
      </c>
      <c r="G5098" s="207" t="s">
        <v>1068</v>
      </c>
      <c r="H5098" s="175"/>
      <c r="I5098" s="98">
        <v>-999</v>
      </c>
      <c r="J5098" s="123">
        <v>-999</v>
      </c>
      <c r="K5098" s="135"/>
      <c r="L5098" s="62">
        <v>-999</v>
      </c>
    </row>
    <row r="5099" spans="1:12" ht="70" x14ac:dyDescent="0.15">
      <c r="A5099" s="61" t="s">
        <v>7029</v>
      </c>
      <c r="B5099" s="117" t="s">
        <v>831</v>
      </c>
      <c r="C5099" s="207" t="s">
        <v>3636</v>
      </c>
      <c r="D5099" s="77" t="s">
        <v>2548</v>
      </c>
      <c r="E5099" s="207" t="s">
        <v>5977</v>
      </c>
      <c r="F5099" s="207" t="s">
        <v>1063</v>
      </c>
      <c r="G5099" s="207" t="s">
        <v>3804</v>
      </c>
      <c r="H5099" s="175"/>
      <c r="I5099" s="98">
        <v>-999</v>
      </c>
      <c r="J5099" s="123">
        <v>-999</v>
      </c>
      <c r="K5099" s="135"/>
      <c r="L5099" s="62">
        <v>-999</v>
      </c>
    </row>
    <row r="5100" spans="1:12" ht="28" x14ac:dyDescent="0.15">
      <c r="A5100" s="62" t="s">
        <v>7029</v>
      </c>
      <c r="B5100" s="117" t="s">
        <v>1062</v>
      </c>
      <c r="C5100" s="207" t="s">
        <v>3636</v>
      </c>
      <c r="D5100" s="77" t="s">
        <v>2548</v>
      </c>
      <c r="E5100" s="207" t="s">
        <v>5977</v>
      </c>
      <c r="F5100" s="207" t="s">
        <v>1063</v>
      </c>
      <c r="G5100" s="207" t="s">
        <v>1064</v>
      </c>
      <c r="H5100" s="175"/>
      <c r="I5100" s="85">
        <f>LOG(J5100)</f>
        <v>1.0413926851582251</v>
      </c>
      <c r="J5100" s="209">
        <v>11</v>
      </c>
      <c r="K5100" s="144"/>
      <c r="L5100" s="62">
        <v>153</v>
      </c>
    </row>
    <row r="5101" spans="1:12" ht="14" x14ac:dyDescent="0.15">
      <c r="A5101" s="62" t="s">
        <v>7029</v>
      </c>
      <c r="B5101" s="117" t="s">
        <v>1065</v>
      </c>
      <c r="C5101" s="207" t="s">
        <v>3636</v>
      </c>
      <c r="D5101" s="77" t="s">
        <v>2548</v>
      </c>
      <c r="E5101" s="207" t="s">
        <v>5977</v>
      </c>
      <c r="F5101" s="207" t="s">
        <v>1063</v>
      </c>
      <c r="G5101" s="207" t="s">
        <v>1066</v>
      </c>
      <c r="H5101" s="175"/>
      <c r="I5101" s="85">
        <f>LOG(J5101)</f>
        <v>1.0492180226701815</v>
      </c>
      <c r="J5101" s="209">
        <v>11.2</v>
      </c>
      <c r="K5101" s="144"/>
      <c r="L5101" s="62">
        <v>153</v>
      </c>
    </row>
    <row r="5102" spans="1:12" ht="28" x14ac:dyDescent="0.15">
      <c r="A5102" s="62" t="s">
        <v>7029</v>
      </c>
      <c r="B5102" s="117" t="s">
        <v>2627</v>
      </c>
      <c r="C5102" s="207" t="s">
        <v>3636</v>
      </c>
      <c r="D5102" s="77" t="s">
        <v>2548</v>
      </c>
      <c r="E5102" s="207" t="s">
        <v>5977</v>
      </c>
      <c r="F5102" s="207" t="s">
        <v>1017</v>
      </c>
      <c r="G5102" s="207" t="s">
        <v>2628</v>
      </c>
      <c r="H5102" s="175"/>
      <c r="I5102" s="98">
        <v>-999</v>
      </c>
      <c r="J5102" s="123">
        <v>-999</v>
      </c>
      <c r="K5102" s="135"/>
      <c r="L5102" s="62">
        <v>-999</v>
      </c>
    </row>
    <row r="5103" spans="1:12" ht="98" x14ac:dyDescent="0.15">
      <c r="A5103" s="62" t="s">
        <v>7029</v>
      </c>
      <c r="B5103" s="117" t="s">
        <v>1114</v>
      </c>
      <c r="C5103" s="207" t="s">
        <v>3636</v>
      </c>
      <c r="D5103" s="77" t="s">
        <v>2548</v>
      </c>
      <c r="E5103" s="207" t="s">
        <v>5977</v>
      </c>
      <c r="F5103" s="207" t="s">
        <v>1017</v>
      </c>
      <c r="G5103" s="207" t="s">
        <v>4445</v>
      </c>
      <c r="H5103" s="175"/>
      <c r="I5103" s="85">
        <f>LOG(J5103)</f>
        <v>1.0309031768392987</v>
      </c>
      <c r="J5103" s="209">
        <v>10.737500000000001</v>
      </c>
      <c r="K5103" s="144"/>
      <c r="L5103" s="62">
        <v>153</v>
      </c>
    </row>
    <row r="5104" spans="1:12" ht="42" x14ac:dyDescent="0.15">
      <c r="A5104" s="62" t="s">
        <v>7029</v>
      </c>
      <c r="B5104" s="117" t="s">
        <v>889</v>
      </c>
      <c r="C5104" s="207" t="s">
        <v>3636</v>
      </c>
      <c r="D5104" s="77" t="s">
        <v>2548</v>
      </c>
      <c r="E5104" s="207" t="s">
        <v>5977</v>
      </c>
      <c r="F5104" s="207" t="s">
        <v>1017</v>
      </c>
      <c r="G5104" s="207" t="s">
        <v>4694</v>
      </c>
      <c r="H5104" s="175"/>
      <c r="I5104" s="85">
        <f>LOG(J5104)</f>
        <v>1.1205739312058498</v>
      </c>
      <c r="J5104" s="209">
        <v>13.2</v>
      </c>
      <c r="K5104" s="144"/>
      <c r="L5104" s="62">
        <v>153</v>
      </c>
    </row>
    <row r="5105" spans="1:16" ht="140" x14ac:dyDescent="0.15">
      <c r="A5105" s="61" t="s">
        <v>7029</v>
      </c>
      <c r="B5105" s="117" t="s">
        <v>956</v>
      </c>
      <c r="C5105" s="207" t="s">
        <v>3636</v>
      </c>
      <c r="D5105" s="77" t="s">
        <v>2548</v>
      </c>
      <c r="E5105" s="207" t="s">
        <v>5977</v>
      </c>
      <c r="F5105" s="207" t="s">
        <v>1017</v>
      </c>
      <c r="G5105" s="207" t="s">
        <v>4303</v>
      </c>
      <c r="H5105" s="175"/>
      <c r="I5105" s="85">
        <f>LOG(J5105)</f>
        <v>1.4027456770809181</v>
      </c>
      <c r="J5105" s="209">
        <v>25.278172727272999</v>
      </c>
      <c r="K5105" s="144"/>
      <c r="L5105" s="62">
        <v>153</v>
      </c>
    </row>
    <row r="5106" spans="1:16" ht="14" x14ac:dyDescent="0.15">
      <c r="A5106" s="62" t="s">
        <v>7029</v>
      </c>
      <c r="B5106" s="117" t="s">
        <v>1176</v>
      </c>
      <c r="C5106" s="207" t="s">
        <v>3636</v>
      </c>
      <c r="D5106" s="77" t="s">
        <v>2548</v>
      </c>
      <c r="E5106" s="207" t="s">
        <v>5977</v>
      </c>
      <c r="F5106" s="207" t="s">
        <v>5978</v>
      </c>
      <c r="G5106" s="207" t="s">
        <v>1177</v>
      </c>
      <c r="H5106" s="175"/>
      <c r="I5106" s="98">
        <v>-999</v>
      </c>
      <c r="J5106" s="123">
        <v>-999</v>
      </c>
      <c r="K5106" s="135"/>
      <c r="L5106" s="62">
        <v>-999</v>
      </c>
    </row>
    <row r="5107" spans="1:16" ht="14" x14ac:dyDescent="0.15">
      <c r="A5107" s="62" t="s">
        <v>7029</v>
      </c>
      <c r="B5107" s="117" t="s">
        <v>1178</v>
      </c>
      <c r="C5107" s="207" t="s">
        <v>3636</v>
      </c>
      <c r="D5107" s="77" t="s">
        <v>2548</v>
      </c>
      <c r="E5107" s="207" t="s">
        <v>5977</v>
      </c>
      <c r="F5107" s="207" t="s">
        <v>5978</v>
      </c>
      <c r="G5107" s="207" t="s">
        <v>2791</v>
      </c>
      <c r="H5107" s="177"/>
      <c r="I5107" s="98">
        <v>-999</v>
      </c>
      <c r="J5107" s="123">
        <v>-999</v>
      </c>
      <c r="K5107" s="135"/>
      <c r="L5107" s="62">
        <v>-999</v>
      </c>
    </row>
    <row r="5108" spans="1:16" ht="42" x14ac:dyDescent="0.15">
      <c r="A5108" s="62" t="s">
        <v>7029</v>
      </c>
      <c r="B5108" s="117" t="s">
        <v>2893</v>
      </c>
      <c r="C5108" s="207" t="s">
        <v>3636</v>
      </c>
      <c r="D5108" s="77" t="s">
        <v>2548</v>
      </c>
      <c r="E5108" s="207" t="s">
        <v>5977</v>
      </c>
      <c r="F5108" s="207" t="s">
        <v>5978</v>
      </c>
      <c r="G5108" s="207" t="s">
        <v>2894</v>
      </c>
      <c r="H5108" s="175"/>
      <c r="I5108" s="85">
        <f t="shared" ref="I5108:I5114" si="200">LOG(J5108)</f>
        <v>0.54406804435027567</v>
      </c>
      <c r="J5108" s="209">
        <v>3.5</v>
      </c>
      <c r="K5108" s="144"/>
      <c r="L5108" s="62">
        <v>153</v>
      </c>
    </row>
    <row r="5109" spans="1:16" ht="70" x14ac:dyDescent="0.15">
      <c r="A5109" s="62" t="s">
        <v>7029</v>
      </c>
      <c r="B5109" s="117" t="s">
        <v>1135</v>
      </c>
      <c r="C5109" s="207" t="s">
        <v>3636</v>
      </c>
      <c r="D5109" s="77" t="s">
        <v>2548</v>
      </c>
      <c r="E5109" s="207" t="s">
        <v>5977</v>
      </c>
      <c r="F5109" s="207" t="s">
        <v>5978</v>
      </c>
      <c r="G5109" s="207" t="s">
        <v>3946</v>
      </c>
      <c r="H5109" s="175"/>
      <c r="I5109" s="85">
        <f t="shared" si="200"/>
        <v>0.6273658565927327</v>
      </c>
      <c r="J5109" s="209">
        <v>4.24</v>
      </c>
      <c r="K5109" s="144"/>
      <c r="L5109" s="62">
        <v>153</v>
      </c>
    </row>
    <row r="5110" spans="1:16" ht="28" x14ac:dyDescent="0.15">
      <c r="A5110" s="62" t="s">
        <v>7029</v>
      </c>
      <c r="B5110" s="117" t="s">
        <v>896</v>
      </c>
      <c r="C5110" s="207" t="s">
        <v>3636</v>
      </c>
      <c r="D5110" s="77" t="s">
        <v>2548</v>
      </c>
      <c r="E5110" s="207" t="s">
        <v>5977</v>
      </c>
      <c r="F5110" s="207" t="s">
        <v>5978</v>
      </c>
      <c r="G5110" s="207" t="s">
        <v>2801</v>
      </c>
      <c r="H5110" s="175"/>
      <c r="I5110" s="85">
        <f t="shared" si="200"/>
        <v>0.69897000433601886</v>
      </c>
      <c r="J5110" s="209">
        <v>5</v>
      </c>
      <c r="K5110" s="144"/>
      <c r="L5110" s="62">
        <v>153</v>
      </c>
    </row>
    <row r="5111" spans="1:16" ht="28" x14ac:dyDescent="0.15">
      <c r="A5111" s="62" t="s">
        <v>7029</v>
      </c>
      <c r="B5111" s="117" t="s">
        <v>775</v>
      </c>
      <c r="C5111" s="207" t="s">
        <v>3636</v>
      </c>
      <c r="D5111" s="77" t="s">
        <v>2548</v>
      </c>
      <c r="E5111" s="207" t="s">
        <v>5977</v>
      </c>
      <c r="F5111" s="207" t="s">
        <v>5978</v>
      </c>
      <c r="G5111" s="207" t="s">
        <v>6276</v>
      </c>
      <c r="H5111" s="175"/>
      <c r="I5111" s="85">
        <f t="shared" si="200"/>
        <v>0.72427586960078905</v>
      </c>
      <c r="J5111" s="209">
        <v>5.3</v>
      </c>
      <c r="K5111" s="144"/>
      <c r="L5111" s="62">
        <v>153</v>
      </c>
    </row>
    <row r="5112" spans="1:16" ht="42" x14ac:dyDescent="0.15">
      <c r="A5112" s="62" t="s">
        <v>7029</v>
      </c>
      <c r="B5112" s="117" t="s">
        <v>267</v>
      </c>
      <c r="C5112" s="207" t="s">
        <v>3636</v>
      </c>
      <c r="D5112" s="77" t="s">
        <v>2548</v>
      </c>
      <c r="E5112" s="207" t="s">
        <v>5977</v>
      </c>
      <c r="F5112" s="207" t="s">
        <v>5978</v>
      </c>
      <c r="G5112" s="207" t="s">
        <v>3563</v>
      </c>
      <c r="H5112" s="175"/>
      <c r="I5112" s="85">
        <f t="shared" si="200"/>
        <v>0.72427586960078905</v>
      </c>
      <c r="J5112" s="209">
        <v>5.3</v>
      </c>
      <c r="K5112" s="144"/>
      <c r="L5112" s="62">
        <v>153</v>
      </c>
    </row>
    <row r="5113" spans="1:16" ht="28" x14ac:dyDescent="0.15">
      <c r="A5113" s="62" t="s">
        <v>7029</v>
      </c>
      <c r="B5113" s="117" t="s">
        <v>1108</v>
      </c>
      <c r="C5113" s="207" t="s">
        <v>3636</v>
      </c>
      <c r="D5113" s="77" t="s">
        <v>2548</v>
      </c>
      <c r="E5113" s="207" t="s">
        <v>5977</v>
      </c>
      <c r="F5113" s="207" t="s">
        <v>5978</v>
      </c>
      <c r="G5113" s="207" t="s">
        <v>1109</v>
      </c>
      <c r="H5113" s="175"/>
      <c r="I5113" s="85">
        <f t="shared" si="200"/>
        <v>0.74036268949424389</v>
      </c>
      <c r="J5113" s="209">
        <v>5.5</v>
      </c>
      <c r="K5113" s="144"/>
      <c r="L5113" s="62">
        <v>153</v>
      </c>
    </row>
    <row r="5114" spans="1:16" ht="28" x14ac:dyDescent="0.15">
      <c r="A5114" s="62" t="s">
        <v>7029</v>
      </c>
      <c r="B5114" s="117" t="s">
        <v>1105</v>
      </c>
      <c r="C5114" s="207" t="s">
        <v>3636</v>
      </c>
      <c r="D5114" s="77" t="s">
        <v>2548</v>
      </c>
      <c r="E5114" s="207" t="s">
        <v>5977</v>
      </c>
      <c r="F5114" s="207" t="s">
        <v>5978</v>
      </c>
      <c r="G5114" s="207" t="s">
        <v>962</v>
      </c>
      <c r="H5114" s="175"/>
      <c r="I5114" s="85">
        <f t="shared" si="200"/>
        <v>0.74036268949424389</v>
      </c>
      <c r="J5114" s="209">
        <v>5.5</v>
      </c>
      <c r="K5114" s="144"/>
      <c r="L5114" s="62">
        <v>153</v>
      </c>
    </row>
    <row r="5115" spans="1:16" ht="28" x14ac:dyDescent="0.15">
      <c r="A5115" s="62" t="s">
        <v>7029</v>
      </c>
      <c r="B5115" s="119" t="s">
        <v>963</v>
      </c>
      <c r="C5115" s="208" t="s">
        <v>3636</v>
      </c>
      <c r="D5115" s="77" t="s">
        <v>2548</v>
      </c>
      <c r="E5115" s="208" t="s">
        <v>5977</v>
      </c>
      <c r="F5115" s="208" t="s">
        <v>5978</v>
      </c>
      <c r="G5115" s="208" t="s">
        <v>1024</v>
      </c>
      <c r="H5115" s="179"/>
      <c r="I5115" s="103">
        <v>0.744292983122676</v>
      </c>
      <c r="J5115" s="209">
        <v>5.55</v>
      </c>
      <c r="K5115" s="143"/>
      <c r="L5115" s="61">
        <v>153</v>
      </c>
      <c r="M5115" s="35"/>
      <c r="N5115" s="35"/>
      <c r="O5115" s="35"/>
      <c r="P5115" s="35"/>
    </row>
    <row r="5116" spans="1:16" ht="14" x14ac:dyDescent="0.15">
      <c r="A5116" s="62" t="s">
        <v>7029</v>
      </c>
      <c r="B5116" s="117" t="s">
        <v>795</v>
      </c>
      <c r="C5116" s="207" t="s">
        <v>3636</v>
      </c>
      <c r="D5116" s="77" t="s">
        <v>2548</v>
      </c>
      <c r="E5116" s="207" t="s">
        <v>5977</v>
      </c>
      <c r="F5116" s="207" t="s">
        <v>5978</v>
      </c>
      <c r="G5116" s="207" t="s">
        <v>1084</v>
      </c>
      <c r="H5116" s="175"/>
      <c r="I5116" s="98">
        <f>LOG(J5116)</f>
        <v>0.82930377283102497</v>
      </c>
      <c r="J5116" s="123">
        <v>6.75</v>
      </c>
      <c r="K5116" s="135"/>
      <c r="L5116" s="62">
        <v>251</v>
      </c>
    </row>
    <row r="5117" spans="1:16" ht="42" x14ac:dyDescent="0.15">
      <c r="A5117" s="62" t="s">
        <v>7029</v>
      </c>
      <c r="B5117" s="117" t="s">
        <v>1033</v>
      </c>
      <c r="C5117" s="207" t="s">
        <v>3636</v>
      </c>
      <c r="D5117" s="77" t="s">
        <v>2548</v>
      </c>
      <c r="E5117" s="207" t="s">
        <v>5977</v>
      </c>
      <c r="F5117" s="207" t="s">
        <v>5978</v>
      </c>
      <c r="G5117" s="207" t="s">
        <v>7937</v>
      </c>
      <c r="H5117" s="175"/>
      <c r="I5117" s="98">
        <f>LOG(J5117)</f>
        <v>0.91381385238371671</v>
      </c>
      <c r="J5117" s="123">
        <v>8.1999999999999993</v>
      </c>
      <c r="K5117" s="135"/>
      <c r="L5117" s="62">
        <v>-999</v>
      </c>
    </row>
    <row r="5118" spans="1:16" ht="28" x14ac:dyDescent="0.15">
      <c r="A5118" s="62" t="s">
        <v>7029</v>
      </c>
      <c r="B5118" s="117" t="s">
        <v>213</v>
      </c>
      <c r="C5118" s="207" t="s">
        <v>3636</v>
      </c>
      <c r="D5118" s="77" t="s">
        <v>2548</v>
      </c>
      <c r="E5118" s="207" t="s">
        <v>5977</v>
      </c>
      <c r="F5118" s="207" t="s">
        <v>1073</v>
      </c>
      <c r="G5118" s="207" t="s">
        <v>1074</v>
      </c>
      <c r="H5118" s="175"/>
      <c r="I5118" s="85">
        <f>LOG(J5118)</f>
        <v>0.56229286445647475</v>
      </c>
      <c r="J5118" s="209">
        <v>3.65</v>
      </c>
      <c r="K5118" s="144"/>
      <c r="L5118" s="62">
        <v>153</v>
      </c>
    </row>
    <row r="5119" spans="1:16" ht="42" x14ac:dyDescent="0.15">
      <c r="A5119" s="62" t="s">
        <v>7029</v>
      </c>
      <c r="B5119" s="117" t="s">
        <v>212</v>
      </c>
      <c r="C5119" s="207" t="s">
        <v>3636</v>
      </c>
      <c r="D5119" s="77" t="s">
        <v>2548</v>
      </c>
      <c r="E5119" s="207" t="s">
        <v>5977</v>
      </c>
      <c r="F5119" s="207" t="s">
        <v>1073</v>
      </c>
      <c r="G5119" s="207" t="s">
        <v>1090</v>
      </c>
      <c r="H5119" s="175"/>
      <c r="I5119" s="85">
        <f>LOG(J5119)</f>
        <v>0.64836001098093166</v>
      </c>
      <c r="J5119" s="209">
        <v>4.45</v>
      </c>
      <c r="K5119" s="144"/>
      <c r="L5119" s="62">
        <v>153</v>
      </c>
    </row>
    <row r="5120" spans="1:16" ht="14" x14ac:dyDescent="0.15">
      <c r="A5120" s="62" t="s">
        <v>7029</v>
      </c>
      <c r="B5120" s="117" t="s">
        <v>150</v>
      </c>
      <c r="C5120" s="207" t="s">
        <v>3636</v>
      </c>
      <c r="D5120" s="77" t="s">
        <v>2548</v>
      </c>
      <c r="E5120" s="207" t="s">
        <v>5977</v>
      </c>
      <c r="F5120" s="207" t="s">
        <v>151</v>
      </c>
      <c r="G5120" s="207" t="s">
        <v>152</v>
      </c>
      <c r="H5120" s="175"/>
      <c r="I5120" s="98">
        <v>-999</v>
      </c>
      <c r="J5120" s="123">
        <v>-999</v>
      </c>
      <c r="K5120" s="135"/>
      <c r="L5120" s="62">
        <v>-999</v>
      </c>
    </row>
    <row r="5121" spans="1:15" ht="14" x14ac:dyDescent="0.15">
      <c r="A5121" s="70" t="s">
        <v>7029</v>
      </c>
      <c r="B5121" s="118"/>
      <c r="C5121" s="121" t="s">
        <v>3636</v>
      </c>
      <c r="D5121" s="121" t="s">
        <v>4189</v>
      </c>
      <c r="E5121" s="121" t="s">
        <v>4190</v>
      </c>
      <c r="F5121" s="121" t="s">
        <v>4184</v>
      </c>
      <c r="G5121" s="121" t="s">
        <v>6923</v>
      </c>
      <c r="H5121" s="93"/>
      <c r="I5121" s="85">
        <f t="shared" ref="I5121:I5184" si="201">LOG(J5121)</f>
        <v>2.3603100000000006</v>
      </c>
      <c r="J5121" s="122">
        <v>229.25034610086669</v>
      </c>
      <c r="K5121" s="131" t="s">
        <v>6391</v>
      </c>
      <c r="L5121" s="60">
        <v>60</v>
      </c>
      <c r="M5121" s="49" t="s">
        <v>6392</v>
      </c>
    </row>
    <row r="5122" spans="1:15" ht="14" x14ac:dyDescent="0.15">
      <c r="A5122" s="70" t="s">
        <v>7029</v>
      </c>
      <c r="B5122" s="118"/>
      <c r="C5122" s="121" t="s">
        <v>3636</v>
      </c>
      <c r="D5122" s="121" t="s">
        <v>4189</v>
      </c>
      <c r="E5122" s="121" t="s">
        <v>4190</v>
      </c>
      <c r="F5122" s="121" t="s">
        <v>4184</v>
      </c>
      <c r="G5122" s="121" t="s">
        <v>2897</v>
      </c>
      <c r="H5122" s="93"/>
      <c r="I5122" s="85">
        <f t="shared" si="201"/>
        <v>2.4727600000000001</v>
      </c>
      <c r="J5122" s="122">
        <v>297.00242820745564</v>
      </c>
      <c r="K5122" s="131" t="s">
        <v>6391</v>
      </c>
      <c r="L5122" s="60">
        <v>60</v>
      </c>
      <c r="M5122" s="49" t="s">
        <v>6728</v>
      </c>
    </row>
    <row r="5123" spans="1:15" ht="14" x14ac:dyDescent="0.15">
      <c r="A5123" s="70" t="s">
        <v>7029</v>
      </c>
      <c r="B5123" s="118"/>
      <c r="C5123" s="121" t="s">
        <v>3636</v>
      </c>
      <c r="D5123" s="121" t="s">
        <v>4189</v>
      </c>
      <c r="E5123" s="121" t="s">
        <v>4190</v>
      </c>
      <c r="F5123" s="121" t="s">
        <v>4184</v>
      </c>
      <c r="G5123" s="121" t="s">
        <v>4197</v>
      </c>
      <c r="H5123" s="93"/>
      <c r="I5123" s="85">
        <f t="shared" si="201"/>
        <v>2.5118800000000001</v>
      </c>
      <c r="J5123" s="122">
        <v>324.99748485427989</v>
      </c>
      <c r="K5123" s="131" t="s">
        <v>6391</v>
      </c>
      <c r="L5123" s="60">
        <v>60</v>
      </c>
      <c r="M5123" s="49" t="s">
        <v>6392</v>
      </c>
    </row>
    <row r="5124" spans="1:15" ht="14" x14ac:dyDescent="0.15">
      <c r="A5124" s="70" t="s">
        <v>7029</v>
      </c>
      <c r="B5124" s="118"/>
      <c r="C5124" s="121" t="s">
        <v>3636</v>
      </c>
      <c r="D5124" s="121" t="s">
        <v>4189</v>
      </c>
      <c r="E5124" s="121" t="s">
        <v>4190</v>
      </c>
      <c r="F5124" s="121" t="s">
        <v>3297</v>
      </c>
      <c r="G5124" s="121" t="s">
        <v>3298</v>
      </c>
      <c r="H5124" s="93"/>
      <c r="I5124" s="85">
        <f t="shared" si="201"/>
        <v>2.3979400000000002</v>
      </c>
      <c r="J5124" s="122">
        <v>249.99999500797404</v>
      </c>
      <c r="K5124" s="131" t="s">
        <v>6391</v>
      </c>
      <c r="L5124" s="60">
        <v>61</v>
      </c>
      <c r="M5124" s="49" t="s">
        <v>6728</v>
      </c>
    </row>
    <row r="5125" spans="1:15" ht="14" x14ac:dyDescent="0.15">
      <c r="A5125" s="70" t="s">
        <v>7029</v>
      </c>
      <c r="B5125" s="118"/>
      <c r="C5125" s="121" t="s">
        <v>3636</v>
      </c>
      <c r="D5125" s="121" t="s">
        <v>4189</v>
      </c>
      <c r="E5125" s="121" t="s">
        <v>4190</v>
      </c>
      <c r="F5125" s="121" t="s">
        <v>2898</v>
      </c>
      <c r="G5125" s="121" t="s">
        <v>3989</v>
      </c>
      <c r="H5125" s="93"/>
      <c r="I5125" s="85">
        <f t="shared" si="201"/>
        <v>2.9758900000000001</v>
      </c>
      <c r="J5125" s="122">
        <v>945.99752464115022</v>
      </c>
      <c r="K5125" s="131" t="s">
        <v>3177</v>
      </c>
      <c r="L5125" s="60">
        <v>60</v>
      </c>
      <c r="M5125" s="50"/>
    </row>
    <row r="5126" spans="1:15" ht="14" x14ac:dyDescent="0.15">
      <c r="A5126" s="73" t="s">
        <v>7029</v>
      </c>
      <c r="B5126" s="118"/>
      <c r="C5126" s="121" t="s">
        <v>3636</v>
      </c>
      <c r="D5126" s="121" t="s">
        <v>4189</v>
      </c>
      <c r="E5126" s="121" t="s">
        <v>4190</v>
      </c>
      <c r="F5126" s="121" t="s">
        <v>6912</v>
      </c>
      <c r="G5126" s="121" t="s">
        <v>4198</v>
      </c>
      <c r="H5126" s="93"/>
      <c r="I5126" s="85">
        <f t="shared" si="201"/>
        <v>2.9561700000000006</v>
      </c>
      <c r="J5126" s="122">
        <v>904.00326702938889</v>
      </c>
      <c r="K5126" s="131" t="s">
        <v>3177</v>
      </c>
      <c r="L5126" s="60">
        <v>60</v>
      </c>
      <c r="M5126" s="50"/>
    </row>
    <row r="5127" spans="1:15" ht="14" x14ac:dyDescent="0.15">
      <c r="A5127" s="70" t="s">
        <v>7029</v>
      </c>
      <c r="B5127" s="118"/>
      <c r="C5127" s="121" t="s">
        <v>3636</v>
      </c>
      <c r="D5127" s="121" t="s">
        <v>4189</v>
      </c>
      <c r="E5127" s="121" t="s">
        <v>4190</v>
      </c>
      <c r="F5127" s="121" t="s">
        <v>6912</v>
      </c>
      <c r="G5127" s="121" t="s">
        <v>2996</v>
      </c>
      <c r="H5127" s="93"/>
      <c r="I5127" s="85">
        <f t="shared" si="201"/>
        <v>3.0378900000000004</v>
      </c>
      <c r="J5127" s="122">
        <v>1091.1639266880236</v>
      </c>
      <c r="K5127" s="131" t="s">
        <v>3177</v>
      </c>
      <c r="L5127" s="60">
        <v>60</v>
      </c>
      <c r="M5127" s="50"/>
    </row>
    <row r="5128" spans="1:15" ht="14" x14ac:dyDescent="0.15">
      <c r="A5128" s="70" t="s">
        <v>7029</v>
      </c>
      <c r="B5128" s="118"/>
      <c r="C5128" s="121" t="s">
        <v>3636</v>
      </c>
      <c r="D5128" s="121" t="s">
        <v>4189</v>
      </c>
      <c r="E5128" s="121" t="s">
        <v>4190</v>
      </c>
      <c r="F5128" s="121" t="s">
        <v>6912</v>
      </c>
      <c r="G5128" s="121" t="s">
        <v>4199</v>
      </c>
      <c r="H5128" s="93"/>
      <c r="I5128" s="85">
        <f t="shared" si="201"/>
        <v>3.0659500000000004</v>
      </c>
      <c r="J5128" s="122">
        <v>1163.9920121632088</v>
      </c>
      <c r="K5128" s="131" t="s">
        <v>3177</v>
      </c>
      <c r="L5128" s="69">
        <v>61</v>
      </c>
      <c r="M5128" s="50"/>
    </row>
    <row r="5129" spans="1:15" ht="14" x14ac:dyDescent="0.15">
      <c r="A5129" s="70" t="s">
        <v>7029</v>
      </c>
      <c r="B5129" s="118"/>
      <c r="C5129" s="121" t="s">
        <v>3636</v>
      </c>
      <c r="D5129" s="121" t="s">
        <v>4189</v>
      </c>
      <c r="E5129" s="121" t="s">
        <v>4190</v>
      </c>
      <c r="F5129" s="121" t="s">
        <v>4366</v>
      </c>
      <c r="G5129" s="121" t="s">
        <v>4367</v>
      </c>
      <c r="H5129" s="93"/>
      <c r="I5129" s="85">
        <f t="shared" si="201"/>
        <v>2.0569000000000006</v>
      </c>
      <c r="J5129" s="122">
        <v>113.99872655699784</v>
      </c>
      <c r="K5129" s="131" t="s">
        <v>6391</v>
      </c>
      <c r="L5129" s="69">
        <v>61</v>
      </c>
      <c r="M5129" s="50" t="s">
        <v>6728</v>
      </c>
    </row>
    <row r="5130" spans="1:15" ht="14" x14ac:dyDescent="0.15">
      <c r="A5130" s="70" t="s">
        <v>7029</v>
      </c>
      <c r="B5130" s="118"/>
      <c r="C5130" s="121" t="s">
        <v>3636</v>
      </c>
      <c r="D5130" s="121" t="s">
        <v>4189</v>
      </c>
      <c r="E5130" s="121" t="s">
        <v>4190</v>
      </c>
      <c r="F5130" s="121" t="s">
        <v>4368</v>
      </c>
      <c r="G5130" s="121" t="s">
        <v>7133</v>
      </c>
      <c r="H5130" s="93"/>
      <c r="I5130" s="85">
        <f t="shared" si="201"/>
        <v>0.88081000000000009</v>
      </c>
      <c r="J5130" s="122">
        <v>7.5999371366152699</v>
      </c>
      <c r="K5130" s="131" t="s">
        <v>6391</v>
      </c>
      <c r="L5130" s="69">
        <v>61</v>
      </c>
      <c r="M5130" s="50" t="s">
        <v>6728</v>
      </c>
    </row>
    <row r="5131" spans="1:15" ht="14" x14ac:dyDescent="0.15">
      <c r="A5131" s="70" t="s">
        <v>7029</v>
      </c>
      <c r="B5131" s="118"/>
      <c r="C5131" s="121" t="s">
        <v>3636</v>
      </c>
      <c r="D5131" s="121" t="s">
        <v>4189</v>
      </c>
      <c r="E5131" s="121" t="s">
        <v>4190</v>
      </c>
      <c r="F5131" s="121" t="s">
        <v>4368</v>
      </c>
      <c r="G5131" s="121" t="s">
        <v>4219</v>
      </c>
      <c r="H5131" s="93"/>
      <c r="I5131" s="85">
        <f t="shared" si="201"/>
        <v>1.2552700000000003</v>
      </c>
      <c r="J5131" s="122">
        <v>17.999896172455941</v>
      </c>
      <c r="K5131" s="131" t="s">
        <v>6391</v>
      </c>
      <c r="L5131" s="69">
        <v>61</v>
      </c>
      <c r="M5131" s="50" t="s">
        <v>6728</v>
      </c>
    </row>
    <row r="5132" spans="1:15" ht="14" x14ac:dyDescent="0.15">
      <c r="A5132" s="70" t="s">
        <v>7029</v>
      </c>
      <c r="B5132" s="118"/>
      <c r="C5132" s="121" t="s">
        <v>3636</v>
      </c>
      <c r="D5132" s="121" t="s">
        <v>4189</v>
      </c>
      <c r="E5132" s="121" t="s">
        <v>4190</v>
      </c>
      <c r="F5132" s="121" t="s">
        <v>4368</v>
      </c>
      <c r="G5132" s="121" t="s">
        <v>4373</v>
      </c>
      <c r="H5132" s="93"/>
      <c r="I5132" s="85">
        <f t="shared" si="201"/>
        <v>1.3117500000000002</v>
      </c>
      <c r="J5132" s="122">
        <v>20.499817747416984</v>
      </c>
      <c r="K5132" s="131" t="s">
        <v>6391</v>
      </c>
      <c r="L5132" s="69">
        <v>61</v>
      </c>
      <c r="M5132" s="50" t="s">
        <v>6809</v>
      </c>
      <c r="O5132" s="51"/>
    </row>
    <row r="5133" spans="1:15" ht="14" x14ac:dyDescent="0.15">
      <c r="A5133" s="70" t="s">
        <v>7029</v>
      </c>
      <c r="B5133" s="118"/>
      <c r="C5133" s="121" t="s">
        <v>3636</v>
      </c>
      <c r="D5133" s="121" t="s">
        <v>4189</v>
      </c>
      <c r="E5133" s="121" t="s">
        <v>4190</v>
      </c>
      <c r="F5133" s="121" t="s">
        <v>4368</v>
      </c>
      <c r="G5133" s="121" t="s">
        <v>4218</v>
      </c>
      <c r="H5133" s="93"/>
      <c r="I5133" s="85">
        <f t="shared" si="201"/>
        <v>1.3424199999999999</v>
      </c>
      <c r="J5133" s="122">
        <v>21.999864198351659</v>
      </c>
      <c r="K5133" s="131" t="s">
        <v>6391</v>
      </c>
      <c r="L5133" s="69">
        <v>61</v>
      </c>
      <c r="M5133" s="50" t="s">
        <v>6392</v>
      </c>
    </row>
    <row r="5134" spans="1:15" ht="14" x14ac:dyDescent="0.15">
      <c r="A5134" s="70" t="s">
        <v>7029</v>
      </c>
      <c r="B5134" s="118"/>
      <c r="C5134" s="121" t="s">
        <v>3636</v>
      </c>
      <c r="D5134" s="121" t="s">
        <v>4189</v>
      </c>
      <c r="E5134" s="121" t="s">
        <v>4190</v>
      </c>
      <c r="F5134" s="121" t="s">
        <v>4368</v>
      </c>
      <c r="G5134" s="121" t="s">
        <v>7134</v>
      </c>
      <c r="H5134" s="93"/>
      <c r="I5134" s="85">
        <f t="shared" si="201"/>
        <v>1.3765799999999999</v>
      </c>
      <c r="J5134" s="122">
        <v>23.800166758528491</v>
      </c>
      <c r="K5134" s="131" t="s">
        <v>6630</v>
      </c>
      <c r="L5134" s="69">
        <v>61</v>
      </c>
      <c r="M5134" s="50" t="s">
        <v>6392</v>
      </c>
    </row>
    <row r="5135" spans="1:15" ht="14" x14ac:dyDescent="0.15">
      <c r="A5135" s="70" t="s">
        <v>7029</v>
      </c>
      <c r="B5135" s="118"/>
      <c r="C5135" s="121" t="s">
        <v>3636</v>
      </c>
      <c r="D5135" s="121" t="s">
        <v>4189</v>
      </c>
      <c r="E5135" s="121" t="s">
        <v>4190</v>
      </c>
      <c r="F5135" s="121" t="s">
        <v>4368</v>
      </c>
      <c r="G5135" s="121" t="s">
        <v>7135</v>
      </c>
      <c r="H5135" s="93"/>
      <c r="I5135" s="85">
        <f t="shared" si="201"/>
        <v>1.4913600000000002</v>
      </c>
      <c r="J5135" s="122">
        <v>30.999879094111858</v>
      </c>
      <c r="K5135" s="131" t="s">
        <v>6630</v>
      </c>
      <c r="L5135" s="69">
        <v>61</v>
      </c>
      <c r="M5135" s="50" t="s">
        <v>6392</v>
      </c>
      <c r="N5135" s="35"/>
    </row>
    <row r="5136" spans="1:15" ht="28" x14ac:dyDescent="0.15">
      <c r="A5136" s="70" t="s">
        <v>7029</v>
      </c>
      <c r="B5136" s="118"/>
      <c r="C5136" s="121" t="s">
        <v>3636</v>
      </c>
      <c r="D5136" s="121" t="s">
        <v>4189</v>
      </c>
      <c r="E5136" s="121" t="s">
        <v>4190</v>
      </c>
      <c r="F5136" s="121" t="s">
        <v>7136</v>
      </c>
      <c r="G5136" s="121" t="s">
        <v>7137</v>
      </c>
      <c r="H5136" s="93"/>
      <c r="I5136" s="85">
        <f t="shared" si="201"/>
        <v>1.8808100000000001</v>
      </c>
      <c r="J5136" s="122">
        <v>75.999371366152715</v>
      </c>
      <c r="K5136" s="131" t="s">
        <v>7875</v>
      </c>
      <c r="L5136" s="69">
        <v>61</v>
      </c>
      <c r="M5136" s="50" t="s">
        <v>6728</v>
      </c>
    </row>
    <row r="5137" spans="1:15" ht="14" x14ac:dyDescent="0.15">
      <c r="A5137" s="70" t="s">
        <v>7029</v>
      </c>
      <c r="B5137" s="118"/>
      <c r="C5137" s="121" t="s">
        <v>3636</v>
      </c>
      <c r="D5137" s="121" t="s">
        <v>4189</v>
      </c>
      <c r="E5137" s="121" t="s">
        <v>4190</v>
      </c>
      <c r="F5137" s="121" t="s">
        <v>4220</v>
      </c>
      <c r="G5137" s="121" t="s">
        <v>4321</v>
      </c>
      <c r="H5137" s="108"/>
      <c r="I5137" s="85">
        <f t="shared" si="201"/>
        <v>2.7302200000000005</v>
      </c>
      <c r="J5137" s="122">
        <v>537.30390879618881</v>
      </c>
      <c r="K5137" s="131" t="s">
        <v>3177</v>
      </c>
      <c r="L5137" s="69">
        <v>61</v>
      </c>
      <c r="M5137" s="50"/>
    </row>
    <row r="5138" spans="1:15" ht="14" x14ac:dyDescent="0.15">
      <c r="A5138" s="70" t="s">
        <v>7029</v>
      </c>
      <c r="B5138" s="118"/>
      <c r="C5138" s="121" t="s">
        <v>3636</v>
      </c>
      <c r="D5138" s="121" t="s">
        <v>4189</v>
      </c>
      <c r="E5138" s="121" t="s">
        <v>4190</v>
      </c>
      <c r="F5138" s="121" t="s">
        <v>4192</v>
      </c>
      <c r="G5138" s="121" t="s">
        <v>4222</v>
      </c>
      <c r="H5138" s="93"/>
      <c r="I5138" s="85">
        <f t="shared" si="201"/>
        <v>1.1461300000000003</v>
      </c>
      <c r="J5138" s="122">
        <v>14.000063322395309</v>
      </c>
      <c r="K5138" s="131" t="s">
        <v>6630</v>
      </c>
      <c r="L5138" s="60">
        <v>60</v>
      </c>
      <c r="M5138" s="50" t="s">
        <v>6392</v>
      </c>
      <c r="O5138" s="51"/>
    </row>
    <row r="5139" spans="1:15" ht="16" x14ac:dyDescent="0.2">
      <c r="A5139" s="70" t="s">
        <v>7029</v>
      </c>
      <c r="B5139" s="118"/>
      <c r="C5139" s="121" t="s">
        <v>3636</v>
      </c>
      <c r="D5139" s="121" t="s">
        <v>4189</v>
      </c>
      <c r="E5139" s="121" t="s">
        <v>4190</v>
      </c>
      <c r="F5139" s="121" t="s">
        <v>4192</v>
      </c>
      <c r="G5139" s="121" t="s">
        <v>4125</v>
      </c>
      <c r="H5139" s="93"/>
      <c r="I5139" s="85">
        <f t="shared" si="201"/>
        <v>1.414973347970818</v>
      </c>
      <c r="J5139" s="122">
        <v>26</v>
      </c>
      <c r="K5139" s="131" t="s">
        <v>3177</v>
      </c>
      <c r="L5139" s="69">
        <v>61</v>
      </c>
      <c r="M5139" s="50"/>
      <c r="N5139" s="48"/>
      <c r="O5139" s="51"/>
    </row>
    <row r="5140" spans="1:15" ht="14" x14ac:dyDescent="0.15">
      <c r="A5140" s="70" t="s">
        <v>7029</v>
      </c>
      <c r="B5140" s="118"/>
      <c r="C5140" s="121" t="s">
        <v>3636</v>
      </c>
      <c r="D5140" s="121" t="s">
        <v>4189</v>
      </c>
      <c r="E5140" s="121" t="s">
        <v>4190</v>
      </c>
      <c r="F5140" s="121" t="s">
        <v>4192</v>
      </c>
      <c r="G5140" s="121" t="s">
        <v>6935</v>
      </c>
      <c r="H5140" s="93"/>
      <c r="I5140" s="85">
        <f t="shared" si="201"/>
        <v>1.5105500000000003</v>
      </c>
      <c r="J5140" s="122">
        <v>32.400372259471993</v>
      </c>
      <c r="K5140" s="131" t="s">
        <v>6630</v>
      </c>
      <c r="L5140" s="69">
        <v>61</v>
      </c>
      <c r="M5140" s="50" t="s">
        <v>6727</v>
      </c>
    </row>
    <row r="5141" spans="1:15" ht="14" x14ac:dyDescent="0.15">
      <c r="A5141" s="70" t="s">
        <v>7029</v>
      </c>
      <c r="B5141" s="118"/>
      <c r="C5141" s="121" t="s">
        <v>3636</v>
      </c>
      <c r="D5141" s="121" t="s">
        <v>4189</v>
      </c>
      <c r="E5141" s="121" t="s">
        <v>4190</v>
      </c>
      <c r="F5141" s="121" t="s">
        <v>4192</v>
      </c>
      <c r="G5141" s="121" t="s">
        <v>6936</v>
      </c>
      <c r="H5141" s="93"/>
      <c r="I5141" s="85">
        <f t="shared" si="201"/>
        <v>1.6646400000000001</v>
      </c>
      <c r="J5141" s="122">
        <v>46.199789841940884</v>
      </c>
      <c r="K5141" s="131" t="s">
        <v>6816</v>
      </c>
      <c r="L5141" s="69">
        <v>61</v>
      </c>
      <c r="M5141" s="50" t="s">
        <v>6390</v>
      </c>
    </row>
    <row r="5142" spans="1:15" ht="14" x14ac:dyDescent="0.15">
      <c r="A5142" s="70" t="s">
        <v>7029</v>
      </c>
      <c r="B5142" s="118"/>
      <c r="C5142" s="121" t="s">
        <v>3636</v>
      </c>
      <c r="D5142" s="121" t="s">
        <v>4189</v>
      </c>
      <c r="E5142" s="121" t="s">
        <v>4190</v>
      </c>
      <c r="F5142" s="121" t="s">
        <v>4192</v>
      </c>
      <c r="G5142" s="121" t="s">
        <v>4221</v>
      </c>
      <c r="H5142" s="93"/>
      <c r="I5142" s="85">
        <f t="shared" si="201"/>
        <v>1.6757800000000003</v>
      </c>
      <c r="J5142" s="122">
        <v>47.400180994237154</v>
      </c>
      <c r="K5142" s="131" t="s">
        <v>6816</v>
      </c>
      <c r="L5142" s="69">
        <v>61</v>
      </c>
      <c r="M5142" s="50" t="s">
        <v>6809</v>
      </c>
    </row>
    <row r="5143" spans="1:15" ht="16" x14ac:dyDescent="0.2">
      <c r="A5143" s="73" t="s">
        <v>7029</v>
      </c>
      <c r="B5143" s="118"/>
      <c r="C5143" s="121" t="s">
        <v>3636</v>
      </c>
      <c r="D5143" s="121" t="s">
        <v>4189</v>
      </c>
      <c r="E5143" s="121" t="s">
        <v>4190</v>
      </c>
      <c r="F5143" s="121" t="s">
        <v>4192</v>
      </c>
      <c r="G5143" s="121" t="s">
        <v>4194</v>
      </c>
      <c r="H5143" s="93"/>
      <c r="I5143" s="85">
        <f t="shared" si="201"/>
        <v>1.69417</v>
      </c>
      <c r="J5143" s="122">
        <v>49.450421757337679</v>
      </c>
      <c r="K5143" s="131" t="s">
        <v>3177</v>
      </c>
      <c r="L5143" s="60">
        <v>60</v>
      </c>
      <c r="M5143" s="50"/>
      <c r="N5143" s="48"/>
    </row>
    <row r="5144" spans="1:15" ht="14" x14ac:dyDescent="0.15">
      <c r="A5144" s="70" t="s">
        <v>7029</v>
      </c>
      <c r="B5144" s="118"/>
      <c r="C5144" s="121" t="s">
        <v>3636</v>
      </c>
      <c r="D5144" s="121" t="s">
        <v>4189</v>
      </c>
      <c r="E5144" s="121" t="s">
        <v>4190</v>
      </c>
      <c r="F5144" s="121" t="s">
        <v>4192</v>
      </c>
      <c r="G5144" s="121" t="s">
        <v>4360</v>
      </c>
      <c r="H5144" s="93"/>
      <c r="I5144" s="85">
        <f t="shared" si="201"/>
        <v>1.7533300000000003</v>
      </c>
      <c r="J5144" s="122">
        <v>56.666971121453471</v>
      </c>
      <c r="K5144" s="131" t="s">
        <v>3177</v>
      </c>
      <c r="L5144" s="60">
        <v>60</v>
      </c>
      <c r="M5144" s="50"/>
    </row>
    <row r="5145" spans="1:15" ht="14" x14ac:dyDescent="0.15">
      <c r="A5145" s="70" t="s">
        <v>7029</v>
      </c>
      <c r="B5145" s="118"/>
      <c r="C5145" s="121" t="s">
        <v>3636</v>
      </c>
      <c r="D5145" s="121" t="s">
        <v>4189</v>
      </c>
      <c r="E5145" s="121" t="s">
        <v>4190</v>
      </c>
      <c r="F5145" s="121" t="s">
        <v>4192</v>
      </c>
      <c r="G5145" s="121" t="s">
        <v>4361</v>
      </c>
      <c r="H5145" s="93"/>
      <c r="I5145" s="85">
        <f t="shared" si="201"/>
        <v>1.7993399999999999</v>
      </c>
      <c r="J5145" s="122">
        <v>62.999920294741955</v>
      </c>
      <c r="K5145" s="131" t="s">
        <v>3177</v>
      </c>
      <c r="L5145" s="69">
        <v>61</v>
      </c>
      <c r="M5145" s="50"/>
    </row>
    <row r="5146" spans="1:15" ht="14" x14ac:dyDescent="0.15">
      <c r="A5146" s="70" t="s">
        <v>7029</v>
      </c>
      <c r="B5146" s="118"/>
      <c r="C5146" s="121" t="s">
        <v>3636</v>
      </c>
      <c r="D5146" s="121" t="s">
        <v>4189</v>
      </c>
      <c r="E5146" s="121" t="s">
        <v>4190</v>
      </c>
      <c r="F5146" s="121" t="s">
        <v>6937</v>
      </c>
      <c r="G5146" s="121" t="s">
        <v>2383</v>
      </c>
      <c r="H5146" s="93"/>
      <c r="I5146" s="85">
        <f t="shared" si="201"/>
        <v>1.1760900000000003</v>
      </c>
      <c r="J5146" s="122">
        <v>14.999956513820401</v>
      </c>
      <c r="K5146" s="131" t="s">
        <v>6391</v>
      </c>
      <c r="L5146" s="60">
        <v>60</v>
      </c>
      <c r="M5146" s="50" t="s">
        <v>6392</v>
      </c>
    </row>
    <row r="5147" spans="1:15" ht="14" x14ac:dyDescent="0.15">
      <c r="A5147" s="70" t="s">
        <v>7029</v>
      </c>
      <c r="B5147" s="118"/>
      <c r="C5147" s="121" t="s">
        <v>3636</v>
      </c>
      <c r="D5147" s="121" t="s">
        <v>4189</v>
      </c>
      <c r="E5147" s="121" t="s">
        <v>4190</v>
      </c>
      <c r="F5147" s="121" t="s">
        <v>6937</v>
      </c>
      <c r="G5147" s="121" t="s">
        <v>2382</v>
      </c>
      <c r="H5147" s="93"/>
      <c r="I5147" s="85">
        <f t="shared" si="201"/>
        <v>1.32222</v>
      </c>
      <c r="J5147" s="122">
        <v>21.000034102666138</v>
      </c>
      <c r="K5147" s="131" t="s">
        <v>3177</v>
      </c>
      <c r="L5147" s="69">
        <v>61</v>
      </c>
    </row>
    <row r="5148" spans="1:15" ht="28" x14ac:dyDescent="0.2">
      <c r="A5148" s="73" t="s">
        <v>7029</v>
      </c>
      <c r="B5148" s="118"/>
      <c r="C5148" s="121" t="s">
        <v>3636</v>
      </c>
      <c r="D5148" s="121" t="s">
        <v>4189</v>
      </c>
      <c r="E5148" s="121" t="s">
        <v>4190</v>
      </c>
      <c r="F5148" s="121" t="s">
        <v>6937</v>
      </c>
      <c r="G5148" s="121" t="s">
        <v>4490</v>
      </c>
      <c r="H5148" s="93"/>
      <c r="I5148" s="85">
        <f t="shared" si="201"/>
        <v>1.4065400000000001</v>
      </c>
      <c r="J5148" s="122">
        <v>25.499989405656549</v>
      </c>
      <c r="K5148" s="131" t="s">
        <v>7875</v>
      </c>
      <c r="L5148" s="69">
        <v>61</v>
      </c>
      <c r="M5148" s="50" t="s">
        <v>6390</v>
      </c>
      <c r="N5148" s="48"/>
    </row>
    <row r="5149" spans="1:15" ht="14" x14ac:dyDescent="0.15">
      <c r="A5149" s="70" t="s">
        <v>7029</v>
      </c>
      <c r="B5149" s="118"/>
      <c r="C5149" s="121" t="s">
        <v>3636</v>
      </c>
      <c r="D5149" s="121" t="s">
        <v>4189</v>
      </c>
      <c r="E5149" s="121" t="s">
        <v>4190</v>
      </c>
      <c r="F5149" s="121" t="s">
        <v>6937</v>
      </c>
      <c r="G5149" s="121" t="s">
        <v>4820</v>
      </c>
      <c r="H5149" s="93"/>
      <c r="I5149" s="85">
        <f t="shared" si="201"/>
        <v>1.4653799999999999</v>
      </c>
      <c r="J5149" s="122">
        <v>29.199808282112837</v>
      </c>
      <c r="K5149" s="131" t="s">
        <v>3177</v>
      </c>
      <c r="L5149" s="69">
        <v>61</v>
      </c>
    </row>
    <row r="5150" spans="1:15" ht="14" x14ac:dyDescent="0.15">
      <c r="A5150" s="70" t="s">
        <v>7029</v>
      </c>
      <c r="B5150" s="118"/>
      <c r="C5150" s="121" t="s">
        <v>3636</v>
      </c>
      <c r="D5150" s="121" t="s">
        <v>4189</v>
      </c>
      <c r="E5150" s="121" t="s">
        <v>4190</v>
      </c>
      <c r="F5150" s="121" t="s">
        <v>6937</v>
      </c>
      <c r="G5150" s="121" t="s">
        <v>4818</v>
      </c>
      <c r="H5150" s="93"/>
      <c r="I5150" s="85">
        <f t="shared" si="201"/>
        <v>1.4871400000000001</v>
      </c>
      <c r="J5150" s="122">
        <v>30.700114836696603</v>
      </c>
      <c r="K5150" s="131" t="s">
        <v>6816</v>
      </c>
      <c r="L5150" s="69">
        <v>61</v>
      </c>
      <c r="M5150" s="50" t="s">
        <v>6809</v>
      </c>
    </row>
    <row r="5151" spans="1:15" ht="14" x14ac:dyDescent="0.15">
      <c r="A5151" s="70" t="s">
        <v>7029</v>
      </c>
      <c r="B5151" s="118"/>
      <c r="C5151" s="121" t="s">
        <v>3636</v>
      </c>
      <c r="D5151" s="121" t="s">
        <v>4189</v>
      </c>
      <c r="E5151" s="121" t="s">
        <v>4190</v>
      </c>
      <c r="F5151" s="121" t="s">
        <v>6937</v>
      </c>
      <c r="G5151" s="121" t="s">
        <v>4491</v>
      </c>
      <c r="H5151" s="93"/>
      <c r="I5151" s="85">
        <f t="shared" si="201"/>
        <v>1.57403</v>
      </c>
      <c r="J5151" s="122">
        <v>37.499890535749245</v>
      </c>
      <c r="K5151" s="131" t="s">
        <v>6391</v>
      </c>
      <c r="L5151" s="69">
        <v>61</v>
      </c>
      <c r="M5151" s="50" t="s">
        <v>6728</v>
      </c>
    </row>
    <row r="5152" spans="1:15" ht="14" x14ac:dyDescent="0.15">
      <c r="A5152" s="70" t="s">
        <v>7029</v>
      </c>
      <c r="B5152" s="118"/>
      <c r="C5152" s="121" t="s">
        <v>3636</v>
      </c>
      <c r="D5152" s="121" t="s">
        <v>4189</v>
      </c>
      <c r="E5152" s="121" t="s">
        <v>4190</v>
      </c>
      <c r="F5152" s="121" t="s">
        <v>6937</v>
      </c>
      <c r="G5152" s="121" t="s">
        <v>4819</v>
      </c>
      <c r="H5152" s="93"/>
      <c r="I5152" s="85">
        <f t="shared" si="201"/>
        <v>1.6074550232146685</v>
      </c>
      <c r="J5152" s="122">
        <v>40.5</v>
      </c>
      <c r="K5152" s="131" t="s">
        <v>6391</v>
      </c>
      <c r="L5152" s="69">
        <v>61</v>
      </c>
      <c r="M5152" s="50" t="s">
        <v>6392</v>
      </c>
      <c r="O5152" s="51"/>
    </row>
    <row r="5153" spans="1:13" ht="14" x14ac:dyDescent="0.15">
      <c r="A5153" s="73" t="s">
        <v>7029</v>
      </c>
      <c r="B5153" s="118"/>
      <c r="C5153" s="121" t="s">
        <v>3636</v>
      </c>
      <c r="D5153" s="121" t="s">
        <v>4189</v>
      </c>
      <c r="E5153" s="121" t="s">
        <v>4190</v>
      </c>
      <c r="F5153" s="121" t="s">
        <v>6937</v>
      </c>
      <c r="G5153" s="121" t="s">
        <v>4817</v>
      </c>
      <c r="H5153" s="93"/>
      <c r="I5153" s="85">
        <f t="shared" si="201"/>
        <v>1.7781500000000001</v>
      </c>
      <c r="J5153" s="122">
        <v>59.999827253364401</v>
      </c>
      <c r="K5153" s="131" t="s">
        <v>6391</v>
      </c>
      <c r="L5153" s="60">
        <v>60</v>
      </c>
      <c r="M5153" s="50" t="s">
        <v>6392</v>
      </c>
    </row>
    <row r="5154" spans="1:13" ht="14" x14ac:dyDescent="0.15">
      <c r="A5154" s="70" t="s">
        <v>7029</v>
      </c>
      <c r="B5154" s="118"/>
      <c r="C5154" s="121" t="s">
        <v>3636</v>
      </c>
      <c r="D5154" s="121" t="s">
        <v>4189</v>
      </c>
      <c r="E5154" s="121" t="s">
        <v>4190</v>
      </c>
      <c r="F5154" s="121" t="s">
        <v>6937</v>
      </c>
      <c r="G5154" s="121" t="s">
        <v>2097</v>
      </c>
      <c r="H5154" s="93"/>
      <c r="I5154" s="85">
        <f t="shared" si="201"/>
        <v>1.7944900000000001</v>
      </c>
      <c r="J5154" s="122">
        <v>62.300280209425821</v>
      </c>
      <c r="K5154" s="131" t="s">
        <v>6391</v>
      </c>
      <c r="L5154" s="60">
        <v>60</v>
      </c>
      <c r="M5154" s="50" t="s">
        <v>6392</v>
      </c>
    </row>
    <row r="5155" spans="1:13" ht="14" x14ac:dyDescent="0.15">
      <c r="A5155" s="70" t="s">
        <v>7029</v>
      </c>
      <c r="B5155" s="118"/>
      <c r="C5155" s="121" t="s">
        <v>3636</v>
      </c>
      <c r="D5155" s="121" t="s">
        <v>4189</v>
      </c>
      <c r="E5155" s="121" t="s">
        <v>4190</v>
      </c>
      <c r="F5155" s="121" t="s">
        <v>2384</v>
      </c>
      <c r="G5155" s="121" t="s">
        <v>2385</v>
      </c>
      <c r="H5155" s="93"/>
      <c r="I5155" s="85">
        <f t="shared" si="201"/>
        <v>2.5740312677277188</v>
      </c>
      <c r="J5155" s="122">
        <v>375</v>
      </c>
      <c r="K5155" s="131" t="s">
        <v>3177</v>
      </c>
      <c r="L5155" s="69">
        <v>61</v>
      </c>
    </row>
    <row r="5156" spans="1:13" ht="14" x14ac:dyDescent="0.15">
      <c r="A5156" s="73" t="s">
        <v>7029</v>
      </c>
      <c r="B5156" s="118"/>
      <c r="C5156" s="121" t="s">
        <v>3636</v>
      </c>
      <c r="D5156" s="121" t="s">
        <v>4189</v>
      </c>
      <c r="E5156" s="121" t="s">
        <v>4190</v>
      </c>
      <c r="F5156" s="121" t="s">
        <v>2228</v>
      </c>
      <c r="G5156" s="121" t="s">
        <v>4488</v>
      </c>
      <c r="H5156" s="93"/>
      <c r="I5156" s="85">
        <f t="shared" si="201"/>
        <v>1.8793826371743427</v>
      </c>
      <c r="J5156" s="122">
        <v>75.75</v>
      </c>
      <c r="K5156" s="131" t="s">
        <v>3177</v>
      </c>
      <c r="L5156" s="69">
        <v>61</v>
      </c>
    </row>
    <row r="5157" spans="1:13" ht="14" x14ac:dyDescent="0.15">
      <c r="A5157" s="70" t="s">
        <v>7029</v>
      </c>
      <c r="B5157" s="118"/>
      <c r="C5157" s="121" t="s">
        <v>3636</v>
      </c>
      <c r="D5157" s="121" t="s">
        <v>4189</v>
      </c>
      <c r="E5157" s="121" t="s">
        <v>4190</v>
      </c>
      <c r="F5157" s="121" t="s">
        <v>2228</v>
      </c>
      <c r="G5157" s="121" t="s">
        <v>2369</v>
      </c>
      <c r="H5157" s="93"/>
      <c r="I5157" s="85">
        <f t="shared" si="201"/>
        <v>1.9542400000000002</v>
      </c>
      <c r="J5157" s="122">
        <v>89.999479963720162</v>
      </c>
      <c r="K5157" s="131" t="s">
        <v>6630</v>
      </c>
      <c r="L5157" s="69">
        <v>61</v>
      </c>
      <c r="M5157" s="49" t="s">
        <v>6392</v>
      </c>
    </row>
    <row r="5158" spans="1:13" ht="14" x14ac:dyDescent="0.15">
      <c r="A5158" s="70" t="s">
        <v>7029</v>
      </c>
      <c r="B5158" s="118"/>
      <c r="C5158" s="121" t="s">
        <v>3636</v>
      </c>
      <c r="D5158" s="121" t="s">
        <v>4189</v>
      </c>
      <c r="E5158" s="121" t="s">
        <v>4190</v>
      </c>
      <c r="F5158" s="121" t="s">
        <v>2228</v>
      </c>
      <c r="G5158" s="121" t="s">
        <v>1969</v>
      </c>
      <c r="H5158" s="93"/>
      <c r="I5158" s="85">
        <f t="shared" si="201"/>
        <v>2.0740799999999999</v>
      </c>
      <c r="J5158" s="122">
        <v>118.59871949616971</v>
      </c>
      <c r="K5158" s="131" t="s">
        <v>3177</v>
      </c>
      <c r="L5158" s="69">
        <v>61</v>
      </c>
    </row>
    <row r="5159" spans="1:13" ht="14" x14ac:dyDescent="0.15">
      <c r="A5159" s="70" t="s">
        <v>7029</v>
      </c>
      <c r="B5159" s="118"/>
      <c r="C5159" s="121" t="s">
        <v>3636</v>
      </c>
      <c r="D5159" s="121" t="s">
        <v>4189</v>
      </c>
      <c r="E5159" s="121" t="s">
        <v>4190</v>
      </c>
      <c r="F5159" s="121" t="s">
        <v>2228</v>
      </c>
      <c r="G5159" s="121" t="s">
        <v>2229</v>
      </c>
      <c r="H5159" s="93"/>
      <c r="I5159" s="85">
        <f t="shared" si="201"/>
        <v>2.1215600000000001</v>
      </c>
      <c r="J5159" s="122">
        <v>132.30004746548298</v>
      </c>
      <c r="K5159" s="131" t="s">
        <v>3177</v>
      </c>
      <c r="L5159" s="69">
        <v>61</v>
      </c>
      <c r="M5159" s="49" t="s">
        <v>6392</v>
      </c>
    </row>
    <row r="5160" spans="1:13" ht="14" x14ac:dyDescent="0.15">
      <c r="A5160" s="73" t="s">
        <v>7029</v>
      </c>
      <c r="B5160" s="118"/>
      <c r="C5160" s="121" t="s">
        <v>3636</v>
      </c>
      <c r="D5160" s="121" t="s">
        <v>4189</v>
      </c>
      <c r="E5160" s="121" t="s">
        <v>4190</v>
      </c>
      <c r="F5160" s="121" t="s">
        <v>2119</v>
      </c>
      <c r="G5160" s="121" t="s">
        <v>4500</v>
      </c>
      <c r="H5160" s="93"/>
      <c r="I5160" s="85">
        <f t="shared" si="201"/>
        <v>1.05308</v>
      </c>
      <c r="J5160" s="122">
        <v>11.300040499406762</v>
      </c>
      <c r="K5160" s="131" t="s">
        <v>6391</v>
      </c>
      <c r="L5160" s="69">
        <v>61</v>
      </c>
      <c r="M5160" s="49" t="s">
        <v>6390</v>
      </c>
    </row>
    <row r="5161" spans="1:13" ht="14" x14ac:dyDescent="0.15">
      <c r="A5161" s="70" t="s">
        <v>7029</v>
      </c>
      <c r="B5161" s="118"/>
      <c r="C5161" s="121" t="s">
        <v>3636</v>
      </c>
      <c r="D5161" s="121" t="s">
        <v>4189</v>
      </c>
      <c r="E5161" s="121" t="s">
        <v>4190</v>
      </c>
      <c r="F5161" s="121" t="s">
        <v>2119</v>
      </c>
      <c r="G5161" s="121" t="s">
        <v>3176</v>
      </c>
      <c r="H5161" s="93"/>
      <c r="I5161" s="85">
        <f t="shared" si="201"/>
        <v>1.29003</v>
      </c>
      <c r="J5161" s="122">
        <v>19.499792949034692</v>
      </c>
      <c r="K5161" s="131" t="s">
        <v>6391</v>
      </c>
      <c r="L5161" s="60">
        <v>60</v>
      </c>
      <c r="M5161" s="49" t="s">
        <v>6392</v>
      </c>
    </row>
    <row r="5162" spans="1:13" ht="14" x14ac:dyDescent="0.15">
      <c r="A5162" s="70" t="s">
        <v>7029</v>
      </c>
      <c r="B5162" s="118"/>
      <c r="C5162" s="121" t="s">
        <v>3636</v>
      </c>
      <c r="D5162" s="121" t="s">
        <v>4189</v>
      </c>
      <c r="E5162" s="121" t="s">
        <v>4190</v>
      </c>
      <c r="F5162" s="121" t="s">
        <v>2119</v>
      </c>
      <c r="G5162" s="121" t="s">
        <v>7098</v>
      </c>
      <c r="H5162" s="93"/>
      <c r="I5162" s="85">
        <f t="shared" si="201"/>
        <v>1.5440700000000003</v>
      </c>
      <c r="J5162" s="122">
        <v>35.000157607101464</v>
      </c>
      <c r="K5162" s="131" t="s">
        <v>3177</v>
      </c>
      <c r="L5162" s="69">
        <v>61</v>
      </c>
    </row>
    <row r="5163" spans="1:13" ht="14" x14ac:dyDescent="0.15">
      <c r="A5163" s="70" t="s">
        <v>7029</v>
      </c>
      <c r="B5163" s="118"/>
      <c r="C5163" s="121" t="s">
        <v>3636</v>
      </c>
      <c r="D5163" s="121" t="s">
        <v>4189</v>
      </c>
      <c r="E5163" s="121" t="s">
        <v>4190</v>
      </c>
      <c r="F5163" s="121" t="s">
        <v>2119</v>
      </c>
      <c r="G5163" s="121" t="s">
        <v>7133</v>
      </c>
      <c r="H5163" s="93"/>
      <c r="I5163" s="85">
        <f t="shared" si="201"/>
        <v>1.60206</v>
      </c>
      <c r="J5163" s="122">
        <v>40.000000798724201</v>
      </c>
      <c r="K5163" s="131" t="s">
        <v>6391</v>
      </c>
      <c r="L5163" s="60">
        <v>60</v>
      </c>
      <c r="M5163" s="49" t="s">
        <v>6728</v>
      </c>
    </row>
    <row r="5164" spans="1:13" ht="14" x14ac:dyDescent="0.15">
      <c r="A5164" s="70" t="s">
        <v>7029</v>
      </c>
      <c r="B5164" s="118"/>
      <c r="C5164" s="121" t="s">
        <v>3636</v>
      </c>
      <c r="D5164" s="121" t="s">
        <v>4189</v>
      </c>
      <c r="E5164" s="121" t="s">
        <v>4190</v>
      </c>
      <c r="F5164" s="121" t="s">
        <v>2119</v>
      </c>
      <c r="G5164" s="121" t="s">
        <v>4670</v>
      </c>
      <c r="H5164" s="93"/>
      <c r="I5164" s="85">
        <f t="shared" si="201"/>
        <v>1.6580100000000002</v>
      </c>
      <c r="J5164" s="122">
        <v>45.499853675791265</v>
      </c>
      <c r="K5164" s="131" t="s">
        <v>6391</v>
      </c>
      <c r="L5164" s="69">
        <v>61</v>
      </c>
      <c r="M5164" s="49" t="s">
        <v>6728</v>
      </c>
    </row>
    <row r="5165" spans="1:13" ht="14" x14ac:dyDescent="0.15">
      <c r="A5165" s="70" t="s">
        <v>7029</v>
      </c>
      <c r="B5165" s="118"/>
      <c r="C5165" s="121" t="s">
        <v>3636</v>
      </c>
      <c r="D5165" s="121" t="s">
        <v>4189</v>
      </c>
      <c r="E5165" s="121" t="s">
        <v>4190</v>
      </c>
      <c r="F5165" s="121" t="s">
        <v>2119</v>
      </c>
      <c r="G5165" s="121" t="s">
        <v>4800</v>
      </c>
      <c r="H5165" s="93"/>
      <c r="I5165" s="85">
        <f t="shared" si="201"/>
        <v>1.6812400000000001</v>
      </c>
      <c r="J5165" s="122">
        <v>47.999863240390923</v>
      </c>
      <c r="K5165" s="131" t="s">
        <v>6391</v>
      </c>
      <c r="L5165" s="69">
        <v>61</v>
      </c>
      <c r="M5165" s="49" t="s">
        <v>6728</v>
      </c>
    </row>
    <row r="5166" spans="1:13" ht="14" x14ac:dyDescent="0.15">
      <c r="A5166" s="70" t="s">
        <v>7029</v>
      </c>
      <c r="B5166" s="118"/>
      <c r="C5166" s="121" t="s">
        <v>3636</v>
      </c>
      <c r="D5166" s="121" t="s">
        <v>4189</v>
      </c>
      <c r="E5166" s="121" t="s">
        <v>4190</v>
      </c>
      <c r="F5166" s="121" t="s">
        <v>2119</v>
      </c>
      <c r="G5166" s="121" t="s">
        <v>1987</v>
      </c>
      <c r="H5166" s="93"/>
      <c r="I5166" s="85">
        <f t="shared" si="201"/>
        <v>1.7427300000000001</v>
      </c>
      <c r="J5166" s="122">
        <v>55.300619948837905</v>
      </c>
      <c r="K5166" s="131" t="s">
        <v>6391</v>
      </c>
      <c r="L5166" s="69">
        <v>61</v>
      </c>
      <c r="M5166" s="49" t="s">
        <v>6728</v>
      </c>
    </row>
    <row r="5167" spans="1:13" ht="14" x14ac:dyDescent="0.15">
      <c r="A5167" s="70" t="s">
        <v>7029</v>
      </c>
      <c r="B5167" s="118"/>
      <c r="C5167" s="121" t="s">
        <v>3636</v>
      </c>
      <c r="D5167" s="121" t="s">
        <v>4189</v>
      </c>
      <c r="E5167" s="121" t="s">
        <v>4190</v>
      </c>
      <c r="F5167" s="121" t="s">
        <v>2119</v>
      </c>
      <c r="G5167" s="121" t="s">
        <v>7049</v>
      </c>
      <c r="H5167" s="93"/>
      <c r="I5167" s="85">
        <f t="shared" si="201"/>
        <v>1.7634300000000003</v>
      </c>
      <c r="J5167" s="122">
        <v>58.000267960159121</v>
      </c>
      <c r="K5167" s="131" t="s">
        <v>6391</v>
      </c>
      <c r="L5167" s="60">
        <v>60</v>
      </c>
      <c r="M5167" s="49" t="s">
        <v>6392</v>
      </c>
    </row>
    <row r="5168" spans="1:13" ht="14" x14ac:dyDescent="0.15">
      <c r="A5168" s="70" t="s">
        <v>7029</v>
      </c>
      <c r="B5168" s="118"/>
      <c r="C5168" s="121" t="s">
        <v>3636</v>
      </c>
      <c r="D5168" s="121" t="s">
        <v>4189</v>
      </c>
      <c r="E5168" s="121" t="s">
        <v>4190</v>
      </c>
      <c r="F5168" s="121" t="s">
        <v>2119</v>
      </c>
      <c r="G5168" s="121" t="s">
        <v>4497</v>
      </c>
      <c r="H5168" s="93"/>
      <c r="I5168" s="85">
        <f t="shared" si="201"/>
        <v>1.8427700000000002</v>
      </c>
      <c r="J5168" s="122">
        <v>69.625768216492915</v>
      </c>
      <c r="K5168" s="131" t="s">
        <v>3177</v>
      </c>
      <c r="L5168" s="60">
        <v>60</v>
      </c>
    </row>
    <row r="5169" spans="1:15" ht="14" x14ac:dyDescent="0.15">
      <c r="A5169" s="70" t="s">
        <v>7029</v>
      </c>
      <c r="B5169" s="118"/>
      <c r="C5169" s="121" t="s">
        <v>3636</v>
      </c>
      <c r="D5169" s="121" t="s">
        <v>4189</v>
      </c>
      <c r="E5169" s="121" t="s">
        <v>4190</v>
      </c>
      <c r="F5169" s="121" t="s">
        <v>2119</v>
      </c>
      <c r="G5169" s="121" t="s">
        <v>4498</v>
      </c>
      <c r="H5169" s="93"/>
      <c r="I5169" s="85">
        <f t="shared" si="201"/>
        <v>1.8536999999999999</v>
      </c>
      <c r="J5169" s="122">
        <v>71.400293992784455</v>
      </c>
      <c r="K5169" s="131" t="s">
        <v>3177</v>
      </c>
      <c r="L5169" s="69">
        <v>61</v>
      </c>
    </row>
    <row r="5170" spans="1:15" ht="14" x14ac:dyDescent="0.15">
      <c r="A5170" s="73" t="s">
        <v>7029</v>
      </c>
      <c r="B5170" s="118"/>
      <c r="C5170" s="121" t="s">
        <v>3636</v>
      </c>
      <c r="D5170" s="121" t="s">
        <v>4189</v>
      </c>
      <c r="E5170" s="121" t="s">
        <v>4190</v>
      </c>
      <c r="F5170" s="121" t="s">
        <v>2119</v>
      </c>
      <c r="G5170" s="121" t="s">
        <v>4499</v>
      </c>
      <c r="H5170" s="93"/>
      <c r="I5170" s="85">
        <f t="shared" si="201"/>
        <v>2.04922</v>
      </c>
      <c r="J5170" s="122">
        <v>112.00050993381923</v>
      </c>
      <c r="K5170" s="131" t="s">
        <v>6391</v>
      </c>
      <c r="L5170" s="69">
        <v>61</v>
      </c>
      <c r="M5170" s="49" t="s">
        <v>6392</v>
      </c>
    </row>
    <row r="5171" spans="1:15" ht="14" x14ac:dyDescent="0.15">
      <c r="A5171" s="70" t="s">
        <v>7029</v>
      </c>
      <c r="B5171" s="118"/>
      <c r="C5171" s="121" t="s">
        <v>3636</v>
      </c>
      <c r="D5171" s="121" t="s">
        <v>4189</v>
      </c>
      <c r="E5171" s="121" t="s">
        <v>4190</v>
      </c>
      <c r="F5171" s="121" t="s">
        <v>2119</v>
      </c>
      <c r="G5171" s="121" t="s">
        <v>4501</v>
      </c>
      <c r="H5171" s="93"/>
      <c r="I5171" s="85">
        <f t="shared" si="201"/>
        <v>2.04922</v>
      </c>
      <c r="J5171" s="122">
        <v>112.00050993381923</v>
      </c>
      <c r="K5171" s="131" t="s">
        <v>6391</v>
      </c>
      <c r="L5171" s="69">
        <v>61</v>
      </c>
      <c r="M5171" s="49" t="s">
        <v>6728</v>
      </c>
    </row>
    <row r="5172" spans="1:15" ht="14" x14ac:dyDescent="0.15">
      <c r="A5172" s="70" t="s">
        <v>7029</v>
      </c>
      <c r="B5172" s="118"/>
      <c r="C5172" s="121" t="s">
        <v>3636</v>
      </c>
      <c r="D5172" s="121" t="s">
        <v>4189</v>
      </c>
      <c r="E5172" s="121" t="s">
        <v>4190</v>
      </c>
      <c r="F5172" s="121" t="s">
        <v>2119</v>
      </c>
      <c r="G5172" s="121" t="s">
        <v>1986</v>
      </c>
      <c r="H5172" s="93"/>
      <c r="I5172" s="85">
        <f t="shared" si="201"/>
        <v>2.04922</v>
      </c>
      <c r="J5172" s="122">
        <v>112.00050993381923</v>
      </c>
      <c r="K5172" s="131" t="s">
        <v>6391</v>
      </c>
      <c r="L5172" s="69">
        <v>61</v>
      </c>
      <c r="M5172" s="49" t="s">
        <v>6728</v>
      </c>
    </row>
    <row r="5173" spans="1:15" ht="14" x14ac:dyDescent="0.15">
      <c r="A5173" s="70" t="s">
        <v>7029</v>
      </c>
      <c r="B5173" s="118"/>
      <c r="C5173" s="121" t="s">
        <v>3636</v>
      </c>
      <c r="D5173" s="121" t="s">
        <v>4189</v>
      </c>
      <c r="E5173" s="121" t="s">
        <v>4190</v>
      </c>
      <c r="F5173" s="121" t="s">
        <v>2119</v>
      </c>
      <c r="G5173" s="121" t="s">
        <v>4671</v>
      </c>
      <c r="H5173" s="93"/>
      <c r="I5173" s="85">
        <f t="shared" si="201"/>
        <v>2.8698199999999998</v>
      </c>
      <c r="J5173" s="122">
        <v>741.00305757985143</v>
      </c>
      <c r="K5173" s="131" t="s">
        <v>6391</v>
      </c>
      <c r="L5173" s="69">
        <v>61</v>
      </c>
      <c r="M5173" s="49" t="s">
        <v>6728</v>
      </c>
    </row>
    <row r="5174" spans="1:15" ht="14" x14ac:dyDescent="0.15">
      <c r="A5174" s="70" t="s">
        <v>7029</v>
      </c>
      <c r="B5174" s="118"/>
      <c r="C5174" s="121" t="s">
        <v>3636</v>
      </c>
      <c r="D5174" s="121" t="s">
        <v>4189</v>
      </c>
      <c r="E5174" s="121" t="s">
        <v>4190</v>
      </c>
      <c r="F5174" s="121" t="s">
        <v>4195</v>
      </c>
      <c r="G5174" s="121" t="s">
        <v>4221</v>
      </c>
      <c r="H5174" s="93"/>
      <c r="I5174" s="85">
        <f t="shared" si="201"/>
        <v>2.5118800000000001</v>
      </c>
      <c r="J5174" s="122">
        <v>324.99748485427989</v>
      </c>
      <c r="K5174" s="131" t="s">
        <v>3177</v>
      </c>
      <c r="L5174" s="69">
        <v>61</v>
      </c>
    </row>
    <row r="5175" spans="1:15" ht="14" x14ac:dyDescent="0.15">
      <c r="A5175" s="70" t="s">
        <v>7029</v>
      </c>
      <c r="B5175" s="118"/>
      <c r="C5175" s="121" t="s">
        <v>3636</v>
      </c>
      <c r="D5175" s="121" t="s">
        <v>4189</v>
      </c>
      <c r="E5175" s="121" t="s">
        <v>4190</v>
      </c>
      <c r="F5175" s="121" t="s">
        <v>4195</v>
      </c>
      <c r="G5175" s="121" t="s">
        <v>4196</v>
      </c>
      <c r="H5175" s="93"/>
      <c r="I5175" s="85">
        <f t="shared" si="201"/>
        <v>2.6242820958356683</v>
      </c>
      <c r="J5175" s="122">
        <v>421</v>
      </c>
      <c r="K5175" s="131" t="s">
        <v>3177</v>
      </c>
      <c r="L5175" s="69">
        <v>61</v>
      </c>
    </row>
    <row r="5176" spans="1:15" ht="14" x14ac:dyDescent="0.15">
      <c r="A5176" s="70" t="s">
        <v>7029</v>
      </c>
      <c r="B5176" s="118"/>
      <c r="C5176" s="121" t="s">
        <v>3636</v>
      </c>
      <c r="D5176" s="121" t="s">
        <v>4189</v>
      </c>
      <c r="E5176" s="121" t="s">
        <v>4190</v>
      </c>
      <c r="F5176" s="121" t="s">
        <v>1988</v>
      </c>
      <c r="G5176" s="121" t="s">
        <v>7155</v>
      </c>
      <c r="H5176" s="93"/>
      <c r="I5176" s="85">
        <f t="shared" si="201"/>
        <v>1.17319</v>
      </c>
      <c r="J5176" s="122">
        <v>14.900128025794254</v>
      </c>
      <c r="K5176" s="131" t="s">
        <v>3177</v>
      </c>
      <c r="L5176" s="69">
        <v>61</v>
      </c>
    </row>
    <row r="5177" spans="1:15" ht="14" x14ac:dyDescent="0.15">
      <c r="A5177" s="70" t="s">
        <v>7029</v>
      </c>
      <c r="B5177" s="118"/>
      <c r="C5177" s="121" t="s">
        <v>3636</v>
      </c>
      <c r="D5177" s="121" t="s">
        <v>4189</v>
      </c>
      <c r="E5177" s="121" t="s">
        <v>4190</v>
      </c>
      <c r="F5177" s="121" t="s">
        <v>1988</v>
      </c>
      <c r="G5177" s="121" t="s">
        <v>1990</v>
      </c>
      <c r="H5177" s="93"/>
      <c r="I5177" s="85">
        <f t="shared" si="201"/>
        <v>1.3159700000000003</v>
      </c>
      <c r="J5177" s="122">
        <v>20.699983534316814</v>
      </c>
      <c r="K5177" s="131" t="s">
        <v>6630</v>
      </c>
      <c r="L5177" s="69">
        <v>61</v>
      </c>
      <c r="M5177" s="49" t="s">
        <v>6392</v>
      </c>
    </row>
    <row r="5178" spans="1:15" ht="14" x14ac:dyDescent="0.15">
      <c r="A5178" s="70" t="s">
        <v>7029</v>
      </c>
      <c r="B5178" s="118"/>
      <c r="C5178" s="121" t="s">
        <v>3636</v>
      </c>
      <c r="D5178" s="121" t="s">
        <v>4189</v>
      </c>
      <c r="E5178" s="121" t="s">
        <v>4190</v>
      </c>
      <c r="F5178" s="121" t="s">
        <v>1988</v>
      </c>
      <c r="G5178" s="121" t="s">
        <v>1991</v>
      </c>
      <c r="H5178" s="93"/>
      <c r="I5178" s="85">
        <f t="shared" si="201"/>
        <v>1.3159700000000003</v>
      </c>
      <c r="J5178" s="122">
        <v>20.699983534316814</v>
      </c>
      <c r="K5178" s="131" t="s">
        <v>3177</v>
      </c>
      <c r="L5178" s="69">
        <v>61</v>
      </c>
      <c r="O5178" s="51"/>
    </row>
    <row r="5179" spans="1:15" ht="16" x14ac:dyDescent="0.2">
      <c r="A5179" s="70" t="s">
        <v>7029</v>
      </c>
      <c r="B5179" s="118"/>
      <c r="C5179" s="121" t="s">
        <v>3636</v>
      </c>
      <c r="D5179" s="121" t="s">
        <v>4189</v>
      </c>
      <c r="E5179" s="121" t="s">
        <v>4190</v>
      </c>
      <c r="F5179" s="121" t="s">
        <v>1988</v>
      </c>
      <c r="G5179" s="121" t="s">
        <v>1989</v>
      </c>
      <c r="H5179" s="93"/>
      <c r="I5179" s="85">
        <f t="shared" si="201"/>
        <v>1.4609000000000003</v>
      </c>
      <c r="J5179" s="122">
        <v>28.900143553494715</v>
      </c>
      <c r="K5179" s="131" t="s">
        <v>3177</v>
      </c>
      <c r="L5179" s="69">
        <v>61</v>
      </c>
      <c r="N5179" s="48"/>
    </row>
    <row r="5180" spans="1:15" ht="14" x14ac:dyDescent="0.15">
      <c r="A5180" s="70" t="s">
        <v>7029</v>
      </c>
      <c r="B5180" s="118"/>
      <c r="C5180" s="121" t="s">
        <v>3636</v>
      </c>
      <c r="D5180" s="121" t="s">
        <v>4189</v>
      </c>
      <c r="E5180" s="121" t="s">
        <v>4190</v>
      </c>
      <c r="F5180" s="121" t="s">
        <v>1988</v>
      </c>
      <c r="G5180" s="121" t="s">
        <v>7156</v>
      </c>
      <c r="H5180" s="93"/>
      <c r="I5180" s="85">
        <f t="shared" si="201"/>
        <v>1.6127800000000003</v>
      </c>
      <c r="J5180" s="122">
        <v>40.999635904176493</v>
      </c>
      <c r="K5180" s="131" t="s">
        <v>3177</v>
      </c>
      <c r="L5180" s="69">
        <v>60</v>
      </c>
    </row>
    <row r="5181" spans="1:15" ht="14" x14ac:dyDescent="0.15">
      <c r="A5181" s="73" t="s">
        <v>7029</v>
      </c>
      <c r="B5181" s="118"/>
      <c r="C5181" s="121" t="s">
        <v>3636</v>
      </c>
      <c r="D5181" s="121" t="s">
        <v>7012</v>
      </c>
      <c r="E5181" s="121" t="s">
        <v>4722</v>
      </c>
      <c r="F5181" s="121" t="s">
        <v>7087</v>
      </c>
      <c r="G5181" s="121" t="s">
        <v>7090</v>
      </c>
      <c r="H5181" s="93"/>
      <c r="I5181" s="85">
        <f t="shared" si="201"/>
        <v>0.99564000000000008</v>
      </c>
      <c r="J5181" s="122">
        <v>9.9001095426017063</v>
      </c>
      <c r="K5181" s="131" t="s">
        <v>3177</v>
      </c>
      <c r="L5181" s="69">
        <v>61</v>
      </c>
    </row>
    <row r="5182" spans="1:15" ht="16" x14ac:dyDescent="0.2">
      <c r="A5182" s="70" t="s">
        <v>7029</v>
      </c>
      <c r="B5182" s="118"/>
      <c r="C5182" s="121" t="s">
        <v>3636</v>
      </c>
      <c r="D5182" s="121" t="s">
        <v>7012</v>
      </c>
      <c r="E5182" s="121" t="s">
        <v>4722</v>
      </c>
      <c r="F5182" s="121" t="s">
        <v>7087</v>
      </c>
      <c r="G5182" s="121" t="s">
        <v>2124</v>
      </c>
      <c r="H5182" s="93"/>
      <c r="I5182" s="85">
        <f t="shared" si="201"/>
        <v>1.0413900000000003</v>
      </c>
      <c r="J5182" s="122">
        <v>10.999931989351939</v>
      </c>
      <c r="K5182" s="131" t="s">
        <v>3177</v>
      </c>
      <c r="L5182" s="69">
        <v>61</v>
      </c>
      <c r="N5182" s="48"/>
    </row>
    <row r="5183" spans="1:15" ht="14" x14ac:dyDescent="0.15">
      <c r="A5183" s="70" t="s">
        <v>7029</v>
      </c>
      <c r="B5183" s="118"/>
      <c r="C5183" s="121" t="s">
        <v>3636</v>
      </c>
      <c r="D5183" s="121" t="s">
        <v>7012</v>
      </c>
      <c r="E5183" s="121" t="s">
        <v>4722</v>
      </c>
      <c r="F5183" s="121" t="s">
        <v>7087</v>
      </c>
      <c r="G5183" s="121" t="s">
        <v>4668</v>
      </c>
      <c r="H5183" s="93"/>
      <c r="I5183" s="85">
        <f t="shared" si="201"/>
        <v>1.0413900000000003</v>
      </c>
      <c r="J5183" s="122">
        <v>10.999931989351939</v>
      </c>
      <c r="K5183" s="131" t="s">
        <v>3177</v>
      </c>
      <c r="L5183" s="69">
        <v>61</v>
      </c>
    </row>
    <row r="5184" spans="1:15" ht="14" x14ac:dyDescent="0.15">
      <c r="A5184" s="70" t="s">
        <v>7029</v>
      </c>
      <c r="B5184" s="118"/>
      <c r="C5184" s="121" t="s">
        <v>3636</v>
      </c>
      <c r="D5184" s="121" t="s">
        <v>7012</v>
      </c>
      <c r="E5184" s="121" t="s">
        <v>4722</v>
      </c>
      <c r="F5184" s="121" t="s">
        <v>7087</v>
      </c>
      <c r="G5184" s="121" t="s">
        <v>1985</v>
      </c>
      <c r="H5184" s="93"/>
      <c r="I5184" s="85">
        <f t="shared" si="201"/>
        <v>1.05308</v>
      </c>
      <c r="J5184" s="122">
        <v>11.300040499406762</v>
      </c>
      <c r="K5184" s="131" t="s">
        <v>3177</v>
      </c>
      <c r="L5184" s="69">
        <v>61</v>
      </c>
    </row>
    <row r="5185" spans="1:15" ht="14" x14ac:dyDescent="0.15">
      <c r="A5185" s="70" t="s">
        <v>7029</v>
      </c>
      <c r="B5185" s="118"/>
      <c r="C5185" s="121" t="s">
        <v>3636</v>
      </c>
      <c r="D5185" s="121" t="s">
        <v>7012</v>
      </c>
      <c r="E5185" s="121" t="s">
        <v>4722</v>
      </c>
      <c r="F5185" s="121" t="s">
        <v>7087</v>
      </c>
      <c r="G5185" s="121" t="s">
        <v>2120</v>
      </c>
      <c r="H5185" s="93"/>
      <c r="I5185" s="85">
        <f t="shared" ref="I5185:I5248" si="202">LOG(J5185)</f>
        <v>1.0632077891617746</v>
      </c>
      <c r="J5185" s="122">
        <f>AVERAGE(11.7, 11, 11.9999655704812)</f>
        <v>11.566655190160398</v>
      </c>
      <c r="K5185" s="131" t="s">
        <v>3177</v>
      </c>
      <c r="L5185" s="69" t="s">
        <v>1804</v>
      </c>
    </row>
    <row r="5186" spans="1:15" ht="14" x14ac:dyDescent="0.15">
      <c r="A5186" s="70" t="s">
        <v>7029</v>
      </c>
      <c r="B5186" s="118"/>
      <c r="C5186" s="121" t="s">
        <v>3636</v>
      </c>
      <c r="D5186" s="121" t="s">
        <v>7012</v>
      </c>
      <c r="E5186" s="121" t="s">
        <v>4722</v>
      </c>
      <c r="F5186" s="121" t="s">
        <v>7087</v>
      </c>
      <c r="G5186" s="121" t="s">
        <v>4669</v>
      </c>
      <c r="H5186" s="93"/>
      <c r="I5186" s="85">
        <f t="shared" si="202"/>
        <v>1.1003700000000003</v>
      </c>
      <c r="J5186" s="122">
        <v>12.599984184747296</v>
      </c>
      <c r="K5186" s="131" t="s">
        <v>3177</v>
      </c>
      <c r="L5186" s="69">
        <v>60</v>
      </c>
    </row>
    <row r="5187" spans="1:15" ht="14" x14ac:dyDescent="0.15">
      <c r="A5187" s="70" t="s">
        <v>7029</v>
      </c>
      <c r="B5187" s="118"/>
      <c r="C5187" s="121" t="s">
        <v>3636</v>
      </c>
      <c r="D5187" s="121" t="s">
        <v>7077</v>
      </c>
      <c r="E5187" s="121" t="s">
        <v>7078</v>
      </c>
      <c r="F5187" s="121" t="s">
        <v>2002</v>
      </c>
      <c r="G5187" s="121" t="s">
        <v>4285</v>
      </c>
      <c r="H5187" s="93"/>
      <c r="I5187" s="85">
        <f t="shared" si="202"/>
        <v>2.9777200000000006</v>
      </c>
      <c r="J5187" s="122">
        <v>949.99211362259632</v>
      </c>
      <c r="K5187" s="131" t="s">
        <v>3177</v>
      </c>
      <c r="L5187" s="60">
        <v>60</v>
      </c>
    </row>
    <row r="5188" spans="1:15" ht="14" x14ac:dyDescent="0.15">
      <c r="A5188" s="70" t="s">
        <v>7029</v>
      </c>
      <c r="B5188" s="118"/>
      <c r="C5188" s="121" t="s">
        <v>3636</v>
      </c>
      <c r="D5188" s="121" t="s">
        <v>7077</v>
      </c>
      <c r="E5188" s="121" t="s">
        <v>7078</v>
      </c>
      <c r="F5188" s="121" t="s">
        <v>2002</v>
      </c>
      <c r="G5188" s="121" t="s">
        <v>2098</v>
      </c>
      <c r="H5188" s="93"/>
      <c r="I5188" s="85">
        <f t="shared" si="202"/>
        <v>3.0692200000000005</v>
      </c>
      <c r="J5188" s="122">
        <v>1172.7893134796059</v>
      </c>
      <c r="K5188" s="131" t="s">
        <v>3177</v>
      </c>
      <c r="L5188" s="60">
        <v>60</v>
      </c>
      <c r="O5188" s="51"/>
    </row>
    <row r="5189" spans="1:15" ht="28" x14ac:dyDescent="0.15">
      <c r="A5189" s="70" t="s">
        <v>7029</v>
      </c>
      <c r="B5189" s="118"/>
      <c r="C5189" s="121" t="s">
        <v>3636</v>
      </c>
      <c r="D5189" s="121" t="s">
        <v>4093</v>
      </c>
      <c r="E5189" s="121" t="s">
        <v>6753</v>
      </c>
      <c r="F5189" s="121" t="s">
        <v>7032</v>
      </c>
      <c r="G5189" s="121" t="s">
        <v>6998</v>
      </c>
      <c r="H5189" s="93"/>
      <c r="I5189" s="85">
        <f t="shared" si="202"/>
        <v>1.3483000000000003</v>
      </c>
      <c r="J5189" s="122">
        <v>22.299750295314972</v>
      </c>
      <c r="K5189" s="131" t="s">
        <v>7875</v>
      </c>
      <c r="L5189" s="60">
        <v>60</v>
      </c>
      <c r="M5189" s="49" t="s">
        <v>6728</v>
      </c>
    </row>
    <row r="5190" spans="1:15" ht="14" x14ac:dyDescent="0.15">
      <c r="A5190" s="164" t="s">
        <v>7029</v>
      </c>
      <c r="B5190" s="120"/>
      <c r="C5190" s="124" t="s">
        <v>3636</v>
      </c>
      <c r="D5190" s="121" t="s">
        <v>1167</v>
      </c>
      <c r="E5190" s="124" t="s">
        <v>1904</v>
      </c>
      <c r="F5190" s="124" t="s">
        <v>1905</v>
      </c>
      <c r="G5190" s="124" t="s">
        <v>4243</v>
      </c>
      <c r="H5190" s="176"/>
      <c r="I5190" s="85">
        <f t="shared" si="202"/>
        <v>1.4440447959180762</v>
      </c>
      <c r="J5190" s="125">
        <v>27.8</v>
      </c>
      <c r="K5190" s="133" t="s">
        <v>3741</v>
      </c>
      <c r="L5190" s="65">
        <v>60</v>
      </c>
    </row>
    <row r="5191" spans="1:15" ht="16" x14ac:dyDescent="0.2">
      <c r="A5191" s="91" t="s">
        <v>7029</v>
      </c>
      <c r="B5191" s="120"/>
      <c r="C5191" s="124" t="s">
        <v>3636</v>
      </c>
      <c r="D5191" s="121" t="s">
        <v>1167</v>
      </c>
      <c r="E5191" s="124" t="s">
        <v>1904</v>
      </c>
      <c r="F5191" s="124" t="s">
        <v>1905</v>
      </c>
      <c r="G5191" s="124" t="s">
        <v>4274</v>
      </c>
      <c r="H5191" s="176"/>
      <c r="I5191" s="85">
        <f t="shared" si="202"/>
        <v>1.6020599913279623</v>
      </c>
      <c r="J5191" s="125">
        <v>40</v>
      </c>
      <c r="K5191" s="133" t="s">
        <v>3741</v>
      </c>
      <c r="L5191" s="65">
        <v>61</v>
      </c>
      <c r="N5191" s="48"/>
    </row>
    <row r="5192" spans="1:15" ht="14" x14ac:dyDescent="0.15">
      <c r="A5192" s="91" t="s">
        <v>7029</v>
      </c>
      <c r="B5192" s="120"/>
      <c r="C5192" s="124" t="s">
        <v>3636</v>
      </c>
      <c r="D5192" s="121" t="s">
        <v>1167</v>
      </c>
      <c r="E5192" s="124" t="s">
        <v>1904</v>
      </c>
      <c r="F5192" s="124" t="s">
        <v>1905</v>
      </c>
      <c r="G5192" s="124" t="s">
        <v>1916</v>
      </c>
      <c r="H5192" s="176"/>
      <c r="I5192" s="85">
        <f t="shared" si="202"/>
        <v>1.6020599913279623</v>
      </c>
      <c r="J5192" s="125">
        <v>40</v>
      </c>
      <c r="K5192" s="133" t="s">
        <v>3741</v>
      </c>
      <c r="L5192" s="65">
        <v>61</v>
      </c>
    </row>
    <row r="5193" spans="1:15" ht="14" x14ac:dyDescent="0.15">
      <c r="A5193" s="70" t="s">
        <v>7029</v>
      </c>
      <c r="B5193" s="118"/>
      <c r="C5193" s="121" t="s">
        <v>3636</v>
      </c>
      <c r="D5193" s="121" t="s">
        <v>1167</v>
      </c>
      <c r="E5193" s="121" t="s">
        <v>1904</v>
      </c>
      <c r="F5193" s="121" t="s">
        <v>1917</v>
      </c>
      <c r="G5193" s="121" t="s">
        <v>2141</v>
      </c>
      <c r="H5193" s="93"/>
      <c r="I5193" s="85">
        <f t="shared" si="202"/>
        <v>1.3242824552976926</v>
      </c>
      <c r="J5193" s="122">
        <v>21.1</v>
      </c>
      <c r="K5193" s="131" t="s">
        <v>3177</v>
      </c>
      <c r="L5193" s="69">
        <v>61</v>
      </c>
    </row>
    <row r="5194" spans="1:15" ht="14" x14ac:dyDescent="0.15">
      <c r="A5194" s="70" t="s">
        <v>7029</v>
      </c>
      <c r="B5194" s="118"/>
      <c r="C5194" s="121" t="s">
        <v>3636</v>
      </c>
      <c r="D5194" s="121" t="s">
        <v>1167</v>
      </c>
      <c r="E5194" s="121" t="s">
        <v>1904</v>
      </c>
      <c r="F5194" s="121" t="s">
        <v>4279</v>
      </c>
      <c r="G5194" s="121" t="s">
        <v>2142</v>
      </c>
      <c r="H5194" s="93"/>
      <c r="I5194" s="85">
        <f t="shared" si="202"/>
        <v>1.3222192947339193</v>
      </c>
      <c r="J5194" s="122">
        <v>21</v>
      </c>
      <c r="K5194" s="131" t="s">
        <v>3177</v>
      </c>
      <c r="L5194" s="69">
        <v>61</v>
      </c>
    </row>
    <row r="5195" spans="1:15" ht="14" x14ac:dyDescent="0.15">
      <c r="A5195" s="70" t="s">
        <v>7029</v>
      </c>
      <c r="B5195" s="118"/>
      <c r="C5195" s="121" t="s">
        <v>3636</v>
      </c>
      <c r="D5195" s="121" t="s">
        <v>7007</v>
      </c>
      <c r="E5195" s="121" t="s">
        <v>6890</v>
      </c>
      <c r="F5195" s="121" t="s">
        <v>6891</v>
      </c>
      <c r="G5195" s="121" t="s">
        <v>1859</v>
      </c>
      <c r="H5195" s="93"/>
      <c r="I5195" s="85">
        <f t="shared" si="202"/>
        <v>5.1730400000000012</v>
      </c>
      <c r="J5195" s="122">
        <v>148949.82592528904</v>
      </c>
      <c r="K5195" s="131" t="s">
        <v>6817</v>
      </c>
      <c r="L5195" s="69">
        <v>61</v>
      </c>
      <c r="M5195" s="49" t="s">
        <v>6390</v>
      </c>
    </row>
    <row r="5196" spans="1:15" ht="14" x14ac:dyDescent="0.15">
      <c r="A5196" s="70" t="s">
        <v>7029</v>
      </c>
      <c r="B5196" s="118"/>
      <c r="C5196" s="121" t="s">
        <v>3636</v>
      </c>
      <c r="D5196" s="121" t="s">
        <v>7007</v>
      </c>
      <c r="E5196" s="121" t="s">
        <v>6890</v>
      </c>
      <c r="F5196" s="121" t="s">
        <v>6891</v>
      </c>
      <c r="G5196" s="121" t="s">
        <v>4637</v>
      </c>
      <c r="H5196" s="93"/>
      <c r="I5196" s="85">
        <f t="shared" si="202"/>
        <v>5.3170200000000012</v>
      </c>
      <c r="J5196" s="122">
        <v>207500.90729538351</v>
      </c>
      <c r="K5196" s="131" t="s">
        <v>6817</v>
      </c>
      <c r="L5196" s="60">
        <v>60</v>
      </c>
      <c r="M5196" s="49" t="s">
        <v>6728</v>
      </c>
    </row>
    <row r="5197" spans="1:15" ht="14" x14ac:dyDescent="0.15">
      <c r="A5197" s="70" t="s">
        <v>7029</v>
      </c>
      <c r="B5197" s="118"/>
      <c r="C5197" s="121" t="s">
        <v>3636</v>
      </c>
      <c r="D5197" s="121" t="s">
        <v>7007</v>
      </c>
      <c r="E5197" s="121" t="s">
        <v>6890</v>
      </c>
      <c r="F5197" s="121" t="s">
        <v>6891</v>
      </c>
      <c r="G5197" s="121" t="s">
        <v>1858</v>
      </c>
      <c r="H5197" s="93"/>
      <c r="I5197" s="85">
        <f t="shared" si="202"/>
        <v>5.4771200000000011</v>
      </c>
      <c r="J5197" s="122">
        <v>299999.1332716156</v>
      </c>
      <c r="K5197" s="131" t="s">
        <v>6817</v>
      </c>
      <c r="L5197" s="69">
        <v>61</v>
      </c>
      <c r="M5197" s="49" t="s">
        <v>6390</v>
      </c>
    </row>
    <row r="5198" spans="1:15" ht="28" x14ac:dyDescent="0.15">
      <c r="A5198" s="70" t="s">
        <v>7029</v>
      </c>
      <c r="B5198" s="118"/>
      <c r="C5198" s="121" t="s">
        <v>3636</v>
      </c>
      <c r="D5198" s="121" t="s">
        <v>6983</v>
      </c>
      <c r="E5198" s="121" t="s">
        <v>6984</v>
      </c>
      <c r="F5198" s="121" t="s">
        <v>2167</v>
      </c>
      <c r="G5198" s="121" t="s">
        <v>2168</v>
      </c>
      <c r="H5198" s="93"/>
      <c r="I5198" s="85">
        <f t="shared" si="202"/>
        <v>2.6812400000000003</v>
      </c>
      <c r="J5198" s="122">
        <v>479.9986324039092</v>
      </c>
      <c r="K5198" s="131" t="s">
        <v>6853</v>
      </c>
      <c r="L5198" s="60">
        <v>61</v>
      </c>
      <c r="M5198" s="49" t="s">
        <v>6728</v>
      </c>
    </row>
    <row r="5199" spans="1:15" ht="14" x14ac:dyDescent="0.15">
      <c r="A5199" s="73" t="s">
        <v>7029</v>
      </c>
      <c r="B5199" s="118"/>
      <c r="C5199" s="121" t="s">
        <v>3636</v>
      </c>
      <c r="D5199" s="121" t="s">
        <v>6983</v>
      </c>
      <c r="E5199" s="121" t="s">
        <v>6984</v>
      </c>
      <c r="F5199" s="121" t="s">
        <v>2025</v>
      </c>
      <c r="G5199" s="121" t="s">
        <v>4112</v>
      </c>
      <c r="H5199" s="93"/>
      <c r="I5199" s="85">
        <f t="shared" si="202"/>
        <v>2.0969100130080562</v>
      </c>
      <c r="J5199" s="122">
        <v>125</v>
      </c>
      <c r="K5199" s="131" t="s">
        <v>3177</v>
      </c>
      <c r="L5199" s="60">
        <v>75</v>
      </c>
    </row>
    <row r="5200" spans="1:15" ht="14" x14ac:dyDescent="0.15">
      <c r="A5200" s="70" t="s">
        <v>7029</v>
      </c>
      <c r="B5200" s="118"/>
      <c r="C5200" s="121" t="s">
        <v>3636</v>
      </c>
      <c r="D5200" s="121" t="s">
        <v>6983</v>
      </c>
      <c r="E5200" s="121" t="s">
        <v>6984</v>
      </c>
      <c r="F5200" s="121" t="s">
        <v>2025</v>
      </c>
      <c r="G5200" s="121" t="s">
        <v>6897</v>
      </c>
      <c r="H5200" s="93"/>
      <c r="I5200" s="85">
        <f t="shared" si="202"/>
        <v>2.4653800000000001</v>
      </c>
      <c r="J5200" s="122">
        <v>291.99808282112855</v>
      </c>
      <c r="K5200" s="131" t="s">
        <v>3177</v>
      </c>
      <c r="L5200" s="60">
        <v>61</v>
      </c>
    </row>
    <row r="5201" spans="1:13" ht="14" x14ac:dyDescent="0.15">
      <c r="A5201" s="70" t="s">
        <v>7029</v>
      </c>
      <c r="B5201" s="118"/>
      <c r="C5201" s="121" t="s">
        <v>3636</v>
      </c>
      <c r="D5201" s="121" t="s">
        <v>6983</v>
      </c>
      <c r="E5201" s="121" t="s">
        <v>6984</v>
      </c>
      <c r="F5201" s="121" t="s">
        <v>2025</v>
      </c>
      <c r="G5201" s="121" t="s">
        <v>4199</v>
      </c>
      <c r="H5201" s="93"/>
      <c r="I5201" s="85">
        <f t="shared" si="202"/>
        <v>2.5340300000000004</v>
      </c>
      <c r="J5201" s="122">
        <v>342.00306643263428</v>
      </c>
      <c r="K5201" s="131" t="s">
        <v>6817</v>
      </c>
      <c r="L5201" s="60">
        <v>61</v>
      </c>
      <c r="M5201" s="50" t="s">
        <v>6390</v>
      </c>
    </row>
    <row r="5202" spans="1:13" ht="14" x14ac:dyDescent="0.15">
      <c r="A5202" s="70" t="s">
        <v>7029</v>
      </c>
      <c r="B5202" s="118"/>
      <c r="C5202" s="121" t="s">
        <v>3636</v>
      </c>
      <c r="D5202" s="121" t="s">
        <v>6983</v>
      </c>
      <c r="E5202" s="121" t="s">
        <v>6984</v>
      </c>
      <c r="F5202" s="121" t="s">
        <v>2025</v>
      </c>
      <c r="G5202" s="121" t="s">
        <v>2022</v>
      </c>
      <c r="H5202" s="93"/>
      <c r="I5202" s="85">
        <f t="shared" si="202"/>
        <v>2.5340300000000004</v>
      </c>
      <c r="J5202" s="122">
        <v>342.00306643263428</v>
      </c>
      <c r="K5202" s="131" t="s">
        <v>6817</v>
      </c>
      <c r="L5202" s="60">
        <v>61</v>
      </c>
      <c r="M5202" s="50" t="s">
        <v>6390</v>
      </c>
    </row>
    <row r="5203" spans="1:13" ht="14" x14ac:dyDescent="0.15">
      <c r="A5203" s="70" t="s">
        <v>7029</v>
      </c>
      <c r="B5203" s="118"/>
      <c r="C5203" s="121" t="s">
        <v>3636</v>
      </c>
      <c r="D5203" s="121" t="s">
        <v>6983</v>
      </c>
      <c r="E5203" s="121" t="s">
        <v>6984</v>
      </c>
      <c r="F5203" s="121" t="s">
        <v>2025</v>
      </c>
      <c r="G5203" s="121" t="s">
        <v>3596</v>
      </c>
      <c r="H5203" s="93"/>
      <c r="I5203" s="85">
        <f t="shared" si="202"/>
        <v>2.5340300000000004</v>
      </c>
      <c r="J5203" s="122">
        <v>342.00306643263428</v>
      </c>
      <c r="K5203" s="131" t="s">
        <v>6854</v>
      </c>
      <c r="L5203" s="60">
        <v>61</v>
      </c>
      <c r="M5203" s="50" t="s">
        <v>6728</v>
      </c>
    </row>
    <row r="5204" spans="1:13" ht="14" x14ac:dyDescent="0.15">
      <c r="A5204" s="70" t="s">
        <v>7029</v>
      </c>
      <c r="B5204" s="118"/>
      <c r="C5204" s="121" t="s">
        <v>3636</v>
      </c>
      <c r="D5204" s="121" t="s">
        <v>6983</v>
      </c>
      <c r="E5204" s="121" t="s">
        <v>6984</v>
      </c>
      <c r="F5204" s="121" t="s">
        <v>2025</v>
      </c>
      <c r="G5204" s="121" t="s">
        <v>4464</v>
      </c>
      <c r="H5204" s="93"/>
      <c r="I5204" s="85">
        <f t="shared" si="202"/>
        <v>2.5340300000000004</v>
      </c>
      <c r="J5204" s="122">
        <v>342.00306643263428</v>
      </c>
      <c r="K5204" s="131" t="s">
        <v>3177</v>
      </c>
      <c r="L5204" s="60">
        <v>61</v>
      </c>
    </row>
    <row r="5205" spans="1:13" ht="14" x14ac:dyDescent="0.15">
      <c r="A5205" s="70" t="s">
        <v>7029</v>
      </c>
      <c r="B5205" s="118"/>
      <c r="C5205" s="121" t="s">
        <v>3636</v>
      </c>
      <c r="D5205" s="121" t="s">
        <v>6983</v>
      </c>
      <c r="E5205" s="121" t="s">
        <v>6984</v>
      </c>
      <c r="F5205" s="121" t="s">
        <v>2025</v>
      </c>
      <c r="G5205" s="121" t="s">
        <v>6833</v>
      </c>
      <c r="H5205" s="93"/>
      <c r="I5205" s="85">
        <f t="shared" si="202"/>
        <v>2.5340300000000004</v>
      </c>
      <c r="J5205" s="122">
        <v>342.00306643263428</v>
      </c>
      <c r="K5205" s="131" t="s">
        <v>3177</v>
      </c>
      <c r="L5205" s="60">
        <v>61</v>
      </c>
    </row>
    <row r="5206" spans="1:13" ht="14" x14ac:dyDescent="0.15">
      <c r="A5206" s="70" t="s">
        <v>7029</v>
      </c>
      <c r="B5206" s="118"/>
      <c r="C5206" s="121" t="s">
        <v>3636</v>
      </c>
      <c r="D5206" s="121" t="s">
        <v>6983</v>
      </c>
      <c r="E5206" s="121" t="s">
        <v>6984</v>
      </c>
      <c r="F5206" s="121" t="s">
        <v>2025</v>
      </c>
      <c r="G5206" s="121" t="s">
        <v>6896</v>
      </c>
      <c r="H5206" s="93"/>
      <c r="I5206" s="85">
        <f t="shared" si="202"/>
        <v>2.5440700000000005</v>
      </c>
      <c r="J5206" s="122">
        <v>350.00157607101471</v>
      </c>
      <c r="K5206" s="131" t="s">
        <v>6391</v>
      </c>
      <c r="L5206" s="60">
        <v>61</v>
      </c>
      <c r="M5206" s="50" t="s">
        <v>6728</v>
      </c>
    </row>
    <row r="5207" spans="1:13" ht="14" x14ac:dyDescent="0.15">
      <c r="A5207" s="73" t="s">
        <v>7029</v>
      </c>
      <c r="B5207" s="118"/>
      <c r="C5207" s="121" t="s">
        <v>3636</v>
      </c>
      <c r="D5207" s="121" t="s">
        <v>6983</v>
      </c>
      <c r="E5207" s="121" t="s">
        <v>6984</v>
      </c>
      <c r="F5207" s="121" t="s">
        <v>2025</v>
      </c>
      <c r="G5207" s="121" t="s">
        <v>2026</v>
      </c>
      <c r="H5207" s="93"/>
      <c r="I5207" s="85">
        <f t="shared" si="202"/>
        <v>2.6434500000000005</v>
      </c>
      <c r="J5207" s="122">
        <v>439.99728835998962</v>
      </c>
      <c r="K5207" s="131" t="s">
        <v>6391</v>
      </c>
      <c r="L5207" s="60">
        <v>61</v>
      </c>
      <c r="M5207" s="50" t="s">
        <v>6728</v>
      </c>
    </row>
    <row r="5208" spans="1:13" ht="14" x14ac:dyDescent="0.15">
      <c r="A5208" s="70" t="s">
        <v>7029</v>
      </c>
      <c r="B5208" s="118"/>
      <c r="C5208" s="121" t="s">
        <v>3636</v>
      </c>
      <c r="D5208" s="121" t="s">
        <v>6983</v>
      </c>
      <c r="E5208" s="121" t="s">
        <v>6984</v>
      </c>
      <c r="F5208" s="121" t="s">
        <v>1857</v>
      </c>
      <c r="G5208" s="121" t="s">
        <v>6899</v>
      </c>
      <c r="H5208" s="93"/>
      <c r="I5208" s="85">
        <f t="shared" si="202"/>
        <v>2.7287600000000003</v>
      </c>
      <c r="J5208" s="122">
        <v>535.50064713641302</v>
      </c>
      <c r="K5208" s="131" t="s">
        <v>6817</v>
      </c>
      <c r="L5208" s="69">
        <v>61</v>
      </c>
      <c r="M5208" s="49" t="s">
        <v>6809</v>
      </c>
    </row>
    <row r="5209" spans="1:13" ht="14" x14ac:dyDescent="0.15">
      <c r="A5209" s="73" t="s">
        <v>7029</v>
      </c>
      <c r="B5209" s="118"/>
      <c r="C5209" s="121" t="s">
        <v>3636</v>
      </c>
      <c r="D5209" s="121" t="s">
        <v>6983</v>
      </c>
      <c r="E5209" s="121" t="s">
        <v>6984</v>
      </c>
      <c r="F5209" s="121" t="s">
        <v>1857</v>
      </c>
      <c r="G5209" s="121" t="s">
        <v>6898</v>
      </c>
      <c r="H5209" s="93"/>
      <c r="I5209" s="85">
        <f t="shared" si="202"/>
        <v>2.8451000000000004</v>
      </c>
      <c r="J5209" s="122">
        <v>700.0031591308973</v>
      </c>
      <c r="K5209" s="131" t="s">
        <v>6817</v>
      </c>
      <c r="L5209" s="69">
        <v>61</v>
      </c>
      <c r="M5209" s="49" t="s">
        <v>6390</v>
      </c>
    </row>
    <row r="5210" spans="1:13" ht="14" x14ac:dyDescent="0.15">
      <c r="A5210" s="73" t="s">
        <v>7029</v>
      </c>
      <c r="B5210" s="118"/>
      <c r="C5210" s="121" t="s">
        <v>3636</v>
      </c>
      <c r="D5210" s="121" t="s">
        <v>6983</v>
      </c>
      <c r="E5210" s="121" t="s">
        <v>6984</v>
      </c>
      <c r="F5210" s="121" t="s">
        <v>1857</v>
      </c>
      <c r="G5210" s="121" t="s">
        <v>4091</v>
      </c>
      <c r="H5210" s="93"/>
      <c r="I5210" s="85">
        <f t="shared" si="202"/>
        <v>2.8451000000000004</v>
      </c>
      <c r="J5210" s="122">
        <v>700.0031591308973</v>
      </c>
      <c r="K5210" s="131" t="s">
        <v>6817</v>
      </c>
      <c r="L5210" s="69">
        <v>61</v>
      </c>
      <c r="M5210" s="49" t="s">
        <v>6809</v>
      </c>
    </row>
    <row r="5211" spans="1:13" ht="14" x14ac:dyDescent="0.15">
      <c r="A5211" s="73" t="s">
        <v>7029</v>
      </c>
      <c r="B5211" s="118"/>
      <c r="C5211" s="121" t="s">
        <v>3636</v>
      </c>
      <c r="D5211" s="121" t="s">
        <v>6983</v>
      </c>
      <c r="E5211" s="121" t="s">
        <v>6984</v>
      </c>
      <c r="F5211" s="121" t="s">
        <v>6900</v>
      </c>
      <c r="G5211" s="121" t="s">
        <v>4465</v>
      </c>
      <c r="H5211" s="93"/>
      <c r="I5211" s="85">
        <f t="shared" si="202"/>
        <v>2.58771</v>
      </c>
      <c r="J5211" s="122">
        <v>386.99914007218763</v>
      </c>
      <c r="K5211" s="131" t="s">
        <v>3177</v>
      </c>
      <c r="L5211" s="69">
        <v>61</v>
      </c>
    </row>
    <row r="5212" spans="1:13" ht="14" x14ac:dyDescent="0.15">
      <c r="A5212" s="70" t="s">
        <v>7029</v>
      </c>
      <c r="B5212" s="118"/>
      <c r="C5212" s="121" t="s">
        <v>3636</v>
      </c>
      <c r="D5212" s="121" t="s">
        <v>6983</v>
      </c>
      <c r="E5212" s="121" t="s">
        <v>6984</v>
      </c>
      <c r="F5212" s="121" t="s">
        <v>6900</v>
      </c>
      <c r="G5212" s="121" t="s">
        <v>2493</v>
      </c>
      <c r="H5212" s="93"/>
      <c r="I5212" s="85">
        <f t="shared" si="202"/>
        <v>2.5949399999999998</v>
      </c>
      <c r="J5212" s="122">
        <v>393.49570825919136</v>
      </c>
      <c r="K5212" s="131" t="s">
        <v>3177</v>
      </c>
      <c r="L5212" s="69">
        <v>61</v>
      </c>
    </row>
    <row r="5213" spans="1:13" ht="14" x14ac:dyDescent="0.15">
      <c r="A5213" s="73" t="s">
        <v>7029</v>
      </c>
      <c r="B5213" s="118"/>
      <c r="C5213" s="121" t="s">
        <v>3636</v>
      </c>
      <c r="D5213" s="121" t="s">
        <v>6983</v>
      </c>
      <c r="E5213" s="121" t="s">
        <v>6984</v>
      </c>
      <c r="F5213" s="121" t="s">
        <v>6900</v>
      </c>
      <c r="G5213" s="121" t="s">
        <v>4466</v>
      </c>
      <c r="H5213" s="108"/>
      <c r="I5213" s="85">
        <f t="shared" si="202"/>
        <v>2.6020600000000003</v>
      </c>
      <c r="J5213" s="122">
        <v>400.0000079872421</v>
      </c>
      <c r="K5213" s="131" t="s">
        <v>3177</v>
      </c>
      <c r="L5213" s="69">
        <v>61</v>
      </c>
    </row>
    <row r="5214" spans="1:13" ht="14" x14ac:dyDescent="0.15">
      <c r="A5214" s="73" t="s">
        <v>7029</v>
      </c>
      <c r="B5214" s="118"/>
      <c r="C5214" s="121" t="s">
        <v>3636</v>
      </c>
      <c r="D5214" s="121" t="s">
        <v>6983</v>
      </c>
      <c r="E5214" s="121" t="s">
        <v>6984</v>
      </c>
      <c r="F5214" s="121" t="s">
        <v>6900</v>
      </c>
      <c r="G5214" s="121" t="s">
        <v>4467</v>
      </c>
      <c r="H5214" s="93"/>
      <c r="I5214" s="85">
        <f t="shared" si="202"/>
        <v>2.6133100000000002</v>
      </c>
      <c r="J5214" s="122">
        <v>410.49701176782906</v>
      </c>
      <c r="K5214" s="131" t="s">
        <v>3177</v>
      </c>
      <c r="L5214" s="69">
        <v>61</v>
      </c>
    </row>
    <row r="5215" spans="1:13" ht="14" x14ac:dyDescent="0.15">
      <c r="A5215" s="70" t="s">
        <v>7029</v>
      </c>
      <c r="B5215" s="118"/>
      <c r="C5215" s="121" t="s">
        <v>3636</v>
      </c>
      <c r="D5215" s="121" t="s">
        <v>6983</v>
      </c>
      <c r="E5215" s="121" t="s">
        <v>6984</v>
      </c>
      <c r="F5215" s="121" t="s">
        <v>6900</v>
      </c>
      <c r="G5215" s="121" t="s">
        <v>2257</v>
      </c>
      <c r="H5215" s="93"/>
      <c r="I5215" s="85">
        <f t="shared" si="202"/>
        <v>2.6334700000000004</v>
      </c>
      <c r="J5215" s="122">
        <v>430.00152915127035</v>
      </c>
      <c r="K5215" s="131" t="s">
        <v>6391</v>
      </c>
      <c r="L5215" s="69">
        <v>61</v>
      </c>
      <c r="M5215" s="49" t="s">
        <v>6390</v>
      </c>
    </row>
    <row r="5216" spans="1:13" ht="14" x14ac:dyDescent="0.15">
      <c r="A5216" s="70" t="s">
        <v>7029</v>
      </c>
      <c r="B5216" s="118"/>
      <c r="C5216" s="121" t="s">
        <v>3636</v>
      </c>
      <c r="D5216" s="121" t="s">
        <v>6983</v>
      </c>
      <c r="E5216" s="121" t="s">
        <v>6984</v>
      </c>
      <c r="F5216" s="121" t="s">
        <v>6900</v>
      </c>
      <c r="G5216" s="121" t="s">
        <v>7224</v>
      </c>
      <c r="H5216" s="93"/>
      <c r="I5216" s="85">
        <f t="shared" si="202"/>
        <v>2.6434500000000005</v>
      </c>
      <c r="J5216" s="122">
        <v>439.99728835998962</v>
      </c>
      <c r="K5216" s="131" t="s">
        <v>6630</v>
      </c>
      <c r="L5216" s="72">
        <v>61</v>
      </c>
      <c r="M5216" s="49" t="s">
        <v>6728</v>
      </c>
    </row>
    <row r="5217" spans="1:13" ht="14" x14ac:dyDescent="0.15">
      <c r="A5217" s="70" t="s">
        <v>7029</v>
      </c>
      <c r="B5217" s="118"/>
      <c r="C5217" s="121" t="s">
        <v>3636</v>
      </c>
      <c r="D5217" s="121" t="s">
        <v>6983</v>
      </c>
      <c r="E5217" s="121" t="s">
        <v>6984</v>
      </c>
      <c r="F5217" s="121" t="s">
        <v>6900</v>
      </c>
      <c r="G5217" s="121" t="s">
        <v>7073</v>
      </c>
      <c r="H5217" s="93"/>
      <c r="I5217" s="85">
        <f t="shared" si="202"/>
        <v>2.6646399999999999</v>
      </c>
      <c r="J5217" s="122">
        <v>461.99789841940873</v>
      </c>
      <c r="K5217" s="131" t="s">
        <v>3177</v>
      </c>
      <c r="L5217" s="69">
        <v>61</v>
      </c>
    </row>
    <row r="5218" spans="1:13" ht="14" x14ac:dyDescent="0.15">
      <c r="A5218" s="70" t="s">
        <v>7029</v>
      </c>
      <c r="B5218" s="118"/>
      <c r="C5218" s="121" t="s">
        <v>3636</v>
      </c>
      <c r="D5218" s="121" t="s">
        <v>6983</v>
      </c>
      <c r="E5218" s="121" t="s">
        <v>6984</v>
      </c>
      <c r="F5218" s="121" t="s">
        <v>6900</v>
      </c>
      <c r="G5218" s="121" t="s">
        <v>3829</v>
      </c>
      <c r="H5218" s="93"/>
      <c r="I5218" s="85">
        <f t="shared" si="202"/>
        <v>2.6674500000000005</v>
      </c>
      <c r="J5218" s="122">
        <v>464.99683834536808</v>
      </c>
      <c r="K5218" s="131" t="s">
        <v>6630</v>
      </c>
      <c r="L5218" s="69">
        <v>61</v>
      </c>
      <c r="M5218" s="49" t="s">
        <v>6390</v>
      </c>
    </row>
    <row r="5219" spans="1:13" ht="14" x14ac:dyDescent="0.15">
      <c r="A5219" s="73" t="s">
        <v>7029</v>
      </c>
      <c r="B5219" s="118"/>
      <c r="C5219" s="121" t="s">
        <v>3636</v>
      </c>
      <c r="D5219" s="121" t="s">
        <v>6983</v>
      </c>
      <c r="E5219" s="121" t="s">
        <v>6984</v>
      </c>
      <c r="F5219" s="121" t="s">
        <v>6900</v>
      </c>
      <c r="G5219" s="121" t="s">
        <v>3596</v>
      </c>
      <c r="H5219" s="93"/>
      <c r="I5219" s="85">
        <f t="shared" si="202"/>
        <v>2.6870800000000004</v>
      </c>
      <c r="J5219" s="122">
        <v>486.4968134628653</v>
      </c>
      <c r="K5219" s="131" t="s">
        <v>3177</v>
      </c>
      <c r="L5219" s="69">
        <v>61</v>
      </c>
    </row>
    <row r="5220" spans="1:13" ht="14" x14ac:dyDescent="0.15">
      <c r="A5220" s="70" t="s">
        <v>7029</v>
      </c>
      <c r="B5220" s="118"/>
      <c r="C5220" s="121" t="s">
        <v>3636</v>
      </c>
      <c r="D5220" s="121" t="s">
        <v>6983</v>
      </c>
      <c r="E5220" s="121" t="s">
        <v>6984</v>
      </c>
      <c r="F5220" s="121" t="s">
        <v>6900</v>
      </c>
      <c r="G5220" s="121" t="s">
        <v>7226</v>
      </c>
      <c r="H5220" s="93"/>
      <c r="I5220" s="85">
        <f t="shared" si="202"/>
        <v>2.7323900000000001</v>
      </c>
      <c r="J5220" s="122">
        <v>539.99532507158392</v>
      </c>
      <c r="K5220" s="131" t="s">
        <v>3177</v>
      </c>
      <c r="L5220" s="69">
        <v>61</v>
      </c>
    </row>
    <row r="5221" spans="1:13" ht="14" x14ac:dyDescent="0.15">
      <c r="A5221" s="70" t="s">
        <v>7029</v>
      </c>
      <c r="B5221" s="118"/>
      <c r="C5221" s="121" t="s">
        <v>3636</v>
      </c>
      <c r="D5221" s="121" t="s">
        <v>6983</v>
      </c>
      <c r="E5221" s="121" t="s">
        <v>6984</v>
      </c>
      <c r="F5221" s="121" t="s">
        <v>6900</v>
      </c>
      <c r="G5221" s="121" t="s">
        <v>2223</v>
      </c>
      <c r="H5221" s="93"/>
      <c r="I5221" s="85">
        <f t="shared" si="202"/>
        <v>2.7596699999999998</v>
      </c>
      <c r="J5221" s="122">
        <v>575.00285360875932</v>
      </c>
      <c r="K5221" s="131" t="s">
        <v>3177</v>
      </c>
      <c r="L5221" s="69">
        <v>61</v>
      </c>
    </row>
    <row r="5222" spans="1:13" ht="14" x14ac:dyDescent="0.15">
      <c r="A5222" s="70" t="s">
        <v>7029</v>
      </c>
      <c r="B5222" s="118"/>
      <c r="C5222" s="121" t="s">
        <v>3636</v>
      </c>
      <c r="D5222" s="121" t="s">
        <v>6983</v>
      </c>
      <c r="E5222" s="121" t="s">
        <v>6984</v>
      </c>
      <c r="F5222" s="121" t="s">
        <v>6900</v>
      </c>
      <c r="G5222" s="121" t="s">
        <v>7227</v>
      </c>
      <c r="H5222" s="93"/>
      <c r="I5222" s="85">
        <f t="shared" si="202"/>
        <v>2.7909900000000003</v>
      </c>
      <c r="J5222" s="122">
        <v>618.0021699487462</v>
      </c>
      <c r="K5222" s="131" t="s">
        <v>3177</v>
      </c>
      <c r="L5222" s="69">
        <v>61</v>
      </c>
    </row>
    <row r="5223" spans="1:13" ht="14" x14ac:dyDescent="0.15">
      <c r="A5223" s="73" t="s">
        <v>7029</v>
      </c>
      <c r="B5223" s="118"/>
      <c r="C5223" s="121" t="s">
        <v>3636</v>
      </c>
      <c r="D5223" s="121" t="s">
        <v>6983</v>
      </c>
      <c r="E5223" s="121" t="s">
        <v>4872</v>
      </c>
      <c r="F5223" s="121" t="s">
        <v>4873</v>
      </c>
      <c r="G5223" s="121" t="s">
        <v>4309</v>
      </c>
      <c r="H5223" s="93"/>
      <c r="I5223" s="85">
        <f t="shared" si="202"/>
        <v>3.7680799999999999</v>
      </c>
      <c r="J5223" s="122">
        <v>5862.4614509910643</v>
      </c>
      <c r="K5223" s="131" t="s">
        <v>3177</v>
      </c>
      <c r="L5223" s="60">
        <v>61</v>
      </c>
    </row>
    <row r="5224" spans="1:13" ht="14" x14ac:dyDescent="0.15">
      <c r="A5224" s="70" t="s">
        <v>7029</v>
      </c>
      <c r="B5224" s="118"/>
      <c r="C5224" s="121" t="s">
        <v>3636</v>
      </c>
      <c r="D5224" s="121" t="s">
        <v>6983</v>
      </c>
      <c r="E5224" s="121" t="s">
        <v>4872</v>
      </c>
      <c r="F5224" s="121" t="s">
        <v>4873</v>
      </c>
      <c r="G5224" s="121" t="s">
        <v>7204</v>
      </c>
      <c r="H5224" s="93"/>
      <c r="I5224" s="85">
        <f t="shared" si="202"/>
        <v>3.7885599999999999</v>
      </c>
      <c r="J5224" s="122">
        <v>6145.5392960411627</v>
      </c>
      <c r="K5224" s="131" t="s">
        <v>3177</v>
      </c>
      <c r="L5224" s="60">
        <v>60</v>
      </c>
      <c r="M5224" s="50"/>
    </row>
    <row r="5225" spans="1:13" ht="14" x14ac:dyDescent="0.15">
      <c r="A5225" s="70" t="s">
        <v>7029</v>
      </c>
      <c r="B5225" s="118"/>
      <c r="C5225" s="121" t="s">
        <v>3636</v>
      </c>
      <c r="D5225" s="121" t="s">
        <v>6983</v>
      </c>
      <c r="E5225" s="121" t="s">
        <v>4872</v>
      </c>
      <c r="F5225" s="121" t="s">
        <v>4873</v>
      </c>
      <c r="G5225" s="121" t="s">
        <v>7217</v>
      </c>
      <c r="H5225" s="108"/>
      <c r="I5225" s="85">
        <f t="shared" si="202"/>
        <v>3.8061799999999999</v>
      </c>
      <c r="J5225" s="122">
        <v>6400.0003833876181</v>
      </c>
      <c r="K5225" s="131" t="s">
        <v>3177</v>
      </c>
      <c r="L5225" s="60">
        <v>61</v>
      </c>
    </row>
    <row r="5226" spans="1:13" ht="14" x14ac:dyDescent="0.15">
      <c r="A5226" s="70" t="s">
        <v>7029</v>
      </c>
      <c r="B5226" s="118"/>
      <c r="C5226" s="121" t="s">
        <v>3636</v>
      </c>
      <c r="D5226" s="121" t="s">
        <v>6983</v>
      </c>
      <c r="E5226" s="121" t="s">
        <v>4872</v>
      </c>
      <c r="F5226" s="121" t="s">
        <v>4873</v>
      </c>
      <c r="G5226" s="121" t="s">
        <v>3912</v>
      </c>
      <c r="H5226" s="93"/>
      <c r="I5226" s="85">
        <f t="shared" si="202"/>
        <v>3.8202700000000003</v>
      </c>
      <c r="J5226" s="122">
        <v>6611.0432749462834</v>
      </c>
      <c r="K5226" s="131" t="s">
        <v>3177</v>
      </c>
      <c r="L5226" s="60">
        <v>61</v>
      </c>
      <c r="M5226" s="50"/>
    </row>
    <row r="5227" spans="1:13" ht="14" x14ac:dyDescent="0.15">
      <c r="A5227" s="70" t="s">
        <v>7029</v>
      </c>
      <c r="B5227" s="118"/>
      <c r="C5227" s="121" t="s">
        <v>3636</v>
      </c>
      <c r="D5227" s="121" t="s">
        <v>6983</v>
      </c>
      <c r="E5227" s="121" t="s">
        <v>4872</v>
      </c>
      <c r="F5227" s="121" t="s">
        <v>4873</v>
      </c>
      <c r="G5227" s="121" t="s">
        <v>4874</v>
      </c>
      <c r="H5227" s="93"/>
      <c r="I5227" s="85">
        <f t="shared" si="202"/>
        <v>3.8618300000000003</v>
      </c>
      <c r="J5227" s="122">
        <v>7274.9497854861338</v>
      </c>
      <c r="K5227" s="131" t="s">
        <v>3177</v>
      </c>
      <c r="L5227" s="60">
        <v>60</v>
      </c>
      <c r="M5227" s="50"/>
    </row>
    <row r="5228" spans="1:13" ht="14" x14ac:dyDescent="0.15">
      <c r="A5228" s="70" t="s">
        <v>7029</v>
      </c>
      <c r="B5228" s="118"/>
      <c r="C5228" s="121" t="s">
        <v>3636</v>
      </c>
      <c r="D5228" s="121" t="s">
        <v>6983</v>
      </c>
      <c r="E5228" s="121" t="s">
        <v>4872</v>
      </c>
      <c r="F5228" s="121" t="s">
        <v>4873</v>
      </c>
      <c r="G5228" s="121" t="s">
        <v>3911</v>
      </c>
      <c r="H5228" s="93"/>
      <c r="I5228" s="85">
        <f t="shared" si="202"/>
        <v>3.9030900000000006</v>
      </c>
      <c r="J5228" s="122">
        <v>8000.0002396172686</v>
      </c>
      <c r="K5228" s="131" t="s">
        <v>6816</v>
      </c>
      <c r="L5228" s="60">
        <v>60</v>
      </c>
      <c r="M5228" s="50" t="s">
        <v>6728</v>
      </c>
    </row>
    <row r="5229" spans="1:13" ht="14" x14ac:dyDescent="0.15">
      <c r="A5229" s="70" t="s">
        <v>7029</v>
      </c>
      <c r="B5229" s="118"/>
      <c r="C5229" s="121" t="s">
        <v>3636</v>
      </c>
      <c r="D5229" s="121" t="s">
        <v>6983</v>
      </c>
      <c r="E5229" s="121" t="s">
        <v>4872</v>
      </c>
      <c r="F5229" s="121" t="s">
        <v>7205</v>
      </c>
      <c r="G5229" s="121" t="s">
        <v>4605</v>
      </c>
      <c r="H5229" s="93"/>
      <c r="I5229" s="85">
        <f t="shared" si="202"/>
        <v>2.8965300000000003</v>
      </c>
      <c r="J5229" s="122">
        <v>788.00686315699284</v>
      </c>
      <c r="K5229" s="131" t="s">
        <v>3177</v>
      </c>
      <c r="L5229" s="60">
        <v>61</v>
      </c>
    </row>
    <row r="5230" spans="1:13" ht="14" x14ac:dyDescent="0.15">
      <c r="A5230" s="73" t="s">
        <v>7029</v>
      </c>
      <c r="B5230" s="118"/>
      <c r="C5230" s="121" t="s">
        <v>3636</v>
      </c>
      <c r="D5230" s="121" t="s">
        <v>6983</v>
      </c>
      <c r="E5230" s="121" t="s">
        <v>4872</v>
      </c>
      <c r="F5230" s="121" t="s">
        <v>7205</v>
      </c>
      <c r="G5230" s="121" t="s">
        <v>2184</v>
      </c>
      <c r="H5230" s="93"/>
      <c r="I5230" s="85">
        <f t="shared" si="202"/>
        <v>2.9030900000000006</v>
      </c>
      <c r="J5230" s="122">
        <v>800.0000239617267</v>
      </c>
      <c r="K5230" s="131" t="s">
        <v>3177</v>
      </c>
      <c r="L5230" s="60">
        <v>61</v>
      </c>
      <c r="M5230" s="50"/>
    </row>
    <row r="5231" spans="1:13" ht="14" x14ac:dyDescent="0.15">
      <c r="A5231" s="73" t="s">
        <v>7029</v>
      </c>
      <c r="B5231" s="118"/>
      <c r="C5231" s="121" t="s">
        <v>3636</v>
      </c>
      <c r="D5231" s="121" t="s">
        <v>6983</v>
      </c>
      <c r="E5231" s="121" t="s">
        <v>4872</v>
      </c>
      <c r="F5231" s="121" t="s">
        <v>7205</v>
      </c>
      <c r="G5231" s="121" t="s">
        <v>2305</v>
      </c>
      <c r="H5231" s="93"/>
      <c r="I5231" s="85">
        <f t="shared" si="202"/>
        <v>2.9030900000000006</v>
      </c>
      <c r="J5231" s="122">
        <v>800.0000239617267</v>
      </c>
      <c r="K5231" s="131" t="s">
        <v>3177</v>
      </c>
      <c r="L5231" s="60">
        <v>61</v>
      </c>
      <c r="M5231" s="50" t="s">
        <v>6727</v>
      </c>
    </row>
    <row r="5232" spans="1:13" ht="14" x14ac:dyDescent="0.15">
      <c r="A5232" s="70" t="s">
        <v>7029</v>
      </c>
      <c r="B5232" s="118"/>
      <c r="C5232" s="121" t="s">
        <v>3636</v>
      </c>
      <c r="D5232" s="121" t="s">
        <v>6983</v>
      </c>
      <c r="E5232" s="121" t="s">
        <v>4872</v>
      </c>
      <c r="F5232" s="121" t="s">
        <v>7205</v>
      </c>
      <c r="G5232" s="121" t="s">
        <v>7188</v>
      </c>
      <c r="H5232" s="93"/>
      <c r="I5232" s="85">
        <f t="shared" si="202"/>
        <v>2.9030900000000006</v>
      </c>
      <c r="J5232" s="122">
        <v>800.0000239617267</v>
      </c>
      <c r="K5232" s="131" t="s">
        <v>3177</v>
      </c>
      <c r="L5232" s="60">
        <v>61</v>
      </c>
    </row>
    <row r="5233" spans="1:13" ht="14" x14ac:dyDescent="0.15">
      <c r="A5233" s="70" t="s">
        <v>7029</v>
      </c>
      <c r="B5233" s="118"/>
      <c r="C5233" s="121" t="s">
        <v>3636</v>
      </c>
      <c r="D5233" s="121" t="s">
        <v>6983</v>
      </c>
      <c r="E5233" s="121" t="s">
        <v>4872</v>
      </c>
      <c r="F5233" s="121" t="s">
        <v>7205</v>
      </c>
      <c r="G5233" s="121" t="s">
        <v>7207</v>
      </c>
      <c r="H5233" s="93"/>
      <c r="I5233" s="85">
        <f t="shared" si="202"/>
        <v>2.9030900000000006</v>
      </c>
      <c r="J5233" s="122">
        <v>800.0000239617267</v>
      </c>
      <c r="K5233" s="131" t="s">
        <v>6630</v>
      </c>
      <c r="L5233" s="60">
        <v>61</v>
      </c>
      <c r="M5233" s="49" t="s">
        <v>6728</v>
      </c>
    </row>
    <row r="5234" spans="1:13" ht="14" x14ac:dyDescent="0.15">
      <c r="A5234" s="70" t="s">
        <v>7029</v>
      </c>
      <c r="B5234" s="118"/>
      <c r="C5234" s="121" t="s">
        <v>3636</v>
      </c>
      <c r="D5234" s="121" t="s">
        <v>6983</v>
      </c>
      <c r="E5234" s="121" t="s">
        <v>4872</v>
      </c>
      <c r="F5234" s="121" t="s">
        <v>7205</v>
      </c>
      <c r="G5234" s="121" t="s">
        <v>4604</v>
      </c>
      <c r="H5234" s="93"/>
      <c r="I5234" s="85">
        <f t="shared" si="202"/>
        <v>2.9410099999999999</v>
      </c>
      <c r="J5234" s="122">
        <v>872.99146952812839</v>
      </c>
      <c r="K5234" s="131" t="s">
        <v>6522</v>
      </c>
      <c r="L5234" s="60">
        <v>61</v>
      </c>
      <c r="M5234" s="49" t="s">
        <v>6728</v>
      </c>
    </row>
    <row r="5235" spans="1:13" ht="14" x14ac:dyDescent="0.15">
      <c r="A5235" s="70" t="s">
        <v>7029</v>
      </c>
      <c r="B5235" s="118"/>
      <c r="C5235" s="121" t="s">
        <v>3636</v>
      </c>
      <c r="D5235" s="121" t="s">
        <v>6983</v>
      </c>
      <c r="E5235" s="121" t="s">
        <v>4872</v>
      </c>
      <c r="F5235" s="121" t="s">
        <v>7205</v>
      </c>
      <c r="G5235" s="121" t="s">
        <v>7030</v>
      </c>
      <c r="H5235" s="93"/>
      <c r="I5235" s="85">
        <f t="shared" si="202"/>
        <v>2.9410099999999999</v>
      </c>
      <c r="J5235" s="122">
        <v>872.99146952812839</v>
      </c>
      <c r="K5235" s="131" t="s">
        <v>3177</v>
      </c>
      <c r="L5235" s="60">
        <v>61</v>
      </c>
      <c r="M5235" s="50"/>
    </row>
    <row r="5236" spans="1:13" ht="14" x14ac:dyDescent="0.15">
      <c r="A5236" s="70" t="s">
        <v>7029</v>
      </c>
      <c r="B5236" s="118"/>
      <c r="C5236" s="121" t="s">
        <v>3636</v>
      </c>
      <c r="D5236" s="121" t="s">
        <v>6983</v>
      </c>
      <c r="E5236" s="121" t="s">
        <v>4872</v>
      </c>
      <c r="F5236" s="121" t="s">
        <v>7205</v>
      </c>
      <c r="G5236" s="121" t="s">
        <v>4454</v>
      </c>
      <c r="H5236" s="93"/>
      <c r="I5236" s="85">
        <f t="shared" si="202"/>
        <v>2.9542400000000004</v>
      </c>
      <c r="J5236" s="122">
        <v>899.99479963720182</v>
      </c>
      <c r="K5236" s="131" t="s">
        <v>3177</v>
      </c>
      <c r="L5236" s="60">
        <v>60</v>
      </c>
    </row>
    <row r="5237" spans="1:13" ht="14" x14ac:dyDescent="0.15">
      <c r="A5237" s="70" t="s">
        <v>7029</v>
      </c>
      <c r="B5237" s="118"/>
      <c r="C5237" s="121" t="s">
        <v>3636</v>
      </c>
      <c r="D5237" s="121" t="s">
        <v>6983</v>
      </c>
      <c r="E5237" s="121" t="s">
        <v>4872</v>
      </c>
      <c r="F5237" s="121" t="s">
        <v>7205</v>
      </c>
      <c r="G5237" s="121" t="s">
        <v>7206</v>
      </c>
      <c r="H5237" s="93"/>
      <c r="I5237" s="85">
        <f t="shared" si="202"/>
        <v>2.9835800000000003</v>
      </c>
      <c r="J5237" s="122">
        <v>962.89736888795039</v>
      </c>
      <c r="K5237" s="131" t="s">
        <v>3177</v>
      </c>
      <c r="L5237" s="60">
        <v>61</v>
      </c>
      <c r="M5237" s="50"/>
    </row>
    <row r="5238" spans="1:13" ht="14" x14ac:dyDescent="0.15">
      <c r="A5238" s="70" t="s">
        <v>7029</v>
      </c>
      <c r="B5238" s="118"/>
      <c r="C5238" s="121" t="s">
        <v>3636</v>
      </c>
      <c r="D5238" s="121" t="s">
        <v>6983</v>
      </c>
      <c r="E5238" s="121" t="s">
        <v>4872</v>
      </c>
      <c r="F5238" s="121" t="s">
        <v>7205</v>
      </c>
      <c r="G5238" s="121" t="s">
        <v>4606</v>
      </c>
      <c r="H5238" s="93"/>
      <c r="I5238" s="85">
        <f t="shared" si="202"/>
        <v>3.0253100000000002</v>
      </c>
      <c r="J5238" s="122">
        <v>1060.0100918625265</v>
      </c>
      <c r="K5238" s="131" t="s">
        <v>3177</v>
      </c>
      <c r="L5238" s="60">
        <v>60</v>
      </c>
    </row>
    <row r="5239" spans="1:13" ht="14" x14ac:dyDescent="0.15">
      <c r="A5239" s="70" t="s">
        <v>7029</v>
      </c>
      <c r="B5239" s="118"/>
      <c r="C5239" s="121" t="s">
        <v>3636</v>
      </c>
      <c r="D5239" s="121" t="s">
        <v>6983</v>
      </c>
      <c r="E5239" s="121" t="s">
        <v>4872</v>
      </c>
      <c r="F5239" s="121" t="s">
        <v>7216</v>
      </c>
      <c r="G5239" s="121" t="s">
        <v>6915</v>
      </c>
      <c r="H5239" s="93"/>
      <c r="I5239" s="85">
        <f t="shared" si="202"/>
        <v>3.6989700000000001</v>
      </c>
      <c r="J5239" s="122">
        <v>4999.9999500797403</v>
      </c>
      <c r="K5239" s="131" t="s">
        <v>6817</v>
      </c>
      <c r="L5239" s="60">
        <v>60</v>
      </c>
      <c r="M5239" s="50" t="s">
        <v>6728</v>
      </c>
    </row>
    <row r="5240" spans="1:13" ht="14" x14ac:dyDescent="0.15">
      <c r="A5240" s="70" t="s">
        <v>7029</v>
      </c>
      <c r="B5240" s="118"/>
      <c r="C5240" s="121" t="s">
        <v>3636</v>
      </c>
      <c r="D5240" s="121" t="s">
        <v>6983</v>
      </c>
      <c r="E5240" s="121" t="s">
        <v>4872</v>
      </c>
      <c r="F5240" s="121" t="s">
        <v>7216</v>
      </c>
      <c r="G5240" s="121" t="s">
        <v>6916</v>
      </c>
      <c r="H5240" s="93"/>
      <c r="I5240" s="85">
        <f t="shared" si="202"/>
        <v>3.7781500000000001</v>
      </c>
      <c r="J5240" s="122">
        <v>5999.9827253364419</v>
      </c>
      <c r="K5240" s="131" t="s">
        <v>3177</v>
      </c>
      <c r="L5240" s="60">
        <v>61</v>
      </c>
    </row>
    <row r="5241" spans="1:13" ht="28" x14ac:dyDescent="0.15">
      <c r="A5241" s="70" t="s">
        <v>7029</v>
      </c>
      <c r="B5241" s="118"/>
      <c r="C5241" s="121" t="s">
        <v>3636</v>
      </c>
      <c r="D5241" s="121" t="s">
        <v>6983</v>
      </c>
      <c r="E5241" s="121" t="s">
        <v>4872</v>
      </c>
      <c r="F5241" s="121" t="s">
        <v>7216</v>
      </c>
      <c r="G5241" s="121" t="s">
        <v>6793</v>
      </c>
      <c r="H5241" s="93"/>
      <c r="I5241" s="85">
        <f t="shared" si="202"/>
        <v>3.7781500000000001</v>
      </c>
      <c r="J5241" s="122">
        <v>5999.9827253364419</v>
      </c>
      <c r="K5241" s="131" t="s">
        <v>6736</v>
      </c>
      <c r="L5241" s="60">
        <v>61</v>
      </c>
      <c r="M5241" s="49" t="s">
        <v>6390</v>
      </c>
    </row>
    <row r="5242" spans="1:13" ht="14" x14ac:dyDescent="0.15">
      <c r="A5242" s="70" t="s">
        <v>7029</v>
      </c>
      <c r="B5242" s="118"/>
      <c r="C5242" s="121" t="s">
        <v>3636</v>
      </c>
      <c r="D5242" s="121" t="s">
        <v>6983</v>
      </c>
      <c r="E5242" s="121" t="s">
        <v>4872</v>
      </c>
      <c r="F5242" s="121" t="s">
        <v>7216</v>
      </c>
      <c r="G5242" s="121" t="s">
        <v>6917</v>
      </c>
      <c r="H5242" s="93"/>
      <c r="I5242" s="85">
        <f t="shared" si="202"/>
        <v>3.8976300000000004</v>
      </c>
      <c r="J5242" s="122">
        <v>7900.0529108322226</v>
      </c>
      <c r="K5242" s="131" t="s">
        <v>3177</v>
      </c>
      <c r="L5242" s="60">
        <v>60</v>
      </c>
    </row>
    <row r="5243" spans="1:13" ht="14" x14ac:dyDescent="0.15">
      <c r="A5243" s="70" t="s">
        <v>7029</v>
      </c>
      <c r="B5243" s="118"/>
      <c r="C5243" s="121" t="s">
        <v>3636</v>
      </c>
      <c r="D5243" s="121" t="s">
        <v>6983</v>
      </c>
      <c r="E5243" s="121" t="s">
        <v>4872</v>
      </c>
      <c r="F5243" s="121" t="s">
        <v>7216</v>
      </c>
      <c r="G5243" s="121" t="s">
        <v>4869</v>
      </c>
      <c r="H5243" s="93"/>
      <c r="I5243" s="85">
        <f t="shared" si="202"/>
        <v>3.9590413923210934</v>
      </c>
      <c r="J5243" s="122">
        <v>9100</v>
      </c>
      <c r="K5243" s="131" t="s">
        <v>3177</v>
      </c>
      <c r="L5243" s="60">
        <v>74</v>
      </c>
      <c r="M5243" s="50"/>
    </row>
    <row r="5244" spans="1:13" ht="14" x14ac:dyDescent="0.15">
      <c r="A5244" s="70" t="s">
        <v>7029</v>
      </c>
      <c r="B5244" s="118"/>
      <c r="C5244" s="121" t="s">
        <v>3636</v>
      </c>
      <c r="D5244" s="121" t="s">
        <v>6983</v>
      </c>
      <c r="E5244" s="121" t="s">
        <v>4872</v>
      </c>
      <c r="F5244" s="121" t="s">
        <v>6918</v>
      </c>
      <c r="G5244" s="121" t="s">
        <v>3942</v>
      </c>
      <c r="H5244" s="93"/>
      <c r="I5244" s="85">
        <f t="shared" si="202"/>
        <v>4.1303300000000007</v>
      </c>
      <c r="J5244" s="122">
        <v>13499.882857222525</v>
      </c>
      <c r="K5244" s="131" t="s">
        <v>6817</v>
      </c>
      <c r="L5244" s="60">
        <v>61</v>
      </c>
      <c r="M5244" s="50" t="s">
        <v>6809</v>
      </c>
    </row>
    <row r="5245" spans="1:13" ht="14" x14ac:dyDescent="0.15">
      <c r="A5245" s="70" t="s">
        <v>7029</v>
      </c>
      <c r="B5245" s="118"/>
      <c r="C5245" s="121" t="s">
        <v>3636</v>
      </c>
      <c r="D5245" s="121" t="s">
        <v>6983</v>
      </c>
      <c r="E5245" s="121" t="s">
        <v>4872</v>
      </c>
      <c r="F5245" s="121" t="s">
        <v>3943</v>
      </c>
      <c r="G5245" s="121" t="s">
        <v>4597</v>
      </c>
      <c r="H5245" s="93"/>
      <c r="I5245" s="85">
        <f t="shared" si="202"/>
        <v>3.4913616938342726</v>
      </c>
      <c r="J5245" s="122">
        <f>AVERAGE(2500, 3700)</f>
        <v>3100</v>
      </c>
      <c r="K5245" s="131" t="s">
        <v>3177</v>
      </c>
      <c r="L5245" s="60">
        <v>269</v>
      </c>
      <c r="M5245" s="50"/>
    </row>
    <row r="5246" spans="1:13" ht="14" x14ac:dyDescent="0.15">
      <c r="A5246" s="70" t="s">
        <v>7029</v>
      </c>
      <c r="B5246" s="118"/>
      <c r="C5246" s="121" t="s">
        <v>3636</v>
      </c>
      <c r="D5246" s="121" t="s">
        <v>6983</v>
      </c>
      <c r="E5246" s="121" t="s">
        <v>4872</v>
      </c>
      <c r="F5246" s="121" t="s">
        <v>3943</v>
      </c>
      <c r="G5246" s="121" t="s">
        <v>3944</v>
      </c>
      <c r="H5246" s="108"/>
      <c r="I5246" s="85">
        <f t="shared" si="202"/>
        <v>3.7631300000000003</v>
      </c>
      <c r="J5246" s="122">
        <v>5796.0216629272945</v>
      </c>
      <c r="K5246" s="131" t="s">
        <v>6522</v>
      </c>
      <c r="L5246" s="60">
        <v>61</v>
      </c>
      <c r="M5246" s="50" t="s">
        <v>6728</v>
      </c>
    </row>
    <row r="5247" spans="1:13" ht="14" x14ac:dyDescent="0.15">
      <c r="A5247" s="73" t="s">
        <v>7029</v>
      </c>
      <c r="B5247" s="118"/>
      <c r="C5247" s="121" t="s">
        <v>3636</v>
      </c>
      <c r="D5247" s="121" t="s">
        <v>6983</v>
      </c>
      <c r="E5247" s="121" t="s">
        <v>4872</v>
      </c>
      <c r="F5247" s="121" t="s">
        <v>4598</v>
      </c>
      <c r="G5247" s="121" t="s">
        <v>3956</v>
      </c>
      <c r="H5247" s="93"/>
      <c r="I5247" s="85">
        <f t="shared" si="202"/>
        <v>2.9003700000000006</v>
      </c>
      <c r="J5247" s="122">
        <v>795.00525617005906</v>
      </c>
      <c r="K5247" s="131" t="s">
        <v>3177</v>
      </c>
      <c r="L5247" s="60">
        <v>61</v>
      </c>
    </row>
    <row r="5248" spans="1:13" ht="14" x14ac:dyDescent="0.15">
      <c r="A5248" s="70" t="s">
        <v>7029</v>
      </c>
      <c r="B5248" s="118"/>
      <c r="C5248" s="121" t="s">
        <v>3636</v>
      </c>
      <c r="D5248" s="121" t="s">
        <v>6983</v>
      </c>
      <c r="E5248" s="121" t="s">
        <v>4872</v>
      </c>
      <c r="F5248" s="121" t="s">
        <v>4598</v>
      </c>
      <c r="G5248" s="121" t="s">
        <v>6887</v>
      </c>
      <c r="H5248" s="93"/>
      <c r="I5248" s="85">
        <f t="shared" si="202"/>
        <v>2.9318300000000002</v>
      </c>
      <c r="J5248" s="122">
        <v>854.7320715275514</v>
      </c>
      <c r="K5248" s="131" t="s">
        <v>3177</v>
      </c>
      <c r="L5248" s="60">
        <v>60</v>
      </c>
    </row>
    <row r="5249" spans="1:13" ht="14" x14ac:dyDescent="0.15">
      <c r="A5249" s="70" t="s">
        <v>7029</v>
      </c>
      <c r="B5249" s="118"/>
      <c r="C5249" s="121" t="s">
        <v>3636</v>
      </c>
      <c r="D5249" s="121" t="s">
        <v>6983</v>
      </c>
      <c r="E5249" s="121" t="s">
        <v>4872</v>
      </c>
      <c r="F5249" s="121" t="s">
        <v>4598</v>
      </c>
      <c r="G5249" s="121" t="s">
        <v>4602</v>
      </c>
      <c r="H5249" s="93"/>
      <c r="I5249" s="85">
        <f t="shared" ref="I5249:I5312" si="203">LOG(J5249)</f>
        <v>2.9614199999999999</v>
      </c>
      <c r="J5249" s="122">
        <v>914.9976949522021</v>
      </c>
      <c r="K5249" s="131" t="s">
        <v>3177</v>
      </c>
      <c r="L5249" s="60">
        <v>61</v>
      </c>
    </row>
    <row r="5250" spans="1:13" ht="14" x14ac:dyDescent="0.15">
      <c r="A5250" s="70" t="s">
        <v>7029</v>
      </c>
      <c r="B5250" s="118"/>
      <c r="C5250" s="121" t="s">
        <v>3636</v>
      </c>
      <c r="D5250" s="121" t="s">
        <v>6983</v>
      </c>
      <c r="E5250" s="121" t="s">
        <v>4872</v>
      </c>
      <c r="F5250" s="121" t="s">
        <v>4598</v>
      </c>
      <c r="G5250" s="121" t="s">
        <v>4599</v>
      </c>
      <c r="H5250" s="93"/>
      <c r="I5250" s="85">
        <f t="shared" si="203"/>
        <v>2.9966900000000005</v>
      </c>
      <c r="J5250" s="122">
        <v>992.40741375852326</v>
      </c>
      <c r="K5250" s="131" t="s">
        <v>3177</v>
      </c>
      <c r="L5250" s="60">
        <v>61</v>
      </c>
      <c r="M5250" s="50"/>
    </row>
    <row r="5251" spans="1:13" ht="14" x14ac:dyDescent="0.15">
      <c r="A5251" s="70" t="s">
        <v>7029</v>
      </c>
      <c r="B5251" s="118"/>
      <c r="C5251" s="121" t="s">
        <v>3636</v>
      </c>
      <c r="D5251" s="121" t="s">
        <v>6983</v>
      </c>
      <c r="E5251" s="121" t="s">
        <v>4872</v>
      </c>
      <c r="F5251" s="121" t="s">
        <v>4598</v>
      </c>
      <c r="G5251" s="121" t="s">
        <v>4600</v>
      </c>
      <c r="H5251" s="93"/>
      <c r="I5251" s="85">
        <f t="shared" si="203"/>
        <v>2.9966900000000005</v>
      </c>
      <c r="J5251" s="122">
        <v>992.40741375852326</v>
      </c>
      <c r="K5251" s="131" t="s">
        <v>3177</v>
      </c>
      <c r="L5251" s="60">
        <v>61</v>
      </c>
    </row>
    <row r="5252" spans="1:13" ht="14" x14ac:dyDescent="0.15">
      <c r="A5252" s="70" t="s">
        <v>7029</v>
      </c>
      <c r="B5252" s="118"/>
      <c r="C5252" s="121" t="s">
        <v>3636</v>
      </c>
      <c r="D5252" s="121" t="s">
        <v>6983</v>
      </c>
      <c r="E5252" s="121" t="s">
        <v>4872</v>
      </c>
      <c r="F5252" s="121" t="s">
        <v>4598</v>
      </c>
      <c r="G5252" s="121" t="s">
        <v>4601</v>
      </c>
      <c r="H5252" s="93"/>
      <c r="I5252" s="85">
        <f t="shared" si="203"/>
        <v>2.9966900000000005</v>
      </c>
      <c r="J5252" s="122">
        <v>992.40741375852326</v>
      </c>
      <c r="K5252" s="131" t="s">
        <v>3177</v>
      </c>
      <c r="L5252" s="60">
        <v>61</v>
      </c>
    </row>
    <row r="5253" spans="1:13" ht="14" x14ac:dyDescent="0.15">
      <c r="A5253" s="70" t="s">
        <v>7029</v>
      </c>
      <c r="B5253" s="118"/>
      <c r="C5253" s="121" t="s">
        <v>3636</v>
      </c>
      <c r="D5253" s="121" t="s">
        <v>6983</v>
      </c>
      <c r="E5253" s="121" t="s">
        <v>4872</v>
      </c>
      <c r="F5253" s="121" t="s">
        <v>4598</v>
      </c>
      <c r="G5253" s="121" t="s">
        <v>3945</v>
      </c>
      <c r="H5253" s="93"/>
      <c r="I5253" s="85">
        <f t="shared" si="203"/>
        <v>2.9966900000000005</v>
      </c>
      <c r="J5253" s="122">
        <v>992.40741375852326</v>
      </c>
      <c r="K5253" s="131" t="s">
        <v>3177</v>
      </c>
      <c r="L5253" s="60">
        <v>61</v>
      </c>
      <c r="M5253" s="50"/>
    </row>
    <row r="5254" spans="1:13" ht="14" x14ac:dyDescent="0.15">
      <c r="A5254" s="70" t="s">
        <v>7029</v>
      </c>
      <c r="B5254" s="118"/>
      <c r="C5254" s="121" t="s">
        <v>3636</v>
      </c>
      <c r="D5254" s="121" t="s">
        <v>6983</v>
      </c>
      <c r="E5254" s="121" t="s">
        <v>4872</v>
      </c>
      <c r="F5254" s="121" t="s">
        <v>4598</v>
      </c>
      <c r="G5254" s="121" t="s">
        <v>3950</v>
      </c>
      <c r="H5254" s="93"/>
      <c r="I5254" s="85">
        <f t="shared" si="203"/>
        <v>2.9966900000000005</v>
      </c>
      <c r="J5254" s="122">
        <v>992.40741375852326</v>
      </c>
      <c r="K5254" s="131" t="s">
        <v>3177</v>
      </c>
      <c r="L5254" s="60">
        <v>61</v>
      </c>
    </row>
    <row r="5255" spans="1:13" ht="14" x14ac:dyDescent="0.15">
      <c r="A5255" s="70" t="s">
        <v>7029</v>
      </c>
      <c r="B5255" s="118"/>
      <c r="C5255" s="121" t="s">
        <v>3636</v>
      </c>
      <c r="D5255" s="121" t="s">
        <v>6983</v>
      </c>
      <c r="E5255" s="121" t="s">
        <v>4872</v>
      </c>
      <c r="F5255" s="121" t="s">
        <v>4598</v>
      </c>
      <c r="G5255" s="121" t="s">
        <v>6886</v>
      </c>
      <c r="H5255" s="93"/>
      <c r="I5255" s="85">
        <f t="shared" si="203"/>
        <v>2.9966900000000005</v>
      </c>
      <c r="J5255" s="122">
        <v>992.40741375852326</v>
      </c>
      <c r="K5255" s="131" t="s">
        <v>3177</v>
      </c>
      <c r="L5255" s="60">
        <v>61</v>
      </c>
    </row>
    <row r="5256" spans="1:13" ht="14" x14ac:dyDescent="0.15">
      <c r="A5256" s="70" t="s">
        <v>7029</v>
      </c>
      <c r="B5256" s="118"/>
      <c r="C5256" s="121" t="s">
        <v>3636</v>
      </c>
      <c r="D5256" s="121" t="s">
        <v>6983</v>
      </c>
      <c r="E5256" s="121" t="s">
        <v>4872</v>
      </c>
      <c r="F5256" s="121" t="s">
        <v>4598</v>
      </c>
      <c r="G5256" s="121" t="s">
        <v>3729</v>
      </c>
      <c r="H5256" s="93"/>
      <c r="I5256" s="85">
        <f t="shared" si="203"/>
        <v>2.9966900000000005</v>
      </c>
      <c r="J5256" s="122">
        <v>992.40741375852326</v>
      </c>
      <c r="K5256" s="131" t="s">
        <v>8049</v>
      </c>
      <c r="L5256" s="60">
        <v>61</v>
      </c>
      <c r="M5256" s="49" t="s">
        <v>6728</v>
      </c>
    </row>
    <row r="5257" spans="1:13" ht="14" x14ac:dyDescent="0.15">
      <c r="A5257" s="70" t="s">
        <v>7029</v>
      </c>
      <c r="B5257" s="118"/>
      <c r="C5257" s="121" t="s">
        <v>3636</v>
      </c>
      <c r="D5257" s="121" t="s">
        <v>6983</v>
      </c>
      <c r="E5257" s="121" t="s">
        <v>4872</v>
      </c>
      <c r="F5257" s="121" t="s">
        <v>4598</v>
      </c>
      <c r="G5257" s="121" t="s">
        <v>4176</v>
      </c>
      <c r="H5257" s="93"/>
      <c r="I5257" s="85">
        <f t="shared" si="203"/>
        <v>2.9966900000000005</v>
      </c>
      <c r="J5257" s="122">
        <v>992.40741375852326</v>
      </c>
      <c r="K5257" s="131" t="s">
        <v>3177</v>
      </c>
      <c r="L5257" s="60">
        <v>61</v>
      </c>
      <c r="M5257" s="49" t="s">
        <v>6727</v>
      </c>
    </row>
    <row r="5258" spans="1:13" ht="28" x14ac:dyDescent="0.15">
      <c r="A5258" s="70" t="s">
        <v>7029</v>
      </c>
      <c r="B5258" s="118"/>
      <c r="C5258" s="121" t="s">
        <v>3636</v>
      </c>
      <c r="D5258" s="121" t="s">
        <v>6983</v>
      </c>
      <c r="E5258" s="121" t="s">
        <v>4872</v>
      </c>
      <c r="F5258" s="121" t="s">
        <v>4598</v>
      </c>
      <c r="G5258" s="121" t="s">
        <v>3531</v>
      </c>
      <c r="H5258" s="108"/>
      <c r="I5258" s="85">
        <f t="shared" si="203"/>
        <v>3.0211900000000003</v>
      </c>
      <c r="J5258" s="122">
        <v>1050.0016946500355</v>
      </c>
      <c r="K5258" s="131" t="s">
        <v>7875</v>
      </c>
      <c r="L5258" s="60">
        <v>60</v>
      </c>
      <c r="M5258" s="49" t="s">
        <v>6728</v>
      </c>
    </row>
    <row r="5259" spans="1:13" ht="28" x14ac:dyDescent="0.15">
      <c r="A5259" s="70" t="s">
        <v>7029</v>
      </c>
      <c r="B5259" s="118"/>
      <c r="C5259" s="121" t="s">
        <v>3636</v>
      </c>
      <c r="D5259" s="121" t="s">
        <v>6983</v>
      </c>
      <c r="E5259" s="121" t="s">
        <v>4872</v>
      </c>
      <c r="F5259" s="121" t="s">
        <v>4598</v>
      </c>
      <c r="G5259" s="121" t="s">
        <v>3075</v>
      </c>
      <c r="H5259" s="93"/>
      <c r="I5259" s="85">
        <f t="shared" si="203"/>
        <v>3.1303300000000003</v>
      </c>
      <c r="J5259" s="122">
        <v>1349.9882857222524</v>
      </c>
      <c r="K5259" s="131" t="s">
        <v>6853</v>
      </c>
      <c r="L5259" s="60">
        <v>61</v>
      </c>
      <c r="M5259" s="49" t="s">
        <v>6809</v>
      </c>
    </row>
    <row r="5260" spans="1:13" ht="14" x14ac:dyDescent="0.15">
      <c r="A5260" s="70" t="s">
        <v>7029</v>
      </c>
      <c r="B5260" s="118"/>
      <c r="C5260" s="121" t="s">
        <v>3636</v>
      </c>
      <c r="D5260" s="121" t="s">
        <v>6983</v>
      </c>
      <c r="E5260" s="121" t="s">
        <v>4872</v>
      </c>
      <c r="F5260" s="121" t="s">
        <v>3752</v>
      </c>
      <c r="G5260" s="121" t="s">
        <v>2335</v>
      </c>
      <c r="H5260" s="108"/>
      <c r="I5260" s="85">
        <f t="shared" si="203"/>
        <v>3.3979400000000002</v>
      </c>
      <c r="J5260" s="122">
        <v>2499.9999500797412</v>
      </c>
      <c r="K5260" s="131" t="s">
        <v>6817</v>
      </c>
      <c r="L5260" s="60">
        <v>61</v>
      </c>
      <c r="M5260" s="49" t="s">
        <v>6390</v>
      </c>
    </row>
    <row r="5261" spans="1:13" ht="14" x14ac:dyDescent="0.15">
      <c r="A5261" s="70" t="s">
        <v>7029</v>
      </c>
      <c r="B5261" s="118"/>
      <c r="C5261" s="121" t="s">
        <v>3636</v>
      </c>
      <c r="D5261" s="121" t="s">
        <v>6983</v>
      </c>
      <c r="E5261" s="121" t="s">
        <v>4872</v>
      </c>
      <c r="F5261" s="121" t="s">
        <v>3752</v>
      </c>
      <c r="G5261" s="121" t="s">
        <v>2337</v>
      </c>
      <c r="H5261" s="93"/>
      <c r="I5261" s="85">
        <f t="shared" si="203"/>
        <v>3.4149700000000003</v>
      </c>
      <c r="J5261" s="122">
        <v>2599.9799567092446</v>
      </c>
      <c r="K5261" s="131" t="s">
        <v>3177</v>
      </c>
      <c r="L5261" s="60">
        <v>60</v>
      </c>
    </row>
    <row r="5262" spans="1:13" ht="14" x14ac:dyDescent="0.15">
      <c r="A5262" s="70" t="s">
        <v>7029</v>
      </c>
      <c r="B5262" s="118"/>
      <c r="C5262" s="121" t="s">
        <v>3636</v>
      </c>
      <c r="D5262" s="121" t="s">
        <v>6983</v>
      </c>
      <c r="E5262" s="121" t="s">
        <v>4872</v>
      </c>
      <c r="F5262" s="121" t="s">
        <v>3752</v>
      </c>
      <c r="G5262" s="121" t="s">
        <v>6868</v>
      </c>
      <c r="H5262" s="93"/>
      <c r="I5262" s="85">
        <f t="shared" si="203"/>
        <v>3.4197899999999999</v>
      </c>
      <c r="J5262" s="122">
        <v>2628.9964520097492</v>
      </c>
      <c r="K5262" s="131" t="s">
        <v>3177</v>
      </c>
      <c r="L5262" s="60">
        <v>60</v>
      </c>
    </row>
    <row r="5263" spans="1:13" ht="14" x14ac:dyDescent="0.15">
      <c r="A5263" s="70" t="s">
        <v>7029</v>
      </c>
      <c r="B5263" s="118"/>
      <c r="C5263" s="121" t="s">
        <v>3636</v>
      </c>
      <c r="D5263" s="121" t="s">
        <v>6983</v>
      </c>
      <c r="E5263" s="121" t="s">
        <v>4872</v>
      </c>
      <c r="F5263" s="121" t="s">
        <v>3752</v>
      </c>
      <c r="G5263" s="121" t="s">
        <v>2336</v>
      </c>
      <c r="H5263" s="93"/>
      <c r="I5263" s="85">
        <f t="shared" si="203"/>
        <v>3.4366900000000005</v>
      </c>
      <c r="J5263" s="122">
        <v>2733.3169843793216</v>
      </c>
      <c r="K5263" s="131" t="s">
        <v>3177</v>
      </c>
      <c r="L5263" s="60">
        <v>60</v>
      </c>
    </row>
    <row r="5264" spans="1:13" ht="14" x14ac:dyDescent="0.15">
      <c r="A5264" s="70" t="s">
        <v>7029</v>
      </c>
      <c r="B5264" s="118"/>
      <c r="C5264" s="121" t="s">
        <v>3636</v>
      </c>
      <c r="D5264" s="121" t="s">
        <v>6983</v>
      </c>
      <c r="E5264" s="121" t="s">
        <v>4872</v>
      </c>
      <c r="F5264" s="121" t="s">
        <v>2338</v>
      </c>
      <c r="G5264" s="121" t="s">
        <v>2433</v>
      </c>
      <c r="H5264" s="93"/>
      <c r="I5264" s="85">
        <f t="shared" si="203"/>
        <v>3.4624000000000006</v>
      </c>
      <c r="J5264" s="122">
        <v>2900.0133690540733</v>
      </c>
      <c r="K5264" s="131" t="s">
        <v>3177</v>
      </c>
      <c r="L5264" s="60">
        <v>61</v>
      </c>
    </row>
    <row r="5265" spans="1:13" ht="14" x14ac:dyDescent="0.15">
      <c r="A5265" s="70" t="s">
        <v>7029</v>
      </c>
      <c r="B5265" s="118"/>
      <c r="C5265" s="121" t="s">
        <v>3636</v>
      </c>
      <c r="D5265" s="121" t="s">
        <v>6983</v>
      </c>
      <c r="E5265" s="121" t="s">
        <v>4872</v>
      </c>
      <c r="F5265" s="121" t="s">
        <v>2338</v>
      </c>
      <c r="G5265" s="121" t="s">
        <v>2434</v>
      </c>
      <c r="H5265" s="93"/>
      <c r="I5265" s="85">
        <f t="shared" si="203"/>
        <v>3.4771200000000007</v>
      </c>
      <c r="J5265" s="122">
        <v>2999.9913327161544</v>
      </c>
      <c r="K5265" s="131" t="s">
        <v>3177</v>
      </c>
      <c r="L5265" s="60">
        <v>60</v>
      </c>
    </row>
    <row r="5266" spans="1:13" ht="14" x14ac:dyDescent="0.15">
      <c r="A5266" s="70" t="s">
        <v>7029</v>
      </c>
      <c r="B5266" s="118"/>
      <c r="C5266" s="121" t="s">
        <v>3636</v>
      </c>
      <c r="D5266" s="121" t="s">
        <v>6983</v>
      </c>
      <c r="E5266" s="121" t="s">
        <v>4872</v>
      </c>
      <c r="F5266" s="121" t="s">
        <v>2435</v>
      </c>
      <c r="G5266" s="121" t="s">
        <v>2310</v>
      </c>
      <c r="H5266" s="93"/>
      <c r="I5266" s="85">
        <f t="shared" si="203"/>
        <v>3.7993400000000004</v>
      </c>
      <c r="J5266" s="122">
        <v>6299.9920294741987</v>
      </c>
      <c r="K5266" s="131" t="s">
        <v>6817</v>
      </c>
      <c r="L5266" s="60">
        <v>60</v>
      </c>
      <c r="M5266" s="49" t="s">
        <v>6728</v>
      </c>
    </row>
    <row r="5267" spans="1:13" ht="28" x14ac:dyDescent="0.15">
      <c r="A5267" s="70" t="s">
        <v>7029</v>
      </c>
      <c r="B5267" s="118"/>
      <c r="C5267" s="121" t="s">
        <v>3636</v>
      </c>
      <c r="D5267" s="121" t="s">
        <v>6983</v>
      </c>
      <c r="E5267" s="121" t="s">
        <v>4872</v>
      </c>
      <c r="F5267" s="121" t="s">
        <v>2435</v>
      </c>
      <c r="G5267" s="121" t="s">
        <v>2613</v>
      </c>
      <c r="H5267" s="93"/>
      <c r="I5267" s="85">
        <f t="shared" si="203"/>
        <v>3.8325100000000005</v>
      </c>
      <c r="J5267" s="122">
        <v>6800.0170244089231</v>
      </c>
      <c r="K5267" s="131" t="s">
        <v>6853</v>
      </c>
      <c r="L5267" s="69">
        <v>61</v>
      </c>
      <c r="M5267" s="49" t="s">
        <v>6809</v>
      </c>
    </row>
    <row r="5268" spans="1:13" ht="14" x14ac:dyDescent="0.15">
      <c r="A5268" s="70" t="s">
        <v>7029</v>
      </c>
      <c r="B5268" s="118"/>
      <c r="C5268" s="121" t="s">
        <v>3636</v>
      </c>
      <c r="D5268" s="121" t="s">
        <v>6983</v>
      </c>
      <c r="E5268" s="121" t="s">
        <v>4872</v>
      </c>
      <c r="F5268" s="121" t="s">
        <v>2311</v>
      </c>
      <c r="G5268" s="121" t="s">
        <v>6908</v>
      </c>
      <c r="H5268" s="93"/>
      <c r="I5268" s="85">
        <f t="shared" si="203"/>
        <v>3.1384600000000002</v>
      </c>
      <c r="J5268" s="122">
        <v>1375.4981163825987</v>
      </c>
      <c r="K5268" s="131" t="s">
        <v>3177</v>
      </c>
      <c r="L5268" s="60">
        <v>60</v>
      </c>
    </row>
    <row r="5269" spans="1:13" ht="14" x14ac:dyDescent="0.15">
      <c r="A5269" s="70" t="s">
        <v>7029</v>
      </c>
      <c r="B5269" s="118"/>
      <c r="C5269" s="121" t="s">
        <v>3636</v>
      </c>
      <c r="D5269" s="121" t="s">
        <v>6983</v>
      </c>
      <c r="E5269" s="121" t="s">
        <v>4872</v>
      </c>
      <c r="F5269" s="121" t="s">
        <v>2311</v>
      </c>
      <c r="G5269" s="121" t="s">
        <v>6907</v>
      </c>
      <c r="H5269" s="93"/>
      <c r="I5269" s="85">
        <f t="shared" si="203"/>
        <v>3.1868200000000004</v>
      </c>
      <c r="J5269" s="122">
        <v>1537.5172606478543</v>
      </c>
      <c r="K5269" s="131" t="s">
        <v>3177</v>
      </c>
      <c r="L5269" s="60">
        <v>60</v>
      </c>
    </row>
    <row r="5270" spans="1:13" ht="14" x14ac:dyDescent="0.15">
      <c r="A5270" s="70" t="s">
        <v>7029</v>
      </c>
      <c r="B5270" s="118"/>
      <c r="C5270" s="121" t="s">
        <v>3636</v>
      </c>
      <c r="D5270" s="121" t="s">
        <v>6983</v>
      </c>
      <c r="E5270" s="121" t="s">
        <v>4872</v>
      </c>
      <c r="F5270" s="121" t="s">
        <v>2311</v>
      </c>
      <c r="G5270" s="121" t="s">
        <v>6906</v>
      </c>
      <c r="H5270" s="93"/>
      <c r="I5270" s="85">
        <f t="shared" si="203"/>
        <v>3.3504400000000003</v>
      </c>
      <c r="J5270" s="122">
        <v>2240.990420126544</v>
      </c>
      <c r="K5270" s="131" t="s">
        <v>3177</v>
      </c>
      <c r="L5270" s="69">
        <v>61</v>
      </c>
    </row>
    <row r="5271" spans="1:13" ht="14" x14ac:dyDescent="0.15">
      <c r="A5271" s="70" t="s">
        <v>7029</v>
      </c>
      <c r="B5271" s="118"/>
      <c r="C5271" s="121" t="s">
        <v>3636</v>
      </c>
      <c r="D5271" s="121" t="s">
        <v>6983</v>
      </c>
      <c r="E5271" s="121" t="s">
        <v>4872</v>
      </c>
      <c r="F5271" s="121" t="s">
        <v>2311</v>
      </c>
      <c r="G5271" s="121" t="s">
        <v>6869</v>
      </c>
      <c r="H5271" s="93"/>
      <c r="I5271" s="85">
        <f t="shared" si="203"/>
        <v>3.3521800000000006</v>
      </c>
      <c r="J5271" s="122">
        <v>2249.9869541650314</v>
      </c>
      <c r="K5271" s="131" t="s">
        <v>3177</v>
      </c>
      <c r="L5271" s="69">
        <v>61</v>
      </c>
    </row>
    <row r="5272" spans="1:13" ht="14" x14ac:dyDescent="0.15">
      <c r="A5272" s="70" t="s">
        <v>7029</v>
      </c>
      <c r="B5272" s="118"/>
      <c r="C5272" s="121" t="s">
        <v>3636</v>
      </c>
      <c r="D5272" s="121" t="s">
        <v>6983</v>
      </c>
      <c r="E5272" s="121" t="s">
        <v>4872</v>
      </c>
      <c r="F5272" s="121" t="s">
        <v>2311</v>
      </c>
      <c r="G5272" s="121" t="s">
        <v>6905</v>
      </c>
      <c r="H5272" s="93"/>
      <c r="I5272" s="85">
        <f t="shared" si="203"/>
        <v>3.4471600000000002</v>
      </c>
      <c r="J5272" s="122">
        <v>2800.012692434535</v>
      </c>
      <c r="K5272" s="131" t="s">
        <v>3177</v>
      </c>
      <c r="L5272" s="69">
        <v>61</v>
      </c>
    </row>
    <row r="5273" spans="1:13" ht="14" x14ac:dyDescent="0.15">
      <c r="A5273" s="73" t="s">
        <v>7029</v>
      </c>
      <c r="B5273" s="118"/>
      <c r="C5273" s="121" t="s">
        <v>3636</v>
      </c>
      <c r="D5273" s="121" t="s">
        <v>6983</v>
      </c>
      <c r="E5273" s="121" t="s">
        <v>4872</v>
      </c>
      <c r="F5273" s="121" t="s">
        <v>7228</v>
      </c>
      <c r="G5273" s="121" t="s">
        <v>7229</v>
      </c>
      <c r="H5273" s="93"/>
      <c r="I5273" s="85">
        <f t="shared" si="203"/>
        <v>2.7888800000000002</v>
      </c>
      <c r="J5273" s="122">
        <v>615.00691653966339</v>
      </c>
      <c r="K5273" s="131" t="s">
        <v>3177</v>
      </c>
      <c r="L5273" s="60">
        <v>60</v>
      </c>
    </row>
    <row r="5274" spans="1:13" ht="14" x14ac:dyDescent="0.15">
      <c r="A5274" s="70" t="s">
        <v>7029</v>
      </c>
      <c r="B5274" s="118"/>
      <c r="C5274" s="121" t="s">
        <v>3636</v>
      </c>
      <c r="D5274" s="121" t="s">
        <v>6983</v>
      </c>
      <c r="E5274" s="121" t="s">
        <v>4872</v>
      </c>
      <c r="F5274" s="121" t="s">
        <v>7228</v>
      </c>
      <c r="G5274" s="121" t="s">
        <v>6892</v>
      </c>
      <c r="H5274" s="93"/>
      <c r="I5274" s="85">
        <f t="shared" si="203"/>
        <v>2.8711300000000004</v>
      </c>
      <c r="J5274" s="122">
        <v>743.24158361084801</v>
      </c>
      <c r="K5274" s="131" t="s">
        <v>3177</v>
      </c>
      <c r="L5274" s="60">
        <v>60</v>
      </c>
    </row>
    <row r="5275" spans="1:13" ht="14" x14ac:dyDescent="0.15">
      <c r="A5275" s="70" t="s">
        <v>7029</v>
      </c>
      <c r="B5275" s="118"/>
      <c r="C5275" s="121" t="s">
        <v>3636</v>
      </c>
      <c r="D5275" s="121" t="s">
        <v>6983</v>
      </c>
      <c r="E5275" s="121" t="s">
        <v>4872</v>
      </c>
      <c r="F5275" s="121" t="s">
        <v>7228</v>
      </c>
      <c r="G5275" s="121" t="s">
        <v>6057</v>
      </c>
      <c r="H5275" s="93"/>
      <c r="I5275" s="85">
        <f t="shared" si="203"/>
        <v>2.8862700000000006</v>
      </c>
      <c r="J5275" s="122">
        <v>769.60875579241531</v>
      </c>
      <c r="K5275" s="131" t="s">
        <v>6391</v>
      </c>
      <c r="L5275" s="69">
        <v>61</v>
      </c>
      <c r="M5275" s="49" t="s">
        <v>6728</v>
      </c>
    </row>
    <row r="5276" spans="1:13" ht="14" x14ac:dyDescent="0.15">
      <c r="A5276" s="70" t="s">
        <v>7029</v>
      </c>
      <c r="B5276" s="118"/>
      <c r="C5276" s="121" t="s">
        <v>3636</v>
      </c>
      <c r="D5276" s="121" t="s">
        <v>6983</v>
      </c>
      <c r="E5276" s="121" t="s">
        <v>4872</v>
      </c>
      <c r="F5276" s="121" t="s">
        <v>7228</v>
      </c>
      <c r="G5276" s="121" t="s">
        <v>2831</v>
      </c>
      <c r="H5276" s="93"/>
      <c r="I5276" s="85">
        <f t="shared" si="203"/>
        <v>3</v>
      </c>
      <c r="J5276" s="122">
        <v>1000</v>
      </c>
      <c r="K5276" s="131" t="s">
        <v>3177</v>
      </c>
      <c r="L5276" s="69">
        <v>61</v>
      </c>
    </row>
    <row r="5277" spans="1:13" ht="14" x14ac:dyDescent="0.15">
      <c r="A5277" s="70" t="s">
        <v>7029</v>
      </c>
      <c r="B5277" s="118"/>
      <c r="C5277" s="121" t="s">
        <v>3636</v>
      </c>
      <c r="D5277" s="121" t="s">
        <v>3437</v>
      </c>
      <c r="E5277" s="121" t="s">
        <v>3438</v>
      </c>
      <c r="F5277" s="121" t="s">
        <v>3439</v>
      </c>
      <c r="G5277" s="121" t="s">
        <v>7229</v>
      </c>
      <c r="H5277" s="93"/>
      <c r="I5277" s="85">
        <f t="shared" si="203"/>
        <v>2.1986600000000003</v>
      </c>
      <c r="J5277" s="122">
        <v>158.00105979413516</v>
      </c>
      <c r="K5277" s="131" t="s">
        <v>6630</v>
      </c>
      <c r="L5277" s="69">
        <v>61</v>
      </c>
      <c r="M5277" s="49" t="s">
        <v>6728</v>
      </c>
    </row>
    <row r="5278" spans="1:13" ht="14" x14ac:dyDescent="0.15">
      <c r="A5278" s="70" t="s">
        <v>7029</v>
      </c>
      <c r="B5278" s="118"/>
      <c r="C5278" s="121" t="s">
        <v>3636</v>
      </c>
      <c r="D5278" s="121" t="s">
        <v>3437</v>
      </c>
      <c r="E5278" s="121" t="s">
        <v>3438</v>
      </c>
      <c r="F5278" s="121" t="s">
        <v>3439</v>
      </c>
      <c r="G5278" s="121" t="s">
        <v>4430</v>
      </c>
      <c r="H5278" s="93"/>
      <c r="I5278" s="85">
        <f t="shared" si="203"/>
        <v>2.3979400000000002</v>
      </c>
      <c r="J5278" s="122">
        <v>249.99999500797404</v>
      </c>
      <c r="K5278" s="131" t="s">
        <v>6630</v>
      </c>
      <c r="L5278" s="60">
        <v>61</v>
      </c>
      <c r="M5278" s="49" t="s">
        <v>6728</v>
      </c>
    </row>
    <row r="5279" spans="1:13" ht="14" x14ac:dyDescent="0.15">
      <c r="A5279" s="70" t="s">
        <v>7029</v>
      </c>
      <c r="B5279" s="118"/>
      <c r="C5279" s="121" t="s">
        <v>3636</v>
      </c>
      <c r="D5279" s="121" t="s">
        <v>3437</v>
      </c>
      <c r="E5279" s="121" t="s">
        <v>3438</v>
      </c>
      <c r="F5279" s="121" t="s">
        <v>3439</v>
      </c>
      <c r="G5279" s="121" t="s">
        <v>4448</v>
      </c>
      <c r="H5279" s="93"/>
      <c r="I5279" s="85">
        <f t="shared" si="203"/>
        <v>2.3988100000000006</v>
      </c>
      <c r="J5279" s="122">
        <v>250.5013092166534</v>
      </c>
      <c r="K5279" s="131" t="s">
        <v>3177</v>
      </c>
      <c r="L5279" s="60">
        <v>61</v>
      </c>
    </row>
    <row r="5280" spans="1:13" ht="14" x14ac:dyDescent="0.15">
      <c r="A5280" s="70" t="s">
        <v>7029</v>
      </c>
      <c r="B5280" s="118"/>
      <c r="C5280" s="121" t="s">
        <v>3636</v>
      </c>
      <c r="D5280" s="121" t="s">
        <v>3437</v>
      </c>
      <c r="E5280" s="121" t="s">
        <v>4449</v>
      </c>
      <c r="F5280" s="121" t="s">
        <v>4450</v>
      </c>
      <c r="G5280" s="121" t="s">
        <v>3442</v>
      </c>
      <c r="H5280" s="93"/>
      <c r="I5280" s="85">
        <f t="shared" si="203"/>
        <v>3.9030900000000006</v>
      </c>
      <c r="J5280" s="122">
        <v>8000.0002396172686</v>
      </c>
      <c r="K5280" s="131" t="s">
        <v>3177</v>
      </c>
      <c r="L5280" s="60">
        <v>60</v>
      </c>
    </row>
    <row r="5281" spans="1:13" ht="28" x14ac:dyDescent="0.15">
      <c r="A5281" s="70" t="s">
        <v>7029</v>
      </c>
      <c r="B5281" s="118"/>
      <c r="C5281" s="121" t="s">
        <v>3636</v>
      </c>
      <c r="D5281" s="121" t="s">
        <v>3437</v>
      </c>
      <c r="E5281" s="121" t="s">
        <v>4449</v>
      </c>
      <c r="F5281" s="121" t="s">
        <v>4450</v>
      </c>
      <c r="G5281" s="121" t="s">
        <v>3443</v>
      </c>
      <c r="H5281" s="93"/>
      <c r="I5281" s="85">
        <f t="shared" si="203"/>
        <v>3.9542400000000004</v>
      </c>
      <c r="J5281" s="122">
        <v>8999.9479963720187</v>
      </c>
      <c r="K5281" s="131" t="s">
        <v>6654</v>
      </c>
      <c r="L5281" s="60">
        <v>61</v>
      </c>
      <c r="M5281" s="49" t="s">
        <v>6392</v>
      </c>
    </row>
    <row r="5282" spans="1:13" ht="14" x14ac:dyDescent="0.15">
      <c r="A5282" s="70" t="s">
        <v>7029</v>
      </c>
      <c r="B5282" s="118"/>
      <c r="C5282" s="121" t="s">
        <v>3636</v>
      </c>
      <c r="D5282" s="121" t="s">
        <v>3437</v>
      </c>
      <c r="E5282" s="121" t="s">
        <v>6264</v>
      </c>
      <c r="F5282" s="121" t="s">
        <v>6265</v>
      </c>
      <c r="G5282" s="121" t="s">
        <v>6267</v>
      </c>
      <c r="H5282" s="93"/>
      <c r="I5282" s="85">
        <f t="shared" si="203"/>
        <v>2.4510200000000006</v>
      </c>
      <c r="J5282" s="122">
        <v>282.50100684415969</v>
      </c>
      <c r="K5282" s="131" t="s">
        <v>3177</v>
      </c>
      <c r="L5282" s="60">
        <v>60</v>
      </c>
    </row>
    <row r="5283" spans="1:13" ht="14" x14ac:dyDescent="0.15">
      <c r="A5283" s="70" t="s">
        <v>7029</v>
      </c>
      <c r="B5283" s="118"/>
      <c r="C5283" s="121" t="s">
        <v>3636</v>
      </c>
      <c r="D5283" s="121" t="s">
        <v>3437</v>
      </c>
      <c r="E5283" s="121" t="s">
        <v>6264</v>
      </c>
      <c r="F5283" s="121" t="s">
        <v>6265</v>
      </c>
      <c r="G5283" s="121" t="s">
        <v>7089</v>
      </c>
      <c r="H5283" s="93"/>
      <c r="I5283" s="85">
        <f t="shared" si="203"/>
        <v>2.66276</v>
      </c>
      <c r="J5283" s="122">
        <v>460.00229666506834</v>
      </c>
      <c r="K5283" s="131" t="s">
        <v>3177</v>
      </c>
      <c r="L5283" s="60">
        <v>61</v>
      </c>
    </row>
    <row r="5284" spans="1:13" ht="14" x14ac:dyDescent="0.15">
      <c r="A5284" s="73" t="s">
        <v>7029</v>
      </c>
      <c r="B5284" s="118"/>
      <c r="C5284" s="121" t="s">
        <v>3636</v>
      </c>
      <c r="D5284" s="121" t="s">
        <v>3437</v>
      </c>
      <c r="E5284" s="121" t="s">
        <v>6264</v>
      </c>
      <c r="F5284" s="121" t="s">
        <v>6265</v>
      </c>
      <c r="G5284" s="121" t="s">
        <v>6266</v>
      </c>
      <c r="H5284" s="93"/>
      <c r="I5284" s="85">
        <f t="shared" si="203"/>
        <v>2.7395700000000005</v>
      </c>
      <c r="J5284" s="122">
        <v>548.99703634358764</v>
      </c>
      <c r="K5284" s="131" t="s">
        <v>3177</v>
      </c>
      <c r="L5284" s="60">
        <v>61</v>
      </c>
    </row>
    <row r="5285" spans="1:13" ht="14" x14ac:dyDescent="0.15">
      <c r="A5285" s="70" t="s">
        <v>7029</v>
      </c>
      <c r="B5285" s="118"/>
      <c r="C5285" s="121" t="s">
        <v>3636</v>
      </c>
      <c r="D5285" s="121" t="s">
        <v>3437</v>
      </c>
      <c r="E5285" s="121" t="s">
        <v>6264</v>
      </c>
      <c r="F5285" s="121" t="s">
        <v>6265</v>
      </c>
      <c r="G5285" s="121" t="s">
        <v>6428</v>
      </c>
      <c r="H5285" s="93"/>
      <c r="I5285" s="85">
        <f t="shared" si="203"/>
        <v>2.8621300000000005</v>
      </c>
      <c r="J5285" s="122">
        <v>727.99768788612778</v>
      </c>
      <c r="K5285" s="131" t="s">
        <v>3177</v>
      </c>
      <c r="L5285" s="60">
        <v>61</v>
      </c>
    </row>
    <row r="5286" spans="1:13" ht="14" x14ac:dyDescent="0.15">
      <c r="A5286" s="70" t="s">
        <v>7029</v>
      </c>
      <c r="B5286" s="118"/>
      <c r="C5286" s="121" t="s">
        <v>3636</v>
      </c>
      <c r="D5286" s="121" t="s">
        <v>3437</v>
      </c>
      <c r="E5286" s="121" t="s">
        <v>6264</v>
      </c>
      <c r="F5286" s="121" t="s">
        <v>6265</v>
      </c>
      <c r="G5286" s="121" t="s">
        <v>6429</v>
      </c>
      <c r="H5286" s="93"/>
      <c r="I5286" s="85">
        <f t="shared" si="203"/>
        <v>3</v>
      </c>
      <c r="J5286" s="122">
        <v>1000</v>
      </c>
      <c r="K5286" s="131" t="s">
        <v>3177</v>
      </c>
      <c r="L5286" s="60">
        <v>75</v>
      </c>
    </row>
    <row r="5287" spans="1:13" ht="14" x14ac:dyDescent="0.15">
      <c r="A5287" s="70" t="s">
        <v>7029</v>
      </c>
      <c r="B5287" s="118"/>
      <c r="C5287" s="121" t="s">
        <v>3636</v>
      </c>
      <c r="D5287" s="121" t="s">
        <v>3437</v>
      </c>
      <c r="E5287" s="121" t="s">
        <v>6264</v>
      </c>
      <c r="F5287" s="121" t="s">
        <v>6430</v>
      </c>
      <c r="G5287" s="121" t="s">
        <v>6272</v>
      </c>
      <c r="H5287" s="93"/>
      <c r="I5287" s="85">
        <f t="shared" si="203"/>
        <v>3.2041200000000001</v>
      </c>
      <c r="J5287" s="122">
        <v>1600.0000638979368</v>
      </c>
      <c r="K5287" s="131" t="s">
        <v>6391</v>
      </c>
      <c r="L5287" s="60">
        <v>60</v>
      </c>
      <c r="M5287" s="49" t="s">
        <v>6392</v>
      </c>
    </row>
    <row r="5288" spans="1:13" ht="28" x14ac:dyDescent="0.15">
      <c r="A5288" s="70" t="s">
        <v>7029</v>
      </c>
      <c r="B5288" s="118"/>
      <c r="C5288" s="121" t="s">
        <v>3636</v>
      </c>
      <c r="D5288" s="121" t="s">
        <v>3437</v>
      </c>
      <c r="E5288" s="121" t="s">
        <v>6264</v>
      </c>
      <c r="F5288" s="121" t="s">
        <v>6430</v>
      </c>
      <c r="G5288" s="121" t="s">
        <v>6271</v>
      </c>
      <c r="H5288" s="93"/>
      <c r="I5288" s="85">
        <f t="shared" si="203"/>
        <v>3.9030900000000006</v>
      </c>
      <c r="J5288" s="122">
        <v>8000.0002396172686</v>
      </c>
      <c r="K5288" s="131" t="s">
        <v>6665</v>
      </c>
      <c r="L5288" s="60">
        <v>60</v>
      </c>
      <c r="M5288" s="49" t="s">
        <v>6392</v>
      </c>
    </row>
    <row r="5289" spans="1:13" ht="14" x14ac:dyDescent="0.15">
      <c r="A5289" s="70" t="s">
        <v>7029</v>
      </c>
      <c r="B5289" s="118"/>
      <c r="C5289" s="121" t="s">
        <v>3636</v>
      </c>
      <c r="D5289" s="121" t="s">
        <v>3437</v>
      </c>
      <c r="E5289" s="121" t="s">
        <v>6264</v>
      </c>
      <c r="F5289" s="121" t="s">
        <v>6273</v>
      </c>
      <c r="G5289" s="121" t="s">
        <v>2876</v>
      </c>
      <c r="H5289" s="93"/>
      <c r="I5289" s="85">
        <f t="shared" si="203"/>
        <v>2.5134800000000004</v>
      </c>
      <c r="J5289" s="122">
        <v>326.19702812008234</v>
      </c>
      <c r="K5289" s="131" t="s">
        <v>3177</v>
      </c>
      <c r="L5289" s="69">
        <v>61</v>
      </c>
    </row>
    <row r="5290" spans="1:13" ht="14" x14ac:dyDescent="0.15">
      <c r="A5290" s="70" t="s">
        <v>7029</v>
      </c>
      <c r="B5290" s="118"/>
      <c r="C5290" s="121" t="s">
        <v>3636</v>
      </c>
      <c r="D5290" s="121" t="s">
        <v>3437</v>
      </c>
      <c r="E5290" s="121" t="s">
        <v>6264</v>
      </c>
      <c r="F5290" s="121" t="s">
        <v>6273</v>
      </c>
      <c r="G5290" s="121" t="s">
        <v>6434</v>
      </c>
      <c r="H5290" s="93"/>
      <c r="I5290" s="85">
        <f t="shared" si="203"/>
        <v>2.6532100000000005</v>
      </c>
      <c r="J5290" s="122">
        <v>449.9973953258035</v>
      </c>
      <c r="K5290" s="131" t="s">
        <v>3177</v>
      </c>
      <c r="L5290" s="69">
        <v>61</v>
      </c>
    </row>
    <row r="5291" spans="1:13" ht="14" x14ac:dyDescent="0.15">
      <c r="A5291" s="70" t="s">
        <v>7029</v>
      </c>
      <c r="B5291" s="118"/>
      <c r="C5291" s="121" t="s">
        <v>3636</v>
      </c>
      <c r="D5291" s="121" t="s">
        <v>3437</v>
      </c>
      <c r="E5291" s="121" t="s">
        <v>6264</v>
      </c>
      <c r="F5291" s="121" t="s">
        <v>6273</v>
      </c>
      <c r="G5291" s="121" t="s">
        <v>3969</v>
      </c>
      <c r="H5291" s="108"/>
      <c r="I5291" s="85">
        <f t="shared" si="203"/>
        <v>2.6812400000000003</v>
      </c>
      <c r="J5291" s="122">
        <v>479.9986324039092</v>
      </c>
      <c r="K5291" s="131" t="s">
        <v>3177</v>
      </c>
      <c r="L5291" s="60">
        <v>60</v>
      </c>
    </row>
    <row r="5292" spans="1:13" ht="14" x14ac:dyDescent="0.15">
      <c r="A5292" s="70" t="s">
        <v>7029</v>
      </c>
      <c r="B5292" s="118"/>
      <c r="C5292" s="121" t="s">
        <v>3636</v>
      </c>
      <c r="D5292" s="121" t="s">
        <v>3437</v>
      </c>
      <c r="E5292" s="121" t="s">
        <v>6264</v>
      </c>
      <c r="F5292" s="121" t="s">
        <v>2877</v>
      </c>
      <c r="G5292" s="121" t="s">
        <v>4531</v>
      </c>
      <c r="H5292" s="93"/>
      <c r="I5292" s="85">
        <f t="shared" si="203"/>
        <v>2.9030900000000006</v>
      </c>
      <c r="J5292" s="122">
        <v>800.0000239617267</v>
      </c>
      <c r="K5292" s="131" t="s">
        <v>3177</v>
      </c>
      <c r="L5292" s="69">
        <v>61</v>
      </c>
    </row>
    <row r="5293" spans="1:13" ht="14" x14ac:dyDescent="0.15">
      <c r="A5293" s="73" t="s">
        <v>7029</v>
      </c>
      <c r="B5293" s="118"/>
      <c r="C5293" s="121" t="s">
        <v>3636</v>
      </c>
      <c r="D5293" s="121" t="s">
        <v>3437</v>
      </c>
      <c r="E5293" s="121" t="s">
        <v>6264</v>
      </c>
      <c r="F5293" s="121" t="s">
        <v>6268</v>
      </c>
      <c r="G5293" s="121" t="s">
        <v>6552</v>
      </c>
      <c r="H5293" s="93"/>
      <c r="I5293" s="85">
        <f t="shared" si="203"/>
        <v>2.2671700000000006</v>
      </c>
      <c r="J5293" s="122">
        <v>184.99926373938769</v>
      </c>
      <c r="K5293" s="131" t="s">
        <v>3177</v>
      </c>
      <c r="L5293" s="69">
        <v>61</v>
      </c>
    </row>
    <row r="5294" spans="1:13" ht="14" x14ac:dyDescent="0.15">
      <c r="A5294" s="73" t="s">
        <v>7029</v>
      </c>
      <c r="B5294" s="118"/>
      <c r="C5294" s="121" t="s">
        <v>3636</v>
      </c>
      <c r="D5294" s="121" t="s">
        <v>3437</v>
      </c>
      <c r="E5294" s="121" t="s">
        <v>6264</v>
      </c>
      <c r="F5294" s="121" t="s">
        <v>6268</v>
      </c>
      <c r="G5294" s="121" t="s">
        <v>6551</v>
      </c>
      <c r="H5294" s="93"/>
      <c r="I5294" s="85">
        <f t="shared" si="203"/>
        <v>2.4068800000000001</v>
      </c>
      <c r="J5294" s="122">
        <v>255.19960626622768</v>
      </c>
      <c r="K5294" s="131" t="s">
        <v>3177</v>
      </c>
      <c r="L5294" s="69">
        <v>61</v>
      </c>
    </row>
    <row r="5295" spans="1:13" ht="14" x14ac:dyDescent="0.15">
      <c r="A5295" s="70" t="s">
        <v>7029</v>
      </c>
      <c r="B5295" s="118"/>
      <c r="C5295" s="121" t="s">
        <v>3636</v>
      </c>
      <c r="D5295" s="121" t="s">
        <v>3437</v>
      </c>
      <c r="E5295" s="121" t="s">
        <v>6264</v>
      </c>
      <c r="F5295" s="121" t="s">
        <v>6268</v>
      </c>
      <c r="G5295" s="121" t="s">
        <v>3608</v>
      </c>
      <c r="H5295" s="93"/>
      <c r="I5295" s="85">
        <f t="shared" si="203"/>
        <v>2.4565199999999998</v>
      </c>
      <c r="J5295" s="122">
        <v>286.10141121624019</v>
      </c>
      <c r="K5295" s="131" t="s">
        <v>3177</v>
      </c>
      <c r="L5295" s="69">
        <v>61</v>
      </c>
    </row>
    <row r="5296" spans="1:13" ht="14" x14ac:dyDescent="0.15">
      <c r="A5296" s="70" t="s">
        <v>7029</v>
      </c>
      <c r="B5296" s="118"/>
      <c r="C5296" s="121" t="s">
        <v>3636</v>
      </c>
      <c r="D5296" s="121" t="s">
        <v>3437</v>
      </c>
      <c r="E5296" s="121" t="s">
        <v>6553</v>
      </c>
      <c r="F5296" s="121" t="s">
        <v>7987</v>
      </c>
      <c r="G5296" s="121" t="s">
        <v>7988</v>
      </c>
      <c r="H5296" s="93"/>
      <c r="I5296" s="85">
        <f t="shared" si="203"/>
        <v>2.6201360549737576</v>
      </c>
      <c r="J5296" s="122">
        <f>AVERAGE(412, 422)</f>
        <v>417</v>
      </c>
      <c r="K5296" s="131" t="s">
        <v>6522</v>
      </c>
      <c r="L5296" s="60">
        <v>241</v>
      </c>
      <c r="M5296" s="49" t="s">
        <v>6728</v>
      </c>
    </row>
    <row r="5297" spans="1:13" ht="14" x14ac:dyDescent="0.15">
      <c r="A5297" s="70" t="s">
        <v>7029</v>
      </c>
      <c r="B5297" s="118"/>
      <c r="C5297" s="121" t="s">
        <v>3636</v>
      </c>
      <c r="D5297" s="121" t="s">
        <v>3437</v>
      </c>
      <c r="E5297" s="121" t="s">
        <v>6553</v>
      </c>
      <c r="F5297" s="121" t="s">
        <v>7987</v>
      </c>
      <c r="G5297" s="121" t="s">
        <v>4497</v>
      </c>
      <c r="H5297" s="93"/>
      <c r="I5297" s="85">
        <f t="shared" si="203"/>
        <v>2.6989700000000005</v>
      </c>
      <c r="J5297" s="122">
        <v>499.99999500797441</v>
      </c>
      <c r="K5297" s="131" t="s">
        <v>6820</v>
      </c>
      <c r="L5297" s="60">
        <v>61</v>
      </c>
      <c r="M5297" s="49" t="s">
        <v>6809</v>
      </c>
    </row>
    <row r="5298" spans="1:13" ht="14" x14ac:dyDescent="0.15">
      <c r="A5298" s="70" t="s">
        <v>7029</v>
      </c>
      <c r="B5298" s="118"/>
      <c r="C5298" s="121" t="s">
        <v>3636</v>
      </c>
      <c r="D5298" s="121" t="s">
        <v>3437</v>
      </c>
      <c r="E5298" s="121" t="s">
        <v>6553</v>
      </c>
      <c r="F5298" s="121" t="s">
        <v>3233</v>
      </c>
      <c r="G5298" s="121" t="s">
        <v>7986</v>
      </c>
      <c r="H5298" s="93"/>
      <c r="I5298" s="85">
        <f t="shared" si="203"/>
        <v>3.0863598306747484</v>
      </c>
      <c r="J5298" s="122">
        <v>1220</v>
      </c>
      <c r="K5298" s="131" t="s">
        <v>3177</v>
      </c>
      <c r="L5298" s="72">
        <v>61</v>
      </c>
    </row>
    <row r="5299" spans="1:13" ht="14" x14ac:dyDescent="0.15">
      <c r="A5299" s="70" t="s">
        <v>7029</v>
      </c>
      <c r="B5299" s="118"/>
      <c r="C5299" s="121" t="s">
        <v>3636</v>
      </c>
      <c r="D5299" s="121" t="s">
        <v>3437</v>
      </c>
      <c r="E5299" s="121" t="s">
        <v>6553</v>
      </c>
      <c r="F5299" s="121" t="s">
        <v>3233</v>
      </c>
      <c r="G5299" s="121" t="s">
        <v>6435</v>
      </c>
      <c r="H5299" s="93"/>
      <c r="I5299" s="85">
        <f t="shared" si="203"/>
        <v>3.1875200000000001</v>
      </c>
      <c r="J5299" s="122">
        <v>1539.9974439296889</v>
      </c>
      <c r="K5299" s="131" t="s">
        <v>3177</v>
      </c>
      <c r="L5299" s="69">
        <v>61</v>
      </c>
    </row>
    <row r="5300" spans="1:13" ht="14" x14ac:dyDescent="0.15">
      <c r="A5300" s="70" t="s">
        <v>7029</v>
      </c>
      <c r="B5300" s="118"/>
      <c r="C5300" s="121" t="s">
        <v>3636</v>
      </c>
      <c r="D5300" s="121" t="s">
        <v>3437</v>
      </c>
      <c r="E5300" s="121" t="s">
        <v>6553</v>
      </c>
      <c r="F5300" s="121" t="s">
        <v>3233</v>
      </c>
      <c r="G5300" s="121" t="s">
        <v>3247</v>
      </c>
      <c r="H5300" s="93"/>
      <c r="I5300" s="85">
        <f t="shared" si="203"/>
        <v>3.4284600000000003</v>
      </c>
      <c r="J5300" s="122">
        <v>2682.0075742059753</v>
      </c>
      <c r="K5300" s="131" t="s">
        <v>6522</v>
      </c>
      <c r="L5300" s="69">
        <v>61</v>
      </c>
      <c r="M5300" s="49" t="s">
        <v>6392</v>
      </c>
    </row>
    <row r="5301" spans="1:13" ht="14" x14ac:dyDescent="0.15">
      <c r="A5301" s="70" t="s">
        <v>7029</v>
      </c>
      <c r="B5301" s="118"/>
      <c r="C5301" s="121" t="s">
        <v>3636</v>
      </c>
      <c r="D5301" s="121" t="s">
        <v>3437</v>
      </c>
      <c r="E5301" s="121" t="s">
        <v>6553</v>
      </c>
      <c r="F5301" s="121" t="s">
        <v>3248</v>
      </c>
      <c r="G5301" s="121" t="s">
        <v>3249</v>
      </c>
      <c r="H5301" s="93"/>
      <c r="I5301" s="85">
        <f t="shared" si="203"/>
        <v>3.6672199999999999</v>
      </c>
      <c r="J5301" s="122">
        <v>4647.5064374148415</v>
      </c>
      <c r="K5301" s="131" t="s">
        <v>3177</v>
      </c>
      <c r="L5301" s="63">
        <v>60</v>
      </c>
    </row>
    <row r="5302" spans="1:13" ht="14" x14ac:dyDescent="0.15">
      <c r="A5302" s="70" t="s">
        <v>7029</v>
      </c>
      <c r="B5302" s="118"/>
      <c r="C5302" s="121" t="s">
        <v>3636</v>
      </c>
      <c r="D5302" s="121" t="s">
        <v>3437</v>
      </c>
      <c r="E5302" s="121" t="s">
        <v>6558</v>
      </c>
      <c r="F5302" s="121" t="s">
        <v>6559</v>
      </c>
      <c r="G5302" s="121" t="s">
        <v>3695</v>
      </c>
      <c r="H5302" s="93"/>
      <c r="I5302" s="85">
        <f t="shared" si="203"/>
        <v>1.9637899999999999</v>
      </c>
      <c r="J5302" s="122">
        <v>92.000460251551033</v>
      </c>
      <c r="K5302" s="131" t="s">
        <v>3177</v>
      </c>
      <c r="L5302" s="69">
        <v>61</v>
      </c>
    </row>
    <row r="5303" spans="1:13" ht="14" x14ac:dyDescent="0.15">
      <c r="A5303" s="70" t="s">
        <v>7029</v>
      </c>
      <c r="B5303" s="118"/>
      <c r="C5303" s="121" t="s">
        <v>3636</v>
      </c>
      <c r="D5303" s="121" t="s">
        <v>3437</v>
      </c>
      <c r="E5303" s="121" t="s">
        <v>6558</v>
      </c>
      <c r="F5303" s="121" t="s">
        <v>6559</v>
      </c>
      <c r="G5303" s="121" t="s">
        <v>3511</v>
      </c>
      <c r="H5303" s="93"/>
      <c r="I5303" s="85">
        <f t="shared" si="203"/>
        <v>2.0689299999999999</v>
      </c>
      <c r="J5303" s="122">
        <v>117.2006445203485</v>
      </c>
      <c r="K5303" s="131" t="s">
        <v>3177</v>
      </c>
      <c r="L5303" s="69">
        <v>61</v>
      </c>
    </row>
    <row r="5304" spans="1:13" ht="14" x14ac:dyDescent="0.15">
      <c r="A5304" s="70" t="s">
        <v>7029</v>
      </c>
      <c r="B5304" s="118"/>
      <c r="C5304" s="121" t="s">
        <v>3636</v>
      </c>
      <c r="D5304" s="121" t="s">
        <v>3437</v>
      </c>
      <c r="E5304" s="121" t="s">
        <v>6558</v>
      </c>
      <c r="F5304" s="121" t="s">
        <v>6559</v>
      </c>
      <c r="G5304" s="121" t="s">
        <v>2916</v>
      </c>
      <c r="H5304" s="93"/>
      <c r="I5304" s="85">
        <f t="shared" si="203"/>
        <v>2.1216700000000004</v>
      </c>
      <c r="J5304" s="122">
        <v>132.33356124244222</v>
      </c>
      <c r="K5304" s="131" t="s">
        <v>3177</v>
      </c>
      <c r="L5304" s="60">
        <v>60</v>
      </c>
    </row>
    <row r="5305" spans="1:13" ht="14" x14ac:dyDescent="0.15">
      <c r="A5305" s="70" t="s">
        <v>7029</v>
      </c>
      <c r="B5305" s="118"/>
      <c r="C5305" s="121" t="s">
        <v>3636</v>
      </c>
      <c r="D5305" s="121" t="s">
        <v>3437</v>
      </c>
      <c r="E5305" s="121" t="s">
        <v>6558</v>
      </c>
      <c r="F5305" s="121" t="s">
        <v>6559</v>
      </c>
      <c r="G5305" s="121" t="s">
        <v>3930</v>
      </c>
      <c r="H5305" s="93"/>
      <c r="I5305" s="85">
        <f t="shared" si="203"/>
        <v>2.1760900000000003</v>
      </c>
      <c r="J5305" s="122">
        <v>149.99956513820399</v>
      </c>
      <c r="K5305" s="131" t="s">
        <v>3177</v>
      </c>
      <c r="L5305" s="69">
        <v>61</v>
      </c>
    </row>
    <row r="5306" spans="1:13" x14ac:dyDescent="0.15">
      <c r="A5306" s="70" t="s">
        <v>7029</v>
      </c>
      <c r="B5306" s="118"/>
      <c r="C5306" s="121" t="s">
        <v>3636</v>
      </c>
      <c r="D5306" s="121" t="s">
        <v>3437</v>
      </c>
      <c r="E5306" s="121" t="s">
        <v>6558</v>
      </c>
      <c r="F5306" s="121" t="s">
        <v>6559</v>
      </c>
      <c r="G5306" s="121" t="s">
        <v>3694</v>
      </c>
      <c r="H5306" s="93"/>
      <c r="I5306" s="85">
        <f t="shared" si="203"/>
        <v>2.2123208031419757</v>
      </c>
      <c r="J5306" s="121">
        <f>AVERAGE(145.3, 180.8)</f>
        <v>163.05000000000001</v>
      </c>
      <c r="K5306" s="131"/>
      <c r="L5306" s="69">
        <v>270</v>
      </c>
    </row>
    <row r="5307" spans="1:13" ht="14" x14ac:dyDescent="0.15">
      <c r="A5307" s="73" t="s">
        <v>7029</v>
      </c>
      <c r="B5307" s="118"/>
      <c r="C5307" s="121" t="s">
        <v>3636</v>
      </c>
      <c r="D5307" s="121" t="s">
        <v>3437</v>
      </c>
      <c r="E5307" s="121" t="s">
        <v>6558</v>
      </c>
      <c r="F5307" s="121" t="s">
        <v>6559</v>
      </c>
      <c r="G5307" s="121" t="s">
        <v>6568</v>
      </c>
      <c r="H5307" s="93"/>
      <c r="I5307" s="85">
        <f t="shared" si="203"/>
        <v>2.2148400000000006</v>
      </c>
      <c r="J5307" s="122">
        <v>163.9985468914461</v>
      </c>
      <c r="K5307" s="131" t="s">
        <v>3177</v>
      </c>
      <c r="L5307" s="69">
        <v>61</v>
      </c>
    </row>
    <row r="5308" spans="1:13" ht="14" x14ac:dyDescent="0.15">
      <c r="A5308" s="70" t="s">
        <v>7029</v>
      </c>
      <c r="B5308" s="118"/>
      <c r="C5308" s="121" t="s">
        <v>3636</v>
      </c>
      <c r="D5308" s="121" t="s">
        <v>3437</v>
      </c>
      <c r="E5308" s="121" t="s">
        <v>6558</v>
      </c>
      <c r="F5308" s="121" t="s">
        <v>6559</v>
      </c>
      <c r="G5308" s="121" t="s">
        <v>3449</v>
      </c>
      <c r="H5308" s="93"/>
      <c r="I5308" s="85">
        <f t="shared" si="203"/>
        <v>2.2190600000000003</v>
      </c>
      <c r="J5308" s="122">
        <v>165.59987323460777</v>
      </c>
      <c r="K5308" s="131" t="s">
        <v>3177</v>
      </c>
      <c r="L5308" s="69">
        <v>61</v>
      </c>
    </row>
    <row r="5309" spans="1:13" ht="14" x14ac:dyDescent="0.15">
      <c r="A5309" s="70" t="s">
        <v>7029</v>
      </c>
      <c r="B5309" s="118"/>
      <c r="C5309" s="121" t="s">
        <v>3636</v>
      </c>
      <c r="D5309" s="121" t="s">
        <v>3437</v>
      </c>
      <c r="E5309" s="121" t="s">
        <v>6558</v>
      </c>
      <c r="F5309" s="121" t="s">
        <v>6559</v>
      </c>
      <c r="G5309" s="121" t="s">
        <v>6283</v>
      </c>
      <c r="H5309" s="93"/>
      <c r="I5309" s="85">
        <f t="shared" si="203"/>
        <v>2.2377899999999999</v>
      </c>
      <c r="J5309" s="122">
        <v>172.89801210438051</v>
      </c>
      <c r="K5309" s="131" t="s">
        <v>3177</v>
      </c>
      <c r="L5309" s="69">
        <v>61</v>
      </c>
    </row>
    <row r="5310" spans="1:13" ht="14" x14ac:dyDescent="0.15">
      <c r="A5310" s="70" t="s">
        <v>7029</v>
      </c>
      <c r="B5310" s="118"/>
      <c r="C5310" s="121" t="s">
        <v>3636</v>
      </c>
      <c r="D5310" s="121" t="s">
        <v>3437</v>
      </c>
      <c r="E5310" s="121" t="s">
        <v>6558</v>
      </c>
      <c r="F5310" s="121" t="s">
        <v>6559</v>
      </c>
      <c r="G5310" s="121" t="s">
        <v>3509</v>
      </c>
      <c r="H5310" s="93"/>
      <c r="I5310" s="85">
        <f t="shared" si="203"/>
        <v>2.2833000000000006</v>
      </c>
      <c r="J5310" s="122">
        <v>191.99945679542901</v>
      </c>
      <c r="K5310" s="131" t="s">
        <v>6662</v>
      </c>
      <c r="L5310" s="69">
        <v>61</v>
      </c>
      <c r="M5310" s="49" t="s">
        <v>6392</v>
      </c>
    </row>
    <row r="5311" spans="1:13" ht="14" x14ac:dyDescent="0.15">
      <c r="A5311" s="70" t="s">
        <v>7029</v>
      </c>
      <c r="B5311" s="118"/>
      <c r="C5311" s="121" t="s">
        <v>3636</v>
      </c>
      <c r="D5311" s="121" t="s">
        <v>3437</v>
      </c>
      <c r="E5311" s="121" t="s">
        <v>6558</v>
      </c>
      <c r="F5311" s="121" t="s">
        <v>6559</v>
      </c>
      <c r="G5311" s="121" t="s">
        <v>3493</v>
      </c>
      <c r="H5311" s="108"/>
      <c r="I5311" s="85">
        <f t="shared" si="203"/>
        <v>2.2842099999999999</v>
      </c>
      <c r="J5311" s="122">
        <v>192.40218510619664</v>
      </c>
      <c r="K5311" s="131" t="s">
        <v>3177</v>
      </c>
      <c r="L5311" s="69">
        <v>61</v>
      </c>
    </row>
    <row r="5312" spans="1:13" ht="14" x14ac:dyDescent="0.15">
      <c r="A5312" s="70" t="s">
        <v>7029</v>
      </c>
      <c r="B5312" s="118"/>
      <c r="C5312" s="121" t="s">
        <v>3636</v>
      </c>
      <c r="D5312" s="121" t="s">
        <v>3437</v>
      </c>
      <c r="E5312" s="121" t="s">
        <v>6558</v>
      </c>
      <c r="F5312" s="121" t="s">
        <v>6559</v>
      </c>
      <c r="G5312" s="121" t="s">
        <v>6562</v>
      </c>
      <c r="H5312" s="93"/>
      <c r="I5312" s="85">
        <f t="shared" si="203"/>
        <v>2.3060000000000005</v>
      </c>
      <c r="J5312" s="122">
        <v>202.30191786782734</v>
      </c>
      <c r="K5312" s="131" t="s">
        <v>3177</v>
      </c>
      <c r="L5312" s="69">
        <v>61</v>
      </c>
    </row>
    <row r="5313" spans="1:13" ht="14" x14ac:dyDescent="0.15">
      <c r="A5313" s="73" t="s">
        <v>7029</v>
      </c>
      <c r="B5313" s="118"/>
      <c r="C5313" s="121" t="s">
        <v>3636</v>
      </c>
      <c r="D5313" s="121" t="s">
        <v>3437</v>
      </c>
      <c r="E5313" s="121" t="s">
        <v>6558</v>
      </c>
      <c r="F5313" s="121" t="s">
        <v>6559</v>
      </c>
      <c r="G5313" s="121" t="s">
        <v>3531</v>
      </c>
      <c r="H5313" s="93"/>
      <c r="I5313" s="85">
        <f t="shared" ref="I5313:I5376" si="204">LOG(J5313)</f>
        <v>2.3211800000000005</v>
      </c>
      <c r="J5313" s="122">
        <v>209.49805727229355</v>
      </c>
      <c r="K5313" s="131" t="s">
        <v>3177</v>
      </c>
      <c r="L5313" s="69">
        <v>61</v>
      </c>
    </row>
    <row r="5314" spans="1:13" ht="14" x14ac:dyDescent="0.15">
      <c r="A5314" s="70" t="s">
        <v>7029</v>
      </c>
      <c r="B5314" s="118"/>
      <c r="C5314" s="121" t="s">
        <v>3636</v>
      </c>
      <c r="D5314" s="121" t="s">
        <v>3437</v>
      </c>
      <c r="E5314" s="121" t="s">
        <v>6558</v>
      </c>
      <c r="F5314" s="121" t="s">
        <v>6559</v>
      </c>
      <c r="G5314" s="121" t="s">
        <v>3489</v>
      </c>
      <c r="H5314" s="93"/>
      <c r="I5314" s="85">
        <f t="shared" si="204"/>
        <v>2.3263400000000005</v>
      </c>
      <c r="J5314" s="122">
        <v>212.0020204891446</v>
      </c>
      <c r="K5314" s="131" t="s">
        <v>3177</v>
      </c>
      <c r="L5314" s="69">
        <v>61</v>
      </c>
    </row>
    <row r="5315" spans="1:13" ht="14" x14ac:dyDescent="0.15">
      <c r="A5315" s="70" t="s">
        <v>7029</v>
      </c>
      <c r="B5315" s="118"/>
      <c r="C5315" s="121" t="s">
        <v>3636</v>
      </c>
      <c r="D5315" s="121" t="s">
        <v>3437</v>
      </c>
      <c r="E5315" s="121" t="s">
        <v>6558</v>
      </c>
      <c r="F5315" s="121" t="s">
        <v>6559</v>
      </c>
      <c r="G5315" s="121" t="s">
        <v>3508</v>
      </c>
      <c r="H5315" s="93"/>
      <c r="I5315" s="85">
        <f t="shared" si="204"/>
        <v>2.3324400000000001</v>
      </c>
      <c r="J5315" s="122">
        <v>215.00076242905635</v>
      </c>
      <c r="K5315" s="131" t="s">
        <v>3177</v>
      </c>
      <c r="L5315" s="60">
        <v>60</v>
      </c>
    </row>
    <row r="5316" spans="1:13" ht="14" x14ac:dyDescent="0.15">
      <c r="A5316" s="70" t="s">
        <v>7029</v>
      </c>
      <c r="B5316" s="118"/>
      <c r="C5316" s="121" t="s">
        <v>3636</v>
      </c>
      <c r="D5316" s="121" t="s">
        <v>3437</v>
      </c>
      <c r="E5316" s="121" t="s">
        <v>6558</v>
      </c>
      <c r="F5316" s="121" t="s">
        <v>6559</v>
      </c>
      <c r="G5316" s="121" t="s">
        <v>6148</v>
      </c>
      <c r="H5316" s="93"/>
      <c r="I5316" s="85">
        <f t="shared" si="204"/>
        <v>2.3364600000000002</v>
      </c>
      <c r="J5316" s="122">
        <v>217.00013298554157</v>
      </c>
      <c r="K5316" s="131" t="s">
        <v>3177</v>
      </c>
      <c r="L5316" s="60">
        <v>60</v>
      </c>
    </row>
    <row r="5317" spans="1:13" ht="14" x14ac:dyDescent="0.15">
      <c r="A5317" s="70" t="s">
        <v>7029</v>
      </c>
      <c r="B5317" s="118"/>
      <c r="C5317" s="121" t="s">
        <v>3636</v>
      </c>
      <c r="D5317" s="121" t="s">
        <v>3437</v>
      </c>
      <c r="E5317" s="121" t="s">
        <v>6558</v>
      </c>
      <c r="F5317" s="121" t="s">
        <v>6559</v>
      </c>
      <c r="G5317" s="121" t="s">
        <v>6560</v>
      </c>
      <c r="H5317" s="93"/>
      <c r="I5317" s="85">
        <f t="shared" si="204"/>
        <v>2.3449800000000005</v>
      </c>
      <c r="J5317" s="122">
        <v>221.29927951745694</v>
      </c>
      <c r="K5317" s="131" t="s">
        <v>3177</v>
      </c>
      <c r="L5317" s="69">
        <v>61</v>
      </c>
    </row>
    <row r="5318" spans="1:13" ht="14" x14ac:dyDescent="0.15">
      <c r="A5318" s="70" t="s">
        <v>7029</v>
      </c>
      <c r="B5318" s="118"/>
      <c r="C5318" s="121" t="s">
        <v>3636</v>
      </c>
      <c r="D5318" s="121" t="s">
        <v>3437</v>
      </c>
      <c r="E5318" s="121" t="s">
        <v>6558</v>
      </c>
      <c r="F5318" s="121" t="s">
        <v>6559</v>
      </c>
      <c r="G5318" s="121" t="s">
        <v>3494</v>
      </c>
      <c r="H5318" s="93"/>
      <c r="I5318" s="85">
        <f t="shared" si="204"/>
        <v>2.3617300000000006</v>
      </c>
      <c r="J5318" s="122">
        <v>230.00114603619079</v>
      </c>
      <c r="K5318" s="131" t="s">
        <v>3177</v>
      </c>
      <c r="L5318" s="69">
        <v>61</v>
      </c>
    </row>
    <row r="5319" spans="1:13" ht="14" x14ac:dyDescent="0.15">
      <c r="A5319" s="70" t="s">
        <v>7029</v>
      </c>
      <c r="B5319" s="118"/>
      <c r="C5319" s="121" t="s">
        <v>3636</v>
      </c>
      <c r="D5319" s="121" t="s">
        <v>3437</v>
      </c>
      <c r="E5319" s="121" t="s">
        <v>6558</v>
      </c>
      <c r="F5319" s="121" t="s">
        <v>6559</v>
      </c>
      <c r="G5319" s="121" t="s">
        <v>3492</v>
      </c>
      <c r="H5319" s="93"/>
      <c r="I5319" s="85">
        <f t="shared" si="204"/>
        <v>2.3666100000000005</v>
      </c>
      <c r="J5319" s="122">
        <v>232.6001551084488</v>
      </c>
      <c r="K5319" s="131" t="s">
        <v>3177</v>
      </c>
      <c r="L5319" s="69">
        <v>61</v>
      </c>
    </row>
    <row r="5320" spans="1:13" ht="14" x14ac:dyDescent="0.15">
      <c r="A5320" s="70" t="s">
        <v>7029</v>
      </c>
      <c r="B5320" s="118"/>
      <c r="C5320" s="121" t="s">
        <v>3636</v>
      </c>
      <c r="D5320" s="121" t="s">
        <v>3437</v>
      </c>
      <c r="E5320" s="121" t="s">
        <v>6558</v>
      </c>
      <c r="F5320" s="121" t="s">
        <v>6559</v>
      </c>
      <c r="G5320" s="121" t="s">
        <v>3510</v>
      </c>
      <c r="H5320" s="93"/>
      <c r="I5320" s="85">
        <f t="shared" si="204"/>
        <v>2.3866800000000001</v>
      </c>
      <c r="J5320" s="122">
        <v>243.60152345755344</v>
      </c>
      <c r="K5320" s="131" t="s">
        <v>3177</v>
      </c>
      <c r="L5320" s="69">
        <v>61</v>
      </c>
    </row>
    <row r="5321" spans="1:13" ht="14" x14ac:dyDescent="0.15">
      <c r="A5321" s="70" t="s">
        <v>7029</v>
      </c>
      <c r="B5321" s="118"/>
      <c r="C5321" s="121" t="s">
        <v>3636</v>
      </c>
      <c r="D5321" s="121" t="s">
        <v>3437</v>
      </c>
      <c r="E5321" s="121" t="s">
        <v>6558</v>
      </c>
      <c r="F5321" s="121" t="s">
        <v>6559</v>
      </c>
      <c r="G5321" s="121" t="s">
        <v>2917</v>
      </c>
      <c r="H5321" s="93"/>
      <c r="I5321" s="85">
        <f t="shared" si="204"/>
        <v>2.3961999999999999</v>
      </c>
      <c r="J5321" s="122">
        <v>249.00037433881997</v>
      </c>
      <c r="K5321" s="131" t="s">
        <v>3177</v>
      </c>
      <c r="L5321" s="69">
        <v>61</v>
      </c>
    </row>
    <row r="5322" spans="1:13" ht="14" x14ac:dyDescent="0.15">
      <c r="A5322" s="70" t="s">
        <v>7029</v>
      </c>
      <c r="B5322" s="118"/>
      <c r="C5322" s="121" t="s">
        <v>3636</v>
      </c>
      <c r="D5322" s="121" t="s">
        <v>3437</v>
      </c>
      <c r="E5322" s="121" t="s">
        <v>6558</v>
      </c>
      <c r="F5322" s="121" t="s">
        <v>6559</v>
      </c>
      <c r="G5322" s="121" t="s">
        <v>6284</v>
      </c>
      <c r="H5322" s="93"/>
      <c r="I5322" s="85">
        <f t="shared" si="204"/>
        <v>2.4183000000000003</v>
      </c>
      <c r="J5322" s="122">
        <v>261.99922097727614</v>
      </c>
      <c r="K5322" s="131" t="s">
        <v>3177</v>
      </c>
      <c r="L5322" s="60">
        <v>60</v>
      </c>
    </row>
    <row r="5323" spans="1:13" ht="14" x14ac:dyDescent="0.15">
      <c r="A5323" s="70" t="s">
        <v>7029</v>
      </c>
      <c r="B5323" s="118"/>
      <c r="C5323" s="121" t="s">
        <v>3636</v>
      </c>
      <c r="D5323" s="121" t="s">
        <v>3437</v>
      </c>
      <c r="E5323" s="121" t="s">
        <v>6558</v>
      </c>
      <c r="F5323" s="121" t="s">
        <v>6559</v>
      </c>
      <c r="G5323" s="121" t="s">
        <v>3507</v>
      </c>
      <c r="H5323" s="93"/>
      <c r="I5323" s="85">
        <f t="shared" si="204"/>
        <v>2.4345700000000003</v>
      </c>
      <c r="J5323" s="122">
        <v>272.00068640769467</v>
      </c>
      <c r="K5323" s="131" t="s">
        <v>6776</v>
      </c>
      <c r="L5323" s="60">
        <v>60</v>
      </c>
      <c r="M5323" s="49" t="s">
        <v>6728</v>
      </c>
    </row>
    <row r="5324" spans="1:13" ht="14" x14ac:dyDescent="0.15">
      <c r="A5324" s="70" t="s">
        <v>7029</v>
      </c>
      <c r="B5324" s="118"/>
      <c r="C5324" s="121" t="s">
        <v>3636</v>
      </c>
      <c r="D5324" s="121" t="s">
        <v>3437</v>
      </c>
      <c r="E5324" s="121" t="s">
        <v>6558</v>
      </c>
      <c r="F5324" s="121" t="s">
        <v>6559</v>
      </c>
      <c r="G5324" s="121" t="s">
        <v>5892</v>
      </c>
      <c r="H5324" s="93"/>
      <c r="I5324" s="85">
        <f t="shared" si="204"/>
        <v>2.4552999999999998</v>
      </c>
      <c r="J5324" s="122">
        <v>285.29883615207194</v>
      </c>
      <c r="K5324" s="131" t="s">
        <v>3177</v>
      </c>
      <c r="L5324" s="69">
        <v>61</v>
      </c>
    </row>
    <row r="5325" spans="1:13" ht="14" x14ac:dyDescent="0.15">
      <c r="A5325" s="70" t="s">
        <v>7029</v>
      </c>
      <c r="B5325" s="118"/>
      <c r="C5325" s="121" t="s">
        <v>3636</v>
      </c>
      <c r="D5325" s="121" t="s">
        <v>3437</v>
      </c>
      <c r="E5325" s="121" t="s">
        <v>6558</v>
      </c>
      <c r="F5325" s="121" t="s">
        <v>6559</v>
      </c>
      <c r="G5325" s="121" t="s">
        <v>6569</v>
      </c>
      <c r="H5325" s="93"/>
      <c r="I5325" s="85">
        <f t="shared" si="204"/>
        <v>2.4996900000000002</v>
      </c>
      <c r="J5325" s="122">
        <v>316.00212274325219</v>
      </c>
      <c r="K5325" s="131" t="s">
        <v>3177</v>
      </c>
      <c r="L5325" s="60">
        <v>60</v>
      </c>
    </row>
    <row r="5326" spans="1:13" ht="14" x14ac:dyDescent="0.15">
      <c r="A5326" s="70" t="s">
        <v>7029</v>
      </c>
      <c r="B5326" s="118"/>
      <c r="C5326" s="121" t="s">
        <v>3636</v>
      </c>
      <c r="D5326" s="121" t="s">
        <v>3437</v>
      </c>
      <c r="E5326" s="121" t="s">
        <v>6558</v>
      </c>
      <c r="F5326" s="121" t="s">
        <v>6559</v>
      </c>
      <c r="G5326" s="121" t="s">
        <v>3608</v>
      </c>
      <c r="H5326" s="93"/>
      <c r="I5326" s="85">
        <f t="shared" si="204"/>
        <v>2.5581100000000006</v>
      </c>
      <c r="J5326" s="122">
        <v>361.50141369918919</v>
      </c>
      <c r="K5326" s="131" t="s">
        <v>3177</v>
      </c>
      <c r="L5326" s="69">
        <v>60</v>
      </c>
    </row>
    <row r="5327" spans="1:13" ht="14" x14ac:dyDescent="0.15">
      <c r="A5327" s="70" t="s">
        <v>7029</v>
      </c>
      <c r="B5327" s="118"/>
      <c r="C5327" s="121" t="s">
        <v>3636</v>
      </c>
      <c r="D5327" s="121" t="s">
        <v>3437</v>
      </c>
      <c r="E5327" s="121" t="s">
        <v>6558</v>
      </c>
      <c r="F5327" s="121" t="s">
        <v>6559</v>
      </c>
      <c r="G5327" s="121" t="s">
        <v>4200</v>
      </c>
      <c r="H5327" s="93"/>
      <c r="I5327" s="85">
        <f t="shared" si="204"/>
        <v>2.5581100000000006</v>
      </c>
      <c r="J5327" s="122">
        <v>361.50141369918919</v>
      </c>
      <c r="K5327" s="131" t="s">
        <v>3177</v>
      </c>
      <c r="L5327" s="69">
        <v>61</v>
      </c>
    </row>
    <row r="5328" spans="1:13" ht="14" x14ac:dyDescent="0.15">
      <c r="A5328" s="73" t="s">
        <v>7029</v>
      </c>
      <c r="B5328" s="118"/>
      <c r="C5328" s="121" t="s">
        <v>3636</v>
      </c>
      <c r="D5328" s="121" t="s">
        <v>3437</v>
      </c>
      <c r="E5328" s="121" t="s">
        <v>6558</v>
      </c>
      <c r="F5328" s="121" t="s">
        <v>6559</v>
      </c>
      <c r="G5328" s="121" t="s">
        <v>2915</v>
      </c>
      <c r="H5328" s="93"/>
      <c r="I5328" s="85">
        <f t="shared" si="204"/>
        <v>2.5854600000000003</v>
      </c>
      <c r="J5328" s="122">
        <v>384.99935329471475</v>
      </c>
      <c r="K5328" s="131" t="s">
        <v>3177</v>
      </c>
      <c r="L5328" s="69">
        <v>61</v>
      </c>
    </row>
    <row r="5329" spans="1:13" ht="14" x14ac:dyDescent="0.15">
      <c r="A5329" s="70" t="s">
        <v>7029</v>
      </c>
      <c r="B5329" s="118"/>
      <c r="C5329" s="121" t="s">
        <v>3636</v>
      </c>
      <c r="D5329" s="121" t="s">
        <v>3437</v>
      </c>
      <c r="E5329" s="121" t="s">
        <v>6558</v>
      </c>
      <c r="F5329" s="121" t="s">
        <v>6559</v>
      </c>
      <c r="G5329" s="121" t="s">
        <v>6561</v>
      </c>
      <c r="H5329" s="93"/>
      <c r="I5329" s="85">
        <f t="shared" si="204"/>
        <v>2.6020600000000003</v>
      </c>
      <c r="J5329" s="122">
        <v>400.0000079872421</v>
      </c>
      <c r="K5329" s="131" t="s">
        <v>3177</v>
      </c>
      <c r="L5329" s="69">
        <v>61</v>
      </c>
    </row>
    <row r="5330" spans="1:13" ht="14" x14ac:dyDescent="0.15">
      <c r="A5330" s="70" t="s">
        <v>7029</v>
      </c>
      <c r="B5330" s="118"/>
      <c r="C5330" s="121" t="s">
        <v>3636</v>
      </c>
      <c r="D5330" s="121" t="s">
        <v>3437</v>
      </c>
      <c r="E5330" s="121" t="s">
        <v>6558</v>
      </c>
      <c r="F5330" s="121" t="s">
        <v>6559</v>
      </c>
      <c r="G5330" s="121" t="s">
        <v>4285</v>
      </c>
      <c r="H5330" s="93"/>
      <c r="I5330" s="85">
        <f t="shared" si="204"/>
        <v>2.6020600000000003</v>
      </c>
      <c r="J5330" s="122">
        <v>400.0000079872421</v>
      </c>
      <c r="K5330" s="131" t="s">
        <v>3177</v>
      </c>
      <c r="L5330" s="69">
        <v>61</v>
      </c>
    </row>
    <row r="5331" spans="1:13" ht="14" x14ac:dyDescent="0.15">
      <c r="A5331" s="70" t="s">
        <v>7029</v>
      </c>
      <c r="B5331" s="118"/>
      <c r="C5331" s="121" t="s">
        <v>3636</v>
      </c>
      <c r="D5331" s="121" t="s">
        <v>3437</v>
      </c>
      <c r="E5331" s="121" t="s">
        <v>6558</v>
      </c>
      <c r="F5331" s="121" t="s">
        <v>6559</v>
      </c>
      <c r="G5331" s="121" t="s">
        <v>6278</v>
      </c>
      <c r="H5331" s="93"/>
      <c r="I5331" s="85">
        <f t="shared" si="204"/>
        <v>2.6020600000000003</v>
      </c>
      <c r="J5331" s="122">
        <v>400.0000079872421</v>
      </c>
      <c r="K5331" s="131" t="s">
        <v>3177</v>
      </c>
      <c r="L5331" s="69">
        <v>61</v>
      </c>
    </row>
    <row r="5332" spans="1:13" ht="14" x14ac:dyDescent="0.15">
      <c r="A5332" s="70" t="s">
        <v>7029</v>
      </c>
      <c r="B5332" s="118"/>
      <c r="C5332" s="121" t="s">
        <v>3636</v>
      </c>
      <c r="D5332" s="121" t="s">
        <v>3437</v>
      </c>
      <c r="E5332" s="121" t="s">
        <v>6558</v>
      </c>
      <c r="F5332" s="121" t="s">
        <v>6559</v>
      </c>
      <c r="G5332" s="121" t="s">
        <v>3696</v>
      </c>
      <c r="H5332" s="93"/>
      <c r="I5332" s="85">
        <f t="shared" si="204"/>
        <v>2.6020600000000003</v>
      </c>
      <c r="J5332" s="122">
        <v>400.0000079872421</v>
      </c>
      <c r="K5332" s="131" t="s">
        <v>6662</v>
      </c>
      <c r="L5332" s="69">
        <v>61</v>
      </c>
      <c r="M5332" s="49" t="s">
        <v>6392</v>
      </c>
    </row>
    <row r="5333" spans="1:13" ht="14" x14ac:dyDescent="0.15">
      <c r="A5333" s="70" t="s">
        <v>7029</v>
      </c>
      <c r="B5333" s="118"/>
      <c r="C5333" s="121" t="s">
        <v>3636</v>
      </c>
      <c r="D5333" s="121" t="s">
        <v>3437</v>
      </c>
      <c r="E5333" s="121" t="s">
        <v>6558</v>
      </c>
      <c r="F5333" s="121" t="s">
        <v>6559</v>
      </c>
      <c r="G5333" s="121" t="s">
        <v>4158</v>
      </c>
      <c r="H5333" s="93"/>
      <c r="I5333" s="85">
        <f t="shared" si="204"/>
        <v>2.6020600000000003</v>
      </c>
      <c r="J5333" s="122">
        <v>400.0000079872421</v>
      </c>
      <c r="K5333" s="131" t="s">
        <v>3177</v>
      </c>
      <c r="L5333" s="69">
        <v>61</v>
      </c>
    </row>
    <row r="5334" spans="1:13" ht="14" x14ac:dyDescent="0.15">
      <c r="A5334" s="70" t="s">
        <v>7029</v>
      </c>
      <c r="B5334" s="118"/>
      <c r="C5334" s="121" t="s">
        <v>3636</v>
      </c>
      <c r="D5334" s="121" t="s">
        <v>3437</v>
      </c>
      <c r="E5334" s="121" t="s">
        <v>6558</v>
      </c>
      <c r="F5334" s="121" t="s">
        <v>6559</v>
      </c>
      <c r="G5334" s="121" t="s">
        <v>4202</v>
      </c>
      <c r="H5334" s="93"/>
      <c r="I5334" s="85">
        <f t="shared" si="204"/>
        <v>2.6020600000000003</v>
      </c>
      <c r="J5334" s="122">
        <v>400.0000079872421</v>
      </c>
      <c r="K5334" s="134" t="s">
        <v>3177</v>
      </c>
      <c r="L5334" s="69">
        <v>61</v>
      </c>
    </row>
    <row r="5335" spans="1:13" ht="14" x14ac:dyDescent="0.15">
      <c r="A5335" s="70" t="s">
        <v>7029</v>
      </c>
      <c r="B5335" s="118"/>
      <c r="C5335" s="121" t="s">
        <v>3636</v>
      </c>
      <c r="D5335" s="121" t="s">
        <v>3437</v>
      </c>
      <c r="E5335" s="121" t="s">
        <v>6558</v>
      </c>
      <c r="F5335" s="121" t="s">
        <v>6559</v>
      </c>
      <c r="G5335" s="121" t="s">
        <v>3068</v>
      </c>
      <c r="H5335" s="93"/>
      <c r="I5335" s="85">
        <f t="shared" si="204"/>
        <v>2.6020600000000003</v>
      </c>
      <c r="J5335" s="122">
        <v>400.0000079872421</v>
      </c>
      <c r="K5335" s="131" t="s">
        <v>3177</v>
      </c>
      <c r="L5335" s="69">
        <v>61</v>
      </c>
    </row>
    <row r="5336" spans="1:13" ht="14" x14ac:dyDescent="0.15">
      <c r="A5336" s="73" t="s">
        <v>7029</v>
      </c>
      <c r="B5336" s="118"/>
      <c r="C5336" s="121" t="s">
        <v>3636</v>
      </c>
      <c r="D5336" s="121" t="s">
        <v>3437</v>
      </c>
      <c r="E5336" s="121" t="s">
        <v>6558</v>
      </c>
      <c r="F5336" s="121" t="s">
        <v>6559</v>
      </c>
      <c r="G5336" s="121" t="s">
        <v>3491</v>
      </c>
      <c r="H5336" s="93"/>
      <c r="I5336" s="85">
        <f t="shared" si="204"/>
        <v>2.6020600000000003</v>
      </c>
      <c r="J5336" s="122">
        <v>400.0000079872421</v>
      </c>
      <c r="K5336" s="131" t="s">
        <v>6662</v>
      </c>
      <c r="L5336" s="69">
        <v>61</v>
      </c>
      <c r="M5336" s="49" t="s">
        <v>6392</v>
      </c>
    </row>
    <row r="5337" spans="1:13" ht="14" x14ac:dyDescent="0.15">
      <c r="A5337" s="70" t="s">
        <v>7029</v>
      </c>
      <c r="B5337" s="118"/>
      <c r="C5337" s="121" t="s">
        <v>3636</v>
      </c>
      <c r="D5337" s="121" t="s">
        <v>3437</v>
      </c>
      <c r="E5337" s="121" t="s">
        <v>6558</v>
      </c>
      <c r="F5337" s="121" t="s">
        <v>6559</v>
      </c>
      <c r="G5337" s="121" t="s">
        <v>4201</v>
      </c>
      <c r="H5337" s="93"/>
      <c r="I5337" s="85">
        <f t="shared" si="204"/>
        <v>2.6901999999999999</v>
      </c>
      <c r="J5337" s="122">
        <v>490.0044227932359</v>
      </c>
      <c r="K5337" s="131" t="s">
        <v>3177</v>
      </c>
      <c r="L5337" s="60">
        <v>60</v>
      </c>
    </row>
    <row r="5338" spans="1:13" ht="14" x14ac:dyDescent="0.15">
      <c r="A5338" s="70" t="s">
        <v>7029</v>
      </c>
      <c r="B5338" s="118"/>
      <c r="C5338" s="121" t="s">
        <v>3636</v>
      </c>
      <c r="D5338" s="121" t="s">
        <v>3437</v>
      </c>
      <c r="E5338" s="121" t="s">
        <v>6558</v>
      </c>
      <c r="F5338" s="121" t="s">
        <v>6559</v>
      </c>
      <c r="G5338" s="121" t="s">
        <v>7229</v>
      </c>
      <c r="H5338" s="93"/>
      <c r="I5338" s="85">
        <f t="shared" si="204"/>
        <v>2.7283500000000003</v>
      </c>
      <c r="J5338" s="122">
        <v>534.99534101253585</v>
      </c>
      <c r="K5338" s="131" t="s">
        <v>3177</v>
      </c>
      <c r="L5338" s="69">
        <v>61</v>
      </c>
    </row>
    <row r="5339" spans="1:13" ht="14" x14ac:dyDescent="0.15">
      <c r="A5339" s="70" t="s">
        <v>7029</v>
      </c>
      <c r="B5339" s="118"/>
      <c r="C5339" s="121" t="s">
        <v>3636</v>
      </c>
      <c r="D5339" s="121" t="s">
        <v>3437</v>
      </c>
      <c r="E5339" s="121" t="s">
        <v>6558</v>
      </c>
      <c r="F5339" s="121" t="s">
        <v>6559</v>
      </c>
      <c r="G5339" s="121" t="s">
        <v>5890</v>
      </c>
      <c r="H5339" s="93"/>
      <c r="I5339" s="85">
        <f t="shared" si="204"/>
        <v>2.9344999999999999</v>
      </c>
      <c r="J5339" s="122">
        <v>860.00306688885576</v>
      </c>
      <c r="K5339" s="131" t="s">
        <v>3177</v>
      </c>
      <c r="L5339" s="60">
        <v>60</v>
      </c>
    </row>
    <row r="5340" spans="1:13" ht="14" x14ac:dyDescent="0.15">
      <c r="A5340" s="70" t="s">
        <v>7029</v>
      </c>
      <c r="B5340" s="118"/>
      <c r="C5340" s="121" t="s">
        <v>3636</v>
      </c>
      <c r="D5340" s="121" t="s">
        <v>3437</v>
      </c>
      <c r="E5340" s="121" t="s">
        <v>3070</v>
      </c>
      <c r="F5340" s="121" t="s">
        <v>2781</v>
      </c>
      <c r="G5340" s="121" t="s">
        <v>6561</v>
      </c>
      <c r="H5340" s="93"/>
      <c r="I5340" s="85">
        <f t="shared" si="204"/>
        <v>3.3636100000000004</v>
      </c>
      <c r="J5340" s="122">
        <v>2309.9894690339893</v>
      </c>
      <c r="K5340" s="131" t="s">
        <v>6817</v>
      </c>
      <c r="L5340" s="60">
        <v>60</v>
      </c>
      <c r="M5340" s="49" t="s">
        <v>6728</v>
      </c>
    </row>
    <row r="5341" spans="1:13" ht="14" x14ac:dyDescent="0.15">
      <c r="A5341" s="70" t="s">
        <v>7029</v>
      </c>
      <c r="B5341" s="118"/>
      <c r="C5341" s="121" t="s">
        <v>3636</v>
      </c>
      <c r="D5341" s="121" t="s">
        <v>3437</v>
      </c>
      <c r="E5341" s="121" t="s">
        <v>3070</v>
      </c>
      <c r="F5341" s="121" t="s">
        <v>2781</v>
      </c>
      <c r="G5341" s="121" t="s">
        <v>2354</v>
      </c>
      <c r="H5341" s="93"/>
      <c r="I5341" s="85">
        <f t="shared" si="204"/>
        <v>3.4232500000000003</v>
      </c>
      <c r="J5341" s="122">
        <v>2650.0251767403361</v>
      </c>
      <c r="K5341" s="131" t="s">
        <v>6817</v>
      </c>
      <c r="L5341" s="72">
        <v>61</v>
      </c>
      <c r="M5341" s="49" t="s">
        <v>6727</v>
      </c>
    </row>
    <row r="5342" spans="1:13" ht="14" x14ac:dyDescent="0.15">
      <c r="A5342" s="70" t="s">
        <v>7029</v>
      </c>
      <c r="B5342" s="118"/>
      <c r="C5342" s="121" t="s">
        <v>3636</v>
      </c>
      <c r="D5342" s="121" t="s">
        <v>3437</v>
      </c>
      <c r="E5342" s="121" t="s">
        <v>3070</v>
      </c>
      <c r="F5342" s="121" t="s">
        <v>2781</v>
      </c>
      <c r="G5342" s="121" t="s">
        <v>3076</v>
      </c>
      <c r="H5342" s="93"/>
      <c r="I5342" s="85">
        <f t="shared" si="204"/>
        <v>3.4232500000000003</v>
      </c>
      <c r="J5342" s="122">
        <v>2650.0251767403361</v>
      </c>
      <c r="K5342" s="131" t="s">
        <v>3177</v>
      </c>
      <c r="L5342" s="72">
        <v>61</v>
      </c>
    </row>
    <row r="5343" spans="1:13" ht="14" x14ac:dyDescent="0.15">
      <c r="A5343" s="70" t="s">
        <v>7029</v>
      </c>
      <c r="B5343" s="118"/>
      <c r="C5343" s="121" t="s">
        <v>3636</v>
      </c>
      <c r="D5343" s="121" t="s">
        <v>3437</v>
      </c>
      <c r="E5343" s="121" t="s">
        <v>3070</v>
      </c>
      <c r="F5343" s="121" t="s">
        <v>2781</v>
      </c>
      <c r="G5343" s="121" t="s">
        <v>2782</v>
      </c>
      <c r="H5343" s="93"/>
      <c r="I5343" s="85">
        <f t="shared" si="204"/>
        <v>3.4232500000000003</v>
      </c>
      <c r="J5343" s="122">
        <v>2650.0251767403361</v>
      </c>
      <c r="K5343" s="131" t="s">
        <v>6817</v>
      </c>
      <c r="L5343" s="69">
        <v>61</v>
      </c>
      <c r="M5343" s="49" t="s">
        <v>6727</v>
      </c>
    </row>
    <row r="5344" spans="1:13" ht="14" x14ac:dyDescent="0.15">
      <c r="A5344" s="73" t="s">
        <v>7029</v>
      </c>
      <c r="B5344" s="118"/>
      <c r="C5344" s="121" t="s">
        <v>3636</v>
      </c>
      <c r="D5344" s="121" t="s">
        <v>3437</v>
      </c>
      <c r="E5344" s="121" t="s">
        <v>3070</v>
      </c>
      <c r="F5344" s="121" t="s">
        <v>2781</v>
      </c>
      <c r="G5344" s="121" t="s">
        <v>6305</v>
      </c>
      <c r="H5344" s="93"/>
      <c r="I5344" s="85">
        <f t="shared" si="204"/>
        <v>3.4273200000000004</v>
      </c>
      <c r="J5344" s="122">
        <v>2674.9766783555733</v>
      </c>
      <c r="K5344" s="131" t="s">
        <v>3177</v>
      </c>
      <c r="L5344" s="60">
        <v>60</v>
      </c>
    </row>
    <row r="5345" spans="1:13" ht="14" x14ac:dyDescent="0.15">
      <c r="A5345" s="70" t="s">
        <v>7029</v>
      </c>
      <c r="B5345" s="118"/>
      <c r="C5345" s="121" t="s">
        <v>3636</v>
      </c>
      <c r="D5345" s="121" t="s">
        <v>3437</v>
      </c>
      <c r="E5345" s="121" t="s">
        <v>3070</v>
      </c>
      <c r="F5345" s="121" t="s">
        <v>2781</v>
      </c>
      <c r="G5345" s="121" t="s">
        <v>3087</v>
      </c>
      <c r="H5345" s="93"/>
      <c r="I5345" s="85">
        <f t="shared" si="204"/>
        <v>3.4624000000000006</v>
      </c>
      <c r="J5345" s="122">
        <v>2900.0133690540733</v>
      </c>
      <c r="K5345" s="131" t="s">
        <v>3177</v>
      </c>
      <c r="L5345" s="72">
        <v>61</v>
      </c>
    </row>
    <row r="5346" spans="1:13" ht="14" x14ac:dyDescent="0.15">
      <c r="A5346" s="70" t="s">
        <v>7029</v>
      </c>
      <c r="B5346" s="118"/>
      <c r="C5346" s="121" t="s">
        <v>3636</v>
      </c>
      <c r="D5346" s="121" t="s">
        <v>3437</v>
      </c>
      <c r="E5346" s="121" t="s">
        <v>3070</v>
      </c>
      <c r="F5346" s="121" t="s">
        <v>2781</v>
      </c>
      <c r="G5346" s="121" t="s">
        <v>6144</v>
      </c>
      <c r="H5346" s="93"/>
      <c r="I5346" s="85">
        <f t="shared" si="204"/>
        <v>3.4800100000000005</v>
      </c>
      <c r="J5346" s="122">
        <v>3020.0212581607302</v>
      </c>
      <c r="K5346" s="131" t="s">
        <v>3177</v>
      </c>
      <c r="L5346" s="60">
        <v>60</v>
      </c>
    </row>
    <row r="5347" spans="1:13" ht="14" x14ac:dyDescent="0.15">
      <c r="A5347" s="70" t="s">
        <v>7029</v>
      </c>
      <c r="B5347" s="118"/>
      <c r="C5347" s="121" t="s">
        <v>3636</v>
      </c>
      <c r="D5347" s="121" t="s">
        <v>3437</v>
      </c>
      <c r="E5347" s="121" t="s">
        <v>3070</v>
      </c>
      <c r="F5347" s="121" t="s">
        <v>2781</v>
      </c>
      <c r="G5347" s="121" t="s">
        <v>3069</v>
      </c>
      <c r="H5347" s="93"/>
      <c r="I5347" s="85">
        <f t="shared" si="204"/>
        <v>3.5440700000000001</v>
      </c>
      <c r="J5347" s="122">
        <v>3500.0157607101446</v>
      </c>
      <c r="K5347" s="131" t="s">
        <v>3177</v>
      </c>
      <c r="L5347" s="69">
        <v>61</v>
      </c>
    </row>
    <row r="5348" spans="1:13" ht="14" x14ac:dyDescent="0.15">
      <c r="A5348" s="70" t="s">
        <v>7029</v>
      </c>
      <c r="B5348" s="118"/>
      <c r="C5348" s="121" t="s">
        <v>3636</v>
      </c>
      <c r="D5348" s="121" t="s">
        <v>3437</v>
      </c>
      <c r="E5348" s="121" t="s">
        <v>3070</v>
      </c>
      <c r="F5348" s="121" t="s">
        <v>3091</v>
      </c>
      <c r="G5348" s="121" t="s">
        <v>3125</v>
      </c>
      <c r="H5348" s="93"/>
      <c r="I5348" s="85">
        <f t="shared" si="204"/>
        <v>2.7781500000000001</v>
      </c>
      <c r="J5348" s="122">
        <v>599.99827253364413</v>
      </c>
      <c r="K5348" s="131" t="s">
        <v>3177</v>
      </c>
      <c r="L5348" s="60">
        <v>60</v>
      </c>
    </row>
    <row r="5349" spans="1:13" ht="14" x14ac:dyDescent="0.15">
      <c r="A5349" s="73" t="s">
        <v>7029</v>
      </c>
      <c r="B5349" s="118"/>
      <c r="C5349" s="121" t="s">
        <v>3636</v>
      </c>
      <c r="D5349" s="121" t="s">
        <v>3437</v>
      </c>
      <c r="E5349" s="121" t="s">
        <v>3070</v>
      </c>
      <c r="F5349" s="121" t="s">
        <v>3091</v>
      </c>
      <c r="G5349" s="121" t="s">
        <v>3126</v>
      </c>
      <c r="H5349" s="108"/>
      <c r="I5349" s="85">
        <f t="shared" si="204"/>
        <v>3.1072100000000002</v>
      </c>
      <c r="J5349" s="122">
        <v>1280.0000894571117</v>
      </c>
      <c r="K5349" s="131" t="s">
        <v>3177</v>
      </c>
      <c r="L5349" s="69">
        <v>61</v>
      </c>
    </row>
    <row r="5350" spans="1:13" ht="14" x14ac:dyDescent="0.15">
      <c r="A5350" s="70" t="s">
        <v>7029</v>
      </c>
      <c r="B5350" s="118"/>
      <c r="C5350" s="121" t="s">
        <v>3636</v>
      </c>
      <c r="D5350" s="121" t="s">
        <v>3437</v>
      </c>
      <c r="E5350" s="121" t="s">
        <v>3127</v>
      </c>
      <c r="F5350" s="121" t="s">
        <v>3128</v>
      </c>
      <c r="G5350" s="121" t="s">
        <v>5990</v>
      </c>
      <c r="H5350" s="93"/>
      <c r="I5350" s="85">
        <f t="shared" si="204"/>
        <v>4.0969100000000012</v>
      </c>
      <c r="J5350" s="122">
        <v>12499.999625598073</v>
      </c>
      <c r="K5350" s="131" t="s">
        <v>6817</v>
      </c>
      <c r="L5350" s="69">
        <v>61</v>
      </c>
      <c r="M5350" s="49" t="s">
        <v>6390</v>
      </c>
    </row>
    <row r="5351" spans="1:13" ht="14" x14ac:dyDescent="0.15">
      <c r="A5351" s="70" t="s">
        <v>7029</v>
      </c>
      <c r="B5351" s="118"/>
      <c r="C5351" s="121" t="s">
        <v>3636</v>
      </c>
      <c r="D5351" s="121" t="s">
        <v>3437</v>
      </c>
      <c r="E5351" s="121" t="s">
        <v>6221</v>
      </c>
      <c r="F5351" s="121" t="s">
        <v>5995</v>
      </c>
      <c r="G5351" s="121" t="s">
        <v>5996</v>
      </c>
      <c r="H5351" s="93"/>
      <c r="I5351" s="85">
        <f t="shared" si="204"/>
        <v>2.0561400000000005</v>
      </c>
      <c r="J5351" s="85">
        <v>113.79940726474673</v>
      </c>
      <c r="K5351" s="131" t="s">
        <v>6592</v>
      </c>
      <c r="L5351" s="60">
        <v>61</v>
      </c>
      <c r="M5351" s="49" t="s">
        <v>6392</v>
      </c>
    </row>
    <row r="5352" spans="1:13" ht="14" x14ac:dyDescent="0.15">
      <c r="A5352" s="70" t="s">
        <v>7029</v>
      </c>
      <c r="B5352" s="118"/>
      <c r="C5352" s="121" t="s">
        <v>3636</v>
      </c>
      <c r="D5352" s="121" t="s">
        <v>3437</v>
      </c>
      <c r="E5352" s="121" t="s">
        <v>6221</v>
      </c>
      <c r="F5352" s="121" t="s">
        <v>3313</v>
      </c>
      <c r="G5352" s="121" t="s">
        <v>3314</v>
      </c>
      <c r="H5352" s="93"/>
      <c r="I5352" s="85">
        <f t="shared" si="204"/>
        <v>3.1139400000000004</v>
      </c>
      <c r="J5352" s="122">
        <v>1299.9899653754551</v>
      </c>
      <c r="K5352" s="131" t="s">
        <v>6391</v>
      </c>
      <c r="L5352" s="60">
        <v>61</v>
      </c>
      <c r="M5352" s="49" t="s">
        <v>6728</v>
      </c>
    </row>
    <row r="5353" spans="1:13" ht="14" x14ac:dyDescent="0.15">
      <c r="A5353" s="70" t="s">
        <v>7029</v>
      </c>
      <c r="B5353" s="118"/>
      <c r="C5353" s="121" t="s">
        <v>3636</v>
      </c>
      <c r="D5353" s="121" t="s">
        <v>3437</v>
      </c>
      <c r="E5353" s="121" t="s">
        <v>6221</v>
      </c>
      <c r="F5353" s="121" t="s">
        <v>3315</v>
      </c>
      <c r="G5353" s="121" t="s">
        <v>6166</v>
      </c>
      <c r="H5353" s="93"/>
      <c r="I5353" s="85">
        <f t="shared" si="204"/>
        <v>1.4771200000000002</v>
      </c>
      <c r="J5353" s="122">
        <v>29.999913327161494</v>
      </c>
      <c r="K5353" s="131" t="s">
        <v>6816</v>
      </c>
      <c r="L5353" s="60">
        <v>61</v>
      </c>
      <c r="M5353" s="50" t="s">
        <v>6728</v>
      </c>
    </row>
    <row r="5354" spans="1:13" ht="14" x14ac:dyDescent="0.15">
      <c r="A5354" s="70" t="s">
        <v>7029</v>
      </c>
      <c r="B5354" s="118"/>
      <c r="C5354" s="121" t="s">
        <v>3636</v>
      </c>
      <c r="D5354" s="121" t="s">
        <v>3437</v>
      </c>
      <c r="E5354" s="121" t="s">
        <v>6221</v>
      </c>
      <c r="F5354" s="121" t="s">
        <v>3315</v>
      </c>
      <c r="G5354" s="121" t="s">
        <v>7712</v>
      </c>
      <c r="H5354" s="93"/>
      <c r="I5354" s="85">
        <f t="shared" si="204"/>
        <v>2.3032000000000004</v>
      </c>
      <c r="J5354" s="122">
        <v>201.00182471136947</v>
      </c>
      <c r="K5354" s="131" t="s">
        <v>3177</v>
      </c>
      <c r="L5354" s="60">
        <v>61</v>
      </c>
    </row>
    <row r="5355" spans="1:13" ht="14" x14ac:dyDescent="0.15">
      <c r="A5355" s="70" t="s">
        <v>7029</v>
      </c>
      <c r="B5355" s="118"/>
      <c r="C5355" s="121" t="s">
        <v>3636</v>
      </c>
      <c r="D5355" s="121" t="s">
        <v>3437</v>
      </c>
      <c r="E5355" s="121" t="s">
        <v>6221</v>
      </c>
      <c r="F5355" s="121" t="s">
        <v>3785</v>
      </c>
      <c r="G5355" s="121" t="s">
        <v>4201</v>
      </c>
      <c r="H5355" s="93"/>
      <c r="I5355" s="85">
        <f t="shared" si="204"/>
        <v>2.5820599999999998</v>
      </c>
      <c r="J5355" s="122">
        <v>381.9970420363311</v>
      </c>
      <c r="K5355" s="131" t="s">
        <v>3177</v>
      </c>
      <c r="L5355" s="69">
        <v>61</v>
      </c>
      <c r="M5355" s="49" t="s">
        <v>6727</v>
      </c>
    </row>
    <row r="5356" spans="1:13" ht="14" x14ac:dyDescent="0.15">
      <c r="A5356" s="70" t="s">
        <v>7029</v>
      </c>
      <c r="B5356" s="118"/>
      <c r="C5356" s="121" t="s">
        <v>3636</v>
      </c>
      <c r="D5356" s="121" t="s">
        <v>3437</v>
      </c>
      <c r="E5356" s="121" t="s">
        <v>6221</v>
      </c>
      <c r="F5356" s="121" t="s">
        <v>3785</v>
      </c>
      <c r="G5356" s="121" t="s">
        <v>3786</v>
      </c>
      <c r="H5356" s="93"/>
      <c r="I5356" s="85">
        <f t="shared" si="204"/>
        <v>2.8129100000000005</v>
      </c>
      <c r="J5356" s="122">
        <v>649.99497619814383</v>
      </c>
      <c r="K5356" s="131" t="s">
        <v>3177</v>
      </c>
      <c r="L5356" s="69">
        <v>61</v>
      </c>
    </row>
    <row r="5357" spans="1:13" ht="14" x14ac:dyDescent="0.15">
      <c r="A5357" s="70" t="s">
        <v>7029</v>
      </c>
      <c r="B5357" s="118"/>
      <c r="C5357" s="121" t="s">
        <v>3636</v>
      </c>
      <c r="D5357" s="121" t="s">
        <v>3437</v>
      </c>
      <c r="E5357" s="121" t="s">
        <v>6221</v>
      </c>
      <c r="F5357" s="121" t="s">
        <v>3785</v>
      </c>
      <c r="G5357" s="121" t="s">
        <v>7229</v>
      </c>
      <c r="H5357" s="93"/>
      <c r="I5357" s="85">
        <f t="shared" si="204"/>
        <v>2.8626100000000005</v>
      </c>
      <c r="J5357" s="122">
        <v>728.80274547489387</v>
      </c>
      <c r="K5357" s="131" t="s">
        <v>3177</v>
      </c>
      <c r="L5357" s="69">
        <v>61</v>
      </c>
    </row>
    <row r="5358" spans="1:13" ht="14" x14ac:dyDescent="0.15">
      <c r="A5358" s="70" t="s">
        <v>7029</v>
      </c>
      <c r="B5358" s="118"/>
      <c r="C5358" s="121" t="s">
        <v>3636</v>
      </c>
      <c r="D5358" s="121" t="s">
        <v>3437</v>
      </c>
      <c r="E5358" s="121" t="s">
        <v>6221</v>
      </c>
      <c r="F5358" s="121" t="s">
        <v>3787</v>
      </c>
      <c r="G5358" s="121" t="s">
        <v>5998</v>
      </c>
      <c r="H5358" s="93"/>
      <c r="I5358" s="85">
        <f t="shared" si="204"/>
        <v>2.1607700000000003</v>
      </c>
      <c r="J5358" s="122">
        <v>144.80047949689012</v>
      </c>
      <c r="K5358" s="131" t="s">
        <v>6630</v>
      </c>
      <c r="L5358" s="69">
        <v>61</v>
      </c>
      <c r="M5358" s="49" t="s">
        <v>6728</v>
      </c>
    </row>
    <row r="5359" spans="1:13" ht="14" x14ac:dyDescent="0.15">
      <c r="A5359" s="70" t="s">
        <v>7029</v>
      </c>
      <c r="B5359" s="118"/>
      <c r="C5359" s="121" t="s">
        <v>3636</v>
      </c>
      <c r="D5359" s="121" t="s">
        <v>3437</v>
      </c>
      <c r="E5359" s="121" t="s">
        <v>6221</v>
      </c>
      <c r="F5359" s="121" t="s">
        <v>3787</v>
      </c>
      <c r="G5359" s="121" t="s">
        <v>3092</v>
      </c>
      <c r="H5359" s="93"/>
      <c r="I5359" s="85">
        <f t="shared" si="204"/>
        <v>2.3569800000000005</v>
      </c>
      <c r="J5359" s="122">
        <v>227.49926610759189</v>
      </c>
      <c r="K5359" s="131" t="s">
        <v>3177</v>
      </c>
      <c r="L5359" s="69">
        <v>61</v>
      </c>
    </row>
    <row r="5360" spans="1:13" ht="14" x14ac:dyDescent="0.15">
      <c r="A5360" s="70" t="s">
        <v>7029</v>
      </c>
      <c r="B5360" s="118"/>
      <c r="C5360" s="121" t="s">
        <v>3636</v>
      </c>
      <c r="D5360" s="121" t="s">
        <v>3437</v>
      </c>
      <c r="E5360" s="121" t="s">
        <v>6221</v>
      </c>
      <c r="F5360" s="121" t="s">
        <v>3787</v>
      </c>
      <c r="G5360" s="121" t="s">
        <v>3346</v>
      </c>
      <c r="H5360" s="93"/>
      <c r="I5360" s="85">
        <f t="shared" si="204"/>
        <v>2.5960500000000004</v>
      </c>
      <c r="J5360" s="122">
        <v>394.50271826477365</v>
      </c>
      <c r="K5360" s="131" t="s">
        <v>6630</v>
      </c>
      <c r="L5360" s="69">
        <v>61</v>
      </c>
      <c r="M5360" s="49" t="s">
        <v>6392</v>
      </c>
    </row>
    <row r="5361" spans="1:13" ht="14" x14ac:dyDescent="0.15">
      <c r="A5361" s="70" t="s">
        <v>7029</v>
      </c>
      <c r="B5361" s="118"/>
      <c r="C5361" s="121" t="s">
        <v>3636</v>
      </c>
      <c r="D5361" s="121" t="s">
        <v>3437</v>
      </c>
      <c r="E5361" s="121" t="s">
        <v>6221</v>
      </c>
      <c r="F5361" s="121" t="s">
        <v>5999</v>
      </c>
      <c r="G5361" s="121" t="s">
        <v>6345</v>
      </c>
      <c r="H5361" s="108"/>
      <c r="I5361" s="85">
        <f t="shared" si="204"/>
        <v>2.3010299999999999</v>
      </c>
      <c r="J5361" s="122">
        <v>200.00000199681045</v>
      </c>
      <c r="K5361" s="131" t="s">
        <v>3177</v>
      </c>
      <c r="L5361" s="60">
        <v>60</v>
      </c>
    </row>
    <row r="5362" spans="1:13" ht="14" x14ac:dyDescent="0.15">
      <c r="A5362" s="70" t="s">
        <v>7029</v>
      </c>
      <c r="B5362" s="118"/>
      <c r="C5362" s="121" t="s">
        <v>3636</v>
      </c>
      <c r="D5362" s="121" t="s">
        <v>3437</v>
      </c>
      <c r="E5362" s="121" t="s">
        <v>6221</v>
      </c>
      <c r="F5362" s="121" t="s">
        <v>5999</v>
      </c>
      <c r="G5362" s="121" t="s">
        <v>6000</v>
      </c>
      <c r="H5362" s="93"/>
      <c r="I5362" s="85">
        <f t="shared" si="204"/>
        <v>2.33284</v>
      </c>
      <c r="J5362" s="122">
        <v>215.19887667025145</v>
      </c>
      <c r="K5362" s="131" t="s">
        <v>3177</v>
      </c>
      <c r="L5362" s="69">
        <v>61</v>
      </c>
    </row>
    <row r="5363" spans="1:13" ht="14" x14ac:dyDescent="0.15">
      <c r="A5363" s="70" t="s">
        <v>7029</v>
      </c>
      <c r="B5363" s="118"/>
      <c r="C5363" s="121" t="s">
        <v>3636</v>
      </c>
      <c r="D5363" s="121" t="s">
        <v>3437</v>
      </c>
      <c r="E5363" s="121" t="s">
        <v>6221</v>
      </c>
      <c r="F5363" s="121" t="s">
        <v>5999</v>
      </c>
      <c r="G5363" s="121" t="s">
        <v>3139</v>
      </c>
      <c r="H5363" s="93"/>
      <c r="I5363" s="85">
        <f t="shared" si="204"/>
        <v>2.3508300000000006</v>
      </c>
      <c r="J5363" s="122">
        <v>224.30037517279982</v>
      </c>
      <c r="K5363" s="131" t="s">
        <v>3177</v>
      </c>
      <c r="L5363" s="69">
        <v>61</v>
      </c>
    </row>
    <row r="5364" spans="1:13" ht="14" x14ac:dyDescent="0.15">
      <c r="A5364" s="70" t="s">
        <v>7029</v>
      </c>
      <c r="B5364" s="118"/>
      <c r="C5364" s="121" t="s">
        <v>3636</v>
      </c>
      <c r="D5364" s="121" t="s">
        <v>3437</v>
      </c>
      <c r="E5364" s="121" t="s">
        <v>6221</v>
      </c>
      <c r="F5364" s="121" t="s">
        <v>5999</v>
      </c>
      <c r="G5364" s="121" t="s">
        <v>3136</v>
      </c>
      <c r="H5364" s="93"/>
      <c r="I5364" s="85">
        <f t="shared" si="204"/>
        <v>2.3861400000000006</v>
      </c>
      <c r="J5364" s="122">
        <v>243.29881853985353</v>
      </c>
      <c r="K5364" s="131" t="s">
        <v>6391</v>
      </c>
      <c r="L5364" s="69">
        <v>61</v>
      </c>
      <c r="M5364" s="49" t="s">
        <v>6392</v>
      </c>
    </row>
    <row r="5365" spans="1:13" ht="14" x14ac:dyDescent="0.15">
      <c r="A5365" s="70" t="s">
        <v>7029</v>
      </c>
      <c r="B5365" s="118"/>
      <c r="C5365" s="121" t="s">
        <v>3636</v>
      </c>
      <c r="D5365" s="121" t="s">
        <v>3437</v>
      </c>
      <c r="E5365" s="121" t="s">
        <v>6221</v>
      </c>
      <c r="F5365" s="121" t="s">
        <v>5999</v>
      </c>
      <c r="G5365" s="121" t="s">
        <v>6342</v>
      </c>
      <c r="H5365" s="93"/>
      <c r="I5365" s="85">
        <f t="shared" si="204"/>
        <v>2.4149699999999998</v>
      </c>
      <c r="J5365" s="122">
        <v>259.99799567092441</v>
      </c>
      <c r="K5365" s="131" t="s">
        <v>3177</v>
      </c>
      <c r="L5365" s="69">
        <v>61</v>
      </c>
    </row>
    <row r="5366" spans="1:13" ht="14" x14ac:dyDescent="0.15">
      <c r="A5366" s="70" t="s">
        <v>7029</v>
      </c>
      <c r="B5366" s="118"/>
      <c r="C5366" s="121" t="s">
        <v>3636</v>
      </c>
      <c r="D5366" s="121" t="s">
        <v>3437</v>
      </c>
      <c r="E5366" s="121" t="s">
        <v>6221</v>
      </c>
      <c r="F5366" s="121" t="s">
        <v>5999</v>
      </c>
      <c r="G5366" s="121" t="s">
        <v>3137</v>
      </c>
      <c r="H5366" s="93"/>
      <c r="I5366" s="85">
        <f t="shared" si="204"/>
        <v>2.4948500000000005</v>
      </c>
      <c r="J5366" s="122">
        <v>312.49998439991901</v>
      </c>
      <c r="K5366" s="131" t="s">
        <v>3177</v>
      </c>
      <c r="L5366" s="69">
        <v>61</v>
      </c>
    </row>
    <row r="5367" spans="1:13" ht="14" x14ac:dyDescent="0.15">
      <c r="A5367" s="70" t="s">
        <v>7029</v>
      </c>
      <c r="B5367" s="118"/>
      <c r="C5367" s="121" t="s">
        <v>3636</v>
      </c>
      <c r="D5367" s="121" t="s">
        <v>3437</v>
      </c>
      <c r="E5367" s="121" t="s">
        <v>6221</v>
      </c>
      <c r="F5367" s="121" t="s">
        <v>5999</v>
      </c>
      <c r="G5367" s="121" t="s">
        <v>3140</v>
      </c>
      <c r="H5367" s="93"/>
      <c r="I5367" s="85">
        <f t="shared" si="204"/>
        <v>2.4983100000000005</v>
      </c>
      <c r="J5367" s="122">
        <v>314.99959832873753</v>
      </c>
      <c r="K5367" s="131" t="s">
        <v>6391</v>
      </c>
      <c r="L5367" s="69">
        <v>61</v>
      </c>
      <c r="M5367" s="49" t="s">
        <v>6727</v>
      </c>
    </row>
    <row r="5368" spans="1:13" ht="14" x14ac:dyDescent="0.15">
      <c r="A5368" s="70" t="s">
        <v>7029</v>
      </c>
      <c r="B5368" s="118"/>
      <c r="C5368" s="121" t="s">
        <v>3636</v>
      </c>
      <c r="D5368" s="121" t="s">
        <v>3437</v>
      </c>
      <c r="E5368" s="121" t="s">
        <v>6221</v>
      </c>
      <c r="F5368" s="121" t="s">
        <v>5999</v>
      </c>
      <c r="G5368" s="121" t="s">
        <v>3138</v>
      </c>
      <c r="H5368" s="93"/>
      <c r="I5368" s="85">
        <f t="shared" si="204"/>
        <v>2.6424600000000003</v>
      </c>
      <c r="J5368" s="122">
        <v>438.99543080548585</v>
      </c>
      <c r="K5368" s="131" t="s">
        <v>3177</v>
      </c>
      <c r="L5368" s="69">
        <v>61</v>
      </c>
    </row>
    <row r="5369" spans="1:13" ht="14" x14ac:dyDescent="0.15">
      <c r="A5369" s="70" t="s">
        <v>7029</v>
      </c>
      <c r="B5369" s="118"/>
      <c r="C5369" s="121" t="s">
        <v>3636</v>
      </c>
      <c r="D5369" s="121" t="s">
        <v>3437</v>
      </c>
      <c r="E5369" s="121" t="s">
        <v>6221</v>
      </c>
      <c r="F5369" s="121" t="s">
        <v>5999</v>
      </c>
      <c r="G5369" s="121" t="s">
        <v>3471</v>
      </c>
      <c r="H5369" s="93"/>
      <c r="I5369" s="85">
        <f t="shared" si="204"/>
        <v>2.6424600000000003</v>
      </c>
      <c r="J5369" s="122">
        <v>438.99543080548585</v>
      </c>
      <c r="K5369" s="131" t="s">
        <v>3177</v>
      </c>
      <c r="L5369" s="69">
        <v>61</v>
      </c>
    </row>
    <row r="5370" spans="1:13" ht="14" x14ac:dyDescent="0.15">
      <c r="A5370" s="70" t="s">
        <v>7029</v>
      </c>
      <c r="B5370" s="118"/>
      <c r="C5370" s="121" t="s">
        <v>3636</v>
      </c>
      <c r="D5370" s="121" t="s">
        <v>3437</v>
      </c>
      <c r="E5370" s="121" t="s">
        <v>6221</v>
      </c>
      <c r="F5370" s="121" t="s">
        <v>5999</v>
      </c>
      <c r="G5370" s="121" t="s">
        <v>7369</v>
      </c>
      <c r="H5370" s="93"/>
      <c r="I5370" s="85">
        <f t="shared" si="204"/>
        <v>2.7151700000000005</v>
      </c>
      <c r="J5370" s="122">
        <v>519.00315749077868</v>
      </c>
      <c r="K5370" s="131" t="s">
        <v>6391</v>
      </c>
      <c r="L5370" s="69">
        <v>61</v>
      </c>
      <c r="M5370" s="49" t="s">
        <v>6727</v>
      </c>
    </row>
    <row r="5371" spans="1:13" ht="14" x14ac:dyDescent="0.15">
      <c r="A5371" s="70" t="s">
        <v>7029</v>
      </c>
      <c r="B5371" s="118"/>
      <c r="C5371" s="121" t="s">
        <v>3636</v>
      </c>
      <c r="D5371" s="121" t="s">
        <v>3437</v>
      </c>
      <c r="E5371" s="121" t="s">
        <v>6221</v>
      </c>
      <c r="F5371" s="121" t="s">
        <v>5999</v>
      </c>
      <c r="G5371" s="121" t="s">
        <v>4669</v>
      </c>
      <c r="H5371" s="93"/>
      <c r="I5371" s="85">
        <f t="shared" si="204"/>
        <v>2.7483400000000002</v>
      </c>
      <c r="J5371" s="122">
        <v>560.19599551046201</v>
      </c>
      <c r="K5371" s="131" t="s">
        <v>6391</v>
      </c>
      <c r="L5371" s="69">
        <v>61</v>
      </c>
      <c r="M5371" s="49" t="s">
        <v>6728</v>
      </c>
    </row>
    <row r="5372" spans="1:13" ht="14" x14ac:dyDescent="0.15">
      <c r="A5372" s="73" t="s">
        <v>7029</v>
      </c>
      <c r="B5372" s="118"/>
      <c r="C5372" s="121" t="s">
        <v>3636</v>
      </c>
      <c r="D5372" s="121" t="s">
        <v>3437</v>
      </c>
      <c r="E5372" s="121" t="s">
        <v>6221</v>
      </c>
      <c r="F5372" s="121" t="s">
        <v>5999</v>
      </c>
      <c r="G5372" s="121" t="s">
        <v>6343</v>
      </c>
      <c r="H5372" s="93"/>
      <c r="I5372" s="85">
        <f t="shared" si="204"/>
        <v>2.76641</v>
      </c>
      <c r="J5372" s="122">
        <v>583.99617147290519</v>
      </c>
      <c r="K5372" s="131" t="s">
        <v>3177</v>
      </c>
      <c r="L5372" s="69">
        <v>61</v>
      </c>
    </row>
    <row r="5373" spans="1:13" ht="14" x14ac:dyDescent="0.15">
      <c r="A5373" s="70" t="s">
        <v>7029</v>
      </c>
      <c r="B5373" s="118"/>
      <c r="C5373" s="121" t="s">
        <v>3636</v>
      </c>
      <c r="D5373" s="121" t="s">
        <v>3437</v>
      </c>
      <c r="E5373" s="121" t="s">
        <v>6221</v>
      </c>
      <c r="F5373" s="121" t="s">
        <v>5999</v>
      </c>
      <c r="G5373" s="121" t="s">
        <v>3141</v>
      </c>
      <c r="H5373" s="93"/>
      <c r="I5373" s="85">
        <f t="shared" si="204"/>
        <v>2.7972000000000001</v>
      </c>
      <c r="J5373" s="122">
        <v>626.90249747616554</v>
      </c>
      <c r="K5373" s="131" t="s">
        <v>3177</v>
      </c>
      <c r="L5373" s="69">
        <v>61</v>
      </c>
    </row>
    <row r="5374" spans="1:13" ht="14" x14ac:dyDescent="0.15">
      <c r="A5374" s="70" t="s">
        <v>7029</v>
      </c>
      <c r="B5374" s="118"/>
      <c r="C5374" s="121" t="s">
        <v>3636</v>
      </c>
      <c r="D5374" s="121" t="s">
        <v>3437</v>
      </c>
      <c r="E5374" s="121" t="s">
        <v>6221</v>
      </c>
      <c r="F5374" s="121" t="s">
        <v>5999</v>
      </c>
      <c r="G5374" s="121" t="s">
        <v>3345</v>
      </c>
      <c r="H5374" s="93"/>
      <c r="I5374" s="85">
        <f t="shared" si="204"/>
        <v>2.8145800000000003</v>
      </c>
      <c r="J5374" s="122">
        <v>652.49922472758283</v>
      </c>
      <c r="K5374" s="131" t="s">
        <v>6391</v>
      </c>
      <c r="L5374" s="72">
        <v>61</v>
      </c>
      <c r="M5374" s="49" t="s">
        <v>6728</v>
      </c>
    </row>
    <row r="5375" spans="1:13" ht="14" x14ac:dyDescent="0.15">
      <c r="A5375" s="70" t="s">
        <v>7029</v>
      </c>
      <c r="B5375" s="118"/>
      <c r="C5375" s="121" t="s">
        <v>3636</v>
      </c>
      <c r="D5375" s="121" t="s">
        <v>3437</v>
      </c>
      <c r="E5375" s="121" t="s">
        <v>6221</v>
      </c>
      <c r="F5375" s="121" t="s">
        <v>3143</v>
      </c>
      <c r="G5375" s="121" t="s">
        <v>6341</v>
      </c>
      <c r="H5375" s="93"/>
      <c r="I5375" s="85">
        <f t="shared" si="204"/>
        <v>2.2730000000000006</v>
      </c>
      <c r="J5375" s="122">
        <v>187.49945080674203</v>
      </c>
      <c r="K5375" s="131" t="s">
        <v>3177</v>
      </c>
      <c r="L5375" s="69">
        <v>61</v>
      </c>
    </row>
    <row r="5376" spans="1:13" ht="14" x14ac:dyDescent="0.15">
      <c r="A5376" s="70" t="s">
        <v>7029</v>
      </c>
      <c r="B5376" s="118"/>
      <c r="C5376" s="121" t="s">
        <v>3636</v>
      </c>
      <c r="D5376" s="121" t="s">
        <v>3437</v>
      </c>
      <c r="E5376" s="121" t="s">
        <v>6221</v>
      </c>
      <c r="F5376" s="121" t="s">
        <v>6344</v>
      </c>
      <c r="G5376" s="121" t="s">
        <v>6178</v>
      </c>
      <c r="H5376" s="93"/>
      <c r="I5376" s="85">
        <f t="shared" si="204"/>
        <v>2.3802100000000004</v>
      </c>
      <c r="J5376" s="122">
        <v>239.99931380578897</v>
      </c>
      <c r="K5376" s="131" t="s">
        <v>3177</v>
      </c>
      <c r="L5376" s="60">
        <v>60</v>
      </c>
    </row>
    <row r="5377" spans="1:15" ht="14" x14ac:dyDescent="0.15">
      <c r="A5377" s="70" t="s">
        <v>7029</v>
      </c>
      <c r="B5377" s="118"/>
      <c r="C5377" s="121" t="s">
        <v>3636</v>
      </c>
      <c r="D5377" s="121" t="s">
        <v>3437</v>
      </c>
      <c r="E5377" s="121" t="s">
        <v>6221</v>
      </c>
      <c r="F5377" s="121" t="s">
        <v>7094</v>
      </c>
      <c r="G5377" s="121" t="s">
        <v>3097</v>
      </c>
      <c r="H5377" s="93"/>
      <c r="I5377" s="85">
        <f t="shared" ref="I5377:I5440" si="205">LOG(J5377)</f>
        <v>2.3222200000000002</v>
      </c>
      <c r="J5377" s="122">
        <v>210.00034102666152</v>
      </c>
      <c r="K5377" s="131" t="s">
        <v>6630</v>
      </c>
      <c r="L5377" s="69">
        <v>61</v>
      </c>
      <c r="M5377" s="49" t="s">
        <v>6392</v>
      </c>
    </row>
    <row r="5378" spans="1:15" ht="14" x14ac:dyDescent="0.15">
      <c r="A5378" s="70" t="s">
        <v>7029</v>
      </c>
      <c r="B5378" s="118"/>
      <c r="C5378" s="121" t="s">
        <v>3636</v>
      </c>
      <c r="D5378" s="121" t="s">
        <v>3437</v>
      </c>
      <c r="E5378" s="121" t="s">
        <v>6221</v>
      </c>
      <c r="F5378" s="121" t="s">
        <v>7094</v>
      </c>
      <c r="G5378" s="121" t="s">
        <v>3142</v>
      </c>
      <c r="H5378" s="93"/>
      <c r="I5378" s="85">
        <f t="shared" si="205"/>
        <v>2.6483600000000003</v>
      </c>
      <c r="J5378" s="122">
        <v>444.99998874838462</v>
      </c>
      <c r="K5378" s="131" t="s">
        <v>6630</v>
      </c>
      <c r="L5378" s="69">
        <v>61</v>
      </c>
      <c r="M5378" s="49" t="s">
        <v>6392</v>
      </c>
    </row>
    <row r="5379" spans="1:15" ht="14" x14ac:dyDescent="0.15">
      <c r="A5379" s="70" t="s">
        <v>7029</v>
      </c>
      <c r="B5379" s="118"/>
      <c r="C5379" s="121" t="s">
        <v>3636</v>
      </c>
      <c r="D5379" s="121" t="s">
        <v>3437</v>
      </c>
      <c r="E5379" s="121" t="s">
        <v>6221</v>
      </c>
      <c r="F5379" s="121" t="s">
        <v>3098</v>
      </c>
      <c r="G5379" s="121" t="s">
        <v>3099</v>
      </c>
      <c r="H5379" s="93"/>
      <c r="I5379" s="85">
        <f t="shared" si="205"/>
        <v>2.7781500000000001</v>
      </c>
      <c r="J5379" s="122">
        <v>599.99827253364413</v>
      </c>
      <c r="K5379" s="131" t="s">
        <v>3177</v>
      </c>
      <c r="L5379" s="60">
        <v>60</v>
      </c>
    </row>
    <row r="5380" spans="1:15" ht="14" x14ac:dyDescent="0.15">
      <c r="A5380" s="70" t="s">
        <v>7029</v>
      </c>
      <c r="B5380" s="118"/>
      <c r="C5380" s="121" t="s">
        <v>3636</v>
      </c>
      <c r="D5380" s="121" t="s">
        <v>3437</v>
      </c>
      <c r="E5380" s="121" t="s">
        <v>6221</v>
      </c>
      <c r="F5380" s="121" t="s">
        <v>3100</v>
      </c>
      <c r="G5380" s="121" t="s">
        <v>7133</v>
      </c>
      <c r="H5380" s="93"/>
      <c r="I5380" s="85">
        <f t="shared" si="205"/>
        <v>2.1405099999999999</v>
      </c>
      <c r="J5380" s="122">
        <v>138.20062274043121</v>
      </c>
      <c r="K5380" s="134" t="s">
        <v>3177</v>
      </c>
      <c r="L5380" s="69">
        <v>61</v>
      </c>
    </row>
    <row r="5381" spans="1:15" ht="14" x14ac:dyDescent="0.15">
      <c r="A5381" s="70" t="s">
        <v>7029</v>
      </c>
      <c r="B5381" s="118"/>
      <c r="C5381" s="121" t="s">
        <v>3636</v>
      </c>
      <c r="D5381" s="121" t="s">
        <v>3437</v>
      </c>
      <c r="E5381" s="121" t="s">
        <v>6221</v>
      </c>
      <c r="F5381" s="121" t="s">
        <v>3101</v>
      </c>
      <c r="G5381" s="121" t="s">
        <v>3102</v>
      </c>
      <c r="H5381" s="93"/>
      <c r="I5381" s="85">
        <f t="shared" si="205"/>
        <v>2.6020600000000003</v>
      </c>
      <c r="J5381" s="122">
        <v>400.0000079872421</v>
      </c>
      <c r="K5381" s="131" t="s">
        <v>6630</v>
      </c>
      <c r="L5381" s="60">
        <v>60</v>
      </c>
      <c r="M5381" s="49" t="s">
        <v>6809</v>
      </c>
    </row>
    <row r="5382" spans="1:15" ht="14" x14ac:dyDescent="0.15">
      <c r="A5382" s="73" t="s">
        <v>7029</v>
      </c>
      <c r="B5382" s="118"/>
      <c r="C5382" s="121" t="s">
        <v>3636</v>
      </c>
      <c r="D5382" s="121" t="s">
        <v>3437</v>
      </c>
      <c r="E5382" s="121" t="s">
        <v>6221</v>
      </c>
      <c r="F5382" s="121" t="s">
        <v>3103</v>
      </c>
      <c r="G5382" s="121" t="s">
        <v>3991</v>
      </c>
      <c r="H5382" s="93"/>
      <c r="I5382" s="85">
        <f t="shared" si="205"/>
        <v>2.0334200000000004</v>
      </c>
      <c r="J5382" s="122">
        <v>107.99906609258511</v>
      </c>
      <c r="K5382" s="131" t="s">
        <v>6630</v>
      </c>
      <c r="L5382" s="69">
        <v>61</v>
      </c>
      <c r="M5382" s="49" t="s">
        <v>6727</v>
      </c>
    </row>
    <row r="5383" spans="1:15" ht="14" x14ac:dyDescent="0.15">
      <c r="A5383" s="70" t="s">
        <v>7029</v>
      </c>
      <c r="B5383" s="118"/>
      <c r="C5383" s="121" t="s">
        <v>3636</v>
      </c>
      <c r="D5383" s="121" t="s">
        <v>3437</v>
      </c>
      <c r="E5383" s="121" t="s">
        <v>6221</v>
      </c>
      <c r="F5383" s="121" t="s">
        <v>3103</v>
      </c>
      <c r="G5383" s="121" t="s">
        <v>3993</v>
      </c>
      <c r="H5383" s="93"/>
      <c r="I5383" s="85">
        <f t="shared" si="205"/>
        <v>2.0334200000000004</v>
      </c>
      <c r="J5383" s="122">
        <v>107.99906609258511</v>
      </c>
      <c r="K5383" s="131" t="s">
        <v>3177</v>
      </c>
      <c r="L5383" s="69">
        <v>61</v>
      </c>
    </row>
    <row r="5384" spans="1:15" ht="14" x14ac:dyDescent="0.15">
      <c r="A5384" s="70" t="s">
        <v>7029</v>
      </c>
      <c r="B5384" s="118"/>
      <c r="C5384" s="121" t="s">
        <v>3636</v>
      </c>
      <c r="D5384" s="121" t="s">
        <v>3437</v>
      </c>
      <c r="E5384" s="121" t="s">
        <v>6221</v>
      </c>
      <c r="F5384" s="121" t="s">
        <v>3103</v>
      </c>
      <c r="G5384" s="121" t="s">
        <v>7275</v>
      </c>
      <c r="H5384" s="93"/>
      <c r="I5384" s="85">
        <f t="shared" si="205"/>
        <v>2.0334200000000004</v>
      </c>
      <c r="J5384" s="122">
        <v>107.99906609258511</v>
      </c>
      <c r="K5384" s="131" t="s">
        <v>6630</v>
      </c>
      <c r="L5384" s="69">
        <v>61</v>
      </c>
      <c r="M5384" s="49" t="s">
        <v>6727</v>
      </c>
    </row>
    <row r="5385" spans="1:15" ht="14" x14ac:dyDescent="0.15">
      <c r="A5385" s="70" t="s">
        <v>7029</v>
      </c>
      <c r="B5385" s="118"/>
      <c r="C5385" s="121" t="s">
        <v>3636</v>
      </c>
      <c r="D5385" s="121" t="s">
        <v>3437</v>
      </c>
      <c r="E5385" s="121" t="s">
        <v>6221</v>
      </c>
      <c r="F5385" s="121" t="s">
        <v>3103</v>
      </c>
      <c r="G5385" s="121" t="s">
        <v>3994</v>
      </c>
      <c r="H5385" s="93"/>
      <c r="I5385" s="85">
        <f t="shared" si="205"/>
        <v>2.0334200000000004</v>
      </c>
      <c r="J5385" s="122">
        <v>107.99906609258511</v>
      </c>
      <c r="K5385" s="131" t="s">
        <v>3177</v>
      </c>
      <c r="L5385" s="69">
        <v>61</v>
      </c>
    </row>
    <row r="5386" spans="1:15" ht="14" x14ac:dyDescent="0.15">
      <c r="A5386" s="70" t="s">
        <v>7029</v>
      </c>
      <c r="B5386" s="118"/>
      <c r="C5386" s="121" t="s">
        <v>3636</v>
      </c>
      <c r="D5386" s="121" t="s">
        <v>3437</v>
      </c>
      <c r="E5386" s="121" t="s">
        <v>6221</v>
      </c>
      <c r="F5386" s="121" t="s">
        <v>3103</v>
      </c>
      <c r="G5386" s="121" t="s">
        <v>3992</v>
      </c>
      <c r="H5386" s="93"/>
      <c r="I5386" s="85">
        <f t="shared" si="205"/>
        <v>2.2430400000000006</v>
      </c>
      <c r="J5386" s="122">
        <v>175.00078628829039</v>
      </c>
      <c r="K5386" s="131" t="s">
        <v>3177</v>
      </c>
      <c r="L5386" s="69">
        <v>61</v>
      </c>
    </row>
    <row r="5387" spans="1:15" ht="14" x14ac:dyDescent="0.15">
      <c r="A5387" s="73" t="s">
        <v>7029</v>
      </c>
      <c r="B5387" s="118"/>
      <c r="C5387" s="121" t="s">
        <v>3636</v>
      </c>
      <c r="D5387" s="121" t="s">
        <v>3437</v>
      </c>
      <c r="E5387" s="121" t="s">
        <v>6221</v>
      </c>
      <c r="F5387" s="121" t="s">
        <v>3124</v>
      </c>
      <c r="G5387" s="121" t="s">
        <v>3847</v>
      </c>
      <c r="H5387" s="93"/>
      <c r="I5387" s="85">
        <f t="shared" si="205"/>
        <v>2.3147099999999998</v>
      </c>
      <c r="J5387" s="122">
        <v>206.40014592419931</v>
      </c>
      <c r="K5387" s="131" t="s">
        <v>6391</v>
      </c>
      <c r="L5387" s="69">
        <v>61</v>
      </c>
      <c r="M5387" s="49" t="s">
        <v>6392</v>
      </c>
    </row>
    <row r="5388" spans="1:15" ht="14" x14ac:dyDescent="0.15">
      <c r="A5388" s="70" t="s">
        <v>7029</v>
      </c>
      <c r="B5388" s="118"/>
      <c r="C5388" s="121" t="s">
        <v>3636</v>
      </c>
      <c r="D5388" s="121" t="s">
        <v>3437</v>
      </c>
      <c r="E5388" s="121" t="s">
        <v>6221</v>
      </c>
      <c r="F5388" s="121" t="s">
        <v>3124</v>
      </c>
      <c r="G5388" s="121" t="s">
        <v>6831</v>
      </c>
      <c r="H5388" s="93"/>
      <c r="I5388" s="85">
        <f t="shared" si="205"/>
        <v>2.43696</v>
      </c>
      <c r="J5388" s="122">
        <v>273.50168103482685</v>
      </c>
      <c r="K5388" s="131" t="s">
        <v>6391</v>
      </c>
      <c r="L5388" s="69">
        <v>61</v>
      </c>
      <c r="M5388" s="49" t="s">
        <v>6392</v>
      </c>
      <c r="O5388" s="51"/>
    </row>
    <row r="5389" spans="1:15" ht="14" x14ac:dyDescent="0.15">
      <c r="A5389" s="70" t="s">
        <v>7029</v>
      </c>
      <c r="B5389" s="118"/>
      <c r="C5389" s="121" t="s">
        <v>3636</v>
      </c>
      <c r="D5389" s="121" t="s">
        <v>3437</v>
      </c>
      <c r="E5389" s="121" t="s">
        <v>6221</v>
      </c>
      <c r="F5389" s="121" t="s">
        <v>3848</v>
      </c>
      <c r="G5389" s="121" t="s">
        <v>3338</v>
      </c>
      <c r="H5389" s="93"/>
      <c r="I5389" s="85">
        <f t="shared" si="205"/>
        <v>2.2242700000000006</v>
      </c>
      <c r="J5389" s="122">
        <v>167.59845083776992</v>
      </c>
      <c r="K5389" s="131" t="s">
        <v>3177</v>
      </c>
      <c r="L5389" s="69">
        <v>61</v>
      </c>
    </row>
    <row r="5390" spans="1:15" ht="14" x14ac:dyDescent="0.15">
      <c r="A5390" s="70" t="s">
        <v>7029</v>
      </c>
      <c r="B5390" s="118"/>
      <c r="C5390" s="121" t="s">
        <v>3636</v>
      </c>
      <c r="D5390" s="121" t="s">
        <v>3437</v>
      </c>
      <c r="E5390" s="121" t="s">
        <v>6221</v>
      </c>
      <c r="F5390" s="121" t="s">
        <v>3848</v>
      </c>
      <c r="G5390" s="121" t="s">
        <v>4499</v>
      </c>
      <c r="H5390" s="93"/>
      <c r="I5390" s="85">
        <f t="shared" si="205"/>
        <v>2.3085599999999999</v>
      </c>
      <c r="J5390" s="122">
        <v>203.49793192134433</v>
      </c>
      <c r="K5390" s="131" t="s">
        <v>3177</v>
      </c>
      <c r="L5390" s="69">
        <v>61</v>
      </c>
      <c r="M5390" s="50"/>
    </row>
    <row r="5391" spans="1:15" ht="14" x14ac:dyDescent="0.15">
      <c r="A5391" s="70" t="s">
        <v>7029</v>
      </c>
      <c r="B5391" s="118"/>
      <c r="C5391" s="121" t="s">
        <v>3636</v>
      </c>
      <c r="D5391" s="121" t="s">
        <v>3437</v>
      </c>
      <c r="E5391" s="121" t="s">
        <v>6221</v>
      </c>
      <c r="F5391" s="121" t="s">
        <v>3848</v>
      </c>
      <c r="G5391" s="121" t="s">
        <v>3116</v>
      </c>
      <c r="H5391" s="93"/>
      <c r="I5391" s="85">
        <f t="shared" si="205"/>
        <v>2.3117500000000004</v>
      </c>
      <c r="J5391" s="122">
        <v>204.99817747416989</v>
      </c>
      <c r="K5391" s="131" t="s">
        <v>3177</v>
      </c>
      <c r="L5391" s="69">
        <v>61</v>
      </c>
      <c r="M5391" s="50"/>
    </row>
    <row r="5392" spans="1:15" ht="28" x14ac:dyDescent="0.15">
      <c r="A5392" s="70" t="s">
        <v>7029</v>
      </c>
      <c r="B5392" s="118"/>
      <c r="C5392" s="121" t="s">
        <v>3636</v>
      </c>
      <c r="D5392" s="121" t="s">
        <v>3437</v>
      </c>
      <c r="E5392" s="121" t="s">
        <v>6221</v>
      </c>
      <c r="F5392" s="121" t="s">
        <v>3848</v>
      </c>
      <c r="G5392" s="121" t="s">
        <v>3122</v>
      </c>
      <c r="H5392" s="93"/>
      <c r="I5392" s="85">
        <f t="shared" si="205"/>
        <v>2.4548400000000004</v>
      </c>
      <c r="J5392" s="122">
        <v>284.9968107016482</v>
      </c>
      <c r="K5392" s="131" t="s">
        <v>7875</v>
      </c>
      <c r="L5392" s="69">
        <v>61</v>
      </c>
      <c r="M5392" s="49" t="s">
        <v>6392</v>
      </c>
    </row>
    <row r="5393" spans="1:13" ht="14" x14ac:dyDescent="0.15">
      <c r="A5393" s="70" t="s">
        <v>7029</v>
      </c>
      <c r="B5393" s="118"/>
      <c r="C5393" s="121" t="s">
        <v>3636</v>
      </c>
      <c r="D5393" s="121" t="s">
        <v>3437</v>
      </c>
      <c r="E5393" s="121" t="s">
        <v>6221</v>
      </c>
      <c r="F5393" s="121" t="s">
        <v>3848</v>
      </c>
      <c r="G5393" s="121" t="s">
        <v>2958</v>
      </c>
      <c r="H5393" s="93"/>
      <c r="I5393" s="85">
        <f t="shared" si="205"/>
        <v>2.4548400000000004</v>
      </c>
      <c r="J5393" s="122">
        <v>284.9968107016482</v>
      </c>
      <c r="K5393" s="131" t="s">
        <v>3177</v>
      </c>
      <c r="L5393" s="69">
        <v>61</v>
      </c>
    </row>
    <row r="5394" spans="1:13" ht="14" x14ac:dyDescent="0.15">
      <c r="A5394" s="70" t="s">
        <v>7029</v>
      </c>
      <c r="B5394" s="118"/>
      <c r="C5394" s="121" t="s">
        <v>3636</v>
      </c>
      <c r="D5394" s="121" t="s">
        <v>3437</v>
      </c>
      <c r="E5394" s="121" t="s">
        <v>6221</v>
      </c>
      <c r="F5394" s="121" t="s">
        <v>3848</v>
      </c>
      <c r="G5394" s="121" t="s">
        <v>3584</v>
      </c>
      <c r="H5394" s="93"/>
      <c r="I5394" s="85">
        <f t="shared" si="205"/>
        <v>2.4548400000000004</v>
      </c>
      <c r="J5394" s="122">
        <v>284.9968107016482</v>
      </c>
      <c r="K5394" s="131" t="s">
        <v>3177</v>
      </c>
      <c r="L5394" s="69">
        <v>61</v>
      </c>
    </row>
    <row r="5395" spans="1:13" ht="14" x14ac:dyDescent="0.15">
      <c r="A5395" s="70" t="s">
        <v>7029</v>
      </c>
      <c r="B5395" s="118"/>
      <c r="C5395" s="121" t="s">
        <v>3636</v>
      </c>
      <c r="D5395" s="121" t="s">
        <v>3437</v>
      </c>
      <c r="E5395" s="121" t="s">
        <v>6221</v>
      </c>
      <c r="F5395" s="121" t="s">
        <v>3848</v>
      </c>
      <c r="G5395" s="121" t="s">
        <v>7086</v>
      </c>
      <c r="H5395" s="93"/>
      <c r="I5395" s="85">
        <f t="shared" si="205"/>
        <v>2.4548400000000004</v>
      </c>
      <c r="J5395" s="122">
        <v>284.9968107016482</v>
      </c>
      <c r="K5395" s="131" t="s">
        <v>3177</v>
      </c>
      <c r="L5395" s="69">
        <v>61</v>
      </c>
    </row>
    <row r="5396" spans="1:13" ht="14" x14ac:dyDescent="0.15">
      <c r="A5396" s="73" t="s">
        <v>7029</v>
      </c>
      <c r="B5396" s="118"/>
      <c r="C5396" s="121" t="s">
        <v>3636</v>
      </c>
      <c r="D5396" s="121" t="s">
        <v>3437</v>
      </c>
      <c r="E5396" s="121" t="s">
        <v>6221</v>
      </c>
      <c r="F5396" s="121" t="s">
        <v>3848</v>
      </c>
      <c r="G5396" s="121" t="s">
        <v>3585</v>
      </c>
      <c r="H5396" s="93"/>
      <c r="I5396" s="85">
        <f t="shared" si="205"/>
        <v>2.4548400000000004</v>
      </c>
      <c r="J5396" s="122">
        <v>284.9968107016482</v>
      </c>
      <c r="K5396" s="131" t="s">
        <v>3177</v>
      </c>
      <c r="L5396" s="69">
        <v>61</v>
      </c>
    </row>
    <row r="5397" spans="1:13" ht="14" x14ac:dyDescent="0.15">
      <c r="A5397" s="70" t="s">
        <v>7029</v>
      </c>
      <c r="B5397" s="118"/>
      <c r="C5397" s="121" t="s">
        <v>3636</v>
      </c>
      <c r="D5397" s="121" t="s">
        <v>3437</v>
      </c>
      <c r="E5397" s="121" t="s">
        <v>6221</v>
      </c>
      <c r="F5397" s="121" t="s">
        <v>3848</v>
      </c>
      <c r="G5397" s="121" t="s">
        <v>3549</v>
      </c>
      <c r="H5397" s="93"/>
      <c r="I5397" s="85">
        <f t="shared" si="205"/>
        <v>2.4548400000000004</v>
      </c>
      <c r="J5397" s="122">
        <v>284.9968107016482</v>
      </c>
      <c r="K5397" s="131" t="s">
        <v>3177</v>
      </c>
      <c r="L5397" s="69">
        <v>61</v>
      </c>
    </row>
    <row r="5398" spans="1:13" ht="14" x14ac:dyDescent="0.15">
      <c r="A5398" s="70" t="s">
        <v>7029</v>
      </c>
      <c r="B5398" s="118"/>
      <c r="C5398" s="121" t="s">
        <v>3636</v>
      </c>
      <c r="D5398" s="121" t="s">
        <v>3437</v>
      </c>
      <c r="E5398" s="121" t="s">
        <v>6221</v>
      </c>
      <c r="F5398" s="121" t="s">
        <v>3848</v>
      </c>
      <c r="G5398" s="121" t="s">
        <v>3589</v>
      </c>
      <c r="H5398" s="93"/>
      <c r="I5398" s="85">
        <f t="shared" si="205"/>
        <v>2.4548400000000004</v>
      </c>
      <c r="J5398" s="122">
        <v>284.9968107016482</v>
      </c>
      <c r="K5398" s="131" t="s">
        <v>3177</v>
      </c>
      <c r="L5398" s="69">
        <v>61</v>
      </c>
    </row>
    <row r="5399" spans="1:13" ht="14" x14ac:dyDescent="0.15">
      <c r="A5399" s="70" t="s">
        <v>7029</v>
      </c>
      <c r="B5399" s="118"/>
      <c r="C5399" s="121" t="s">
        <v>3636</v>
      </c>
      <c r="D5399" s="121" t="s">
        <v>3437</v>
      </c>
      <c r="E5399" s="121" t="s">
        <v>6221</v>
      </c>
      <c r="F5399" s="121" t="s">
        <v>3848</v>
      </c>
      <c r="G5399" s="121" t="s">
        <v>2168</v>
      </c>
      <c r="H5399" s="93"/>
      <c r="I5399" s="85">
        <f t="shared" si="205"/>
        <v>2.4548400000000004</v>
      </c>
      <c r="J5399" s="122">
        <v>284.9968107016482</v>
      </c>
      <c r="K5399" s="131" t="s">
        <v>3177</v>
      </c>
      <c r="L5399" s="69">
        <v>61</v>
      </c>
    </row>
    <row r="5400" spans="1:13" ht="28" x14ac:dyDescent="0.15">
      <c r="A5400" s="70" t="s">
        <v>7029</v>
      </c>
      <c r="B5400" s="118"/>
      <c r="C5400" s="121" t="s">
        <v>3636</v>
      </c>
      <c r="D5400" s="121" t="s">
        <v>3437</v>
      </c>
      <c r="E5400" s="121" t="s">
        <v>6221</v>
      </c>
      <c r="F5400" s="121" t="s">
        <v>3848</v>
      </c>
      <c r="G5400" s="121" t="s">
        <v>3339</v>
      </c>
      <c r="H5400" s="93"/>
      <c r="I5400" s="85">
        <f t="shared" si="205"/>
        <v>2.4548400000000004</v>
      </c>
      <c r="J5400" s="122">
        <v>284.9968107016482</v>
      </c>
      <c r="K5400" s="131" t="s">
        <v>7875</v>
      </c>
      <c r="L5400" s="69">
        <v>61</v>
      </c>
      <c r="M5400" s="49" t="s">
        <v>6392</v>
      </c>
    </row>
    <row r="5401" spans="1:13" ht="14" x14ac:dyDescent="0.15">
      <c r="A5401" s="70" t="s">
        <v>7029</v>
      </c>
      <c r="B5401" s="118"/>
      <c r="C5401" s="121" t="s">
        <v>3636</v>
      </c>
      <c r="D5401" s="121" t="s">
        <v>3437</v>
      </c>
      <c r="E5401" s="121" t="s">
        <v>6221</v>
      </c>
      <c r="F5401" s="121" t="s">
        <v>3848</v>
      </c>
      <c r="G5401" s="121" t="s">
        <v>3559</v>
      </c>
      <c r="H5401" s="93"/>
      <c r="I5401" s="85">
        <f t="shared" si="205"/>
        <v>2.4548400000000004</v>
      </c>
      <c r="J5401" s="122">
        <v>284.9968107016482</v>
      </c>
      <c r="K5401" s="131" t="s">
        <v>3177</v>
      </c>
      <c r="L5401" s="69">
        <v>61</v>
      </c>
    </row>
    <row r="5402" spans="1:13" ht="14" x14ac:dyDescent="0.15">
      <c r="A5402" s="70" t="s">
        <v>7029</v>
      </c>
      <c r="B5402" s="118"/>
      <c r="C5402" s="121" t="s">
        <v>3636</v>
      </c>
      <c r="D5402" s="121" t="s">
        <v>3437</v>
      </c>
      <c r="E5402" s="121" t="s">
        <v>6221</v>
      </c>
      <c r="F5402" s="121" t="s">
        <v>3848</v>
      </c>
      <c r="G5402" s="121" t="s">
        <v>3582</v>
      </c>
      <c r="H5402" s="93"/>
      <c r="I5402" s="85">
        <f t="shared" si="205"/>
        <v>2.4548400000000004</v>
      </c>
      <c r="J5402" s="122">
        <v>284.9968107016482</v>
      </c>
      <c r="K5402" s="131" t="s">
        <v>3177</v>
      </c>
      <c r="L5402" s="69">
        <v>61</v>
      </c>
    </row>
    <row r="5403" spans="1:13" ht="14" x14ac:dyDescent="0.15">
      <c r="A5403" s="70" t="s">
        <v>7029</v>
      </c>
      <c r="B5403" s="118"/>
      <c r="C5403" s="121" t="s">
        <v>3636</v>
      </c>
      <c r="D5403" s="121" t="s">
        <v>3437</v>
      </c>
      <c r="E5403" s="121" t="s">
        <v>6221</v>
      </c>
      <c r="F5403" s="121" t="s">
        <v>3848</v>
      </c>
      <c r="G5403" s="121" t="s">
        <v>3583</v>
      </c>
      <c r="H5403" s="93"/>
      <c r="I5403" s="85">
        <f t="shared" si="205"/>
        <v>2.4548400000000004</v>
      </c>
      <c r="J5403" s="85">
        <v>284.9968107016482</v>
      </c>
      <c r="K5403" s="131" t="s">
        <v>3177</v>
      </c>
      <c r="L5403" s="69">
        <v>61</v>
      </c>
      <c r="M5403" s="50"/>
    </row>
    <row r="5404" spans="1:13" ht="14" x14ac:dyDescent="0.15">
      <c r="A5404" s="70" t="s">
        <v>7029</v>
      </c>
      <c r="B5404" s="118"/>
      <c r="C5404" s="121" t="s">
        <v>3636</v>
      </c>
      <c r="D5404" s="121" t="s">
        <v>3437</v>
      </c>
      <c r="E5404" s="121" t="s">
        <v>6221</v>
      </c>
      <c r="F5404" s="121" t="s">
        <v>3848</v>
      </c>
      <c r="G5404" s="121" t="s">
        <v>3586</v>
      </c>
      <c r="H5404" s="93"/>
      <c r="I5404" s="85">
        <f t="shared" si="205"/>
        <v>2.4548400000000004</v>
      </c>
      <c r="J5404" s="122">
        <v>284.9968107016482</v>
      </c>
      <c r="K5404" s="131" t="s">
        <v>3177</v>
      </c>
      <c r="L5404" s="69">
        <v>61</v>
      </c>
      <c r="M5404" s="50"/>
    </row>
    <row r="5405" spans="1:13" ht="14" x14ac:dyDescent="0.15">
      <c r="A5405" s="70" t="s">
        <v>7029</v>
      </c>
      <c r="B5405" s="118"/>
      <c r="C5405" s="121" t="s">
        <v>3636</v>
      </c>
      <c r="D5405" s="121" t="s">
        <v>3437</v>
      </c>
      <c r="E5405" s="121" t="s">
        <v>6221</v>
      </c>
      <c r="F5405" s="121" t="s">
        <v>3848</v>
      </c>
      <c r="G5405" s="121" t="s">
        <v>3587</v>
      </c>
      <c r="H5405" s="93"/>
      <c r="I5405" s="85">
        <f t="shared" si="205"/>
        <v>2.4548400000000004</v>
      </c>
      <c r="J5405" s="122">
        <v>284.9968107016482</v>
      </c>
      <c r="K5405" s="131" t="s">
        <v>3177</v>
      </c>
      <c r="L5405" s="69">
        <v>61</v>
      </c>
      <c r="M5405" s="50"/>
    </row>
    <row r="5406" spans="1:13" ht="14" x14ac:dyDescent="0.15">
      <c r="A5406" s="70" t="s">
        <v>7029</v>
      </c>
      <c r="B5406" s="118"/>
      <c r="C5406" s="121" t="s">
        <v>3636</v>
      </c>
      <c r="D5406" s="121" t="s">
        <v>3437</v>
      </c>
      <c r="E5406" s="121" t="s">
        <v>6221</v>
      </c>
      <c r="F5406" s="121" t="s">
        <v>3848</v>
      </c>
      <c r="G5406" s="121" t="s">
        <v>6943</v>
      </c>
      <c r="H5406" s="93"/>
      <c r="I5406" s="85">
        <f t="shared" si="205"/>
        <v>2.4548400000000004</v>
      </c>
      <c r="J5406" s="122">
        <v>284.9968107016482</v>
      </c>
      <c r="K5406" s="131" t="s">
        <v>3177</v>
      </c>
      <c r="L5406" s="69">
        <v>61</v>
      </c>
      <c r="M5406" s="50"/>
    </row>
    <row r="5407" spans="1:13" ht="14" x14ac:dyDescent="0.15">
      <c r="A5407" s="70" t="s">
        <v>7029</v>
      </c>
      <c r="B5407" s="118"/>
      <c r="C5407" s="121" t="s">
        <v>3636</v>
      </c>
      <c r="D5407" s="121" t="s">
        <v>3437</v>
      </c>
      <c r="E5407" s="121" t="s">
        <v>6221</v>
      </c>
      <c r="F5407" s="121" t="s">
        <v>3848</v>
      </c>
      <c r="G5407" s="121" t="s">
        <v>6944</v>
      </c>
      <c r="H5407" s="93"/>
      <c r="I5407" s="85">
        <f t="shared" si="205"/>
        <v>2.4548400000000004</v>
      </c>
      <c r="J5407" s="122">
        <v>284.9968107016482</v>
      </c>
      <c r="K5407" s="131" t="s">
        <v>3177</v>
      </c>
      <c r="L5407" s="69">
        <v>61</v>
      </c>
      <c r="M5407" s="50"/>
    </row>
    <row r="5408" spans="1:13" ht="14" x14ac:dyDescent="0.15">
      <c r="A5408" s="70" t="s">
        <v>7029</v>
      </c>
      <c r="B5408" s="118"/>
      <c r="C5408" s="121" t="s">
        <v>3636</v>
      </c>
      <c r="D5408" s="121" t="s">
        <v>3437</v>
      </c>
      <c r="E5408" s="121" t="s">
        <v>6221</v>
      </c>
      <c r="F5408" s="121" t="s">
        <v>3848</v>
      </c>
      <c r="G5408" s="121" t="s">
        <v>6945</v>
      </c>
      <c r="H5408" s="93"/>
      <c r="I5408" s="85">
        <f t="shared" si="205"/>
        <v>2.4548400000000004</v>
      </c>
      <c r="J5408" s="122">
        <v>284.9968107016482</v>
      </c>
      <c r="K5408" s="131" t="s">
        <v>3177</v>
      </c>
      <c r="L5408" s="69">
        <v>61</v>
      </c>
      <c r="M5408" s="50"/>
    </row>
    <row r="5409" spans="1:13" ht="14" x14ac:dyDescent="0.15">
      <c r="A5409" s="70" t="s">
        <v>7029</v>
      </c>
      <c r="B5409" s="118"/>
      <c r="C5409" s="121" t="s">
        <v>3636</v>
      </c>
      <c r="D5409" s="121" t="s">
        <v>3437</v>
      </c>
      <c r="E5409" s="121" t="s">
        <v>6221</v>
      </c>
      <c r="F5409" s="121" t="s">
        <v>3848</v>
      </c>
      <c r="G5409" s="121" t="s">
        <v>4628</v>
      </c>
      <c r="H5409" s="93"/>
      <c r="I5409" s="85">
        <f t="shared" si="205"/>
        <v>2.4548400000000004</v>
      </c>
      <c r="J5409" s="122">
        <v>284.9968107016482</v>
      </c>
      <c r="K5409" s="131" t="s">
        <v>3177</v>
      </c>
      <c r="L5409" s="69">
        <v>61</v>
      </c>
      <c r="M5409" s="50"/>
    </row>
    <row r="5410" spans="1:13" ht="14" x14ac:dyDescent="0.15">
      <c r="A5410" s="70" t="s">
        <v>7029</v>
      </c>
      <c r="B5410" s="118"/>
      <c r="C5410" s="121" t="s">
        <v>3636</v>
      </c>
      <c r="D5410" s="121" t="s">
        <v>3437</v>
      </c>
      <c r="E5410" s="121" t="s">
        <v>6221</v>
      </c>
      <c r="F5410" s="121" t="s">
        <v>3848</v>
      </c>
      <c r="G5410" s="121" t="s">
        <v>4629</v>
      </c>
      <c r="H5410" s="93"/>
      <c r="I5410" s="85">
        <f t="shared" si="205"/>
        <v>2.4548400000000004</v>
      </c>
      <c r="J5410" s="122">
        <v>284.9968107016482</v>
      </c>
      <c r="K5410" s="131" t="s">
        <v>3177</v>
      </c>
      <c r="L5410" s="69">
        <v>61</v>
      </c>
      <c r="M5410" s="50"/>
    </row>
    <row r="5411" spans="1:13" ht="14" x14ac:dyDescent="0.15">
      <c r="A5411" s="70" t="s">
        <v>7029</v>
      </c>
      <c r="B5411" s="118"/>
      <c r="C5411" s="121" t="s">
        <v>3636</v>
      </c>
      <c r="D5411" s="121" t="s">
        <v>3437</v>
      </c>
      <c r="E5411" s="121" t="s">
        <v>6221</v>
      </c>
      <c r="F5411" s="121" t="s">
        <v>3848</v>
      </c>
      <c r="G5411" s="121" t="s">
        <v>4630</v>
      </c>
      <c r="H5411" s="93"/>
      <c r="I5411" s="85">
        <f t="shared" si="205"/>
        <v>2.4548400000000004</v>
      </c>
      <c r="J5411" s="122">
        <v>284.9968107016482</v>
      </c>
      <c r="K5411" s="131" t="s">
        <v>3177</v>
      </c>
      <c r="L5411" s="69">
        <v>61</v>
      </c>
      <c r="M5411" s="50"/>
    </row>
    <row r="5412" spans="1:13" ht="14" x14ac:dyDescent="0.15">
      <c r="A5412" s="70" t="s">
        <v>7029</v>
      </c>
      <c r="B5412" s="118"/>
      <c r="C5412" s="121" t="s">
        <v>3636</v>
      </c>
      <c r="D5412" s="121" t="s">
        <v>3437</v>
      </c>
      <c r="E5412" s="121" t="s">
        <v>6221</v>
      </c>
      <c r="F5412" s="121" t="s">
        <v>3848</v>
      </c>
      <c r="G5412" s="121" t="s">
        <v>4631</v>
      </c>
      <c r="H5412" s="93"/>
      <c r="I5412" s="85">
        <f t="shared" si="205"/>
        <v>2.4548400000000004</v>
      </c>
      <c r="J5412" s="122">
        <v>284.9968107016482</v>
      </c>
      <c r="K5412" s="131" t="s">
        <v>3177</v>
      </c>
      <c r="L5412" s="69">
        <v>61</v>
      </c>
      <c r="M5412" s="50"/>
    </row>
    <row r="5413" spans="1:13" ht="14" x14ac:dyDescent="0.15">
      <c r="A5413" s="70" t="s">
        <v>7029</v>
      </c>
      <c r="B5413" s="118"/>
      <c r="C5413" s="121" t="s">
        <v>3636</v>
      </c>
      <c r="D5413" s="121" t="s">
        <v>3437</v>
      </c>
      <c r="E5413" s="121" t="s">
        <v>6221</v>
      </c>
      <c r="F5413" s="121" t="s">
        <v>3848</v>
      </c>
      <c r="G5413" s="121" t="s">
        <v>4632</v>
      </c>
      <c r="H5413" s="93"/>
      <c r="I5413" s="85">
        <f t="shared" si="205"/>
        <v>2.4548400000000004</v>
      </c>
      <c r="J5413" s="122">
        <v>284.9968107016482</v>
      </c>
      <c r="K5413" s="131" t="s">
        <v>3177</v>
      </c>
      <c r="L5413" s="69">
        <v>61</v>
      </c>
      <c r="M5413" s="50"/>
    </row>
    <row r="5414" spans="1:13" ht="14" x14ac:dyDescent="0.15">
      <c r="A5414" s="73" t="s">
        <v>7029</v>
      </c>
      <c r="B5414" s="118"/>
      <c r="C5414" s="121" t="s">
        <v>3636</v>
      </c>
      <c r="D5414" s="121" t="s">
        <v>3437</v>
      </c>
      <c r="E5414" s="121" t="s">
        <v>6221</v>
      </c>
      <c r="F5414" s="121" t="s">
        <v>3848</v>
      </c>
      <c r="G5414" s="121" t="s">
        <v>4652</v>
      </c>
      <c r="H5414" s="93"/>
      <c r="I5414" s="85">
        <f t="shared" si="205"/>
        <v>2.4548400000000004</v>
      </c>
      <c r="J5414" s="122">
        <v>284.9968107016482</v>
      </c>
      <c r="K5414" s="131" t="s">
        <v>3177</v>
      </c>
      <c r="L5414" s="69">
        <v>61</v>
      </c>
      <c r="M5414" s="50"/>
    </row>
    <row r="5415" spans="1:13" ht="14" x14ac:dyDescent="0.15">
      <c r="A5415" s="70" t="s">
        <v>7029</v>
      </c>
      <c r="B5415" s="118"/>
      <c r="C5415" s="121" t="s">
        <v>3636</v>
      </c>
      <c r="D5415" s="121" t="s">
        <v>3437</v>
      </c>
      <c r="E5415" s="121" t="s">
        <v>6221</v>
      </c>
      <c r="F5415" s="121" t="s">
        <v>3848</v>
      </c>
      <c r="G5415" s="121" t="s">
        <v>7405</v>
      </c>
      <c r="H5415" s="93"/>
      <c r="I5415" s="85">
        <f t="shared" si="205"/>
        <v>2.4548400000000004</v>
      </c>
      <c r="J5415" s="122">
        <v>284.9968107016482</v>
      </c>
      <c r="K5415" s="134" t="s">
        <v>3177</v>
      </c>
      <c r="L5415" s="69">
        <v>61</v>
      </c>
      <c r="M5415" s="50"/>
    </row>
    <row r="5416" spans="1:13" ht="14" x14ac:dyDescent="0.15">
      <c r="A5416" s="70" t="s">
        <v>7029</v>
      </c>
      <c r="B5416" s="118"/>
      <c r="C5416" s="121" t="s">
        <v>3636</v>
      </c>
      <c r="D5416" s="121" t="s">
        <v>3437</v>
      </c>
      <c r="E5416" s="121" t="s">
        <v>6221</v>
      </c>
      <c r="F5416" s="121" t="s">
        <v>3848</v>
      </c>
      <c r="G5416" s="121" t="s">
        <v>3548</v>
      </c>
      <c r="H5416" s="93"/>
      <c r="I5416" s="85">
        <f t="shared" si="205"/>
        <v>2.4996900000000002</v>
      </c>
      <c r="J5416" s="122">
        <v>316.00212274325219</v>
      </c>
      <c r="K5416" s="131" t="s">
        <v>3177</v>
      </c>
      <c r="L5416" s="60">
        <v>60</v>
      </c>
    </row>
    <row r="5417" spans="1:13" ht="14" x14ac:dyDescent="0.15">
      <c r="A5417" s="70" t="s">
        <v>7029</v>
      </c>
      <c r="B5417" s="118"/>
      <c r="C5417" s="121" t="s">
        <v>3636</v>
      </c>
      <c r="D5417" s="121" t="s">
        <v>3437</v>
      </c>
      <c r="E5417" s="121" t="s">
        <v>6221</v>
      </c>
      <c r="F5417" s="121" t="s">
        <v>3848</v>
      </c>
      <c r="G5417" s="121" t="s">
        <v>4561</v>
      </c>
      <c r="H5417" s="93"/>
      <c r="I5417" s="85">
        <f t="shared" si="205"/>
        <v>2.5185100000000005</v>
      </c>
      <c r="J5417" s="122">
        <v>329.99700628522925</v>
      </c>
      <c r="K5417" s="131" t="s">
        <v>3177</v>
      </c>
      <c r="L5417" s="60">
        <v>60</v>
      </c>
    </row>
    <row r="5418" spans="1:13" ht="14" x14ac:dyDescent="0.15">
      <c r="A5418" s="70" t="s">
        <v>7029</v>
      </c>
      <c r="B5418" s="118"/>
      <c r="C5418" s="121" t="s">
        <v>3636</v>
      </c>
      <c r="D5418" s="121" t="s">
        <v>3437</v>
      </c>
      <c r="E5418" s="121" t="s">
        <v>6221</v>
      </c>
      <c r="F5418" s="121" t="s">
        <v>3848</v>
      </c>
      <c r="G5418" s="121" t="s">
        <v>4902</v>
      </c>
      <c r="H5418" s="93"/>
      <c r="I5418" s="85">
        <f t="shared" si="205"/>
        <v>2.5569100000000002</v>
      </c>
      <c r="J5418" s="122">
        <v>360.50392709295545</v>
      </c>
      <c r="K5418" s="131" t="s">
        <v>3177</v>
      </c>
      <c r="L5418" s="60">
        <v>60</v>
      </c>
      <c r="M5418" s="50"/>
    </row>
    <row r="5419" spans="1:13" ht="14" x14ac:dyDescent="0.15">
      <c r="A5419" s="70" t="s">
        <v>7029</v>
      </c>
      <c r="B5419" s="118"/>
      <c r="C5419" s="121" t="s">
        <v>3636</v>
      </c>
      <c r="D5419" s="121" t="s">
        <v>3437</v>
      </c>
      <c r="E5419" s="121" t="s">
        <v>6221</v>
      </c>
      <c r="F5419" s="121" t="s">
        <v>3848</v>
      </c>
      <c r="G5419" s="121" t="s">
        <v>3558</v>
      </c>
      <c r="H5419" s="93"/>
      <c r="I5419" s="85">
        <f t="shared" si="205"/>
        <v>2.6020600000000003</v>
      </c>
      <c r="J5419" s="122">
        <v>400.0000079872421</v>
      </c>
      <c r="K5419" s="131" t="s">
        <v>3177</v>
      </c>
      <c r="L5419" s="60">
        <v>60</v>
      </c>
    </row>
    <row r="5420" spans="1:13" ht="14" x14ac:dyDescent="0.15">
      <c r="A5420" s="70" t="s">
        <v>7029</v>
      </c>
      <c r="B5420" s="118"/>
      <c r="C5420" s="121" t="s">
        <v>3636</v>
      </c>
      <c r="D5420" s="121" t="s">
        <v>3437</v>
      </c>
      <c r="E5420" s="121" t="s">
        <v>6221</v>
      </c>
      <c r="F5420" s="121" t="s">
        <v>6399</v>
      </c>
      <c r="G5420" s="121" t="s">
        <v>6400</v>
      </c>
      <c r="H5420" s="93"/>
      <c r="I5420" s="85">
        <f t="shared" si="205"/>
        <v>2.5301996982030821</v>
      </c>
      <c r="J5420" s="122">
        <v>339</v>
      </c>
      <c r="K5420" s="131" t="s">
        <v>3177</v>
      </c>
      <c r="L5420" s="60">
        <v>219</v>
      </c>
      <c r="M5420" s="50"/>
    </row>
    <row r="5421" spans="1:13" ht="14" x14ac:dyDescent="0.15">
      <c r="A5421" s="70" t="s">
        <v>7029</v>
      </c>
      <c r="B5421" s="118"/>
      <c r="C5421" s="121" t="s">
        <v>3636</v>
      </c>
      <c r="D5421" s="121" t="s">
        <v>3437</v>
      </c>
      <c r="E5421" s="121" t="s">
        <v>5178</v>
      </c>
      <c r="F5421" s="121" t="s">
        <v>6054</v>
      </c>
      <c r="G5421" s="121" t="s">
        <v>3996</v>
      </c>
      <c r="H5421" s="93"/>
      <c r="I5421" s="85">
        <f t="shared" si="205"/>
        <v>3.3010299999999999</v>
      </c>
      <c r="J5421" s="122">
        <v>2000.0000199681051</v>
      </c>
      <c r="K5421" s="131" t="s">
        <v>3177</v>
      </c>
      <c r="L5421" s="60">
        <v>61</v>
      </c>
    </row>
    <row r="5422" spans="1:13" ht="14" x14ac:dyDescent="0.15">
      <c r="A5422" s="70" t="s">
        <v>7029</v>
      </c>
      <c r="B5422" s="118"/>
      <c r="C5422" s="121" t="s">
        <v>3636</v>
      </c>
      <c r="D5422" s="121" t="s">
        <v>3437</v>
      </c>
      <c r="E5422" s="121" t="s">
        <v>5178</v>
      </c>
      <c r="F5422" s="121" t="s">
        <v>6054</v>
      </c>
      <c r="G5422" s="121" t="s">
        <v>6052</v>
      </c>
      <c r="H5422" s="93"/>
      <c r="I5422" s="85">
        <f t="shared" si="205"/>
        <v>3.4771200000000007</v>
      </c>
      <c r="J5422" s="122">
        <v>2999.9913327161544</v>
      </c>
      <c r="K5422" s="131" t="s">
        <v>3177</v>
      </c>
      <c r="L5422" s="60">
        <v>61</v>
      </c>
    </row>
    <row r="5423" spans="1:13" ht="14" x14ac:dyDescent="0.15">
      <c r="A5423" s="70" t="s">
        <v>7029</v>
      </c>
      <c r="B5423" s="118"/>
      <c r="C5423" s="121" t="s">
        <v>3636</v>
      </c>
      <c r="D5423" s="121" t="s">
        <v>3437</v>
      </c>
      <c r="E5423" s="121" t="s">
        <v>5178</v>
      </c>
      <c r="F5423" s="121" t="s">
        <v>6054</v>
      </c>
      <c r="G5423" s="121" t="s">
        <v>3829</v>
      </c>
      <c r="H5423" s="93"/>
      <c r="I5423" s="85">
        <f t="shared" si="205"/>
        <v>3.6074600000000006</v>
      </c>
      <c r="J5423" s="122">
        <v>4050.0464111263736</v>
      </c>
      <c r="K5423" s="131" t="s">
        <v>3177</v>
      </c>
      <c r="L5423" s="63">
        <v>61</v>
      </c>
    </row>
    <row r="5424" spans="1:13" ht="14" x14ac:dyDescent="0.15">
      <c r="A5424" s="70" t="s">
        <v>7029</v>
      </c>
      <c r="B5424" s="118"/>
      <c r="C5424" s="121" t="s">
        <v>3636</v>
      </c>
      <c r="D5424" s="121" t="s">
        <v>3437</v>
      </c>
      <c r="E5424" s="121" t="s">
        <v>5178</v>
      </c>
      <c r="F5424" s="121" t="s">
        <v>6054</v>
      </c>
      <c r="G5424" s="121" t="s">
        <v>5670</v>
      </c>
      <c r="H5424" s="93"/>
      <c r="I5424" s="85">
        <f t="shared" si="205"/>
        <v>3.6434500000000001</v>
      </c>
      <c r="J5424" s="122">
        <v>4399.9728835998931</v>
      </c>
      <c r="K5424" s="131" t="s">
        <v>3177</v>
      </c>
      <c r="L5424" s="60">
        <v>60</v>
      </c>
    </row>
    <row r="5425" spans="1:14" ht="14" x14ac:dyDescent="0.15">
      <c r="A5425" s="73" t="s">
        <v>7029</v>
      </c>
      <c r="B5425" s="118"/>
      <c r="C5425" s="121" t="s">
        <v>3636</v>
      </c>
      <c r="D5425" s="121" t="s">
        <v>3437</v>
      </c>
      <c r="E5425" s="121" t="s">
        <v>5178</v>
      </c>
      <c r="F5425" s="121" t="s">
        <v>5671</v>
      </c>
      <c r="G5425" s="121" t="s">
        <v>4265</v>
      </c>
      <c r="H5425" s="93"/>
      <c r="I5425" s="85">
        <f t="shared" si="205"/>
        <v>2.9200200000000001</v>
      </c>
      <c r="J5425" s="122">
        <v>831.80207612187496</v>
      </c>
      <c r="K5425" s="131" t="s">
        <v>3177</v>
      </c>
      <c r="L5425" s="69">
        <v>61</v>
      </c>
    </row>
    <row r="5426" spans="1:14" ht="14" x14ac:dyDescent="0.15">
      <c r="A5426" s="70" t="s">
        <v>7029</v>
      </c>
      <c r="B5426" s="118"/>
      <c r="C5426" s="121" t="s">
        <v>3636</v>
      </c>
      <c r="D5426" s="121" t="s">
        <v>3437</v>
      </c>
      <c r="E5426" s="121" t="s">
        <v>5178</v>
      </c>
      <c r="F5426" s="121" t="s">
        <v>5672</v>
      </c>
      <c r="G5426" s="121" t="s">
        <v>5333</v>
      </c>
      <c r="H5426" s="93"/>
      <c r="I5426" s="85">
        <f t="shared" si="205"/>
        <v>2.8668800000000001</v>
      </c>
      <c r="J5426" s="122">
        <v>736.00370405730666</v>
      </c>
      <c r="K5426" s="131" t="s">
        <v>6630</v>
      </c>
      <c r="L5426" s="69">
        <v>61</v>
      </c>
      <c r="M5426" s="50" t="s">
        <v>6728</v>
      </c>
    </row>
    <row r="5427" spans="1:14" ht="14" x14ac:dyDescent="0.15">
      <c r="A5427" s="70" t="s">
        <v>7029</v>
      </c>
      <c r="B5427" s="118"/>
      <c r="C5427" s="121" t="s">
        <v>3636</v>
      </c>
      <c r="D5427" s="121" t="s">
        <v>3437</v>
      </c>
      <c r="E5427" s="121" t="s">
        <v>5178</v>
      </c>
      <c r="F5427" s="121" t="s">
        <v>5672</v>
      </c>
      <c r="G5427" s="121" t="s">
        <v>6341</v>
      </c>
      <c r="H5427" s="93"/>
      <c r="I5427" s="85">
        <f t="shared" si="205"/>
        <v>2.8755200000000003</v>
      </c>
      <c r="J5427" s="122">
        <v>750.79262860211543</v>
      </c>
      <c r="K5427" s="131" t="s">
        <v>3177</v>
      </c>
      <c r="L5427" s="72">
        <v>61</v>
      </c>
      <c r="M5427" s="50"/>
    </row>
    <row r="5428" spans="1:14" ht="14" x14ac:dyDescent="0.15">
      <c r="A5428" s="70" t="s">
        <v>7029</v>
      </c>
      <c r="B5428" s="118"/>
      <c r="C5428" s="121" t="s">
        <v>3636</v>
      </c>
      <c r="D5428" s="121" t="s">
        <v>3437</v>
      </c>
      <c r="E5428" s="121" t="s">
        <v>5178</v>
      </c>
      <c r="F5428" s="121" t="s">
        <v>5672</v>
      </c>
      <c r="G5428" s="121" t="s">
        <v>6051</v>
      </c>
      <c r="H5428" s="93"/>
      <c r="I5428" s="85">
        <f t="shared" si="205"/>
        <v>3</v>
      </c>
      <c r="J5428" s="122">
        <v>1000</v>
      </c>
      <c r="K5428" s="131" t="s">
        <v>3177</v>
      </c>
      <c r="L5428" s="60">
        <v>60</v>
      </c>
      <c r="M5428" s="50"/>
    </row>
    <row r="5429" spans="1:14" ht="14" x14ac:dyDescent="0.15">
      <c r="A5429" s="70" t="s">
        <v>7029</v>
      </c>
      <c r="B5429" s="118"/>
      <c r="C5429" s="121" t="s">
        <v>3636</v>
      </c>
      <c r="D5429" s="121" t="s">
        <v>3437</v>
      </c>
      <c r="E5429" s="121" t="s">
        <v>5178</v>
      </c>
      <c r="F5429" s="121" t="s">
        <v>5672</v>
      </c>
      <c r="G5429" s="121" t="s">
        <v>4566</v>
      </c>
      <c r="H5429" s="93"/>
      <c r="I5429" s="85">
        <f t="shared" si="205"/>
        <v>3.2430400000000006</v>
      </c>
      <c r="J5429" s="122">
        <v>1750.0078628829044</v>
      </c>
      <c r="K5429" s="131" t="s">
        <v>3177</v>
      </c>
      <c r="L5429" s="69">
        <v>61</v>
      </c>
      <c r="M5429" s="50"/>
    </row>
    <row r="5430" spans="1:14" ht="14" x14ac:dyDescent="0.15">
      <c r="A5430" s="70" t="s">
        <v>7029</v>
      </c>
      <c r="B5430" s="118"/>
      <c r="C5430" s="121" t="s">
        <v>3636</v>
      </c>
      <c r="D5430" s="121" t="s">
        <v>3437</v>
      </c>
      <c r="E5430" s="121" t="s">
        <v>5334</v>
      </c>
      <c r="F5430" s="121" t="s">
        <v>7953</v>
      </c>
      <c r="G5430" s="121" t="s">
        <v>3821</v>
      </c>
      <c r="H5430" s="93"/>
      <c r="I5430" s="85">
        <f t="shared" si="205"/>
        <v>2.6414700000000004</v>
      </c>
      <c r="J5430" s="122">
        <v>437.99585444358536</v>
      </c>
      <c r="K5430" s="131" t="s">
        <v>3177</v>
      </c>
      <c r="L5430" s="69">
        <v>61</v>
      </c>
    </row>
    <row r="5431" spans="1:14" ht="14" x14ac:dyDescent="0.15">
      <c r="A5431" s="70" t="s">
        <v>7029</v>
      </c>
      <c r="B5431" s="118"/>
      <c r="C5431" s="121" t="s">
        <v>3636</v>
      </c>
      <c r="D5431" s="121" t="s">
        <v>3437</v>
      </c>
      <c r="E5431" s="121" t="s">
        <v>3826</v>
      </c>
      <c r="F5431" s="121" t="s">
        <v>6140</v>
      </c>
      <c r="G5431" s="121" t="s">
        <v>3001</v>
      </c>
      <c r="H5431" s="93"/>
      <c r="I5431" s="85">
        <f t="shared" si="205"/>
        <v>1.8451000000000002</v>
      </c>
      <c r="J5431" s="122">
        <v>70.000315913089707</v>
      </c>
      <c r="K5431" s="131" t="s">
        <v>3177</v>
      </c>
      <c r="L5431" s="69">
        <v>61</v>
      </c>
    </row>
    <row r="5432" spans="1:14" ht="14" x14ac:dyDescent="0.15">
      <c r="A5432" s="70" t="s">
        <v>7029</v>
      </c>
      <c r="B5432" s="118"/>
      <c r="C5432" s="121" t="s">
        <v>3636</v>
      </c>
      <c r="D5432" s="121" t="s">
        <v>3437</v>
      </c>
      <c r="E5432" s="121" t="s">
        <v>3826</v>
      </c>
      <c r="F5432" s="121" t="s">
        <v>6140</v>
      </c>
      <c r="G5432" s="121" t="s">
        <v>5111</v>
      </c>
      <c r="H5432" s="93"/>
      <c r="I5432" s="85">
        <f t="shared" si="205"/>
        <v>1.8603400000000001</v>
      </c>
      <c r="J5432" s="122">
        <v>72.500332778657508</v>
      </c>
      <c r="K5432" s="131" t="s">
        <v>3177</v>
      </c>
      <c r="L5432" s="60">
        <v>60</v>
      </c>
    </row>
    <row r="5433" spans="1:14" ht="14" x14ac:dyDescent="0.15">
      <c r="A5433" s="70" t="s">
        <v>7029</v>
      </c>
      <c r="B5433" s="118"/>
      <c r="C5433" s="121" t="s">
        <v>3636</v>
      </c>
      <c r="D5433" s="121" t="s">
        <v>3437</v>
      </c>
      <c r="E5433" s="121" t="s">
        <v>3826</v>
      </c>
      <c r="F5433" s="121" t="s">
        <v>6140</v>
      </c>
      <c r="G5433" s="121" t="s">
        <v>3608</v>
      </c>
      <c r="H5433" s="93"/>
      <c r="I5433" s="85">
        <f t="shared" si="205"/>
        <v>2.4273200000000004</v>
      </c>
      <c r="J5433" s="122">
        <v>267.49766783555731</v>
      </c>
      <c r="K5433" s="131" t="s">
        <v>3177</v>
      </c>
      <c r="L5433" s="69">
        <v>61</v>
      </c>
    </row>
    <row r="5434" spans="1:14" ht="28" x14ac:dyDescent="0.15">
      <c r="A5434" s="70" t="s">
        <v>7029</v>
      </c>
      <c r="B5434" s="118"/>
      <c r="C5434" s="121" t="s">
        <v>3636</v>
      </c>
      <c r="D5434" s="121" t="s">
        <v>3437</v>
      </c>
      <c r="E5434" s="121" t="s">
        <v>3826</v>
      </c>
      <c r="F5434" s="121" t="s">
        <v>7799</v>
      </c>
      <c r="G5434" s="121" t="s">
        <v>3002</v>
      </c>
      <c r="H5434" s="93"/>
      <c r="I5434" s="85">
        <f t="shared" si="205"/>
        <v>1.8129100000000002</v>
      </c>
      <c r="J5434" s="122">
        <v>64.999497619814377</v>
      </c>
      <c r="K5434" s="131" t="s">
        <v>7875</v>
      </c>
      <c r="L5434" s="69">
        <v>61</v>
      </c>
      <c r="M5434" s="49" t="s">
        <v>6392</v>
      </c>
    </row>
    <row r="5435" spans="1:14" ht="14" x14ac:dyDescent="0.15">
      <c r="A5435" s="70" t="s">
        <v>7029</v>
      </c>
      <c r="B5435" s="118"/>
      <c r="C5435" s="121" t="s">
        <v>3636</v>
      </c>
      <c r="D5435" s="121" t="s">
        <v>3437</v>
      </c>
      <c r="E5435" s="121" t="s">
        <v>4870</v>
      </c>
      <c r="F5435" s="121" t="s">
        <v>6971</v>
      </c>
      <c r="G5435" s="121" t="s">
        <v>6972</v>
      </c>
      <c r="H5435" s="93"/>
      <c r="I5435" s="85">
        <f t="shared" si="205"/>
        <v>4.7955300000000003</v>
      </c>
      <c r="J5435" s="122">
        <v>62449.648747966079</v>
      </c>
      <c r="K5435" s="131" t="s">
        <v>3177</v>
      </c>
      <c r="L5435" s="60">
        <v>60</v>
      </c>
    </row>
    <row r="5436" spans="1:14" ht="14" x14ac:dyDescent="0.15">
      <c r="A5436" s="73" t="s">
        <v>7029</v>
      </c>
      <c r="B5436" s="118"/>
      <c r="C5436" s="121" t="s">
        <v>3636</v>
      </c>
      <c r="D5436" s="121" t="s">
        <v>3437</v>
      </c>
      <c r="E5436" s="121" t="s">
        <v>3457</v>
      </c>
      <c r="F5436" s="121" t="s">
        <v>4595</v>
      </c>
      <c r="G5436" s="121" t="s">
        <v>4596</v>
      </c>
      <c r="H5436" s="93"/>
      <c r="I5436" s="85">
        <f t="shared" si="205"/>
        <v>1.7993399999999999</v>
      </c>
      <c r="J5436" s="122">
        <v>62.999920294741955</v>
      </c>
      <c r="K5436" s="131" t="s">
        <v>6391</v>
      </c>
      <c r="L5436" s="60">
        <v>61</v>
      </c>
      <c r="M5436" s="49" t="s">
        <v>6390</v>
      </c>
    </row>
    <row r="5437" spans="1:14" ht="14" x14ac:dyDescent="0.15">
      <c r="A5437" s="70" t="s">
        <v>7029</v>
      </c>
      <c r="B5437" s="118"/>
      <c r="C5437" s="121" t="s">
        <v>3636</v>
      </c>
      <c r="D5437" s="121" t="s">
        <v>3437</v>
      </c>
      <c r="E5437" s="121" t="s">
        <v>3457</v>
      </c>
      <c r="F5437" s="121" t="s">
        <v>6961</v>
      </c>
      <c r="G5437" s="121" t="s">
        <v>6946</v>
      </c>
      <c r="H5437" s="93"/>
      <c r="I5437" s="85">
        <f t="shared" si="205"/>
        <v>1.5682000000000003</v>
      </c>
      <c r="J5437" s="122">
        <v>36.99985311728598</v>
      </c>
      <c r="K5437" s="131" t="s">
        <v>3177</v>
      </c>
      <c r="L5437" s="60">
        <v>61</v>
      </c>
    </row>
    <row r="5438" spans="1:14" ht="16" x14ac:dyDescent="0.2">
      <c r="A5438" s="70" t="s">
        <v>7029</v>
      </c>
      <c r="B5438" s="118"/>
      <c r="C5438" s="121" t="s">
        <v>3636</v>
      </c>
      <c r="D5438" s="121" t="s">
        <v>3437</v>
      </c>
      <c r="E5438" s="121" t="s">
        <v>3457</v>
      </c>
      <c r="F5438" s="121" t="s">
        <v>6961</v>
      </c>
      <c r="G5438" s="121" t="s">
        <v>4817</v>
      </c>
      <c r="H5438" s="93"/>
      <c r="I5438" s="85">
        <f t="shared" si="205"/>
        <v>1.6946100000000002</v>
      </c>
      <c r="J5438" s="85">
        <v>49.500547218792484</v>
      </c>
      <c r="K5438" s="131" t="s">
        <v>3177</v>
      </c>
      <c r="L5438" s="60">
        <v>61</v>
      </c>
      <c r="N5438" s="48"/>
    </row>
    <row r="5439" spans="1:14" ht="14" x14ac:dyDescent="0.15">
      <c r="A5439" s="70" t="s">
        <v>7029</v>
      </c>
      <c r="B5439" s="118"/>
      <c r="C5439" s="121" t="s">
        <v>3636</v>
      </c>
      <c r="D5439" s="121" t="s">
        <v>3437</v>
      </c>
      <c r="E5439" s="121" t="s">
        <v>3457</v>
      </c>
      <c r="F5439" s="121" t="s">
        <v>6947</v>
      </c>
      <c r="G5439" s="121" t="s">
        <v>4123</v>
      </c>
      <c r="H5439" s="93"/>
      <c r="I5439" s="85">
        <f t="shared" si="205"/>
        <v>1.1139400000000002</v>
      </c>
      <c r="J5439" s="122">
        <v>12.999899653754545</v>
      </c>
      <c r="K5439" s="131" t="s">
        <v>3177</v>
      </c>
      <c r="L5439" s="60">
        <v>60</v>
      </c>
    </row>
    <row r="5440" spans="1:14" ht="14" x14ac:dyDescent="0.15">
      <c r="A5440" s="70" t="s">
        <v>7029</v>
      </c>
      <c r="B5440" s="118"/>
      <c r="C5440" s="121" t="s">
        <v>3636</v>
      </c>
      <c r="D5440" s="121" t="s">
        <v>3437</v>
      </c>
      <c r="E5440" s="121" t="s">
        <v>3457</v>
      </c>
      <c r="F5440" s="121" t="s">
        <v>6947</v>
      </c>
      <c r="G5440" s="121" t="s">
        <v>6426</v>
      </c>
      <c r="H5440" s="93"/>
      <c r="I5440" s="85">
        <f t="shared" si="205"/>
        <v>1.2988500000000003</v>
      </c>
      <c r="J5440" s="122">
        <v>19.899859034966191</v>
      </c>
      <c r="K5440" s="131" t="s">
        <v>3177</v>
      </c>
      <c r="L5440" s="60">
        <v>61</v>
      </c>
      <c r="M5440" s="50"/>
    </row>
    <row r="5441" spans="1:15" ht="14" x14ac:dyDescent="0.15">
      <c r="A5441" s="70" t="s">
        <v>7029</v>
      </c>
      <c r="B5441" s="118"/>
      <c r="C5441" s="121" t="s">
        <v>3636</v>
      </c>
      <c r="D5441" s="121" t="s">
        <v>3437</v>
      </c>
      <c r="E5441" s="121" t="s">
        <v>3457</v>
      </c>
      <c r="F5441" s="121" t="s">
        <v>6947</v>
      </c>
      <c r="G5441" s="121" t="s">
        <v>4312</v>
      </c>
      <c r="H5441" s="93"/>
      <c r="I5441" s="85">
        <f t="shared" ref="I5441:I5504" si="206">LOG(J5441)</f>
        <v>1.3159700000000003</v>
      </c>
      <c r="J5441" s="122">
        <v>20.699983534316814</v>
      </c>
      <c r="K5441" s="131" t="s">
        <v>3177</v>
      </c>
      <c r="L5441" s="60">
        <v>60</v>
      </c>
    </row>
    <row r="5442" spans="1:15" ht="14" x14ac:dyDescent="0.15">
      <c r="A5442" s="70" t="s">
        <v>7029</v>
      </c>
      <c r="B5442" s="118"/>
      <c r="C5442" s="121" t="s">
        <v>3636</v>
      </c>
      <c r="D5442" s="121" t="s">
        <v>3437</v>
      </c>
      <c r="E5442" s="121" t="s">
        <v>3457</v>
      </c>
      <c r="F5442" s="121" t="s">
        <v>6947</v>
      </c>
      <c r="G5442" s="121" t="s">
        <v>3887</v>
      </c>
      <c r="H5442" s="93"/>
      <c r="I5442" s="85">
        <f t="shared" si="206"/>
        <v>1.3273600000000003</v>
      </c>
      <c r="J5442" s="122">
        <v>21.25005214046968</v>
      </c>
      <c r="K5442" s="131" t="s">
        <v>3177</v>
      </c>
      <c r="L5442" s="60">
        <v>60</v>
      </c>
    </row>
    <row r="5443" spans="1:15" ht="14" x14ac:dyDescent="0.15">
      <c r="A5443" s="70" t="s">
        <v>7029</v>
      </c>
      <c r="B5443" s="118"/>
      <c r="C5443" s="121" t="s">
        <v>3636</v>
      </c>
      <c r="D5443" s="121" t="s">
        <v>3437</v>
      </c>
      <c r="E5443" s="121" t="s">
        <v>3457</v>
      </c>
      <c r="F5443" s="121" t="s">
        <v>6947</v>
      </c>
      <c r="G5443" s="121" t="s">
        <v>4122</v>
      </c>
      <c r="H5443" s="93"/>
      <c r="I5443" s="85">
        <f t="shared" si="206"/>
        <v>1.3384600000000002</v>
      </c>
      <c r="J5443" s="122">
        <v>21.800176008978656</v>
      </c>
      <c r="K5443" s="131" t="s">
        <v>3177</v>
      </c>
      <c r="L5443" s="60">
        <v>61</v>
      </c>
    </row>
    <row r="5444" spans="1:15" ht="14" x14ac:dyDescent="0.15">
      <c r="A5444" s="70" t="s">
        <v>7029</v>
      </c>
      <c r="B5444" s="118"/>
      <c r="C5444" s="121" t="s">
        <v>3636</v>
      </c>
      <c r="D5444" s="121" t="s">
        <v>3437</v>
      </c>
      <c r="E5444" s="121" t="s">
        <v>3457</v>
      </c>
      <c r="F5444" s="121" t="s">
        <v>6947</v>
      </c>
      <c r="G5444" s="121" t="s">
        <v>1959</v>
      </c>
      <c r="H5444" s="93"/>
      <c r="I5444" s="85">
        <f t="shared" si="206"/>
        <v>1.3560300000000003</v>
      </c>
      <c r="J5444" s="122">
        <v>22.700216540086465</v>
      </c>
      <c r="K5444" s="131" t="s">
        <v>3177</v>
      </c>
      <c r="L5444" s="60">
        <v>61</v>
      </c>
      <c r="M5444" s="50"/>
      <c r="O5444" s="51"/>
    </row>
    <row r="5445" spans="1:15" ht="16" x14ac:dyDescent="0.2">
      <c r="A5445" s="70" t="s">
        <v>7029</v>
      </c>
      <c r="B5445" s="118"/>
      <c r="C5445" s="121" t="s">
        <v>3636</v>
      </c>
      <c r="D5445" s="121" t="s">
        <v>3437</v>
      </c>
      <c r="E5445" s="121" t="s">
        <v>3457</v>
      </c>
      <c r="F5445" s="121" t="s">
        <v>6947</v>
      </c>
      <c r="G5445" s="121" t="s">
        <v>6422</v>
      </c>
      <c r="H5445" s="93"/>
      <c r="I5445" s="85">
        <f t="shared" si="206"/>
        <v>1.3802100000000002</v>
      </c>
      <c r="J5445" s="122">
        <v>23.999931380578893</v>
      </c>
      <c r="K5445" s="131" t="s">
        <v>3177</v>
      </c>
      <c r="L5445" s="60">
        <v>61</v>
      </c>
      <c r="M5445" s="50"/>
      <c r="N5445" s="48"/>
    </row>
    <row r="5446" spans="1:15" ht="14" x14ac:dyDescent="0.15">
      <c r="A5446" s="70" t="s">
        <v>7029</v>
      </c>
      <c r="B5446" s="118"/>
      <c r="C5446" s="121" t="s">
        <v>3636</v>
      </c>
      <c r="D5446" s="121" t="s">
        <v>3437</v>
      </c>
      <c r="E5446" s="121" t="s">
        <v>3457</v>
      </c>
      <c r="F5446" s="121" t="s">
        <v>6947</v>
      </c>
      <c r="G5446" s="121" t="s">
        <v>4119</v>
      </c>
      <c r="H5446" s="93"/>
      <c r="I5446" s="85">
        <f t="shared" si="206"/>
        <v>1.3927000000000003</v>
      </c>
      <c r="J5446" s="122">
        <v>24.700173280466064</v>
      </c>
      <c r="K5446" s="131" t="s">
        <v>3177</v>
      </c>
      <c r="L5446" s="60">
        <v>60</v>
      </c>
    </row>
    <row r="5447" spans="1:15" ht="14" x14ac:dyDescent="0.15">
      <c r="A5447" s="70" t="s">
        <v>7029</v>
      </c>
      <c r="B5447" s="118"/>
      <c r="C5447" s="121" t="s">
        <v>3636</v>
      </c>
      <c r="D5447" s="121" t="s">
        <v>3437</v>
      </c>
      <c r="E5447" s="121" t="s">
        <v>3457</v>
      </c>
      <c r="F5447" s="121" t="s">
        <v>6947</v>
      </c>
      <c r="G5447" s="121" t="s">
        <v>7186</v>
      </c>
      <c r="H5447" s="93"/>
      <c r="I5447" s="85">
        <f t="shared" si="206"/>
        <v>1.3962000000000001</v>
      </c>
      <c r="J5447" s="122">
        <v>24.900037433882002</v>
      </c>
      <c r="K5447" s="131" t="s">
        <v>3177</v>
      </c>
      <c r="L5447" s="60">
        <v>61</v>
      </c>
    </row>
    <row r="5448" spans="1:15" ht="14" x14ac:dyDescent="0.15">
      <c r="A5448" s="70" t="s">
        <v>7029</v>
      </c>
      <c r="B5448" s="118"/>
      <c r="C5448" s="121" t="s">
        <v>3636</v>
      </c>
      <c r="D5448" s="121" t="s">
        <v>3437</v>
      </c>
      <c r="E5448" s="121" t="s">
        <v>3457</v>
      </c>
      <c r="F5448" s="121" t="s">
        <v>6947</v>
      </c>
      <c r="G5448" s="121" t="s">
        <v>6561</v>
      </c>
      <c r="H5448" s="93"/>
      <c r="I5448" s="85">
        <f t="shared" si="206"/>
        <v>1.3979400000000002</v>
      </c>
      <c r="J5448" s="122">
        <v>24.999999500797397</v>
      </c>
      <c r="K5448" s="131" t="s">
        <v>3177</v>
      </c>
      <c r="L5448" s="60">
        <v>60</v>
      </c>
    </row>
    <row r="5449" spans="1:15" ht="14" x14ac:dyDescent="0.15">
      <c r="A5449" s="70" t="s">
        <v>7029</v>
      </c>
      <c r="B5449" s="118"/>
      <c r="C5449" s="121" t="s">
        <v>3636</v>
      </c>
      <c r="D5449" s="121" t="s">
        <v>3437</v>
      </c>
      <c r="E5449" s="121" t="s">
        <v>3457</v>
      </c>
      <c r="F5449" s="121" t="s">
        <v>6947</v>
      </c>
      <c r="G5449" s="121" t="s">
        <v>3436</v>
      </c>
      <c r="H5449" s="93"/>
      <c r="I5449" s="85">
        <f t="shared" si="206"/>
        <v>1.4216000000000002</v>
      </c>
      <c r="J5449" s="122">
        <v>26.39976129354811</v>
      </c>
      <c r="K5449" s="131" t="s">
        <v>3177</v>
      </c>
      <c r="L5449" s="60">
        <v>61</v>
      </c>
      <c r="M5449" s="50"/>
    </row>
    <row r="5450" spans="1:15" ht="14" x14ac:dyDescent="0.15">
      <c r="A5450" s="70" t="s">
        <v>7029</v>
      </c>
      <c r="B5450" s="118"/>
      <c r="C5450" s="121" t="s">
        <v>3636</v>
      </c>
      <c r="D5450" s="121" t="s">
        <v>3437</v>
      </c>
      <c r="E5450" s="121" t="s">
        <v>3457</v>
      </c>
      <c r="F5450" s="121" t="s">
        <v>6947</v>
      </c>
      <c r="G5450" s="121" t="s">
        <v>6959</v>
      </c>
      <c r="H5450" s="93"/>
      <c r="I5450" s="85">
        <f t="shared" si="206"/>
        <v>1.4216000000000002</v>
      </c>
      <c r="J5450" s="122">
        <v>26.39976129354811</v>
      </c>
      <c r="K5450" s="131" t="s">
        <v>3177</v>
      </c>
      <c r="L5450" s="60">
        <v>61</v>
      </c>
      <c r="M5450" s="50" t="s">
        <v>6728</v>
      </c>
    </row>
    <row r="5451" spans="1:15" ht="16" x14ac:dyDescent="0.2">
      <c r="A5451" s="70" t="s">
        <v>7029</v>
      </c>
      <c r="B5451" s="118"/>
      <c r="C5451" s="121" t="s">
        <v>3636</v>
      </c>
      <c r="D5451" s="121" t="s">
        <v>3437</v>
      </c>
      <c r="E5451" s="121" t="s">
        <v>3457</v>
      </c>
      <c r="F5451" s="121" t="s">
        <v>6947</v>
      </c>
      <c r="G5451" s="121" t="s">
        <v>3441</v>
      </c>
      <c r="H5451" s="93"/>
      <c r="I5451" s="85">
        <f t="shared" si="206"/>
        <v>1.4297500000000001</v>
      </c>
      <c r="J5451" s="122">
        <v>26.899858778072637</v>
      </c>
      <c r="K5451" s="131" t="s">
        <v>3177</v>
      </c>
      <c r="L5451" s="60">
        <v>61</v>
      </c>
      <c r="M5451" s="50"/>
      <c r="N5451" s="48"/>
    </row>
    <row r="5452" spans="1:15" ht="14" x14ac:dyDescent="0.15">
      <c r="A5452" s="73" t="s">
        <v>7029</v>
      </c>
      <c r="B5452" s="118"/>
      <c r="C5452" s="121" t="s">
        <v>3636</v>
      </c>
      <c r="D5452" s="121" t="s">
        <v>3437</v>
      </c>
      <c r="E5452" s="121" t="s">
        <v>3457</v>
      </c>
      <c r="F5452" s="121" t="s">
        <v>6947</v>
      </c>
      <c r="G5452" s="121" t="s">
        <v>2337</v>
      </c>
      <c r="H5452" s="93"/>
      <c r="I5452" s="85">
        <f t="shared" si="206"/>
        <v>1.43136</v>
      </c>
      <c r="J5452" s="122">
        <v>26.999765984012107</v>
      </c>
      <c r="K5452" s="131" t="s">
        <v>3177</v>
      </c>
      <c r="L5452" s="60">
        <v>60</v>
      </c>
      <c r="M5452" s="50"/>
    </row>
    <row r="5453" spans="1:15" ht="16" x14ac:dyDescent="0.2">
      <c r="A5453" s="70" t="s">
        <v>7029</v>
      </c>
      <c r="B5453" s="118"/>
      <c r="C5453" s="121" t="s">
        <v>3636</v>
      </c>
      <c r="D5453" s="121" t="s">
        <v>3437</v>
      </c>
      <c r="E5453" s="121" t="s">
        <v>3457</v>
      </c>
      <c r="F5453" s="121" t="s">
        <v>6947</v>
      </c>
      <c r="G5453" s="121" t="s">
        <v>3670</v>
      </c>
      <c r="H5453" s="93"/>
      <c r="I5453" s="85">
        <f t="shared" si="206"/>
        <v>1.4329700000000001</v>
      </c>
      <c r="J5453" s="122">
        <v>27.100044249512944</v>
      </c>
      <c r="K5453" s="131" t="s">
        <v>6519</v>
      </c>
      <c r="L5453" s="60">
        <v>61</v>
      </c>
      <c r="M5453" s="49" t="s">
        <v>6392</v>
      </c>
      <c r="N5453" s="48"/>
    </row>
    <row r="5454" spans="1:15" ht="14" x14ac:dyDescent="0.15">
      <c r="A5454" s="70" t="s">
        <v>7029</v>
      </c>
      <c r="B5454" s="118"/>
      <c r="C5454" s="121" t="s">
        <v>3636</v>
      </c>
      <c r="D5454" s="121" t="s">
        <v>3437</v>
      </c>
      <c r="E5454" s="121" t="s">
        <v>3457</v>
      </c>
      <c r="F5454" s="121" t="s">
        <v>6947</v>
      </c>
      <c r="G5454" s="121" t="s">
        <v>7229</v>
      </c>
      <c r="H5454" s="93"/>
      <c r="I5454" s="85">
        <f t="shared" si="206"/>
        <v>1.4393300000000002</v>
      </c>
      <c r="J5454" s="122">
        <v>27.499829424260373</v>
      </c>
      <c r="K5454" s="131" t="s">
        <v>3177</v>
      </c>
      <c r="L5454" s="60">
        <v>60</v>
      </c>
    </row>
    <row r="5455" spans="1:15" ht="14" x14ac:dyDescent="0.15">
      <c r="A5455" s="70" t="s">
        <v>7029</v>
      </c>
      <c r="B5455" s="118"/>
      <c r="C5455" s="121" t="s">
        <v>3636</v>
      </c>
      <c r="D5455" s="121" t="s">
        <v>3437</v>
      </c>
      <c r="E5455" s="121" t="s">
        <v>3457</v>
      </c>
      <c r="F5455" s="121" t="s">
        <v>6947</v>
      </c>
      <c r="G5455" s="121" t="s">
        <v>3671</v>
      </c>
      <c r="H5455" s="93"/>
      <c r="I5455" s="85">
        <f t="shared" si="206"/>
        <v>1.4517900000000001</v>
      </c>
      <c r="J5455" s="122">
        <v>28.300232273447531</v>
      </c>
      <c r="K5455" s="131" t="s">
        <v>3177</v>
      </c>
      <c r="L5455" s="60">
        <v>61</v>
      </c>
      <c r="M5455" s="50"/>
    </row>
    <row r="5456" spans="1:15" ht="14" x14ac:dyDescent="0.15">
      <c r="A5456" s="73" t="s">
        <v>7029</v>
      </c>
      <c r="B5456" s="118"/>
      <c r="C5456" s="121" t="s">
        <v>3636</v>
      </c>
      <c r="D5456" s="121" t="s">
        <v>3437</v>
      </c>
      <c r="E5456" s="121" t="s">
        <v>3457</v>
      </c>
      <c r="F5456" s="121" t="s">
        <v>6947</v>
      </c>
      <c r="G5456" s="121" t="s">
        <v>3674</v>
      </c>
      <c r="H5456" s="93"/>
      <c r="I5456" s="85">
        <f t="shared" si="206"/>
        <v>1.4563700000000002</v>
      </c>
      <c r="J5456" s="122">
        <v>28.600261235249917</v>
      </c>
      <c r="K5456" s="131" t="s">
        <v>3177</v>
      </c>
      <c r="L5456" s="60">
        <v>61</v>
      </c>
    </row>
    <row r="5457" spans="1:14" ht="14" x14ac:dyDescent="0.15">
      <c r="A5457" s="70" t="s">
        <v>7029</v>
      </c>
      <c r="B5457" s="118"/>
      <c r="C5457" s="121" t="s">
        <v>3636</v>
      </c>
      <c r="D5457" s="121" t="s">
        <v>3437</v>
      </c>
      <c r="E5457" s="121" t="s">
        <v>3457</v>
      </c>
      <c r="F5457" s="121" t="s">
        <v>6947</v>
      </c>
      <c r="G5457" s="121" t="s">
        <v>3971</v>
      </c>
      <c r="H5457" s="93"/>
      <c r="I5457" s="85">
        <f t="shared" si="206"/>
        <v>1.4578800000000003</v>
      </c>
      <c r="J5457" s="122">
        <v>28.699874656140086</v>
      </c>
      <c r="K5457" s="131" t="s">
        <v>3177</v>
      </c>
      <c r="L5457" s="60">
        <v>61</v>
      </c>
      <c r="M5457" s="50"/>
    </row>
    <row r="5458" spans="1:14" ht="14" x14ac:dyDescent="0.15">
      <c r="A5458" s="70" t="s">
        <v>7029</v>
      </c>
      <c r="B5458" s="118"/>
      <c r="C5458" s="121" t="s">
        <v>3636</v>
      </c>
      <c r="D5458" s="121" t="s">
        <v>3437</v>
      </c>
      <c r="E5458" s="121" t="s">
        <v>3457</v>
      </c>
      <c r="F5458" s="121" t="s">
        <v>6947</v>
      </c>
      <c r="G5458" s="121" t="s">
        <v>3221</v>
      </c>
      <c r="H5458" s="93"/>
      <c r="I5458" s="85">
        <f t="shared" si="206"/>
        <v>1.4698200000000001</v>
      </c>
      <c r="J5458" s="122">
        <v>29.499863062460488</v>
      </c>
      <c r="K5458" s="131" t="s">
        <v>3177</v>
      </c>
      <c r="L5458" s="60">
        <v>61</v>
      </c>
      <c r="M5458" s="50"/>
    </row>
    <row r="5459" spans="1:14" ht="14" x14ac:dyDescent="0.15">
      <c r="A5459" s="70" t="s">
        <v>7029</v>
      </c>
      <c r="B5459" s="118"/>
      <c r="C5459" s="121" t="s">
        <v>3636</v>
      </c>
      <c r="D5459" s="121" t="s">
        <v>3437</v>
      </c>
      <c r="E5459" s="121" t="s">
        <v>3457</v>
      </c>
      <c r="F5459" s="121" t="s">
        <v>6947</v>
      </c>
      <c r="G5459" s="121" t="s">
        <v>6424</v>
      </c>
      <c r="H5459" s="93"/>
      <c r="I5459" s="85">
        <f t="shared" si="206"/>
        <v>1.4828700000000001</v>
      </c>
      <c r="J5459" s="122">
        <v>30.399749153486447</v>
      </c>
      <c r="K5459" s="131" t="s">
        <v>3177</v>
      </c>
      <c r="L5459" s="60">
        <v>61</v>
      </c>
      <c r="M5459" s="50"/>
    </row>
    <row r="5460" spans="1:14" ht="16" x14ac:dyDescent="0.2">
      <c r="A5460" s="70" t="s">
        <v>7029</v>
      </c>
      <c r="B5460" s="118"/>
      <c r="C5460" s="121" t="s">
        <v>3636</v>
      </c>
      <c r="D5460" s="121" t="s">
        <v>3437</v>
      </c>
      <c r="E5460" s="121" t="s">
        <v>3457</v>
      </c>
      <c r="F5460" s="121" t="s">
        <v>6947</v>
      </c>
      <c r="G5460" s="121" t="s">
        <v>3675</v>
      </c>
      <c r="H5460" s="93"/>
      <c r="I5460" s="85">
        <f t="shared" si="206"/>
        <v>1.4828700000000001</v>
      </c>
      <c r="J5460" s="122">
        <v>30.399749153486447</v>
      </c>
      <c r="K5460" s="150" t="s">
        <v>3177</v>
      </c>
      <c r="L5460" s="60">
        <v>60</v>
      </c>
      <c r="N5460" s="48"/>
    </row>
    <row r="5461" spans="1:14" ht="14" x14ac:dyDescent="0.15">
      <c r="A5461" s="70" t="s">
        <v>7029</v>
      </c>
      <c r="B5461" s="118"/>
      <c r="C5461" s="121" t="s">
        <v>3636</v>
      </c>
      <c r="D5461" s="121" t="s">
        <v>3437</v>
      </c>
      <c r="E5461" s="121" t="s">
        <v>3457</v>
      </c>
      <c r="F5461" s="121" t="s">
        <v>6947</v>
      </c>
      <c r="G5461" s="121" t="s">
        <v>4452</v>
      </c>
      <c r="H5461" s="93"/>
      <c r="I5461" s="85">
        <f t="shared" si="206"/>
        <v>1.5118800000000001</v>
      </c>
      <c r="J5461" s="122">
        <v>32.499748485427979</v>
      </c>
      <c r="K5461" s="150" t="s">
        <v>3177</v>
      </c>
      <c r="L5461" s="60">
        <v>61</v>
      </c>
      <c r="M5461" s="50"/>
    </row>
    <row r="5462" spans="1:14" ht="14" x14ac:dyDescent="0.15">
      <c r="A5462" s="70" t="s">
        <v>7029</v>
      </c>
      <c r="B5462" s="118"/>
      <c r="C5462" s="121" t="s">
        <v>3636</v>
      </c>
      <c r="D5462" s="121" t="s">
        <v>3437</v>
      </c>
      <c r="E5462" s="121" t="s">
        <v>3457</v>
      </c>
      <c r="F5462" s="121" t="s">
        <v>6947</v>
      </c>
      <c r="G5462" s="121" t="s">
        <v>3246</v>
      </c>
      <c r="H5462" s="93"/>
      <c r="I5462" s="85">
        <f t="shared" si="206"/>
        <v>1.5118800000000001</v>
      </c>
      <c r="J5462" s="122">
        <v>32.499748485427979</v>
      </c>
      <c r="K5462" s="150" t="s">
        <v>3177</v>
      </c>
      <c r="L5462" s="60">
        <v>60</v>
      </c>
      <c r="M5462" s="50"/>
    </row>
    <row r="5463" spans="1:14" ht="14" x14ac:dyDescent="0.15">
      <c r="A5463" s="70" t="s">
        <v>7029</v>
      </c>
      <c r="B5463" s="118"/>
      <c r="C5463" s="121" t="s">
        <v>3636</v>
      </c>
      <c r="D5463" s="121" t="s">
        <v>3437</v>
      </c>
      <c r="E5463" s="121" t="s">
        <v>3457</v>
      </c>
      <c r="F5463" s="121" t="s">
        <v>6947</v>
      </c>
      <c r="G5463" s="121" t="s">
        <v>6423</v>
      </c>
      <c r="H5463" s="93"/>
      <c r="I5463" s="85">
        <f t="shared" si="206"/>
        <v>1.5185100000000002</v>
      </c>
      <c r="J5463" s="122">
        <v>32.999700628522916</v>
      </c>
      <c r="K5463" s="150" t="s">
        <v>3177</v>
      </c>
      <c r="L5463" s="60">
        <v>61</v>
      </c>
      <c r="M5463" s="50"/>
    </row>
    <row r="5464" spans="1:14" ht="14" x14ac:dyDescent="0.15">
      <c r="A5464" s="70" t="s">
        <v>7029</v>
      </c>
      <c r="B5464" s="118"/>
      <c r="C5464" s="121" t="s">
        <v>3636</v>
      </c>
      <c r="D5464" s="121" t="s">
        <v>3437</v>
      </c>
      <c r="E5464" s="121" t="s">
        <v>3457</v>
      </c>
      <c r="F5464" s="121" t="s">
        <v>6947</v>
      </c>
      <c r="G5464" s="121" t="s">
        <v>4652</v>
      </c>
      <c r="H5464" s="93"/>
      <c r="I5464" s="85">
        <f t="shared" si="206"/>
        <v>1.5314800000000002</v>
      </c>
      <c r="J5464" s="122">
        <v>34.000084782585944</v>
      </c>
      <c r="K5464" s="150" t="s">
        <v>3177</v>
      </c>
      <c r="L5464" s="60">
        <v>61</v>
      </c>
    </row>
    <row r="5465" spans="1:14" ht="14" x14ac:dyDescent="0.15">
      <c r="A5465" s="73" t="s">
        <v>7029</v>
      </c>
      <c r="B5465" s="118"/>
      <c r="C5465" s="121" t="s">
        <v>3636</v>
      </c>
      <c r="D5465" s="121" t="s">
        <v>3437</v>
      </c>
      <c r="E5465" s="121" t="s">
        <v>3457</v>
      </c>
      <c r="F5465" s="121" t="s">
        <v>6947</v>
      </c>
      <c r="G5465" s="121" t="s">
        <v>3672</v>
      </c>
      <c r="H5465" s="93"/>
      <c r="I5465" s="85">
        <f t="shared" si="206"/>
        <v>1.53908</v>
      </c>
      <c r="J5465" s="122">
        <v>34.600310808407244</v>
      </c>
      <c r="K5465" s="150" t="s">
        <v>6816</v>
      </c>
      <c r="L5465" s="60">
        <v>61</v>
      </c>
      <c r="M5465" s="49" t="s">
        <v>6728</v>
      </c>
    </row>
    <row r="5466" spans="1:14" ht="14" x14ac:dyDescent="0.15">
      <c r="A5466" s="70" t="s">
        <v>7029</v>
      </c>
      <c r="B5466" s="118"/>
      <c r="C5466" s="121" t="s">
        <v>3636</v>
      </c>
      <c r="D5466" s="121" t="s">
        <v>3437</v>
      </c>
      <c r="E5466" s="121" t="s">
        <v>3457</v>
      </c>
      <c r="F5466" s="121" t="s">
        <v>6947</v>
      </c>
      <c r="G5466" s="121" t="s">
        <v>3270</v>
      </c>
      <c r="H5466" s="93"/>
      <c r="I5466" s="85">
        <f t="shared" si="206"/>
        <v>1.5746100000000003</v>
      </c>
      <c r="J5466" s="122">
        <v>37.55000507184922</v>
      </c>
      <c r="K5466" s="150" t="s">
        <v>3177</v>
      </c>
      <c r="L5466" s="60">
        <v>61</v>
      </c>
      <c r="M5466" s="50"/>
    </row>
    <row r="5467" spans="1:14" ht="14" x14ac:dyDescent="0.15">
      <c r="A5467" s="70" t="s">
        <v>7029</v>
      </c>
      <c r="B5467" s="118"/>
      <c r="C5467" s="121" t="s">
        <v>3636</v>
      </c>
      <c r="D5467" s="121" t="s">
        <v>3437</v>
      </c>
      <c r="E5467" s="121" t="s">
        <v>3457</v>
      </c>
      <c r="F5467" s="121" t="s">
        <v>6947</v>
      </c>
      <c r="G5467" s="121" t="s">
        <v>6269</v>
      </c>
      <c r="H5467" s="93"/>
      <c r="I5467" s="85">
        <f t="shared" si="206"/>
        <v>1.5910600000000001</v>
      </c>
      <c r="J5467" s="122">
        <v>38.999586287443293</v>
      </c>
      <c r="K5467" s="150" t="s">
        <v>3177</v>
      </c>
      <c r="L5467" s="60">
        <v>61</v>
      </c>
      <c r="M5467" s="50"/>
    </row>
    <row r="5468" spans="1:14" ht="14" x14ac:dyDescent="0.15">
      <c r="A5468" s="70" t="s">
        <v>7029</v>
      </c>
      <c r="B5468" s="118"/>
      <c r="C5468" s="121" t="s">
        <v>3636</v>
      </c>
      <c r="D5468" s="121" t="s">
        <v>3437</v>
      </c>
      <c r="E5468" s="121" t="s">
        <v>3457</v>
      </c>
      <c r="F5468" s="121" t="s">
        <v>6947</v>
      </c>
      <c r="G5468" s="121" t="s">
        <v>3716</v>
      </c>
      <c r="H5468" s="93"/>
      <c r="I5468" s="85">
        <f t="shared" si="206"/>
        <v>1.5910600000000001</v>
      </c>
      <c r="J5468" s="122">
        <v>38.999586287443293</v>
      </c>
      <c r="K5468" s="150" t="s">
        <v>3177</v>
      </c>
      <c r="L5468" s="60">
        <v>61</v>
      </c>
      <c r="M5468" s="50"/>
    </row>
    <row r="5469" spans="1:14" ht="14" x14ac:dyDescent="0.15">
      <c r="A5469" s="73" t="s">
        <v>7029</v>
      </c>
      <c r="B5469" s="118"/>
      <c r="C5469" s="121" t="s">
        <v>3636</v>
      </c>
      <c r="D5469" s="121" t="s">
        <v>3437</v>
      </c>
      <c r="E5469" s="121" t="s">
        <v>3457</v>
      </c>
      <c r="F5469" s="121" t="s">
        <v>6947</v>
      </c>
      <c r="G5469" s="121" t="s">
        <v>6421</v>
      </c>
      <c r="H5469" s="93"/>
      <c r="I5469" s="85">
        <f t="shared" si="206"/>
        <v>1.5910600000000001</v>
      </c>
      <c r="J5469" s="122">
        <v>38.999586287443293</v>
      </c>
      <c r="K5469" s="150" t="s">
        <v>3177</v>
      </c>
      <c r="L5469" s="60">
        <v>61</v>
      </c>
      <c r="M5469" s="50"/>
    </row>
    <row r="5470" spans="1:14" ht="14" x14ac:dyDescent="0.15">
      <c r="A5470" s="70" t="s">
        <v>7029</v>
      </c>
      <c r="B5470" s="118"/>
      <c r="C5470" s="121" t="s">
        <v>3636</v>
      </c>
      <c r="D5470" s="121" t="s">
        <v>3437</v>
      </c>
      <c r="E5470" s="121" t="s">
        <v>3457</v>
      </c>
      <c r="F5470" s="121" t="s">
        <v>6947</v>
      </c>
      <c r="G5470" s="121" t="s">
        <v>4311</v>
      </c>
      <c r="H5470" s="93"/>
      <c r="I5470" s="85">
        <f t="shared" si="206"/>
        <v>1.5910600000000001</v>
      </c>
      <c r="J5470" s="122">
        <v>38.999586287443293</v>
      </c>
      <c r="K5470" s="150" t="s">
        <v>3177</v>
      </c>
      <c r="L5470" s="60">
        <v>61</v>
      </c>
      <c r="M5470" s="50"/>
    </row>
    <row r="5471" spans="1:14" ht="14" x14ac:dyDescent="0.15">
      <c r="A5471" s="73" t="s">
        <v>7029</v>
      </c>
      <c r="B5471" s="118"/>
      <c r="C5471" s="121" t="s">
        <v>3636</v>
      </c>
      <c r="D5471" s="121" t="s">
        <v>3437</v>
      </c>
      <c r="E5471" s="121" t="s">
        <v>3457</v>
      </c>
      <c r="F5471" s="121" t="s">
        <v>6947</v>
      </c>
      <c r="G5471" s="121" t="s">
        <v>3676</v>
      </c>
      <c r="H5471" s="93"/>
      <c r="I5471" s="85">
        <f t="shared" si="206"/>
        <v>1.5910600000000001</v>
      </c>
      <c r="J5471" s="122">
        <v>38.999586287443293</v>
      </c>
      <c r="K5471" s="150" t="s">
        <v>3177</v>
      </c>
      <c r="L5471" s="60">
        <v>61</v>
      </c>
    </row>
    <row r="5472" spans="1:14" ht="14" x14ac:dyDescent="0.15">
      <c r="A5472" s="70" t="s">
        <v>7029</v>
      </c>
      <c r="B5472" s="118"/>
      <c r="C5472" s="121" t="s">
        <v>3636</v>
      </c>
      <c r="D5472" s="121" t="s">
        <v>3437</v>
      </c>
      <c r="E5472" s="121" t="s">
        <v>3457</v>
      </c>
      <c r="F5472" s="121" t="s">
        <v>6947</v>
      </c>
      <c r="G5472" s="121" t="s">
        <v>7753</v>
      </c>
      <c r="H5472" s="93"/>
      <c r="I5472" s="85">
        <f t="shared" si="206"/>
        <v>1.5910600000000001</v>
      </c>
      <c r="J5472" s="122">
        <v>38.999586287443293</v>
      </c>
      <c r="K5472" s="150" t="s">
        <v>3177</v>
      </c>
      <c r="L5472" s="60">
        <v>61</v>
      </c>
    </row>
    <row r="5473" spans="1:14" ht="14" x14ac:dyDescent="0.15">
      <c r="A5473" s="70" t="s">
        <v>7029</v>
      </c>
      <c r="B5473" s="118"/>
      <c r="C5473" s="121" t="s">
        <v>3636</v>
      </c>
      <c r="D5473" s="121" t="s">
        <v>3437</v>
      </c>
      <c r="E5473" s="121" t="s">
        <v>3457</v>
      </c>
      <c r="F5473" s="121" t="s">
        <v>6947</v>
      </c>
      <c r="G5473" s="121" t="s">
        <v>3886</v>
      </c>
      <c r="H5473" s="93"/>
      <c r="I5473" s="85">
        <f t="shared" si="206"/>
        <v>1.5910600000000001</v>
      </c>
      <c r="J5473" s="122">
        <v>38.999586287443293</v>
      </c>
      <c r="K5473" s="150" t="s">
        <v>3177</v>
      </c>
      <c r="L5473" s="60">
        <v>61</v>
      </c>
    </row>
    <row r="5474" spans="1:14" ht="14" x14ac:dyDescent="0.15">
      <c r="A5474" s="70" t="s">
        <v>7029</v>
      </c>
      <c r="B5474" s="118"/>
      <c r="C5474" s="121" t="s">
        <v>3636</v>
      </c>
      <c r="D5474" s="121" t="s">
        <v>3437</v>
      </c>
      <c r="E5474" s="121" t="s">
        <v>3457</v>
      </c>
      <c r="F5474" s="121" t="s">
        <v>6947</v>
      </c>
      <c r="G5474" s="121" t="s">
        <v>3227</v>
      </c>
      <c r="H5474" s="93"/>
      <c r="I5474" s="85">
        <f t="shared" si="206"/>
        <v>1.6004300000000002</v>
      </c>
      <c r="J5474" s="122">
        <v>39.850153627793972</v>
      </c>
      <c r="K5474" s="150" t="s">
        <v>3177</v>
      </c>
      <c r="L5474" s="60">
        <v>60</v>
      </c>
      <c r="M5474" s="50"/>
    </row>
    <row r="5475" spans="1:14" ht="14" x14ac:dyDescent="0.15">
      <c r="A5475" s="70" t="s">
        <v>7029</v>
      </c>
      <c r="B5475" s="118"/>
      <c r="C5475" s="121" t="s">
        <v>3636</v>
      </c>
      <c r="D5475" s="121" t="s">
        <v>3437</v>
      </c>
      <c r="E5475" s="121" t="s">
        <v>3457</v>
      </c>
      <c r="F5475" s="121" t="s">
        <v>6947</v>
      </c>
      <c r="G5475" s="121" t="s">
        <v>3530</v>
      </c>
      <c r="H5475" s="93"/>
      <c r="I5475" s="85">
        <f t="shared" si="206"/>
        <v>1.60206</v>
      </c>
      <c r="J5475" s="122">
        <v>40.000000798724201</v>
      </c>
      <c r="K5475" s="150" t="s">
        <v>3177</v>
      </c>
      <c r="L5475" s="60">
        <v>60</v>
      </c>
    </row>
    <row r="5476" spans="1:14" ht="14" x14ac:dyDescent="0.15">
      <c r="A5476" s="70" t="s">
        <v>7029</v>
      </c>
      <c r="B5476" s="118"/>
      <c r="C5476" s="121" t="s">
        <v>3636</v>
      </c>
      <c r="D5476" s="121" t="s">
        <v>3437</v>
      </c>
      <c r="E5476" s="121" t="s">
        <v>3457</v>
      </c>
      <c r="F5476" s="121" t="s">
        <v>6947</v>
      </c>
      <c r="G5476" s="121" t="s">
        <v>6425</v>
      </c>
      <c r="H5476" s="93"/>
      <c r="I5476" s="85">
        <f t="shared" si="206"/>
        <v>1.6273700000000002</v>
      </c>
      <c r="J5476" s="122">
        <v>42.400404521156752</v>
      </c>
      <c r="K5476" s="150" t="s">
        <v>3177</v>
      </c>
      <c r="L5476" s="60">
        <v>61</v>
      </c>
      <c r="M5476" s="50"/>
    </row>
    <row r="5477" spans="1:14" ht="16" x14ac:dyDescent="0.2">
      <c r="A5477" s="70" t="s">
        <v>7029</v>
      </c>
      <c r="B5477" s="118"/>
      <c r="C5477" s="121" t="s">
        <v>3636</v>
      </c>
      <c r="D5477" s="121" t="s">
        <v>3437</v>
      </c>
      <c r="E5477" s="121" t="s">
        <v>3457</v>
      </c>
      <c r="F5477" s="121" t="s">
        <v>6947</v>
      </c>
      <c r="G5477" s="121" t="s">
        <v>3673</v>
      </c>
      <c r="H5477" s="93"/>
      <c r="I5477" s="85">
        <f t="shared" si="206"/>
        <v>1.6283900000000002</v>
      </c>
      <c r="J5477" s="122">
        <v>42.500104705262615</v>
      </c>
      <c r="K5477" s="150" t="s">
        <v>3177</v>
      </c>
      <c r="L5477" s="60">
        <v>61</v>
      </c>
      <c r="N5477" s="48"/>
    </row>
    <row r="5478" spans="1:14" ht="14" x14ac:dyDescent="0.15">
      <c r="A5478" s="70" t="s">
        <v>7029</v>
      </c>
      <c r="B5478" s="118"/>
      <c r="C5478" s="121" t="s">
        <v>3636</v>
      </c>
      <c r="D5478" s="121" t="s">
        <v>3437</v>
      </c>
      <c r="E5478" s="121" t="s">
        <v>3457</v>
      </c>
      <c r="F5478" s="121" t="s">
        <v>6947</v>
      </c>
      <c r="G5478" s="121" t="s">
        <v>3970</v>
      </c>
      <c r="H5478" s="93"/>
      <c r="I5478" s="85">
        <f t="shared" si="206"/>
        <v>1.6794300000000002</v>
      </c>
      <c r="J5478" s="122">
        <v>47.800231506934551</v>
      </c>
      <c r="K5478" s="150" t="s">
        <v>3177</v>
      </c>
      <c r="L5478" s="60">
        <v>61</v>
      </c>
      <c r="M5478" s="50"/>
    </row>
    <row r="5479" spans="1:14" ht="14" x14ac:dyDescent="0.15">
      <c r="A5479" s="70" t="s">
        <v>7029</v>
      </c>
      <c r="B5479" s="118"/>
      <c r="C5479" s="121" t="s">
        <v>3636</v>
      </c>
      <c r="D5479" s="121" t="s">
        <v>3437</v>
      </c>
      <c r="E5479" s="121" t="s">
        <v>3457</v>
      </c>
      <c r="F5479" s="121" t="s">
        <v>6947</v>
      </c>
      <c r="G5479" s="121" t="s">
        <v>3226</v>
      </c>
      <c r="H5479" s="93"/>
      <c r="I5479" s="85">
        <f t="shared" si="206"/>
        <v>1.7032900000000002</v>
      </c>
      <c r="J5479" s="122">
        <v>50.499839751862218</v>
      </c>
      <c r="K5479" s="150" t="s">
        <v>3177</v>
      </c>
      <c r="L5479" s="60">
        <v>61</v>
      </c>
      <c r="M5479" s="50"/>
    </row>
    <row r="5480" spans="1:14" ht="14" x14ac:dyDescent="0.15">
      <c r="A5480" s="70" t="s">
        <v>7029</v>
      </c>
      <c r="B5480" s="118"/>
      <c r="C5480" s="121" t="s">
        <v>3636</v>
      </c>
      <c r="D5480" s="121" t="s">
        <v>3437</v>
      </c>
      <c r="E5480" s="121" t="s">
        <v>3457</v>
      </c>
      <c r="F5480" s="121" t="s">
        <v>6947</v>
      </c>
      <c r="G5480" s="121" t="s">
        <v>3677</v>
      </c>
      <c r="H5480" s="93"/>
      <c r="I5480" s="85">
        <f t="shared" si="206"/>
        <v>1.7092700000000003</v>
      </c>
      <c r="J5480" s="122">
        <v>51.200004600651511</v>
      </c>
      <c r="K5480" s="150" t="s">
        <v>3177</v>
      </c>
      <c r="L5480" s="60">
        <v>61</v>
      </c>
    </row>
    <row r="5481" spans="1:14" ht="14" x14ac:dyDescent="0.15">
      <c r="A5481" s="70" t="s">
        <v>7029</v>
      </c>
      <c r="B5481" s="118"/>
      <c r="C5481" s="121" t="s">
        <v>3636</v>
      </c>
      <c r="D5481" s="121" t="s">
        <v>3437</v>
      </c>
      <c r="E5481" s="121" t="s">
        <v>3457</v>
      </c>
      <c r="F5481" s="121" t="s">
        <v>6947</v>
      </c>
      <c r="G5481" s="121" t="s">
        <v>7185</v>
      </c>
      <c r="H5481" s="93"/>
      <c r="I5481" s="85">
        <f t="shared" si="206"/>
        <v>1.7781500000000001</v>
      </c>
      <c r="J5481" s="122">
        <v>59.999827253364401</v>
      </c>
      <c r="K5481" s="150" t="s">
        <v>3177</v>
      </c>
      <c r="L5481" s="60">
        <v>61</v>
      </c>
    </row>
    <row r="5482" spans="1:14" ht="14" x14ac:dyDescent="0.15">
      <c r="A5482" s="70" t="s">
        <v>7029</v>
      </c>
      <c r="B5482" s="118"/>
      <c r="C5482" s="121" t="s">
        <v>3636</v>
      </c>
      <c r="D5482" s="121" t="s">
        <v>3437</v>
      </c>
      <c r="E5482" s="121" t="s">
        <v>3457</v>
      </c>
      <c r="F5482" s="121" t="s">
        <v>3888</v>
      </c>
      <c r="G5482" s="121" t="s">
        <v>3489</v>
      </c>
      <c r="H5482" s="93"/>
      <c r="I5482" s="85">
        <f t="shared" si="206"/>
        <v>1.40483</v>
      </c>
      <c r="J5482" s="122">
        <v>25.399782631954999</v>
      </c>
      <c r="K5482" s="150" t="s">
        <v>3177</v>
      </c>
      <c r="L5482" s="60">
        <v>61</v>
      </c>
    </row>
    <row r="5483" spans="1:14" ht="14" x14ac:dyDescent="0.15">
      <c r="A5483" s="70" t="s">
        <v>7029</v>
      </c>
      <c r="B5483" s="118"/>
      <c r="C5483" s="121" t="s">
        <v>3636</v>
      </c>
      <c r="D5483" s="121" t="s">
        <v>3437</v>
      </c>
      <c r="E5483" s="121" t="s">
        <v>3457</v>
      </c>
      <c r="F5483" s="121" t="s">
        <v>3888</v>
      </c>
      <c r="G5483" s="121" t="s">
        <v>3889</v>
      </c>
      <c r="H5483" s="93"/>
      <c r="I5483" s="85">
        <f t="shared" si="206"/>
        <v>1.5172000000000001</v>
      </c>
      <c r="J5483" s="122">
        <v>32.900310752470581</v>
      </c>
      <c r="K5483" s="150" t="s">
        <v>6816</v>
      </c>
      <c r="L5483" s="60">
        <v>61</v>
      </c>
      <c r="M5483" s="49" t="s">
        <v>6728</v>
      </c>
    </row>
    <row r="5484" spans="1:14" ht="14" x14ac:dyDescent="0.15">
      <c r="A5484" s="70" t="s">
        <v>7029</v>
      </c>
      <c r="B5484" s="118"/>
      <c r="C5484" s="121" t="s">
        <v>3636</v>
      </c>
      <c r="D5484" s="121" t="s">
        <v>3437</v>
      </c>
      <c r="E5484" s="121" t="s">
        <v>3457</v>
      </c>
      <c r="F5484" s="121" t="s">
        <v>7203</v>
      </c>
      <c r="G5484" s="121" t="s">
        <v>3847</v>
      </c>
      <c r="H5484" s="93"/>
      <c r="I5484" s="85">
        <f t="shared" si="206"/>
        <v>1.84354</v>
      </c>
      <c r="J5484" s="122">
        <v>69.749323542444841</v>
      </c>
      <c r="K5484" s="150" t="s">
        <v>3177</v>
      </c>
      <c r="L5484" s="60">
        <v>61</v>
      </c>
    </row>
    <row r="5485" spans="1:14" ht="14" x14ac:dyDescent="0.15">
      <c r="A5485" s="70" t="s">
        <v>7029</v>
      </c>
      <c r="B5485" s="118"/>
      <c r="C5485" s="121" t="s">
        <v>3636</v>
      </c>
      <c r="D5485" s="121" t="s">
        <v>3437</v>
      </c>
      <c r="E5485" s="121" t="s">
        <v>3457</v>
      </c>
      <c r="F5485" s="121" t="s">
        <v>6885</v>
      </c>
      <c r="G5485" s="121" t="s">
        <v>3948</v>
      </c>
      <c r="H5485" s="93"/>
      <c r="I5485" s="85">
        <f t="shared" si="206"/>
        <v>1.8221700000000001</v>
      </c>
      <c r="J5485" s="122">
        <v>66.400293649242514</v>
      </c>
      <c r="K5485" s="150" t="s">
        <v>6391</v>
      </c>
      <c r="L5485" s="60">
        <v>61</v>
      </c>
      <c r="M5485" s="49" t="s">
        <v>6390</v>
      </c>
    </row>
    <row r="5486" spans="1:14" ht="14" x14ac:dyDescent="0.15">
      <c r="A5486" s="70" t="s">
        <v>7029</v>
      </c>
      <c r="B5486" s="118"/>
      <c r="C5486" s="121" t="s">
        <v>3636</v>
      </c>
      <c r="D5486" s="121" t="s">
        <v>3437</v>
      </c>
      <c r="E5486" s="121" t="s">
        <v>3457</v>
      </c>
      <c r="F5486" s="121" t="s">
        <v>3949</v>
      </c>
      <c r="G5486" s="121" t="s">
        <v>3731</v>
      </c>
      <c r="H5486" s="93"/>
      <c r="I5486" s="85">
        <f t="shared" si="206"/>
        <v>1.5797800000000002</v>
      </c>
      <c r="J5486" s="122">
        <v>37.99968530368551</v>
      </c>
      <c r="K5486" s="150" t="s">
        <v>3177</v>
      </c>
      <c r="L5486" s="60">
        <v>60</v>
      </c>
    </row>
    <row r="5487" spans="1:14" ht="14" x14ac:dyDescent="0.15">
      <c r="A5487" s="70" t="s">
        <v>7029</v>
      </c>
      <c r="B5487" s="118"/>
      <c r="C5487" s="121" t="s">
        <v>3636</v>
      </c>
      <c r="D5487" s="121" t="s">
        <v>3437</v>
      </c>
      <c r="E5487" s="121" t="s">
        <v>3457</v>
      </c>
      <c r="F5487" s="121" t="s">
        <v>3949</v>
      </c>
      <c r="G5487" s="121" t="s">
        <v>7369</v>
      </c>
      <c r="H5487" s="93"/>
      <c r="I5487" s="85">
        <f t="shared" si="206"/>
        <v>1.7379900000000004</v>
      </c>
      <c r="J5487" s="122">
        <v>54.700336753096408</v>
      </c>
      <c r="K5487" s="150" t="s">
        <v>3177</v>
      </c>
      <c r="L5487" s="60">
        <v>60</v>
      </c>
    </row>
    <row r="5488" spans="1:14" ht="14" x14ac:dyDescent="0.15">
      <c r="A5488" s="70" t="s">
        <v>7029</v>
      </c>
      <c r="B5488" s="118"/>
      <c r="C5488" s="121" t="s">
        <v>3636</v>
      </c>
      <c r="D5488" s="121" t="s">
        <v>3437</v>
      </c>
      <c r="E5488" s="121" t="s">
        <v>3457</v>
      </c>
      <c r="F5488" s="121" t="s">
        <v>3949</v>
      </c>
      <c r="G5488" s="121" t="s">
        <v>7229</v>
      </c>
      <c r="H5488" s="93"/>
      <c r="I5488" s="85">
        <f t="shared" si="206"/>
        <v>1.8175700000000001</v>
      </c>
      <c r="J5488" s="122">
        <v>65.700700495992677</v>
      </c>
      <c r="K5488" s="150" t="s">
        <v>3177</v>
      </c>
      <c r="L5488" s="60">
        <v>61</v>
      </c>
    </row>
    <row r="5489" spans="1:14" ht="14" x14ac:dyDescent="0.15">
      <c r="A5489" s="70" t="s">
        <v>7029</v>
      </c>
      <c r="B5489" s="118"/>
      <c r="C5489" s="121" t="s">
        <v>3636</v>
      </c>
      <c r="D5489" s="121" t="s">
        <v>3437</v>
      </c>
      <c r="E5489" s="121" t="s">
        <v>3457</v>
      </c>
      <c r="F5489" s="121" t="s">
        <v>3949</v>
      </c>
      <c r="G5489" s="121" t="s">
        <v>3415</v>
      </c>
      <c r="H5489" s="93"/>
      <c r="I5489" s="85">
        <f t="shared" si="206"/>
        <v>1.8615300000000001</v>
      </c>
      <c r="J5489" s="122">
        <v>72.69926163504951</v>
      </c>
      <c r="K5489" s="150" t="s">
        <v>3177</v>
      </c>
      <c r="L5489" s="60">
        <v>61</v>
      </c>
    </row>
    <row r="5490" spans="1:14" ht="14" x14ac:dyDescent="0.15">
      <c r="A5490" s="70" t="s">
        <v>7029</v>
      </c>
      <c r="B5490" s="118"/>
      <c r="C5490" s="121" t="s">
        <v>3636</v>
      </c>
      <c r="D5490" s="121" t="s">
        <v>3437</v>
      </c>
      <c r="E5490" s="121" t="s">
        <v>3457</v>
      </c>
      <c r="F5490" s="121" t="s">
        <v>3732</v>
      </c>
      <c r="G5490" s="121" t="s">
        <v>3733</v>
      </c>
      <c r="H5490" s="93"/>
      <c r="I5490" s="85">
        <f t="shared" si="206"/>
        <v>1.44716</v>
      </c>
      <c r="J5490" s="122">
        <v>28.000126924345338</v>
      </c>
      <c r="K5490" s="150" t="s">
        <v>3177</v>
      </c>
      <c r="L5490" s="60">
        <v>61</v>
      </c>
    </row>
    <row r="5491" spans="1:14" ht="14" x14ac:dyDescent="0.15">
      <c r="A5491" s="70" t="s">
        <v>7029</v>
      </c>
      <c r="B5491" s="118"/>
      <c r="C5491" s="121" t="s">
        <v>3636</v>
      </c>
      <c r="D5491" s="121" t="s">
        <v>3437</v>
      </c>
      <c r="E5491" s="121" t="s">
        <v>3457</v>
      </c>
      <c r="F5491" s="121" t="s">
        <v>3732</v>
      </c>
      <c r="G5491" s="121" t="s">
        <v>3734</v>
      </c>
      <c r="H5491" s="93"/>
      <c r="I5491" s="85">
        <f t="shared" si="206"/>
        <v>1.44716</v>
      </c>
      <c r="J5491" s="122">
        <v>28.000126924345338</v>
      </c>
      <c r="K5491" s="150" t="s">
        <v>6630</v>
      </c>
      <c r="L5491" s="60">
        <v>61</v>
      </c>
      <c r="M5491" s="49" t="s">
        <v>6392</v>
      </c>
    </row>
    <row r="5492" spans="1:14" ht="14" x14ac:dyDescent="0.15">
      <c r="A5492" s="70" t="s">
        <v>7029</v>
      </c>
      <c r="B5492" s="118"/>
      <c r="C5492" s="121" t="s">
        <v>3636</v>
      </c>
      <c r="D5492" s="121" t="s">
        <v>3437</v>
      </c>
      <c r="E5492" s="121" t="s">
        <v>3457</v>
      </c>
      <c r="F5492" s="121" t="s">
        <v>3732</v>
      </c>
      <c r="G5492" s="121" t="s">
        <v>5230</v>
      </c>
      <c r="H5492" s="93"/>
      <c r="I5492" s="85">
        <f t="shared" si="206"/>
        <v>1.4623979978989561</v>
      </c>
      <c r="J5492" s="122">
        <v>29</v>
      </c>
      <c r="K5492" s="150" t="s">
        <v>3177</v>
      </c>
      <c r="L5492" s="60" t="s">
        <v>7856</v>
      </c>
      <c r="M5492" s="33"/>
    </row>
    <row r="5493" spans="1:14" ht="16" x14ac:dyDescent="0.2">
      <c r="A5493" s="70" t="s">
        <v>7029</v>
      </c>
      <c r="B5493" s="118"/>
      <c r="C5493" s="121" t="s">
        <v>3636</v>
      </c>
      <c r="D5493" s="121" t="s">
        <v>3437</v>
      </c>
      <c r="E5493" s="121" t="s">
        <v>3457</v>
      </c>
      <c r="F5493" s="121" t="s">
        <v>3735</v>
      </c>
      <c r="G5493" s="121" t="s">
        <v>4088</v>
      </c>
      <c r="H5493" s="93"/>
      <c r="I5493" s="85">
        <f t="shared" si="206"/>
        <v>1.5658500000000002</v>
      </c>
      <c r="J5493" s="122">
        <v>36.800184835450352</v>
      </c>
      <c r="K5493" s="150" t="s">
        <v>6391</v>
      </c>
      <c r="L5493" s="60">
        <v>61</v>
      </c>
      <c r="M5493" s="49" t="s">
        <v>6392</v>
      </c>
      <c r="N5493" s="48"/>
    </row>
    <row r="5494" spans="1:14" ht="14" x14ac:dyDescent="0.15">
      <c r="A5494" s="70" t="s">
        <v>7029</v>
      </c>
      <c r="B5494" s="118"/>
      <c r="C5494" s="121" t="s">
        <v>3636</v>
      </c>
      <c r="D5494" s="121" t="s">
        <v>3437</v>
      </c>
      <c r="E5494" s="121" t="s">
        <v>3457</v>
      </c>
      <c r="F5494" s="121" t="s">
        <v>3954</v>
      </c>
      <c r="G5494" s="121" t="s">
        <v>3955</v>
      </c>
      <c r="H5494" s="93"/>
      <c r="I5494" s="85">
        <f t="shared" si="206"/>
        <v>1.4624000000000001</v>
      </c>
      <c r="J5494" s="122">
        <v>29.000133690540697</v>
      </c>
      <c r="K5494" s="150" t="s">
        <v>3177</v>
      </c>
      <c r="L5494" s="60">
        <v>60</v>
      </c>
    </row>
    <row r="5495" spans="1:14" ht="14" x14ac:dyDescent="0.15">
      <c r="A5495" s="70" t="s">
        <v>7029</v>
      </c>
      <c r="B5495" s="118"/>
      <c r="C5495" s="121" t="s">
        <v>3636</v>
      </c>
      <c r="D5495" s="121" t="s">
        <v>3437</v>
      </c>
      <c r="E5495" s="121" t="s">
        <v>3457</v>
      </c>
      <c r="F5495" s="121" t="s">
        <v>3954</v>
      </c>
      <c r="G5495" s="121" t="s">
        <v>3937</v>
      </c>
      <c r="H5495" s="93"/>
      <c r="I5495" s="85">
        <f t="shared" si="206"/>
        <v>1.5172000000000001</v>
      </c>
      <c r="J5495" s="122">
        <v>32.900310752470581</v>
      </c>
      <c r="K5495" s="150" t="s">
        <v>3177</v>
      </c>
      <c r="L5495" s="60">
        <v>61</v>
      </c>
    </row>
    <row r="5496" spans="1:14" ht="14" x14ac:dyDescent="0.15">
      <c r="A5496" s="73" t="s">
        <v>7029</v>
      </c>
      <c r="B5496" s="118"/>
      <c r="C5496" s="121" t="s">
        <v>3636</v>
      </c>
      <c r="D5496" s="121" t="s">
        <v>3437</v>
      </c>
      <c r="E5496" s="121" t="s">
        <v>3457</v>
      </c>
      <c r="F5496" s="121" t="s">
        <v>3954</v>
      </c>
      <c r="G5496" s="121" t="s">
        <v>3686</v>
      </c>
      <c r="H5496" s="93"/>
      <c r="I5496" s="85">
        <f t="shared" si="206"/>
        <v>1.5717100000000002</v>
      </c>
      <c r="J5496" s="122">
        <v>37.300100331909285</v>
      </c>
      <c r="K5496" s="150" t="s">
        <v>3177</v>
      </c>
      <c r="L5496" s="60">
        <v>61</v>
      </c>
    </row>
    <row r="5497" spans="1:14" ht="16" x14ac:dyDescent="0.2">
      <c r="A5497" s="73" t="s">
        <v>7029</v>
      </c>
      <c r="B5497" s="118"/>
      <c r="C5497" s="121" t="s">
        <v>3636</v>
      </c>
      <c r="D5497" s="121" t="s">
        <v>3437</v>
      </c>
      <c r="E5497" s="121" t="s">
        <v>3457</v>
      </c>
      <c r="F5497" s="121" t="s">
        <v>3954</v>
      </c>
      <c r="G5497" s="121" t="s">
        <v>4214</v>
      </c>
      <c r="H5497" s="93"/>
      <c r="I5497" s="85">
        <f t="shared" si="206"/>
        <v>1.6013400000000002</v>
      </c>
      <c r="J5497" s="122">
        <v>39.933741286437503</v>
      </c>
      <c r="K5497" s="150" t="s">
        <v>3177</v>
      </c>
      <c r="L5497" s="60">
        <v>60</v>
      </c>
      <c r="N5497" s="48"/>
    </row>
    <row r="5498" spans="1:14" ht="14" x14ac:dyDescent="0.15">
      <c r="A5498" s="70" t="s">
        <v>7029</v>
      </c>
      <c r="B5498" s="118"/>
      <c r="C5498" s="121" t="s">
        <v>3636</v>
      </c>
      <c r="D5498" s="121" t="s">
        <v>3437</v>
      </c>
      <c r="E5498" s="121" t="s">
        <v>3457</v>
      </c>
      <c r="F5498" s="121" t="s">
        <v>3954</v>
      </c>
      <c r="G5498" s="121" t="s">
        <v>7275</v>
      </c>
      <c r="H5498" s="93"/>
      <c r="I5498" s="85">
        <f t="shared" si="206"/>
        <v>1.6095944092252201</v>
      </c>
      <c r="J5498" s="122">
        <v>40.700000000000003</v>
      </c>
      <c r="K5498" s="150" t="s">
        <v>3177</v>
      </c>
      <c r="L5498" s="60">
        <v>61</v>
      </c>
    </row>
    <row r="5499" spans="1:14" ht="14" x14ac:dyDescent="0.15">
      <c r="A5499" s="70" t="s">
        <v>7029</v>
      </c>
      <c r="B5499" s="118"/>
      <c r="C5499" s="121" t="s">
        <v>3636</v>
      </c>
      <c r="D5499" s="121" t="s">
        <v>3437</v>
      </c>
      <c r="E5499" s="121" t="s">
        <v>3457</v>
      </c>
      <c r="F5499" s="121" t="s">
        <v>3954</v>
      </c>
      <c r="G5499" s="121" t="s">
        <v>3253</v>
      </c>
      <c r="H5499" s="93"/>
      <c r="I5499" s="85">
        <f t="shared" si="206"/>
        <v>1.67394</v>
      </c>
      <c r="J5499" s="122">
        <v>47.199782784917133</v>
      </c>
      <c r="K5499" s="150" t="s">
        <v>3177</v>
      </c>
      <c r="L5499" s="60">
        <v>61</v>
      </c>
    </row>
    <row r="5500" spans="1:14" ht="14" x14ac:dyDescent="0.15">
      <c r="A5500" s="70" t="s">
        <v>7029</v>
      </c>
      <c r="B5500" s="118"/>
      <c r="C5500" s="121" t="s">
        <v>3636</v>
      </c>
      <c r="D5500" s="121" t="s">
        <v>3437</v>
      </c>
      <c r="E5500" s="121" t="s">
        <v>3457</v>
      </c>
      <c r="F5500" s="121" t="s">
        <v>3504</v>
      </c>
      <c r="G5500" s="121" t="s">
        <v>3925</v>
      </c>
      <c r="H5500" s="93"/>
      <c r="I5500" s="85">
        <f t="shared" si="206"/>
        <v>1.13988</v>
      </c>
      <c r="J5500" s="122">
        <v>13.80002903024727</v>
      </c>
      <c r="K5500" s="150" t="s">
        <v>3177</v>
      </c>
      <c r="L5500" s="60">
        <v>61</v>
      </c>
    </row>
    <row r="5501" spans="1:14" ht="14" x14ac:dyDescent="0.15">
      <c r="A5501" s="70" t="s">
        <v>7029</v>
      </c>
      <c r="B5501" s="118"/>
      <c r="C5501" s="121" t="s">
        <v>3636</v>
      </c>
      <c r="D5501" s="121" t="s">
        <v>3437</v>
      </c>
      <c r="E5501" s="121" t="s">
        <v>3457</v>
      </c>
      <c r="F5501" s="121" t="s">
        <v>3504</v>
      </c>
      <c r="G5501" s="121" t="s">
        <v>4137</v>
      </c>
      <c r="H5501" s="93"/>
      <c r="I5501" s="85">
        <f t="shared" si="206"/>
        <v>1.1461300000000003</v>
      </c>
      <c r="J5501" s="122">
        <v>14.000063322395309</v>
      </c>
      <c r="K5501" s="150" t="s">
        <v>3177</v>
      </c>
      <c r="L5501" s="60">
        <v>61</v>
      </c>
    </row>
    <row r="5502" spans="1:14" ht="14" x14ac:dyDescent="0.15">
      <c r="A5502" s="70" t="s">
        <v>7029</v>
      </c>
      <c r="B5502" s="118"/>
      <c r="C5502" s="121" t="s">
        <v>3636</v>
      </c>
      <c r="D5502" s="121" t="s">
        <v>3437</v>
      </c>
      <c r="E5502" s="121" t="s">
        <v>3457</v>
      </c>
      <c r="F5502" s="121" t="s">
        <v>3504</v>
      </c>
      <c r="G5502" s="121" t="s">
        <v>4144</v>
      </c>
      <c r="H5502" s="93"/>
      <c r="I5502" s="85">
        <f t="shared" si="206"/>
        <v>1.3010300000000001</v>
      </c>
      <c r="J5502" s="122">
        <v>20.000000199681054</v>
      </c>
      <c r="K5502" s="150" t="s">
        <v>3177</v>
      </c>
      <c r="L5502" s="60">
        <v>60</v>
      </c>
    </row>
    <row r="5503" spans="1:14" ht="14" x14ac:dyDescent="0.15">
      <c r="A5503" s="70" t="s">
        <v>7029</v>
      </c>
      <c r="B5503" s="118"/>
      <c r="C5503" s="121" t="s">
        <v>3636</v>
      </c>
      <c r="D5503" s="121" t="s">
        <v>3437</v>
      </c>
      <c r="E5503" s="121" t="s">
        <v>3457</v>
      </c>
      <c r="F5503" s="121" t="s">
        <v>3504</v>
      </c>
      <c r="G5503" s="121" t="s">
        <v>4138</v>
      </c>
      <c r="H5503" s="93"/>
      <c r="I5503" s="85">
        <f t="shared" si="206"/>
        <v>1.3031999999999999</v>
      </c>
      <c r="J5503" s="122">
        <v>20.100182471136932</v>
      </c>
      <c r="K5503" s="150" t="s">
        <v>3177</v>
      </c>
      <c r="L5503" s="60">
        <v>60</v>
      </c>
    </row>
    <row r="5504" spans="1:14" ht="14" x14ac:dyDescent="0.15">
      <c r="A5504" s="70" t="s">
        <v>7029</v>
      </c>
      <c r="B5504" s="118"/>
      <c r="C5504" s="121" t="s">
        <v>3636</v>
      </c>
      <c r="D5504" s="121" t="s">
        <v>3437</v>
      </c>
      <c r="E5504" s="121" t="s">
        <v>3457</v>
      </c>
      <c r="F5504" s="121" t="s">
        <v>3504</v>
      </c>
      <c r="G5504" s="121" t="s">
        <v>2083</v>
      </c>
      <c r="H5504" s="93"/>
      <c r="I5504" s="85">
        <f t="shared" si="206"/>
        <v>1.4248799999999999</v>
      </c>
      <c r="J5504" s="122">
        <v>26.599899758559765</v>
      </c>
      <c r="K5504" s="150" t="s">
        <v>3177</v>
      </c>
      <c r="L5504" s="60">
        <v>60</v>
      </c>
    </row>
    <row r="5505" spans="1:15" ht="14" x14ac:dyDescent="0.15">
      <c r="A5505" s="70" t="s">
        <v>7029</v>
      </c>
      <c r="B5505" s="118"/>
      <c r="C5505" s="121" t="s">
        <v>3636</v>
      </c>
      <c r="D5505" s="121" t="s">
        <v>3437</v>
      </c>
      <c r="E5505" s="121" t="s">
        <v>3457</v>
      </c>
      <c r="F5505" s="121" t="s">
        <v>3504</v>
      </c>
      <c r="G5505" s="121" t="s">
        <v>3505</v>
      </c>
      <c r="H5505" s="93"/>
      <c r="I5505" s="85">
        <f t="shared" ref="I5505:I5552" si="207">LOG(J5505)</f>
        <v>1.43136</v>
      </c>
      <c r="J5505" s="122">
        <v>26.999765984012107</v>
      </c>
      <c r="K5505" s="150" t="s">
        <v>3177</v>
      </c>
      <c r="L5505" s="60">
        <v>61</v>
      </c>
    </row>
    <row r="5506" spans="1:15" ht="14" x14ac:dyDescent="0.15">
      <c r="A5506" s="70" t="s">
        <v>7029</v>
      </c>
      <c r="B5506" s="118"/>
      <c r="C5506" s="121" t="s">
        <v>3636</v>
      </c>
      <c r="D5506" s="121" t="s">
        <v>3437</v>
      </c>
      <c r="E5506" s="121" t="s">
        <v>3457</v>
      </c>
      <c r="F5506" s="121" t="s">
        <v>3504</v>
      </c>
      <c r="G5506" s="121" t="s">
        <v>3506</v>
      </c>
      <c r="H5506" s="93"/>
      <c r="I5506" s="85">
        <f t="shared" si="207"/>
        <v>1.43136</v>
      </c>
      <c r="J5506" s="122">
        <v>26.999765984012107</v>
      </c>
      <c r="K5506" s="150" t="s">
        <v>3177</v>
      </c>
      <c r="L5506" s="60">
        <v>61</v>
      </c>
    </row>
    <row r="5507" spans="1:15" ht="14" x14ac:dyDescent="0.15">
      <c r="A5507" s="70" t="s">
        <v>7029</v>
      </c>
      <c r="B5507" s="118"/>
      <c r="C5507" s="121" t="s">
        <v>3636</v>
      </c>
      <c r="D5507" s="121" t="s">
        <v>3437</v>
      </c>
      <c r="E5507" s="121" t="s">
        <v>3457</v>
      </c>
      <c r="F5507" s="121" t="s">
        <v>3504</v>
      </c>
      <c r="G5507" s="121" t="s">
        <v>3473</v>
      </c>
      <c r="H5507" s="93"/>
      <c r="I5507" s="85">
        <f t="shared" si="207"/>
        <v>1.43136</v>
      </c>
      <c r="J5507" s="122">
        <v>26.999765984012107</v>
      </c>
      <c r="K5507" s="150" t="s">
        <v>3177</v>
      </c>
      <c r="L5507" s="60">
        <v>61</v>
      </c>
    </row>
    <row r="5508" spans="1:15" ht="14" x14ac:dyDescent="0.15">
      <c r="A5508" s="70" t="s">
        <v>7029</v>
      </c>
      <c r="B5508" s="118"/>
      <c r="C5508" s="121" t="s">
        <v>3636</v>
      </c>
      <c r="D5508" s="121" t="s">
        <v>3437</v>
      </c>
      <c r="E5508" s="121" t="s">
        <v>3457</v>
      </c>
      <c r="F5508" s="121" t="s">
        <v>3504</v>
      </c>
      <c r="G5508" s="121" t="s">
        <v>3472</v>
      </c>
      <c r="H5508" s="93"/>
      <c r="I5508" s="85">
        <f t="shared" si="207"/>
        <v>1.6527300000000003</v>
      </c>
      <c r="J5508" s="122">
        <v>44.950031457208595</v>
      </c>
      <c r="K5508" s="150" t="s">
        <v>3177</v>
      </c>
      <c r="L5508" s="60">
        <v>60</v>
      </c>
    </row>
    <row r="5509" spans="1:15" ht="14" x14ac:dyDescent="0.15">
      <c r="A5509" s="73" t="s">
        <v>7029</v>
      </c>
      <c r="B5509" s="118"/>
      <c r="C5509" s="121" t="s">
        <v>3636</v>
      </c>
      <c r="D5509" s="121" t="s">
        <v>3437</v>
      </c>
      <c r="E5509" s="121" t="s">
        <v>3457</v>
      </c>
      <c r="F5509" s="121" t="s">
        <v>3071</v>
      </c>
      <c r="G5509" s="121" t="s">
        <v>2783</v>
      </c>
      <c r="H5509" s="93"/>
      <c r="I5509" s="85">
        <f t="shared" si="207"/>
        <v>1.7058600000000002</v>
      </c>
      <c r="J5509" s="122">
        <v>50.799565771095516</v>
      </c>
      <c r="K5509" s="150" t="s">
        <v>3177</v>
      </c>
      <c r="L5509" s="60">
        <v>60</v>
      </c>
    </row>
    <row r="5510" spans="1:15" ht="14" x14ac:dyDescent="0.15">
      <c r="A5510" s="70" t="s">
        <v>7029</v>
      </c>
      <c r="B5510" s="118"/>
      <c r="C5510" s="121" t="s">
        <v>3636</v>
      </c>
      <c r="D5510" s="121" t="s">
        <v>3437</v>
      </c>
      <c r="E5510" s="121" t="s">
        <v>3457</v>
      </c>
      <c r="F5510" s="121" t="s">
        <v>3071</v>
      </c>
      <c r="G5510" s="121" t="s">
        <v>3072</v>
      </c>
      <c r="H5510" s="93"/>
      <c r="I5510" s="85">
        <f t="shared" si="207"/>
        <v>1.8651</v>
      </c>
      <c r="J5510" s="122">
        <v>73.299329165177895</v>
      </c>
      <c r="K5510" s="150" t="s">
        <v>3177</v>
      </c>
      <c r="L5510" s="60">
        <v>61</v>
      </c>
    </row>
    <row r="5511" spans="1:15" ht="14" x14ac:dyDescent="0.15">
      <c r="A5511" s="70" t="s">
        <v>7029</v>
      </c>
      <c r="B5511" s="118"/>
      <c r="C5511" s="121" t="s">
        <v>3636</v>
      </c>
      <c r="D5511" s="121" t="s">
        <v>3437</v>
      </c>
      <c r="E5511" s="121" t="s">
        <v>3457</v>
      </c>
      <c r="F5511" s="121" t="s">
        <v>3927</v>
      </c>
      <c r="G5511" s="121" t="s">
        <v>3928</v>
      </c>
      <c r="H5511" s="93"/>
      <c r="I5511" s="85">
        <f t="shared" si="207"/>
        <v>1.6989700000000001</v>
      </c>
      <c r="J5511" s="122">
        <v>49.999999500797408</v>
      </c>
      <c r="K5511" s="150" t="s">
        <v>6630</v>
      </c>
      <c r="L5511" s="60">
        <v>61</v>
      </c>
      <c r="M5511" s="49" t="s">
        <v>6392</v>
      </c>
    </row>
    <row r="5512" spans="1:15" ht="14" x14ac:dyDescent="0.15">
      <c r="A5512" s="70" t="s">
        <v>7029</v>
      </c>
      <c r="B5512" s="118"/>
      <c r="C5512" s="121" t="s">
        <v>3636</v>
      </c>
      <c r="D5512" s="121" t="s">
        <v>3437</v>
      </c>
      <c r="E5512" s="121" t="s">
        <v>3457</v>
      </c>
      <c r="F5512" s="121" t="s">
        <v>3929</v>
      </c>
      <c r="G5512" s="121" t="s">
        <v>3331</v>
      </c>
      <c r="H5512" s="108"/>
      <c r="I5512" s="85">
        <f t="shared" si="207"/>
        <v>1.2787500000000001</v>
      </c>
      <c r="J5512" s="122">
        <v>18.999842462147331</v>
      </c>
      <c r="K5512" s="150" t="s">
        <v>3177</v>
      </c>
      <c r="L5512" s="60">
        <v>61</v>
      </c>
    </row>
    <row r="5513" spans="1:15" ht="14" x14ac:dyDescent="0.15">
      <c r="A5513" s="70" t="s">
        <v>7029</v>
      </c>
      <c r="B5513" s="118"/>
      <c r="C5513" s="121" t="s">
        <v>3636</v>
      </c>
      <c r="D5513" s="121" t="s">
        <v>3437</v>
      </c>
      <c r="E5513" s="121" t="s">
        <v>3457</v>
      </c>
      <c r="F5513" s="121" t="s">
        <v>3332</v>
      </c>
      <c r="G5513" s="121" t="s">
        <v>3500</v>
      </c>
      <c r="H5513" s="93"/>
      <c r="I5513" s="85">
        <f t="shared" si="207"/>
        <v>2.2298100000000005</v>
      </c>
      <c r="J5513" s="122">
        <v>169.75008483602085</v>
      </c>
      <c r="K5513" s="150" t="s">
        <v>3177</v>
      </c>
      <c r="L5513" s="63">
        <v>61</v>
      </c>
      <c r="O5513" s="51"/>
    </row>
    <row r="5514" spans="1:15" ht="14" x14ac:dyDescent="0.15">
      <c r="A5514" s="70" t="s">
        <v>7029</v>
      </c>
      <c r="B5514" s="118"/>
      <c r="C5514" s="121" t="s">
        <v>3636</v>
      </c>
      <c r="D5514" s="121" t="s">
        <v>3437</v>
      </c>
      <c r="E5514" s="121" t="s">
        <v>3457</v>
      </c>
      <c r="F5514" s="121" t="s">
        <v>3501</v>
      </c>
      <c r="G5514" s="121" t="s">
        <v>3765</v>
      </c>
      <c r="H5514" s="93"/>
      <c r="I5514" s="85">
        <f t="shared" si="207"/>
        <v>1.2552700000000003</v>
      </c>
      <c r="J5514" s="122">
        <v>17.999896172455941</v>
      </c>
      <c r="K5514" s="150" t="s">
        <v>3177</v>
      </c>
      <c r="L5514" s="60">
        <v>60</v>
      </c>
    </row>
    <row r="5515" spans="1:15" ht="14" x14ac:dyDescent="0.15">
      <c r="A5515" s="70" t="s">
        <v>7029</v>
      </c>
      <c r="B5515" s="118"/>
      <c r="C5515" s="121" t="s">
        <v>3636</v>
      </c>
      <c r="D5515" s="121" t="s">
        <v>3437</v>
      </c>
      <c r="E5515" s="121" t="s">
        <v>3457</v>
      </c>
      <c r="F5515" s="121" t="s">
        <v>3501</v>
      </c>
      <c r="G5515" s="121" t="s">
        <v>3766</v>
      </c>
      <c r="H5515" s="93"/>
      <c r="I5515" s="85">
        <f t="shared" si="207"/>
        <v>1.5378200000000002</v>
      </c>
      <c r="J5515" s="122">
        <v>34.50007188671713</v>
      </c>
      <c r="K5515" s="150" t="s">
        <v>3177</v>
      </c>
      <c r="L5515" s="60">
        <v>60</v>
      </c>
    </row>
    <row r="5516" spans="1:15" ht="14" x14ac:dyDescent="0.15">
      <c r="A5516" s="70" t="s">
        <v>7029</v>
      </c>
      <c r="B5516" s="118"/>
      <c r="C5516" s="121" t="s">
        <v>3636</v>
      </c>
      <c r="D5516" s="121" t="s">
        <v>3437</v>
      </c>
      <c r="E5516" s="121" t="s">
        <v>3457</v>
      </c>
      <c r="F5516" s="121" t="s">
        <v>3074</v>
      </c>
      <c r="G5516" s="121" t="s">
        <v>3449</v>
      </c>
      <c r="H5516" s="93"/>
      <c r="I5516" s="85">
        <f t="shared" si="207"/>
        <v>1.8292999999999999</v>
      </c>
      <c r="J5516" s="122">
        <v>67.499413612194886</v>
      </c>
      <c r="K5516" s="150" t="s">
        <v>3177</v>
      </c>
      <c r="L5516" s="60">
        <v>60</v>
      </c>
    </row>
    <row r="5517" spans="1:15" ht="14" x14ac:dyDescent="0.15">
      <c r="A5517" s="70" t="s">
        <v>7029</v>
      </c>
      <c r="B5517" s="118"/>
      <c r="C5517" s="121" t="s">
        <v>3636</v>
      </c>
      <c r="D5517" s="121" t="s">
        <v>3437</v>
      </c>
      <c r="E5517" s="121" t="s">
        <v>3457</v>
      </c>
      <c r="F5517" s="121" t="s">
        <v>3074</v>
      </c>
      <c r="G5517" s="121" t="s">
        <v>3525</v>
      </c>
      <c r="H5517" s="108"/>
      <c r="I5517" s="85">
        <f t="shared" si="207"/>
        <v>1.9542400000000002</v>
      </c>
      <c r="J5517" s="122">
        <v>89.999479963720162</v>
      </c>
      <c r="K5517" s="150" t="s">
        <v>3177</v>
      </c>
      <c r="L5517" s="69">
        <v>61</v>
      </c>
    </row>
    <row r="5518" spans="1:15" ht="16" x14ac:dyDescent="0.2">
      <c r="A5518" s="70" t="s">
        <v>7029</v>
      </c>
      <c r="B5518" s="118"/>
      <c r="C5518" s="121" t="s">
        <v>3636</v>
      </c>
      <c r="D5518" s="121" t="s">
        <v>3437</v>
      </c>
      <c r="E5518" s="121" t="s">
        <v>3457</v>
      </c>
      <c r="F5518" s="121" t="s">
        <v>3326</v>
      </c>
      <c r="G5518" s="121" t="s">
        <v>3526</v>
      </c>
      <c r="H5518" s="93"/>
      <c r="I5518" s="85">
        <f t="shared" si="207"/>
        <v>1.2174799999999999</v>
      </c>
      <c r="J5518" s="122">
        <v>16.499850149526083</v>
      </c>
      <c r="K5518" s="150" t="s">
        <v>3177</v>
      </c>
      <c r="L5518" s="69">
        <v>61</v>
      </c>
      <c r="N5518" s="48"/>
    </row>
    <row r="5519" spans="1:15" ht="14" x14ac:dyDescent="0.15">
      <c r="A5519" s="70" t="s">
        <v>7029</v>
      </c>
      <c r="B5519" s="118"/>
      <c r="C5519" s="121" t="s">
        <v>3636</v>
      </c>
      <c r="D5519" s="121" t="s">
        <v>3437</v>
      </c>
      <c r="E5519" s="121" t="s">
        <v>3457</v>
      </c>
      <c r="F5519" s="121" t="s">
        <v>3326</v>
      </c>
      <c r="G5519" s="121" t="s">
        <v>3329</v>
      </c>
      <c r="H5519" s="93"/>
      <c r="I5519" s="85">
        <f t="shared" si="207"/>
        <v>1.2380500000000003</v>
      </c>
      <c r="J5519" s="122">
        <v>17.300155231477973</v>
      </c>
      <c r="K5519" s="150" t="s">
        <v>3177</v>
      </c>
      <c r="L5519" s="60">
        <v>60</v>
      </c>
    </row>
    <row r="5520" spans="1:15" ht="14" x14ac:dyDescent="0.15">
      <c r="A5520" s="70" t="s">
        <v>7029</v>
      </c>
      <c r="B5520" s="118"/>
      <c r="C5520" s="121" t="s">
        <v>3636</v>
      </c>
      <c r="D5520" s="121" t="s">
        <v>3437</v>
      </c>
      <c r="E5520" s="121" t="s">
        <v>3457</v>
      </c>
      <c r="F5520" s="121" t="s">
        <v>3326</v>
      </c>
      <c r="G5520" s="121" t="s">
        <v>3757</v>
      </c>
      <c r="H5520" s="93"/>
      <c r="I5520" s="85">
        <f t="shared" si="207"/>
        <v>1.2552700000000003</v>
      </c>
      <c r="J5520" s="122">
        <v>17.999896172455941</v>
      </c>
      <c r="K5520" s="150" t="s">
        <v>3177</v>
      </c>
      <c r="L5520" s="69">
        <v>61</v>
      </c>
    </row>
    <row r="5521" spans="1:18" ht="14" x14ac:dyDescent="0.15">
      <c r="A5521" s="70" t="s">
        <v>7029</v>
      </c>
      <c r="B5521" s="118"/>
      <c r="C5521" s="121" t="s">
        <v>3636</v>
      </c>
      <c r="D5521" s="121" t="s">
        <v>3437</v>
      </c>
      <c r="E5521" s="121" t="s">
        <v>3457</v>
      </c>
      <c r="F5521" s="121" t="s">
        <v>3326</v>
      </c>
      <c r="G5521" s="121" t="s">
        <v>3328</v>
      </c>
      <c r="H5521" s="93"/>
      <c r="I5521" s="85">
        <f t="shared" si="207"/>
        <v>1.4548400000000001</v>
      </c>
      <c r="J5521" s="122">
        <v>28.499681070164815</v>
      </c>
      <c r="K5521" s="150" t="s">
        <v>3177</v>
      </c>
      <c r="L5521" s="69">
        <v>61</v>
      </c>
    </row>
    <row r="5522" spans="1:18" ht="14" x14ac:dyDescent="0.15">
      <c r="A5522" s="73" t="s">
        <v>7029</v>
      </c>
      <c r="B5522" s="118"/>
      <c r="C5522" s="121" t="s">
        <v>3636</v>
      </c>
      <c r="D5522" s="121" t="s">
        <v>3437</v>
      </c>
      <c r="E5522" s="121" t="s">
        <v>3457</v>
      </c>
      <c r="F5522" s="121" t="s">
        <v>3336</v>
      </c>
      <c r="G5522" s="121" t="s">
        <v>6492</v>
      </c>
      <c r="H5522" s="93"/>
      <c r="I5522" s="85">
        <f t="shared" si="207"/>
        <v>1.9138100000000002</v>
      </c>
      <c r="J5522" s="122">
        <v>81.999272627037982</v>
      </c>
      <c r="K5522" s="150" t="s">
        <v>3177</v>
      </c>
      <c r="L5522" s="69">
        <v>61</v>
      </c>
    </row>
    <row r="5523" spans="1:18" ht="14" x14ac:dyDescent="0.15">
      <c r="A5523" s="70" t="s">
        <v>7029</v>
      </c>
      <c r="B5523" s="118"/>
      <c r="C5523" s="121" t="s">
        <v>3636</v>
      </c>
      <c r="D5523" s="121" t="s">
        <v>3437</v>
      </c>
      <c r="E5523" s="121" t="s">
        <v>3457</v>
      </c>
      <c r="F5523" s="121" t="s">
        <v>3336</v>
      </c>
      <c r="G5523" s="121" t="s">
        <v>3082</v>
      </c>
      <c r="H5523" s="93"/>
      <c r="I5523" s="85">
        <f t="shared" si="207"/>
        <v>1.9190800000000001</v>
      </c>
      <c r="J5523" s="122">
        <v>83.000364575513203</v>
      </c>
      <c r="K5523" s="150" t="s">
        <v>3177</v>
      </c>
      <c r="L5523" s="69">
        <v>61</v>
      </c>
    </row>
    <row r="5524" spans="1:18" ht="14" x14ac:dyDescent="0.15">
      <c r="A5524" s="70" t="s">
        <v>7029</v>
      </c>
      <c r="B5524" s="118"/>
      <c r="C5524" s="121" t="s">
        <v>3636</v>
      </c>
      <c r="D5524" s="121" t="s">
        <v>3437</v>
      </c>
      <c r="E5524" s="121" t="s">
        <v>3457</v>
      </c>
      <c r="F5524" s="121" t="s">
        <v>3336</v>
      </c>
      <c r="G5524" s="121" t="s">
        <v>3083</v>
      </c>
      <c r="H5524" s="93"/>
      <c r="I5524" s="85">
        <f t="shared" si="207"/>
        <v>1.9190800000000001</v>
      </c>
      <c r="J5524" s="122">
        <v>83.000364575513203</v>
      </c>
      <c r="K5524" s="150" t="s">
        <v>3177</v>
      </c>
      <c r="L5524" s="69">
        <v>61</v>
      </c>
    </row>
    <row r="5525" spans="1:18" ht="14" x14ac:dyDescent="0.15">
      <c r="A5525" s="70" t="s">
        <v>7029</v>
      </c>
      <c r="B5525" s="118"/>
      <c r="C5525" s="121" t="s">
        <v>3636</v>
      </c>
      <c r="D5525" s="121" t="s">
        <v>3437</v>
      </c>
      <c r="E5525" s="121" t="s">
        <v>3457</v>
      </c>
      <c r="F5525" s="121" t="s">
        <v>3336</v>
      </c>
      <c r="G5525" s="121" t="s">
        <v>3337</v>
      </c>
      <c r="H5525" s="93"/>
      <c r="I5525" s="85">
        <f t="shared" si="207"/>
        <v>1.9426300000000001</v>
      </c>
      <c r="J5525" s="122">
        <v>87.62539727935517</v>
      </c>
      <c r="K5525" s="150" t="s">
        <v>3177</v>
      </c>
      <c r="L5525" s="60">
        <v>60</v>
      </c>
    </row>
    <row r="5526" spans="1:18" ht="16" x14ac:dyDescent="0.2">
      <c r="A5526" s="70" t="s">
        <v>7029</v>
      </c>
      <c r="B5526" s="118"/>
      <c r="C5526" s="121" t="s">
        <v>3636</v>
      </c>
      <c r="D5526" s="121" t="s">
        <v>3437</v>
      </c>
      <c r="E5526" s="121" t="s">
        <v>3457</v>
      </c>
      <c r="F5526" s="121" t="s">
        <v>3084</v>
      </c>
      <c r="G5526" s="121" t="s">
        <v>3085</v>
      </c>
      <c r="H5526" s="93"/>
      <c r="I5526" s="85">
        <f t="shared" si="207"/>
        <v>1.7730500000000002</v>
      </c>
      <c r="J5526" s="122">
        <v>59.299359156036971</v>
      </c>
      <c r="K5526" s="150" t="s">
        <v>3177</v>
      </c>
      <c r="L5526" s="69">
        <v>61</v>
      </c>
      <c r="N5526" s="48"/>
    </row>
    <row r="5527" spans="1:18" ht="16" x14ac:dyDescent="0.2">
      <c r="A5527" s="70" t="s">
        <v>7029</v>
      </c>
      <c r="B5527" s="118"/>
      <c r="C5527" s="121" t="s">
        <v>3636</v>
      </c>
      <c r="D5527" s="121" t="s">
        <v>3437</v>
      </c>
      <c r="E5527" s="121" t="s">
        <v>3457</v>
      </c>
      <c r="F5527" s="121" t="s">
        <v>3086</v>
      </c>
      <c r="G5527" s="121" t="s">
        <v>3307</v>
      </c>
      <c r="H5527" s="93"/>
      <c r="I5527" s="85">
        <f t="shared" si="207"/>
        <v>1.4983100000000003</v>
      </c>
      <c r="J5527" s="122">
        <v>31.499959832873742</v>
      </c>
      <c r="K5527" s="150" t="s">
        <v>3177</v>
      </c>
      <c r="L5527" s="60">
        <v>60</v>
      </c>
      <c r="N5527" s="48"/>
    </row>
    <row r="5528" spans="1:18" ht="14" x14ac:dyDescent="0.15">
      <c r="A5528" s="70" t="s">
        <v>7029</v>
      </c>
      <c r="B5528" s="118"/>
      <c r="C5528" s="121" t="s">
        <v>3636</v>
      </c>
      <c r="D5528" s="121" t="s">
        <v>3437</v>
      </c>
      <c r="E5528" s="121" t="s">
        <v>3457</v>
      </c>
      <c r="F5528" s="121" t="s">
        <v>3758</v>
      </c>
      <c r="G5528" s="121" t="s">
        <v>3130</v>
      </c>
      <c r="H5528" s="93"/>
      <c r="I5528" s="85">
        <f t="shared" si="207"/>
        <v>1.6063800000000001</v>
      </c>
      <c r="J5528" s="122">
        <v>40.39987301155309</v>
      </c>
      <c r="K5528" s="150" t="s">
        <v>3177</v>
      </c>
      <c r="L5528" s="69">
        <v>61</v>
      </c>
    </row>
    <row r="5529" spans="1:18" ht="14" x14ac:dyDescent="0.15">
      <c r="A5529" s="70" t="s">
        <v>7029</v>
      </c>
      <c r="B5529" s="118"/>
      <c r="C5529" s="121" t="s">
        <v>3636</v>
      </c>
      <c r="D5529" s="121" t="s">
        <v>3437</v>
      </c>
      <c r="E5529" s="121" t="s">
        <v>3457</v>
      </c>
      <c r="F5529" s="121" t="s">
        <v>3758</v>
      </c>
      <c r="G5529" s="121" t="s">
        <v>2900</v>
      </c>
      <c r="H5529" s="93"/>
      <c r="I5529" s="85">
        <f t="shared" si="207"/>
        <v>1.8292999999999999</v>
      </c>
      <c r="J5529" s="122">
        <v>67.499413612194886</v>
      </c>
      <c r="K5529" s="150" t="s">
        <v>3177</v>
      </c>
      <c r="L5529" s="60">
        <v>60</v>
      </c>
    </row>
    <row r="5530" spans="1:18" ht="14" x14ac:dyDescent="0.15">
      <c r="A5530" s="70" t="s">
        <v>7029</v>
      </c>
      <c r="B5530" s="118"/>
      <c r="C5530" s="121" t="s">
        <v>3636</v>
      </c>
      <c r="D5530" s="121" t="s">
        <v>3437</v>
      </c>
      <c r="E5530" s="121" t="s">
        <v>3457</v>
      </c>
      <c r="F5530" s="121" t="s">
        <v>3758</v>
      </c>
      <c r="G5530" s="121" t="s">
        <v>3129</v>
      </c>
      <c r="H5530" s="93"/>
      <c r="I5530" s="85">
        <f t="shared" si="207"/>
        <v>2.0085999999999999</v>
      </c>
      <c r="J5530" s="122">
        <v>101.99995965937205</v>
      </c>
      <c r="K5530" s="150" t="s">
        <v>3177</v>
      </c>
      <c r="L5530" s="60">
        <v>60</v>
      </c>
    </row>
    <row r="5531" spans="1:18" ht="14" x14ac:dyDescent="0.15">
      <c r="A5531" s="70" t="s">
        <v>7029</v>
      </c>
      <c r="B5531" s="118"/>
      <c r="C5531" s="121" t="s">
        <v>3636</v>
      </c>
      <c r="D5531" s="121" t="s">
        <v>3437</v>
      </c>
      <c r="E5531" s="121" t="s">
        <v>3457</v>
      </c>
      <c r="F5531" s="121" t="s">
        <v>5991</v>
      </c>
      <c r="G5531" s="121" t="s">
        <v>4285</v>
      </c>
      <c r="H5531" s="93"/>
      <c r="I5531" s="85">
        <f t="shared" si="207"/>
        <v>2.1903300000000003</v>
      </c>
      <c r="J5531" s="122">
        <v>154.99939392303725</v>
      </c>
      <c r="K5531" s="150" t="s">
        <v>3177</v>
      </c>
      <c r="L5531" s="60">
        <v>60</v>
      </c>
    </row>
    <row r="5532" spans="1:18" x14ac:dyDescent="0.15">
      <c r="A5532" s="70" t="s">
        <v>7029</v>
      </c>
      <c r="B5532" s="118"/>
      <c r="C5532" s="121" t="s">
        <v>3636</v>
      </c>
      <c r="D5532" s="121" t="s">
        <v>3437</v>
      </c>
      <c r="E5532" s="121" t="s">
        <v>3457</v>
      </c>
      <c r="F5532" s="121" t="s">
        <v>5991</v>
      </c>
      <c r="G5532" s="121" t="s">
        <v>6892</v>
      </c>
      <c r="H5532" s="93"/>
      <c r="I5532" s="85">
        <f t="shared" si="207"/>
        <v>2.2328945091560128</v>
      </c>
      <c r="J5532" s="121">
        <f>AVERAGE(263.5, 131.5, 198.5, 131.1, 130.2)</f>
        <v>170.95999999999998</v>
      </c>
      <c r="K5532" s="150"/>
      <c r="L5532" s="69">
        <v>273</v>
      </c>
    </row>
    <row r="5533" spans="1:18" ht="14" x14ac:dyDescent="0.15">
      <c r="A5533" s="70" t="s">
        <v>7029</v>
      </c>
      <c r="B5533" s="118"/>
      <c r="C5533" s="121" t="s">
        <v>3636</v>
      </c>
      <c r="D5533" s="121" t="s">
        <v>3437</v>
      </c>
      <c r="E5533" s="121" t="s">
        <v>3457</v>
      </c>
      <c r="F5533" s="121" t="s">
        <v>5991</v>
      </c>
      <c r="G5533" s="121" t="s">
        <v>2902</v>
      </c>
      <c r="H5533" s="93"/>
      <c r="I5533" s="85">
        <f t="shared" si="207"/>
        <v>2.3096299999999998</v>
      </c>
      <c r="J5533" s="122">
        <v>203.9999213554899</v>
      </c>
      <c r="K5533" s="150" t="s">
        <v>3177</v>
      </c>
      <c r="L5533" s="69">
        <v>61</v>
      </c>
    </row>
    <row r="5534" spans="1:18" ht="14" x14ac:dyDescent="0.15">
      <c r="A5534" s="70" t="s">
        <v>7029</v>
      </c>
      <c r="B5534" s="118"/>
      <c r="C5534" s="121" t="s">
        <v>3636</v>
      </c>
      <c r="D5534" s="121" t="s">
        <v>3437</v>
      </c>
      <c r="E5534" s="121" t="s">
        <v>3457</v>
      </c>
      <c r="F5534" s="121" t="s">
        <v>5991</v>
      </c>
      <c r="G5534" s="121" t="s">
        <v>2903</v>
      </c>
      <c r="H5534" s="93"/>
      <c r="I5534" s="85">
        <f t="shared" si="207"/>
        <v>2.3774900000000003</v>
      </c>
      <c r="J5534" s="122">
        <v>238.50088779739571</v>
      </c>
      <c r="K5534" s="150" t="s">
        <v>3177</v>
      </c>
      <c r="L5534" s="69">
        <v>61</v>
      </c>
    </row>
    <row r="5535" spans="1:18" ht="14" x14ac:dyDescent="0.15">
      <c r="A5535" s="73" t="s">
        <v>7029</v>
      </c>
      <c r="B5535" s="118"/>
      <c r="C5535" s="121" t="s">
        <v>3636</v>
      </c>
      <c r="D5535" s="121" t="s">
        <v>3437</v>
      </c>
      <c r="E5535" s="121" t="s">
        <v>3457</v>
      </c>
      <c r="F5535" s="121" t="s">
        <v>3089</v>
      </c>
      <c r="G5535" s="121" t="s">
        <v>3090</v>
      </c>
      <c r="H5535" s="93"/>
      <c r="I5535" s="85">
        <f t="shared" si="207"/>
        <v>1.8221700000000001</v>
      </c>
      <c r="J5535" s="122">
        <v>66.400293649242514</v>
      </c>
      <c r="K5535" s="150" t="s">
        <v>6630</v>
      </c>
      <c r="L5535" s="69">
        <v>61</v>
      </c>
      <c r="M5535" s="49" t="s">
        <v>6392</v>
      </c>
    </row>
    <row r="5536" spans="1:18" ht="14" x14ac:dyDescent="0.15">
      <c r="A5536" s="70" t="s">
        <v>7029</v>
      </c>
      <c r="B5536" s="118"/>
      <c r="C5536" s="121" t="s">
        <v>3636</v>
      </c>
      <c r="D5536" s="121" t="s">
        <v>3437</v>
      </c>
      <c r="E5536" s="121" t="s">
        <v>3457</v>
      </c>
      <c r="F5536" s="121" t="s">
        <v>3089</v>
      </c>
      <c r="G5536" s="121" t="s">
        <v>3306</v>
      </c>
      <c r="H5536" s="93"/>
      <c r="I5536" s="85">
        <f t="shared" si="207"/>
        <v>1.8394800000000002</v>
      </c>
      <c r="J5536" s="122">
        <v>69.100310680314522</v>
      </c>
      <c r="K5536" s="150" t="s">
        <v>6630</v>
      </c>
      <c r="L5536" s="69">
        <v>61</v>
      </c>
      <c r="M5536" s="49" t="s">
        <v>6728</v>
      </c>
      <c r="Q5536" s="6"/>
      <c r="R5536" s="6"/>
    </row>
    <row r="5537" spans="1:18" ht="14" x14ac:dyDescent="0.15">
      <c r="A5537" s="70" t="s">
        <v>7029</v>
      </c>
      <c r="B5537" s="118"/>
      <c r="C5537" s="121" t="s">
        <v>3636</v>
      </c>
      <c r="D5537" s="121" t="s">
        <v>3437</v>
      </c>
      <c r="E5537" s="121" t="s">
        <v>3457</v>
      </c>
      <c r="F5537" s="121" t="s">
        <v>3089</v>
      </c>
      <c r="G5537" s="121" t="s">
        <v>4369</v>
      </c>
      <c r="H5537" s="93"/>
      <c r="I5537" s="85">
        <f t="shared" si="207"/>
        <v>1.9278800000000003</v>
      </c>
      <c r="J5537" s="122">
        <v>84.699334889369382</v>
      </c>
      <c r="K5537" s="150" t="s">
        <v>3177</v>
      </c>
      <c r="L5537" s="69">
        <v>61</v>
      </c>
      <c r="Q5537" s="6"/>
      <c r="R5537" s="6"/>
    </row>
    <row r="5538" spans="1:18" ht="14" x14ac:dyDescent="0.15">
      <c r="A5538" s="70" t="s">
        <v>7029</v>
      </c>
      <c r="B5538" s="118"/>
      <c r="C5538" s="121" t="s">
        <v>3636</v>
      </c>
      <c r="D5538" s="121" t="s">
        <v>3437</v>
      </c>
      <c r="E5538" s="121" t="s">
        <v>3457</v>
      </c>
      <c r="F5538" s="121" t="s">
        <v>3089</v>
      </c>
      <c r="G5538" s="121" t="s">
        <v>4370</v>
      </c>
      <c r="H5538" s="93"/>
      <c r="I5538" s="85">
        <f t="shared" si="207"/>
        <v>2.0737199999999998</v>
      </c>
      <c r="J5538" s="122">
        <v>118.50045011936339</v>
      </c>
      <c r="K5538" s="150" t="s">
        <v>3177</v>
      </c>
      <c r="L5538" s="69">
        <v>61</v>
      </c>
      <c r="Q5538" s="6"/>
      <c r="R5538" s="6"/>
    </row>
    <row r="5539" spans="1:18" ht="14" x14ac:dyDescent="0.15">
      <c r="A5539" s="70" t="s">
        <v>7029</v>
      </c>
      <c r="B5539" s="118"/>
      <c r="C5539" s="121" t="s">
        <v>3636</v>
      </c>
      <c r="D5539" s="121" t="s">
        <v>3437</v>
      </c>
      <c r="E5539" s="121" t="s">
        <v>3457</v>
      </c>
      <c r="F5539" s="121" t="s">
        <v>4371</v>
      </c>
      <c r="G5539" s="121" t="s">
        <v>4372</v>
      </c>
      <c r="H5539" s="93"/>
      <c r="I5539" s="85">
        <f t="shared" si="207"/>
        <v>1.6349800000000003</v>
      </c>
      <c r="J5539" s="122">
        <v>43.149920509745968</v>
      </c>
      <c r="K5539" s="150" t="s">
        <v>3177</v>
      </c>
      <c r="L5539" s="60">
        <v>60</v>
      </c>
      <c r="Q5539" s="6"/>
      <c r="R5539" s="6"/>
    </row>
    <row r="5540" spans="1:18" ht="14" x14ac:dyDescent="0.15">
      <c r="A5540" s="70" t="s">
        <v>7029</v>
      </c>
      <c r="B5540" s="118"/>
      <c r="C5540" s="121" t="s">
        <v>3636</v>
      </c>
      <c r="D5540" s="121" t="s">
        <v>3437</v>
      </c>
      <c r="E5540" s="121" t="s">
        <v>3457</v>
      </c>
      <c r="F5540" s="121" t="s">
        <v>2901</v>
      </c>
      <c r="G5540" s="121" t="s">
        <v>3767</v>
      </c>
      <c r="H5540" s="93"/>
      <c r="I5540" s="85">
        <f t="shared" si="207"/>
        <v>2.1398799999999998</v>
      </c>
      <c r="J5540" s="122">
        <v>138.00029030247268</v>
      </c>
      <c r="K5540" s="150" t="s">
        <v>6630</v>
      </c>
      <c r="L5540" s="60">
        <v>60</v>
      </c>
      <c r="M5540" s="49" t="s">
        <v>6392</v>
      </c>
      <c r="Q5540" s="6"/>
      <c r="R5540" s="6"/>
    </row>
    <row r="5541" spans="1:18" ht="14" x14ac:dyDescent="0.15">
      <c r="A5541" s="70" t="s">
        <v>7029</v>
      </c>
      <c r="B5541" s="118"/>
      <c r="C5541" s="121" t="s">
        <v>3636</v>
      </c>
      <c r="D5541" s="121" t="s">
        <v>3437</v>
      </c>
      <c r="E5541" s="121" t="s">
        <v>3457</v>
      </c>
      <c r="F5541" s="121" t="s">
        <v>3341</v>
      </c>
      <c r="G5541" s="121" t="s">
        <v>3342</v>
      </c>
      <c r="H5541" s="93"/>
      <c r="I5541" s="85">
        <f t="shared" si="207"/>
        <v>1.98811</v>
      </c>
      <c r="J5541" s="122">
        <v>97.299363664014919</v>
      </c>
      <c r="K5541" s="150" t="s">
        <v>6630</v>
      </c>
      <c r="L5541" s="69">
        <v>61</v>
      </c>
      <c r="M5541" s="49" t="s">
        <v>6392</v>
      </c>
      <c r="Q5541" s="6"/>
      <c r="R5541" s="6"/>
    </row>
    <row r="5542" spans="1:18" ht="14" x14ac:dyDescent="0.15">
      <c r="A5542" s="70" t="s">
        <v>7029</v>
      </c>
      <c r="B5542" s="118"/>
      <c r="C5542" s="121" t="s">
        <v>3636</v>
      </c>
      <c r="D5542" s="121" t="s">
        <v>3437</v>
      </c>
      <c r="E5542" s="121" t="s">
        <v>3457</v>
      </c>
      <c r="F5542" s="121" t="s">
        <v>3777</v>
      </c>
      <c r="G5542" s="121" t="s">
        <v>3779</v>
      </c>
      <c r="H5542" s="93"/>
      <c r="I5542" s="85">
        <f t="shared" si="207"/>
        <v>2.0629599999999999</v>
      </c>
      <c r="J5542" s="122">
        <v>115.60057652230319</v>
      </c>
      <c r="K5542" s="150" t="s">
        <v>6630</v>
      </c>
      <c r="L5542" s="69">
        <v>61</v>
      </c>
      <c r="M5542" s="49" t="s">
        <v>6728</v>
      </c>
      <c r="Q5542" s="6"/>
      <c r="R5542" s="6"/>
    </row>
    <row r="5543" spans="1:18" ht="14" x14ac:dyDescent="0.15">
      <c r="A5543" s="70" t="s">
        <v>7029</v>
      </c>
      <c r="B5543" s="118"/>
      <c r="C5543" s="121" t="s">
        <v>3636</v>
      </c>
      <c r="D5543" s="121" t="s">
        <v>3437</v>
      </c>
      <c r="E5543" s="121" t="s">
        <v>3457</v>
      </c>
      <c r="F5543" s="121" t="s">
        <v>3777</v>
      </c>
      <c r="G5543" s="121" t="s">
        <v>3778</v>
      </c>
      <c r="H5543" s="93"/>
      <c r="I5543" s="85">
        <f t="shared" si="207"/>
        <v>2.2253100000000003</v>
      </c>
      <c r="J5543" s="122">
        <v>168.00027785329974</v>
      </c>
      <c r="K5543" s="150" t="s">
        <v>6630</v>
      </c>
      <c r="L5543" s="60">
        <v>60</v>
      </c>
      <c r="M5543" s="49" t="s">
        <v>6728</v>
      </c>
      <c r="Q5543" s="6"/>
      <c r="R5543" s="6"/>
    </row>
    <row r="5544" spans="1:18" ht="14" x14ac:dyDescent="0.15">
      <c r="A5544" s="70" t="s">
        <v>7029</v>
      </c>
      <c r="B5544" s="118"/>
      <c r="C5544" s="121" t="s">
        <v>3636</v>
      </c>
      <c r="D5544" s="121" t="s">
        <v>3437</v>
      </c>
      <c r="E5544" s="121" t="s">
        <v>3457</v>
      </c>
      <c r="F5544" s="121" t="s">
        <v>3780</v>
      </c>
      <c r="G5544" s="121" t="s">
        <v>4147</v>
      </c>
      <c r="H5544" s="93"/>
      <c r="I5544" s="85">
        <f t="shared" si="207"/>
        <v>1.7291600000000003</v>
      </c>
      <c r="J5544" s="122">
        <v>53.599408866270522</v>
      </c>
      <c r="K5544" s="150" t="s">
        <v>6630</v>
      </c>
      <c r="L5544" s="69">
        <v>61</v>
      </c>
      <c r="M5544" s="49" t="s">
        <v>6392</v>
      </c>
      <c r="Q5544" s="6"/>
      <c r="R5544" s="6"/>
    </row>
    <row r="5545" spans="1:18" ht="14" x14ac:dyDescent="0.15">
      <c r="A5545" s="70" t="s">
        <v>7029</v>
      </c>
      <c r="B5545" s="118"/>
      <c r="C5545" s="121" t="s">
        <v>3636</v>
      </c>
      <c r="D5545" s="121" t="s">
        <v>3437</v>
      </c>
      <c r="E5545" s="121" t="s">
        <v>3457</v>
      </c>
      <c r="F5545" s="121" t="s">
        <v>3781</v>
      </c>
      <c r="G5545" s="121" t="s">
        <v>3782</v>
      </c>
      <c r="H5545" s="93"/>
      <c r="I5545" s="85">
        <f t="shared" si="207"/>
        <v>1.6127800000000003</v>
      </c>
      <c r="J5545" s="122">
        <v>40.999635904176493</v>
      </c>
      <c r="K5545" s="150" t="s">
        <v>3177</v>
      </c>
      <c r="L5545" s="60">
        <v>60</v>
      </c>
      <c r="Q5545" s="6"/>
      <c r="R5545" s="6"/>
    </row>
    <row r="5546" spans="1:18" ht="14" x14ac:dyDescent="0.15">
      <c r="A5546" s="70" t="s">
        <v>7029</v>
      </c>
      <c r="B5546" s="118"/>
      <c r="C5546" s="121" t="s">
        <v>3636</v>
      </c>
      <c r="D5546" s="121" t="s">
        <v>3437</v>
      </c>
      <c r="E5546" s="121" t="s">
        <v>3457</v>
      </c>
      <c r="F5546" s="121" t="s">
        <v>3781</v>
      </c>
      <c r="G5546" s="121" t="s">
        <v>3783</v>
      </c>
      <c r="H5546" s="93"/>
      <c r="I5546" s="85">
        <f t="shared" si="207"/>
        <v>1.7283500000000003</v>
      </c>
      <c r="J5546" s="122">
        <v>53.499534101253595</v>
      </c>
      <c r="K5546" s="150" t="s">
        <v>3177</v>
      </c>
      <c r="L5546" s="69">
        <v>61</v>
      </c>
      <c r="Q5546" s="6"/>
      <c r="R5546" s="6"/>
    </row>
    <row r="5547" spans="1:18" ht="14" x14ac:dyDescent="0.15">
      <c r="A5547" s="70" t="s">
        <v>7029</v>
      </c>
      <c r="B5547" s="118"/>
      <c r="C5547" s="121" t="s">
        <v>3636</v>
      </c>
      <c r="D5547" s="121" t="s">
        <v>3437</v>
      </c>
      <c r="E5547" s="121" t="s">
        <v>3457</v>
      </c>
      <c r="F5547" s="121" t="s">
        <v>3781</v>
      </c>
      <c r="G5547" s="121" t="s">
        <v>4365</v>
      </c>
      <c r="H5547" s="93"/>
      <c r="I5547" s="85">
        <f t="shared" si="207"/>
        <v>1.7283500000000003</v>
      </c>
      <c r="J5547" s="122">
        <v>53.499534101253595</v>
      </c>
      <c r="K5547" s="150" t="s">
        <v>3177</v>
      </c>
      <c r="L5547" s="69">
        <v>61</v>
      </c>
      <c r="Q5547" s="6"/>
      <c r="R5547" s="6"/>
    </row>
    <row r="5548" spans="1:18" ht="14" x14ac:dyDescent="0.15">
      <c r="A5548" s="70" t="s">
        <v>7029</v>
      </c>
      <c r="B5548" s="118"/>
      <c r="C5548" s="121" t="s">
        <v>3636</v>
      </c>
      <c r="D5548" s="121" t="s">
        <v>3437</v>
      </c>
      <c r="E5548" s="121" t="s">
        <v>3457</v>
      </c>
      <c r="F5548" s="121" t="s">
        <v>4517</v>
      </c>
      <c r="G5548" s="121" t="s">
        <v>4496</v>
      </c>
      <c r="H5548" s="93"/>
      <c r="I5548" s="85">
        <f t="shared" si="207"/>
        <v>1.1303300000000003</v>
      </c>
      <c r="J5548" s="122">
        <v>13.499882857222524</v>
      </c>
      <c r="K5548" s="150" t="s">
        <v>3177</v>
      </c>
      <c r="L5548" s="69">
        <v>61</v>
      </c>
    </row>
    <row r="5549" spans="1:18" ht="14" x14ac:dyDescent="0.15">
      <c r="A5549" s="70" t="s">
        <v>7029</v>
      </c>
      <c r="B5549" s="118"/>
      <c r="C5549" s="121" t="s">
        <v>3636</v>
      </c>
      <c r="D5549" s="121" t="s">
        <v>3437</v>
      </c>
      <c r="E5549" s="121" t="s">
        <v>3457</v>
      </c>
      <c r="F5549" s="121" t="s">
        <v>4517</v>
      </c>
      <c r="G5549" s="121" t="s">
        <v>3695</v>
      </c>
      <c r="H5549" s="93"/>
      <c r="I5549" s="85">
        <f t="shared" si="207"/>
        <v>1.1303300000000003</v>
      </c>
      <c r="J5549" s="122">
        <v>13.499882857222524</v>
      </c>
      <c r="K5549" s="150" t="s">
        <v>3177</v>
      </c>
      <c r="L5549" s="69">
        <v>61</v>
      </c>
    </row>
    <row r="5550" spans="1:18" ht="16" x14ac:dyDescent="0.2">
      <c r="A5550" s="70" t="s">
        <v>7029</v>
      </c>
      <c r="B5550" s="118"/>
      <c r="C5550" s="121" t="s">
        <v>3636</v>
      </c>
      <c r="D5550" s="121" t="s">
        <v>3437</v>
      </c>
      <c r="E5550" s="121" t="s">
        <v>3457</v>
      </c>
      <c r="F5550" s="121" t="s">
        <v>7105</v>
      </c>
      <c r="G5550" s="121" t="s">
        <v>3550</v>
      </c>
      <c r="H5550" s="93"/>
      <c r="I5550" s="85">
        <f t="shared" si="207"/>
        <v>1.1522900000000003</v>
      </c>
      <c r="J5550" s="122">
        <v>14.200054133327482</v>
      </c>
      <c r="K5550" s="150" t="s">
        <v>3177</v>
      </c>
      <c r="L5550" s="69">
        <v>61</v>
      </c>
      <c r="N5550" s="48"/>
    </row>
    <row r="5551" spans="1:18" ht="14" x14ac:dyDescent="0.15">
      <c r="A5551" s="70" t="s">
        <v>7029</v>
      </c>
      <c r="B5551" s="118"/>
      <c r="C5551" s="121" t="s">
        <v>3636</v>
      </c>
      <c r="D5551" s="121" t="s">
        <v>3437</v>
      </c>
      <c r="E5551" s="121" t="s">
        <v>3457</v>
      </c>
      <c r="F5551" s="121" t="s">
        <v>7105</v>
      </c>
      <c r="G5551" s="121" t="s">
        <v>6341</v>
      </c>
      <c r="H5551" s="93"/>
      <c r="I5551" s="85">
        <f t="shared" si="207"/>
        <v>1.2787500000000001</v>
      </c>
      <c r="J5551" s="122">
        <v>18.999842462147331</v>
      </c>
      <c r="K5551" s="150" t="s">
        <v>3177</v>
      </c>
      <c r="L5551" s="69">
        <v>61</v>
      </c>
    </row>
    <row r="5552" spans="1:18" ht="14" x14ac:dyDescent="0.15">
      <c r="A5552" s="70" t="s">
        <v>7029</v>
      </c>
      <c r="B5552" s="118"/>
      <c r="C5552" s="121" t="s">
        <v>3636</v>
      </c>
      <c r="D5552" s="121" t="s">
        <v>3437</v>
      </c>
      <c r="E5552" s="121" t="s">
        <v>3457</v>
      </c>
      <c r="F5552" s="121" t="s">
        <v>7105</v>
      </c>
      <c r="G5552" s="121" t="s">
        <v>3551</v>
      </c>
      <c r="H5552" s="93"/>
      <c r="I5552" s="85">
        <f t="shared" si="207"/>
        <v>1.2787500000000001</v>
      </c>
      <c r="J5552" s="122">
        <v>18.999842462147331</v>
      </c>
      <c r="K5552" s="150" t="s">
        <v>3177</v>
      </c>
      <c r="L5552" s="60">
        <v>60</v>
      </c>
    </row>
    <row r="5553" spans="1:14" ht="14" x14ac:dyDescent="0.15">
      <c r="A5553" s="70" t="s">
        <v>7029</v>
      </c>
      <c r="B5553" s="117" t="s">
        <v>7166</v>
      </c>
      <c r="C5553" s="121" t="s">
        <v>3636</v>
      </c>
      <c r="D5553" s="121" t="s">
        <v>3437</v>
      </c>
      <c r="E5553" s="121" t="s">
        <v>3457</v>
      </c>
      <c r="F5553" s="121" t="s">
        <v>3093</v>
      </c>
      <c r="G5553" s="121" t="s">
        <v>5105</v>
      </c>
      <c r="H5553" s="93"/>
      <c r="I5553" s="85">
        <v>-999</v>
      </c>
      <c r="J5553" s="122">
        <v>-999</v>
      </c>
      <c r="K5553" s="150" t="s">
        <v>3177</v>
      </c>
      <c r="L5553" s="60">
        <v>-999</v>
      </c>
      <c r="M5553" s="33"/>
    </row>
    <row r="5554" spans="1:14" ht="14" x14ac:dyDescent="0.15">
      <c r="A5554" s="73" t="s">
        <v>7029</v>
      </c>
      <c r="B5554" s="118"/>
      <c r="C5554" s="121" t="s">
        <v>3636</v>
      </c>
      <c r="D5554" s="121" t="s">
        <v>3437</v>
      </c>
      <c r="E5554" s="121" t="s">
        <v>3457</v>
      </c>
      <c r="F5554" s="121" t="s">
        <v>3093</v>
      </c>
      <c r="G5554" s="121" t="s">
        <v>4668</v>
      </c>
      <c r="H5554" s="108"/>
      <c r="I5554" s="85">
        <f t="shared" ref="I5554:I5585" si="208">LOG(J5554)</f>
        <v>2.2804600000000002</v>
      </c>
      <c r="J5554" s="122">
        <v>190.74800304958731</v>
      </c>
      <c r="K5554" s="150" t="s">
        <v>3177</v>
      </c>
      <c r="L5554" s="60">
        <v>60</v>
      </c>
    </row>
    <row r="5555" spans="1:14" ht="14" x14ac:dyDescent="0.15">
      <c r="A5555" s="70" t="s">
        <v>7029</v>
      </c>
      <c r="B5555" s="118"/>
      <c r="C5555" s="121" t="s">
        <v>3636</v>
      </c>
      <c r="D5555" s="121" t="s">
        <v>3437</v>
      </c>
      <c r="E5555" s="121" t="s">
        <v>3457</v>
      </c>
      <c r="F5555" s="121" t="s">
        <v>3093</v>
      </c>
      <c r="G5555" s="121" t="s">
        <v>7023</v>
      </c>
      <c r="H5555" s="93"/>
      <c r="I5555" s="85">
        <f t="shared" si="208"/>
        <v>2.3958499999999998</v>
      </c>
      <c r="J5555" s="122">
        <v>248.79978458526151</v>
      </c>
      <c r="K5555" s="150" t="s">
        <v>3177</v>
      </c>
      <c r="L5555" s="69">
        <v>61</v>
      </c>
      <c r="M5555" s="49" t="s">
        <v>6809</v>
      </c>
    </row>
    <row r="5556" spans="1:14" ht="14" x14ac:dyDescent="0.15">
      <c r="A5556" s="73" t="s">
        <v>7029</v>
      </c>
      <c r="B5556" s="118"/>
      <c r="C5556" s="121" t="s">
        <v>3636</v>
      </c>
      <c r="D5556" s="121" t="s">
        <v>3437</v>
      </c>
      <c r="E5556" s="121" t="s">
        <v>3457</v>
      </c>
      <c r="F5556" s="121" t="s">
        <v>3094</v>
      </c>
      <c r="G5556" s="121" t="s">
        <v>3144</v>
      </c>
      <c r="H5556" s="93"/>
      <c r="I5556" s="85">
        <f t="shared" si="208"/>
        <v>1.8095600000000001</v>
      </c>
      <c r="J5556" s="122">
        <v>64.500042381453241</v>
      </c>
      <c r="K5556" s="150" t="s">
        <v>3177</v>
      </c>
      <c r="L5556" s="69">
        <v>61</v>
      </c>
    </row>
    <row r="5557" spans="1:14" ht="14" x14ac:dyDescent="0.15">
      <c r="A5557" s="70" t="s">
        <v>7029</v>
      </c>
      <c r="B5557" s="118"/>
      <c r="C5557" s="121" t="s">
        <v>3636</v>
      </c>
      <c r="D5557" s="121" t="s">
        <v>3437</v>
      </c>
      <c r="E5557" s="121" t="s">
        <v>3457</v>
      </c>
      <c r="F5557" s="121" t="s">
        <v>4520</v>
      </c>
      <c r="G5557" s="121" t="s">
        <v>7100</v>
      </c>
      <c r="H5557" s="93"/>
      <c r="I5557" s="85">
        <f t="shared" si="208"/>
        <v>0.67210000000000014</v>
      </c>
      <c r="J5557" s="122">
        <v>4.7000231817980112</v>
      </c>
      <c r="K5557" s="150" t="s">
        <v>3177</v>
      </c>
      <c r="L5557" s="60">
        <v>60</v>
      </c>
      <c r="M5557" s="49" t="s">
        <v>6390</v>
      </c>
    </row>
    <row r="5558" spans="1:14" ht="14" x14ac:dyDescent="0.15">
      <c r="A5558" s="70" t="s">
        <v>7029</v>
      </c>
      <c r="B5558" s="118"/>
      <c r="C5558" s="121" t="s">
        <v>3636</v>
      </c>
      <c r="D5558" s="121" t="s">
        <v>3437</v>
      </c>
      <c r="E5558" s="121" t="s">
        <v>3457</v>
      </c>
      <c r="F5558" s="121" t="s">
        <v>4520</v>
      </c>
      <c r="G5558" s="121" t="s">
        <v>2309</v>
      </c>
      <c r="H5558" s="93"/>
      <c r="I5558" s="85">
        <f t="shared" si="208"/>
        <v>1.5966000000000002</v>
      </c>
      <c r="J5558" s="122">
        <v>39.500264159788394</v>
      </c>
      <c r="K5558" s="150" t="s">
        <v>3177</v>
      </c>
      <c r="L5558" s="69">
        <v>61</v>
      </c>
    </row>
    <row r="5559" spans="1:14" ht="14" x14ac:dyDescent="0.15">
      <c r="A5559" s="70" t="s">
        <v>7029</v>
      </c>
      <c r="B5559" s="118"/>
      <c r="C5559" s="121" t="s">
        <v>3636</v>
      </c>
      <c r="D5559" s="121" t="s">
        <v>3437</v>
      </c>
      <c r="E5559" s="121" t="s">
        <v>3457</v>
      </c>
      <c r="F5559" s="121" t="s">
        <v>4520</v>
      </c>
      <c r="G5559" s="121" t="s">
        <v>4521</v>
      </c>
      <c r="H5559" s="93"/>
      <c r="I5559" s="85">
        <f t="shared" si="208"/>
        <v>1.60206</v>
      </c>
      <c r="J5559" s="122">
        <v>40.000000798724201</v>
      </c>
      <c r="K5559" s="150" t="s">
        <v>3177</v>
      </c>
      <c r="L5559" s="69">
        <v>61</v>
      </c>
      <c r="M5559" s="49" t="s">
        <v>6390</v>
      </c>
    </row>
    <row r="5560" spans="1:14" ht="14" x14ac:dyDescent="0.15">
      <c r="A5560" s="70" t="s">
        <v>7029</v>
      </c>
      <c r="B5560" s="118"/>
      <c r="C5560" s="121" t="s">
        <v>3636</v>
      </c>
      <c r="D5560" s="121" t="s">
        <v>3437</v>
      </c>
      <c r="E5560" s="121" t="s">
        <v>3457</v>
      </c>
      <c r="F5560" s="121" t="s">
        <v>4520</v>
      </c>
      <c r="G5560" s="121" t="s">
        <v>7101</v>
      </c>
      <c r="H5560" s="93"/>
      <c r="I5560" s="85">
        <f t="shared" si="208"/>
        <v>1.60206</v>
      </c>
      <c r="J5560" s="122">
        <v>40.000000798724201</v>
      </c>
      <c r="K5560" s="150" t="s">
        <v>3177</v>
      </c>
      <c r="L5560" s="69">
        <v>61</v>
      </c>
      <c r="M5560" s="49" t="s">
        <v>6390</v>
      </c>
    </row>
    <row r="5561" spans="1:14" ht="14" x14ac:dyDescent="0.15">
      <c r="A5561" s="70" t="s">
        <v>7029</v>
      </c>
      <c r="B5561" s="118"/>
      <c r="C5561" s="121" t="s">
        <v>3636</v>
      </c>
      <c r="D5561" s="121" t="s">
        <v>3437</v>
      </c>
      <c r="E5561" s="121" t="s">
        <v>3457</v>
      </c>
      <c r="F5561" s="121" t="s">
        <v>4520</v>
      </c>
      <c r="G5561" s="121" t="s">
        <v>7102</v>
      </c>
      <c r="H5561" s="93"/>
      <c r="I5561" s="85">
        <f t="shared" si="208"/>
        <v>1.6730200000000002</v>
      </c>
      <c r="J5561" s="122">
        <v>47.099901620379349</v>
      </c>
      <c r="K5561" s="150" t="s">
        <v>3177</v>
      </c>
      <c r="L5561" s="69">
        <v>61</v>
      </c>
      <c r="M5561" s="49" t="s">
        <v>6390</v>
      </c>
    </row>
    <row r="5562" spans="1:14" ht="14" x14ac:dyDescent="0.15">
      <c r="A5562" s="70" t="s">
        <v>7029</v>
      </c>
      <c r="B5562" s="118"/>
      <c r="C5562" s="121" t="s">
        <v>3636</v>
      </c>
      <c r="D5562" s="121" t="s">
        <v>3437</v>
      </c>
      <c r="E5562" s="121" t="s">
        <v>3457</v>
      </c>
      <c r="F5562" s="121" t="s">
        <v>4480</v>
      </c>
      <c r="G5562" s="121" t="s">
        <v>4474</v>
      </c>
      <c r="H5562" s="93"/>
      <c r="I5562" s="85">
        <f t="shared" si="208"/>
        <v>1.3283799999999999</v>
      </c>
      <c r="J5562" s="122">
        <v>21.300019449380763</v>
      </c>
      <c r="K5562" s="150" t="s">
        <v>3177</v>
      </c>
      <c r="L5562" s="69">
        <v>61</v>
      </c>
    </row>
    <row r="5563" spans="1:14" ht="14" x14ac:dyDescent="0.15">
      <c r="A5563" s="70" t="s">
        <v>7029</v>
      </c>
      <c r="B5563" s="118"/>
      <c r="C5563" s="121" t="s">
        <v>3636</v>
      </c>
      <c r="D5563" s="121" t="s">
        <v>3437</v>
      </c>
      <c r="E5563" s="121" t="s">
        <v>3457</v>
      </c>
      <c r="F5563" s="121" t="s">
        <v>4475</v>
      </c>
      <c r="G5563" s="121" t="s">
        <v>3829</v>
      </c>
      <c r="H5563" s="93"/>
      <c r="I5563" s="85">
        <f t="shared" si="208"/>
        <v>1.5314800000000002</v>
      </c>
      <c r="J5563" s="122">
        <v>34.000084782585944</v>
      </c>
      <c r="K5563" s="150" t="s">
        <v>3177</v>
      </c>
      <c r="L5563" s="60">
        <v>60</v>
      </c>
    </row>
    <row r="5564" spans="1:14" ht="16" x14ac:dyDescent="0.2">
      <c r="A5564" s="70" t="s">
        <v>7029</v>
      </c>
      <c r="B5564" s="118"/>
      <c r="C5564" s="121" t="s">
        <v>3636</v>
      </c>
      <c r="D5564" s="121" t="s">
        <v>3437</v>
      </c>
      <c r="E5564" s="121" t="s">
        <v>3457</v>
      </c>
      <c r="F5564" s="121" t="s">
        <v>4475</v>
      </c>
      <c r="G5564" s="121" t="s">
        <v>3388</v>
      </c>
      <c r="H5564" s="93"/>
      <c r="I5564" s="85">
        <f t="shared" si="208"/>
        <v>1.7892300000000003</v>
      </c>
      <c r="J5564" s="122">
        <v>61.550275332678588</v>
      </c>
      <c r="K5564" s="150" t="s">
        <v>3177</v>
      </c>
      <c r="L5564" s="60">
        <v>60</v>
      </c>
      <c r="N5564" s="48"/>
    </row>
    <row r="5565" spans="1:14" ht="14" x14ac:dyDescent="0.15">
      <c r="A5565" s="70" t="s">
        <v>7029</v>
      </c>
      <c r="B5565" s="118"/>
      <c r="C5565" s="121" t="s">
        <v>3636</v>
      </c>
      <c r="D5565" s="121" t="s">
        <v>3437</v>
      </c>
      <c r="E5565" s="121" t="s">
        <v>3457</v>
      </c>
      <c r="F5565" s="121" t="s">
        <v>4475</v>
      </c>
      <c r="G5565" s="121" t="s">
        <v>4478</v>
      </c>
      <c r="H5565" s="93"/>
      <c r="I5565" s="85">
        <f t="shared" si="208"/>
        <v>1.7958800000000001</v>
      </c>
      <c r="J5565" s="122">
        <v>62.499997503987004</v>
      </c>
      <c r="K5565" s="150" t="s">
        <v>3177</v>
      </c>
      <c r="L5565" s="69">
        <v>61</v>
      </c>
    </row>
    <row r="5566" spans="1:14" ht="14" x14ac:dyDescent="0.15">
      <c r="A5566" s="70" t="s">
        <v>7029</v>
      </c>
      <c r="B5566" s="118"/>
      <c r="C5566" s="121" t="s">
        <v>3636</v>
      </c>
      <c r="D5566" s="121" t="s">
        <v>3437</v>
      </c>
      <c r="E5566" s="121" t="s">
        <v>3457</v>
      </c>
      <c r="F5566" s="121" t="s">
        <v>4475</v>
      </c>
      <c r="G5566" s="121" t="s">
        <v>4476</v>
      </c>
      <c r="H5566" s="93"/>
      <c r="I5566" s="85">
        <f t="shared" si="208"/>
        <v>1.8657000000000001</v>
      </c>
      <c r="J5566" s="122">
        <v>73.400665915604193</v>
      </c>
      <c r="K5566" s="150" t="s">
        <v>3177</v>
      </c>
      <c r="L5566" s="69">
        <v>61</v>
      </c>
      <c r="M5566" s="49" t="s">
        <v>6390</v>
      </c>
    </row>
    <row r="5567" spans="1:14" ht="14" x14ac:dyDescent="0.15">
      <c r="A5567" s="70" t="s">
        <v>7029</v>
      </c>
      <c r="B5567" s="118"/>
      <c r="C5567" s="121" t="s">
        <v>3636</v>
      </c>
      <c r="D5567" s="121" t="s">
        <v>3437</v>
      </c>
      <c r="E5567" s="121" t="s">
        <v>3457</v>
      </c>
      <c r="F5567" s="121" t="s">
        <v>4475</v>
      </c>
      <c r="G5567" s="121" t="s">
        <v>4477</v>
      </c>
      <c r="H5567" s="93"/>
      <c r="I5567" s="85">
        <f t="shared" si="208"/>
        <v>1.8657000000000001</v>
      </c>
      <c r="J5567" s="122">
        <v>73.400665915604193</v>
      </c>
      <c r="K5567" s="150" t="s">
        <v>3177</v>
      </c>
      <c r="L5567" s="69">
        <v>61</v>
      </c>
    </row>
    <row r="5568" spans="1:14" ht="14" x14ac:dyDescent="0.15">
      <c r="A5568" s="70" t="s">
        <v>7029</v>
      </c>
      <c r="B5568" s="118"/>
      <c r="C5568" s="121" t="s">
        <v>3636</v>
      </c>
      <c r="D5568" s="121" t="s">
        <v>3437</v>
      </c>
      <c r="E5568" s="121" t="s">
        <v>3457</v>
      </c>
      <c r="F5568" s="121" t="s">
        <v>4475</v>
      </c>
      <c r="G5568" s="121" t="s">
        <v>4479</v>
      </c>
      <c r="H5568" s="93"/>
      <c r="I5568" s="85">
        <f t="shared" si="208"/>
        <v>1.8657000000000001</v>
      </c>
      <c r="J5568" s="122">
        <v>73.400665915604193</v>
      </c>
      <c r="K5568" s="150" t="s">
        <v>3177</v>
      </c>
      <c r="L5568" s="69">
        <v>61</v>
      </c>
    </row>
    <row r="5569" spans="1:14" ht="14" x14ac:dyDescent="0.15">
      <c r="A5569" s="70" t="s">
        <v>7029</v>
      </c>
      <c r="B5569" s="118"/>
      <c r="C5569" s="121" t="s">
        <v>3636</v>
      </c>
      <c r="D5569" s="121" t="s">
        <v>3437</v>
      </c>
      <c r="E5569" s="121" t="s">
        <v>3457</v>
      </c>
      <c r="F5569" s="121" t="s">
        <v>4475</v>
      </c>
      <c r="G5569" s="121" t="s">
        <v>1962</v>
      </c>
      <c r="H5569" s="93"/>
      <c r="I5569" s="85">
        <f t="shared" si="208"/>
        <v>1.8657000000000001</v>
      </c>
      <c r="J5569" s="122">
        <v>73.400665915604193</v>
      </c>
      <c r="K5569" s="150" t="s">
        <v>3177</v>
      </c>
      <c r="L5569" s="69">
        <v>61</v>
      </c>
    </row>
    <row r="5570" spans="1:14" ht="14" x14ac:dyDescent="0.15">
      <c r="A5570" s="73" t="s">
        <v>7029</v>
      </c>
      <c r="B5570" s="118"/>
      <c r="C5570" s="121" t="s">
        <v>3636</v>
      </c>
      <c r="D5570" s="121" t="s">
        <v>3437</v>
      </c>
      <c r="E5570" s="121" t="s">
        <v>3457</v>
      </c>
      <c r="F5570" s="121" t="s">
        <v>4475</v>
      </c>
      <c r="G5570" s="121" t="s">
        <v>1963</v>
      </c>
      <c r="H5570" s="93"/>
      <c r="I5570" s="85">
        <f t="shared" si="208"/>
        <v>1.8657000000000001</v>
      </c>
      <c r="J5570" s="122">
        <v>73.400665915604193</v>
      </c>
      <c r="K5570" s="150" t="s">
        <v>3177</v>
      </c>
      <c r="L5570" s="69">
        <v>61</v>
      </c>
    </row>
    <row r="5571" spans="1:14" ht="14" x14ac:dyDescent="0.15">
      <c r="A5571" s="70" t="s">
        <v>7029</v>
      </c>
      <c r="B5571" s="118"/>
      <c r="C5571" s="121" t="s">
        <v>3636</v>
      </c>
      <c r="D5571" s="121" t="s">
        <v>3437</v>
      </c>
      <c r="E5571" s="121" t="s">
        <v>3457</v>
      </c>
      <c r="F5571" s="121" t="s">
        <v>4475</v>
      </c>
      <c r="G5571" s="121" t="s">
        <v>4483</v>
      </c>
      <c r="H5571" s="93"/>
      <c r="I5571" s="85">
        <f t="shared" si="208"/>
        <v>1.8657000000000001</v>
      </c>
      <c r="J5571" s="122">
        <v>73.400665915604193</v>
      </c>
      <c r="K5571" s="150" t="s">
        <v>3177</v>
      </c>
      <c r="L5571" s="69">
        <v>61</v>
      </c>
    </row>
    <row r="5572" spans="1:14" ht="14" x14ac:dyDescent="0.15">
      <c r="A5572" s="70" t="s">
        <v>7029</v>
      </c>
      <c r="B5572" s="118"/>
      <c r="C5572" s="121" t="s">
        <v>3636</v>
      </c>
      <c r="D5572" s="121" t="s">
        <v>3437</v>
      </c>
      <c r="E5572" s="121" t="s">
        <v>3457</v>
      </c>
      <c r="F5572" s="121" t="s">
        <v>4475</v>
      </c>
      <c r="G5572" s="121" t="s">
        <v>4226</v>
      </c>
      <c r="H5572" s="93"/>
      <c r="I5572" s="85">
        <f t="shared" si="208"/>
        <v>1.8657000000000001</v>
      </c>
      <c r="J5572" s="122">
        <v>73.400665915604193</v>
      </c>
      <c r="K5572" s="150" t="s">
        <v>3177</v>
      </c>
      <c r="L5572" s="69">
        <v>61</v>
      </c>
    </row>
    <row r="5573" spans="1:14" ht="14" x14ac:dyDescent="0.15">
      <c r="A5573" s="70" t="s">
        <v>7029</v>
      </c>
      <c r="B5573" s="118"/>
      <c r="C5573" s="121" t="s">
        <v>3636</v>
      </c>
      <c r="D5573" s="121" t="s">
        <v>3437</v>
      </c>
      <c r="E5573" s="121" t="s">
        <v>3457</v>
      </c>
      <c r="F5573" s="121" t="s">
        <v>4475</v>
      </c>
      <c r="G5573" s="121" t="s">
        <v>4484</v>
      </c>
      <c r="H5573" s="93"/>
      <c r="I5573" s="85">
        <f t="shared" si="208"/>
        <v>1.8657000000000001</v>
      </c>
      <c r="J5573" s="122">
        <v>73.400665915604193</v>
      </c>
      <c r="K5573" s="150" t="s">
        <v>3177</v>
      </c>
      <c r="L5573" s="69">
        <v>61</v>
      </c>
    </row>
    <row r="5574" spans="1:14" ht="14" x14ac:dyDescent="0.15">
      <c r="A5574" s="70" t="s">
        <v>7029</v>
      </c>
      <c r="B5574" s="118"/>
      <c r="C5574" s="121" t="s">
        <v>3636</v>
      </c>
      <c r="D5574" s="121" t="s">
        <v>3437</v>
      </c>
      <c r="E5574" s="121" t="s">
        <v>3457</v>
      </c>
      <c r="F5574" s="121" t="s">
        <v>4475</v>
      </c>
      <c r="G5574" s="121" t="s">
        <v>4486</v>
      </c>
      <c r="H5574" s="93"/>
      <c r="I5574" s="85">
        <f t="shared" si="208"/>
        <v>1.8657000000000001</v>
      </c>
      <c r="J5574" s="122">
        <v>73.400665915604193</v>
      </c>
      <c r="K5574" s="150" t="s">
        <v>3177</v>
      </c>
      <c r="L5574" s="69">
        <v>61</v>
      </c>
    </row>
    <row r="5575" spans="1:14" ht="14" x14ac:dyDescent="0.15">
      <c r="A5575" s="70" t="s">
        <v>7029</v>
      </c>
      <c r="B5575" s="118"/>
      <c r="C5575" s="121" t="s">
        <v>3636</v>
      </c>
      <c r="D5575" s="121" t="s">
        <v>3437</v>
      </c>
      <c r="E5575" s="121" t="s">
        <v>3457</v>
      </c>
      <c r="F5575" s="121" t="s">
        <v>4475</v>
      </c>
      <c r="G5575" s="121" t="s">
        <v>4665</v>
      </c>
      <c r="H5575" s="93"/>
      <c r="I5575" s="85">
        <f t="shared" si="208"/>
        <v>1.8657000000000001</v>
      </c>
      <c r="J5575" s="122">
        <v>73.400665915604193</v>
      </c>
      <c r="K5575" s="150" t="s">
        <v>3177</v>
      </c>
      <c r="L5575" s="69">
        <v>61</v>
      </c>
    </row>
    <row r="5576" spans="1:14" ht="14" x14ac:dyDescent="0.15">
      <c r="A5576" s="70" t="s">
        <v>7029</v>
      </c>
      <c r="B5576" s="118"/>
      <c r="C5576" s="121" t="s">
        <v>3636</v>
      </c>
      <c r="D5576" s="121" t="s">
        <v>3437</v>
      </c>
      <c r="E5576" s="121" t="s">
        <v>3457</v>
      </c>
      <c r="F5576" s="121" t="s">
        <v>3646</v>
      </c>
      <c r="G5576" s="121" t="s">
        <v>4673</v>
      </c>
      <c r="H5576" s="93"/>
      <c r="I5576" s="85">
        <f t="shared" si="208"/>
        <v>1.3117500000000002</v>
      </c>
      <c r="J5576" s="122">
        <v>20.499817747416984</v>
      </c>
      <c r="K5576" s="150" t="s">
        <v>3177</v>
      </c>
      <c r="L5576" s="60">
        <v>60</v>
      </c>
    </row>
    <row r="5577" spans="1:14" ht="14" x14ac:dyDescent="0.15">
      <c r="A5577" s="70" t="s">
        <v>7029</v>
      </c>
      <c r="B5577" s="118"/>
      <c r="C5577" s="121" t="s">
        <v>3636</v>
      </c>
      <c r="D5577" s="121" t="s">
        <v>3437</v>
      </c>
      <c r="E5577" s="121" t="s">
        <v>3457</v>
      </c>
      <c r="F5577" s="121" t="s">
        <v>3646</v>
      </c>
      <c r="G5577" s="121" t="s">
        <v>7315</v>
      </c>
      <c r="H5577" s="93"/>
      <c r="I5577" s="85">
        <f t="shared" si="208"/>
        <v>1.3283799999999999</v>
      </c>
      <c r="J5577" s="122">
        <v>21.300019449380763</v>
      </c>
      <c r="K5577" s="150" t="s">
        <v>3177</v>
      </c>
      <c r="L5577" s="60">
        <v>60</v>
      </c>
    </row>
    <row r="5578" spans="1:14" ht="14" x14ac:dyDescent="0.15">
      <c r="A5578" s="70" t="s">
        <v>7029</v>
      </c>
      <c r="B5578" s="118"/>
      <c r="C5578" s="121" t="s">
        <v>3636</v>
      </c>
      <c r="D5578" s="121" t="s">
        <v>3437</v>
      </c>
      <c r="E5578" s="121" t="s">
        <v>3457</v>
      </c>
      <c r="F5578" s="121" t="s">
        <v>3646</v>
      </c>
      <c r="G5578" s="121" t="s">
        <v>2212</v>
      </c>
      <c r="H5578" s="93"/>
      <c r="I5578" s="85">
        <f t="shared" si="208"/>
        <v>1.3521800000000002</v>
      </c>
      <c r="J5578" s="122">
        <v>22.499869541650284</v>
      </c>
      <c r="K5578" s="150" t="s">
        <v>3177</v>
      </c>
      <c r="L5578" s="60">
        <v>60</v>
      </c>
    </row>
    <row r="5579" spans="1:14" ht="16" x14ac:dyDescent="0.2">
      <c r="A5579" s="70" t="s">
        <v>7029</v>
      </c>
      <c r="B5579" s="118"/>
      <c r="C5579" s="121" t="s">
        <v>3636</v>
      </c>
      <c r="D5579" s="121" t="s">
        <v>3437</v>
      </c>
      <c r="E5579" s="121" t="s">
        <v>3457</v>
      </c>
      <c r="F5579" s="121" t="s">
        <v>3646</v>
      </c>
      <c r="G5579" s="121" t="s">
        <v>3733</v>
      </c>
      <c r="H5579" s="93"/>
      <c r="I5579" s="85">
        <f t="shared" si="208"/>
        <v>1.3617300000000003</v>
      </c>
      <c r="J5579" s="122">
        <v>23.000114603619075</v>
      </c>
      <c r="K5579" s="150" t="s">
        <v>3177</v>
      </c>
      <c r="L5579" s="60">
        <v>60</v>
      </c>
      <c r="N5579" s="48"/>
    </row>
    <row r="5580" spans="1:14" ht="14" x14ac:dyDescent="0.15">
      <c r="A5580" s="70" t="s">
        <v>7029</v>
      </c>
      <c r="B5580" s="118"/>
      <c r="C5580" s="121" t="s">
        <v>3636</v>
      </c>
      <c r="D5580" s="121" t="s">
        <v>3437</v>
      </c>
      <c r="E5580" s="121" t="s">
        <v>3457</v>
      </c>
      <c r="F5580" s="121" t="s">
        <v>3646</v>
      </c>
      <c r="G5580" s="121" t="s">
        <v>3188</v>
      </c>
      <c r="H5580" s="93"/>
      <c r="I5580" s="85">
        <f t="shared" si="208"/>
        <v>1.3979400000000002</v>
      </c>
      <c r="J5580" s="122">
        <v>24.999999500797397</v>
      </c>
      <c r="K5580" s="150" t="s">
        <v>3177</v>
      </c>
      <c r="L5580" s="60">
        <v>60</v>
      </c>
    </row>
    <row r="5581" spans="1:14" ht="14" x14ac:dyDescent="0.15">
      <c r="A5581" s="70" t="s">
        <v>7029</v>
      </c>
      <c r="B5581" s="118"/>
      <c r="C5581" s="121" t="s">
        <v>3636</v>
      </c>
      <c r="D5581" s="121" t="s">
        <v>3437</v>
      </c>
      <c r="E5581" s="121" t="s">
        <v>3457</v>
      </c>
      <c r="F5581" s="121" t="s">
        <v>3646</v>
      </c>
      <c r="G5581" s="121" t="s">
        <v>3765</v>
      </c>
      <c r="H5581" s="93"/>
      <c r="I5581" s="85">
        <f t="shared" si="208"/>
        <v>1.4014</v>
      </c>
      <c r="J5581" s="122">
        <v>25.199968621092381</v>
      </c>
      <c r="K5581" s="150" t="s">
        <v>3177</v>
      </c>
      <c r="L5581" s="69">
        <v>61</v>
      </c>
    </row>
    <row r="5582" spans="1:14" ht="14" x14ac:dyDescent="0.15">
      <c r="A5582" s="70" t="s">
        <v>7029</v>
      </c>
      <c r="B5582" s="118"/>
      <c r="C5582" s="121" t="s">
        <v>3636</v>
      </c>
      <c r="D5582" s="121" t="s">
        <v>3437</v>
      </c>
      <c r="E5582" s="121" t="s">
        <v>3457</v>
      </c>
      <c r="F5582" s="121" t="s">
        <v>3646</v>
      </c>
      <c r="G5582" s="121" t="s">
        <v>4666</v>
      </c>
      <c r="H5582" s="93"/>
      <c r="I5582" s="85">
        <f t="shared" si="208"/>
        <v>1.4014</v>
      </c>
      <c r="J5582" s="122">
        <v>25.199968621092381</v>
      </c>
      <c r="K5582" s="150" t="s">
        <v>3177</v>
      </c>
      <c r="L5582" s="69">
        <v>61</v>
      </c>
    </row>
    <row r="5583" spans="1:14" ht="14" x14ac:dyDescent="0.15">
      <c r="A5583" s="70" t="s">
        <v>7029</v>
      </c>
      <c r="B5583" s="118"/>
      <c r="C5583" s="121" t="s">
        <v>3636</v>
      </c>
      <c r="D5583" s="121" t="s">
        <v>3437</v>
      </c>
      <c r="E5583" s="121" t="s">
        <v>3457</v>
      </c>
      <c r="F5583" s="121" t="s">
        <v>3646</v>
      </c>
      <c r="G5583" s="121" t="s">
        <v>4667</v>
      </c>
      <c r="H5583" s="93"/>
      <c r="I5583" s="85">
        <f t="shared" si="208"/>
        <v>1.4014</v>
      </c>
      <c r="J5583" s="122">
        <v>25.199968621092381</v>
      </c>
      <c r="K5583" s="150" t="s">
        <v>3177</v>
      </c>
      <c r="L5583" s="69">
        <v>61</v>
      </c>
      <c r="M5583" s="49" t="s">
        <v>6727</v>
      </c>
    </row>
    <row r="5584" spans="1:14" ht="14" x14ac:dyDescent="0.15">
      <c r="A5584" s="70" t="s">
        <v>7029</v>
      </c>
      <c r="B5584" s="118"/>
      <c r="C5584" s="121" t="s">
        <v>3636</v>
      </c>
      <c r="D5584" s="121" t="s">
        <v>3437</v>
      </c>
      <c r="E5584" s="121" t="s">
        <v>3457</v>
      </c>
      <c r="F5584" s="121" t="s">
        <v>3646</v>
      </c>
      <c r="G5584" s="121" t="s">
        <v>3552</v>
      </c>
      <c r="H5584" s="93"/>
      <c r="I5584" s="85">
        <f t="shared" si="208"/>
        <v>1.4014</v>
      </c>
      <c r="J5584" s="122">
        <v>25.199968621092381</v>
      </c>
      <c r="K5584" s="150" t="s">
        <v>3177</v>
      </c>
      <c r="L5584" s="69">
        <v>61</v>
      </c>
    </row>
    <row r="5585" spans="1:14" ht="14" x14ac:dyDescent="0.15">
      <c r="A5585" s="70" t="s">
        <v>7029</v>
      </c>
      <c r="B5585" s="118"/>
      <c r="C5585" s="121" t="s">
        <v>3636</v>
      </c>
      <c r="D5585" s="121" t="s">
        <v>3437</v>
      </c>
      <c r="E5585" s="121" t="s">
        <v>3457</v>
      </c>
      <c r="F5585" s="121" t="s">
        <v>3646</v>
      </c>
      <c r="G5585" s="121" t="s">
        <v>3507</v>
      </c>
      <c r="H5585" s="93"/>
      <c r="I5585" s="85">
        <f t="shared" si="208"/>
        <v>1.4014</v>
      </c>
      <c r="J5585" s="122">
        <v>25.199968621092381</v>
      </c>
      <c r="K5585" s="150" t="s">
        <v>3177</v>
      </c>
      <c r="L5585" s="69">
        <v>61</v>
      </c>
    </row>
    <row r="5586" spans="1:14" ht="16" x14ac:dyDescent="0.2">
      <c r="A5586" s="73" t="s">
        <v>7029</v>
      </c>
      <c r="B5586" s="118"/>
      <c r="C5586" s="121" t="s">
        <v>3636</v>
      </c>
      <c r="D5586" s="121" t="s">
        <v>3437</v>
      </c>
      <c r="E5586" s="121" t="s">
        <v>3457</v>
      </c>
      <c r="F5586" s="121" t="s">
        <v>3646</v>
      </c>
      <c r="G5586" s="121" t="s">
        <v>3116</v>
      </c>
      <c r="H5586" s="93"/>
      <c r="I5586" s="85">
        <f t="shared" ref="I5586:I5617" si="209">LOG(J5586)</f>
        <v>1.4313637641589874</v>
      </c>
      <c r="J5586" s="122">
        <v>27</v>
      </c>
      <c r="K5586" s="150" t="s">
        <v>3177</v>
      </c>
      <c r="L5586" s="69">
        <v>61</v>
      </c>
      <c r="N5586" s="48"/>
    </row>
    <row r="5587" spans="1:14" ht="16" x14ac:dyDescent="0.2">
      <c r="A5587" s="70" t="s">
        <v>7029</v>
      </c>
      <c r="B5587" s="118"/>
      <c r="C5587" s="121" t="s">
        <v>3636</v>
      </c>
      <c r="D5587" s="121" t="s">
        <v>3437</v>
      </c>
      <c r="E5587" s="121" t="s">
        <v>3457</v>
      </c>
      <c r="F5587" s="121" t="s">
        <v>3646</v>
      </c>
      <c r="G5587" s="121" t="s">
        <v>7059</v>
      </c>
      <c r="H5587" s="93"/>
      <c r="I5587" s="85">
        <f t="shared" si="209"/>
        <v>1.4683500000000003</v>
      </c>
      <c r="J5587" s="122">
        <v>29.400180720978682</v>
      </c>
      <c r="K5587" s="150" t="s">
        <v>3177</v>
      </c>
      <c r="L5587" s="69">
        <v>61</v>
      </c>
      <c r="N5587" s="48"/>
    </row>
    <row r="5588" spans="1:14" ht="14" x14ac:dyDescent="0.15">
      <c r="A5588" s="70" t="s">
        <v>7029</v>
      </c>
      <c r="B5588" s="118"/>
      <c r="C5588" s="121" t="s">
        <v>3636</v>
      </c>
      <c r="D5588" s="121" t="s">
        <v>3437</v>
      </c>
      <c r="E5588" s="121" t="s">
        <v>3457</v>
      </c>
      <c r="F5588" s="121" t="s">
        <v>3646</v>
      </c>
      <c r="G5588" s="121" t="s">
        <v>7095</v>
      </c>
      <c r="H5588" s="93"/>
      <c r="I5588" s="85">
        <f t="shared" si="209"/>
        <v>1.4771200000000002</v>
      </c>
      <c r="J5588" s="122">
        <v>29.999913327161494</v>
      </c>
      <c r="K5588" s="150" t="s">
        <v>3177</v>
      </c>
      <c r="L5588" s="69">
        <v>61</v>
      </c>
    </row>
    <row r="5589" spans="1:14" ht="14" x14ac:dyDescent="0.15">
      <c r="A5589" s="70" t="s">
        <v>7029</v>
      </c>
      <c r="B5589" s="118"/>
      <c r="C5589" s="121" t="s">
        <v>3636</v>
      </c>
      <c r="D5589" s="121" t="s">
        <v>3437</v>
      </c>
      <c r="E5589" s="121" t="s">
        <v>3457</v>
      </c>
      <c r="F5589" s="121" t="s">
        <v>3218</v>
      </c>
      <c r="G5589" s="121" t="s">
        <v>3219</v>
      </c>
      <c r="H5589" s="93"/>
      <c r="I5589" s="85">
        <f t="shared" si="209"/>
        <v>1.5224400000000002</v>
      </c>
      <c r="J5589" s="122">
        <v>33.299675392897669</v>
      </c>
      <c r="K5589" s="150" t="s">
        <v>3177</v>
      </c>
      <c r="L5589" s="69">
        <v>61</v>
      </c>
    </row>
    <row r="5590" spans="1:14" ht="14" x14ac:dyDescent="0.15">
      <c r="A5590" s="70" t="s">
        <v>7029</v>
      </c>
      <c r="B5590" s="118"/>
      <c r="C5590" s="121" t="s">
        <v>3636</v>
      </c>
      <c r="D5590" s="121" t="s">
        <v>3437</v>
      </c>
      <c r="E5590" s="121" t="s">
        <v>3457</v>
      </c>
      <c r="F5590" s="121" t="s">
        <v>3218</v>
      </c>
      <c r="G5590" s="121" t="s">
        <v>3123</v>
      </c>
      <c r="H5590" s="93"/>
      <c r="I5590" s="85">
        <f t="shared" si="209"/>
        <v>1.6989700000000001</v>
      </c>
      <c r="J5590" s="122">
        <v>49.999999500797408</v>
      </c>
      <c r="K5590" s="150" t="s">
        <v>3177</v>
      </c>
      <c r="L5590" s="69">
        <v>61</v>
      </c>
    </row>
    <row r="5591" spans="1:14" ht="14" x14ac:dyDescent="0.15">
      <c r="A5591" s="73" t="s">
        <v>7029</v>
      </c>
      <c r="B5591" s="118"/>
      <c r="C5591" s="121" t="s">
        <v>3636</v>
      </c>
      <c r="D5591" s="121" t="s">
        <v>3437</v>
      </c>
      <c r="E5591" s="121" t="s">
        <v>3457</v>
      </c>
      <c r="F5591" s="121" t="s">
        <v>3218</v>
      </c>
      <c r="G5591" s="121" t="s">
        <v>3386</v>
      </c>
      <c r="H5591" s="93"/>
      <c r="I5591" s="85">
        <f t="shared" si="209"/>
        <v>1.7403600000000001</v>
      </c>
      <c r="J5591" s="122">
        <v>54.999659397640222</v>
      </c>
      <c r="K5591" s="150" t="s">
        <v>3177</v>
      </c>
      <c r="L5591" s="69">
        <v>61</v>
      </c>
    </row>
    <row r="5592" spans="1:14" ht="14" x14ac:dyDescent="0.15">
      <c r="A5592" s="70" t="s">
        <v>7029</v>
      </c>
      <c r="B5592" s="118"/>
      <c r="C5592" s="121" t="s">
        <v>3636</v>
      </c>
      <c r="D5592" s="121" t="s">
        <v>3437</v>
      </c>
      <c r="E5592" s="121" t="s">
        <v>3457</v>
      </c>
      <c r="F5592" s="121" t="s">
        <v>3218</v>
      </c>
      <c r="G5592" s="121" t="s">
        <v>3845</v>
      </c>
      <c r="H5592" s="93"/>
      <c r="I5592" s="85">
        <f t="shared" si="209"/>
        <v>1.7419400000000003</v>
      </c>
      <c r="J5592" s="122">
        <v>55.200117223230812</v>
      </c>
      <c r="K5592" s="150" t="s">
        <v>3177</v>
      </c>
      <c r="L5592" s="69">
        <v>61</v>
      </c>
    </row>
    <row r="5593" spans="1:14" ht="14" x14ac:dyDescent="0.15">
      <c r="A5593" s="70" t="s">
        <v>7029</v>
      </c>
      <c r="B5593" s="118"/>
      <c r="C5593" s="121" t="s">
        <v>3636</v>
      </c>
      <c r="D5593" s="121" t="s">
        <v>3437</v>
      </c>
      <c r="E5593" s="121" t="s">
        <v>3457</v>
      </c>
      <c r="F5593" s="121" t="s">
        <v>3218</v>
      </c>
      <c r="G5593" s="121" t="s">
        <v>4025</v>
      </c>
      <c r="H5593" s="93"/>
      <c r="I5593" s="85">
        <f t="shared" si="209"/>
        <v>1.7619300000000002</v>
      </c>
      <c r="J5593" s="122">
        <v>57.800287684070526</v>
      </c>
      <c r="K5593" s="150" t="s">
        <v>3177</v>
      </c>
      <c r="L5593" s="60">
        <v>60</v>
      </c>
    </row>
    <row r="5594" spans="1:14" ht="14" x14ac:dyDescent="0.15">
      <c r="A5594" s="70" t="s">
        <v>7029</v>
      </c>
      <c r="B5594" s="118"/>
      <c r="C5594" s="121" t="s">
        <v>3636</v>
      </c>
      <c r="D5594" s="121" t="s">
        <v>3437</v>
      </c>
      <c r="E5594" s="121" t="s">
        <v>3457</v>
      </c>
      <c r="F5594" s="121" t="s">
        <v>3218</v>
      </c>
      <c r="G5594" s="121" t="s">
        <v>3844</v>
      </c>
      <c r="H5594" s="93"/>
      <c r="I5594" s="85">
        <f t="shared" si="209"/>
        <v>1.7634300000000003</v>
      </c>
      <c r="J5594" s="122">
        <v>58.000267960159121</v>
      </c>
      <c r="K5594" s="150" t="s">
        <v>3177</v>
      </c>
      <c r="L5594" s="69">
        <v>61</v>
      </c>
    </row>
    <row r="5595" spans="1:14" ht="16" x14ac:dyDescent="0.2">
      <c r="A5595" s="70" t="s">
        <v>7029</v>
      </c>
      <c r="B5595" s="118"/>
      <c r="C5595" s="121" t="s">
        <v>3636</v>
      </c>
      <c r="D5595" s="121" t="s">
        <v>3437</v>
      </c>
      <c r="E5595" s="121" t="s">
        <v>3457</v>
      </c>
      <c r="F5595" s="121" t="s">
        <v>3218</v>
      </c>
      <c r="G5595" s="121" t="s">
        <v>3563</v>
      </c>
      <c r="H5595" s="93"/>
      <c r="I5595" s="85">
        <f t="shared" si="209"/>
        <v>1.7656700000000003</v>
      </c>
      <c r="J5595" s="122">
        <v>58.300194010500242</v>
      </c>
      <c r="K5595" s="150" t="s">
        <v>3177</v>
      </c>
      <c r="L5595" s="69">
        <v>61</v>
      </c>
      <c r="N5595" s="48"/>
    </row>
    <row r="5596" spans="1:14" ht="14" x14ac:dyDescent="0.15">
      <c r="A5596" s="70" t="s">
        <v>7029</v>
      </c>
      <c r="B5596" s="118"/>
      <c r="C5596" s="121" t="s">
        <v>3636</v>
      </c>
      <c r="D5596" s="121" t="s">
        <v>3437</v>
      </c>
      <c r="E5596" s="121" t="s">
        <v>3457</v>
      </c>
      <c r="F5596" s="121" t="s">
        <v>3218</v>
      </c>
      <c r="G5596" s="121" t="s">
        <v>3553</v>
      </c>
      <c r="H5596" s="93"/>
      <c r="I5596" s="85">
        <f t="shared" si="209"/>
        <v>1.78176</v>
      </c>
      <c r="J5596" s="122">
        <v>60.500644343935861</v>
      </c>
      <c r="K5596" s="150" t="s">
        <v>3177</v>
      </c>
      <c r="L5596" s="69">
        <v>61</v>
      </c>
    </row>
    <row r="5597" spans="1:14" ht="14" x14ac:dyDescent="0.15">
      <c r="A5597" s="70" t="s">
        <v>7029</v>
      </c>
      <c r="B5597" s="118"/>
      <c r="C5597" s="121" t="s">
        <v>3636</v>
      </c>
      <c r="D5597" s="121" t="s">
        <v>3437</v>
      </c>
      <c r="E5597" s="121" t="s">
        <v>3457</v>
      </c>
      <c r="F5597" s="121" t="s">
        <v>3218</v>
      </c>
      <c r="G5597" s="121" t="s">
        <v>7054</v>
      </c>
      <c r="H5597" s="93"/>
      <c r="I5597" s="85">
        <f t="shared" si="209"/>
        <v>1.78176</v>
      </c>
      <c r="J5597" s="122">
        <v>60.500644343935861</v>
      </c>
      <c r="K5597" s="150" t="s">
        <v>3177</v>
      </c>
      <c r="L5597" s="69">
        <v>61</v>
      </c>
    </row>
    <row r="5598" spans="1:14" ht="14" x14ac:dyDescent="0.15">
      <c r="A5598" s="70" t="s">
        <v>7029</v>
      </c>
      <c r="B5598" s="118"/>
      <c r="C5598" s="121" t="s">
        <v>3636</v>
      </c>
      <c r="D5598" s="121" t="s">
        <v>3437</v>
      </c>
      <c r="E5598" s="121" t="s">
        <v>3457</v>
      </c>
      <c r="F5598" s="121" t="s">
        <v>3218</v>
      </c>
      <c r="G5598" s="121" t="s">
        <v>7055</v>
      </c>
      <c r="H5598" s="108"/>
      <c r="I5598" s="85">
        <f t="shared" si="209"/>
        <v>1.78176</v>
      </c>
      <c r="J5598" s="122">
        <v>60.500644343935861</v>
      </c>
      <c r="K5598" s="150" t="s">
        <v>3177</v>
      </c>
      <c r="L5598" s="69">
        <v>61</v>
      </c>
    </row>
    <row r="5599" spans="1:14" ht="16" x14ac:dyDescent="0.2">
      <c r="A5599" s="70" t="s">
        <v>7029</v>
      </c>
      <c r="B5599" s="118"/>
      <c r="C5599" s="121" t="s">
        <v>3636</v>
      </c>
      <c r="D5599" s="121" t="s">
        <v>3437</v>
      </c>
      <c r="E5599" s="121" t="s">
        <v>3457</v>
      </c>
      <c r="F5599" s="121" t="s">
        <v>3218</v>
      </c>
      <c r="G5599" s="121" t="s">
        <v>3763</v>
      </c>
      <c r="H5599" s="93"/>
      <c r="I5599" s="85">
        <f t="shared" si="209"/>
        <v>1.78176</v>
      </c>
      <c r="J5599" s="122">
        <v>60.500644343935861</v>
      </c>
      <c r="K5599" s="150" t="s">
        <v>3177</v>
      </c>
      <c r="L5599" s="69">
        <v>61</v>
      </c>
      <c r="N5599" s="48"/>
    </row>
    <row r="5600" spans="1:14" ht="14" x14ac:dyDescent="0.15">
      <c r="A5600" s="70" t="s">
        <v>7029</v>
      </c>
      <c r="B5600" s="118"/>
      <c r="C5600" s="121" t="s">
        <v>3636</v>
      </c>
      <c r="D5600" s="121" t="s">
        <v>3437</v>
      </c>
      <c r="E5600" s="121" t="s">
        <v>3457</v>
      </c>
      <c r="F5600" s="121" t="s">
        <v>3218</v>
      </c>
      <c r="G5600" s="121" t="s">
        <v>7106</v>
      </c>
      <c r="H5600" s="93"/>
      <c r="I5600" s="85">
        <f t="shared" si="209"/>
        <v>1.78176</v>
      </c>
      <c r="J5600" s="122">
        <v>60.500644343935861</v>
      </c>
      <c r="K5600" s="150" t="s">
        <v>3177</v>
      </c>
      <c r="L5600" s="69">
        <v>61</v>
      </c>
      <c r="M5600" s="49" t="s">
        <v>6809</v>
      </c>
    </row>
    <row r="5601" spans="1:14" ht="14" x14ac:dyDescent="0.15">
      <c r="A5601" s="70" t="s">
        <v>7029</v>
      </c>
      <c r="B5601" s="118"/>
      <c r="C5601" s="121" t="s">
        <v>3636</v>
      </c>
      <c r="D5601" s="121" t="s">
        <v>3437</v>
      </c>
      <c r="E5601" s="121" t="s">
        <v>3457</v>
      </c>
      <c r="F5601" s="121" t="s">
        <v>3218</v>
      </c>
      <c r="G5601" s="121" t="s">
        <v>7107</v>
      </c>
      <c r="H5601" s="93"/>
      <c r="I5601" s="85">
        <f t="shared" si="209"/>
        <v>1.78176</v>
      </c>
      <c r="J5601" s="122">
        <v>60.500644343935861</v>
      </c>
      <c r="K5601" s="150" t="s">
        <v>3177</v>
      </c>
      <c r="L5601" s="69">
        <v>61</v>
      </c>
    </row>
    <row r="5602" spans="1:14" ht="16" x14ac:dyDescent="0.2">
      <c r="A5602" s="70" t="s">
        <v>7029</v>
      </c>
      <c r="B5602" s="118"/>
      <c r="C5602" s="121" t="s">
        <v>3636</v>
      </c>
      <c r="D5602" s="121" t="s">
        <v>3437</v>
      </c>
      <c r="E5602" s="121" t="s">
        <v>3457</v>
      </c>
      <c r="F5602" s="121" t="s">
        <v>3218</v>
      </c>
      <c r="G5602" s="121" t="s">
        <v>7108</v>
      </c>
      <c r="H5602" s="93"/>
      <c r="I5602" s="85">
        <f t="shared" si="209"/>
        <v>1.78176</v>
      </c>
      <c r="J5602" s="122">
        <v>60.500644343935861</v>
      </c>
      <c r="K5602" s="150" t="s">
        <v>3177</v>
      </c>
      <c r="L5602" s="69">
        <v>61</v>
      </c>
      <c r="N5602" s="48"/>
    </row>
    <row r="5603" spans="1:14" ht="14" x14ac:dyDescent="0.15">
      <c r="A5603" s="70" t="s">
        <v>7029</v>
      </c>
      <c r="B5603" s="118"/>
      <c r="C5603" s="121" t="s">
        <v>3636</v>
      </c>
      <c r="D5603" s="121" t="s">
        <v>3437</v>
      </c>
      <c r="E5603" s="121" t="s">
        <v>3457</v>
      </c>
      <c r="F5603" s="121" t="s">
        <v>3218</v>
      </c>
      <c r="G5603" s="121" t="s">
        <v>3406</v>
      </c>
      <c r="H5603" s="93"/>
      <c r="I5603" s="85">
        <f t="shared" si="209"/>
        <v>1.78176</v>
      </c>
      <c r="J5603" s="122">
        <v>60.500644343935861</v>
      </c>
      <c r="K5603" s="150" t="s">
        <v>3177</v>
      </c>
      <c r="L5603" s="69">
        <v>61</v>
      </c>
    </row>
    <row r="5604" spans="1:14" ht="16" x14ac:dyDescent="0.2">
      <c r="A5604" s="73" t="s">
        <v>7029</v>
      </c>
      <c r="B5604" s="118"/>
      <c r="C5604" s="121" t="s">
        <v>3636</v>
      </c>
      <c r="D5604" s="121" t="s">
        <v>3437</v>
      </c>
      <c r="E5604" s="121" t="s">
        <v>3457</v>
      </c>
      <c r="F5604" s="121" t="s">
        <v>3218</v>
      </c>
      <c r="G5604" s="121" t="s">
        <v>7112</v>
      </c>
      <c r="H5604" s="93"/>
      <c r="I5604" s="85">
        <f t="shared" si="209"/>
        <v>1.78176</v>
      </c>
      <c r="J5604" s="122">
        <v>60.500644343935861</v>
      </c>
      <c r="K5604" s="150" t="s">
        <v>3177</v>
      </c>
      <c r="L5604" s="69">
        <v>61</v>
      </c>
      <c r="N5604" s="48"/>
    </row>
    <row r="5605" spans="1:14" ht="16" x14ac:dyDescent="0.2">
      <c r="A5605" s="70" t="s">
        <v>7029</v>
      </c>
      <c r="B5605" s="118"/>
      <c r="C5605" s="121" t="s">
        <v>3636</v>
      </c>
      <c r="D5605" s="121" t="s">
        <v>3437</v>
      </c>
      <c r="E5605" s="121" t="s">
        <v>3457</v>
      </c>
      <c r="F5605" s="121" t="s">
        <v>3218</v>
      </c>
      <c r="G5605" s="121" t="s">
        <v>7060</v>
      </c>
      <c r="H5605" s="93"/>
      <c r="I5605" s="85">
        <f t="shared" si="209"/>
        <v>1.78176</v>
      </c>
      <c r="J5605" s="122">
        <v>60.500644343935861</v>
      </c>
      <c r="K5605" s="150" t="s">
        <v>3177</v>
      </c>
      <c r="L5605" s="69">
        <v>61</v>
      </c>
      <c r="N5605" s="48"/>
    </row>
    <row r="5606" spans="1:14" ht="16" x14ac:dyDescent="0.2">
      <c r="A5606" s="70" t="s">
        <v>7029</v>
      </c>
      <c r="B5606" s="118"/>
      <c r="C5606" s="121" t="s">
        <v>3636</v>
      </c>
      <c r="D5606" s="121" t="s">
        <v>3437</v>
      </c>
      <c r="E5606" s="121" t="s">
        <v>3457</v>
      </c>
      <c r="F5606" s="121" t="s">
        <v>3218</v>
      </c>
      <c r="G5606" s="121" t="s">
        <v>2091</v>
      </c>
      <c r="H5606" s="93"/>
      <c r="I5606" s="85">
        <f t="shared" si="209"/>
        <v>1.78176</v>
      </c>
      <c r="J5606" s="122">
        <v>60.500644343935861</v>
      </c>
      <c r="K5606" s="150" t="s">
        <v>3177</v>
      </c>
      <c r="L5606" s="69">
        <v>61</v>
      </c>
      <c r="M5606" s="49" t="s">
        <v>6392</v>
      </c>
      <c r="N5606" s="48"/>
    </row>
    <row r="5607" spans="1:14" ht="16" x14ac:dyDescent="0.2">
      <c r="A5607" s="73" t="s">
        <v>7029</v>
      </c>
      <c r="B5607" s="118"/>
      <c r="C5607" s="121" t="s">
        <v>3636</v>
      </c>
      <c r="D5607" s="121" t="s">
        <v>3437</v>
      </c>
      <c r="E5607" s="121" t="s">
        <v>3457</v>
      </c>
      <c r="F5607" s="121" t="s">
        <v>3218</v>
      </c>
      <c r="G5607" s="121" t="s">
        <v>3569</v>
      </c>
      <c r="H5607" s="93"/>
      <c r="I5607" s="85">
        <f t="shared" si="209"/>
        <v>1.78176</v>
      </c>
      <c r="J5607" s="122">
        <v>60.500644343935861</v>
      </c>
      <c r="K5607" s="150" t="s">
        <v>3177</v>
      </c>
      <c r="L5607" s="69">
        <v>61</v>
      </c>
      <c r="M5607" s="49" t="s">
        <v>6392</v>
      </c>
      <c r="N5607" s="48"/>
    </row>
    <row r="5608" spans="1:14" ht="16" x14ac:dyDescent="0.2">
      <c r="A5608" s="70" t="s">
        <v>7029</v>
      </c>
      <c r="B5608" s="118"/>
      <c r="C5608" s="121" t="s">
        <v>3636</v>
      </c>
      <c r="D5608" s="121" t="s">
        <v>3437</v>
      </c>
      <c r="E5608" s="121" t="s">
        <v>3457</v>
      </c>
      <c r="F5608" s="121" t="s">
        <v>3218</v>
      </c>
      <c r="G5608" s="121" t="s">
        <v>4442</v>
      </c>
      <c r="H5608" s="93"/>
      <c r="I5608" s="85">
        <f t="shared" si="209"/>
        <v>1.78176</v>
      </c>
      <c r="J5608" s="122">
        <v>60.500644343935861</v>
      </c>
      <c r="K5608" s="150" t="s">
        <v>3177</v>
      </c>
      <c r="L5608" s="69">
        <v>61</v>
      </c>
      <c r="N5608" s="48"/>
    </row>
    <row r="5609" spans="1:14" ht="16" x14ac:dyDescent="0.2">
      <c r="A5609" s="70" t="s">
        <v>7029</v>
      </c>
      <c r="B5609" s="118"/>
      <c r="C5609" s="121" t="s">
        <v>3636</v>
      </c>
      <c r="D5609" s="121" t="s">
        <v>3437</v>
      </c>
      <c r="E5609" s="121" t="s">
        <v>3457</v>
      </c>
      <c r="F5609" s="121" t="s">
        <v>3218</v>
      </c>
      <c r="G5609" s="121" t="s">
        <v>4524</v>
      </c>
      <c r="H5609" s="93"/>
      <c r="I5609" s="85">
        <f t="shared" si="209"/>
        <v>1.78176</v>
      </c>
      <c r="J5609" s="122">
        <v>60.500644343935861</v>
      </c>
      <c r="K5609" s="150" t="s">
        <v>3177</v>
      </c>
      <c r="L5609" s="69">
        <v>61</v>
      </c>
      <c r="N5609" s="48"/>
    </row>
    <row r="5610" spans="1:14" ht="16" x14ac:dyDescent="0.2">
      <c r="A5610" s="70" t="s">
        <v>7029</v>
      </c>
      <c r="B5610" s="118"/>
      <c r="C5610" s="121" t="s">
        <v>3636</v>
      </c>
      <c r="D5610" s="121" t="s">
        <v>3437</v>
      </c>
      <c r="E5610" s="121" t="s">
        <v>3457</v>
      </c>
      <c r="F5610" s="121" t="s">
        <v>3218</v>
      </c>
      <c r="G5610" s="121" t="s">
        <v>7061</v>
      </c>
      <c r="H5610" s="93"/>
      <c r="I5610" s="85">
        <f t="shared" si="209"/>
        <v>1.7888800000000002</v>
      </c>
      <c r="J5610" s="122">
        <v>61.500691653966378</v>
      </c>
      <c r="K5610" s="150" t="s">
        <v>3177</v>
      </c>
      <c r="L5610" s="69">
        <v>61</v>
      </c>
      <c r="N5610" s="48"/>
    </row>
    <row r="5611" spans="1:14" ht="14" x14ac:dyDescent="0.15">
      <c r="A5611" s="70" t="s">
        <v>7029</v>
      </c>
      <c r="B5611" s="118"/>
      <c r="C5611" s="121" t="s">
        <v>3636</v>
      </c>
      <c r="D5611" s="121" t="s">
        <v>3437</v>
      </c>
      <c r="E5611" s="121" t="s">
        <v>3457</v>
      </c>
      <c r="F5611" s="121" t="s">
        <v>3218</v>
      </c>
      <c r="G5611" s="121" t="s">
        <v>2988</v>
      </c>
      <c r="H5611" s="93"/>
      <c r="I5611" s="85">
        <f t="shared" si="209"/>
        <v>1.8407300000000002</v>
      </c>
      <c r="J5611" s="122">
        <v>69.299483857675455</v>
      </c>
      <c r="K5611" s="150" t="s">
        <v>3177</v>
      </c>
      <c r="L5611" s="60">
        <v>60</v>
      </c>
    </row>
    <row r="5612" spans="1:14" ht="14" x14ac:dyDescent="0.15">
      <c r="A5612" s="70" t="s">
        <v>7029</v>
      </c>
      <c r="B5612" s="118"/>
      <c r="C5612" s="121" t="s">
        <v>3636</v>
      </c>
      <c r="D5612" s="121" t="s">
        <v>3437</v>
      </c>
      <c r="E5612" s="121" t="s">
        <v>3457</v>
      </c>
      <c r="F5612" s="121" t="s">
        <v>3218</v>
      </c>
      <c r="G5612" s="121" t="s">
        <v>4680</v>
      </c>
      <c r="H5612" s="93"/>
      <c r="I5612" s="85">
        <f t="shared" si="209"/>
        <v>1.9020000000000001</v>
      </c>
      <c r="J5612" s="122">
        <v>79.79946872679767</v>
      </c>
      <c r="K5612" s="150" t="s">
        <v>3177</v>
      </c>
      <c r="L5612" s="69">
        <v>61</v>
      </c>
    </row>
    <row r="5613" spans="1:14" ht="14" x14ac:dyDescent="0.15">
      <c r="A5613" s="70" t="s">
        <v>7029</v>
      </c>
      <c r="B5613" s="118"/>
      <c r="C5613" s="121" t="s">
        <v>3636</v>
      </c>
      <c r="D5613" s="121" t="s">
        <v>3437</v>
      </c>
      <c r="E5613" s="121" t="s">
        <v>3457</v>
      </c>
      <c r="F5613" s="121" t="s">
        <v>3218</v>
      </c>
      <c r="G5613" s="121" t="s">
        <v>4658</v>
      </c>
      <c r="H5613" s="93"/>
      <c r="I5613" s="85">
        <f t="shared" si="209"/>
        <v>2.0013000000000001</v>
      </c>
      <c r="J5613" s="122">
        <v>100.29978451983322</v>
      </c>
      <c r="K5613" s="150" t="s">
        <v>3177</v>
      </c>
      <c r="L5613" s="69">
        <v>61</v>
      </c>
    </row>
    <row r="5614" spans="1:14" ht="14" x14ac:dyDescent="0.15">
      <c r="A5614" s="70" t="s">
        <v>7029</v>
      </c>
      <c r="B5614" s="118"/>
      <c r="C5614" s="121" t="s">
        <v>3636</v>
      </c>
      <c r="D5614" s="121" t="s">
        <v>3437</v>
      </c>
      <c r="E5614" s="121" t="s">
        <v>3457</v>
      </c>
      <c r="F5614" s="121" t="s">
        <v>3218</v>
      </c>
      <c r="G5614" s="121" t="s">
        <v>7113</v>
      </c>
      <c r="H5614" s="93"/>
      <c r="I5614" s="85">
        <f t="shared" si="209"/>
        <v>2.1583600000000001</v>
      </c>
      <c r="J5614" s="122">
        <v>143.99917369273325</v>
      </c>
      <c r="K5614" s="150" t="s">
        <v>3177</v>
      </c>
      <c r="L5614" s="69">
        <v>61</v>
      </c>
    </row>
    <row r="5615" spans="1:14" ht="16" x14ac:dyDescent="0.2">
      <c r="A5615" s="70" t="s">
        <v>7029</v>
      </c>
      <c r="B5615" s="118"/>
      <c r="C5615" s="121" t="s">
        <v>3636</v>
      </c>
      <c r="D5615" s="121" t="s">
        <v>3437</v>
      </c>
      <c r="E5615" s="121" t="s">
        <v>3457</v>
      </c>
      <c r="F5615" s="121" t="s">
        <v>3382</v>
      </c>
      <c r="G5615" s="121" t="s">
        <v>2141</v>
      </c>
      <c r="H5615" s="93"/>
      <c r="I5615" s="85">
        <f t="shared" si="209"/>
        <v>1.5440700000000003</v>
      </c>
      <c r="J5615" s="122">
        <v>35.000157607101464</v>
      </c>
      <c r="K5615" s="150" t="s">
        <v>3177</v>
      </c>
      <c r="L5615" s="60">
        <v>60</v>
      </c>
      <c r="N5615" s="48"/>
    </row>
    <row r="5616" spans="1:14" ht="14" x14ac:dyDescent="0.15">
      <c r="A5616" s="70" t="s">
        <v>7029</v>
      </c>
      <c r="B5616" s="118"/>
      <c r="C5616" s="121" t="s">
        <v>3636</v>
      </c>
      <c r="D5616" s="121" t="s">
        <v>3437</v>
      </c>
      <c r="E5616" s="121" t="s">
        <v>3457</v>
      </c>
      <c r="F5616" s="121" t="s">
        <v>3382</v>
      </c>
      <c r="G5616" s="121" t="s">
        <v>3992</v>
      </c>
      <c r="H5616" s="93"/>
      <c r="I5616" s="85">
        <f t="shared" si="209"/>
        <v>1.5652600000000003</v>
      </c>
      <c r="J5616" s="122">
        <v>36.750224800474854</v>
      </c>
      <c r="K5616" s="150" t="s">
        <v>3177</v>
      </c>
      <c r="L5616" s="69">
        <v>61</v>
      </c>
    </row>
    <row r="5617" spans="1:15" ht="14" x14ac:dyDescent="0.15">
      <c r="A5617" s="70" t="s">
        <v>7029</v>
      </c>
      <c r="B5617" s="118"/>
      <c r="C5617" s="121" t="s">
        <v>3636</v>
      </c>
      <c r="D5617" s="121" t="s">
        <v>3437</v>
      </c>
      <c r="E5617" s="121" t="s">
        <v>3457</v>
      </c>
      <c r="F5617" s="121" t="s">
        <v>3382</v>
      </c>
      <c r="G5617" s="121" t="s">
        <v>3387</v>
      </c>
      <c r="H5617" s="93"/>
      <c r="I5617" s="85">
        <f t="shared" si="209"/>
        <v>1.6232500000000003</v>
      </c>
      <c r="J5617" s="122">
        <v>42.000068624663172</v>
      </c>
      <c r="K5617" s="150" t="s">
        <v>3177</v>
      </c>
      <c r="L5617" s="60">
        <v>60</v>
      </c>
    </row>
    <row r="5618" spans="1:15" ht="14" x14ac:dyDescent="0.15">
      <c r="A5618" s="70" t="s">
        <v>7029</v>
      </c>
      <c r="B5618" s="118"/>
      <c r="C5618" s="121" t="s">
        <v>3636</v>
      </c>
      <c r="D5618" s="121" t="s">
        <v>3437</v>
      </c>
      <c r="E5618" s="121" t="s">
        <v>3457</v>
      </c>
      <c r="F5618" s="121" t="s">
        <v>3382</v>
      </c>
      <c r="G5618" s="121" t="s">
        <v>4499</v>
      </c>
      <c r="H5618" s="93"/>
      <c r="I5618" s="85">
        <f t="shared" ref="I5618:I5649" si="210">LOG(J5618)</f>
        <v>1.6334700000000002</v>
      </c>
      <c r="J5618" s="122">
        <v>43.000152915127025</v>
      </c>
      <c r="K5618" s="150" t="s">
        <v>3177</v>
      </c>
      <c r="L5618" s="69">
        <v>61</v>
      </c>
    </row>
    <row r="5619" spans="1:15" ht="14" x14ac:dyDescent="0.15">
      <c r="A5619" s="70" t="s">
        <v>7029</v>
      </c>
      <c r="B5619" s="118"/>
      <c r="C5619" s="121" t="s">
        <v>3636</v>
      </c>
      <c r="D5619" s="121" t="s">
        <v>3437</v>
      </c>
      <c r="E5619" s="121" t="s">
        <v>3457</v>
      </c>
      <c r="F5619" s="121" t="s">
        <v>3382</v>
      </c>
      <c r="G5619" s="121" t="s">
        <v>3383</v>
      </c>
      <c r="H5619" s="93"/>
      <c r="I5619" s="85">
        <f t="shared" si="210"/>
        <v>1.8325100000000001</v>
      </c>
      <c r="J5619" s="122">
        <v>68.000170244089148</v>
      </c>
      <c r="K5619" s="150" t="s">
        <v>3177</v>
      </c>
      <c r="L5619" s="69">
        <v>61</v>
      </c>
    </row>
    <row r="5620" spans="1:15" ht="14" x14ac:dyDescent="0.15">
      <c r="A5620" s="70" t="s">
        <v>7029</v>
      </c>
      <c r="B5620" s="118"/>
      <c r="C5620" s="121" t="s">
        <v>3636</v>
      </c>
      <c r="D5620" s="121" t="s">
        <v>3437</v>
      </c>
      <c r="E5620" s="121" t="s">
        <v>3457</v>
      </c>
      <c r="F5620" s="121" t="s">
        <v>3382</v>
      </c>
      <c r="G5620" s="121" t="s">
        <v>3565</v>
      </c>
      <c r="H5620" s="93"/>
      <c r="I5620" s="85">
        <f t="shared" si="210"/>
        <v>1.8325100000000001</v>
      </c>
      <c r="J5620" s="122">
        <v>68.000170244089148</v>
      </c>
      <c r="K5620" s="150" t="s">
        <v>3177</v>
      </c>
      <c r="L5620" s="69">
        <v>61</v>
      </c>
    </row>
    <row r="5621" spans="1:15" ht="14" x14ac:dyDescent="0.15">
      <c r="A5621" s="70" t="s">
        <v>7029</v>
      </c>
      <c r="B5621" s="118"/>
      <c r="C5621" s="121" t="s">
        <v>3636</v>
      </c>
      <c r="D5621" s="121" t="s">
        <v>3437</v>
      </c>
      <c r="E5621" s="121" t="s">
        <v>3457</v>
      </c>
      <c r="F5621" s="121" t="s">
        <v>3382</v>
      </c>
      <c r="G5621" s="121" t="s">
        <v>3567</v>
      </c>
      <c r="H5621" s="93"/>
      <c r="I5621" s="85">
        <f t="shared" si="210"/>
        <v>1.8325100000000001</v>
      </c>
      <c r="J5621" s="122">
        <v>68.000170244089148</v>
      </c>
      <c r="K5621" s="150" t="s">
        <v>3177</v>
      </c>
      <c r="L5621" s="69">
        <v>61</v>
      </c>
      <c r="M5621" s="49" t="s">
        <v>6728</v>
      </c>
    </row>
    <row r="5622" spans="1:15" ht="14" x14ac:dyDescent="0.15">
      <c r="A5622" s="70" t="s">
        <v>7029</v>
      </c>
      <c r="B5622" s="118"/>
      <c r="C5622" s="121" t="s">
        <v>3636</v>
      </c>
      <c r="D5622" s="121" t="s">
        <v>3437</v>
      </c>
      <c r="E5622" s="121" t="s">
        <v>3457</v>
      </c>
      <c r="F5622" s="121" t="s">
        <v>3382</v>
      </c>
      <c r="G5622" s="121" t="s">
        <v>4522</v>
      </c>
      <c r="H5622" s="93"/>
      <c r="I5622" s="85">
        <f t="shared" si="210"/>
        <v>1.8325100000000001</v>
      </c>
      <c r="J5622" s="122">
        <v>68.000170244089148</v>
      </c>
      <c r="K5622" s="150" t="s">
        <v>3177</v>
      </c>
      <c r="L5622" s="69">
        <v>61</v>
      </c>
      <c r="M5622" s="49" t="s">
        <v>6728</v>
      </c>
    </row>
    <row r="5623" spans="1:15" ht="14" x14ac:dyDescent="0.15">
      <c r="A5623" s="70" t="s">
        <v>7029</v>
      </c>
      <c r="B5623" s="118"/>
      <c r="C5623" s="121" t="s">
        <v>3636</v>
      </c>
      <c r="D5623" s="121" t="s">
        <v>3437</v>
      </c>
      <c r="E5623" s="121" t="s">
        <v>3457</v>
      </c>
      <c r="F5623" s="121" t="s">
        <v>3382</v>
      </c>
      <c r="G5623" s="121" t="s">
        <v>4523</v>
      </c>
      <c r="H5623" s="93"/>
      <c r="I5623" s="85">
        <f t="shared" si="210"/>
        <v>1.8325100000000001</v>
      </c>
      <c r="J5623" s="122">
        <v>68.000170244089148</v>
      </c>
      <c r="K5623" s="150" t="s">
        <v>3177</v>
      </c>
      <c r="L5623" s="69">
        <v>61</v>
      </c>
    </row>
    <row r="5624" spans="1:15" ht="14" x14ac:dyDescent="0.15">
      <c r="A5624" s="70" t="s">
        <v>7029</v>
      </c>
      <c r="B5624" s="118"/>
      <c r="C5624" s="121" t="s">
        <v>3636</v>
      </c>
      <c r="D5624" s="121" t="s">
        <v>3437</v>
      </c>
      <c r="E5624" s="121" t="s">
        <v>3457</v>
      </c>
      <c r="F5624" s="121" t="s">
        <v>3382</v>
      </c>
      <c r="G5624" s="121" t="s">
        <v>2230</v>
      </c>
      <c r="H5624" s="93"/>
      <c r="I5624" s="85">
        <f t="shared" si="210"/>
        <v>1.8773700000000002</v>
      </c>
      <c r="J5624" s="122">
        <v>75.399766337294324</v>
      </c>
      <c r="K5624" s="150" t="s">
        <v>3177</v>
      </c>
      <c r="L5624" s="69">
        <v>61</v>
      </c>
      <c r="O5624" s="51"/>
    </row>
    <row r="5625" spans="1:15" ht="14" x14ac:dyDescent="0.15">
      <c r="A5625" s="70" t="s">
        <v>7029</v>
      </c>
      <c r="B5625" s="118"/>
      <c r="C5625" s="121" t="s">
        <v>3636</v>
      </c>
      <c r="D5625" s="121" t="s">
        <v>3437</v>
      </c>
      <c r="E5625" s="121" t="s">
        <v>3457</v>
      </c>
      <c r="F5625" s="121" t="s">
        <v>3382</v>
      </c>
      <c r="G5625" s="121" t="s">
        <v>3566</v>
      </c>
      <c r="H5625" s="93"/>
      <c r="I5625" s="85">
        <f t="shared" si="210"/>
        <v>1.9111600000000002</v>
      </c>
      <c r="J5625" s="122">
        <v>81.500448746729631</v>
      </c>
      <c r="K5625" s="150" t="s">
        <v>3177</v>
      </c>
      <c r="L5625" s="69">
        <v>61</v>
      </c>
    </row>
    <row r="5626" spans="1:15" ht="14" x14ac:dyDescent="0.15">
      <c r="A5626" s="70" t="s">
        <v>7029</v>
      </c>
      <c r="B5626" s="118"/>
      <c r="C5626" s="121" t="s">
        <v>3636</v>
      </c>
      <c r="D5626" s="121" t="s">
        <v>3437</v>
      </c>
      <c r="E5626" s="121" t="s">
        <v>3457</v>
      </c>
      <c r="F5626" s="121" t="s">
        <v>3382</v>
      </c>
      <c r="G5626" s="121" t="s">
        <v>4483</v>
      </c>
      <c r="H5626" s="93"/>
      <c r="I5626" s="85">
        <f t="shared" si="210"/>
        <v>1.92117</v>
      </c>
      <c r="J5626" s="122">
        <v>83.400758421587113</v>
      </c>
      <c r="K5626" s="150" t="s">
        <v>3177</v>
      </c>
      <c r="L5626" s="60">
        <v>60</v>
      </c>
    </row>
    <row r="5627" spans="1:15" ht="14" x14ac:dyDescent="0.15">
      <c r="A5627" s="70" t="s">
        <v>7029</v>
      </c>
      <c r="B5627" s="118"/>
      <c r="C5627" s="121" t="s">
        <v>3636</v>
      </c>
      <c r="D5627" s="121" t="s">
        <v>3437</v>
      </c>
      <c r="E5627" s="121" t="s">
        <v>3457</v>
      </c>
      <c r="F5627" s="121" t="s">
        <v>3591</v>
      </c>
      <c r="G5627" s="121" t="s">
        <v>3460</v>
      </c>
      <c r="H5627" s="93"/>
      <c r="I5627" s="85">
        <f t="shared" si="210"/>
        <v>1.9722000000000002</v>
      </c>
      <c r="J5627" s="122">
        <v>93.79938696184891</v>
      </c>
      <c r="K5627" s="150" t="s">
        <v>3177</v>
      </c>
      <c r="L5627" s="69">
        <v>61</v>
      </c>
      <c r="M5627" s="49" t="s">
        <v>6390</v>
      </c>
    </row>
    <row r="5628" spans="1:15" ht="14" x14ac:dyDescent="0.15">
      <c r="A5628" s="70" t="s">
        <v>7029</v>
      </c>
      <c r="B5628" s="118"/>
      <c r="C5628" s="121" t="s">
        <v>3636</v>
      </c>
      <c r="D5628" s="121" t="s">
        <v>3437</v>
      </c>
      <c r="E5628" s="121" t="s">
        <v>3457</v>
      </c>
      <c r="F5628" s="121" t="s">
        <v>6493</v>
      </c>
      <c r="G5628" s="121" t="s">
        <v>3444</v>
      </c>
      <c r="H5628" s="93"/>
      <c r="I5628" s="85">
        <f t="shared" si="210"/>
        <v>1.2405500000000003</v>
      </c>
      <c r="J5628" s="122">
        <v>17.400030117569148</v>
      </c>
      <c r="K5628" s="150" t="s">
        <v>3177</v>
      </c>
      <c r="L5628" s="69">
        <v>61</v>
      </c>
    </row>
    <row r="5629" spans="1:15" ht="14" x14ac:dyDescent="0.15">
      <c r="A5629" s="70" t="s">
        <v>7029</v>
      </c>
      <c r="B5629" s="118"/>
      <c r="C5629" s="121" t="s">
        <v>3636</v>
      </c>
      <c r="D5629" s="121" t="s">
        <v>3437</v>
      </c>
      <c r="E5629" s="121" t="s">
        <v>3457</v>
      </c>
      <c r="F5629" s="121" t="s">
        <v>6493</v>
      </c>
      <c r="G5629" s="121" t="s">
        <v>3392</v>
      </c>
      <c r="H5629" s="93"/>
      <c r="I5629" s="85">
        <f t="shared" si="210"/>
        <v>1.3053500000000002</v>
      </c>
      <c r="J5629" s="122">
        <v>20.199936304099325</v>
      </c>
      <c r="K5629" s="150" t="s">
        <v>3177</v>
      </c>
      <c r="L5629" s="69">
        <v>61</v>
      </c>
    </row>
    <row r="5630" spans="1:15" ht="14" x14ac:dyDescent="0.15">
      <c r="A5630" s="70" t="s">
        <v>7029</v>
      </c>
      <c r="B5630" s="118"/>
      <c r="C5630" s="121" t="s">
        <v>3636</v>
      </c>
      <c r="D5630" s="121" t="s">
        <v>3437</v>
      </c>
      <c r="E5630" s="121" t="s">
        <v>3457</v>
      </c>
      <c r="F5630" s="121" t="s">
        <v>6493</v>
      </c>
      <c r="G5630" s="121" t="s">
        <v>3570</v>
      </c>
      <c r="H5630" s="93"/>
      <c r="I5630" s="85">
        <f t="shared" si="210"/>
        <v>1.6283900000000002</v>
      </c>
      <c r="J5630" s="122">
        <v>42.500104705262615</v>
      </c>
      <c r="K5630" s="150" t="s">
        <v>3177</v>
      </c>
      <c r="L5630" s="69">
        <v>61</v>
      </c>
      <c r="M5630" s="49" t="s">
        <v>6392</v>
      </c>
    </row>
    <row r="5631" spans="1:15" ht="14" x14ac:dyDescent="0.15">
      <c r="A5631" s="70" t="s">
        <v>7029</v>
      </c>
      <c r="B5631" s="118"/>
      <c r="C5631" s="121" t="s">
        <v>3636</v>
      </c>
      <c r="D5631" s="121" t="s">
        <v>3437</v>
      </c>
      <c r="E5631" s="121" t="s">
        <v>3457</v>
      </c>
      <c r="F5631" s="121" t="s">
        <v>6493</v>
      </c>
      <c r="G5631" s="121" t="s">
        <v>6496</v>
      </c>
      <c r="H5631" s="93"/>
      <c r="I5631" s="85">
        <f t="shared" si="210"/>
        <v>1.6283900000000002</v>
      </c>
      <c r="J5631" s="122">
        <v>42.500104705262615</v>
      </c>
      <c r="K5631" s="150" t="s">
        <v>3177</v>
      </c>
      <c r="L5631" s="69">
        <v>61</v>
      </c>
    </row>
    <row r="5632" spans="1:15" ht="14" x14ac:dyDescent="0.15">
      <c r="A5632" s="70" t="s">
        <v>7029</v>
      </c>
      <c r="B5632" s="118"/>
      <c r="C5632" s="121" t="s">
        <v>3636</v>
      </c>
      <c r="D5632" s="121" t="s">
        <v>3437</v>
      </c>
      <c r="E5632" s="121" t="s">
        <v>3457</v>
      </c>
      <c r="F5632" s="121" t="s">
        <v>6493</v>
      </c>
      <c r="G5632" s="121" t="s">
        <v>3247</v>
      </c>
      <c r="H5632" s="93"/>
      <c r="I5632" s="85">
        <f t="shared" si="210"/>
        <v>1.6283900000000002</v>
      </c>
      <c r="J5632" s="122">
        <v>42.500104705262615</v>
      </c>
      <c r="K5632" s="150" t="s">
        <v>3177</v>
      </c>
      <c r="L5632" s="69">
        <v>61</v>
      </c>
    </row>
    <row r="5633" spans="1:15" ht="14" x14ac:dyDescent="0.15">
      <c r="A5633" s="70" t="s">
        <v>7029</v>
      </c>
      <c r="B5633" s="118"/>
      <c r="C5633" s="121" t="s">
        <v>3636</v>
      </c>
      <c r="D5633" s="121" t="s">
        <v>3437</v>
      </c>
      <c r="E5633" s="121" t="s">
        <v>3457</v>
      </c>
      <c r="F5633" s="121" t="s">
        <v>6493</v>
      </c>
      <c r="G5633" s="121" t="s">
        <v>4501</v>
      </c>
      <c r="H5633" s="93"/>
      <c r="I5633" s="85">
        <f t="shared" si="210"/>
        <v>1.6541800000000002</v>
      </c>
      <c r="J5633" s="122">
        <v>45.100359115603396</v>
      </c>
      <c r="K5633" s="150" t="s">
        <v>3177</v>
      </c>
      <c r="L5633" s="69">
        <v>61</v>
      </c>
      <c r="O5633" s="51"/>
    </row>
    <row r="5634" spans="1:15" ht="14" x14ac:dyDescent="0.15">
      <c r="A5634" s="70" t="s">
        <v>7029</v>
      </c>
      <c r="B5634" s="118"/>
      <c r="C5634" s="121" t="s">
        <v>3636</v>
      </c>
      <c r="D5634" s="121" t="s">
        <v>3437</v>
      </c>
      <c r="E5634" s="121" t="s">
        <v>3457</v>
      </c>
      <c r="F5634" s="121" t="s">
        <v>6493</v>
      </c>
      <c r="G5634" s="121" t="s">
        <v>4034</v>
      </c>
      <c r="H5634" s="93"/>
      <c r="I5634" s="85">
        <f t="shared" si="210"/>
        <v>1.6901999999999999</v>
      </c>
      <c r="J5634" s="122">
        <v>49.000442279323579</v>
      </c>
      <c r="K5634" s="150" t="s">
        <v>3177</v>
      </c>
      <c r="L5634" s="69">
        <v>61</v>
      </c>
    </row>
    <row r="5635" spans="1:15" ht="14" x14ac:dyDescent="0.15">
      <c r="A5635" s="70" t="s">
        <v>7029</v>
      </c>
      <c r="B5635" s="118"/>
      <c r="C5635" s="121" t="s">
        <v>3636</v>
      </c>
      <c r="D5635" s="121" t="s">
        <v>3437</v>
      </c>
      <c r="E5635" s="121" t="s">
        <v>3457</v>
      </c>
      <c r="F5635" s="121" t="s">
        <v>6493</v>
      </c>
      <c r="G5635" s="121" t="s">
        <v>3571</v>
      </c>
      <c r="H5635" s="93"/>
      <c r="I5635" s="85">
        <f t="shared" si="210"/>
        <v>1.7058600000000002</v>
      </c>
      <c r="J5635" s="122">
        <v>50.799565771095516</v>
      </c>
      <c r="K5635" s="150" t="s">
        <v>3177</v>
      </c>
      <c r="L5635" s="69">
        <v>61</v>
      </c>
    </row>
    <row r="5636" spans="1:15" ht="14" x14ac:dyDescent="0.15">
      <c r="A5636" s="70" t="s">
        <v>7029</v>
      </c>
      <c r="B5636" s="118"/>
      <c r="C5636" s="121" t="s">
        <v>3636</v>
      </c>
      <c r="D5636" s="121" t="s">
        <v>3437</v>
      </c>
      <c r="E5636" s="121" t="s">
        <v>3457</v>
      </c>
      <c r="F5636" s="121" t="s">
        <v>6493</v>
      </c>
      <c r="G5636" s="121" t="s">
        <v>3572</v>
      </c>
      <c r="H5636" s="93"/>
      <c r="I5636" s="85">
        <f t="shared" si="210"/>
        <v>1.7061500000000003</v>
      </c>
      <c r="J5636" s="122">
        <v>50.833498492750408</v>
      </c>
      <c r="K5636" s="150" t="s">
        <v>3177</v>
      </c>
      <c r="L5636" s="60">
        <v>60</v>
      </c>
    </row>
    <row r="5637" spans="1:15" ht="14" x14ac:dyDescent="0.15">
      <c r="A5637" s="70" t="s">
        <v>7029</v>
      </c>
      <c r="B5637" s="118"/>
      <c r="C5637" s="121" t="s">
        <v>3636</v>
      </c>
      <c r="D5637" s="121" t="s">
        <v>3437</v>
      </c>
      <c r="E5637" s="121" t="s">
        <v>3457</v>
      </c>
      <c r="F5637" s="121" t="s">
        <v>6493</v>
      </c>
      <c r="G5637" s="121" t="s">
        <v>3391</v>
      </c>
      <c r="H5637" s="93"/>
      <c r="I5637" s="85">
        <f t="shared" si="210"/>
        <v>1.72428</v>
      </c>
      <c r="J5637" s="122">
        <v>53.000504063966503</v>
      </c>
      <c r="K5637" s="150" t="s">
        <v>3177</v>
      </c>
      <c r="L5637" s="60">
        <v>60</v>
      </c>
    </row>
    <row r="5638" spans="1:15" ht="16" x14ac:dyDescent="0.2">
      <c r="A5638" s="70" t="s">
        <v>7029</v>
      </c>
      <c r="B5638" s="118"/>
      <c r="C5638" s="121" t="s">
        <v>3636</v>
      </c>
      <c r="D5638" s="121" t="s">
        <v>3437</v>
      </c>
      <c r="E5638" s="121" t="s">
        <v>3457</v>
      </c>
      <c r="F5638" s="121" t="s">
        <v>6493</v>
      </c>
      <c r="G5638" s="121" t="s">
        <v>4035</v>
      </c>
      <c r="H5638" s="93"/>
      <c r="I5638" s="85">
        <f t="shared" si="210"/>
        <v>1.7505100000000002</v>
      </c>
      <c r="J5638" s="122">
        <v>56.300208084698262</v>
      </c>
      <c r="K5638" s="150" t="s">
        <v>3177</v>
      </c>
      <c r="L5638" s="60">
        <v>60</v>
      </c>
      <c r="N5638" s="48"/>
    </row>
    <row r="5639" spans="1:15" ht="14" x14ac:dyDescent="0.15">
      <c r="A5639" s="70" t="s">
        <v>7029</v>
      </c>
      <c r="B5639" s="118"/>
      <c r="C5639" s="121" t="s">
        <v>3636</v>
      </c>
      <c r="D5639" s="121" t="s">
        <v>3437</v>
      </c>
      <c r="E5639" s="121" t="s">
        <v>3457</v>
      </c>
      <c r="F5639" s="121" t="s">
        <v>6493</v>
      </c>
      <c r="G5639" s="121" t="s">
        <v>3393</v>
      </c>
      <c r="H5639" s="93"/>
      <c r="I5639" s="85">
        <f t="shared" si="210"/>
        <v>1.8356900000000003</v>
      </c>
      <c r="J5639" s="122">
        <v>68.49990986022847</v>
      </c>
      <c r="K5639" s="150" t="s">
        <v>3177</v>
      </c>
      <c r="L5639" s="69">
        <v>61</v>
      </c>
    </row>
    <row r="5640" spans="1:15" ht="14" x14ac:dyDescent="0.15">
      <c r="A5640" s="70" t="s">
        <v>7029</v>
      </c>
      <c r="B5640" s="118"/>
      <c r="C5640" s="121" t="s">
        <v>3636</v>
      </c>
      <c r="D5640" s="121" t="s">
        <v>3437</v>
      </c>
      <c r="E5640" s="121" t="s">
        <v>3457</v>
      </c>
      <c r="F5640" s="121" t="s">
        <v>6493</v>
      </c>
      <c r="G5640" s="121" t="s">
        <v>6212</v>
      </c>
      <c r="H5640" s="93"/>
      <c r="I5640" s="85">
        <f t="shared" si="210"/>
        <v>1.9493900000000002</v>
      </c>
      <c r="J5640" s="122">
        <v>88.99999863825758</v>
      </c>
      <c r="K5640" s="150" t="s">
        <v>3177</v>
      </c>
      <c r="L5640" s="69">
        <v>61</v>
      </c>
    </row>
    <row r="5641" spans="1:15" ht="14" x14ac:dyDescent="0.15">
      <c r="A5641" s="70" t="s">
        <v>7029</v>
      </c>
      <c r="B5641" s="118"/>
      <c r="C5641" s="121" t="s">
        <v>3636</v>
      </c>
      <c r="D5641" s="121" t="s">
        <v>3437</v>
      </c>
      <c r="E5641" s="121" t="s">
        <v>3457</v>
      </c>
      <c r="F5641" s="121" t="s">
        <v>4036</v>
      </c>
      <c r="G5641" s="121" t="s">
        <v>4037</v>
      </c>
      <c r="H5641" s="93"/>
      <c r="I5641" s="85">
        <f t="shared" si="210"/>
        <v>1.5289200000000003</v>
      </c>
      <c r="J5641" s="122">
        <v>33.800256809707761</v>
      </c>
      <c r="K5641" s="150" t="s">
        <v>3177</v>
      </c>
      <c r="L5641" s="69">
        <v>61</v>
      </c>
      <c r="M5641" s="49" t="s">
        <v>6392</v>
      </c>
    </row>
    <row r="5642" spans="1:15" ht="14" x14ac:dyDescent="0.15">
      <c r="A5642" s="70" t="s">
        <v>7029</v>
      </c>
      <c r="B5642" s="118"/>
      <c r="C5642" s="121" t="s">
        <v>3636</v>
      </c>
      <c r="D5642" s="121" t="s">
        <v>3437</v>
      </c>
      <c r="E5642" s="121" t="s">
        <v>3457</v>
      </c>
      <c r="F5642" s="121" t="s">
        <v>4810</v>
      </c>
      <c r="G5642" s="121" t="s">
        <v>7276</v>
      </c>
      <c r="H5642" s="93"/>
      <c r="I5642" s="85">
        <f t="shared" si="210"/>
        <v>1.7096900000000002</v>
      </c>
      <c r="J5642" s="122">
        <v>51.249543345186211</v>
      </c>
      <c r="K5642" s="150" t="s">
        <v>3177</v>
      </c>
      <c r="L5642" s="60">
        <v>60</v>
      </c>
      <c r="M5642" s="50"/>
      <c r="O5642" s="51"/>
    </row>
    <row r="5643" spans="1:15" ht="14" x14ac:dyDescent="0.15">
      <c r="A5643" s="70" t="s">
        <v>7029</v>
      </c>
      <c r="B5643" s="118"/>
      <c r="C5643" s="121" t="s">
        <v>3636</v>
      </c>
      <c r="D5643" s="121" t="s">
        <v>3437</v>
      </c>
      <c r="E5643" s="121" t="s">
        <v>3457</v>
      </c>
      <c r="F5643" s="121" t="s">
        <v>7277</v>
      </c>
      <c r="G5643" s="121" t="s">
        <v>7278</v>
      </c>
      <c r="H5643" s="93"/>
      <c r="I5643" s="85">
        <f t="shared" si="210"/>
        <v>1.9283999999999999</v>
      </c>
      <c r="J5643" s="122">
        <v>84.800809888969184</v>
      </c>
      <c r="K5643" s="150" t="s">
        <v>3177</v>
      </c>
      <c r="L5643" s="69">
        <v>61</v>
      </c>
      <c r="M5643" s="50"/>
    </row>
    <row r="5644" spans="1:15" ht="14" x14ac:dyDescent="0.15">
      <c r="A5644" s="70" t="s">
        <v>7029</v>
      </c>
      <c r="B5644" s="118"/>
      <c r="C5644" s="121" t="s">
        <v>3636</v>
      </c>
      <c r="D5644" s="121" t="s">
        <v>3437</v>
      </c>
      <c r="E5644" s="121" t="s">
        <v>3457</v>
      </c>
      <c r="F5644" s="121" t="s">
        <v>7116</v>
      </c>
      <c r="G5644" s="121" t="s">
        <v>7117</v>
      </c>
      <c r="H5644" s="93"/>
      <c r="I5644" s="85">
        <f t="shared" si="210"/>
        <v>1.8503400000000001</v>
      </c>
      <c r="J5644" s="122">
        <v>70.850023722986734</v>
      </c>
      <c r="K5644" s="150" t="s">
        <v>3177</v>
      </c>
      <c r="L5644" s="60">
        <v>60</v>
      </c>
      <c r="M5644" s="50"/>
    </row>
    <row r="5645" spans="1:15" ht="14" x14ac:dyDescent="0.15">
      <c r="A5645" s="70" t="s">
        <v>7029</v>
      </c>
      <c r="B5645" s="118"/>
      <c r="C5645" s="121" t="s">
        <v>3636</v>
      </c>
      <c r="D5645" s="121" t="s">
        <v>3437</v>
      </c>
      <c r="E5645" s="121" t="s">
        <v>3457</v>
      </c>
      <c r="F5645" s="121" t="s">
        <v>4707</v>
      </c>
      <c r="G5645" s="121" t="s">
        <v>7118</v>
      </c>
      <c r="H5645" s="93"/>
      <c r="I5645" s="85">
        <f t="shared" si="210"/>
        <v>1.1139400000000002</v>
      </c>
      <c r="J5645" s="122">
        <v>12.999899653754545</v>
      </c>
      <c r="K5645" s="150" t="s">
        <v>3177</v>
      </c>
      <c r="L5645" s="69">
        <v>61</v>
      </c>
      <c r="M5645" s="50"/>
    </row>
    <row r="5646" spans="1:15" ht="14" x14ac:dyDescent="0.15">
      <c r="A5646" s="70" t="s">
        <v>7029</v>
      </c>
      <c r="B5646" s="118"/>
      <c r="C5646" s="121" t="s">
        <v>3636</v>
      </c>
      <c r="D5646" s="121" t="s">
        <v>3437</v>
      </c>
      <c r="E5646" s="121" t="s">
        <v>3457</v>
      </c>
      <c r="F5646" s="121" t="s">
        <v>4707</v>
      </c>
      <c r="G5646" s="121" t="s">
        <v>3833</v>
      </c>
      <c r="H5646" s="93"/>
      <c r="I5646" s="85">
        <f t="shared" si="210"/>
        <v>1.1139400000000002</v>
      </c>
      <c r="J5646" s="122">
        <v>12.999899653754545</v>
      </c>
      <c r="K5646" s="150" t="s">
        <v>3177</v>
      </c>
      <c r="L5646" s="69">
        <v>61</v>
      </c>
      <c r="M5646" s="50"/>
    </row>
    <row r="5647" spans="1:15" ht="14" x14ac:dyDescent="0.15">
      <c r="A5647" s="70" t="s">
        <v>7029</v>
      </c>
      <c r="B5647" s="118"/>
      <c r="C5647" s="121" t="s">
        <v>3636</v>
      </c>
      <c r="D5647" s="121" t="s">
        <v>3437</v>
      </c>
      <c r="E5647" s="121" t="s">
        <v>3457</v>
      </c>
      <c r="F5647" s="121" t="s">
        <v>7119</v>
      </c>
      <c r="G5647" s="121" t="s">
        <v>4265</v>
      </c>
      <c r="H5647" s="93"/>
      <c r="I5647" s="85">
        <f t="shared" si="210"/>
        <v>1.3263400000000001</v>
      </c>
      <c r="J5647" s="122">
        <v>21.200202048914448</v>
      </c>
      <c r="K5647" s="150" t="s">
        <v>3177</v>
      </c>
      <c r="L5647" s="69">
        <v>61</v>
      </c>
      <c r="M5647" s="50" t="s">
        <v>6809</v>
      </c>
    </row>
    <row r="5648" spans="1:15" ht="14" x14ac:dyDescent="0.15">
      <c r="A5648" s="70" t="s">
        <v>7029</v>
      </c>
      <c r="B5648" s="118"/>
      <c r="C5648" s="121" t="s">
        <v>3636</v>
      </c>
      <c r="D5648" s="121" t="s">
        <v>3437</v>
      </c>
      <c r="E5648" s="121" t="s">
        <v>3457</v>
      </c>
      <c r="F5648" s="121" t="s">
        <v>1910</v>
      </c>
      <c r="G5648" s="121" t="s">
        <v>4050</v>
      </c>
      <c r="H5648" s="93"/>
      <c r="I5648" s="85">
        <f t="shared" si="210"/>
        <v>1.5797800000000002</v>
      </c>
      <c r="J5648" s="122">
        <v>37.99968530368551</v>
      </c>
      <c r="K5648" s="150" t="s">
        <v>3177</v>
      </c>
      <c r="L5648" s="69">
        <v>61</v>
      </c>
      <c r="M5648" s="50"/>
    </row>
    <row r="5649" spans="1:13" ht="14" x14ac:dyDescent="0.15">
      <c r="A5649" s="70" t="s">
        <v>7029</v>
      </c>
      <c r="B5649" s="118"/>
      <c r="C5649" s="121" t="s">
        <v>3636</v>
      </c>
      <c r="D5649" s="121" t="s">
        <v>3437</v>
      </c>
      <c r="E5649" s="121" t="s">
        <v>3457</v>
      </c>
      <c r="F5649" s="121" t="s">
        <v>4051</v>
      </c>
      <c r="G5649" s="121" t="s">
        <v>3844</v>
      </c>
      <c r="H5649" s="93"/>
      <c r="I5649" s="85">
        <f t="shared" si="210"/>
        <v>1.6190900000000001</v>
      </c>
      <c r="J5649" s="122">
        <v>41.59968096868144</v>
      </c>
      <c r="K5649" s="150" t="s">
        <v>3177</v>
      </c>
      <c r="L5649" s="69">
        <v>61</v>
      </c>
      <c r="M5649" s="50"/>
    </row>
    <row r="5650" spans="1:13" ht="14" x14ac:dyDescent="0.15">
      <c r="A5650" s="70" t="s">
        <v>7029</v>
      </c>
      <c r="B5650" s="118"/>
      <c r="C5650" s="121" t="s">
        <v>3636</v>
      </c>
      <c r="D5650" s="121" t="s">
        <v>3437</v>
      </c>
      <c r="E5650" s="121" t="s">
        <v>3457</v>
      </c>
      <c r="F5650" s="121" t="s">
        <v>4051</v>
      </c>
      <c r="G5650" s="121" t="s">
        <v>4060</v>
      </c>
      <c r="H5650" s="93"/>
      <c r="I5650" s="85">
        <f t="shared" ref="I5650:I5664" si="211">LOG(J5650)</f>
        <v>1.7596700000000003</v>
      </c>
      <c r="J5650" s="122">
        <v>57.500285360875971</v>
      </c>
      <c r="K5650" s="150" t="s">
        <v>3177</v>
      </c>
      <c r="L5650" s="69">
        <v>61</v>
      </c>
      <c r="M5650" s="50"/>
    </row>
    <row r="5651" spans="1:13" ht="14" x14ac:dyDescent="0.15">
      <c r="A5651" s="70" t="s">
        <v>7029</v>
      </c>
      <c r="B5651" s="118"/>
      <c r="C5651" s="121" t="s">
        <v>3636</v>
      </c>
      <c r="D5651" s="121" t="s">
        <v>3437</v>
      </c>
      <c r="E5651" s="121" t="s">
        <v>3457</v>
      </c>
      <c r="F5651" s="121" t="s">
        <v>4051</v>
      </c>
      <c r="G5651" s="121" t="s">
        <v>3791</v>
      </c>
      <c r="H5651" s="93"/>
      <c r="I5651" s="85">
        <f t="shared" si="211"/>
        <v>1.8893</v>
      </c>
      <c r="J5651" s="122">
        <v>77.499696187757564</v>
      </c>
      <c r="K5651" s="150" t="s">
        <v>3177</v>
      </c>
      <c r="L5651" s="60">
        <v>60</v>
      </c>
      <c r="M5651" s="50"/>
    </row>
    <row r="5652" spans="1:13" ht="14" x14ac:dyDescent="0.15">
      <c r="A5652" s="73" t="s">
        <v>7029</v>
      </c>
      <c r="B5652" s="118"/>
      <c r="C5652" s="121" t="s">
        <v>3636</v>
      </c>
      <c r="D5652" s="121" t="s">
        <v>3437</v>
      </c>
      <c r="E5652" s="121" t="s">
        <v>3457</v>
      </c>
      <c r="F5652" s="121" t="s">
        <v>4051</v>
      </c>
      <c r="G5652" s="121" t="s">
        <v>3801</v>
      </c>
      <c r="H5652" s="93"/>
      <c r="I5652" s="85">
        <f t="shared" si="211"/>
        <v>1.9030899999999999</v>
      </c>
      <c r="J5652" s="122">
        <v>80.000002396172576</v>
      </c>
      <c r="K5652" s="150" t="s">
        <v>3177</v>
      </c>
      <c r="L5652" s="69">
        <v>61</v>
      </c>
      <c r="M5652" s="50"/>
    </row>
    <row r="5653" spans="1:13" ht="14" x14ac:dyDescent="0.15">
      <c r="A5653" s="70" t="s">
        <v>7029</v>
      </c>
      <c r="B5653" s="118"/>
      <c r="C5653" s="121" t="s">
        <v>3636</v>
      </c>
      <c r="D5653" s="121" t="s">
        <v>3437</v>
      </c>
      <c r="E5653" s="121" t="s">
        <v>3457</v>
      </c>
      <c r="F5653" s="121" t="s">
        <v>4051</v>
      </c>
      <c r="G5653" s="121" t="s">
        <v>4073</v>
      </c>
      <c r="H5653" s="93"/>
      <c r="I5653" s="85">
        <f t="shared" si="211"/>
        <v>1.9493900000000002</v>
      </c>
      <c r="J5653" s="122">
        <v>88.99999863825758</v>
      </c>
      <c r="K5653" s="150" t="s">
        <v>3177</v>
      </c>
      <c r="L5653" s="69">
        <v>61</v>
      </c>
      <c r="M5653" s="50"/>
    </row>
    <row r="5654" spans="1:13" ht="14" x14ac:dyDescent="0.15">
      <c r="A5654" s="70" t="s">
        <v>7029</v>
      </c>
      <c r="B5654" s="118"/>
      <c r="C5654" s="121" t="s">
        <v>3636</v>
      </c>
      <c r="D5654" s="121" t="s">
        <v>3437</v>
      </c>
      <c r="E5654" s="121" t="s">
        <v>3457</v>
      </c>
      <c r="F5654" s="121" t="s">
        <v>4051</v>
      </c>
      <c r="G5654" s="121" t="s">
        <v>3800</v>
      </c>
      <c r="H5654" s="93"/>
      <c r="I5654" s="85">
        <f t="shared" si="211"/>
        <v>1.9493900000000002</v>
      </c>
      <c r="J5654" s="122">
        <v>88.99999863825758</v>
      </c>
      <c r="K5654" s="150" t="s">
        <v>3177</v>
      </c>
      <c r="L5654" s="69">
        <v>61</v>
      </c>
      <c r="M5654" s="50" t="s">
        <v>6392</v>
      </c>
    </row>
    <row r="5655" spans="1:13" ht="14" x14ac:dyDescent="0.15">
      <c r="A5655" s="73" t="s">
        <v>7029</v>
      </c>
      <c r="B5655" s="118"/>
      <c r="C5655" s="121" t="s">
        <v>3636</v>
      </c>
      <c r="D5655" s="121" t="s">
        <v>3437</v>
      </c>
      <c r="E5655" s="121" t="s">
        <v>3457</v>
      </c>
      <c r="F5655" s="121" t="s">
        <v>4051</v>
      </c>
      <c r="G5655" s="121" t="s">
        <v>2988</v>
      </c>
      <c r="H5655" s="93"/>
      <c r="I5655" s="85">
        <f t="shared" si="211"/>
        <v>1.9493900000000002</v>
      </c>
      <c r="J5655" s="122">
        <v>88.99999863825758</v>
      </c>
      <c r="K5655" s="150" t="s">
        <v>3177</v>
      </c>
      <c r="L5655" s="69">
        <v>61</v>
      </c>
      <c r="M5655" s="50"/>
    </row>
    <row r="5656" spans="1:13" ht="14" x14ac:dyDescent="0.15">
      <c r="A5656" s="70" t="s">
        <v>7029</v>
      </c>
      <c r="B5656" s="118"/>
      <c r="C5656" s="121" t="s">
        <v>3636</v>
      </c>
      <c r="D5656" s="121" t="s">
        <v>3437</v>
      </c>
      <c r="E5656" s="121" t="s">
        <v>3457</v>
      </c>
      <c r="F5656" s="121" t="s">
        <v>4051</v>
      </c>
      <c r="G5656" s="121" t="s">
        <v>1915</v>
      </c>
      <c r="H5656" s="93"/>
      <c r="I5656" s="85">
        <f t="shared" si="211"/>
        <v>1.9493900000000002</v>
      </c>
      <c r="J5656" s="122">
        <v>88.99999863825758</v>
      </c>
      <c r="K5656" s="150" t="s">
        <v>3177</v>
      </c>
      <c r="L5656" s="76">
        <v>61</v>
      </c>
      <c r="M5656" s="50"/>
    </row>
    <row r="5657" spans="1:13" ht="14" x14ac:dyDescent="0.15">
      <c r="A5657" s="73" t="s">
        <v>7029</v>
      </c>
      <c r="B5657" s="118"/>
      <c r="C5657" s="121" t="s">
        <v>3636</v>
      </c>
      <c r="D5657" s="121" t="s">
        <v>3437</v>
      </c>
      <c r="E5657" s="121" t="s">
        <v>3457</v>
      </c>
      <c r="F5657" s="121" t="s">
        <v>4051</v>
      </c>
      <c r="G5657" s="121" t="s">
        <v>3349</v>
      </c>
      <c r="H5657" s="93"/>
      <c r="I5657" s="85">
        <f t="shared" si="211"/>
        <v>1.9493900000000002</v>
      </c>
      <c r="J5657" s="122">
        <v>88.99999863825758</v>
      </c>
      <c r="K5657" s="150" t="s">
        <v>3177</v>
      </c>
      <c r="L5657" s="76">
        <v>61</v>
      </c>
      <c r="M5657" s="50"/>
    </row>
    <row r="5658" spans="1:13" ht="14" x14ac:dyDescent="0.15">
      <c r="A5658" s="70" t="s">
        <v>7029</v>
      </c>
      <c r="B5658" s="118"/>
      <c r="C5658" s="121" t="s">
        <v>3636</v>
      </c>
      <c r="D5658" s="121" t="s">
        <v>3437</v>
      </c>
      <c r="E5658" s="121" t="s">
        <v>3457</v>
      </c>
      <c r="F5658" s="121" t="s">
        <v>4051</v>
      </c>
      <c r="G5658" s="121" t="s">
        <v>6830</v>
      </c>
      <c r="H5658" s="93"/>
      <c r="I5658" s="85">
        <f t="shared" si="211"/>
        <v>1.9493900000000002</v>
      </c>
      <c r="J5658" s="122">
        <v>88.99999863825758</v>
      </c>
      <c r="K5658" s="150" t="s">
        <v>3177</v>
      </c>
      <c r="L5658" s="76">
        <v>61</v>
      </c>
      <c r="M5658" s="50" t="s">
        <v>6392</v>
      </c>
    </row>
    <row r="5659" spans="1:13" ht="14" x14ac:dyDescent="0.15">
      <c r="A5659" s="70" t="s">
        <v>7029</v>
      </c>
      <c r="B5659" s="118"/>
      <c r="C5659" s="121" t="s">
        <v>3636</v>
      </c>
      <c r="D5659" s="121" t="s">
        <v>3437</v>
      </c>
      <c r="E5659" s="121" t="s">
        <v>3457</v>
      </c>
      <c r="F5659" s="121" t="s">
        <v>4051</v>
      </c>
      <c r="G5659" s="121" t="s">
        <v>6139</v>
      </c>
      <c r="H5659" s="93"/>
      <c r="I5659" s="85">
        <f t="shared" si="211"/>
        <v>1.9493900000000002</v>
      </c>
      <c r="J5659" s="122">
        <v>88.99999863825758</v>
      </c>
      <c r="K5659" s="150" t="s">
        <v>3177</v>
      </c>
      <c r="L5659" s="76">
        <v>61</v>
      </c>
      <c r="M5659" s="50"/>
    </row>
    <row r="5660" spans="1:13" ht="14" x14ac:dyDescent="0.15">
      <c r="A5660" s="70" t="s">
        <v>7029</v>
      </c>
      <c r="B5660" s="118"/>
      <c r="C5660" s="121" t="s">
        <v>3636</v>
      </c>
      <c r="D5660" s="121" t="s">
        <v>3437</v>
      </c>
      <c r="E5660" s="121" t="s">
        <v>3457</v>
      </c>
      <c r="F5660" s="121" t="s">
        <v>4051</v>
      </c>
      <c r="G5660" s="121" t="s">
        <v>3350</v>
      </c>
      <c r="H5660" s="93"/>
      <c r="I5660" s="85">
        <f t="shared" si="211"/>
        <v>1.9493900000000002</v>
      </c>
      <c r="J5660" s="122">
        <v>88.99999863825758</v>
      </c>
      <c r="K5660" s="150" t="s">
        <v>3177</v>
      </c>
      <c r="L5660" s="76">
        <v>61</v>
      </c>
      <c r="M5660" s="50"/>
    </row>
    <row r="5661" spans="1:13" ht="14" x14ac:dyDescent="0.15">
      <c r="A5661" s="70" t="s">
        <v>7029</v>
      </c>
      <c r="B5661" s="118"/>
      <c r="C5661" s="121" t="s">
        <v>3636</v>
      </c>
      <c r="D5661" s="121" t="s">
        <v>3437</v>
      </c>
      <c r="E5661" s="121" t="s">
        <v>3457</v>
      </c>
      <c r="F5661" s="121" t="s">
        <v>4051</v>
      </c>
      <c r="G5661" s="121" t="s">
        <v>7102</v>
      </c>
      <c r="H5661" s="93"/>
      <c r="I5661" s="85">
        <f t="shared" si="211"/>
        <v>1.9542400000000002</v>
      </c>
      <c r="J5661" s="122">
        <v>89.999479963720162</v>
      </c>
      <c r="K5661" s="150" t="s">
        <v>3177</v>
      </c>
      <c r="L5661" s="76">
        <v>61</v>
      </c>
      <c r="M5661" s="50"/>
    </row>
    <row r="5662" spans="1:13" ht="14" x14ac:dyDescent="0.15">
      <c r="A5662" s="70" t="s">
        <v>7029</v>
      </c>
      <c r="B5662" s="118"/>
      <c r="C5662" s="121" t="s">
        <v>3636</v>
      </c>
      <c r="D5662" s="121" t="s">
        <v>3437</v>
      </c>
      <c r="E5662" s="121" t="s">
        <v>3457</v>
      </c>
      <c r="F5662" s="121" t="s">
        <v>4096</v>
      </c>
      <c r="G5662" s="121" t="s">
        <v>4097</v>
      </c>
      <c r="H5662" s="93"/>
      <c r="I5662" s="85">
        <f t="shared" si="211"/>
        <v>2.1643500000000002</v>
      </c>
      <c r="J5662" s="122">
        <v>145.99903995290228</v>
      </c>
      <c r="K5662" s="150" t="s">
        <v>3177</v>
      </c>
      <c r="L5662" s="76">
        <v>61</v>
      </c>
      <c r="M5662" s="50"/>
    </row>
    <row r="5663" spans="1:13" ht="14" x14ac:dyDescent="0.15">
      <c r="A5663" s="70" t="s">
        <v>7029</v>
      </c>
      <c r="B5663" s="118"/>
      <c r="C5663" s="121" t="s">
        <v>3636</v>
      </c>
      <c r="D5663" s="121" t="s">
        <v>3437</v>
      </c>
      <c r="E5663" s="121" t="s">
        <v>3457</v>
      </c>
      <c r="F5663" s="121" t="s">
        <v>3352</v>
      </c>
      <c r="G5663" s="121" t="s">
        <v>3353</v>
      </c>
      <c r="H5663" s="93"/>
      <c r="I5663" s="85">
        <f t="shared" si="211"/>
        <v>1.4232500000000001</v>
      </c>
      <c r="J5663" s="122">
        <v>26.500251767403348</v>
      </c>
      <c r="K5663" s="150" t="s">
        <v>3177</v>
      </c>
      <c r="L5663" s="76">
        <v>61</v>
      </c>
      <c r="M5663" s="50" t="s">
        <v>6390</v>
      </c>
    </row>
    <row r="5664" spans="1:13" ht="14" x14ac:dyDescent="0.15">
      <c r="A5664" s="70" t="s">
        <v>7029</v>
      </c>
      <c r="B5664" s="118"/>
      <c r="C5664" s="121" t="s">
        <v>3636</v>
      </c>
      <c r="D5664" s="121" t="s">
        <v>3437</v>
      </c>
      <c r="E5664" s="121" t="s">
        <v>3457</v>
      </c>
      <c r="F5664" s="121" t="s">
        <v>3352</v>
      </c>
      <c r="G5664" s="121" t="s">
        <v>3354</v>
      </c>
      <c r="H5664" s="93"/>
      <c r="I5664" s="85">
        <f t="shared" si="211"/>
        <v>1.4232500000000001</v>
      </c>
      <c r="J5664" s="122">
        <v>26.500251767403348</v>
      </c>
      <c r="K5664" s="150" t="s">
        <v>3177</v>
      </c>
      <c r="L5664" s="76">
        <v>61</v>
      </c>
      <c r="M5664" s="50" t="s">
        <v>6390</v>
      </c>
    </row>
    <row r="5665" spans="1:14" ht="14" x14ac:dyDescent="0.15">
      <c r="A5665" s="70" t="s">
        <v>7029</v>
      </c>
      <c r="B5665" s="117" t="s">
        <v>7517</v>
      </c>
      <c r="C5665" s="121" t="s">
        <v>3636</v>
      </c>
      <c r="D5665" s="121" t="s">
        <v>3437</v>
      </c>
      <c r="E5665" s="121" t="s">
        <v>3457</v>
      </c>
      <c r="F5665" s="121" t="s">
        <v>4565</v>
      </c>
      <c r="G5665" s="121" t="s">
        <v>4201</v>
      </c>
      <c r="H5665" s="93"/>
      <c r="I5665" s="85">
        <v>-999</v>
      </c>
      <c r="J5665" s="122">
        <v>-999</v>
      </c>
      <c r="K5665" s="150" t="s">
        <v>3177</v>
      </c>
      <c r="L5665" s="75">
        <v>-999</v>
      </c>
      <c r="M5665" s="33"/>
    </row>
    <row r="5666" spans="1:14" ht="14" x14ac:dyDescent="0.15">
      <c r="A5666" s="70" t="s">
        <v>7029</v>
      </c>
      <c r="B5666" s="118"/>
      <c r="C5666" s="121" t="s">
        <v>3636</v>
      </c>
      <c r="D5666" s="121" t="s">
        <v>3437</v>
      </c>
      <c r="E5666" s="121" t="s">
        <v>3457</v>
      </c>
      <c r="F5666" s="121" t="s">
        <v>4565</v>
      </c>
      <c r="G5666" s="121" t="s">
        <v>2229</v>
      </c>
      <c r="H5666" s="93"/>
      <c r="I5666" s="85">
        <f t="shared" ref="I5666:I5697" si="212">LOG(J5666)</f>
        <v>1.74586</v>
      </c>
      <c r="J5666" s="122">
        <v>55.700616241547877</v>
      </c>
      <c r="K5666" s="150" t="s">
        <v>3177</v>
      </c>
      <c r="L5666" s="75">
        <v>60</v>
      </c>
      <c r="M5666" s="50"/>
    </row>
    <row r="5667" spans="1:14" ht="14" x14ac:dyDescent="0.15">
      <c r="A5667" s="70" t="s">
        <v>7029</v>
      </c>
      <c r="B5667" s="118"/>
      <c r="C5667" s="121" t="s">
        <v>3636</v>
      </c>
      <c r="D5667" s="121" t="s">
        <v>3437</v>
      </c>
      <c r="E5667" s="121" t="s">
        <v>3457</v>
      </c>
      <c r="F5667" s="121" t="s">
        <v>4565</v>
      </c>
      <c r="G5667" s="121" t="s">
        <v>3992</v>
      </c>
      <c r="H5667" s="93"/>
      <c r="I5667" s="85">
        <f t="shared" si="212"/>
        <v>1.9655900000000002</v>
      </c>
      <c r="J5667" s="122">
        <v>92.382561542213608</v>
      </c>
      <c r="K5667" s="150" t="s">
        <v>3177</v>
      </c>
      <c r="L5667" s="75">
        <v>60</v>
      </c>
      <c r="M5667" s="50"/>
    </row>
    <row r="5668" spans="1:14" ht="14" x14ac:dyDescent="0.15">
      <c r="A5668" s="70" t="s">
        <v>7029</v>
      </c>
      <c r="B5668" s="118"/>
      <c r="C5668" s="121" t="s">
        <v>3636</v>
      </c>
      <c r="D5668" s="121" t="s">
        <v>3437</v>
      </c>
      <c r="E5668" s="121" t="s">
        <v>3457</v>
      </c>
      <c r="F5668" s="121" t="s">
        <v>4565</v>
      </c>
      <c r="G5668" s="121" t="s">
        <v>3355</v>
      </c>
      <c r="H5668" s="93"/>
      <c r="I5668" s="85">
        <f t="shared" si="212"/>
        <v>2.1476799999999998</v>
      </c>
      <c r="J5668" s="122">
        <v>140.50118916157743</v>
      </c>
      <c r="K5668" s="150" t="s">
        <v>3177</v>
      </c>
      <c r="L5668" s="76">
        <v>61</v>
      </c>
      <c r="M5668" s="50"/>
    </row>
    <row r="5669" spans="1:14" ht="28" x14ac:dyDescent="0.15">
      <c r="A5669" s="70" t="s">
        <v>7029</v>
      </c>
      <c r="B5669" s="117" t="s">
        <v>7973</v>
      </c>
      <c r="C5669" s="121" t="s">
        <v>3636</v>
      </c>
      <c r="D5669" s="121" t="s">
        <v>3437</v>
      </c>
      <c r="E5669" s="121" t="s">
        <v>3457</v>
      </c>
      <c r="F5669" s="121" t="s">
        <v>4893</v>
      </c>
      <c r="G5669" s="121" t="s">
        <v>6002</v>
      </c>
      <c r="H5669" s="93"/>
      <c r="I5669" s="85">
        <f t="shared" si="212"/>
        <v>1.6989700043360187</v>
      </c>
      <c r="J5669" s="122">
        <f>1000*0.05</f>
        <v>50</v>
      </c>
      <c r="K5669" s="150" t="s">
        <v>3177</v>
      </c>
      <c r="L5669" s="75" t="s">
        <v>7677</v>
      </c>
      <c r="M5669" s="33"/>
    </row>
    <row r="5670" spans="1:14" ht="16" x14ac:dyDescent="0.2">
      <c r="A5670" s="70" t="s">
        <v>7029</v>
      </c>
      <c r="B5670" s="118"/>
      <c r="C5670" s="121" t="s">
        <v>3636</v>
      </c>
      <c r="D5670" s="121" t="s">
        <v>3437</v>
      </c>
      <c r="E5670" s="121" t="s">
        <v>3457</v>
      </c>
      <c r="F5670" s="121" t="s">
        <v>3810</v>
      </c>
      <c r="G5670" s="121" t="s">
        <v>4246</v>
      </c>
      <c r="H5670" s="93"/>
      <c r="I5670" s="85">
        <f t="shared" si="212"/>
        <v>1.3802100000000002</v>
      </c>
      <c r="J5670" s="122">
        <v>23.999931380578893</v>
      </c>
      <c r="K5670" s="150" t="s">
        <v>3177</v>
      </c>
      <c r="L5670" s="76">
        <v>61</v>
      </c>
      <c r="M5670" s="50"/>
      <c r="N5670" s="48"/>
    </row>
    <row r="5671" spans="1:14" ht="14" x14ac:dyDescent="0.15">
      <c r="A5671" s="70" t="s">
        <v>7029</v>
      </c>
      <c r="B5671" s="118"/>
      <c r="C5671" s="121" t="s">
        <v>3636</v>
      </c>
      <c r="D5671" s="121" t="s">
        <v>3437</v>
      </c>
      <c r="E5671" s="121" t="s">
        <v>3457</v>
      </c>
      <c r="F5671" s="121" t="s">
        <v>3810</v>
      </c>
      <c r="G5671" s="121" t="s">
        <v>4244</v>
      </c>
      <c r="H5671" s="93"/>
      <c r="I5671" s="85">
        <f t="shared" si="212"/>
        <v>1.3802100000000002</v>
      </c>
      <c r="J5671" s="122">
        <v>23.999931380578893</v>
      </c>
      <c r="K5671" s="150" t="s">
        <v>3177</v>
      </c>
      <c r="L5671" s="76">
        <v>61</v>
      </c>
      <c r="M5671" s="50"/>
    </row>
    <row r="5672" spans="1:14" ht="14" x14ac:dyDescent="0.15">
      <c r="A5672" s="70" t="s">
        <v>7029</v>
      </c>
      <c r="B5672" s="118"/>
      <c r="C5672" s="121" t="s">
        <v>3636</v>
      </c>
      <c r="D5672" s="121" t="s">
        <v>3437</v>
      </c>
      <c r="E5672" s="121" t="s">
        <v>3457</v>
      </c>
      <c r="F5672" s="121" t="s">
        <v>4245</v>
      </c>
      <c r="G5672" s="121" t="s">
        <v>7221</v>
      </c>
      <c r="H5672" s="93"/>
      <c r="I5672" s="85">
        <f t="shared" si="212"/>
        <v>1.5502300000000002</v>
      </c>
      <c r="J5672" s="122">
        <v>35.5001346244483</v>
      </c>
      <c r="K5672" s="150" t="s">
        <v>3177</v>
      </c>
      <c r="L5672" s="76">
        <v>61</v>
      </c>
      <c r="M5672" s="50"/>
    </row>
    <row r="5673" spans="1:14" ht="14" x14ac:dyDescent="0.15">
      <c r="A5673" s="70" t="s">
        <v>7029</v>
      </c>
      <c r="B5673" s="118"/>
      <c r="C5673" s="121" t="s">
        <v>3636</v>
      </c>
      <c r="D5673" s="121" t="s">
        <v>3437</v>
      </c>
      <c r="E5673" s="121" t="s">
        <v>3457</v>
      </c>
      <c r="F5673" s="121" t="s">
        <v>4245</v>
      </c>
      <c r="G5673" s="121" t="s">
        <v>5333</v>
      </c>
      <c r="H5673" s="93"/>
      <c r="I5673" s="85">
        <f t="shared" si="212"/>
        <v>1.8836600000000003</v>
      </c>
      <c r="J5673" s="122">
        <v>76.499747201323302</v>
      </c>
      <c r="K5673" s="150" t="s">
        <v>3177</v>
      </c>
      <c r="L5673" s="76">
        <v>61</v>
      </c>
      <c r="M5673" s="50"/>
    </row>
    <row r="5674" spans="1:14" ht="14" x14ac:dyDescent="0.15">
      <c r="A5674" s="73" t="s">
        <v>7029</v>
      </c>
      <c r="B5674" s="118"/>
      <c r="C5674" s="121" t="s">
        <v>3636</v>
      </c>
      <c r="D5674" s="121" t="s">
        <v>3437</v>
      </c>
      <c r="E5674" s="121" t="s">
        <v>3457</v>
      </c>
      <c r="F5674" s="121" t="s">
        <v>4245</v>
      </c>
      <c r="G5674" s="121" t="s">
        <v>4022</v>
      </c>
      <c r="H5674" s="93"/>
      <c r="I5674" s="85">
        <f t="shared" si="212"/>
        <v>1.8864900000000004</v>
      </c>
      <c r="J5674" s="122">
        <v>76.999871427713714</v>
      </c>
      <c r="K5674" s="150" t="s">
        <v>3177</v>
      </c>
      <c r="L5674" s="76">
        <v>61</v>
      </c>
      <c r="M5674" s="50"/>
    </row>
    <row r="5675" spans="1:14" ht="14" x14ac:dyDescent="0.15">
      <c r="A5675" s="70" t="s">
        <v>7029</v>
      </c>
      <c r="B5675" s="118"/>
      <c r="C5675" s="121" t="s">
        <v>3636</v>
      </c>
      <c r="D5675" s="121" t="s">
        <v>3437</v>
      </c>
      <c r="E5675" s="121" t="s">
        <v>3457</v>
      </c>
      <c r="F5675" s="121" t="s">
        <v>4245</v>
      </c>
      <c r="G5675" s="121" t="s">
        <v>3603</v>
      </c>
      <c r="H5675" s="93"/>
      <c r="I5675" s="85">
        <f t="shared" si="212"/>
        <v>1.8864900000000004</v>
      </c>
      <c r="J5675" s="122">
        <v>76.999871427713714</v>
      </c>
      <c r="K5675" s="150" t="s">
        <v>3177</v>
      </c>
      <c r="L5675" s="76">
        <v>61</v>
      </c>
      <c r="M5675" s="50"/>
    </row>
    <row r="5676" spans="1:14" ht="14" x14ac:dyDescent="0.15">
      <c r="A5676" s="70" t="s">
        <v>7029</v>
      </c>
      <c r="B5676" s="118"/>
      <c r="C5676" s="121" t="s">
        <v>3636</v>
      </c>
      <c r="D5676" s="121" t="s">
        <v>3437</v>
      </c>
      <c r="E5676" s="121" t="s">
        <v>3457</v>
      </c>
      <c r="F5676" s="121" t="s">
        <v>4245</v>
      </c>
      <c r="G5676" s="121" t="s">
        <v>4303</v>
      </c>
      <c r="H5676" s="93"/>
      <c r="I5676" s="85">
        <f t="shared" si="212"/>
        <v>1.8864900000000004</v>
      </c>
      <c r="J5676" s="122">
        <v>76.999871427713714</v>
      </c>
      <c r="K5676" s="150" t="s">
        <v>3177</v>
      </c>
      <c r="L5676" s="76">
        <v>61</v>
      </c>
      <c r="M5676" s="50"/>
    </row>
    <row r="5677" spans="1:14" ht="14" x14ac:dyDescent="0.15">
      <c r="A5677" s="70" t="s">
        <v>7029</v>
      </c>
      <c r="B5677" s="118"/>
      <c r="C5677" s="121" t="s">
        <v>3636</v>
      </c>
      <c r="D5677" s="121" t="s">
        <v>3437</v>
      </c>
      <c r="E5677" s="121" t="s">
        <v>3457</v>
      </c>
      <c r="F5677" s="121" t="s">
        <v>4245</v>
      </c>
      <c r="G5677" s="121" t="s">
        <v>3604</v>
      </c>
      <c r="H5677" s="93"/>
      <c r="I5677" s="85">
        <f t="shared" si="212"/>
        <v>1.8864900000000004</v>
      </c>
      <c r="J5677" s="122">
        <v>76.999871427713714</v>
      </c>
      <c r="K5677" s="150" t="s">
        <v>3177</v>
      </c>
      <c r="L5677" s="76">
        <v>61</v>
      </c>
      <c r="M5677" s="50"/>
    </row>
    <row r="5678" spans="1:14" ht="14" x14ac:dyDescent="0.15">
      <c r="A5678" s="70" t="s">
        <v>7029</v>
      </c>
      <c r="B5678" s="118"/>
      <c r="C5678" s="121" t="s">
        <v>3636</v>
      </c>
      <c r="D5678" s="121" t="s">
        <v>3437</v>
      </c>
      <c r="E5678" s="121" t="s">
        <v>3457</v>
      </c>
      <c r="F5678" s="121" t="s">
        <v>4245</v>
      </c>
      <c r="G5678" s="121" t="s">
        <v>7755</v>
      </c>
      <c r="H5678" s="93"/>
      <c r="I5678" s="85">
        <f t="shared" si="212"/>
        <v>1.8864900000000004</v>
      </c>
      <c r="J5678" s="122">
        <v>76.999871427713714</v>
      </c>
      <c r="K5678" s="150" t="s">
        <v>3177</v>
      </c>
      <c r="L5678" s="76">
        <v>61</v>
      </c>
      <c r="M5678" s="50"/>
    </row>
    <row r="5679" spans="1:14" ht="14" x14ac:dyDescent="0.15">
      <c r="A5679" s="70" t="s">
        <v>7029</v>
      </c>
      <c r="B5679" s="118"/>
      <c r="C5679" s="121" t="s">
        <v>3636</v>
      </c>
      <c r="D5679" s="121" t="s">
        <v>3437</v>
      </c>
      <c r="E5679" s="121" t="s">
        <v>3457</v>
      </c>
      <c r="F5679" s="121" t="s">
        <v>4245</v>
      </c>
      <c r="G5679" s="121" t="s">
        <v>3605</v>
      </c>
      <c r="H5679" s="93"/>
      <c r="I5679" s="85">
        <f t="shared" si="212"/>
        <v>1.8864900000000004</v>
      </c>
      <c r="J5679" s="122">
        <v>76.999871427713714</v>
      </c>
      <c r="K5679" s="150" t="s">
        <v>3177</v>
      </c>
      <c r="L5679" s="76">
        <v>61</v>
      </c>
      <c r="M5679" s="50"/>
    </row>
    <row r="5680" spans="1:14" ht="14" x14ac:dyDescent="0.15">
      <c r="A5680" s="70" t="s">
        <v>7029</v>
      </c>
      <c r="B5680" s="118"/>
      <c r="C5680" s="121" t="s">
        <v>3636</v>
      </c>
      <c r="D5680" s="121" t="s">
        <v>3437</v>
      </c>
      <c r="E5680" s="121" t="s">
        <v>3457</v>
      </c>
      <c r="F5680" s="121" t="s">
        <v>4245</v>
      </c>
      <c r="G5680" s="121" t="s">
        <v>7756</v>
      </c>
      <c r="H5680" s="93"/>
      <c r="I5680" s="85">
        <f t="shared" si="212"/>
        <v>1.8864900000000004</v>
      </c>
      <c r="J5680" s="122">
        <v>76.999871427713714</v>
      </c>
      <c r="K5680" s="150" t="s">
        <v>3177</v>
      </c>
      <c r="L5680" s="76">
        <v>61</v>
      </c>
      <c r="M5680" s="50"/>
    </row>
    <row r="5681" spans="1:15" ht="14" x14ac:dyDescent="0.15">
      <c r="A5681" s="70" t="s">
        <v>7029</v>
      </c>
      <c r="B5681" s="118"/>
      <c r="C5681" s="121" t="s">
        <v>3636</v>
      </c>
      <c r="D5681" s="121" t="s">
        <v>3437</v>
      </c>
      <c r="E5681" s="121" t="s">
        <v>3457</v>
      </c>
      <c r="F5681" s="121" t="s">
        <v>4245</v>
      </c>
      <c r="G5681" s="121" t="s">
        <v>2097</v>
      </c>
      <c r="H5681" s="93"/>
      <c r="I5681" s="85">
        <f t="shared" si="212"/>
        <v>1.8864900000000004</v>
      </c>
      <c r="J5681" s="122">
        <v>76.999871427713714</v>
      </c>
      <c r="K5681" s="150" t="s">
        <v>3177</v>
      </c>
      <c r="L5681" s="76">
        <v>61</v>
      </c>
      <c r="M5681" s="50"/>
    </row>
    <row r="5682" spans="1:15" ht="14" x14ac:dyDescent="0.15">
      <c r="A5682" s="70" t="s">
        <v>7029</v>
      </c>
      <c r="B5682" s="118"/>
      <c r="C5682" s="121" t="s">
        <v>3636</v>
      </c>
      <c r="D5682" s="121" t="s">
        <v>3437</v>
      </c>
      <c r="E5682" s="121" t="s">
        <v>3457</v>
      </c>
      <c r="F5682" s="121" t="s">
        <v>4245</v>
      </c>
      <c r="G5682" s="121" t="s">
        <v>7757</v>
      </c>
      <c r="H5682" s="93"/>
      <c r="I5682" s="85">
        <f t="shared" si="212"/>
        <v>1.8864900000000004</v>
      </c>
      <c r="J5682" s="122">
        <v>76.999871427713714</v>
      </c>
      <c r="K5682" s="150" t="s">
        <v>3177</v>
      </c>
      <c r="L5682" s="76">
        <v>61</v>
      </c>
      <c r="M5682" s="50"/>
    </row>
    <row r="5683" spans="1:15" ht="14" x14ac:dyDescent="0.15">
      <c r="A5683" s="73" t="s">
        <v>7029</v>
      </c>
      <c r="B5683" s="118"/>
      <c r="C5683" s="121" t="s">
        <v>3636</v>
      </c>
      <c r="D5683" s="121" t="s">
        <v>3437</v>
      </c>
      <c r="E5683" s="121" t="s">
        <v>3457</v>
      </c>
      <c r="F5683" s="121" t="s">
        <v>4245</v>
      </c>
      <c r="G5683" s="121" t="s">
        <v>2782</v>
      </c>
      <c r="H5683" s="93"/>
      <c r="I5683" s="85">
        <f t="shared" si="212"/>
        <v>1.8864900000000004</v>
      </c>
      <c r="J5683" s="122">
        <v>76.999871427713714</v>
      </c>
      <c r="K5683" s="150" t="s">
        <v>3177</v>
      </c>
      <c r="L5683" s="76">
        <v>61</v>
      </c>
      <c r="M5683" s="50"/>
    </row>
    <row r="5684" spans="1:15" ht="14" x14ac:dyDescent="0.15">
      <c r="A5684" s="70" t="s">
        <v>7029</v>
      </c>
      <c r="B5684" s="118"/>
      <c r="C5684" s="121" t="s">
        <v>3636</v>
      </c>
      <c r="D5684" s="121" t="s">
        <v>3437</v>
      </c>
      <c r="E5684" s="121" t="s">
        <v>3457</v>
      </c>
      <c r="F5684" s="121" t="s">
        <v>4245</v>
      </c>
      <c r="G5684" s="121" t="s">
        <v>7758</v>
      </c>
      <c r="H5684" s="93"/>
      <c r="I5684" s="85">
        <f t="shared" si="212"/>
        <v>1.8864900000000004</v>
      </c>
      <c r="J5684" s="122">
        <v>76.999871427713714</v>
      </c>
      <c r="K5684" s="150" t="s">
        <v>3177</v>
      </c>
      <c r="L5684" s="76">
        <v>61</v>
      </c>
      <c r="M5684" s="50"/>
    </row>
    <row r="5685" spans="1:15" ht="14" x14ac:dyDescent="0.15">
      <c r="A5685" s="70" t="s">
        <v>7029</v>
      </c>
      <c r="B5685" s="118"/>
      <c r="C5685" s="121" t="s">
        <v>3636</v>
      </c>
      <c r="D5685" s="121" t="s">
        <v>3437</v>
      </c>
      <c r="E5685" s="121" t="s">
        <v>3457</v>
      </c>
      <c r="F5685" s="121" t="s">
        <v>4245</v>
      </c>
      <c r="G5685" s="121" t="s">
        <v>7759</v>
      </c>
      <c r="H5685" s="93"/>
      <c r="I5685" s="85">
        <f t="shared" si="212"/>
        <v>1.8864900000000004</v>
      </c>
      <c r="J5685" s="122">
        <v>76.999871427713714</v>
      </c>
      <c r="K5685" s="150" t="s">
        <v>3177</v>
      </c>
      <c r="L5685" s="76">
        <v>61</v>
      </c>
      <c r="M5685" s="50" t="s">
        <v>6392</v>
      </c>
    </row>
    <row r="5686" spans="1:15" ht="14" x14ac:dyDescent="0.15">
      <c r="A5686" s="73" t="s">
        <v>7029</v>
      </c>
      <c r="B5686" s="118"/>
      <c r="C5686" s="121" t="s">
        <v>3636</v>
      </c>
      <c r="D5686" s="121" t="s">
        <v>3437</v>
      </c>
      <c r="E5686" s="121" t="s">
        <v>3457</v>
      </c>
      <c r="F5686" s="121" t="s">
        <v>4245</v>
      </c>
      <c r="G5686" s="121" t="s">
        <v>7760</v>
      </c>
      <c r="H5686" s="93"/>
      <c r="I5686" s="85">
        <f t="shared" si="212"/>
        <v>1.8864900000000004</v>
      </c>
      <c r="J5686" s="122">
        <v>76.999871427713714</v>
      </c>
      <c r="K5686" s="150" t="s">
        <v>3177</v>
      </c>
      <c r="L5686" s="76">
        <v>61</v>
      </c>
      <c r="M5686" s="50"/>
      <c r="O5686" s="51"/>
    </row>
    <row r="5687" spans="1:15" ht="14" x14ac:dyDescent="0.15">
      <c r="A5687" s="70" t="s">
        <v>7029</v>
      </c>
      <c r="B5687" s="118"/>
      <c r="C5687" s="121" t="s">
        <v>3636</v>
      </c>
      <c r="D5687" s="121" t="s">
        <v>3437</v>
      </c>
      <c r="E5687" s="121" t="s">
        <v>3457</v>
      </c>
      <c r="F5687" s="121" t="s">
        <v>4245</v>
      </c>
      <c r="G5687" s="121" t="s">
        <v>7761</v>
      </c>
      <c r="H5687" s="93"/>
      <c r="I5687" s="85">
        <f t="shared" si="212"/>
        <v>1.8864900000000004</v>
      </c>
      <c r="J5687" s="122">
        <v>76.999871427713714</v>
      </c>
      <c r="K5687" s="150" t="s">
        <v>3177</v>
      </c>
      <c r="L5687" s="76">
        <v>61</v>
      </c>
      <c r="M5687" s="50" t="s">
        <v>6392</v>
      </c>
      <c r="O5687" s="51"/>
    </row>
    <row r="5688" spans="1:15" ht="14" x14ac:dyDescent="0.15">
      <c r="A5688" s="70" t="s">
        <v>7029</v>
      </c>
      <c r="B5688" s="118"/>
      <c r="C5688" s="121" t="s">
        <v>3636</v>
      </c>
      <c r="D5688" s="121" t="s">
        <v>3437</v>
      </c>
      <c r="E5688" s="121" t="s">
        <v>3457</v>
      </c>
      <c r="F5688" s="121" t="s">
        <v>4245</v>
      </c>
      <c r="G5688" s="121" t="s">
        <v>7762</v>
      </c>
      <c r="H5688" s="93"/>
      <c r="I5688" s="85">
        <f t="shared" si="212"/>
        <v>1.8864900000000004</v>
      </c>
      <c r="J5688" s="122">
        <v>76.999871427713714</v>
      </c>
      <c r="K5688" s="150" t="s">
        <v>3177</v>
      </c>
      <c r="L5688" s="76">
        <v>61</v>
      </c>
      <c r="M5688" s="50"/>
      <c r="O5688" s="51"/>
    </row>
    <row r="5689" spans="1:15" ht="14" x14ac:dyDescent="0.15">
      <c r="A5689" s="70" t="s">
        <v>7029</v>
      </c>
      <c r="B5689" s="118"/>
      <c r="C5689" s="121" t="s">
        <v>3636</v>
      </c>
      <c r="D5689" s="121" t="s">
        <v>3437</v>
      </c>
      <c r="E5689" s="121" t="s">
        <v>3457</v>
      </c>
      <c r="F5689" s="121" t="s">
        <v>4245</v>
      </c>
      <c r="G5689" s="121" t="s">
        <v>6115</v>
      </c>
      <c r="H5689" s="93"/>
      <c r="I5689" s="85">
        <f t="shared" si="212"/>
        <v>1.8864900000000004</v>
      </c>
      <c r="J5689" s="122">
        <v>76.999871427713714</v>
      </c>
      <c r="K5689" s="150" t="s">
        <v>3177</v>
      </c>
      <c r="L5689" s="76">
        <v>61</v>
      </c>
      <c r="M5689" s="50"/>
      <c r="O5689" s="51"/>
    </row>
    <row r="5690" spans="1:15" ht="14" x14ac:dyDescent="0.15">
      <c r="A5690" s="70" t="s">
        <v>7029</v>
      </c>
      <c r="B5690" s="118"/>
      <c r="C5690" s="121" t="s">
        <v>3636</v>
      </c>
      <c r="D5690" s="121" t="s">
        <v>3437</v>
      </c>
      <c r="E5690" s="121" t="s">
        <v>3457</v>
      </c>
      <c r="F5690" s="121" t="s">
        <v>4245</v>
      </c>
      <c r="G5690" s="121" t="s">
        <v>3053</v>
      </c>
      <c r="H5690" s="93"/>
      <c r="I5690" s="85">
        <f t="shared" si="212"/>
        <v>1.8864900000000004</v>
      </c>
      <c r="J5690" s="122">
        <v>76.999871427713714</v>
      </c>
      <c r="K5690" s="150" t="s">
        <v>3177</v>
      </c>
      <c r="L5690" s="76">
        <v>61</v>
      </c>
      <c r="M5690" s="50"/>
      <c r="O5690" s="51"/>
    </row>
    <row r="5691" spans="1:15" ht="14" x14ac:dyDescent="0.15">
      <c r="A5691" s="70" t="s">
        <v>7029</v>
      </c>
      <c r="B5691" s="118"/>
      <c r="C5691" s="121" t="s">
        <v>3636</v>
      </c>
      <c r="D5691" s="121" t="s">
        <v>3437</v>
      </c>
      <c r="E5691" s="121" t="s">
        <v>3457</v>
      </c>
      <c r="F5691" s="121" t="s">
        <v>4245</v>
      </c>
      <c r="G5691" s="121" t="s">
        <v>3054</v>
      </c>
      <c r="H5691" s="93"/>
      <c r="I5691" s="85">
        <f t="shared" si="212"/>
        <v>1.8864900000000004</v>
      </c>
      <c r="J5691" s="122">
        <v>76.999871427713714</v>
      </c>
      <c r="K5691" s="150" t="s">
        <v>3177</v>
      </c>
      <c r="L5691" s="76">
        <v>61</v>
      </c>
      <c r="M5691" s="50"/>
      <c r="O5691" s="51"/>
    </row>
    <row r="5692" spans="1:15" ht="14" x14ac:dyDescent="0.15">
      <c r="A5692" s="70" t="s">
        <v>7029</v>
      </c>
      <c r="B5692" s="118"/>
      <c r="C5692" s="121" t="s">
        <v>3636</v>
      </c>
      <c r="D5692" s="121" t="s">
        <v>3437</v>
      </c>
      <c r="E5692" s="121" t="s">
        <v>3457</v>
      </c>
      <c r="F5692" s="121" t="s">
        <v>4245</v>
      </c>
      <c r="G5692" s="121" t="s">
        <v>5286</v>
      </c>
      <c r="H5692" s="93"/>
      <c r="I5692" s="85">
        <f t="shared" si="212"/>
        <v>1.8864900000000004</v>
      </c>
      <c r="J5692" s="122">
        <v>76.999871427713714</v>
      </c>
      <c r="K5692" s="150" t="s">
        <v>3177</v>
      </c>
      <c r="L5692" s="76">
        <v>61</v>
      </c>
      <c r="M5692" s="50"/>
      <c r="O5692" s="51"/>
    </row>
    <row r="5693" spans="1:15" ht="14" x14ac:dyDescent="0.15">
      <c r="A5693" s="73" t="s">
        <v>7029</v>
      </c>
      <c r="B5693" s="118"/>
      <c r="C5693" s="121" t="s">
        <v>3636</v>
      </c>
      <c r="D5693" s="121" t="s">
        <v>3437</v>
      </c>
      <c r="E5693" s="121" t="s">
        <v>3457</v>
      </c>
      <c r="F5693" s="121" t="s">
        <v>4245</v>
      </c>
      <c r="G5693" s="121" t="s">
        <v>4674</v>
      </c>
      <c r="H5693" s="93"/>
      <c r="I5693" s="85">
        <f t="shared" si="212"/>
        <v>1.8864900000000004</v>
      </c>
      <c r="J5693" s="122">
        <v>76.999871427713714</v>
      </c>
      <c r="K5693" s="150" t="s">
        <v>3177</v>
      </c>
      <c r="L5693" s="76">
        <v>61</v>
      </c>
      <c r="M5693" s="50"/>
      <c r="O5693" s="51"/>
    </row>
    <row r="5694" spans="1:15" ht="14" x14ac:dyDescent="0.15">
      <c r="A5694" s="70" t="s">
        <v>7029</v>
      </c>
      <c r="B5694" s="118"/>
      <c r="C5694" s="121" t="s">
        <v>3636</v>
      </c>
      <c r="D5694" s="121" t="s">
        <v>3437</v>
      </c>
      <c r="E5694" s="121" t="s">
        <v>3457</v>
      </c>
      <c r="F5694" s="121" t="s">
        <v>4245</v>
      </c>
      <c r="G5694" s="121" t="s">
        <v>3443</v>
      </c>
      <c r="H5694" s="93"/>
      <c r="I5694" s="85">
        <f t="shared" si="212"/>
        <v>1.8864900000000004</v>
      </c>
      <c r="J5694" s="122">
        <v>76.999871427713714</v>
      </c>
      <c r="K5694" s="150" t="s">
        <v>3177</v>
      </c>
      <c r="L5694" s="76">
        <v>61</v>
      </c>
      <c r="M5694" s="50"/>
    </row>
    <row r="5695" spans="1:15" ht="14" x14ac:dyDescent="0.15">
      <c r="A5695" s="70" t="s">
        <v>7029</v>
      </c>
      <c r="B5695" s="118"/>
      <c r="C5695" s="121" t="s">
        <v>3636</v>
      </c>
      <c r="D5695" s="121" t="s">
        <v>3437</v>
      </c>
      <c r="E5695" s="121" t="s">
        <v>3457</v>
      </c>
      <c r="F5695" s="121" t="s">
        <v>4245</v>
      </c>
      <c r="G5695" s="121" t="s">
        <v>7096</v>
      </c>
      <c r="H5695" s="93"/>
      <c r="I5695" s="85">
        <f t="shared" si="212"/>
        <v>1.9444800000000002</v>
      </c>
      <c r="J5695" s="122">
        <v>87.999458550589068</v>
      </c>
      <c r="K5695" s="150" t="s">
        <v>3177</v>
      </c>
      <c r="L5695" s="75">
        <v>60</v>
      </c>
      <c r="M5695" s="50"/>
    </row>
    <row r="5696" spans="1:15" ht="14" x14ac:dyDescent="0.15">
      <c r="A5696" s="70" t="s">
        <v>7029</v>
      </c>
      <c r="B5696" s="118"/>
      <c r="C5696" s="121" t="s">
        <v>3636</v>
      </c>
      <c r="D5696" s="121" t="s">
        <v>3437</v>
      </c>
      <c r="E5696" s="121" t="s">
        <v>3457</v>
      </c>
      <c r="F5696" s="121" t="s">
        <v>4245</v>
      </c>
      <c r="G5696" s="121" t="s">
        <v>4023</v>
      </c>
      <c r="H5696" s="93"/>
      <c r="I5696" s="85">
        <f t="shared" si="212"/>
        <v>2.0588099999999998</v>
      </c>
      <c r="J5696" s="122">
        <v>114.50118992599597</v>
      </c>
      <c r="K5696" s="150" t="s">
        <v>3177</v>
      </c>
      <c r="L5696" s="76">
        <v>61</v>
      </c>
      <c r="M5696" s="50"/>
    </row>
    <row r="5697" spans="1:15" ht="14" x14ac:dyDescent="0.15">
      <c r="A5697" s="70" t="s">
        <v>7029</v>
      </c>
      <c r="B5697" s="118"/>
      <c r="C5697" s="121" t="s">
        <v>3636</v>
      </c>
      <c r="D5697" s="121" t="s">
        <v>3437</v>
      </c>
      <c r="E5697" s="121" t="s">
        <v>3457</v>
      </c>
      <c r="F5697" s="121" t="s">
        <v>4429</v>
      </c>
      <c r="G5697" s="121" t="s">
        <v>5287</v>
      </c>
      <c r="H5697" s="93"/>
      <c r="I5697" s="85">
        <f t="shared" si="212"/>
        <v>2.2638699999999998</v>
      </c>
      <c r="J5697" s="122">
        <v>183.59886834633892</v>
      </c>
      <c r="K5697" s="150" t="s">
        <v>3177</v>
      </c>
      <c r="L5697" s="76">
        <v>61</v>
      </c>
      <c r="M5697" s="50"/>
    </row>
    <row r="5698" spans="1:15" ht="14" x14ac:dyDescent="0.15">
      <c r="A5698" s="70" t="s">
        <v>7029</v>
      </c>
      <c r="B5698" s="118"/>
      <c r="C5698" s="121" t="s">
        <v>3636</v>
      </c>
      <c r="D5698" s="121" t="s">
        <v>3437</v>
      </c>
      <c r="E5698" s="121" t="s">
        <v>3457</v>
      </c>
      <c r="F5698" s="121" t="s">
        <v>5288</v>
      </c>
      <c r="G5698" s="121" t="s">
        <v>5289</v>
      </c>
      <c r="H5698" s="93"/>
      <c r="I5698" s="85">
        <f t="shared" ref="I5698:I5729" si="213">LOG(J5698)</f>
        <v>1.6693199999999999</v>
      </c>
      <c r="J5698" s="122">
        <v>46.700335436188617</v>
      </c>
      <c r="K5698" s="150" t="s">
        <v>3177</v>
      </c>
      <c r="L5698" s="76">
        <v>61</v>
      </c>
      <c r="M5698" s="50"/>
      <c r="O5698" s="51"/>
    </row>
    <row r="5699" spans="1:15" ht="14" x14ac:dyDescent="0.15">
      <c r="A5699" s="70" t="s">
        <v>7029</v>
      </c>
      <c r="B5699" s="118"/>
      <c r="C5699" s="121" t="s">
        <v>3636</v>
      </c>
      <c r="D5699" s="121" t="s">
        <v>3437</v>
      </c>
      <c r="E5699" s="121" t="s">
        <v>3457</v>
      </c>
      <c r="F5699" s="121" t="s">
        <v>5242</v>
      </c>
      <c r="G5699" s="121" t="s">
        <v>5244</v>
      </c>
      <c r="H5699" s="93"/>
      <c r="I5699" s="85">
        <f t="shared" si="213"/>
        <v>1.3598400000000002</v>
      </c>
      <c r="J5699" s="122">
        <v>22.900238213836374</v>
      </c>
      <c r="K5699" s="150" t="s">
        <v>3177</v>
      </c>
      <c r="L5699" s="76">
        <v>61</v>
      </c>
      <c r="M5699" s="50"/>
    </row>
    <row r="5700" spans="1:15" ht="14" x14ac:dyDescent="0.15">
      <c r="A5700" s="70" t="s">
        <v>7029</v>
      </c>
      <c r="B5700" s="118"/>
      <c r="C5700" s="121" t="s">
        <v>3636</v>
      </c>
      <c r="D5700" s="121" t="s">
        <v>3437</v>
      </c>
      <c r="E5700" s="121" t="s">
        <v>3457</v>
      </c>
      <c r="F5700" s="121" t="s">
        <v>5242</v>
      </c>
      <c r="G5700" s="121" t="s">
        <v>5243</v>
      </c>
      <c r="H5700" s="93"/>
      <c r="I5700" s="85">
        <f t="shared" si="213"/>
        <v>1.67025</v>
      </c>
      <c r="J5700" s="122">
        <v>46.800446878939681</v>
      </c>
      <c r="K5700" s="150" t="s">
        <v>3177</v>
      </c>
      <c r="L5700" s="76">
        <v>61</v>
      </c>
      <c r="M5700" s="50"/>
    </row>
    <row r="5701" spans="1:15" ht="14" x14ac:dyDescent="0.15">
      <c r="A5701" s="70" t="s">
        <v>7029</v>
      </c>
      <c r="B5701" s="118"/>
      <c r="C5701" s="121" t="s">
        <v>3636</v>
      </c>
      <c r="D5701" s="121" t="s">
        <v>3437</v>
      </c>
      <c r="E5701" s="121" t="s">
        <v>3457</v>
      </c>
      <c r="F5701" s="121" t="s">
        <v>5245</v>
      </c>
      <c r="G5701" s="121" t="s">
        <v>7086</v>
      </c>
      <c r="H5701" s="93"/>
      <c r="I5701" s="85">
        <f t="shared" si="213"/>
        <v>1.7179500000000003</v>
      </c>
      <c r="J5701" s="122">
        <v>52.233604937723022</v>
      </c>
      <c r="K5701" s="150" t="s">
        <v>3177</v>
      </c>
      <c r="L5701" s="75">
        <v>60</v>
      </c>
      <c r="M5701" s="50"/>
    </row>
    <row r="5702" spans="1:15" ht="14" x14ac:dyDescent="0.15">
      <c r="A5702" s="70" t="s">
        <v>7029</v>
      </c>
      <c r="B5702" s="118"/>
      <c r="C5702" s="121" t="s">
        <v>3636</v>
      </c>
      <c r="D5702" s="121" t="s">
        <v>3437</v>
      </c>
      <c r="E5702" s="121" t="s">
        <v>3457</v>
      </c>
      <c r="F5702" s="121" t="s">
        <v>5245</v>
      </c>
      <c r="G5702" s="121" t="s">
        <v>4599</v>
      </c>
      <c r="H5702" s="93"/>
      <c r="I5702" s="85">
        <f t="shared" si="213"/>
        <v>1.8785200000000002</v>
      </c>
      <c r="J5702" s="122">
        <v>75.599687447996104</v>
      </c>
      <c r="K5702" s="150" t="s">
        <v>3177</v>
      </c>
      <c r="L5702" s="75">
        <v>60</v>
      </c>
      <c r="M5702" s="50"/>
      <c r="O5702" s="51"/>
    </row>
    <row r="5703" spans="1:15" ht="14" x14ac:dyDescent="0.15">
      <c r="A5703" s="73" t="s">
        <v>7029</v>
      </c>
      <c r="B5703" s="118"/>
      <c r="C5703" s="121" t="s">
        <v>3636</v>
      </c>
      <c r="D5703" s="121" t="s">
        <v>3437</v>
      </c>
      <c r="E5703" s="121" t="s">
        <v>5246</v>
      </c>
      <c r="F5703" s="121" t="s">
        <v>5847</v>
      </c>
      <c r="G5703" s="121" t="s">
        <v>5848</v>
      </c>
      <c r="H5703" s="93"/>
      <c r="I5703" s="85">
        <f t="shared" si="213"/>
        <v>3.8412000000000006</v>
      </c>
      <c r="J5703" s="122">
        <v>6937.4521394212425</v>
      </c>
      <c r="K5703" s="150" t="s">
        <v>3177</v>
      </c>
      <c r="L5703" s="75">
        <v>60</v>
      </c>
      <c r="O5703" s="51"/>
    </row>
    <row r="5704" spans="1:15" ht="14" x14ac:dyDescent="0.15">
      <c r="A5704" s="70" t="s">
        <v>7029</v>
      </c>
      <c r="B5704" s="118"/>
      <c r="C5704" s="121" t="s">
        <v>3636</v>
      </c>
      <c r="D5704" s="121" t="s">
        <v>3437</v>
      </c>
      <c r="E5704" s="121" t="s">
        <v>7773</v>
      </c>
      <c r="F5704" s="121" t="s">
        <v>7774</v>
      </c>
      <c r="G5704" s="121" t="s">
        <v>7775</v>
      </c>
      <c r="H5704" s="93"/>
      <c r="I5704" s="85">
        <f t="shared" si="213"/>
        <v>1.9845300000000001</v>
      </c>
      <c r="J5704" s="122">
        <v>96.500596975408996</v>
      </c>
      <c r="K5704" s="150" t="s">
        <v>3177</v>
      </c>
      <c r="L5704" s="75">
        <v>61</v>
      </c>
    </row>
    <row r="5705" spans="1:15" ht="14" x14ac:dyDescent="0.15">
      <c r="A5705" s="73" t="s">
        <v>7029</v>
      </c>
      <c r="B5705" s="118"/>
      <c r="C5705" s="121" t="s">
        <v>3636</v>
      </c>
      <c r="D5705" s="121" t="s">
        <v>3437</v>
      </c>
      <c r="E5705" s="121" t="s">
        <v>7773</v>
      </c>
      <c r="F5705" s="121" t="s">
        <v>7774</v>
      </c>
      <c r="G5705" s="121" t="s">
        <v>4664</v>
      </c>
      <c r="H5705" s="93"/>
      <c r="I5705" s="85">
        <f t="shared" si="213"/>
        <v>2.12548</v>
      </c>
      <c r="J5705" s="122">
        <v>133.4996109303938</v>
      </c>
      <c r="K5705" s="150" t="s">
        <v>3177</v>
      </c>
      <c r="L5705" s="75">
        <v>60</v>
      </c>
    </row>
    <row r="5706" spans="1:15" ht="14" x14ac:dyDescent="0.15">
      <c r="A5706" s="73" t="s">
        <v>7029</v>
      </c>
      <c r="B5706" s="118"/>
      <c r="C5706" s="121" t="s">
        <v>3636</v>
      </c>
      <c r="D5706" s="121" t="s">
        <v>3437</v>
      </c>
      <c r="E5706" s="121" t="s">
        <v>7773</v>
      </c>
      <c r="F5706" s="121" t="s">
        <v>7776</v>
      </c>
      <c r="G5706" s="121" t="s">
        <v>7777</v>
      </c>
      <c r="H5706" s="93"/>
      <c r="I5706" s="85">
        <f t="shared" si="213"/>
        <v>2.1760900000000003</v>
      </c>
      <c r="J5706" s="122">
        <v>149.99956513820399</v>
      </c>
      <c r="K5706" s="150" t="s">
        <v>3177</v>
      </c>
      <c r="L5706" s="75">
        <v>60</v>
      </c>
    </row>
    <row r="5707" spans="1:15" ht="14" x14ac:dyDescent="0.15">
      <c r="A5707" s="70" t="s">
        <v>7029</v>
      </c>
      <c r="B5707" s="118"/>
      <c r="C5707" s="121" t="s">
        <v>3636</v>
      </c>
      <c r="D5707" s="121" t="s">
        <v>3437</v>
      </c>
      <c r="E5707" s="121" t="s">
        <v>7773</v>
      </c>
      <c r="F5707" s="121" t="s">
        <v>7776</v>
      </c>
      <c r="G5707" s="121" t="s">
        <v>5724</v>
      </c>
      <c r="H5707" s="93"/>
      <c r="I5707" s="85">
        <f t="shared" si="213"/>
        <v>2.3222200000000002</v>
      </c>
      <c r="J5707" s="122">
        <v>210.00034102666152</v>
      </c>
      <c r="K5707" s="150" t="s">
        <v>3177</v>
      </c>
      <c r="L5707" s="75">
        <v>60</v>
      </c>
    </row>
    <row r="5708" spans="1:15" ht="14" x14ac:dyDescent="0.15">
      <c r="A5708" s="70" t="s">
        <v>7029</v>
      </c>
      <c r="B5708" s="118"/>
      <c r="C5708" s="121" t="s">
        <v>3636</v>
      </c>
      <c r="D5708" s="121" t="s">
        <v>3437</v>
      </c>
      <c r="E5708" s="121" t="s">
        <v>7773</v>
      </c>
      <c r="F5708" s="121" t="s">
        <v>7776</v>
      </c>
      <c r="G5708" s="121" t="s">
        <v>4438</v>
      </c>
      <c r="H5708" s="93"/>
      <c r="I5708" s="85">
        <f t="shared" si="213"/>
        <v>2.3673600000000001</v>
      </c>
      <c r="J5708" s="122">
        <v>233.0021883893082</v>
      </c>
      <c r="K5708" s="150" t="s">
        <v>3177</v>
      </c>
      <c r="L5708" s="76">
        <v>61</v>
      </c>
    </row>
    <row r="5709" spans="1:15" ht="14" x14ac:dyDescent="0.15">
      <c r="A5709" s="70" t="s">
        <v>7029</v>
      </c>
      <c r="B5709" s="118"/>
      <c r="C5709" s="121" t="s">
        <v>3636</v>
      </c>
      <c r="D5709" s="121" t="s">
        <v>3437</v>
      </c>
      <c r="E5709" s="121" t="s">
        <v>7773</v>
      </c>
      <c r="F5709" s="121" t="s">
        <v>7778</v>
      </c>
      <c r="G5709" s="121" t="s">
        <v>6998</v>
      </c>
      <c r="H5709" s="93"/>
      <c r="I5709" s="85">
        <f t="shared" si="213"/>
        <v>2.1760900000000003</v>
      </c>
      <c r="J5709" s="122">
        <v>149.99956513820399</v>
      </c>
      <c r="K5709" s="150" t="s">
        <v>3177</v>
      </c>
      <c r="L5709" s="75">
        <v>60</v>
      </c>
    </row>
    <row r="5710" spans="1:15" ht="14" x14ac:dyDescent="0.15">
      <c r="A5710" s="70" t="s">
        <v>7029</v>
      </c>
      <c r="B5710" s="118"/>
      <c r="C5710" s="121" t="s">
        <v>3636</v>
      </c>
      <c r="D5710" s="121" t="s">
        <v>3437</v>
      </c>
      <c r="E5710" s="121" t="s">
        <v>7773</v>
      </c>
      <c r="F5710" s="121" t="s">
        <v>7779</v>
      </c>
      <c r="G5710" s="121" t="s">
        <v>7780</v>
      </c>
      <c r="H5710" s="93"/>
      <c r="I5710" s="85">
        <f t="shared" si="213"/>
        <v>2.11727</v>
      </c>
      <c r="J5710" s="122">
        <v>130.99960918073103</v>
      </c>
      <c r="K5710" s="150" t="s">
        <v>3177</v>
      </c>
      <c r="L5710" s="76">
        <v>61</v>
      </c>
    </row>
    <row r="5711" spans="1:15" ht="14" x14ac:dyDescent="0.15">
      <c r="A5711" s="70" t="s">
        <v>7029</v>
      </c>
      <c r="B5711" s="118"/>
      <c r="C5711" s="121" t="s">
        <v>3636</v>
      </c>
      <c r="D5711" s="121" t="s">
        <v>3437</v>
      </c>
      <c r="E5711" s="121" t="s">
        <v>7773</v>
      </c>
      <c r="F5711" s="121" t="s">
        <v>6087</v>
      </c>
      <c r="G5711" s="121" t="s">
        <v>5502</v>
      </c>
      <c r="H5711" s="93"/>
      <c r="I5711" s="85">
        <f t="shared" si="213"/>
        <v>2.1055100000000002</v>
      </c>
      <c r="J5711" s="122">
        <v>127.49994575531669</v>
      </c>
      <c r="K5711" s="150" t="s">
        <v>3177</v>
      </c>
      <c r="L5711" s="75">
        <v>60</v>
      </c>
      <c r="M5711" s="50"/>
    </row>
    <row r="5712" spans="1:15" ht="14" x14ac:dyDescent="0.15">
      <c r="A5712" s="70" t="s">
        <v>7029</v>
      </c>
      <c r="B5712" s="118"/>
      <c r="C5712" s="121" t="s">
        <v>3636</v>
      </c>
      <c r="D5712" s="121" t="s">
        <v>3437</v>
      </c>
      <c r="E5712" s="121" t="s">
        <v>7773</v>
      </c>
      <c r="F5712" s="121" t="s">
        <v>6088</v>
      </c>
      <c r="G5712" s="121" t="s">
        <v>6089</v>
      </c>
      <c r="H5712" s="93"/>
      <c r="I5712" s="85">
        <f t="shared" si="213"/>
        <v>1.8451000000000002</v>
      </c>
      <c r="J5712" s="122">
        <v>70.000315913089707</v>
      </c>
      <c r="K5712" s="150" t="s">
        <v>6816</v>
      </c>
      <c r="L5712" s="76">
        <v>61</v>
      </c>
      <c r="M5712" s="50" t="s">
        <v>6728</v>
      </c>
    </row>
    <row r="5713" spans="1:15" ht="14" x14ac:dyDescent="0.15">
      <c r="A5713" s="70" t="s">
        <v>7029</v>
      </c>
      <c r="B5713" s="118"/>
      <c r="C5713" s="121" t="s">
        <v>3636</v>
      </c>
      <c r="D5713" s="121" t="s">
        <v>3437</v>
      </c>
      <c r="E5713" s="121" t="s">
        <v>3258</v>
      </c>
      <c r="F5713" s="121" t="s">
        <v>6001</v>
      </c>
      <c r="G5713" s="121" t="s">
        <v>6002</v>
      </c>
      <c r="H5713" s="93"/>
      <c r="I5713" s="85">
        <f t="shared" si="213"/>
        <v>1.9420100000000002</v>
      </c>
      <c r="J5713" s="122">
        <v>87.500392270536665</v>
      </c>
      <c r="K5713" s="150" t="s">
        <v>3177</v>
      </c>
      <c r="L5713" s="76">
        <v>61</v>
      </c>
    </row>
    <row r="5714" spans="1:15" ht="14" x14ac:dyDescent="0.15">
      <c r="A5714" s="70" t="s">
        <v>7029</v>
      </c>
      <c r="B5714" s="118"/>
      <c r="C5714" s="121" t="s">
        <v>3636</v>
      </c>
      <c r="D5714" s="121" t="s">
        <v>3437</v>
      </c>
      <c r="E5714" s="121" t="s">
        <v>3258</v>
      </c>
      <c r="F5714" s="121" t="s">
        <v>6001</v>
      </c>
      <c r="G5714" s="121" t="s">
        <v>6003</v>
      </c>
      <c r="H5714" s="93"/>
      <c r="I5714" s="85">
        <f t="shared" si="213"/>
        <v>1.9637899999999999</v>
      </c>
      <c r="J5714" s="122">
        <v>92.000460251551033</v>
      </c>
      <c r="K5714" s="150" t="s">
        <v>3177</v>
      </c>
      <c r="L5714" s="76">
        <v>61</v>
      </c>
    </row>
    <row r="5715" spans="1:15" ht="14" x14ac:dyDescent="0.15">
      <c r="A5715" s="70" t="s">
        <v>7029</v>
      </c>
      <c r="B5715" s="118"/>
      <c r="C5715" s="121" t="s">
        <v>3636</v>
      </c>
      <c r="D5715" s="121" t="s">
        <v>3437</v>
      </c>
      <c r="E5715" s="121" t="s">
        <v>3258</v>
      </c>
      <c r="F5715" s="121" t="s">
        <v>6001</v>
      </c>
      <c r="G5715" s="121" t="s">
        <v>6005</v>
      </c>
      <c r="H5715" s="93"/>
      <c r="I5715" s="85">
        <f t="shared" si="213"/>
        <v>1.9991300000000003</v>
      </c>
      <c r="J5715" s="122">
        <v>99.799875613326449</v>
      </c>
      <c r="K5715" s="150" t="s">
        <v>3177</v>
      </c>
      <c r="L5715" s="76">
        <v>61</v>
      </c>
    </row>
    <row r="5716" spans="1:15" ht="14" x14ac:dyDescent="0.15">
      <c r="A5716" s="70" t="s">
        <v>7029</v>
      </c>
      <c r="B5716" s="118"/>
      <c r="C5716" s="121" t="s">
        <v>3636</v>
      </c>
      <c r="D5716" s="121" t="s">
        <v>3437</v>
      </c>
      <c r="E5716" s="121" t="s">
        <v>3258</v>
      </c>
      <c r="F5716" s="121" t="s">
        <v>6001</v>
      </c>
      <c r="G5716" s="121" t="s">
        <v>6004</v>
      </c>
      <c r="H5716" s="93"/>
      <c r="I5716" s="85">
        <f t="shared" si="213"/>
        <v>2.0791800000000005</v>
      </c>
      <c r="J5716" s="122">
        <v>119.99965570481169</v>
      </c>
      <c r="K5716" s="150" t="s">
        <v>3177</v>
      </c>
      <c r="L5716" s="76">
        <v>61</v>
      </c>
    </row>
    <row r="5717" spans="1:15" ht="14" x14ac:dyDescent="0.15">
      <c r="A5717" s="70" t="s">
        <v>7029</v>
      </c>
      <c r="B5717" s="118"/>
      <c r="C5717" s="121" t="s">
        <v>3636</v>
      </c>
      <c r="D5717" s="121" t="s">
        <v>3437</v>
      </c>
      <c r="E5717" s="121" t="s">
        <v>3258</v>
      </c>
      <c r="F5717" s="121" t="s">
        <v>6006</v>
      </c>
      <c r="G5717" s="121" t="s">
        <v>4291</v>
      </c>
      <c r="H5717" s="93"/>
      <c r="I5717" s="85">
        <f t="shared" si="213"/>
        <v>1.5910600000000001</v>
      </c>
      <c r="J5717" s="122">
        <v>38.999586287443293</v>
      </c>
      <c r="K5717" s="150" t="s">
        <v>3177</v>
      </c>
      <c r="L5717" s="76">
        <v>61</v>
      </c>
      <c r="M5717" s="50"/>
    </row>
    <row r="5718" spans="1:15" ht="14" x14ac:dyDescent="0.15">
      <c r="A5718" s="70" t="s">
        <v>7029</v>
      </c>
      <c r="B5718" s="118"/>
      <c r="C5718" s="121" t="s">
        <v>3636</v>
      </c>
      <c r="D5718" s="121" t="s">
        <v>3437</v>
      </c>
      <c r="E5718" s="121" t="s">
        <v>3258</v>
      </c>
      <c r="F5718" s="121" t="s">
        <v>3288</v>
      </c>
      <c r="G5718" s="121" t="s">
        <v>4119</v>
      </c>
      <c r="H5718" s="93"/>
      <c r="I5718" s="85">
        <f t="shared" si="213"/>
        <v>2.1335400000000004</v>
      </c>
      <c r="J5718" s="122">
        <v>136.00034184601287</v>
      </c>
      <c r="K5718" s="150" t="s">
        <v>6630</v>
      </c>
      <c r="L5718" s="76">
        <v>61</v>
      </c>
      <c r="M5718" s="50" t="s">
        <v>6392</v>
      </c>
    </row>
    <row r="5719" spans="1:15" ht="14" x14ac:dyDescent="0.15">
      <c r="A5719" s="70" t="s">
        <v>7029</v>
      </c>
      <c r="B5719" s="118"/>
      <c r="C5719" s="121" t="s">
        <v>3636</v>
      </c>
      <c r="D5719" s="121" t="s">
        <v>3437</v>
      </c>
      <c r="E5719" s="121" t="s">
        <v>3258</v>
      </c>
      <c r="F5719" s="121" t="s">
        <v>3288</v>
      </c>
      <c r="G5719" s="121" t="s">
        <v>5997</v>
      </c>
      <c r="H5719" s="93"/>
      <c r="I5719" s="85">
        <f t="shared" si="213"/>
        <v>2.2671700000000006</v>
      </c>
      <c r="J5719" s="122">
        <v>184.99926373938769</v>
      </c>
      <c r="K5719" s="150" t="s">
        <v>3177</v>
      </c>
      <c r="L5719" s="76">
        <v>61</v>
      </c>
      <c r="M5719" s="50"/>
    </row>
    <row r="5720" spans="1:15" ht="14" x14ac:dyDescent="0.15">
      <c r="A5720" s="70" t="s">
        <v>7029</v>
      </c>
      <c r="B5720" s="118"/>
      <c r="C5720" s="121" t="s">
        <v>3636</v>
      </c>
      <c r="D5720" s="121" t="s">
        <v>3437</v>
      </c>
      <c r="E5720" s="121" t="s">
        <v>3258</v>
      </c>
      <c r="F5720" s="121" t="s">
        <v>3288</v>
      </c>
      <c r="G5720" s="121" t="s">
        <v>7718</v>
      </c>
      <c r="H5720" s="93"/>
      <c r="I5720" s="85">
        <f t="shared" si="213"/>
        <v>2.2787500000000001</v>
      </c>
      <c r="J5720" s="122">
        <v>189.99842462147336</v>
      </c>
      <c r="K5720" s="150" t="s">
        <v>3177</v>
      </c>
      <c r="L5720" s="76">
        <v>61</v>
      </c>
      <c r="M5720" s="50"/>
    </row>
    <row r="5721" spans="1:15" ht="14" x14ac:dyDescent="0.15">
      <c r="A5721" s="70" t="s">
        <v>7029</v>
      </c>
      <c r="B5721" s="118"/>
      <c r="C5721" s="121" t="s">
        <v>3636</v>
      </c>
      <c r="D5721" s="121" t="s">
        <v>3437</v>
      </c>
      <c r="E5721" s="121" t="s">
        <v>3258</v>
      </c>
      <c r="F5721" s="121" t="s">
        <v>3288</v>
      </c>
      <c r="G5721" s="121" t="s">
        <v>7717</v>
      </c>
      <c r="H5721" s="93"/>
      <c r="I5721" s="85">
        <f t="shared" si="213"/>
        <v>2.3979400000000002</v>
      </c>
      <c r="J5721" s="122">
        <v>249.99999500797404</v>
      </c>
      <c r="K5721" s="150" t="s">
        <v>3177</v>
      </c>
      <c r="L5721" s="75">
        <v>60</v>
      </c>
      <c r="M5721" s="50"/>
    </row>
    <row r="5722" spans="1:15" ht="14" x14ac:dyDescent="0.15">
      <c r="A5722" s="70" t="s">
        <v>7029</v>
      </c>
      <c r="B5722" s="118"/>
      <c r="C5722" s="121" t="s">
        <v>3636</v>
      </c>
      <c r="D5722" s="121" t="s">
        <v>3437</v>
      </c>
      <c r="E5722" s="121" t="s">
        <v>3258</v>
      </c>
      <c r="F5722" s="121" t="s">
        <v>3288</v>
      </c>
      <c r="G5722" s="121" t="s">
        <v>6223</v>
      </c>
      <c r="H5722" s="93"/>
      <c r="I5722" s="85">
        <f t="shared" si="213"/>
        <v>2.6056600000000003</v>
      </c>
      <c r="J5722" s="122">
        <v>403.32951115834646</v>
      </c>
      <c r="K5722" s="150" t="s">
        <v>3177</v>
      </c>
      <c r="L5722" s="75">
        <v>60</v>
      </c>
      <c r="M5722" s="50"/>
    </row>
    <row r="5723" spans="1:15" ht="14" x14ac:dyDescent="0.15">
      <c r="A5723" s="70" t="s">
        <v>7029</v>
      </c>
      <c r="B5723" s="118"/>
      <c r="C5723" s="121" t="s">
        <v>3636</v>
      </c>
      <c r="D5723" s="121" t="s">
        <v>3437</v>
      </c>
      <c r="E5723" s="121" t="s">
        <v>3258</v>
      </c>
      <c r="F5723" s="121" t="s">
        <v>3288</v>
      </c>
      <c r="G5723" s="121" t="s">
        <v>6224</v>
      </c>
      <c r="H5723" s="93"/>
      <c r="I5723" s="85">
        <f t="shared" si="213"/>
        <v>2.63679</v>
      </c>
      <c r="J5723" s="122">
        <v>433.3013079656464</v>
      </c>
      <c r="K5723" s="150" t="s">
        <v>3177</v>
      </c>
      <c r="L5723" s="76">
        <v>61</v>
      </c>
      <c r="M5723" s="50"/>
    </row>
    <row r="5724" spans="1:15" ht="14" x14ac:dyDescent="0.15">
      <c r="A5724" s="73" t="s">
        <v>7029</v>
      </c>
      <c r="B5724" s="118"/>
      <c r="C5724" s="121" t="s">
        <v>3636</v>
      </c>
      <c r="D5724" s="121" t="s">
        <v>3437</v>
      </c>
      <c r="E5724" s="121" t="s">
        <v>3258</v>
      </c>
      <c r="F5724" s="121" t="s">
        <v>3288</v>
      </c>
      <c r="G5724" s="121" t="s">
        <v>6222</v>
      </c>
      <c r="H5724" s="93"/>
      <c r="I5724" s="85">
        <f t="shared" si="213"/>
        <v>2.6830500000000002</v>
      </c>
      <c r="J5724" s="122">
        <v>482.00328711001845</v>
      </c>
      <c r="K5724" s="150" t="s">
        <v>3177</v>
      </c>
      <c r="L5724" s="76">
        <v>61</v>
      </c>
      <c r="M5724" s="50"/>
    </row>
    <row r="5725" spans="1:15" ht="14" x14ac:dyDescent="0.15">
      <c r="A5725" s="73" t="s">
        <v>7029</v>
      </c>
      <c r="B5725" s="118"/>
      <c r="C5725" s="121" t="s">
        <v>3636</v>
      </c>
      <c r="D5725" s="121" t="s">
        <v>3437</v>
      </c>
      <c r="E5725" s="121" t="s">
        <v>3258</v>
      </c>
      <c r="F5725" s="121" t="s">
        <v>3288</v>
      </c>
      <c r="G5725" s="121" t="s">
        <v>7719</v>
      </c>
      <c r="H5725" s="93"/>
      <c r="I5725" s="85">
        <f t="shared" si="213"/>
        <v>2.8451000000000004</v>
      </c>
      <c r="J5725" s="122">
        <v>700.0031591308973</v>
      </c>
      <c r="K5725" s="150" t="s">
        <v>3177</v>
      </c>
      <c r="L5725" s="76">
        <v>61</v>
      </c>
      <c r="M5725" s="50"/>
    </row>
    <row r="5726" spans="1:15" ht="14" x14ac:dyDescent="0.15">
      <c r="A5726" s="73" t="s">
        <v>7029</v>
      </c>
      <c r="B5726" s="118"/>
      <c r="C5726" s="121" t="s">
        <v>3636</v>
      </c>
      <c r="D5726" s="121" t="s">
        <v>3437</v>
      </c>
      <c r="E5726" s="121" t="s">
        <v>3258</v>
      </c>
      <c r="F5726" s="121" t="s">
        <v>3288</v>
      </c>
      <c r="G5726" s="121" t="s">
        <v>7711</v>
      </c>
      <c r="H5726" s="93"/>
      <c r="I5726" s="85">
        <f t="shared" si="213"/>
        <v>2.9047200000000006</v>
      </c>
      <c r="J5726" s="122">
        <v>803.00823671429134</v>
      </c>
      <c r="K5726" s="150" t="s">
        <v>3177</v>
      </c>
      <c r="L5726" s="76">
        <v>61</v>
      </c>
      <c r="M5726" s="50"/>
    </row>
    <row r="5727" spans="1:15" ht="14" x14ac:dyDescent="0.15">
      <c r="A5727" s="70" t="s">
        <v>7029</v>
      </c>
      <c r="B5727" s="118"/>
      <c r="C5727" s="121" t="s">
        <v>3636</v>
      </c>
      <c r="D5727" s="121" t="s">
        <v>3437</v>
      </c>
      <c r="E5727" s="121" t="s">
        <v>3258</v>
      </c>
      <c r="F5727" s="121" t="s">
        <v>3288</v>
      </c>
      <c r="G5727" s="121" t="s">
        <v>7716</v>
      </c>
      <c r="H5727" s="93"/>
      <c r="I5727" s="85">
        <f t="shared" si="213"/>
        <v>2.9047200000000006</v>
      </c>
      <c r="J5727" s="122">
        <v>803.00823671429134</v>
      </c>
      <c r="K5727" s="150" t="s">
        <v>3177</v>
      </c>
      <c r="L5727" s="76">
        <v>61</v>
      </c>
      <c r="M5727" s="50"/>
    </row>
    <row r="5728" spans="1:15" ht="14" x14ac:dyDescent="0.15">
      <c r="A5728" s="70" t="s">
        <v>7029</v>
      </c>
      <c r="B5728" s="118"/>
      <c r="C5728" s="121" t="s">
        <v>3636</v>
      </c>
      <c r="D5728" s="121" t="s">
        <v>3437</v>
      </c>
      <c r="E5728" s="121" t="s">
        <v>3258</v>
      </c>
      <c r="F5728" s="121" t="s">
        <v>3288</v>
      </c>
      <c r="G5728" s="121" t="s">
        <v>7710</v>
      </c>
      <c r="H5728" s="93"/>
      <c r="I5728" s="85">
        <f t="shared" si="213"/>
        <v>3.6327600000000002</v>
      </c>
      <c r="J5728" s="122">
        <v>4292.9912173916864</v>
      </c>
      <c r="K5728" s="150" t="s">
        <v>3177</v>
      </c>
      <c r="L5728" s="76">
        <v>61</v>
      </c>
      <c r="M5728" s="50"/>
      <c r="O5728" s="51"/>
    </row>
    <row r="5729" spans="1:15" ht="14" x14ac:dyDescent="0.15">
      <c r="A5729" s="70" t="s">
        <v>7029</v>
      </c>
      <c r="B5729" s="118"/>
      <c r="C5729" s="121" t="s">
        <v>3636</v>
      </c>
      <c r="D5729" s="121" t="s">
        <v>7093</v>
      </c>
      <c r="E5729" s="121" t="s">
        <v>3403</v>
      </c>
      <c r="F5729" s="121" t="s">
        <v>3375</v>
      </c>
      <c r="G5729" s="121" t="s">
        <v>4109</v>
      </c>
      <c r="H5729" s="93"/>
      <c r="I5729" s="85">
        <f t="shared" si="213"/>
        <v>5.6812412373755876</v>
      </c>
      <c r="J5729" s="122">
        <v>480000</v>
      </c>
      <c r="K5729" s="150" t="s">
        <v>6485</v>
      </c>
      <c r="L5729" s="75">
        <v>68</v>
      </c>
      <c r="M5729" s="50"/>
    </row>
    <row r="5730" spans="1:15" ht="14" x14ac:dyDescent="0.15">
      <c r="A5730" s="70" t="s">
        <v>7029</v>
      </c>
      <c r="B5730" s="118"/>
      <c r="C5730" s="121" t="s">
        <v>3636</v>
      </c>
      <c r="D5730" s="121" t="s">
        <v>6172</v>
      </c>
      <c r="E5730" s="121" t="s">
        <v>6173</v>
      </c>
      <c r="F5730" s="121" t="s">
        <v>6351</v>
      </c>
      <c r="G5730" s="121" t="s">
        <v>4295</v>
      </c>
      <c r="H5730" s="93"/>
      <c r="I5730" s="85">
        <f t="shared" ref="I5730:I5758" si="214">LOG(J5730)</f>
        <v>3.5854599999999999</v>
      </c>
      <c r="J5730" s="122">
        <v>3849.993532947145</v>
      </c>
      <c r="K5730" s="150" t="s">
        <v>3177</v>
      </c>
      <c r="L5730" s="75">
        <v>60</v>
      </c>
      <c r="M5730" s="50"/>
    </row>
    <row r="5731" spans="1:15" ht="14" x14ac:dyDescent="0.15">
      <c r="A5731" s="70" t="s">
        <v>7029</v>
      </c>
      <c r="B5731" s="118"/>
      <c r="C5731" s="121" t="s">
        <v>3636</v>
      </c>
      <c r="D5731" s="121" t="s">
        <v>6172</v>
      </c>
      <c r="E5731" s="121" t="s">
        <v>6173</v>
      </c>
      <c r="F5731" s="121" t="s">
        <v>6351</v>
      </c>
      <c r="G5731" s="121" t="s">
        <v>3531</v>
      </c>
      <c r="H5731" s="93"/>
      <c r="I5731" s="85">
        <f t="shared" si="214"/>
        <v>3.591060000000001</v>
      </c>
      <c r="J5731" s="122">
        <v>3899.9586287443362</v>
      </c>
      <c r="K5731" s="150" t="s">
        <v>6817</v>
      </c>
      <c r="L5731" s="75">
        <v>61</v>
      </c>
      <c r="M5731" s="50" t="s">
        <v>6390</v>
      </c>
    </row>
    <row r="5732" spans="1:15" ht="14" x14ac:dyDescent="0.15">
      <c r="A5732" s="70" t="s">
        <v>7029</v>
      </c>
      <c r="B5732" s="118"/>
      <c r="C5732" s="121" t="s">
        <v>3636</v>
      </c>
      <c r="D5732" s="121" t="s">
        <v>6172</v>
      </c>
      <c r="E5732" s="121" t="s">
        <v>6173</v>
      </c>
      <c r="F5732" s="121" t="s">
        <v>6351</v>
      </c>
      <c r="G5732" s="121" t="s">
        <v>2924</v>
      </c>
      <c r="H5732" s="93"/>
      <c r="I5732" s="85">
        <f t="shared" si="214"/>
        <v>3.6369900000000004</v>
      </c>
      <c r="J5732" s="122">
        <v>4335.0089654558778</v>
      </c>
      <c r="K5732" s="150" t="s">
        <v>3177</v>
      </c>
      <c r="L5732" s="75">
        <v>60</v>
      </c>
      <c r="M5732" s="50"/>
    </row>
    <row r="5733" spans="1:15" ht="14" x14ac:dyDescent="0.15">
      <c r="A5733" s="70" t="s">
        <v>7029</v>
      </c>
      <c r="B5733" s="118"/>
      <c r="C5733" s="121" t="s">
        <v>3636</v>
      </c>
      <c r="D5733" s="121" t="s">
        <v>6172</v>
      </c>
      <c r="E5733" s="121" t="s">
        <v>6346</v>
      </c>
      <c r="F5733" s="121" t="s">
        <v>3149</v>
      </c>
      <c r="G5733" s="121" t="s">
        <v>3733</v>
      </c>
      <c r="H5733" s="93"/>
      <c r="I5733" s="85">
        <f t="shared" si="214"/>
        <v>3.17319</v>
      </c>
      <c r="J5733" s="122">
        <v>1490.0128025794261</v>
      </c>
      <c r="K5733" s="150" t="s">
        <v>3177</v>
      </c>
      <c r="L5733" s="75">
        <v>61</v>
      </c>
      <c r="M5733" s="50" t="s">
        <v>6727</v>
      </c>
    </row>
    <row r="5734" spans="1:15" ht="14" x14ac:dyDescent="0.15">
      <c r="A5734" s="70" t="s">
        <v>7029</v>
      </c>
      <c r="B5734" s="118"/>
      <c r="C5734" s="121" t="s">
        <v>3636</v>
      </c>
      <c r="D5734" s="121" t="s">
        <v>6172</v>
      </c>
      <c r="E5734" s="121" t="s">
        <v>6346</v>
      </c>
      <c r="F5734" s="121" t="s">
        <v>3149</v>
      </c>
      <c r="G5734" s="121" t="s">
        <v>3319</v>
      </c>
      <c r="H5734" s="93"/>
      <c r="I5734" s="85">
        <f t="shared" si="214"/>
        <v>3.5809199999999999</v>
      </c>
      <c r="J5734" s="122">
        <v>3809.9563493981541</v>
      </c>
      <c r="K5734" s="150" t="s">
        <v>3177</v>
      </c>
      <c r="L5734" s="75">
        <v>60</v>
      </c>
      <c r="M5734" s="50" t="s">
        <v>6727</v>
      </c>
    </row>
    <row r="5735" spans="1:15" ht="14" x14ac:dyDescent="0.15">
      <c r="A5735" s="70" t="s">
        <v>7029</v>
      </c>
      <c r="B5735" s="118"/>
      <c r="C5735" s="121" t="s">
        <v>3636</v>
      </c>
      <c r="D5735" s="121" t="s">
        <v>6172</v>
      </c>
      <c r="E5735" s="121" t="s">
        <v>6346</v>
      </c>
      <c r="F5735" s="121" t="s">
        <v>3149</v>
      </c>
      <c r="G5735" s="121" t="s">
        <v>3576</v>
      </c>
      <c r="H5735" s="93"/>
      <c r="I5735" s="85">
        <f t="shared" si="214"/>
        <v>3.6812400000000007</v>
      </c>
      <c r="J5735" s="122">
        <v>4799.9863240390969</v>
      </c>
      <c r="K5735" s="150" t="s">
        <v>3177</v>
      </c>
      <c r="L5735" s="75">
        <v>60</v>
      </c>
      <c r="M5735" s="50"/>
    </row>
    <row r="5736" spans="1:15" ht="14" x14ac:dyDescent="0.15">
      <c r="A5736" s="70" t="s">
        <v>7029</v>
      </c>
      <c r="B5736" s="118"/>
      <c r="C5736" s="121" t="s">
        <v>3636</v>
      </c>
      <c r="D5736" s="121" t="s">
        <v>6172</v>
      </c>
      <c r="E5736" s="121" t="s">
        <v>6346</v>
      </c>
      <c r="F5736" s="121" t="s">
        <v>3149</v>
      </c>
      <c r="G5736" s="121" t="s">
        <v>3322</v>
      </c>
      <c r="H5736" s="93"/>
      <c r="I5736" s="85">
        <f t="shared" si="214"/>
        <v>3.7283499999999998</v>
      </c>
      <c r="J5736" s="122">
        <v>5349.9534101253548</v>
      </c>
      <c r="K5736" s="150" t="s">
        <v>3177</v>
      </c>
      <c r="L5736" s="75">
        <v>61</v>
      </c>
      <c r="M5736" s="50" t="s">
        <v>6392</v>
      </c>
    </row>
    <row r="5737" spans="1:15" ht="14" x14ac:dyDescent="0.15">
      <c r="A5737" s="70" t="s">
        <v>7029</v>
      </c>
      <c r="B5737" s="118"/>
      <c r="C5737" s="121" t="s">
        <v>3636</v>
      </c>
      <c r="D5737" s="121" t="s">
        <v>6172</v>
      </c>
      <c r="E5737" s="121" t="s">
        <v>6346</v>
      </c>
      <c r="F5737" s="121" t="s">
        <v>3577</v>
      </c>
      <c r="G5737" s="121" t="s">
        <v>3788</v>
      </c>
      <c r="H5737" s="93"/>
      <c r="I5737" s="85">
        <f t="shared" si="214"/>
        <v>3.0128400000000002</v>
      </c>
      <c r="J5737" s="122">
        <v>1030.0065820841057</v>
      </c>
      <c r="K5737" s="150" t="s">
        <v>3177</v>
      </c>
      <c r="L5737" s="75">
        <v>60</v>
      </c>
      <c r="M5737" s="50"/>
    </row>
    <row r="5738" spans="1:15" ht="14" x14ac:dyDescent="0.15">
      <c r="A5738" s="70" t="s">
        <v>7029</v>
      </c>
      <c r="B5738" s="118"/>
      <c r="C5738" s="121" t="s">
        <v>3636</v>
      </c>
      <c r="D5738" s="121" t="s">
        <v>6172</v>
      </c>
      <c r="E5738" s="121" t="s">
        <v>6346</v>
      </c>
      <c r="F5738" s="121" t="s">
        <v>3577</v>
      </c>
      <c r="G5738" s="121" t="s">
        <v>3578</v>
      </c>
      <c r="H5738" s="93"/>
      <c r="I5738" s="85">
        <f t="shared" si="214"/>
        <v>3.3324400000000005</v>
      </c>
      <c r="J5738" s="122">
        <v>2150.0076242905643</v>
      </c>
      <c r="K5738" s="150" t="s">
        <v>6677</v>
      </c>
      <c r="L5738" s="75">
        <v>61</v>
      </c>
      <c r="M5738" s="50" t="s">
        <v>6728</v>
      </c>
    </row>
    <row r="5739" spans="1:15" ht="14" x14ac:dyDescent="0.15">
      <c r="A5739" s="73" t="s">
        <v>7029</v>
      </c>
      <c r="B5739" s="118"/>
      <c r="C5739" s="121" t="s">
        <v>3636</v>
      </c>
      <c r="D5739" s="121" t="s">
        <v>6172</v>
      </c>
      <c r="E5739" s="121" t="s">
        <v>6346</v>
      </c>
      <c r="F5739" s="121" t="s">
        <v>3577</v>
      </c>
      <c r="G5739" s="121" t="s">
        <v>4566</v>
      </c>
      <c r="H5739" s="93"/>
      <c r="I5739" s="85">
        <f t="shared" si="214"/>
        <v>3.65706</v>
      </c>
      <c r="J5739" s="122">
        <v>4540.0433533453206</v>
      </c>
      <c r="K5739" s="150" t="s">
        <v>3177</v>
      </c>
      <c r="L5739" s="75">
        <v>60</v>
      </c>
      <c r="M5739" s="50"/>
    </row>
    <row r="5740" spans="1:15" ht="28" x14ac:dyDescent="0.15">
      <c r="A5740" s="70" t="s">
        <v>7029</v>
      </c>
      <c r="B5740" s="118"/>
      <c r="C5740" s="121" t="s">
        <v>3636</v>
      </c>
      <c r="D5740" s="121" t="s">
        <v>6172</v>
      </c>
      <c r="E5740" s="121" t="s">
        <v>6346</v>
      </c>
      <c r="F5740" s="121" t="s">
        <v>3579</v>
      </c>
      <c r="G5740" s="121" t="s">
        <v>3581</v>
      </c>
      <c r="H5740" s="93"/>
      <c r="I5740" s="85">
        <f t="shared" si="214"/>
        <v>1.6464000000000001</v>
      </c>
      <c r="J5740" s="122">
        <v>44.299619910036391</v>
      </c>
      <c r="K5740" s="150" t="s">
        <v>7906</v>
      </c>
      <c r="L5740" s="75">
        <v>61</v>
      </c>
      <c r="M5740" s="50" t="s">
        <v>6390</v>
      </c>
    </row>
    <row r="5741" spans="1:15" ht="14" x14ac:dyDescent="0.15">
      <c r="A5741" s="70" t="s">
        <v>7029</v>
      </c>
      <c r="B5741" s="118"/>
      <c r="C5741" s="121" t="s">
        <v>3636</v>
      </c>
      <c r="D5741" s="121" t="s">
        <v>6172</v>
      </c>
      <c r="E5741" s="121" t="s">
        <v>6346</v>
      </c>
      <c r="F5741" s="121" t="s">
        <v>3579</v>
      </c>
      <c r="G5741" s="121" t="s">
        <v>3580</v>
      </c>
      <c r="H5741" s="93"/>
      <c r="I5741" s="85">
        <f t="shared" si="214"/>
        <v>2.1139400000000004</v>
      </c>
      <c r="J5741" s="85">
        <v>129.99899653754548</v>
      </c>
      <c r="K5741" s="150" t="s">
        <v>6522</v>
      </c>
      <c r="L5741" s="75">
        <v>61</v>
      </c>
      <c r="M5741" s="50" t="s">
        <v>6728</v>
      </c>
    </row>
    <row r="5742" spans="1:15" ht="14" x14ac:dyDescent="0.15">
      <c r="A5742" s="70" t="s">
        <v>7029</v>
      </c>
      <c r="B5742" s="118"/>
      <c r="C5742" s="121" t="s">
        <v>3636</v>
      </c>
      <c r="D5742" s="121" t="s">
        <v>6172</v>
      </c>
      <c r="E5742" s="121" t="s">
        <v>6346</v>
      </c>
      <c r="F5742" s="121" t="s">
        <v>3320</v>
      </c>
      <c r="G5742" s="121" t="s">
        <v>6184</v>
      </c>
      <c r="H5742" s="93"/>
      <c r="I5742" s="85">
        <f t="shared" si="214"/>
        <v>3.0607000000000006</v>
      </c>
      <c r="J5742" s="85">
        <v>1150.0057186992374</v>
      </c>
      <c r="K5742" s="150" t="s">
        <v>3177</v>
      </c>
      <c r="L5742" s="75">
        <v>60</v>
      </c>
      <c r="M5742" s="50" t="s">
        <v>6727</v>
      </c>
      <c r="O5742" s="51"/>
    </row>
    <row r="5743" spans="1:15" ht="14" x14ac:dyDescent="0.15">
      <c r="A5743" s="70" t="s">
        <v>7029</v>
      </c>
      <c r="B5743" s="118"/>
      <c r="C5743" s="121" t="s">
        <v>3636</v>
      </c>
      <c r="D5743" s="121" t="s">
        <v>6172</v>
      </c>
      <c r="E5743" s="121" t="s">
        <v>6346</v>
      </c>
      <c r="F5743" s="121" t="s">
        <v>3320</v>
      </c>
      <c r="G5743" s="121" t="s">
        <v>6179</v>
      </c>
      <c r="H5743" s="93"/>
      <c r="I5743" s="85">
        <f t="shared" si="214"/>
        <v>3.1760900000000003</v>
      </c>
      <c r="J5743" s="85">
        <v>1499.9956513820403</v>
      </c>
      <c r="K5743" s="150" t="s">
        <v>3177</v>
      </c>
      <c r="L5743" s="76">
        <v>61</v>
      </c>
      <c r="M5743" s="50"/>
    </row>
    <row r="5744" spans="1:15" ht="14" x14ac:dyDescent="0.15">
      <c r="A5744" s="70" t="s">
        <v>7029</v>
      </c>
      <c r="B5744" s="118"/>
      <c r="C5744" s="121" t="s">
        <v>3636</v>
      </c>
      <c r="D5744" s="121" t="s">
        <v>6172</v>
      </c>
      <c r="E5744" s="121" t="s">
        <v>6346</v>
      </c>
      <c r="F5744" s="121" t="s">
        <v>3320</v>
      </c>
      <c r="G5744" s="121" t="s">
        <v>6176</v>
      </c>
      <c r="H5744" s="93"/>
      <c r="I5744" s="85">
        <f t="shared" si="214"/>
        <v>3.1837399999999998</v>
      </c>
      <c r="J5744" s="85">
        <v>1526.6518207127306</v>
      </c>
      <c r="K5744" s="150" t="s">
        <v>3177</v>
      </c>
      <c r="L5744" s="76" t="s">
        <v>5112</v>
      </c>
      <c r="M5744" s="50"/>
    </row>
    <row r="5745" spans="1:15" ht="14" x14ac:dyDescent="0.15">
      <c r="A5745" s="70" t="s">
        <v>7029</v>
      </c>
      <c r="B5745" s="118"/>
      <c r="C5745" s="121" t="s">
        <v>3636</v>
      </c>
      <c r="D5745" s="121" t="s">
        <v>6172</v>
      </c>
      <c r="E5745" s="121" t="s">
        <v>6346</v>
      </c>
      <c r="F5745" s="121" t="s">
        <v>3320</v>
      </c>
      <c r="G5745" s="121" t="s">
        <v>3321</v>
      </c>
      <c r="H5745" s="93"/>
      <c r="I5745" s="85">
        <f t="shared" si="214"/>
        <v>3.62364</v>
      </c>
      <c r="J5745" s="85">
        <v>4203.7801970002665</v>
      </c>
      <c r="K5745" s="150" t="s">
        <v>3177</v>
      </c>
      <c r="L5745" s="75">
        <v>60</v>
      </c>
      <c r="M5745" s="50"/>
    </row>
    <row r="5746" spans="1:15" ht="14" x14ac:dyDescent="0.15">
      <c r="A5746" s="70" t="s">
        <v>7029</v>
      </c>
      <c r="B5746" s="118"/>
      <c r="C5746" s="121" t="s">
        <v>3636</v>
      </c>
      <c r="D5746" s="121" t="s">
        <v>6172</v>
      </c>
      <c r="E5746" s="121" t="s">
        <v>6346</v>
      </c>
      <c r="F5746" s="121" t="s">
        <v>3320</v>
      </c>
      <c r="G5746" s="121" t="s">
        <v>6174</v>
      </c>
      <c r="H5746" s="93"/>
      <c r="I5746" s="85">
        <f t="shared" si="214"/>
        <v>3.6478700000000006</v>
      </c>
      <c r="J5746" s="85">
        <v>4444.981932143789</v>
      </c>
      <c r="K5746" s="150" t="s">
        <v>6816</v>
      </c>
      <c r="L5746" s="76">
        <v>61</v>
      </c>
      <c r="M5746" s="50" t="s">
        <v>6728</v>
      </c>
    </row>
    <row r="5747" spans="1:15" ht="14" x14ac:dyDescent="0.15">
      <c r="A5747" s="70" t="s">
        <v>7029</v>
      </c>
      <c r="B5747" s="118"/>
      <c r="C5747" s="121" t="s">
        <v>3636</v>
      </c>
      <c r="D5747" s="121" t="s">
        <v>6172</v>
      </c>
      <c r="E5747" s="121" t="s">
        <v>6346</v>
      </c>
      <c r="F5747" s="121" t="s">
        <v>3320</v>
      </c>
      <c r="G5747" s="121" t="s">
        <v>6180</v>
      </c>
      <c r="H5747" s="93"/>
      <c r="I5747" s="85">
        <f t="shared" si="214"/>
        <v>3.9777236052888476</v>
      </c>
      <c r="J5747" s="85">
        <v>9500</v>
      </c>
      <c r="K5747" s="150" t="s">
        <v>3177</v>
      </c>
      <c r="L5747" s="76">
        <v>61</v>
      </c>
      <c r="M5747" s="50"/>
    </row>
    <row r="5748" spans="1:15" ht="14" x14ac:dyDescent="0.15">
      <c r="A5748" s="70" t="s">
        <v>7029</v>
      </c>
      <c r="B5748" s="118"/>
      <c r="C5748" s="121" t="s">
        <v>3636</v>
      </c>
      <c r="D5748" s="121" t="s">
        <v>6172</v>
      </c>
      <c r="E5748" s="121" t="s">
        <v>6346</v>
      </c>
      <c r="F5748" s="121" t="s">
        <v>6347</v>
      </c>
      <c r="G5748" s="121" t="s">
        <v>6348</v>
      </c>
      <c r="H5748" s="93"/>
      <c r="I5748" s="85">
        <f t="shared" si="214"/>
        <v>3.6796900000000003</v>
      </c>
      <c r="J5748" s="85">
        <v>4782.8856740776882</v>
      </c>
      <c r="K5748" s="150" t="s">
        <v>3177</v>
      </c>
      <c r="L5748" s="75">
        <v>60</v>
      </c>
      <c r="M5748" s="50"/>
    </row>
    <row r="5749" spans="1:15" ht="14" x14ac:dyDescent="0.15">
      <c r="A5749" s="70" t="s">
        <v>7029</v>
      </c>
      <c r="B5749" s="118"/>
      <c r="C5749" s="121" t="s">
        <v>3636</v>
      </c>
      <c r="D5749" s="121" t="s">
        <v>6172</v>
      </c>
      <c r="E5749" s="121" t="s">
        <v>6346</v>
      </c>
      <c r="F5749" s="121" t="s">
        <v>6349</v>
      </c>
      <c r="G5749" s="121" t="s">
        <v>3249</v>
      </c>
      <c r="H5749" s="93"/>
      <c r="I5749" s="85">
        <f t="shared" si="214"/>
        <v>4.656670000000001</v>
      </c>
      <c r="J5749" s="85">
        <v>45359.681872881119</v>
      </c>
      <c r="K5749" s="150" t="s">
        <v>6817</v>
      </c>
      <c r="L5749" s="75">
        <v>60</v>
      </c>
      <c r="M5749" s="50" t="s">
        <v>6390</v>
      </c>
    </row>
    <row r="5750" spans="1:15" ht="14" x14ac:dyDescent="0.15">
      <c r="A5750" s="73" t="s">
        <v>7029</v>
      </c>
      <c r="B5750" s="118"/>
      <c r="C5750" s="121" t="s">
        <v>3636</v>
      </c>
      <c r="D5750" s="121" t="s">
        <v>6172</v>
      </c>
      <c r="E5750" s="121" t="s">
        <v>6346</v>
      </c>
      <c r="F5750" s="121" t="s">
        <v>6350</v>
      </c>
      <c r="G5750" s="121" t="s">
        <v>3152</v>
      </c>
      <c r="H5750" s="93"/>
      <c r="I5750" s="85">
        <f t="shared" si="214"/>
        <v>3.0791800000000005</v>
      </c>
      <c r="J5750" s="85">
        <v>1199.9965570481172</v>
      </c>
      <c r="K5750" s="150" t="s">
        <v>3177</v>
      </c>
      <c r="L5750" s="75">
        <v>60</v>
      </c>
      <c r="M5750" s="50" t="s">
        <v>6392</v>
      </c>
      <c r="O5750" s="51"/>
    </row>
    <row r="5751" spans="1:15" ht="28" x14ac:dyDescent="0.15">
      <c r="A5751" s="70" t="s">
        <v>7029</v>
      </c>
      <c r="B5751" s="118"/>
      <c r="C5751" s="121" t="s">
        <v>3636</v>
      </c>
      <c r="D5751" s="121" t="s">
        <v>6172</v>
      </c>
      <c r="E5751" s="121" t="s">
        <v>6346</v>
      </c>
      <c r="F5751" s="121" t="s">
        <v>6350</v>
      </c>
      <c r="G5751" s="121" t="s">
        <v>3108</v>
      </c>
      <c r="H5751" s="93"/>
      <c r="I5751" s="85">
        <f t="shared" si="214"/>
        <v>3.1723100000000004</v>
      </c>
      <c r="J5751" s="95">
        <v>1486.9966838387322</v>
      </c>
      <c r="K5751" s="150" t="s">
        <v>6853</v>
      </c>
      <c r="L5751" s="76">
        <v>61</v>
      </c>
      <c r="M5751" s="50" t="s">
        <v>6392</v>
      </c>
    </row>
    <row r="5752" spans="1:15" ht="14" x14ac:dyDescent="0.15">
      <c r="A5752" s="70" t="s">
        <v>7029</v>
      </c>
      <c r="B5752" s="118"/>
      <c r="C5752" s="121" t="s">
        <v>3636</v>
      </c>
      <c r="D5752" s="121" t="s">
        <v>6172</v>
      </c>
      <c r="E5752" s="121" t="s">
        <v>6346</v>
      </c>
      <c r="F5752" s="121" t="s">
        <v>3109</v>
      </c>
      <c r="G5752" s="121" t="s">
        <v>3150</v>
      </c>
      <c r="H5752" s="93"/>
      <c r="I5752" s="85">
        <f t="shared" si="214"/>
        <v>3.1398800000000002</v>
      </c>
      <c r="J5752" s="85">
        <v>1380.0029030247269</v>
      </c>
      <c r="K5752" s="150" t="s">
        <v>3177</v>
      </c>
      <c r="L5752" s="76" t="s">
        <v>5112</v>
      </c>
      <c r="M5752" s="50" t="s">
        <v>6727</v>
      </c>
      <c r="O5752" s="51"/>
    </row>
    <row r="5753" spans="1:15" ht="14" x14ac:dyDescent="0.15">
      <c r="A5753" s="70" t="s">
        <v>7029</v>
      </c>
      <c r="B5753" s="118"/>
      <c r="C5753" s="121" t="s">
        <v>3636</v>
      </c>
      <c r="D5753" s="121" t="s">
        <v>6172</v>
      </c>
      <c r="E5753" s="121" t="s">
        <v>3151</v>
      </c>
      <c r="F5753" s="121" t="s">
        <v>3104</v>
      </c>
      <c r="G5753" s="121" t="s">
        <v>3106</v>
      </c>
      <c r="H5753" s="93"/>
      <c r="I5753" s="85">
        <f t="shared" si="214"/>
        <v>3.5440700000000001</v>
      </c>
      <c r="J5753" s="85">
        <v>3500.0157607101446</v>
      </c>
      <c r="K5753" s="150" t="s">
        <v>3177</v>
      </c>
      <c r="L5753" s="75">
        <v>60</v>
      </c>
      <c r="M5753" s="50" t="s">
        <v>6727</v>
      </c>
    </row>
    <row r="5754" spans="1:15" ht="14" x14ac:dyDescent="0.15">
      <c r="A5754" s="70" t="s">
        <v>7029</v>
      </c>
      <c r="B5754" s="118"/>
      <c r="C5754" s="121" t="s">
        <v>3636</v>
      </c>
      <c r="D5754" s="121" t="s">
        <v>6172</v>
      </c>
      <c r="E5754" s="121" t="s">
        <v>3151</v>
      </c>
      <c r="F5754" s="121" t="s">
        <v>3104</v>
      </c>
      <c r="G5754" s="121" t="s">
        <v>3105</v>
      </c>
      <c r="H5754" s="93"/>
      <c r="I5754" s="85">
        <f t="shared" si="214"/>
        <v>3.7126500000000004</v>
      </c>
      <c r="J5754" s="85">
        <v>5160.0035450694977</v>
      </c>
      <c r="K5754" s="150" t="s">
        <v>3177</v>
      </c>
      <c r="L5754" s="75">
        <v>60</v>
      </c>
      <c r="M5754" s="50" t="s">
        <v>6727</v>
      </c>
    </row>
    <row r="5755" spans="1:15" ht="14" x14ac:dyDescent="0.15">
      <c r="A5755" s="70" t="s">
        <v>7029</v>
      </c>
      <c r="B5755" s="118"/>
      <c r="C5755" s="121" t="s">
        <v>3636</v>
      </c>
      <c r="D5755" s="121" t="s">
        <v>6172</v>
      </c>
      <c r="E5755" s="121" t="s">
        <v>3107</v>
      </c>
      <c r="F5755" s="121" t="s">
        <v>2948</v>
      </c>
      <c r="G5755" s="121" t="s">
        <v>3105</v>
      </c>
      <c r="H5755" s="93"/>
      <c r="I5755" s="85">
        <f t="shared" si="214"/>
        <v>2.5178600000000007</v>
      </c>
      <c r="J5755" s="85">
        <v>329.50347568431044</v>
      </c>
      <c r="K5755" s="150" t="s">
        <v>3177</v>
      </c>
      <c r="L5755" s="75">
        <v>60</v>
      </c>
      <c r="M5755" s="50"/>
    </row>
    <row r="5756" spans="1:15" ht="14" x14ac:dyDescent="0.15">
      <c r="A5756" s="73" t="s">
        <v>7029</v>
      </c>
      <c r="B5756" s="118"/>
      <c r="C5756" s="121" t="s">
        <v>3636</v>
      </c>
      <c r="D5756" s="121" t="s">
        <v>6172</v>
      </c>
      <c r="E5756" s="121" t="s">
        <v>3107</v>
      </c>
      <c r="F5756" s="121" t="s">
        <v>2949</v>
      </c>
      <c r="G5756" s="121" t="s">
        <v>3588</v>
      </c>
      <c r="H5756" s="93"/>
      <c r="I5756" s="85">
        <f t="shared" si="214"/>
        <v>4.3489500000000003</v>
      </c>
      <c r="J5756" s="85">
        <v>22333.150881274611</v>
      </c>
      <c r="K5756" s="150" t="s">
        <v>6817</v>
      </c>
      <c r="L5756" s="75">
        <v>60</v>
      </c>
      <c r="M5756" s="50" t="s">
        <v>6728</v>
      </c>
    </row>
    <row r="5757" spans="1:15" ht="14" x14ac:dyDescent="0.15">
      <c r="A5757" s="70" t="s">
        <v>7029</v>
      </c>
      <c r="B5757" s="118"/>
      <c r="C5757" s="121" t="s">
        <v>3636</v>
      </c>
      <c r="D5757" s="121" t="s">
        <v>6172</v>
      </c>
      <c r="E5757" s="121" t="s">
        <v>3107</v>
      </c>
      <c r="F5757" s="121" t="s">
        <v>3121</v>
      </c>
      <c r="G5757" s="121" t="s">
        <v>4194</v>
      </c>
      <c r="H5757" s="93"/>
      <c r="I5757" s="85">
        <f t="shared" si="214"/>
        <v>3.6242800000000002</v>
      </c>
      <c r="J5757" s="85">
        <v>4209.9796832627626</v>
      </c>
      <c r="K5757" s="150" t="s">
        <v>3177</v>
      </c>
      <c r="L5757" s="75">
        <v>60</v>
      </c>
      <c r="M5757" s="50"/>
    </row>
    <row r="5758" spans="1:15" ht="14" x14ac:dyDescent="0.15">
      <c r="A5758" s="70" t="s">
        <v>7029</v>
      </c>
      <c r="B5758" s="118"/>
      <c r="C5758" s="121" t="s">
        <v>3636</v>
      </c>
      <c r="D5758" s="121" t="s">
        <v>6172</v>
      </c>
      <c r="E5758" s="121" t="s">
        <v>3107</v>
      </c>
      <c r="F5758" s="121" t="s">
        <v>3121</v>
      </c>
      <c r="G5758" s="121" t="s">
        <v>2043</v>
      </c>
      <c r="H5758" s="93"/>
      <c r="I5758" s="85">
        <f t="shared" si="214"/>
        <v>3.7415500000000006</v>
      </c>
      <c r="J5758" s="122">
        <v>5515.0569316624042</v>
      </c>
      <c r="K5758" s="150" t="s">
        <v>3177</v>
      </c>
      <c r="L5758" s="75">
        <v>60</v>
      </c>
      <c r="M5758" s="50"/>
    </row>
  </sheetData>
  <dataConsolidate/>
  <mergeCells count="1">
    <mergeCell ref="A2:J2"/>
  </mergeCells>
  <phoneticPr fontId="7"/>
  <pageMargins left="0.5" right="0.5" top="0.75" bottom="0.5" header="0.5" footer="0.5"/>
  <pageSetup scale="75" fitToHeight="400" orientation="landscape" horizontalDpi="4294967292" verticalDpi="4294967292"/>
  <headerFooter alignWithMargins="0">
    <oddHeader>&amp;F&amp;RPage &amp;P</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285"/>
  <sheetViews>
    <sheetView topLeftCell="A118" zoomScaleNormal="100" workbookViewId="0">
      <selection activeCell="F26" sqref="F26"/>
    </sheetView>
  </sheetViews>
  <sheetFormatPr baseColWidth="10" defaultColWidth="11.5" defaultRowHeight="13" x14ac:dyDescent="0.15"/>
  <sheetData>
    <row r="1" spans="1:25" ht="16" x14ac:dyDescent="0.15">
      <c r="A1" s="155" t="s">
        <v>6582</v>
      </c>
      <c r="B1" s="126"/>
      <c r="C1" s="127"/>
      <c r="D1" s="127"/>
      <c r="E1" s="127"/>
      <c r="F1" s="127"/>
      <c r="G1" s="127"/>
      <c r="H1" s="94"/>
      <c r="I1" s="94"/>
      <c r="J1" s="138"/>
      <c r="K1" s="71"/>
      <c r="L1" s="49"/>
      <c r="M1" s="37"/>
      <c r="N1" s="37"/>
      <c r="O1" s="37"/>
      <c r="P1" s="3"/>
      <c r="Q1" s="3"/>
      <c r="R1" s="3"/>
      <c r="S1" s="3"/>
      <c r="T1" s="3"/>
      <c r="U1" s="3"/>
      <c r="V1" s="3"/>
      <c r="W1" s="3"/>
      <c r="X1" s="3"/>
      <c r="Y1" s="4"/>
    </row>
    <row r="2" spans="1:25" s="2" customFormat="1" x14ac:dyDescent="0.15">
      <c r="A2" s="156" t="s">
        <v>382</v>
      </c>
      <c r="B2" s="126"/>
      <c r="C2" s="127"/>
      <c r="D2" s="127"/>
      <c r="E2" s="127"/>
      <c r="F2" s="127"/>
      <c r="G2" s="127"/>
      <c r="H2" s="94"/>
      <c r="I2" s="94"/>
      <c r="J2" s="138"/>
      <c r="K2" s="71"/>
      <c r="L2" s="49"/>
      <c r="M2" s="37"/>
      <c r="N2" s="51"/>
      <c r="O2" s="51"/>
      <c r="P2" s="6"/>
      <c r="Q2" s="6"/>
      <c r="R2" s="6"/>
      <c r="S2" s="6"/>
      <c r="T2" s="6"/>
      <c r="U2" s="6"/>
      <c r="V2" s="6"/>
      <c r="W2" s="6"/>
      <c r="X2" s="6"/>
      <c r="Y2" s="6"/>
    </row>
    <row r="3" spans="1:25" s="2" customFormat="1" x14ac:dyDescent="0.15">
      <c r="A3" s="154" t="s">
        <v>383</v>
      </c>
      <c r="B3" s="126"/>
      <c r="C3" s="127"/>
      <c r="D3" s="127"/>
      <c r="E3" s="127"/>
      <c r="F3" s="127"/>
      <c r="G3" s="127"/>
      <c r="H3" s="94"/>
      <c r="I3" s="94"/>
      <c r="J3" s="151"/>
      <c r="K3" s="71"/>
      <c r="L3" s="50"/>
      <c r="M3" s="51"/>
      <c r="N3" s="51"/>
      <c r="O3" s="51"/>
      <c r="P3" s="6"/>
      <c r="Q3" s="6"/>
      <c r="R3" s="6"/>
      <c r="S3" s="6"/>
      <c r="T3" s="6"/>
      <c r="U3" s="6"/>
      <c r="V3" s="6"/>
      <c r="W3" s="6"/>
      <c r="X3" s="6"/>
      <c r="Y3" s="6"/>
    </row>
    <row r="4" spans="1:25" s="2" customFormat="1" x14ac:dyDescent="0.15">
      <c r="A4" s="154" t="s">
        <v>411</v>
      </c>
      <c r="B4" s="126"/>
      <c r="C4" s="127"/>
      <c r="D4" s="127"/>
      <c r="E4" s="127"/>
      <c r="F4" s="127"/>
      <c r="G4" s="127"/>
      <c r="H4" s="94"/>
      <c r="I4" s="94"/>
      <c r="J4" s="151"/>
      <c r="K4" s="71"/>
      <c r="L4" s="50"/>
      <c r="M4" s="51"/>
      <c r="N4" s="51"/>
      <c r="O4" s="51"/>
      <c r="P4" s="6"/>
      <c r="Q4" s="6"/>
      <c r="R4" s="6"/>
      <c r="S4" s="6"/>
      <c r="T4" s="6"/>
      <c r="U4" s="6"/>
      <c r="V4" s="6"/>
      <c r="W4" s="6"/>
      <c r="X4" s="6"/>
      <c r="Y4" s="6"/>
    </row>
    <row r="5" spans="1:25" s="2" customFormat="1" x14ac:dyDescent="0.15">
      <c r="A5" s="154" t="s">
        <v>412</v>
      </c>
      <c r="B5" s="126"/>
      <c r="C5" s="127"/>
      <c r="D5" s="127"/>
      <c r="E5" s="127"/>
      <c r="F5" s="127"/>
      <c r="G5" s="127"/>
      <c r="H5" s="94"/>
      <c r="I5" s="94"/>
      <c r="J5" s="151"/>
      <c r="K5" s="71"/>
      <c r="L5" s="50"/>
      <c r="M5" s="51"/>
      <c r="N5" s="51"/>
      <c r="O5" s="51"/>
      <c r="P5" s="6"/>
      <c r="Q5" s="6"/>
      <c r="R5" s="6"/>
      <c r="S5" s="6"/>
      <c r="T5" s="6"/>
      <c r="U5" s="6"/>
      <c r="V5" s="6"/>
      <c r="W5" s="6"/>
      <c r="X5" s="6"/>
      <c r="Y5" s="6"/>
    </row>
    <row r="6" spans="1:25" s="2" customFormat="1" x14ac:dyDescent="0.15">
      <c r="A6" s="154" t="s">
        <v>421</v>
      </c>
      <c r="B6" s="126"/>
      <c r="C6" s="127"/>
      <c r="D6" s="127"/>
      <c r="E6" s="127"/>
      <c r="F6" s="127"/>
      <c r="G6" s="127"/>
      <c r="H6" s="94"/>
      <c r="I6" s="94"/>
      <c r="J6" s="151"/>
      <c r="K6" s="71"/>
      <c r="L6" s="50"/>
      <c r="M6" s="51"/>
      <c r="N6" s="51"/>
      <c r="O6" s="51"/>
      <c r="P6" s="6"/>
      <c r="Q6" s="6"/>
      <c r="R6" s="6"/>
      <c r="S6" s="6"/>
      <c r="T6" s="6"/>
      <c r="U6" s="6"/>
      <c r="V6" s="6"/>
      <c r="W6" s="6"/>
      <c r="X6" s="6"/>
      <c r="Y6" s="6"/>
    </row>
    <row r="7" spans="1:25" s="2" customFormat="1" x14ac:dyDescent="0.15">
      <c r="A7" s="154" t="s">
        <v>422</v>
      </c>
      <c r="B7" s="126"/>
      <c r="C7" s="127"/>
      <c r="D7" s="127"/>
      <c r="E7" s="127"/>
      <c r="F7" s="127"/>
      <c r="G7" s="127"/>
      <c r="H7" s="94"/>
      <c r="I7" s="94"/>
      <c r="J7" s="151"/>
      <c r="K7" s="71"/>
      <c r="L7" s="50"/>
      <c r="M7" s="51"/>
      <c r="N7" s="51"/>
      <c r="O7" s="51"/>
      <c r="P7" s="6"/>
      <c r="Q7" s="6"/>
      <c r="R7" s="6"/>
      <c r="S7" s="6"/>
      <c r="T7" s="6"/>
      <c r="U7" s="6"/>
      <c r="V7" s="6"/>
      <c r="W7" s="6"/>
      <c r="X7" s="6"/>
      <c r="Y7" s="6"/>
    </row>
    <row r="8" spans="1:25" s="2" customFormat="1" x14ac:dyDescent="0.15">
      <c r="A8" s="154" t="s">
        <v>369</v>
      </c>
      <c r="B8" s="126"/>
      <c r="C8" s="127"/>
      <c r="D8" s="127"/>
      <c r="E8" s="127"/>
      <c r="F8" s="127"/>
      <c r="G8" s="127"/>
      <c r="H8" s="94"/>
      <c r="I8" s="94"/>
      <c r="J8" s="151"/>
      <c r="K8" s="71"/>
      <c r="L8" s="50"/>
      <c r="M8" s="51"/>
      <c r="N8" s="51"/>
      <c r="O8" s="51"/>
      <c r="P8" s="6"/>
      <c r="Q8" s="6"/>
      <c r="R8" s="6"/>
      <c r="S8" s="6"/>
      <c r="T8" s="6"/>
      <c r="U8" s="6"/>
      <c r="V8" s="6"/>
      <c r="W8" s="6"/>
      <c r="X8" s="6"/>
      <c r="Y8" s="6"/>
    </row>
    <row r="9" spans="1:25" s="2" customFormat="1" x14ac:dyDescent="0.15">
      <c r="A9" s="154" t="s">
        <v>370</v>
      </c>
      <c r="B9" s="126"/>
      <c r="C9" s="127"/>
      <c r="D9" s="127"/>
      <c r="E9" s="127"/>
      <c r="F9" s="127"/>
      <c r="G9" s="127"/>
      <c r="H9" s="94"/>
      <c r="I9" s="94"/>
      <c r="J9" s="151"/>
      <c r="K9" s="71"/>
      <c r="L9" s="50"/>
      <c r="M9" s="51"/>
      <c r="N9" s="51"/>
      <c r="O9" s="51"/>
      <c r="P9" s="6"/>
      <c r="Q9" s="6"/>
      <c r="R9" s="6"/>
      <c r="S9" s="6"/>
      <c r="T9" s="6"/>
      <c r="U9" s="6"/>
      <c r="V9" s="6"/>
      <c r="W9" s="6"/>
      <c r="X9" s="6"/>
      <c r="Y9" s="6"/>
    </row>
    <row r="10" spans="1:25" s="2" customFormat="1" x14ac:dyDescent="0.15">
      <c r="A10" s="154" t="s">
        <v>367</v>
      </c>
      <c r="B10" s="126"/>
      <c r="C10" s="127"/>
      <c r="D10" s="127"/>
      <c r="E10" s="127"/>
      <c r="F10" s="127"/>
      <c r="G10" s="127"/>
      <c r="H10" s="94"/>
      <c r="I10" s="94"/>
      <c r="J10" s="151"/>
      <c r="K10" s="71"/>
      <c r="L10" s="50"/>
      <c r="M10" s="51"/>
      <c r="N10" s="51"/>
      <c r="O10" s="51"/>
      <c r="P10" s="6"/>
      <c r="Q10" s="6"/>
      <c r="R10" s="6"/>
      <c r="S10" s="6"/>
      <c r="T10" s="6"/>
      <c r="U10" s="6"/>
      <c r="V10" s="6"/>
      <c r="W10" s="6"/>
      <c r="X10" s="6"/>
      <c r="Y10" s="6"/>
    </row>
    <row r="11" spans="1:25" s="2" customFormat="1" x14ac:dyDescent="0.15">
      <c r="A11" s="154" t="s">
        <v>346</v>
      </c>
      <c r="B11" s="126"/>
      <c r="C11" s="127"/>
      <c r="D11" s="127"/>
      <c r="E11" s="127"/>
      <c r="F11" s="127"/>
      <c r="G11" s="127"/>
      <c r="H11" s="94"/>
      <c r="I11" s="94"/>
      <c r="J11" s="151"/>
      <c r="K11" s="71"/>
      <c r="L11" s="50"/>
      <c r="M11" s="51"/>
      <c r="N11" s="51"/>
      <c r="O11" s="51"/>
      <c r="P11" s="6"/>
      <c r="Q11" s="6"/>
      <c r="R11" s="6"/>
      <c r="S11" s="6"/>
      <c r="T11" s="6"/>
      <c r="U11" s="6"/>
      <c r="V11" s="6"/>
      <c r="W11" s="6"/>
      <c r="X11" s="6"/>
      <c r="Y11" s="6"/>
    </row>
    <row r="12" spans="1:25" s="2" customFormat="1" x14ac:dyDescent="0.15">
      <c r="A12" s="154" t="s">
        <v>372</v>
      </c>
      <c r="B12" s="126"/>
      <c r="C12" s="127"/>
      <c r="D12" s="127"/>
      <c r="E12" s="127"/>
      <c r="F12" s="127"/>
      <c r="G12" s="127"/>
      <c r="H12" s="94"/>
      <c r="I12" s="94"/>
      <c r="J12" s="151"/>
      <c r="K12" s="71"/>
      <c r="L12" s="50"/>
      <c r="M12" s="51"/>
      <c r="N12" s="51"/>
      <c r="O12" s="51"/>
      <c r="P12" s="6"/>
      <c r="Q12" s="6"/>
      <c r="R12" s="6"/>
      <c r="S12" s="6"/>
      <c r="T12" s="6"/>
      <c r="U12" s="6"/>
      <c r="V12" s="6"/>
      <c r="W12" s="6"/>
      <c r="X12" s="6"/>
      <c r="Y12" s="6"/>
    </row>
    <row r="13" spans="1:25" s="2" customFormat="1" x14ac:dyDescent="0.15">
      <c r="A13" s="154" t="s">
        <v>373</v>
      </c>
      <c r="B13" s="126"/>
      <c r="C13" s="127"/>
      <c r="D13" s="127"/>
      <c r="E13" s="127"/>
      <c r="F13" s="127"/>
      <c r="G13" s="127"/>
      <c r="H13" s="94"/>
      <c r="I13" s="94"/>
      <c r="J13" s="151"/>
      <c r="K13" s="71"/>
      <c r="L13" s="50"/>
      <c r="M13" s="51"/>
      <c r="N13" s="51"/>
      <c r="O13" s="51"/>
      <c r="P13" s="6"/>
      <c r="Q13" s="6"/>
      <c r="R13" s="6"/>
      <c r="S13" s="6"/>
      <c r="T13" s="6"/>
      <c r="U13" s="6"/>
      <c r="V13" s="6"/>
      <c r="W13" s="6"/>
      <c r="X13" s="6"/>
      <c r="Y13" s="6"/>
    </row>
    <row r="14" spans="1:25" s="2" customFormat="1" x14ac:dyDescent="0.15">
      <c r="A14" s="154" t="s">
        <v>401</v>
      </c>
      <c r="B14" s="126"/>
      <c r="C14" s="127"/>
      <c r="D14" s="127"/>
      <c r="E14" s="127"/>
      <c r="F14" s="127"/>
      <c r="G14" s="127"/>
      <c r="H14" s="94"/>
      <c r="I14" s="94"/>
      <c r="J14" s="151"/>
      <c r="K14" s="71"/>
      <c r="L14" s="50"/>
      <c r="M14" s="51"/>
      <c r="N14" s="51"/>
      <c r="O14" s="51"/>
      <c r="P14" s="6"/>
      <c r="Q14" s="6"/>
      <c r="R14" s="6"/>
      <c r="S14" s="6"/>
      <c r="T14" s="6"/>
      <c r="U14" s="6"/>
      <c r="V14" s="6"/>
      <c r="W14" s="6"/>
      <c r="X14" s="6"/>
      <c r="Y14" s="6"/>
    </row>
    <row r="15" spans="1:25" s="2" customFormat="1" x14ac:dyDescent="0.15">
      <c r="A15" s="154" t="s">
        <v>402</v>
      </c>
      <c r="B15" s="126"/>
      <c r="C15" s="127"/>
      <c r="D15" s="127"/>
      <c r="E15" s="127"/>
      <c r="F15" s="127"/>
      <c r="G15" s="127"/>
      <c r="H15" s="94"/>
      <c r="I15" s="94"/>
      <c r="J15" s="151"/>
      <c r="K15" s="71"/>
      <c r="L15" s="50"/>
      <c r="M15" s="51"/>
      <c r="N15" s="51"/>
      <c r="O15" s="51"/>
      <c r="P15" s="6"/>
      <c r="Q15" s="6"/>
      <c r="R15" s="6"/>
      <c r="S15" s="6"/>
      <c r="T15" s="6"/>
      <c r="U15" s="6"/>
      <c r="V15" s="6"/>
      <c r="W15" s="6"/>
      <c r="X15" s="6"/>
      <c r="Y15" s="6"/>
    </row>
    <row r="16" spans="1:25" s="2" customFormat="1" x14ac:dyDescent="0.15">
      <c r="A16" s="154" t="s">
        <v>405</v>
      </c>
      <c r="B16" s="126"/>
      <c r="C16" s="127"/>
      <c r="D16" s="127"/>
      <c r="E16" s="127"/>
      <c r="F16" s="127"/>
      <c r="G16" s="127"/>
      <c r="H16" s="94"/>
      <c r="I16" s="94"/>
      <c r="J16" s="151"/>
      <c r="K16" s="71"/>
      <c r="L16" s="50"/>
      <c r="M16" s="51"/>
      <c r="N16" s="51"/>
      <c r="O16" s="51"/>
      <c r="P16" s="6"/>
      <c r="Q16" s="6"/>
      <c r="R16" s="6"/>
      <c r="S16" s="6"/>
      <c r="T16" s="6"/>
      <c r="U16" s="6"/>
      <c r="V16" s="6"/>
      <c r="W16" s="6"/>
      <c r="X16" s="6"/>
      <c r="Y16" s="6"/>
    </row>
    <row r="17" spans="1:25" s="2" customFormat="1" x14ac:dyDescent="0.15">
      <c r="A17" s="154" t="s">
        <v>406</v>
      </c>
      <c r="B17" s="126"/>
      <c r="C17" s="127"/>
      <c r="D17" s="127"/>
      <c r="E17" s="127"/>
      <c r="F17" s="127"/>
      <c r="G17" s="127"/>
      <c r="H17" s="94"/>
      <c r="I17" s="94"/>
      <c r="J17" s="151"/>
      <c r="K17" s="71"/>
      <c r="L17" s="50"/>
      <c r="M17" s="51"/>
      <c r="N17" s="51"/>
      <c r="O17" s="51"/>
      <c r="P17" s="6"/>
      <c r="Q17" s="6"/>
      <c r="R17" s="6"/>
      <c r="S17" s="6"/>
      <c r="T17" s="6"/>
      <c r="U17" s="6"/>
      <c r="V17" s="6"/>
      <c r="W17" s="6"/>
      <c r="X17" s="6"/>
      <c r="Y17" s="6"/>
    </row>
    <row r="18" spans="1:25" s="2" customFormat="1" x14ac:dyDescent="0.15">
      <c r="A18" s="154" t="s">
        <v>376</v>
      </c>
      <c r="B18" s="126"/>
      <c r="C18" s="127"/>
      <c r="D18" s="127"/>
      <c r="E18" s="127"/>
      <c r="F18" s="127"/>
      <c r="G18" s="127"/>
      <c r="H18" s="94"/>
      <c r="I18" s="94"/>
      <c r="J18" s="151"/>
      <c r="K18" s="71"/>
      <c r="L18" s="50"/>
      <c r="M18" s="51"/>
      <c r="N18" s="51"/>
      <c r="O18" s="51"/>
      <c r="P18" s="6"/>
      <c r="Q18" s="6"/>
      <c r="R18" s="6"/>
      <c r="S18" s="6"/>
      <c r="T18" s="6"/>
      <c r="U18" s="6"/>
      <c r="V18" s="6"/>
      <c r="W18" s="6"/>
      <c r="X18" s="6"/>
      <c r="Y18" s="6"/>
    </row>
    <row r="19" spans="1:25" s="2" customFormat="1" x14ac:dyDescent="0.15">
      <c r="A19" s="154" t="s">
        <v>377</v>
      </c>
      <c r="B19" s="126"/>
      <c r="C19" s="127"/>
      <c r="D19" s="127"/>
      <c r="E19" s="127"/>
      <c r="F19" s="127"/>
      <c r="G19" s="127"/>
      <c r="H19" s="94"/>
      <c r="I19" s="94"/>
      <c r="J19" s="151"/>
      <c r="K19" s="71"/>
      <c r="L19" s="50"/>
      <c r="M19" s="51"/>
      <c r="N19" s="51"/>
      <c r="O19" s="51"/>
      <c r="P19" s="6"/>
      <c r="Q19" s="6"/>
      <c r="R19" s="6"/>
      <c r="S19" s="6"/>
      <c r="T19" s="6"/>
      <c r="U19" s="6"/>
      <c r="V19" s="6"/>
      <c r="W19" s="6"/>
      <c r="X19" s="6"/>
      <c r="Y19" s="6"/>
    </row>
    <row r="20" spans="1:25" s="2" customFormat="1" x14ac:dyDescent="0.15">
      <c r="A20" s="154" t="s">
        <v>358</v>
      </c>
      <c r="B20" s="126"/>
      <c r="C20" s="127"/>
      <c r="D20" s="127"/>
      <c r="E20" s="127"/>
      <c r="F20" s="127"/>
      <c r="G20" s="127"/>
      <c r="H20" s="94"/>
      <c r="I20" s="94"/>
      <c r="J20" s="151"/>
      <c r="K20" s="71"/>
      <c r="L20" s="50"/>
      <c r="M20" s="51"/>
      <c r="N20" s="51"/>
      <c r="O20" s="51"/>
      <c r="P20" s="6"/>
      <c r="Q20" s="6"/>
      <c r="R20" s="6"/>
      <c r="S20" s="6"/>
      <c r="T20" s="6"/>
      <c r="U20" s="6"/>
      <c r="V20" s="6"/>
      <c r="W20" s="6"/>
      <c r="X20" s="6"/>
      <c r="Y20" s="6"/>
    </row>
    <row r="21" spans="1:25" s="2" customFormat="1" x14ac:dyDescent="0.15">
      <c r="A21" s="154" t="s">
        <v>357</v>
      </c>
      <c r="B21" s="126"/>
      <c r="C21" s="127"/>
      <c r="D21" s="127"/>
      <c r="E21" s="127"/>
      <c r="F21" s="127"/>
      <c r="G21" s="127"/>
      <c r="H21" s="94"/>
      <c r="I21" s="94"/>
      <c r="J21" s="151"/>
      <c r="K21" s="71"/>
      <c r="L21" s="50"/>
      <c r="M21" s="51"/>
      <c r="N21" s="51"/>
      <c r="O21" s="51"/>
      <c r="P21" s="6"/>
      <c r="Q21" s="6"/>
      <c r="R21" s="6"/>
      <c r="S21" s="6"/>
      <c r="T21" s="6"/>
      <c r="U21" s="6"/>
      <c r="V21" s="6"/>
      <c r="W21" s="6"/>
      <c r="X21" s="6"/>
      <c r="Y21" s="6"/>
    </row>
    <row r="22" spans="1:25" s="2" customFormat="1" x14ac:dyDescent="0.15">
      <c r="A22" s="154" t="s">
        <v>335</v>
      </c>
      <c r="B22" s="126"/>
      <c r="C22" s="127"/>
      <c r="D22" s="127"/>
      <c r="E22" s="127"/>
      <c r="F22" s="127"/>
      <c r="G22" s="127"/>
      <c r="H22" s="94"/>
      <c r="I22" s="94"/>
      <c r="J22" s="151"/>
      <c r="K22" s="71"/>
      <c r="L22" s="50"/>
      <c r="M22" s="51"/>
      <c r="N22" s="51"/>
      <c r="O22" s="51"/>
      <c r="P22" s="6"/>
      <c r="Q22" s="6"/>
      <c r="R22" s="6"/>
      <c r="S22" s="6"/>
      <c r="T22" s="6"/>
      <c r="U22" s="6"/>
      <c r="V22" s="6"/>
      <c r="W22" s="6"/>
      <c r="X22" s="6"/>
      <c r="Y22" s="6"/>
    </row>
    <row r="23" spans="1:25" s="2" customFormat="1" x14ac:dyDescent="0.15">
      <c r="A23" s="154" t="s">
        <v>361</v>
      </c>
      <c r="B23" s="126"/>
      <c r="C23" s="127"/>
      <c r="D23" s="127"/>
      <c r="E23" s="127"/>
      <c r="F23" s="127"/>
      <c r="G23" s="127"/>
      <c r="H23" s="94"/>
      <c r="I23" s="94"/>
      <c r="J23" s="151"/>
      <c r="K23" s="71"/>
      <c r="L23" s="50"/>
      <c r="M23" s="51"/>
      <c r="N23" s="51"/>
      <c r="O23" s="51"/>
      <c r="P23" s="6"/>
      <c r="Q23" s="6"/>
      <c r="R23" s="6"/>
      <c r="S23" s="6"/>
      <c r="T23" s="6"/>
      <c r="U23" s="6"/>
      <c r="V23" s="6"/>
      <c r="W23" s="6"/>
      <c r="X23" s="6"/>
      <c r="Y23" s="6"/>
    </row>
    <row r="24" spans="1:25" s="2" customFormat="1" x14ac:dyDescent="0.15">
      <c r="A24" s="154" t="s">
        <v>384</v>
      </c>
      <c r="B24" s="126"/>
      <c r="C24" s="127"/>
      <c r="D24" s="127"/>
      <c r="E24" s="127"/>
      <c r="F24" s="127"/>
      <c r="G24" s="127"/>
      <c r="H24" s="94"/>
      <c r="I24" s="94"/>
      <c r="J24" s="151"/>
      <c r="K24" s="71"/>
      <c r="L24" s="50"/>
      <c r="M24" s="51"/>
      <c r="N24" s="51"/>
      <c r="O24" s="51"/>
      <c r="P24" s="6"/>
      <c r="Q24" s="6"/>
      <c r="R24" s="6"/>
      <c r="S24" s="6"/>
      <c r="T24" s="6"/>
      <c r="U24" s="6"/>
      <c r="V24" s="6"/>
      <c r="W24" s="6"/>
      <c r="X24" s="6"/>
      <c r="Y24" s="6"/>
    </row>
    <row r="25" spans="1:25" s="2" customFormat="1" x14ac:dyDescent="0.15">
      <c r="A25" s="154" t="s">
        <v>385</v>
      </c>
      <c r="B25" s="126"/>
      <c r="C25" s="127"/>
      <c r="D25" s="127"/>
      <c r="E25" s="127"/>
      <c r="F25" s="127"/>
      <c r="G25" s="127"/>
      <c r="H25" s="94"/>
      <c r="I25" s="94"/>
      <c r="J25" s="151"/>
      <c r="K25" s="71"/>
      <c r="L25" s="50"/>
      <c r="M25" s="51"/>
      <c r="N25" s="51"/>
      <c r="O25" s="51"/>
      <c r="P25" s="6"/>
      <c r="Q25" s="6"/>
      <c r="R25" s="6"/>
      <c r="S25" s="6"/>
      <c r="T25" s="6"/>
      <c r="U25" s="6"/>
      <c r="V25" s="6"/>
      <c r="W25" s="6"/>
      <c r="X25" s="6"/>
      <c r="Y25" s="6"/>
    </row>
    <row r="26" spans="1:25" s="2" customFormat="1" x14ac:dyDescent="0.15">
      <c r="A26" s="154" t="s">
        <v>387</v>
      </c>
      <c r="B26" s="126"/>
      <c r="C26" s="127"/>
      <c r="D26" s="127"/>
      <c r="E26" s="127"/>
      <c r="F26" s="127"/>
      <c r="G26" s="127"/>
      <c r="H26" s="94"/>
      <c r="I26" s="94"/>
      <c r="J26" s="151"/>
      <c r="K26" s="71"/>
      <c r="L26" s="50"/>
      <c r="M26" s="51"/>
      <c r="N26" s="51"/>
      <c r="O26" s="51"/>
      <c r="P26" s="6"/>
      <c r="Q26" s="6"/>
      <c r="R26" s="6"/>
      <c r="S26" s="6"/>
      <c r="T26" s="6"/>
      <c r="U26" s="6"/>
      <c r="V26" s="6"/>
      <c r="W26" s="6"/>
      <c r="X26" s="6"/>
      <c r="Y26" s="6"/>
    </row>
    <row r="27" spans="1:25" s="2" customFormat="1" x14ac:dyDescent="0.15">
      <c r="A27" s="154" t="s">
        <v>368</v>
      </c>
      <c r="B27" s="126"/>
      <c r="C27" s="127"/>
      <c r="D27" s="127"/>
      <c r="E27" s="127"/>
      <c r="F27" s="127"/>
      <c r="G27" s="127"/>
      <c r="H27" s="94"/>
      <c r="I27" s="94"/>
      <c r="J27" s="151"/>
      <c r="K27" s="71"/>
      <c r="L27" s="50"/>
      <c r="M27" s="51"/>
      <c r="N27" s="51"/>
      <c r="O27" s="51"/>
      <c r="P27" s="6"/>
      <c r="Q27" s="6"/>
      <c r="R27" s="6"/>
      <c r="S27" s="6"/>
      <c r="T27" s="6"/>
      <c r="U27" s="6"/>
      <c r="V27" s="6"/>
      <c r="W27" s="6"/>
      <c r="X27" s="6"/>
      <c r="Y27" s="6"/>
    </row>
    <row r="28" spans="1:25" s="2" customFormat="1" x14ac:dyDescent="0.15">
      <c r="A28" s="154" t="s">
        <v>363</v>
      </c>
      <c r="B28" s="126"/>
      <c r="C28" s="127"/>
      <c r="D28" s="127"/>
      <c r="E28" s="127"/>
      <c r="F28" s="127"/>
      <c r="G28" s="127"/>
      <c r="H28" s="94"/>
      <c r="I28" s="94"/>
      <c r="J28" s="151"/>
      <c r="K28" s="71"/>
      <c r="L28" s="50"/>
      <c r="M28" s="51"/>
      <c r="N28" s="51"/>
      <c r="O28" s="51"/>
      <c r="P28" s="6"/>
      <c r="Q28" s="6"/>
      <c r="R28" s="6"/>
      <c r="S28" s="6"/>
      <c r="T28" s="6"/>
      <c r="U28" s="6"/>
      <c r="V28" s="6"/>
      <c r="W28" s="6"/>
      <c r="X28" s="6"/>
      <c r="Y28" s="6"/>
    </row>
    <row r="29" spans="1:25" s="2" customFormat="1" x14ac:dyDescent="0.15">
      <c r="A29" s="154" t="s">
        <v>364</v>
      </c>
      <c r="B29" s="126"/>
      <c r="C29" s="127"/>
      <c r="D29" s="127"/>
      <c r="E29" s="127"/>
      <c r="F29" s="127"/>
      <c r="G29" s="127"/>
      <c r="H29" s="94"/>
      <c r="I29" s="94"/>
      <c r="J29" s="151"/>
      <c r="K29" s="71"/>
      <c r="L29" s="50"/>
      <c r="M29" s="51"/>
      <c r="N29" s="51"/>
      <c r="O29" s="51"/>
      <c r="P29" s="6"/>
      <c r="Q29" s="6"/>
      <c r="R29" s="6"/>
      <c r="S29" s="6"/>
      <c r="T29" s="6"/>
      <c r="U29" s="6"/>
      <c r="V29" s="6"/>
      <c r="W29" s="6"/>
      <c r="X29" s="6"/>
      <c r="Y29" s="6"/>
    </row>
    <row r="30" spans="1:25" s="2" customFormat="1" x14ac:dyDescent="0.15">
      <c r="A30" s="154" t="s">
        <v>365</v>
      </c>
      <c r="B30" s="126"/>
      <c r="C30" s="127"/>
      <c r="D30" s="127"/>
      <c r="E30" s="127"/>
      <c r="F30" s="127"/>
      <c r="G30" s="127"/>
      <c r="H30" s="94"/>
      <c r="I30" s="94"/>
      <c r="J30" s="151"/>
      <c r="K30" s="71"/>
      <c r="L30" s="50"/>
      <c r="M30" s="51"/>
      <c r="N30" s="51"/>
      <c r="O30" s="51"/>
      <c r="P30" s="6"/>
      <c r="Q30" s="6"/>
      <c r="R30" s="6"/>
      <c r="S30" s="6"/>
      <c r="T30" s="6"/>
      <c r="U30" s="6"/>
      <c r="V30" s="6"/>
      <c r="W30" s="6"/>
      <c r="X30" s="6"/>
      <c r="Y30" s="6"/>
    </row>
    <row r="31" spans="1:25" s="2" customFormat="1" x14ac:dyDescent="0.15">
      <c r="A31" s="154" t="s">
        <v>366</v>
      </c>
      <c r="B31" s="126"/>
      <c r="C31" s="127"/>
      <c r="D31" s="127"/>
      <c r="E31" s="127"/>
      <c r="F31" s="127"/>
      <c r="G31" s="127"/>
      <c r="H31" s="94"/>
      <c r="I31" s="94"/>
      <c r="J31" s="151"/>
      <c r="K31" s="71"/>
      <c r="L31" s="50"/>
      <c r="M31" s="51"/>
      <c r="N31" s="51"/>
      <c r="O31" s="51"/>
      <c r="P31" s="6"/>
      <c r="Q31" s="6"/>
      <c r="R31" s="6"/>
      <c r="S31" s="6"/>
      <c r="T31" s="6"/>
      <c r="U31" s="6"/>
      <c r="V31" s="6"/>
      <c r="W31" s="6"/>
      <c r="X31" s="6"/>
      <c r="Y31" s="6"/>
    </row>
    <row r="32" spans="1:25" s="2" customFormat="1" x14ac:dyDescent="0.15">
      <c r="A32" s="154" t="s">
        <v>344</v>
      </c>
      <c r="B32" s="126"/>
      <c r="C32" s="127"/>
      <c r="D32" s="127"/>
      <c r="E32" s="127"/>
      <c r="F32" s="127"/>
      <c r="G32" s="127"/>
      <c r="H32" s="94"/>
      <c r="I32" s="94"/>
      <c r="J32" s="151"/>
      <c r="K32" s="71"/>
      <c r="L32" s="50"/>
      <c r="M32" s="51"/>
      <c r="N32" s="51"/>
      <c r="O32" s="51"/>
      <c r="P32" s="6"/>
      <c r="Q32" s="6"/>
      <c r="R32" s="6"/>
      <c r="S32" s="6"/>
      <c r="T32" s="6"/>
      <c r="U32" s="6"/>
      <c r="V32" s="6"/>
      <c r="W32" s="6"/>
      <c r="X32" s="6"/>
      <c r="Y32" s="6"/>
    </row>
    <row r="33" spans="1:25" s="2" customFormat="1" x14ac:dyDescent="0.15">
      <c r="A33" s="154" t="s">
        <v>345</v>
      </c>
      <c r="B33" s="126"/>
      <c r="C33" s="127"/>
      <c r="D33" s="127"/>
      <c r="E33" s="127"/>
      <c r="F33" s="127"/>
      <c r="G33" s="127"/>
      <c r="H33" s="94"/>
      <c r="I33" s="94"/>
      <c r="J33" s="151"/>
      <c r="K33" s="71"/>
      <c r="L33" s="50"/>
      <c r="M33" s="51"/>
      <c r="N33" s="51"/>
      <c r="O33" s="51"/>
      <c r="P33" s="6"/>
      <c r="Q33" s="6"/>
      <c r="R33" s="6"/>
      <c r="S33" s="6"/>
      <c r="T33" s="6"/>
      <c r="U33" s="6"/>
      <c r="V33" s="6"/>
      <c r="W33" s="6"/>
      <c r="X33" s="6"/>
      <c r="Y33" s="6"/>
    </row>
    <row r="34" spans="1:25" s="2" customFormat="1" x14ac:dyDescent="0.15">
      <c r="A34" s="154" t="s">
        <v>322</v>
      </c>
      <c r="B34" s="126"/>
      <c r="C34" s="127"/>
      <c r="D34" s="127"/>
      <c r="E34" s="127"/>
      <c r="F34" s="127"/>
      <c r="G34" s="127"/>
      <c r="H34" s="94"/>
      <c r="I34" s="94"/>
      <c r="J34" s="151"/>
      <c r="K34" s="71"/>
      <c r="L34" s="50"/>
      <c r="M34" s="51"/>
      <c r="N34" s="51"/>
      <c r="O34" s="51"/>
      <c r="P34" s="6"/>
      <c r="Q34" s="6"/>
      <c r="R34" s="6"/>
      <c r="S34" s="6"/>
      <c r="T34" s="6"/>
      <c r="U34" s="6"/>
      <c r="V34" s="6"/>
      <c r="W34" s="6"/>
      <c r="X34" s="6"/>
      <c r="Y34" s="6"/>
    </row>
    <row r="35" spans="1:25" s="2" customFormat="1" x14ac:dyDescent="0.15">
      <c r="A35" s="154" t="s">
        <v>347</v>
      </c>
      <c r="B35" s="126"/>
      <c r="C35" s="127"/>
      <c r="D35" s="127"/>
      <c r="E35" s="127"/>
      <c r="F35" s="127"/>
      <c r="G35" s="127"/>
      <c r="H35" s="94"/>
      <c r="I35" s="94"/>
      <c r="J35" s="151"/>
      <c r="K35" s="71"/>
      <c r="L35" s="50"/>
      <c r="M35" s="51"/>
      <c r="N35" s="51"/>
      <c r="O35" s="51"/>
      <c r="P35" s="6"/>
      <c r="Q35" s="6"/>
      <c r="R35" s="6"/>
      <c r="S35" s="6"/>
      <c r="T35" s="6"/>
      <c r="U35" s="6"/>
      <c r="V35" s="6"/>
      <c r="W35" s="6"/>
      <c r="X35" s="6"/>
      <c r="Y35" s="6"/>
    </row>
    <row r="36" spans="1:25" s="2" customFormat="1" x14ac:dyDescent="0.15">
      <c r="A36" s="154" t="s">
        <v>348</v>
      </c>
      <c r="B36" s="126"/>
      <c r="C36" s="127"/>
      <c r="D36" s="127"/>
      <c r="E36" s="127"/>
      <c r="F36" s="127"/>
      <c r="G36" s="127"/>
      <c r="H36" s="94"/>
      <c r="I36" s="94"/>
      <c r="J36" s="151"/>
      <c r="K36" s="71"/>
      <c r="L36" s="50"/>
      <c r="M36" s="51"/>
      <c r="N36" s="51"/>
      <c r="O36" s="51"/>
      <c r="P36" s="6"/>
      <c r="Q36" s="6"/>
      <c r="R36" s="6"/>
      <c r="S36" s="6"/>
      <c r="T36" s="6"/>
      <c r="U36" s="6"/>
      <c r="V36" s="6"/>
      <c r="W36" s="6"/>
      <c r="X36" s="6"/>
      <c r="Y36" s="6"/>
    </row>
    <row r="37" spans="1:25" s="2" customFormat="1" x14ac:dyDescent="0.15">
      <c r="A37" s="154" t="s">
        <v>374</v>
      </c>
      <c r="B37" s="126"/>
      <c r="C37" s="127"/>
      <c r="D37" s="127"/>
      <c r="E37" s="127"/>
      <c r="F37" s="127"/>
      <c r="G37" s="127"/>
      <c r="H37" s="94"/>
      <c r="I37" s="94"/>
      <c r="J37" s="151"/>
      <c r="K37" s="71"/>
      <c r="L37" s="50"/>
      <c r="M37" s="51"/>
      <c r="N37" s="51"/>
      <c r="O37" s="51"/>
      <c r="P37" s="6"/>
      <c r="Q37" s="6"/>
      <c r="R37" s="6"/>
      <c r="S37" s="6"/>
      <c r="T37" s="6"/>
      <c r="U37" s="6"/>
      <c r="V37" s="6"/>
      <c r="W37" s="6"/>
      <c r="X37" s="6"/>
      <c r="Y37" s="6"/>
    </row>
    <row r="38" spans="1:25" s="2" customFormat="1" x14ac:dyDescent="0.15">
      <c r="A38" s="154" t="s">
        <v>404</v>
      </c>
      <c r="B38" s="126"/>
      <c r="C38" s="127"/>
      <c r="D38" s="127"/>
      <c r="E38" s="127"/>
      <c r="F38" s="127"/>
      <c r="G38" s="127"/>
      <c r="H38" s="94"/>
      <c r="I38" s="94"/>
      <c r="J38" s="151"/>
      <c r="K38" s="71"/>
      <c r="L38" s="50"/>
      <c r="M38" s="51"/>
      <c r="N38" s="51"/>
      <c r="O38" s="51"/>
      <c r="P38" s="6"/>
      <c r="Q38" s="6"/>
      <c r="R38" s="6"/>
      <c r="S38" s="6"/>
      <c r="T38" s="6"/>
      <c r="U38" s="6"/>
      <c r="V38" s="6"/>
      <c r="W38" s="6"/>
      <c r="X38" s="6"/>
      <c r="Y38" s="6"/>
    </row>
    <row r="39" spans="1:25" s="2" customFormat="1" x14ac:dyDescent="0.15">
      <c r="A39" s="154" t="s">
        <v>375</v>
      </c>
      <c r="B39" s="126"/>
      <c r="C39" s="127"/>
      <c r="D39" s="127"/>
      <c r="E39" s="127"/>
      <c r="F39" s="127"/>
      <c r="G39" s="127"/>
      <c r="H39" s="94"/>
      <c r="I39" s="94"/>
      <c r="J39" s="151"/>
      <c r="K39" s="71"/>
      <c r="L39" s="50"/>
      <c r="M39" s="51"/>
      <c r="N39" s="51"/>
      <c r="O39" s="51"/>
      <c r="P39" s="6"/>
      <c r="Q39" s="6"/>
      <c r="R39" s="6"/>
      <c r="S39" s="6"/>
      <c r="T39" s="6"/>
      <c r="U39" s="6"/>
      <c r="V39" s="6"/>
      <c r="W39" s="6"/>
      <c r="X39" s="6"/>
      <c r="Y39" s="6"/>
    </row>
    <row r="40" spans="1:25" s="2" customFormat="1" x14ac:dyDescent="0.15">
      <c r="A40" s="154" t="s">
        <v>353</v>
      </c>
      <c r="B40" s="126"/>
      <c r="C40" s="127"/>
      <c r="D40" s="127"/>
      <c r="E40" s="127"/>
      <c r="F40" s="127"/>
      <c r="G40" s="127"/>
      <c r="H40" s="94"/>
      <c r="I40" s="94"/>
      <c r="J40" s="151"/>
      <c r="K40" s="71"/>
      <c r="L40" s="50"/>
      <c r="M40" s="51"/>
      <c r="N40" s="51"/>
      <c r="O40" s="51"/>
      <c r="P40" s="6"/>
      <c r="Q40" s="6"/>
      <c r="R40" s="6"/>
      <c r="S40" s="6"/>
      <c r="T40" s="6"/>
      <c r="U40" s="6"/>
      <c r="V40" s="6"/>
      <c r="W40" s="6"/>
      <c r="X40" s="6"/>
      <c r="Y40" s="6"/>
    </row>
    <row r="41" spans="1:25" s="2" customFormat="1" x14ac:dyDescent="0.15">
      <c r="A41" s="154" t="s">
        <v>354</v>
      </c>
      <c r="B41" s="126"/>
      <c r="C41" s="127"/>
      <c r="D41" s="127"/>
      <c r="E41" s="127"/>
      <c r="F41" s="127"/>
      <c r="G41" s="127"/>
      <c r="H41" s="94"/>
      <c r="I41" s="94"/>
      <c r="J41" s="151"/>
      <c r="K41" s="71"/>
      <c r="L41" s="50"/>
      <c r="M41" s="51"/>
      <c r="N41" s="51"/>
      <c r="O41" s="51"/>
      <c r="P41" s="6"/>
      <c r="Q41" s="6"/>
      <c r="R41" s="6"/>
      <c r="S41" s="6"/>
      <c r="T41" s="6"/>
      <c r="U41" s="6"/>
      <c r="V41" s="6"/>
      <c r="W41" s="6"/>
      <c r="X41" s="6"/>
      <c r="Y41" s="6"/>
    </row>
    <row r="42" spans="1:25" s="2" customFormat="1" x14ac:dyDescent="0.15">
      <c r="A42" s="154" t="s">
        <v>355</v>
      </c>
      <c r="B42" s="126"/>
      <c r="C42" s="127"/>
      <c r="D42" s="127"/>
      <c r="E42" s="127"/>
      <c r="F42" s="127"/>
      <c r="G42" s="127"/>
      <c r="H42" s="94"/>
      <c r="I42" s="94"/>
      <c r="J42" s="151"/>
      <c r="K42" s="71"/>
      <c r="L42" s="50"/>
      <c r="M42" s="51"/>
      <c r="N42" s="51"/>
      <c r="O42" s="51"/>
      <c r="P42" s="6"/>
      <c r="Q42" s="6"/>
      <c r="R42" s="6"/>
      <c r="S42" s="6"/>
      <c r="T42" s="6"/>
      <c r="U42" s="6"/>
      <c r="V42" s="6"/>
      <c r="W42" s="6"/>
      <c r="X42" s="6"/>
      <c r="Y42" s="6"/>
    </row>
    <row r="43" spans="1:25" s="2" customFormat="1" x14ac:dyDescent="0.15">
      <c r="A43" s="154" t="s">
        <v>356</v>
      </c>
      <c r="B43" s="115"/>
      <c r="C43" s="61"/>
      <c r="D43" s="61"/>
      <c r="E43" s="61"/>
      <c r="F43" s="61"/>
      <c r="G43" s="61"/>
      <c r="H43" s="103"/>
      <c r="I43" s="103"/>
      <c r="J43" s="152"/>
      <c r="K43" s="61"/>
      <c r="L43" s="50"/>
      <c r="M43" s="51"/>
      <c r="N43" s="51"/>
      <c r="O43" s="51"/>
      <c r="P43" s="6"/>
      <c r="Q43" s="6"/>
      <c r="R43" s="6"/>
      <c r="S43" s="6"/>
      <c r="T43" s="6"/>
      <c r="U43" s="6"/>
      <c r="V43" s="6"/>
      <c r="W43" s="6"/>
      <c r="X43" s="6"/>
      <c r="Y43" s="6"/>
    </row>
    <row r="44" spans="1:25" s="2" customFormat="1" x14ac:dyDescent="0.15">
      <c r="A44" s="154" t="s">
        <v>334</v>
      </c>
      <c r="B44" s="115"/>
      <c r="C44" s="61"/>
      <c r="D44" s="61"/>
      <c r="E44" s="61"/>
      <c r="F44" s="61"/>
      <c r="G44" s="61"/>
      <c r="H44" s="103"/>
      <c r="I44" s="103"/>
      <c r="J44" s="152"/>
      <c r="K44" s="61"/>
      <c r="L44" s="50"/>
      <c r="M44" s="51"/>
      <c r="N44" s="51"/>
      <c r="O44" s="51"/>
      <c r="P44" s="6"/>
      <c r="Q44" s="6"/>
      <c r="R44" s="6"/>
      <c r="S44" s="6"/>
      <c r="T44" s="6"/>
      <c r="U44" s="6"/>
      <c r="V44" s="6"/>
      <c r="W44" s="6"/>
      <c r="X44" s="6"/>
      <c r="Y44" s="6"/>
    </row>
    <row r="45" spans="1:25" s="2" customFormat="1" x14ac:dyDescent="0.15">
      <c r="A45" s="154" t="s">
        <v>306</v>
      </c>
      <c r="B45" s="115"/>
      <c r="C45" s="61"/>
      <c r="D45" s="61"/>
      <c r="E45" s="61"/>
      <c r="F45" s="61"/>
      <c r="G45" s="61"/>
      <c r="H45" s="103"/>
      <c r="I45" s="103"/>
      <c r="J45" s="152"/>
      <c r="K45" s="61"/>
      <c r="L45" s="50"/>
      <c r="M45" s="51"/>
      <c r="N45" s="51"/>
      <c r="O45" s="51"/>
      <c r="P45" s="6"/>
      <c r="Q45" s="6"/>
      <c r="R45" s="6"/>
      <c r="S45" s="6"/>
      <c r="T45" s="6"/>
      <c r="U45" s="6"/>
      <c r="V45" s="6"/>
      <c r="W45" s="6"/>
      <c r="X45" s="6"/>
      <c r="Y45" s="6"/>
    </row>
    <row r="46" spans="1:25" s="2" customFormat="1" x14ac:dyDescent="0.15">
      <c r="A46" s="154" t="s">
        <v>336</v>
      </c>
      <c r="B46" s="115"/>
      <c r="C46" s="61"/>
      <c r="D46" s="61"/>
      <c r="E46" s="61"/>
      <c r="F46" s="61"/>
      <c r="G46" s="61"/>
      <c r="H46" s="103"/>
      <c r="I46" s="103"/>
      <c r="J46" s="152"/>
      <c r="K46" s="61"/>
      <c r="L46" s="50"/>
      <c r="M46" s="51"/>
      <c r="N46" s="51"/>
      <c r="O46" s="51"/>
      <c r="P46" s="6"/>
      <c r="Q46" s="6"/>
      <c r="R46" s="6"/>
      <c r="S46" s="6"/>
      <c r="T46" s="6"/>
      <c r="U46" s="6"/>
      <c r="V46" s="6"/>
      <c r="W46" s="6"/>
      <c r="X46" s="6"/>
      <c r="Y46" s="6"/>
    </row>
    <row r="47" spans="1:25" s="2" customFormat="1" x14ac:dyDescent="0.15">
      <c r="A47" s="154" t="s">
        <v>337</v>
      </c>
      <c r="B47" s="115"/>
      <c r="C47" s="61"/>
      <c r="D47" s="61"/>
      <c r="E47" s="61"/>
      <c r="F47" s="61"/>
      <c r="G47" s="61"/>
      <c r="H47" s="103"/>
      <c r="I47" s="103"/>
      <c r="J47" s="152"/>
      <c r="K47" s="61"/>
      <c r="L47" s="50"/>
      <c r="M47" s="51"/>
      <c r="N47" s="51"/>
      <c r="O47" s="51"/>
      <c r="P47" s="6"/>
      <c r="Q47" s="6"/>
      <c r="R47" s="6"/>
      <c r="S47" s="6"/>
      <c r="T47" s="6"/>
      <c r="U47" s="6"/>
      <c r="V47" s="6"/>
      <c r="W47" s="6"/>
      <c r="X47" s="6"/>
      <c r="Y47" s="6"/>
    </row>
    <row r="48" spans="1:25" s="2" customFormat="1" x14ac:dyDescent="0.15">
      <c r="A48" s="154" t="s">
        <v>338</v>
      </c>
      <c r="B48" s="115"/>
      <c r="C48" s="61"/>
      <c r="D48" s="61"/>
      <c r="E48" s="61"/>
      <c r="F48" s="61"/>
      <c r="G48" s="61"/>
      <c r="H48" s="103"/>
      <c r="I48" s="103"/>
      <c r="J48" s="152"/>
      <c r="K48" s="61"/>
      <c r="L48" s="50"/>
      <c r="M48" s="51"/>
      <c r="N48" s="51"/>
      <c r="O48" s="51"/>
      <c r="P48" s="6"/>
      <c r="Q48" s="6"/>
      <c r="R48" s="6"/>
      <c r="S48" s="6"/>
      <c r="T48" s="6"/>
      <c r="U48" s="6"/>
      <c r="V48" s="6"/>
      <c r="W48" s="6"/>
      <c r="X48" s="6"/>
      <c r="Y48" s="6"/>
    </row>
    <row r="49" spans="1:25" s="2" customFormat="1" x14ac:dyDescent="0.15">
      <c r="A49" s="154" t="s">
        <v>386</v>
      </c>
      <c r="B49" s="115"/>
      <c r="C49" s="61"/>
      <c r="D49" s="61"/>
      <c r="E49" s="61"/>
      <c r="F49" s="61"/>
      <c r="G49" s="61"/>
      <c r="H49" s="103"/>
      <c r="I49" s="103"/>
      <c r="J49" s="152"/>
      <c r="K49" s="61"/>
      <c r="L49" s="50"/>
      <c r="M49" s="51"/>
      <c r="N49" s="51"/>
      <c r="O49" s="51"/>
      <c r="P49" s="6"/>
      <c r="Q49" s="6"/>
      <c r="R49" s="6"/>
      <c r="S49" s="6"/>
      <c r="T49" s="6"/>
      <c r="U49" s="6"/>
      <c r="V49" s="6"/>
      <c r="W49" s="6"/>
      <c r="X49" s="6"/>
      <c r="Y49" s="6"/>
    </row>
    <row r="50" spans="1:25" s="2" customFormat="1" x14ac:dyDescent="0.15">
      <c r="A50" s="154" t="s">
        <v>362</v>
      </c>
      <c r="B50" s="115"/>
      <c r="C50" s="61"/>
      <c r="D50" s="61"/>
      <c r="E50" s="61"/>
      <c r="F50" s="61"/>
      <c r="G50" s="61"/>
      <c r="H50" s="103"/>
      <c r="I50" s="103"/>
      <c r="J50" s="152"/>
      <c r="K50" s="61"/>
      <c r="L50" s="50"/>
      <c r="M50" s="51"/>
      <c r="N50" s="51"/>
      <c r="O50" s="51"/>
      <c r="P50" s="6"/>
      <c r="Q50" s="6"/>
      <c r="R50" s="6"/>
      <c r="S50" s="6"/>
      <c r="T50" s="6"/>
      <c r="U50" s="6"/>
      <c r="V50" s="6"/>
      <c r="W50" s="6"/>
      <c r="X50" s="6"/>
      <c r="Y50" s="6"/>
    </row>
    <row r="51" spans="1:25" s="2" customFormat="1" x14ac:dyDescent="0.15">
      <c r="A51" s="154" t="s">
        <v>342</v>
      </c>
      <c r="B51" s="115"/>
      <c r="C51" s="61"/>
      <c r="D51" s="61"/>
      <c r="E51" s="61"/>
      <c r="F51" s="61"/>
      <c r="G51" s="61"/>
      <c r="H51" s="103"/>
      <c r="I51" s="103"/>
      <c r="J51" s="152"/>
      <c r="K51" s="61"/>
      <c r="L51" s="50"/>
      <c r="M51" s="51"/>
      <c r="N51" s="51"/>
      <c r="O51" s="51"/>
      <c r="P51" s="6"/>
      <c r="Q51" s="6"/>
      <c r="R51" s="6"/>
      <c r="S51" s="6"/>
      <c r="T51" s="6"/>
      <c r="U51" s="6"/>
      <c r="V51" s="6"/>
      <c r="W51" s="6"/>
      <c r="X51" s="6"/>
      <c r="Y51" s="6"/>
    </row>
    <row r="52" spans="1:25" s="2" customFormat="1" x14ac:dyDescent="0.15">
      <c r="A52" s="154" t="s">
        <v>343</v>
      </c>
      <c r="B52" s="115"/>
      <c r="C52" s="61"/>
      <c r="D52" s="61"/>
      <c r="E52" s="61"/>
      <c r="F52" s="61"/>
      <c r="G52" s="61"/>
      <c r="H52" s="103"/>
      <c r="I52" s="103"/>
      <c r="J52" s="152"/>
      <c r="K52" s="61"/>
      <c r="L52" s="50"/>
      <c r="M52" s="51"/>
      <c r="N52" s="51"/>
      <c r="O52" s="51"/>
      <c r="P52" s="6"/>
      <c r="Q52" s="6"/>
      <c r="R52" s="6"/>
      <c r="S52" s="6"/>
      <c r="T52" s="6"/>
      <c r="U52" s="6"/>
      <c r="V52" s="6"/>
      <c r="W52" s="6"/>
      <c r="X52" s="6"/>
      <c r="Y52" s="6"/>
    </row>
    <row r="53" spans="1:25" s="2" customFormat="1" x14ac:dyDescent="0.15">
      <c r="A53" s="154" t="s">
        <v>321</v>
      </c>
      <c r="B53" s="115"/>
      <c r="C53" s="61"/>
      <c r="D53" s="61"/>
      <c r="E53" s="61"/>
      <c r="F53" s="61"/>
      <c r="G53" s="61"/>
      <c r="H53" s="103"/>
      <c r="I53" s="103"/>
      <c r="J53" s="152"/>
      <c r="K53" s="61"/>
      <c r="L53" s="50"/>
      <c r="M53" s="51"/>
      <c r="N53" s="51"/>
      <c r="O53" s="51"/>
      <c r="P53" s="6"/>
      <c r="Q53" s="6"/>
      <c r="R53" s="6"/>
      <c r="S53" s="6"/>
      <c r="T53" s="6"/>
      <c r="U53" s="6"/>
      <c r="V53" s="6"/>
      <c r="W53" s="6"/>
      <c r="X53" s="6"/>
      <c r="Y53" s="6"/>
    </row>
    <row r="54" spans="1:25" s="2" customFormat="1" x14ac:dyDescent="0.15">
      <c r="A54" s="154" t="s">
        <v>282</v>
      </c>
      <c r="B54" s="115"/>
      <c r="C54" s="61"/>
      <c r="D54" s="61"/>
      <c r="E54" s="61"/>
      <c r="F54" s="61"/>
      <c r="G54" s="61"/>
      <c r="H54" s="103"/>
      <c r="I54" s="103"/>
      <c r="J54" s="152"/>
      <c r="K54" s="61"/>
      <c r="L54" s="50"/>
      <c r="M54" s="51"/>
      <c r="N54" s="51"/>
      <c r="O54" s="51"/>
      <c r="P54" s="6"/>
      <c r="Q54" s="6"/>
      <c r="R54" s="6"/>
      <c r="S54" s="6"/>
      <c r="T54" s="6"/>
      <c r="U54" s="6"/>
      <c r="V54" s="6"/>
      <c r="W54" s="6"/>
      <c r="X54" s="6"/>
      <c r="Y54" s="6"/>
    </row>
    <row r="55" spans="1:25" s="2" customFormat="1" x14ac:dyDescent="0.15">
      <c r="A55" s="154" t="s">
        <v>323</v>
      </c>
      <c r="B55" s="115"/>
      <c r="C55" s="61"/>
      <c r="D55" s="61"/>
      <c r="E55" s="61"/>
      <c r="F55" s="61"/>
      <c r="G55" s="61"/>
      <c r="H55" s="103"/>
      <c r="I55" s="103"/>
      <c r="J55" s="152"/>
      <c r="K55" s="61"/>
      <c r="L55" s="50"/>
      <c r="M55" s="51"/>
      <c r="N55" s="51"/>
      <c r="O55" s="51"/>
      <c r="P55" s="6"/>
      <c r="Q55" s="6"/>
      <c r="R55" s="6"/>
      <c r="S55" s="6"/>
      <c r="T55" s="6"/>
      <c r="U55" s="6"/>
      <c r="V55" s="6"/>
      <c r="W55" s="6"/>
      <c r="X55" s="6"/>
      <c r="Y55" s="6"/>
    </row>
    <row r="56" spans="1:25" s="2" customFormat="1" x14ac:dyDescent="0.15">
      <c r="A56" s="154" t="s">
        <v>324</v>
      </c>
      <c r="B56" s="115"/>
      <c r="C56" s="61"/>
      <c r="D56" s="61"/>
      <c r="E56" s="61"/>
      <c r="F56" s="61"/>
      <c r="G56" s="61"/>
      <c r="H56" s="103"/>
      <c r="I56" s="103"/>
      <c r="J56" s="152"/>
      <c r="K56" s="61"/>
      <c r="L56" s="50"/>
      <c r="M56" s="51"/>
      <c r="N56" s="51"/>
      <c r="O56" s="51"/>
      <c r="P56" s="6"/>
      <c r="Q56" s="6"/>
      <c r="R56" s="6"/>
      <c r="S56" s="6"/>
      <c r="T56" s="6"/>
      <c r="U56" s="6"/>
      <c r="V56" s="6"/>
      <c r="W56" s="6"/>
      <c r="X56" s="6"/>
      <c r="Y56" s="6"/>
    </row>
    <row r="57" spans="1:25" s="2" customFormat="1" x14ac:dyDescent="0.15">
      <c r="A57" s="154" t="s">
        <v>325</v>
      </c>
      <c r="B57" s="115"/>
      <c r="C57" s="61"/>
      <c r="D57" s="61"/>
      <c r="E57" s="61"/>
      <c r="F57" s="61"/>
      <c r="G57" s="61"/>
      <c r="H57" s="103"/>
      <c r="I57" s="103"/>
      <c r="J57" s="152"/>
      <c r="K57" s="61"/>
      <c r="L57" s="50"/>
      <c r="M57" s="51"/>
      <c r="N57" s="51"/>
      <c r="O57" s="51"/>
      <c r="P57" s="6"/>
      <c r="Q57" s="6"/>
      <c r="R57" s="6"/>
      <c r="S57" s="6"/>
      <c r="T57" s="6"/>
      <c r="U57" s="6"/>
      <c r="V57" s="6"/>
      <c r="W57" s="6"/>
      <c r="X57" s="6"/>
      <c r="Y57" s="6"/>
    </row>
    <row r="58" spans="1:25" s="2" customFormat="1" x14ac:dyDescent="0.15">
      <c r="A58" s="154" t="s">
        <v>326</v>
      </c>
      <c r="B58" s="115"/>
      <c r="C58" s="61"/>
      <c r="D58" s="61"/>
      <c r="E58" s="61"/>
      <c r="F58" s="61"/>
      <c r="G58" s="61"/>
      <c r="H58" s="103"/>
      <c r="I58" s="103"/>
      <c r="J58" s="152"/>
      <c r="K58" s="61"/>
      <c r="L58" s="50"/>
      <c r="M58" s="51"/>
      <c r="N58" s="51"/>
      <c r="O58" s="51"/>
      <c r="P58" s="6"/>
      <c r="Q58" s="6"/>
      <c r="R58" s="6"/>
      <c r="S58" s="6"/>
      <c r="T58" s="6"/>
      <c r="U58" s="6"/>
      <c r="V58" s="6"/>
      <c r="W58" s="6"/>
      <c r="X58" s="6"/>
      <c r="Y58" s="6"/>
    </row>
    <row r="59" spans="1:25" s="2" customFormat="1" x14ac:dyDescent="0.15">
      <c r="A59" s="154" t="s">
        <v>349</v>
      </c>
      <c r="B59" s="115"/>
      <c r="C59" s="61"/>
      <c r="D59" s="61"/>
      <c r="E59" s="61"/>
      <c r="F59" s="61"/>
      <c r="G59" s="61"/>
      <c r="H59" s="103"/>
      <c r="I59" s="103"/>
      <c r="J59" s="152"/>
      <c r="K59" s="61"/>
      <c r="L59" s="50"/>
      <c r="M59" s="51"/>
      <c r="N59" s="51"/>
      <c r="O59" s="51"/>
      <c r="P59" s="6"/>
      <c r="Q59" s="6"/>
      <c r="R59" s="6"/>
      <c r="S59" s="6"/>
      <c r="T59" s="6"/>
      <c r="U59" s="6"/>
      <c r="V59" s="6"/>
      <c r="W59" s="6"/>
      <c r="X59" s="6"/>
      <c r="Y59" s="6"/>
    </row>
    <row r="60" spans="1:25" s="2" customFormat="1" x14ac:dyDescent="0.15">
      <c r="A60" s="154" t="s">
        <v>350</v>
      </c>
      <c r="B60" s="115"/>
      <c r="C60" s="61"/>
      <c r="D60" s="61"/>
      <c r="E60" s="61"/>
      <c r="F60" s="61"/>
      <c r="G60" s="61"/>
      <c r="H60" s="103"/>
      <c r="I60" s="103"/>
      <c r="J60" s="152"/>
      <c r="K60" s="61"/>
      <c r="L60" s="50"/>
      <c r="M60" s="51"/>
      <c r="N60" s="51"/>
      <c r="O60" s="51"/>
      <c r="P60" s="6"/>
      <c r="Q60" s="6"/>
      <c r="R60" s="6"/>
      <c r="S60" s="6"/>
      <c r="T60" s="6"/>
      <c r="U60" s="6"/>
      <c r="V60" s="6"/>
      <c r="W60" s="6"/>
      <c r="X60" s="6"/>
      <c r="Y60" s="6"/>
    </row>
    <row r="61" spans="1:25" s="2" customFormat="1" x14ac:dyDescent="0.15">
      <c r="A61" s="154" t="s">
        <v>351</v>
      </c>
      <c r="B61" s="115"/>
      <c r="C61" s="61"/>
      <c r="D61" s="61"/>
      <c r="E61" s="61"/>
      <c r="F61" s="61"/>
      <c r="G61" s="61"/>
      <c r="H61" s="103"/>
      <c r="I61" s="103"/>
      <c r="J61" s="152"/>
      <c r="K61" s="61"/>
      <c r="L61" s="50"/>
      <c r="M61" s="51"/>
      <c r="N61" s="51"/>
      <c r="O61" s="51"/>
      <c r="P61" s="6"/>
      <c r="Q61" s="6"/>
      <c r="R61" s="6"/>
      <c r="S61" s="6"/>
      <c r="T61" s="6"/>
      <c r="U61" s="6"/>
      <c r="V61" s="6"/>
      <c r="W61" s="6"/>
      <c r="X61" s="6"/>
      <c r="Y61" s="6"/>
    </row>
    <row r="62" spans="1:25" s="2" customFormat="1" x14ac:dyDescent="0.15">
      <c r="A62" s="154" t="s">
        <v>352</v>
      </c>
      <c r="B62" s="115"/>
      <c r="C62" s="61"/>
      <c r="D62" s="61"/>
      <c r="E62" s="61"/>
      <c r="F62" s="61"/>
      <c r="G62" s="61"/>
      <c r="H62" s="103"/>
      <c r="I62" s="103"/>
      <c r="J62" s="152"/>
      <c r="K62" s="61"/>
      <c r="L62" s="50"/>
      <c r="M62" s="51"/>
      <c r="N62" s="51"/>
      <c r="O62" s="51"/>
      <c r="P62" s="6"/>
      <c r="Q62" s="6"/>
      <c r="R62" s="6"/>
      <c r="S62" s="6"/>
      <c r="T62" s="6"/>
      <c r="U62" s="6"/>
      <c r="V62" s="6"/>
      <c r="W62" s="6"/>
      <c r="X62" s="6"/>
      <c r="Y62" s="6"/>
    </row>
    <row r="63" spans="1:25" s="2" customFormat="1" x14ac:dyDescent="0.15">
      <c r="A63" s="154" t="s">
        <v>329</v>
      </c>
      <c r="B63" s="115"/>
      <c r="C63" s="61"/>
      <c r="D63" s="61"/>
      <c r="E63" s="61"/>
      <c r="F63" s="61"/>
      <c r="G63" s="61"/>
      <c r="H63" s="103"/>
      <c r="I63" s="103"/>
      <c r="J63" s="152"/>
      <c r="K63" s="61"/>
      <c r="L63" s="50"/>
      <c r="M63" s="51"/>
      <c r="N63" s="51"/>
      <c r="O63" s="51"/>
      <c r="P63" s="6"/>
      <c r="Q63" s="6"/>
      <c r="R63" s="6"/>
      <c r="S63" s="6"/>
      <c r="T63" s="6"/>
      <c r="U63" s="6"/>
      <c r="V63" s="6"/>
      <c r="W63" s="6"/>
      <c r="X63" s="6"/>
      <c r="Y63" s="6"/>
    </row>
    <row r="64" spans="1:25" s="2" customFormat="1" x14ac:dyDescent="0.15">
      <c r="A64" s="154" t="s">
        <v>330</v>
      </c>
      <c r="B64" s="115"/>
      <c r="C64" s="61"/>
      <c r="D64" s="61"/>
      <c r="E64" s="61"/>
      <c r="F64" s="61"/>
      <c r="G64" s="61"/>
      <c r="H64" s="103"/>
      <c r="I64" s="103"/>
      <c r="J64" s="152"/>
      <c r="K64" s="61"/>
      <c r="L64" s="50"/>
      <c r="M64" s="51"/>
      <c r="N64" s="51"/>
      <c r="O64" s="51"/>
      <c r="P64" s="6"/>
      <c r="Q64" s="6"/>
      <c r="R64" s="6"/>
      <c r="S64" s="6"/>
      <c r="T64" s="6"/>
      <c r="U64" s="6"/>
      <c r="V64" s="6"/>
      <c r="W64" s="6"/>
      <c r="X64" s="6"/>
      <c r="Y64" s="6"/>
    </row>
    <row r="65" spans="1:25" s="2" customFormat="1" x14ac:dyDescent="0.15">
      <c r="A65" s="154" t="s">
        <v>331</v>
      </c>
      <c r="B65" s="126"/>
      <c r="C65" s="127"/>
      <c r="D65" s="127"/>
      <c r="E65" s="127"/>
      <c r="F65" s="127"/>
      <c r="G65" s="127"/>
      <c r="H65" s="94"/>
      <c r="I65" s="94"/>
      <c r="J65" s="151"/>
      <c r="K65" s="71"/>
      <c r="L65" s="50"/>
      <c r="M65" s="51"/>
      <c r="N65" s="51"/>
      <c r="O65" s="51"/>
      <c r="P65" s="6"/>
      <c r="Q65" s="6"/>
      <c r="R65" s="6"/>
      <c r="S65" s="6"/>
      <c r="T65" s="6"/>
      <c r="U65" s="6"/>
      <c r="V65" s="6"/>
      <c r="W65" s="6"/>
      <c r="X65" s="6"/>
      <c r="Y65" s="6"/>
    </row>
    <row r="66" spans="1:25" s="2" customFormat="1" x14ac:dyDescent="0.15">
      <c r="A66" s="154" t="s">
        <v>332</v>
      </c>
      <c r="B66" s="126"/>
      <c r="C66" s="127"/>
      <c r="D66" s="127"/>
      <c r="E66" s="127"/>
      <c r="F66" s="127"/>
      <c r="G66" s="127"/>
      <c r="H66" s="94"/>
      <c r="I66" s="94"/>
      <c r="J66" s="151"/>
      <c r="K66" s="71"/>
      <c r="L66" s="50"/>
      <c r="M66" s="51"/>
      <c r="N66" s="51"/>
      <c r="O66" s="51"/>
      <c r="P66" s="6"/>
      <c r="Q66" s="6"/>
      <c r="R66" s="6"/>
      <c r="S66" s="6"/>
      <c r="T66" s="6"/>
      <c r="U66" s="6"/>
      <c r="V66" s="6"/>
      <c r="W66" s="6"/>
      <c r="X66" s="6"/>
      <c r="Y66" s="6"/>
    </row>
    <row r="67" spans="1:25" s="2" customFormat="1" x14ac:dyDescent="0.15">
      <c r="A67" s="154" t="s">
        <v>333</v>
      </c>
      <c r="B67" s="126"/>
      <c r="C67" s="127"/>
      <c r="D67" s="127"/>
      <c r="E67" s="127"/>
      <c r="F67" s="127"/>
      <c r="G67" s="127"/>
      <c r="H67" s="94"/>
      <c r="I67" s="94"/>
      <c r="J67" s="151"/>
      <c r="K67" s="71"/>
      <c r="L67" s="50"/>
      <c r="M67" s="51"/>
      <c r="N67" s="51"/>
      <c r="O67" s="51"/>
      <c r="P67" s="6"/>
      <c r="Q67" s="6"/>
      <c r="R67" s="6"/>
      <c r="S67" s="6"/>
      <c r="T67" s="6"/>
      <c r="U67" s="6"/>
      <c r="V67" s="6"/>
      <c r="W67" s="6"/>
      <c r="X67" s="6"/>
      <c r="Y67" s="6"/>
    </row>
    <row r="68" spans="1:25" s="2" customFormat="1" x14ac:dyDescent="0.15">
      <c r="A68" s="154" t="s">
        <v>258</v>
      </c>
      <c r="B68" s="126"/>
      <c r="C68" s="127"/>
      <c r="D68" s="127"/>
      <c r="E68" s="127"/>
      <c r="F68" s="127"/>
      <c r="G68" s="127"/>
      <c r="H68" s="94"/>
      <c r="I68" s="94"/>
      <c r="J68" s="151"/>
      <c r="K68" s="71"/>
      <c r="L68" s="50"/>
      <c r="M68" s="51"/>
      <c r="N68" s="51"/>
      <c r="O68" s="51"/>
      <c r="P68" s="6"/>
      <c r="Q68" s="6"/>
      <c r="R68" s="6"/>
      <c r="S68" s="6"/>
      <c r="T68" s="6"/>
      <c r="U68" s="6"/>
      <c r="V68" s="6"/>
      <c r="W68" s="6"/>
      <c r="X68" s="6"/>
      <c r="Y68" s="6"/>
    </row>
    <row r="69" spans="1:25" s="2" customFormat="1" x14ac:dyDescent="0.15">
      <c r="A69" s="154" t="s">
        <v>259</v>
      </c>
      <c r="B69" s="126"/>
      <c r="C69" s="127"/>
      <c r="D69" s="127"/>
      <c r="E69" s="127"/>
      <c r="F69" s="127"/>
      <c r="G69" s="127"/>
      <c r="H69" s="94"/>
      <c r="I69" s="94"/>
      <c r="J69" s="151"/>
      <c r="K69" s="71"/>
      <c r="L69" s="50"/>
      <c r="M69" s="51"/>
      <c r="N69" s="51"/>
      <c r="O69" s="51"/>
      <c r="P69" s="6"/>
      <c r="Q69" s="6"/>
      <c r="R69" s="6"/>
      <c r="S69" s="6"/>
      <c r="T69" s="6"/>
      <c r="U69" s="6"/>
      <c r="V69" s="6"/>
      <c r="W69" s="6"/>
      <c r="X69" s="6"/>
      <c r="Y69" s="6"/>
    </row>
    <row r="70" spans="1:25" s="2" customFormat="1" x14ac:dyDescent="0.15">
      <c r="A70" s="154" t="s">
        <v>307</v>
      </c>
      <c r="B70" s="126"/>
      <c r="C70" s="127"/>
      <c r="D70" s="127"/>
      <c r="E70" s="127"/>
      <c r="F70" s="127"/>
      <c r="G70" s="127"/>
      <c r="H70" s="94"/>
      <c r="I70" s="94"/>
      <c r="J70" s="151"/>
      <c r="K70" s="71"/>
      <c r="L70" s="50"/>
      <c r="M70" s="51"/>
      <c r="N70" s="51"/>
      <c r="O70" s="51"/>
      <c r="P70" s="6"/>
      <c r="Q70" s="6"/>
      <c r="R70" s="6"/>
      <c r="S70" s="6"/>
      <c r="T70" s="6"/>
      <c r="U70" s="6"/>
      <c r="V70" s="6"/>
      <c r="W70" s="6"/>
      <c r="X70" s="6"/>
      <c r="Y70" s="6"/>
    </row>
    <row r="71" spans="1:25" s="2" customFormat="1" x14ac:dyDescent="0.15">
      <c r="A71" s="154" t="s">
        <v>308</v>
      </c>
      <c r="B71" s="126"/>
      <c r="C71" s="127"/>
      <c r="D71" s="127"/>
      <c r="E71" s="127"/>
      <c r="F71" s="127"/>
      <c r="G71" s="127"/>
      <c r="H71" s="94"/>
      <c r="I71" s="94"/>
      <c r="J71" s="151"/>
      <c r="K71" s="71"/>
      <c r="L71" s="50"/>
      <c r="M71" s="51"/>
      <c r="N71" s="51"/>
      <c r="O71" s="51"/>
      <c r="P71" s="6"/>
      <c r="Q71" s="6"/>
      <c r="R71" s="6"/>
      <c r="S71" s="6"/>
      <c r="T71" s="6"/>
      <c r="U71" s="6"/>
      <c r="V71" s="6"/>
      <c r="W71" s="6"/>
      <c r="X71" s="6"/>
      <c r="Y71" s="6"/>
    </row>
    <row r="72" spans="1:25" s="2" customFormat="1" x14ac:dyDescent="0.15">
      <c r="A72" s="154" t="s">
        <v>309</v>
      </c>
      <c r="B72" s="126"/>
      <c r="C72" s="127"/>
      <c r="D72" s="127"/>
      <c r="E72" s="127"/>
      <c r="F72" s="127"/>
      <c r="G72" s="127"/>
      <c r="H72" s="94"/>
      <c r="I72" s="94"/>
      <c r="J72" s="151"/>
      <c r="K72" s="71"/>
      <c r="L72" s="50"/>
      <c r="M72" s="51"/>
      <c r="N72" s="51"/>
      <c r="O72" s="51"/>
      <c r="P72" s="6"/>
      <c r="Q72" s="6"/>
      <c r="R72" s="6"/>
      <c r="S72" s="6"/>
      <c r="T72" s="6"/>
      <c r="U72" s="6"/>
      <c r="V72" s="6"/>
      <c r="W72" s="6"/>
      <c r="X72" s="6"/>
      <c r="Y72" s="6"/>
    </row>
    <row r="73" spans="1:25" s="2" customFormat="1" x14ac:dyDescent="0.15">
      <c r="A73" s="154" t="s">
        <v>339</v>
      </c>
      <c r="B73" s="126"/>
      <c r="C73" s="127"/>
      <c r="D73" s="127"/>
      <c r="E73" s="127"/>
      <c r="F73" s="127"/>
      <c r="G73" s="127"/>
      <c r="H73" s="94"/>
      <c r="I73" s="94"/>
      <c r="J73" s="151"/>
      <c r="K73" s="71"/>
      <c r="L73" s="50"/>
      <c r="M73" s="51"/>
      <c r="N73" s="51"/>
      <c r="O73" s="51"/>
      <c r="P73" s="6"/>
      <c r="Q73" s="6"/>
      <c r="R73" s="6"/>
      <c r="S73" s="6"/>
      <c r="T73" s="6"/>
      <c r="U73" s="6"/>
      <c r="V73" s="6"/>
      <c r="W73" s="6"/>
      <c r="X73" s="6"/>
      <c r="Y73" s="6"/>
    </row>
    <row r="74" spans="1:25" s="2" customFormat="1" x14ac:dyDescent="0.15">
      <c r="A74" s="154" t="s">
        <v>340</v>
      </c>
      <c r="B74" s="126"/>
      <c r="C74" s="127"/>
      <c r="D74" s="127"/>
      <c r="E74" s="127"/>
      <c r="F74" s="127"/>
      <c r="G74" s="127"/>
      <c r="H74" s="94"/>
      <c r="I74" s="94"/>
      <c r="J74" s="151"/>
      <c r="K74" s="71"/>
      <c r="L74" s="50"/>
      <c r="M74" s="51"/>
      <c r="N74" s="51"/>
      <c r="O74" s="51"/>
      <c r="P74" s="6"/>
      <c r="Q74" s="6"/>
      <c r="R74" s="6"/>
      <c r="S74" s="6"/>
      <c r="T74" s="6"/>
      <c r="U74" s="6"/>
      <c r="V74" s="6"/>
      <c r="W74" s="6"/>
      <c r="X74" s="6"/>
      <c r="Y74" s="6"/>
    </row>
    <row r="75" spans="1:25" s="2" customFormat="1" x14ac:dyDescent="0.15">
      <c r="A75" s="154" t="s">
        <v>312</v>
      </c>
      <c r="B75" s="126"/>
      <c r="C75" s="127"/>
      <c r="D75" s="127"/>
      <c r="E75" s="127"/>
      <c r="F75" s="127"/>
      <c r="G75" s="127"/>
      <c r="H75" s="94"/>
      <c r="I75" s="94"/>
      <c r="J75" s="151"/>
      <c r="K75" s="71"/>
      <c r="L75" s="50"/>
      <c r="M75" s="51"/>
      <c r="N75" s="51"/>
      <c r="O75" s="51"/>
      <c r="P75" s="6"/>
      <c r="Q75" s="6"/>
      <c r="R75" s="6"/>
      <c r="S75" s="6"/>
      <c r="T75" s="6"/>
      <c r="U75" s="6"/>
      <c r="V75" s="6"/>
      <c r="W75" s="6"/>
      <c r="X75" s="6"/>
      <c r="Y75" s="6"/>
    </row>
    <row r="76" spans="1:25" s="2" customFormat="1" x14ac:dyDescent="0.15">
      <c r="A76" s="154" t="s">
        <v>341</v>
      </c>
      <c r="B76" s="126"/>
      <c r="C76" s="127"/>
      <c r="D76" s="127"/>
      <c r="E76" s="127"/>
      <c r="F76" s="127"/>
      <c r="G76" s="127"/>
      <c r="H76" s="94"/>
      <c r="I76" s="94"/>
      <c r="J76" s="151"/>
      <c r="K76" s="71"/>
      <c r="L76" s="50"/>
      <c r="M76" s="51"/>
      <c r="N76" s="51"/>
      <c r="O76" s="51"/>
      <c r="P76" s="6"/>
      <c r="Q76" s="6"/>
      <c r="R76" s="6"/>
      <c r="S76" s="6"/>
      <c r="T76" s="6"/>
      <c r="U76" s="6"/>
      <c r="V76" s="6"/>
      <c r="W76" s="6"/>
      <c r="X76" s="6"/>
      <c r="Y76" s="6"/>
    </row>
    <row r="77" spans="1:25" s="2" customFormat="1" x14ac:dyDescent="0.15">
      <c r="A77" s="154" t="s">
        <v>269</v>
      </c>
      <c r="B77" s="126"/>
      <c r="C77" s="127"/>
      <c r="D77" s="127"/>
      <c r="E77" s="127"/>
      <c r="F77" s="127"/>
      <c r="G77" s="127"/>
      <c r="H77" s="94"/>
      <c r="I77" s="94"/>
      <c r="J77" s="151"/>
      <c r="K77" s="71"/>
      <c r="L77" s="50"/>
      <c r="M77" s="51"/>
      <c r="N77" s="51"/>
      <c r="O77" s="51"/>
      <c r="P77" s="6"/>
      <c r="Q77" s="6"/>
      <c r="R77" s="6"/>
      <c r="S77" s="6"/>
      <c r="T77" s="6"/>
      <c r="U77" s="6"/>
      <c r="V77" s="6"/>
      <c r="W77" s="6"/>
      <c r="X77" s="6"/>
      <c r="Y77" s="6"/>
    </row>
    <row r="78" spans="1:25" s="2" customFormat="1" x14ac:dyDescent="0.15">
      <c r="A78" s="154" t="s">
        <v>313</v>
      </c>
      <c r="B78" s="126"/>
      <c r="C78" s="127"/>
      <c r="D78" s="127"/>
      <c r="E78" s="127"/>
      <c r="F78" s="127"/>
      <c r="G78" s="127"/>
      <c r="H78" s="94"/>
      <c r="I78" s="94"/>
      <c r="J78" s="151"/>
      <c r="K78" s="71"/>
      <c r="L78" s="50"/>
      <c r="M78" s="51"/>
      <c r="N78" s="51"/>
      <c r="O78" s="51"/>
      <c r="P78" s="6"/>
      <c r="Q78" s="6"/>
      <c r="R78" s="6"/>
      <c r="S78" s="6"/>
      <c r="T78" s="6"/>
      <c r="U78" s="6"/>
      <c r="V78" s="6"/>
      <c r="W78" s="6"/>
      <c r="X78" s="6"/>
      <c r="Y78" s="6"/>
    </row>
    <row r="79" spans="1:25" s="2" customFormat="1" x14ac:dyDescent="0.15">
      <c r="A79" s="154" t="s">
        <v>314</v>
      </c>
      <c r="B79" s="126"/>
      <c r="C79" s="127"/>
      <c r="D79" s="127"/>
      <c r="E79" s="127"/>
      <c r="F79" s="127"/>
      <c r="G79" s="127"/>
      <c r="H79" s="94"/>
      <c r="I79" s="94"/>
      <c r="J79" s="151"/>
      <c r="K79" s="71"/>
      <c r="L79" s="50"/>
      <c r="M79" s="51"/>
      <c r="N79" s="51"/>
      <c r="O79" s="51"/>
      <c r="P79" s="6"/>
      <c r="Q79" s="6"/>
      <c r="R79" s="6"/>
      <c r="S79" s="6"/>
      <c r="T79" s="6"/>
      <c r="U79" s="6"/>
      <c r="V79" s="6"/>
      <c r="W79" s="6"/>
      <c r="X79" s="6"/>
      <c r="Y79" s="6"/>
    </row>
    <row r="80" spans="1:25" s="2" customFormat="1" x14ac:dyDescent="0.15">
      <c r="A80" s="154" t="s">
        <v>315</v>
      </c>
      <c r="B80" s="126"/>
      <c r="C80" s="127"/>
      <c r="D80" s="127"/>
      <c r="E80" s="127"/>
      <c r="F80" s="127"/>
      <c r="G80" s="127"/>
      <c r="H80" s="94"/>
      <c r="I80" s="94"/>
      <c r="J80" s="151"/>
      <c r="K80" s="71"/>
      <c r="L80" s="50"/>
      <c r="M80" s="51"/>
      <c r="N80" s="51"/>
      <c r="O80" s="51"/>
      <c r="P80" s="6"/>
      <c r="Q80" s="6"/>
      <c r="R80" s="6"/>
      <c r="S80" s="6"/>
      <c r="T80" s="6"/>
      <c r="U80" s="6"/>
      <c r="V80" s="6"/>
      <c r="W80" s="6"/>
      <c r="X80" s="6"/>
      <c r="Y80" s="6"/>
    </row>
    <row r="81" spans="1:25" s="2" customFormat="1" x14ac:dyDescent="0.15">
      <c r="A81" s="154" t="s">
        <v>316</v>
      </c>
      <c r="B81" s="126"/>
      <c r="C81" s="127"/>
      <c r="D81" s="127"/>
      <c r="E81" s="127"/>
      <c r="F81" s="127"/>
      <c r="G81" s="127"/>
      <c r="H81" s="94"/>
      <c r="I81" s="94"/>
      <c r="J81" s="151"/>
      <c r="K81" s="71"/>
      <c r="L81" s="50"/>
      <c r="M81" s="51"/>
      <c r="N81" s="51"/>
      <c r="O81" s="51"/>
      <c r="P81" s="6"/>
      <c r="Q81" s="6"/>
      <c r="R81" s="6"/>
      <c r="S81" s="6"/>
      <c r="T81" s="6"/>
      <c r="U81" s="6"/>
      <c r="V81" s="6"/>
      <c r="W81" s="6"/>
      <c r="X81" s="6"/>
      <c r="Y81" s="6"/>
    </row>
    <row r="82" spans="1:25" s="2" customFormat="1" x14ac:dyDescent="0.15">
      <c r="A82" s="154" t="s">
        <v>317</v>
      </c>
      <c r="B82" s="126"/>
      <c r="C82" s="127"/>
      <c r="D82" s="127"/>
      <c r="E82" s="127"/>
      <c r="F82" s="127"/>
      <c r="G82" s="127"/>
      <c r="H82" s="94"/>
      <c r="I82" s="94"/>
      <c r="J82" s="151"/>
      <c r="K82" s="71"/>
      <c r="L82" s="50"/>
      <c r="M82" s="51"/>
      <c r="N82" s="51"/>
      <c r="O82" s="51"/>
      <c r="P82" s="6"/>
      <c r="Q82" s="6"/>
      <c r="R82" s="6"/>
      <c r="S82" s="6"/>
      <c r="T82" s="6"/>
      <c r="U82" s="6"/>
      <c r="V82" s="6"/>
      <c r="W82" s="6"/>
      <c r="X82" s="6"/>
      <c r="Y82" s="6"/>
    </row>
    <row r="83" spans="1:25" s="2" customFormat="1" x14ac:dyDescent="0.15">
      <c r="A83" s="154" t="s">
        <v>318</v>
      </c>
      <c r="B83" s="126"/>
      <c r="C83" s="127"/>
      <c r="D83" s="127"/>
      <c r="E83" s="127"/>
      <c r="F83" s="127"/>
      <c r="G83" s="127"/>
      <c r="H83" s="94"/>
      <c r="I83" s="94"/>
      <c r="J83" s="151"/>
      <c r="K83" s="71"/>
      <c r="L83" s="50"/>
      <c r="M83" s="51"/>
      <c r="N83" s="51"/>
      <c r="O83" s="51"/>
      <c r="P83" s="6"/>
      <c r="Q83" s="6"/>
      <c r="R83" s="6"/>
      <c r="S83" s="6"/>
      <c r="T83" s="6"/>
      <c r="U83" s="6"/>
      <c r="V83" s="6"/>
      <c r="W83" s="6"/>
      <c r="X83" s="6"/>
      <c r="Y83" s="6"/>
    </row>
    <row r="84" spans="1:25" s="2" customFormat="1" x14ac:dyDescent="0.15">
      <c r="A84" s="154" t="s">
        <v>319</v>
      </c>
      <c r="B84" s="126"/>
      <c r="C84" s="127"/>
      <c r="D84" s="127"/>
      <c r="E84" s="127"/>
      <c r="F84" s="127"/>
      <c r="G84" s="127"/>
      <c r="H84" s="94"/>
      <c r="I84" s="94"/>
      <c r="J84" s="151"/>
      <c r="K84" s="71"/>
      <c r="L84" s="50"/>
      <c r="M84" s="51"/>
      <c r="N84" s="51"/>
      <c r="O84" s="51"/>
      <c r="P84" s="6"/>
      <c r="Q84" s="6"/>
      <c r="R84" s="6"/>
      <c r="S84" s="6"/>
      <c r="T84" s="6"/>
      <c r="U84" s="6"/>
      <c r="V84" s="6"/>
      <c r="W84" s="6"/>
      <c r="X84" s="6"/>
      <c r="Y84" s="6"/>
    </row>
    <row r="85" spans="1:25" s="2" customFormat="1" x14ac:dyDescent="0.15">
      <c r="A85" s="154" t="s">
        <v>320</v>
      </c>
      <c r="B85" s="126"/>
      <c r="C85" s="127"/>
      <c r="D85" s="127"/>
      <c r="E85" s="127"/>
      <c r="F85" s="127"/>
      <c r="G85" s="127"/>
      <c r="H85" s="94"/>
      <c r="I85" s="94"/>
      <c r="J85" s="151"/>
      <c r="K85" s="71"/>
      <c r="L85" s="50"/>
      <c r="M85" s="51"/>
      <c r="N85" s="51"/>
      <c r="O85" s="51"/>
      <c r="P85" s="6"/>
      <c r="Q85" s="6"/>
      <c r="R85" s="6"/>
      <c r="S85" s="6"/>
      <c r="T85" s="6"/>
      <c r="U85" s="6"/>
      <c r="V85" s="6"/>
      <c r="W85" s="6"/>
      <c r="X85" s="6"/>
      <c r="Y85" s="6"/>
    </row>
    <row r="86" spans="1:25" s="2" customFormat="1" x14ac:dyDescent="0.15">
      <c r="A86" s="154" t="s">
        <v>226</v>
      </c>
      <c r="B86" s="126"/>
      <c r="C86" s="127"/>
      <c r="D86" s="127"/>
      <c r="E86" s="127"/>
      <c r="F86" s="127"/>
      <c r="G86" s="127"/>
      <c r="H86" s="94"/>
      <c r="I86" s="94"/>
      <c r="J86" s="151"/>
      <c r="K86" s="71"/>
      <c r="L86" s="50"/>
      <c r="M86" s="51"/>
      <c r="N86" s="51"/>
      <c r="O86" s="51"/>
      <c r="P86" s="6"/>
      <c r="Q86" s="6"/>
      <c r="R86" s="6"/>
      <c r="S86" s="6"/>
      <c r="T86" s="6"/>
      <c r="U86" s="6"/>
      <c r="V86" s="6"/>
      <c r="W86" s="6"/>
      <c r="X86" s="6"/>
      <c r="Y86" s="6"/>
    </row>
    <row r="87" spans="1:25" s="2" customFormat="1" x14ac:dyDescent="0.15">
      <c r="A87" s="154" t="s">
        <v>227</v>
      </c>
      <c r="B87" s="126"/>
      <c r="C87" s="127"/>
      <c r="D87" s="127"/>
      <c r="E87" s="127"/>
      <c r="F87" s="127"/>
      <c r="G87" s="127"/>
      <c r="H87" s="94"/>
      <c r="I87" s="94"/>
      <c r="J87" s="151"/>
      <c r="K87" s="71"/>
      <c r="L87" s="50"/>
      <c r="M87" s="51"/>
      <c r="N87" s="51"/>
      <c r="O87" s="51"/>
      <c r="P87" s="6"/>
      <c r="Q87" s="6"/>
      <c r="R87" s="6"/>
      <c r="S87" s="6"/>
      <c r="T87" s="6"/>
      <c r="U87" s="6"/>
      <c r="V87" s="6"/>
      <c r="W87" s="6"/>
      <c r="X87" s="6"/>
      <c r="Y87" s="6"/>
    </row>
    <row r="88" spans="1:25" s="2" customFormat="1" x14ac:dyDescent="0.15">
      <c r="A88" s="154" t="s">
        <v>228</v>
      </c>
      <c r="B88" s="126"/>
      <c r="C88" s="127"/>
      <c r="D88" s="127"/>
      <c r="E88" s="127"/>
      <c r="F88" s="127"/>
      <c r="G88" s="127"/>
      <c r="H88" s="94"/>
      <c r="I88" s="94"/>
      <c r="J88" s="151"/>
      <c r="K88" s="71"/>
      <c r="L88" s="50"/>
      <c r="M88" s="51"/>
      <c r="N88" s="51"/>
      <c r="O88" s="51"/>
      <c r="P88" s="6"/>
      <c r="Q88" s="6"/>
      <c r="R88" s="6"/>
      <c r="S88" s="6"/>
      <c r="T88" s="6"/>
      <c r="U88" s="6"/>
      <c r="V88" s="6"/>
      <c r="W88" s="6"/>
      <c r="X88" s="6"/>
      <c r="Y88" s="6"/>
    </row>
    <row r="89" spans="1:25" s="2" customFormat="1" x14ac:dyDescent="0.15">
      <c r="A89" s="154" t="s">
        <v>283</v>
      </c>
      <c r="B89" s="126"/>
      <c r="C89" s="127"/>
      <c r="D89" s="127"/>
      <c r="E89" s="127"/>
      <c r="F89" s="127"/>
      <c r="G89" s="127"/>
      <c r="H89" s="94"/>
      <c r="I89" s="94"/>
      <c r="J89" s="151"/>
      <c r="K89" s="71"/>
      <c r="L89" s="50"/>
      <c r="M89" s="51"/>
      <c r="N89" s="51"/>
      <c r="O89" s="51"/>
      <c r="P89" s="6"/>
      <c r="Q89" s="6"/>
      <c r="R89" s="6"/>
      <c r="S89" s="6"/>
      <c r="T89" s="6"/>
      <c r="U89" s="6"/>
      <c r="V89" s="6"/>
      <c r="W89" s="6"/>
      <c r="X89" s="6"/>
      <c r="Y89" s="6"/>
    </row>
    <row r="90" spans="1:25" s="2" customFormat="1" x14ac:dyDescent="0.15">
      <c r="A90" s="154" t="s">
        <v>284</v>
      </c>
      <c r="B90" s="126"/>
      <c r="C90" s="127"/>
      <c r="D90" s="127"/>
      <c r="E90" s="127"/>
      <c r="F90" s="127"/>
      <c r="G90" s="127"/>
      <c r="H90" s="94"/>
      <c r="I90" s="94"/>
      <c r="J90" s="151"/>
      <c r="K90" s="71"/>
      <c r="L90" s="50"/>
      <c r="M90" s="51"/>
      <c r="N90" s="51"/>
      <c r="O90" s="51"/>
      <c r="P90" s="6"/>
      <c r="Q90" s="6"/>
      <c r="R90" s="6"/>
      <c r="S90" s="6"/>
      <c r="T90" s="6"/>
      <c r="U90" s="6"/>
      <c r="V90" s="6"/>
      <c r="W90" s="6"/>
      <c r="X90" s="6"/>
      <c r="Y90" s="6"/>
    </row>
    <row r="91" spans="1:25" s="2" customFormat="1" x14ac:dyDescent="0.15">
      <c r="A91" s="154" t="s">
        <v>285</v>
      </c>
      <c r="B91" s="126"/>
      <c r="C91" s="127"/>
      <c r="D91" s="127"/>
      <c r="E91" s="127"/>
      <c r="F91" s="127"/>
      <c r="G91" s="127"/>
      <c r="H91" s="94"/>
      <c r="I91" s="94"/>
      <c r="J91" s="151"/>
      <c r="K91" s="71"/>
      <c r="L91" s="50"/>
      <c r="M91" s="51"/>
      <c r="N91" s="51"/>
      <c r="O91" s="51"/>
      <c r="P91" s="6"/>
      <c r="Q91" s="6"/>
      <c r="R91" s="6"/>
      <c r="S91" s="6"/>
      <c r="T91" s="6"/>
      <c r="U91" s="6"/>
      <c r="V91" s="6"/>
      <c r="W91" s="6"/>
      <c r="X91" s="6"/>
      <c r="Y91" s="6"/>
    </row>
    <row r="92" spans="1:25" s="2" customFormat="1" x14ac:dyDescent="0.15">
      <c r="A92" s="154" t="s">
        <v>286</v>
      </c>
      <c r="B92" s="126"/>
      <c r="C92" s="127"/>
      <c r="D92" s="127"/>
      <c r="E92" s="127"/>
      <c r="F92" s="127"/>
      <c r="G92" s="127"/>
      <c r="H92" s="94"/>
      <c r="I92" s="94"/>
      <c r="J92" s="151"/>
      <c r="K92" s="71"/>
      <c r="L92" s="50"/>
      <c r="M92" s="51"/>
      <c r="N92" s="51"/>
      <c r="O92" s="51"/>
      <c r="P92" s="6"/>
      <c r="Q92" s="6"/>
      <c r="R92" s="6"/>
      <c r="S92" s="6"/>
      <c r="T92" s="6"/>
      <c r="U92" s="6"/>
      <c r="V92" s="6"/>
      <c r="W92" s="6"/>
      <c r="X92" s="6"/>
      <c r="Y92" s="6"/>
    </row>
    <row r="93" spans="1:25" s="2" customFormat="1" x14ac:dyDescent="0.15">
      <c r="A93" s="154" t="s">
        <v>287</v>
      </c>
      <c r="B93" s="126"/>
      <c r="C93" s="127"/>
      <c r="D93" s="127"/>
      <c r="E93" s="127"/>
      <c r="F93" s="127"/>
      <c r="G93" s="127"/>
      <c r="H93" s="94"/>
      <c r="I93" s="94"/>
      <c r="J93" s="151"/>
      <c r="K93" s="71"/>
      <c r="L93" s="50"/>
      <c r="M93" s="51"/>
      <c r="N93" s="51"/>
      <c r="O93" s="51"/>
      <c r="P93" s="6"/>
      <c r="Q93" s="6"/>
      <c r="R93" s="6"/>
      <c r="S93" s="6"/>
      <c r="T93" s="6"/>
      <c r="U93" s="6"/>
      <c r="V93" s="6"/>
      <c r="W93" s="6"/>
      <c r="X93" s="6"/>
      <c r="Y93" s="6"/>
    </row>
    <row r="94" spans="1:25" s="2" customFormat="1" x14ac:dyDescent="0.15">
      <c r="A94" s="154" t="s">
        <v>327</v>
      </c>
      <c r="B94" s="126"/>
      <c r="C94" s="127"/>
      <c r="D94" s="127"/>
      <c r="E94" s="127"/>
      <c r="F94" s="127"/>
      <c r="G94" s="127"/>
      <c r="H94" s="94"/>
      <c r="I94" s="94"/>
      <c r="J94" s="151"/>
      <c r="K94" s="71"/>
      <c r="L94" s="50"/>
      <c r="M94" s="51"/>
      <c r="N94" s="51"/>
      <c r="O94" s="51"/>
      <c r="P94" s="6"/>
      <c r="Q94" s="6"/>
      <c r="R94" s="6"/>
      <c r="S94" s="6"/>
      <c r="T94" s="6"/>
      <c r="U94" s="6"/>
      <c r="V94" s="6"/>
      <c r="W94" s="6"/>
      <c r="X94" s="6"/>
      <c r="Y94" s="6"/>
    </row>
    <row r="95" spans="1:25" s="2" customFormat="1" x14ac:dyDescent="0.15">
      <c r="A95" s="154" t="s">
        <v>328</v>
      </c>
      <c r="B95" s="126"/>
      <c r="C95" s="127"/>
      <c r="D95" s="127"/>
      <c r="E95" s="127"/>
      <c r="F95" s="127"/>
      <c r="G95" s="127"/>
      <c r="H95" s="94"/>
      <c r="I95" s="94"/>
      <c r="J95" s="151"/>
      <c r="K95" s="71"/>
      <c r="L95" s="50"/>
      <c r="M95" s="51"/>
      <c r="N95" s="51"/>
      <c r="O95" s="51"/>
      <c r="P95" s="6"/>
      <c r="Q95" s="6"/>
      <c r="R95" s="6"/>
      <c r="S95" s="6"/>
      <c r="T95" s="6"/>
      <c r="U95" s="6"/>
      <c r="V95" s="6"/>
      <c r="W95" s="6"/>
      <c r="X95" s="6"/>
      <c r="Y95" s="6"/>
    </row>
    <row r="96" spans="1:25" s="2" customFormat="1" x14ac:dyDescent="0.15">
      <c r="A96" s="154" t="s">
        <v>296</v>
      </c>
      <c r="B96" s="126"/>
      <c r="C96" s="127"/>
      <c r="D96" s="127"/>
      <c r="E96" s="127"/>
      <c r="F96" s="127"/>
      <c r="G96" s="127"/>
      <c r="H96" s="94"/>
      <c r="I96" s="94"/>
      <c r="J96" s="151"/>
      <c r="K96" s="71"/>
      <c r="L96" s="50"/>
      <c r="M96" s="51"/>
      <c r="N96" s="51"/>
      <c r="O96" s="51"/>
      <c r="P96" s="6"/>
      <c r="Q96" s="6"/>
      <c r="R96" s="6"/>
      <c r="S96" s="6"/>
      <c r="T96" s="6"/>
      <c r="U96" s="6"/>
      <c r="V96" s="6"/>
      <c r="W96" s="6"/>
      <c r="X96" s="6"/>
      <c r="Y96" s="6"/>
    </row>
    <row r="97" spans="1:25" s="2" customFormat="1" x14ac:dyDescent="0.15">
      <c r="A97" s="154" t="s">
        <v>297</v>
      </c>
      <c r="B97" s="126"/>
      <c r="C97" s="127"/>
      <c r="D97" s="127"/>
      <c r="E97" s="127"/>
      <c r="F97" s="127"/>
      <c r="G97" s="127"/>
      <c r="H97" s="94"/>
      <c r="I97" s="94"/>
      <c r="J97" s="151"/>
      <c r="K97" s="71"/>
      <c r="L97" s="50"/>
      <c r="M97" s="51"/>
      <c r="N97" s="51"/>
      <c r="O97" s="51"/>
      <c r="P97" s="6"/>
      <c r="Q97" s="6"/>
      <c r="R97" s="6"/>
      <c r="S97" s="6"/>
      <c r="T97" s="6"/>
      <c r="U97" s="6"/>
      <c r="V97" s="6"/>
      <c r="W97" s="6"/>
      <c r="X97" s="6"/>
      <c r="Y97" s="6"/>
    </row>
    <row r="98" spans="1:25" x14ac:dyDescent="0.15">
      <c r="A98" s="156" t="s">
        <v>247</v>
      </c>
      <c r="B98" s="126"/>
      <c r="C98" s="127"/>
      <c r="D98" s="127"/>
      <c r="E98" s="127"/>
      <c r="F98" s="127"/>
      <c r="G98" s="127"/>
      <c r="H98" s="94"/>
      <c r="I98" s="94"/>
      <c r="J98" s="151"/>
      <c r="K98" s="71"/>
      <c r="L98" s="50"/>
      <c r="M98" s="51"/>
      <c r="N98" s="37"/>
      <c r="O98" s="37"/>
      <c r="P98" s="3"/>
      <c r="Q98" s="3"/>
      <c r="R98" s="3"/>
      <c r="S98" s="3"/>
      <c r="T98" s="3"/>
      <c r="U98" s="3"/>
      <c r="V98" s="3"/>
      <c r="W98" s="3"/>
      <c r="X98" s="3"/>
      <c r="Y98" s="4"/>
    </row>
    <row r="99" spans="1:25" x14ac:dyDescent="0.15">
      <c r="A99" s="156" t="s">
        <v>298</v>
      </c>
      <c r="B99" s="126"/>
      <c r="C99" s="127"/>
      <c r="D99" s="127"/>
      <c r="E99" s="127"/>
      <c r="F99" s="127"/>
      <c r="G99" s="127"/>
      <c r="H99" s="94"/>
      <c r="I99" s="94"/>
      <c r="J99" s="138"/>
      <c r="K99" s="71"/>
      <c r="L99" s="49"/>
      <c r="M99" s="37"/>
      <c r="N99" s="37"/>
      <c r="O99" s="37"/>
      <c r="P99" s="3"/>
      <c r="Q99" s="3"/>
      <c r="R99" s="3"/>
      <c r="S99" s="3"/>
      <c r="T99" s="3"/>
      <c r="U99" s="3"/>
      <c r="V99" s="3"/>
      <c r="W99" s="3"/>
      <c r="X99" s="3"/>
      <c r="Y99" s="4"/>
    </row>
    <row r="100" spans="1:25" x14ac:dyDescent="0.15">
      <c r="A100" s="156" t="s">
        <v>299</v>
      </c>
      <c r="B100" s="126"/>
      <c r="C100" s="127"/>
      <c r="D100" s="127"/>
      <c r="E100" s="127"/>
      <c r="F100" s="127"/>
      <c r="G100" s="127"/>
      <c r="H100" s="94"/>
      <c r="I100" s="94"/>
      <c r="J100" s="138"/>
      <c r="K100" s="71"/>
      <c r="L100" s="49"/>
      <c r="M100" s="37"/>
      <c r="N100" s="37"/>
      <c r="O100" s="37"/>
      <c r="P100" s="3"/>
      <c r="Q100" s="3"/>
      <c r="R100" s="3"/>
      <c r="S100" s="3"/>
      <c r="T100" s="3"/>
      <c r="U100" s="3"/>
      <c r="V100" s="3"/>
      <c r="W100" s="3"/>
      <c r="X100" s="3"/>
      <c r="Y100" s="4"/>
    </row>
    <row r="101" spans="1:25" x14ac:dyDescent="0.15">
      <c r="A101" s="156" t="s">
        <v>300</v>
      </c>
      <c r="B101" s="126"/>
      <c r="C101" s="127"/>
      <c r="D101" s="127"/>
      <c r="E101" s="127"/>
      <c r="F101" s="127"/>
      <c r="G101" s="127"/>
      <c r="H101" s="94"/>
      <c r="I101" s="94"/>
      <c r="J101" s="138"/>
      <c r="K101" s="71"/>
      <c r="L101" s="49"/>
      <c r="M101" s="37"/>
      <c r="N101" s="37"/>
      <c r="O101" s="37"/>
      <c r="P101" s="3"/>
      <c r="Q101" s="3"/>
      <c r="R101" s="3"/>
      <c r="S101" s="3"/>
      <c r="T101" s="3"/>
      <c r="U101" s="3"/>
      <c r="V101" s="3"/>
      <c r="W101" s="3"/>
      <c r="X101" s="3"/>
      <c r="Y101" s="4"/>
    </row>
    <row r="102" spans="1:25" s="1" customFormat="1" x14ac:dyDescent="0.15">
      <c r="A102" s="154" t="s">
        <v>301</v>
      </c>
      <c r="B102" s="126"/>
      <c r="C102" s="127"/>
      <c r="D102" s="127"/>
      <c r="E102" s="127"/>
      <c r="F102" s="127"/>
      <c r="G102" s="127"/>
      <c r="H102" s="94"/>
      <c r="I102" s="94"/>
      <c r="J102" s="138"/>
      <c r="K102" s="71"/>
      <c r="L102" s="49"/>
      <c r="M102" s="37"/>
      <c r="N102" s="37"/>
      <c r="O102" s="37"/>
      <c r="P102" s="3"/>
      <c r="Q102" s="3"/>
      <c r="R102" s="3"/>
      <c r="S102" s="3"/>
      <c r="T102" s="3"/>
      <c r="U102" s="3"/>
      <c r="V102" s="3"/>
      <c r="W102" s="3"/>
      <c r="X102" s="3"/>
      <c r="Y102" s="3"/>
    </row>
    <row r="103" spans="1:25" s="1" customFormat="1" x14ac:dyDescent="0.15">
      <c r="A103" s="154" t="s">
        <v>302</v>
      </c>
      <c r="B103" s="126"/>
      <c r="C103" s="127"/>
      <c r="D103" s="127"/>
      <c r="E103" s="127"/>
      <c r="F103" s="127"/>
      <c r="G103" s="127"/>
      <c r="H103" s="94"/>
      <c r="I103" s="94"/>
      <c r="J103" s="138"/>
      <c r="K103" s="71"/>
      <c r="L103" s="49"/>
      <c r="M103" s="37"/>
      <c r="N103" s="37"/>
      <c r="O103" s="37"/>
      <c r="P103" s="3"/>
      <c r="Q103" s="3"/>
      <c r="R103" s="3"/>
      <c r="S103" s="3"/>
      <c r="T103" s="3"/>
      <c r="U103" s="3"/>
      <c r="V103" s="3"/>
      <c r="W103" s="3"/>
      <c r="X103" s="3"/>
      <c r="Y103" s="3"/>
    </row>
    <row r="104" spans="1:25" s="1" customFormat="1" x14ac:dyDescent="0.15">
      <c r="A104" s="154" t="s">
        <v>303</v>
      </c>
      <c r="B104" s="126"/>
      <c r="C104" s="127"/>
      <c r="D104" s="127"/>
      <c r="E104" s="127"/>
      <c r="F104" s="127"/>
      <c r="G104" s="127"/>
      <c r="H104" s="94"/>
      <c r="I104" s="94"/>
      <c r="J104" s="138"/>
      <c r="K104" s="71"/>
      <c r="L104" s="49"/>
      <c r="M104" s="37"/>
      <c r="N104" s="37"/>
      <c r="O104" s="37"/>
      <c r="P104" s="3"/>
      <c r="Q104" s="3"/>
      <c r="R104" s="3"/>
      <c r="S104" s="3"/>
      <c r="T104" s="3"/>
      <c r="U104" s="3"/>
      <c r="V104" s="3"/>
      <c r="W104" s="3"/>
      <c r="X104" s="3"/>
      <c r="Y104" s="3"/>
    </row>
    <row r="105" spans="1:25" s="1" customFormat="1" x14ac:dyDescent="0.15">
      <c r="A105" s="154" t="s">
        <v>304</v>
      </c>
      <c r="B105" s="126"/>
      <c r="C105" s="127"/>
      <c r="D105" s="127"/>
      <c r="E105" s="127"/>
      <c r="F105" s="127"/>
      <c r="G105" s="127"/>
      <c r="H105" s="94"/>
      <c r="I105" s="94"/>
      <c r="J105" s="138"/>
      <c r="K105" s="71"/>
      <c r="L105" s="49"/>
      <c r="M105" s="37"/>
      <c r="N105" s="37"/>
      <c r="O105" s="37"/>
      <c r="P105" s="3"/>
      <c r="Q105" s="3"/>
      <c r="R105" s="3"/>
      <c r="S105" s="3"/>
      <c r="T105" s="3"/>
      <c r="U105" s="3"/>
      <c r="V105" s="3"/>
      <c r="W105" s="3"/>
      <c r="X105" s="3"/>
      <c r="Y105" s="3"/>
    </row>
    <row r="106" spans="1:25" s="1" customFormat="1" x14ac:dyDescent="0.15">
      <c r="A106" s="154" t="s">
        <v>305</v>
      </c>
      <c r="B106" s="126"/>
      <c r="C106" s="127"/>
      <c r="D106" s="127"/>
      <c r="E106" s="127"/>
      <c r="F106" s="127"/>
      <c r="G106" s="127"/>
      <c r="H106" s="94"/>
      <c r="I106" s="94"/>
      <c r="J106" s="138"/>
      <c r="K106" s="71"/>
      <c r="L106" s="49"/>
      <c r="M106" s="37"/>
      <c r="N106" s="37"/>
      <c r="O106" s="37"/>
      <c r="P106" s="3"/>
      <c r="Q106" s="3"/>
      <c r="R106" s="3"/>
      <c r="S106" s="3"/>
      <c r="T106" s="3"/>
      <c r="U106" s="3"/>
      <c r="V106" s="3"/>
      <c r="W106" s="3"/>
      <c r="X106" s="3"/>
      <c r="Y106" s="3"/>
    </row>
    <row r="107" spans="1:25" s="1" customFormat="1" x14ac:dyDescent="0.15">
      <c r="A107" s="154" t="s">
        <v>194</v>
      </c>
      <c r="B107" s="126"/>
      <c r="C107" s="127"/>
      <c r="D107" s="127"/>
      <c r="E107" s="127"/>
      <c r="F107" s="127"/>
      <c r="G107" s="127"/>
      <c r="H107" s="94"/>
      <c r="I107" s="94"/>
      <c r="J107" s="138"/>
      <c r="K107" s="71"/>
      <c r="L107" s="49"/>
      <c r="M107" s="37"/>
      <c r="N107" s="37"/>
      <c r="O107" s="37"/>
      <c r="P107" s="3"/>
      <c r="Q107" s="3"/>
      <c r="R107" s="3"/>
      <c r="S107" s="3"/>
      <c r="T107" s="3"/>
      <c r="U107" s="3"/>
      <c r="V107" s="3"/>
      <c r="W107" s="3"/>
      <c r="X107" s="3"/>
      <c r="Y107" s="3"/>
    </row>
    <row r="108" spans="1:25" s="1" customFormat="1" x14ac:dyDescent="0.15">
      <c r="A108" s="154" t="s">
        <v>195</v>
      </c>
      <c r="B108" s="126"/>
      <c r="C108" s="127"/>
      <c r="D108" s="127"/>
      <c r="E108" s="127"/>
      <c r="F108" s="127"/>
      <c r="G108" s="127"/>
      <c r="H108" s="94"/>
      <c r="I108" s="94"/>
      <c r="J108" s="138"/>
      <c r="K108" s="71"/>
      <c r="L108" s="49"/>
      <c r="M108" s="37"/>
      <c r="N108" s="37"/>
      <c r="O108" s="37"/>
      <c r="P108" s="3"/>
      <c r="Q108" s="3"/>
      <c r="R108" s="3"/>
      <c r="S108" s="3"/>
      <c r="T108" s="3"/>
      <c r="U108" s="3"/>
      <c r="V108" s="3"/>
      <c r="W108" s="3"/>
      <c r="X108" s="3"/>
      <c r="Y108" s="3"/>
    </row>
    <row r="109" spans="1:25" s="1" customFormat="1" x14ac:dyDescent="0.15">
      <c r="A109" s="154" t="s">
        <v>260</v>
      </c>
      <c r="B109" s="126"/>
      <c r="C109" s="127"/>
      <c r="D109" s="127"/>
      <c r="E109" s="127"/>
      <c r="F109" s="127"/>
      <c r="G109" s="127"/>
      <c r="H109" s="94"/>
      <c r="I109" s="94"/>
      <c r="J109" s="138"/>
      <c r="K109" s="71"/>
      <c r="L109" s="49"/>
      <c r="M109" s="37"/>
      <c r="N109" s="37"/>
      <c r="O109" s="37"/>
      <c r="P109" s="3"/>
      <c r="Q109" s="3"/>
      <c r="R109" s="3"/>
      <c r="S109" s="3"/>
      <c r="T109" s="3"/>
      <c r="U109" s="3"/>
      <c r="V109" s="3"/>
      <c r="W109" s="3"/>
      <c r="X109" s="3"/>
      <c r="Y109" s="3"/>
    </row>
    <row r="110" spans="1:25" s="1" customFormat="1" x14ac:dyDescent="0.15">
      <c r="A110" s="154" t="s">
        <v>261</v>
      </c>
      <c r="B110" s="126"/>
      <c r="C110" s="127"/>
      <c r="D110" s="127"/>
      <c r="E110" s="127"/>
      <c r="F110" s="127"/>
      <c r="G110" s="127"/>
      <c r="H110" s="94"/>
      <c r="I110" s="94"/>
      <c r="J110" s="138"/>
      <c r="K110" s="71"/>
      <c r="L110" s="49"/>
      <c r="M110" s="37"/>
      <c r="N110" s="37"/>
      <c r="O110" s="37"/>
      <c r="P110" s="3"/>
      <c r="Q110" s="3"/>
      <c r="R110" s="3"/>
      <c r="S110" s="3"/>
      <c r="T110" s="3"/>
      <c r="U110" s="3"/>
      <c r="V110" s="3"/>
      <c r="W110" s="3"/>
      <c r="X110" s="3"/>
      <c r="Y110" s="3"/>
    </row>
    <row r="111" spans="1:25" s="1" customFormat="1" x14ac:dyDescent="0.15">
      <c r="A111" s="154" t="s">
        <v>262</v>
      </c>
      <c r="B111" s="126"/>
      <c r="C111" s="127"/>
      <c r="D111" s="127"/>
      <c r="E111" s="127"/>
      <c r="F111" s="127"/>
      <c r="G111" s="127"/>
      <c r="H111" s="94"/>
      <c r="I111" s="94"/>
      <c r="J111" s="138"/>
      <c r="K111" s="71"/>
      <c r="L111" s="49"/>
      <c r="M111" s="37"/>
      <c r="N111" s="37"/>
      <c r="O111" s="37"/>
      <c r="P111" s="3"/>
      <c r="Q111" s="3"/>
      <c r="R111" s="3"/>
      <c r="S111" s="3"/>
      <c r="T111" s="3"/>
      <c r="U111" s="3"/>
      <c r="V111" s="3"/>
      <c r="W111" s="3"/>
      <c r="X111" s="3"/>
      <c r="Y111" s="3"/>
    </row>
    <row r="112" spans="1:25" s="1" customFormat="1" x14ac:dyDescent="0.15">
      <c r="A112" s="154" t="s">
        <v>263</v>
      </c>
      <c r="B112" s="126"/>
      <c r="C112" s="127"/>
      <c r="D112" s="127"/>
      <c r="E112" s="127"/>
      <c r="F112" s="127"/>
      <c r="G112" s="127"/>
      <c r="H112" s="94"/>
      <c r="I112" s="94"/>
      <c r="J112" s="138"/>
      <c r="K112" s="71"/>
      <c r="L112" s="49"/>
      <c r="M112" s="37"/>
      <c r="N112" s="37"/>
      <c r="O112" s="37"/>
      <c r="P112" s="3"/>
      <c r="Q112" s="3"/>
      <c r="R112" s="3"/>
      <c r="S112" s="3"/>
      <c r="T112" s="3"/>
      <c r="U112" s="3"/>
      <c r="V112" s="3"/>
      <c r="W112" s="3"/>
      <c r="X112" s="3"/>
      <c r="Y112" s="3"/>
    </row>
    <row r="113" spans="1:25" s="1" customFormat="1" x14ac:dyDescent="0.15">
      <c r="A113" s="154" t="s">
        <v>310</v>
      </c>
      <c r="B113" s="126"/>
      <c r="C113" s="127"/>
      <c r="D113" s="127"/>
      <c r="E113" s="127"/>
      <c r="F113" s="127"/>
      <c r="G113" s="127"/>
      <c r="H113" s="94"/>
      <c r="I113" s="94"/>
      <c r="J113" s="138"/>
      <c r="K113" s="71"/>
      <c r="L113" s="49"/>
      <c r="M113" s="37"/>
      <c r="N113" s="37"/>
      <c r="O113" s="37"/>
      <c r="P113" s="3"/>
      <c r="Q113" s="3"/>
      <c r="R113" s="3"/>
      <c r="S113" s="3"/>
      <c r="T113" s="3"/>
      <c r="U113" s="3"/>
      <c r="V113" s="3"/>
      <c r="W113" s="3"/>
      <c r="X113" s="3"/>
      <c r="Y113" s="3"/>
    </row>
    <row r="114" spans="1:25" s="1" customFormat="1" x14ac:dyDescent="0.15">
      <c r="A114" s="154" t="s">
        <v>311</v>
      </c>
      <c r="B114" s="126"/>
      <c r="C114" s="127"/>
      <c r="D114" s="127"/>
      <c r="E114" s="127"/>
      <c r="F114" s="127"/>
      <c r="G114" s="127"/>
      <c r="H114" s="94"/>
      <c r="I114" s="94"/>
      <c r="J114" s="138"/>
      <c r="K114" s="71"/>
      <c r="L114" s="49"/>
      <c r="M114" s="37"/>
      <c r="N114" s="37"/>
      <c r="O114" s="37"/>
      <c r="P114" s="3"/>
      <c r="Q114" s="3"/>
      <c r="R114" s="3"/>
      <c r="S114" s="3"/>
      <c r="T114" s="3"/>
      <c r="U114" s="3"/>
      <c r="V114" s="3"/>
      <c r="W114" s="3"/>
      <c r="X114" s="3"/>
      <c r="Y114" s="3"/>
    </row>
    <row r="115" spans="1:25" s="1" customFormat="1" x14ac:dyDescent="0.15">
      <c r="A115" s="154" t="s">
        <v>268</v>
      </c>
      <c r="B115" s="126"/>
      <c r="C115" s="127"/>
      <c r="D115" s="127"/>
      <c r="E115" s="127"/>
      <c r="F115" s="127"/>
      <c r="G115" s="127"/>
      <c r="H115" s="94"/>
      <c r="I115" s="94"/>
      <c r="J115" s="138"/>
      <c r="K115" s="71"/>
      <c r="L115" s="49"/>
      <c r="M115" s="37"/>
      <c r="N115" s="37"/>
      <c r="O115" s="37"/>
      <c r="P115" s="3"/>
      <c r="Q115" s="3"/>
      <c r="R115" s="3"/>
      <c r="S115" s="3"/>
      <c r="T115" s="3"/>
      <c r="U115" s="3"/>
      <c r="V115" s="3"/>
      <c r="W115" s="3"/>
      <c r="X115" s="3"/>
      <c r="Y115" s="3"/>
    </row>
    <row r="116" spans="1:25" s="1" customFormat="1" x14ac:dyDescent="0.15">
      <c r="A116" s="154" t="s">
        <v>211</v>
      </c>
      <c r="B116" s="126"/>
      <c r="C116" s="127"/>
      <c r="D116" s="127"/>
      <c r="E116" s="127"/>
      <c r="F116" s="127"/>
      <c r="G116" s="127"/>
      <c r="H116" s="94"/>
      <c r="I116" s="94"/>
      <c r="J116" s="138"/>
      <c r="K116" s="71"/>
      <c r="L116" s="49"/>
      <c r="M116" s="37"/>
      <c r="N116" s="37"/>
      <c r="O116" s="37"/>
      <c r="P116" s="3"/>
      <c r="Q116" s="3"/>
      <c r="R116" s="3"/>
      <c r="S116" s="3"/>
      <c r="T116" s="3"/>
      <c r="U116" s="3"/>
      <c r="V116" s="3"/>
      <c r="W116" s="3"/>
      <c r="X116" s="3"/>
      <c r="Y116" s="3"/>
    </row>
    <row r="117" spans="1:25" s="1" customFormat="1" x14ac:dyDescent="0.15">
      <c r="A117" s="154" t="s">
        <v>270</v>
      </c>
      <c r="B117" s="126"/>
      <c r="C117" s="127"/>
      <c r="D117" s="127"/>
      <c r="E117" s="127"/>
      <c r="F117" s="127"/>
      <c r="G117" s="127"/>
      <c r="H117" s="94"/>
      <c r="I117" s="94"/>
      <c r="J117" s="138"/>
      <c r="K117" s="71"/>
      <c r="L117" s="49"/>
      <c r="M117" s="37"/>
      <c r="N117" s="37"/>
      <c r="O117" s="37"/>
      <c r="P117" s="3"/>
      <c r="Q117" s="3"/>
      <c r="R117" s="3"/>
      <c r="S117" s="3"/>
      <c r="T117" s="3"/>
      <c r="U117" s="3"/>
      <c r="V117" s="3"/>
      <c r="W117" s="3"/>
      <c r="X117" s="3"/>
      <c r="Y117" s="3"/>
    </row>
    <row r="118" spans="1:25" s="1" customFormat="1" x14ac:dyDescent="0.15">
      <c r="A118" s="154" t="s">
        <v>271</v>
      </c>
      <c r="B118" s="126"/>
      <c r="C118" s="127"/>
      <c r="D118" s="127"/>
      <c r="E118" s="127"/>
      <c r="F118" s="127"/>
      <c r="G118" s="127"/>
      <c r="H118" s="94"/>
      <c r="I118" s="94"/>
      <c r="J118" s="138"/>
      <c r="K118" s="71"/>
      <c r="L118" s="49"/>
      <c r="M118" s="37"/>
      <c r="N118" s="37"/>
      <c r="O118" s="37"/>
      <c r="P118" s="3"/>
      <c r="Q118" s="3"/>
      <c r="R118" s="3"/>
      <c r="S118" s="3"/>
      <c r="T118" s="3"/>
      <c r="U118" s="3"/>
      <c r="V118" s="3"/>
      <c r="W118" s="3"/>
      <c r="X118" s="3"/>
      <c r="Y118" s="3"/>
    </row>
    <row r="119" spans="1:25" s="1" customFormat="1" x14ac:dyDescent="0.15">
      <c r="A119" s="154" t="s">
        <v>272</v>
      </c>
      <c r="B119" s="126"/>
      <c r="C119" s="127"/>
      <c r="D119" s="127"/>
      <c r="E119" s="127"/>
      <c r="F119" s="127"/>
      <c r="G119" s="127"/>
      <c r="H119" s="94"/>
      <c r="I119" s="94"/>
      <c r="J119" s="138"/>
      <c r="K119" s="71"/>
      <c r="L119" s="49"/>
      <c r="M119" s="37"/>
      <c r="N119" s="37"/>
      <c r="O119" s="37"/>
      <c r="P119" s="3"/>
      <c r="Q119" s="3"/>
      <c r="R119" s="3"/>
      <c r="S119" s="3"/>
      <c r="T119" s="3"/>
      <c r="U119" s="3"/>
      <c r="V119" s="3"/>
      <c r="W119" s="3"/>
      <c r="X119" s="3"/>
      <c r="Y119" s="3"/>
    </row>
    <row r="120" spans="1:25" s="1" customFormat="1" x14ac:dyDescent="0.15">
      <c r="A120" s="154" t="s">
        <v>273</v>
      </c>
      <c r="B120" s="126"/>
      <c r="C120" s="127"/>
      <c r="D120" s="127"/>
      <c r="E120" s="127"/>
      <c r="F120" s="127"/>
      <c r="G120" s="127"/>
      <c r="H120" s="94"/>
      <c r="I120" s="94"/>
      <c r="J120" s="138"/>
      <c r="K120" s="71"/>
      <c r="L120" s="49"/>
      <c r="M120" s="37"/>
      <c r="N120" s="37"/>
      <c r="O120" s="37"/>
      <c r="P120" s="3"/>
      <c r="Q120" s="3"/>
      <c r="R120" s="3"/>
      <c r="S120" s="3"/>
      <c r="T120" s="3"/>
      <c r="U120" s="3"/>
      <c r="V120" s="3"/>
      <c r="W120" s="3"/>
      <c r="X120" s="3"/>
      <c r="Y120" s="3"/>
    </row>
    <row r="121" spans="1:25" s="1" customFormat="1" x14ac:dyDescent="0.15">
      <c r="A121" s="154" t="s">
        <v>485</v>
      </c>
      <c r="B121" s="126"/>
      <c r="C121" s="127"/>
      <c r="D121" s="127"/>
      <c r="E121" s="127"/>
      <c r="F121" s="127"/>
      <c r="G121" s="127"/>
      <c r="H121" s="94"/>
      <c r="I121" s="94"/>
      <c r="J121" s="138"/>
      <c r="K121" s="71"/>
      <c r="L121" s="49"/>
      <c r="M121" s="37"/>
      <c r="N121" s="37"/>
      <c r="O121" s="37"/>
      <c r="P121" s="3"/>
      <c r="Q121" s="3"/>
      <c r="R121" s="3"/>
      <c r="S121" s="3"/>
      <c r="T121" s="3"/>
      <c r="U121" s="3"/>
      <c r="V121" s="3"/>
      <c r="W121" s="3"/>
      <c r="X121" s="3"/>
      <c r="Y121" s="3"/>
    </row>
    <row r="122" spans="1:25" s="1" customFormat="1" x14ac:dyDescent="0.15">
      <c r="A122" s="154" t="s">
        <v>567</v>
      </c>
      <c r="B122" s="126"/>
      <c r="C122" s="127"/>
      <c r="D122" s="127"/>
      <c r="E122" s="127"/>
      <c r="F122" s="127"/>
      <c r="G122" s="127"/>
      <c r="H122" s="94"/>
      <c r="I122" s="94"/>
      <c r="J122" s="138"/>
      <c r="K122" s="71"/>
      <c r="L122" s="49"/>
      <c r="M122" s="37"/>
      <c r="N122" s="37"/>
      <c r="O122" s="37"/>
      <c r="P122" s="3"/>
      <c r="Q122" s="3"/>
      <c r="R122" s="3"/>
      <c r="S122" s="3"/>
      <c r="T122" s="3"/>
      <c r="U122" s="3"/>
      <c r="V122" s="3"/>
      <c r="W122" s="3"/>
      <c r="X122" s="3"/>
      <c r="Y122" s="3"/>
    </row>
    <row r="123" spans="1:25" s="1" customFormat="1" x14ac:dyDescent="0.15">
      <c r="A123" s="154" t="s">
        <v>486</v>
      </c>
      <c r="B123" s="126"/>
      <c r="C123" s="127"/>
      <c r="D123" s="127"/>
      <c r="E123" s="127"/>
      <c r="F123" s="127"/>
      <c r="G123" s="127"/>
      <c r="H123" s="94"/>
      <c r="I123" s="94"/>
      <c r="J123" s="138"/>
      <c r="K123" s="71"/>
      <c r="L123" s="49"/>
      <c r="M123" s="37"/>
      <c r="N123" s="37"/>
      <c r="O123" s="37"/>
      <c r="P123" s="3"/>
      <c r="Q123" s="3"/>
      <c r="R123" s="3"/>
      <c r="S123" s="3"/>
      <c r="T123" s="3"/>
      <c r="U123" s="3"/>
      <c r="V123" s="3"/>
      <c r="W123" s="3"/>
      <c r="X123" s="3"/>
      <c r="Y123" s="3"/>
    </row>
    <row r="124" spans="1:25" s="1" customFormat="1" x14ac:dyDescent="0.15">
      <c r="A124" s="154" t="s">
        <v>487</v>
      </c>
      <c r="B124" s="126"/>
      <c r="C124" s="127"/>
      <c r="D124" s="127"/>
      <c r="E124" s="127"/>
      <c r="F124" s="127"/>
      <c r="G124" s="127"/>
      <c r="H124" s="94"/>
      <c r="I124" s="94"/>
      <c r="J124" s="138"/>
      <c r="K124" s="71"/>
      <c r="L124" s="49"/>
      <c r="M124" s="37"/>
      <c r="N124" s="37"/>
      <c r="O124" s="37"/>
      <c r="P124" s="3"/>
      <c r="Q124" s="3"/>
      <c r="R124" s="3"/>
      <c r="S124" s="3"/>
      <c r="T124" s="3"/>
      <c r="U124" s="3"/>
      <c r="V124" s="3"/>
      <c r="W124" s="3"/>
      <c r="X124" s="3"/>
      <c r="Y124" s="3"/>
    </row>
    <row r="125" spans="1:25" s="1" customFormat="1" x14ac:dyDescent="0.15">
      <c r="A125" s="154" t="s">
        <v>435</v>
      </c>
      <c r="B125" s="126"/>
      <c r="C125" s="127"/>
      <c r="D125" s="127"/>
      <c r="E125" s="127"/>
      <c r="F125" s="127"/>
      <c r="G125" s="127"/>
      <c r="H125" s="94"/>
      <c r="I125" s="94"/>
      <c r="J125" s="138"/>
      <c r="K125" s="71"/>
      <c r="L125" s="49"/>
      <c r="M125" s="37"/>
      <c r="N125" s="37"/>
      <c r="O125" s="37"/>
      <c r="P125" s="3"/>
      <c r="Q125" s="3"/>
      <c r="R125" s="3"/>
      <c r="S125" s="3"/>
      <c r="T125" s="3"/>
      <c r="U125" s="3"/>
      <c r="V125" s="3"/>
      <c r="W125" s="3"/>
      <c r="X125" s="3"/>
      <c r="Y125" s="3"/>
    </row>
    <row r="126" spans="1:25" s="1" customFormat="1" x14ac:dyDescent="0.15">
      <c r="A126" s="154" t="s">
        <v>443</v>
      </c>
      <c r="B126" s="126"/>
      <c r="C126" s="127"/>
      <c r="D126" s="127"/>
      <c r="E126" s="127"/>
      <c r="F126" s="127"/>
      <c r="G126" s="127"/>
      <c r="H126" s="94"/>
      <c r="I126" s="94"/>
      <c r="J126" s="138"/>
      <c r="K126" s="71"/>
      <c r="L126" s="49"/>
      <c r="M126" s="37"/>
      <c r="N126" s="37"/>
      <c r="O126" s="37"/>
      <c r="P126" s="3"/>
      <c r="Q126" s="3"/>
      <c r="R126" s="3"/>
      <c r="S126" s="3"/>
      <c r="T126" s="3"/>
      <c r="U126" s="3"/>
      <c r="V126" s="3"/>
      <c r="W126" s="3"/>
      <c r="X126" s="3"/>
      <c r="Y126" s="3"/>
    </row>
    <row r="127" spans="1:25" s="1" customFormat="1" x14ac:dyDescent="0.15">
      <c r="A127" s="154" t="s">
        <v>444</v>
      </c>
      <c r="B127" s="126"/>
      <c r="C127" s="127"/>
      <c r="D127" s="127"/>
      <c r="E127" s="127"/>
      <c r="F127" s="127"/>
      <c r="G127" s="127"/>
      <c r="H127" s="94"/>
      <c r="I127" s="94"/>
      <c r="J127" s="138"/>
      <c r="K127" s="71"/>
      <c r="L127" s="49"/>
      <c r="M127" s="37"/>
      <c r="N127" s="37"/>
      <c r="O127" s="37"/>
      <c r="P127" s="3"/>
      <c r="Q127" s="3"/>
      <c r="R127" s="3"/>
      <c r="S127" s="3"/>
      <c r="T127" s="3"/>
      <c r="U127" s="3"/>
      <c r="V127" s="3"/>
      <c r="W127" s="3"/>
      <c r="X127" s="3"/>
      <c r="Y127" s="3"/>
    </row>
    <row r="128" spans="1:25" s="1" customFormat="1" x14ac:dyDescent="0.15">
      <c r="A128" s="154" t="s">
        <v>381</v>
      </c>
      <c r="B128" s="126"/>
      <c r="C128" s="127"/>
      <c r="D128" s="127"/>
      <c r="E128" s="127"/>
      <c r="F128" s="127"/>
      <c r="G128" s="127"/>
      <c r="H128" s="94"/>
      <c r="I128" s="94"/>
      <c r="J128" s="138"/>
      <c r="K128" s="71"/>
      <c r="L128" s="49"/>
      <c r="M128" s="37"/>
      <c r="N128" s="37"/>
      <c r="O128" s="37"/>
      <c r="P128" s="3"/>
      <c r="Q128" s="3"/>
      <c r="R128" s="3"/>
      <c r="S128" s="3"/>
      <c r="T128" s="3"/>
      <c r="U128" s="3"/>
      <c r="V128" s="3"/>
      <c r="W128" s="3"/>
      <c r="X128" s="3"/>
      <c r="Y128" s="3"/>
    </row>
    <row r="129" spans="1:25" s="1" customFormat="1" x14ac:dyDescent="0.15">
      <c r="A129" s="154" t="s">
        <v>409</v>
      </c>
      <c r="B129" s="126"/>
      <c r="C129" s="127"/>
      <c r="D129" s="127"/>
      <c r="E129" s="127"/>
      <c r="F129" s="127"/>
      <c r="G129" s="127"/>
      <c r="H129" s="94"/>
      <c r="I129" s="94"/>
      <c r="J129" s="138"/>
      <c r="K129" s="71"/>
      <c r="L129" s="49"/>
      <c r="M129" s="37"/>
      <c r="N129" s="37"/>
      <c r="O129" s="37"/>
      <c r="P129" s="3"/>
      <c r="Q129" s="3"/>
      <c r="R129" s="3"/>
      <c r="S129" s="3"/>
      <c r="T129" s="3"/>
      <c r="U129" s="3"/>
      <c r="V129" s="3"/>
      <c r="W129" s="3"/>
      <c r="X129" s="3"/>
      <c r="Y129" s="3"/>
    </row>
    <row r="130" spans="1:25" s="1" customFormat="1" x14ac:dyDescent="0.15">
      <c r="A130" s="154" t="s">
        <v>408</v>
      </c>
      <c r="B130" s="126"/>
      <c r="C130" s="127"/>
      <c r="D130" s="127"/>
      <c r="E130" s="127"/>
      <c r="F130" s="127"/>
      <c r="G130" s="127"/>
      <c r="H130" s="94"/>
      <c r="I130" s="94"/>
      <c r="J130" s="138"/>
      <c r="K130" s="71"/>
      <c r="L130" s="49"/>
      <c r="M130" s="37"/>
      <c r="N130" s="37"/>
      <c r="O130" s="37"/>
      <c r="P130" s="3"/>
      <c r="Q130" s="3"/>
      <c r="R130" s="3"/>
      <c r="S130" s="3"/>
      <c r="T130" s="3"/>
      <c r="U130" s="3"/>
      <c r="V130" s="3"/>
      <c r="W130" s="3"/>
      <c r="X130" s="3"/>
      <c r="Y130" s="3"/>
    </row>
    <row r="131" spans="1:25" x14ac:dyDescent="0.15">
      <c r="A131" s="156" t="s">
        <v>450</v>
      </c>
      <c r="B131" s="126"/>
      <c r="C131" s="127"/>
      <c r="D131" s="127"/>
      <c r="E131" s="127"/>
      <c r="F131" s="127"/>
      <c r="G131" s="127"/>
      <c r="H131" s="94"/>
      <c r="I131" s="94"/>
      <c r="J131" s="138"/>
      <c r="K131" s="71"/>
      <c r="L131" s="49"/>
      <c r="M131" s="37"/>
      <c r="N131" s="37"/>
      <c r="O131" s="37"/>
      <c r="P131" s="3"/>
      <c r="Q131" s="3"/>
      <c r="R131" s="3"/>
      <c r="S131" s="3"/>
      <c r="T131" s="3"/>
      <c r="U131" s="3"/>
      <c r="V131" s="3"/>
      <c r="W131" s="3"/>
      <c r="X131" s="3"/>
      <c r="Y131" s="4"/>
    </row>
    <row r="132" spans="1:25" x14ac:dyDescent="0.15">
      <c r="A132" s="156" t="s">
        <v>451</v>
      </c>
      <c r="B132" s="126"/>
      <c r="C132" s="127"/>
      <c r="D132" s="127"/>
      <c r="E132" s="127"/>
      <c r="F132" s="127"/>
      <c r="G132" s="127"/>
      <c r="H132" s="94"/>
      <c r="I132" s="94"/>
      <c r="J132" s="138"/>
      <c r="K132" s="71"/>
      <c r="L132" s="49"/>
      <c r="M132" s="37"/>
      <c r="N132" s="37"/>
      <c r="O132" s="37"/>
      <c r="P132" s="3"/>
      <c r="Q132" s="3"/>
      <c r="R132" s="3"/>
      <c r="S132" s="3"/>
      <c r="T132" s="3"/>
      <c r="U132" s="3"/>
      <c r="V132" s="3"/>
      <c r="W132" s="3"/>
      <c r="X132" s="3"/>
      <c r="Y132" s="4"/>
    </row>
    <row r="133" spans="1:25" x14ac:dyDescent="0.15">
      <c r="A133" s="156" t="s">
        <v>410</v>
      </c>
      <c r="B133" s="126"/>
      <c r="C133" s="127"/>
      <c r="D133" s="127"/>
      <c r="E133" s="127"/>
      <c r="F133" s="127"/>
      <c r="G133" s="127"/>
      <c r="H133" s="94"/>
      <c r="I133" s="94"/>
      <c r="J133" s="138"/>
      <c r="K133" s="71"/>
      <c r="L133" s="49"/>
      <c r="M133" s="37"/>
      <c r="N133" s="37"/>
      <c r="O133" s="37"/>
      <c r="P133" s="3"/>
      <c r="Q133" s="3"/>
      <c r="R133" s="3"/>
      <c r="S133" s="3"/>
      <c r="T133" s="3"/>
      <c r="U133" s="3"/>
      <c r="V133" s="3"/>
      <c r="W133" s="3"/>
      <c r="X133" s="3"/>
      <c r="Y133" s="4"/>
    </row>
    <row r="134" spans="1:25" s="2" customFormat="1" x14ac:dyDescent="0.15">
      <c r="A134" s="154" t="s">
        <v>452</v>
      </c>
      <c r="B134" s="126"/>
      <c r="C134" s="127"/>
      <c r="D134" s="127"/>
      <c r="E134" s="127"/>
      <c r="F134" s="127"/>
      <c r="G134" s="127"/>
      <c r="H134" s="94"/>
      <c r="I134" s="94"/>
      <c r="J134" s="151"/>
      <c r="K134" s="71"/>
      <c r="L134" s="50"/>
      <c r="M134" s="51"/>
      <c r="N134" s="51"/>
      <c r="O134" s="51"/>
      <c r="P134" s="6"/>
      <c r="Q134" s="6"/>
      <c r="R134" s="6"/>
      <c r="S134" s="6"/>
      <c r="T134" s="6"/>
      <c r="U134" s="6"/>
      <c r="V134" s="6"/>
      <c r="W134" s="6"/>
      <c r="X134" s="6"/>
      <c r="Y134" s="6"/>
    </row>
    <row r="135" spans="1:25" s="2" customFormat="1" x14ac:dyDescent="0.15">
      <c r="A135" s="154" t="s">
        <v>453</v>
      </c>
      <c r="B135" s="126"/>
      <c r="C135" s="127"/>
      <c r="D135" s="127"/>
      <c r="E135" s="127"/>
      <c r="F135" s="127"/>
      <c r="G135" s="127"/>
      <c r="H135" s="94"/>
      <c r="I135" s="94"/>
      <c r="J135" s="151"/>
      <c r="K135" s="71"/>
      <c r="L135" s="50"/>
      <c r="M135" s="51"/>
      <c r="N135" s="51"/>
      <c r="O135" s="51"/>
      <c r="P135" s="6"/>
      <c r="Q135" s="6"/>
      <c r="R135" s="6"/>
      <c r="S135" s="6"/>
      <c r="T135" s="6"/>
      <c r="U135" s="6"/>
      <c r="V135" s="6"/>
      <c r="W135" s="6"/>
      <c r="X135" s="6"/>
      <c r="Y135" s="6"/>
    </row>
    <row r="136" spans="1:25" s="2" customFormat="1" x14ac:dyDescent="0.15">
      <c r="A136" s="154" t="s">
        <v>454</v>
      </c>
      <c r="B136" s="126"/>
      <c r="C136" s="127"/>
      <c r="D136" s="127"/>
      <c r="E136" s="127"/>
      <c r="F136" s="127"/>
      <c r="G136" s="127"/>
      <c r="H136" s="94"/>
      <c r="I136" s="94"/>
      <c r="J136" s="151"/>
      <c r="K136" s="71"/>
      <c r="L136" s="50"/>
      <c r="M136" s="51"/>
      <c r="N136" s="51"/>
      <c r="O136" s="51"/>
      <c r="P136" s="6"/>
      <c r="Q136" s="6"/>
      <c r="R136" s="6"/>
      <c r="S136" s="6"/>
      <c r="T136" s="6"/>
      <c r="U136" s="6"/>
      <c r="V136" s="6"/>
      <c r="W136" s="6"/>
      <c r="X136" s="6"/>
      <c r="Y136" s="6"/>
    </row>
    <row r="137" spans="1:25" s="2" customFormat="1" x14ac:dyDescent="0.15">
      <c r="A137" s="154" t="s">
        <v>455</v>
      </c>
      <c r="B137" s="126"/>
      <c r="C137" s="127"/>
      <c r="D137" s="127"/>
      <c r="E137" s="127"/>
      <c r="F137" s="127"/>
      <c r="G137" s="127"/>
      <c r="H137" s="94"/>
      <c r="I137" s="94"/>
      <c r="J137" s="151"/>
      <c r="K137" s="71"/>
      <c r="L137" s="50"/>
      <c r="M137" s="51"/>
      <c r="N137" s="51"/>
      <c r="O137" s="51"/>
      <c r="P137" s="6"/>
      <c r="Q137" s="6"/>
      <c r="R137" s="6"/>
      <c r="S137" s="6"/>
      <c r="T137" s="6"/>
      <c r="U137" s="6"/>
      <c r="V137" s="6"/>
      <c r="W137" s="6"/>
      <c r="X137" s="6"/>
      <c r="Y137" s="6"/>
    </row>
    <row r="138" spans="1:25" s="2" customFormat="1" x14ac:dyDescent="0.15">
      <c r="A138" s="154" t="s">
        <v>413</v>
      </c>
      <c r="B138" s="126"/>
      <c r="C138" s="127"/>
      <c r="D138" s="127"/>
      <c r="E138" s="127"/>
      <c r="F138" s="127"/>
      <c r="G138" s="127"/>
      <c r="H138" s="94"/>
      <c r="I138" s="94"/>
      <c r="J138" s="151"/>
      <c r="K138" s="71"/>
      <c r="L138" s="50"/>
      <c r="M138" s="51"/>
      <c r="N138" s="51"/>
      <c r="O138" s="51"/>
      <c r="P138" s="6"/>
      <c r="Q138" s="6"/>
      <c r="R138" s="6"/>
      <c r="S138" s="6"/>
      <c r="T138" s="6"/>
      <c r="U138" s="6"/>
      <c r="V138" s="6"/>
      <c r="W138" s="6"/>
      <c r="X138" s="6"/>
      <c r="Y138" s="6"/>
    </row>
    <row r="139" spans="1:25" s="2" customFormat="1" x14ac:dyDescent="0.15">
      <c r="A139" s="154" t="s">
        <v>414</v>
      </c>
      <c r="B139" s="126"/>
      <c r="C139" s="127"/>
      <c r="D139" s="127"/>
      <c r="E139" s="127"/>
      <c r="F139" s="127"/>
      <c r="G139" s="127"/>
      <c r="H139" s="94"/>
      <c r="I139" s="94"/>
      <c r="J139" s="151"/>
      <c r="K139" s="71"/>
      <c r="L139" s="50"/>
      <c r="M139" s="51"/>
      <c r="N139" s="51"/>
      <c r="O139" s="51"/>
      <c r="P139" s="6"/>
      <c r="Q139" s="6"/>
      <c r="R139" s="6"/>
      <c r="S139" s="6"/>
      <c r="T139" s="6"/>
      <c r="U139" s="6"/>
      <c r="V139" s="6"/>
      <c r="W139" s="6"/>
      <c r="X139" s="6"/>
      <c r="Y139" s="6"/>
    </row>
    <row r="140" spans="1:25" s="2" customFormat="1" x14ac:dyDescent="0.15">
      <c r="A140" s="154" t="s">
        <v>415</v>
      </c>
      <c r="B140" s="126"/>
      <c r="C140" s="127"/>
      <c r="D140" s="127"/>
      <c r="E140" s="127"/>
      <c r="F140" s="127"/>
      <c r="G140" s="127"/>
      <c r="H140" s="94"/>
      <c r="I140" s="94"/>
      <c r="J140" s="151"/>
      <c r="K140" s="71"/>
      <c r="L140" s="50"/>
      <c r="M140" s="51"/>
      <c r="N140" s="51"/>
      <c r="O140" s="51"/>
      <c r="P140" s="6"/>
      <c r="Q140" s="6"/>
      <c r="R140" s="6"/>
      <c r="S140" s="6"/>
      <c r="T140" s="6"/>
      <c r="U140" s="6"/>
      <c r="V140" s="6"/>
      <c r="W140" s="6"/>
      <c r="X140" s="6"/>
      <c r="Y140" s="6"/>
    </row>
    <row r="141" spans="1:25" s="2" customFormat="1" x14ac:dyDescent="0.15">
      <c r="A141" s="154" t="s">
        <v>416</v>
      </c>
      <c r="B141" s="126"/>
      <c r="C141" s="127"/>
      <c r="D141" s="127"/>
      <c r="E141" s="127"/>
      <c r="F141" s="127"/>
      <c r="G141" s="127"/>
      <c r="H141" s="94"/>
      <c r="I141" s="94"/>
      <c r="J141" s="151"/>
      <c r="K141" s="71"/>
      <c r="L141" s="50"/>
      <c r="M141" s="51"/>
      <c r="N141" s="51"/>
      <c r="O141" s="51"/>
      <c r="P141" s="6"/>
      <c r="Q141" s="6"/>
      <c r="R141" s="6"/>
      <c r="S141" s="6"/>
      <c r="T141" s="6"/>
      <c r="U141" s="6"/>
      <c r="V141" s="6"/>
      <c r="W141" s="6"/>
      <c r="X141" s="6"/>
      <c r="Y141" s="6"/>
    </row>
    <row r="142" spans="1:25" s="2" customFormat="1" x14ac:dyDescent="0.15">
      <c r="A142" s="154" t="s">
        <v>423</v>
      </c>
      <c r="B142" s="126"/>
      <c r="C142" s="127"/>
      <c r="D142" s="127"/>
      <c r="E142" s="127"/>
      <c r="F142" s="127"/>
      <c r="G142" s="127"/>
      <c r="H142" s="94"/>
      <c r="I142" s="94"/>
      <c r="J142" s="151"/>
      <c r="K142" s="71"/>
      <c r="L142" s="50"/>
      <c r="M142" s="51"/>
      <c r="N142" s="51"/>
      <c r="O142" s="51"/>
      <c r="P142" s="6"/>
      <c r="Q142" s="6"/>
      <c r="R142" s="6"/>
      <c r="S142" s="6"/>
      <c r="T142" s="6"/>
      <c r="U142" s="6"/>
      <c r="V142" s="6"/>
      <c r="W142" s="6"/>
      <c r="X142" s="6"/>
      <c r="Y142" s="6"/>
    </row>
    <row r="143" spans="1:25" s="2" customFormat="1" x14ac:dyDescent="0.15">
      <c r="A143" s="154" t="s">
        <v>424</v>
      </c>
      <c r="B143" s="126"/>
      <c r="C143" s="127"/>
      <c r="D143" s="127"/>
      <c r="E143" s="127"/>
      <c r="F143" s="127"/>
      <c r="G143" s="127"/>
      <c r="H143" s="94"/>
      <c r="I143" s="94"/>
      <c r="J143" s="151"/>
      <c r="K143" s="71"/>
      <c r="L143" s="50"/>
      <c r="M143" s="51"/>
      <c r="N143" s="51"/>
      <c r="O143" s="51"/>
      <c r="P143" s="6"/>
      <c r="Q143" s="6"/>
      <c r="R143" s="6"/>
      <c r="S143" s="6"/>
      <c r="T143" s="6"/>
      <c r="U143" s="6"/>
      <c r="V143" s="6"/>
      <c r="W143" s="6"/>
      <c r="X143" s="6"/>
      <c r="Y143" s="6"/>
    </row>
    <row r="144" spans="1:25" s="2" customFormat="1" x14ac:dyDescent="0.15">
      <c r="A144" s="154" t="s">
        <v>388</v>
      </c>
      <c r="B144" s="126"/>
      <c r="C144" s="127"/>
      <c r="D144" s="127"/>
      <c r="E144" s="127"/>
      <c r="F144" s="127"/>
      <c r="G144" s="127"/>
      <c r="H144" s="94"/>
      <c r="I144" s="94"/>
      <c r="J144" s="151"/>
      <c r="K144" s="71"/>
      <c r="L144" s="50"/>
      <c r="M144" s="51"/>
      <c r="N144" s="51"/>
      <c r="O144" s="51"/>
      <c r="P144" s="6"/>
      <c r="Q144" s="6"/>
      <c r="R144" s="6"/>
      <c r="S144" s="6"/>
      <c r="T144" s="6"/>
      <c r="U144" s="6"/>
      <c r="V144" s="6"/>
      <c r="W144" s="6"/>
      <c r="X144" s="6"/>
      <c r="Y144" s="6"/>
    </row>
    <row r="145" spans="1:25" s="2" customFormat="1" x14ac:dyDescent="0.15">
      <c r="A145" s="154" t="s">
        <v>398</v>
      </c>
      <c r="B145" s="126"/>
      <c r="C145" s="127"/>
      <c r="D145" s="127"/>
      <c r="E145" s="127"/>
      <c r="F145" s="127"/>
      <c r="G145" s="127"/>
      <c r="H145" s="94"/>
      <c r="I145" s="94"/>
      <c r="J145" s="151"/>
      <c r="K145" s="71"/>
      <c r="L145" s="50"/>
      <c r="M145" s="51"/>
      <c r="N145" s="51"/>
      <c r="O145" s="51"/>
      <c r="P145" s="6"/>
      <c r="Q145" s="6"/>
      <c r="R145" s="6"/>
      <c r="S145" s="6"/>
      <c r="T145" s="6"/>
      <c r="U145" s="6"/>
      <c r="V145" s="6"/>
      <c r="W145" s="6"/>
      <c r="X145" s="6"/>
      <c r="Y145" s="6"/>
    </row>
    <row r="146" spans="1:25" s="2" customFormat="1" x14ac:dyDescent="0.15">
      <c r="A146" s="154" t="s">
        <v>371</v>
      </c>
      <c r="B146" s="126"/>
      <c r="C146" s="127"/>
      <c r="D146" s="127"/>
      <c r="E146" s="127"/>
      <c r="F146" s="127"/>
      <c r="G146" s="127"/>
      <c r="H146" s="94"/>
      <c r="I146" s="94"/>
      <c r="J146" s="151"/>
      <c r="K146" s="71"/>
      <c r="L146" s="50"/>
      <c r="M146" s="51"/>
      <c r="N146" s="51"/>
      <c r="O146" s="51"/>
      <c r="P146" s="6"/>
      <c r="Q146" s="6"/>
      <c r="R146" s="6"/>
      <c r="S146" s="6"/>
      <c r="T146" s="6"/>
      <c r="U146" s="6"/>
      <c r="V146" s="6"/>
      <c r="W146" s="6"/>
      <c r="X146" s="6"/>
      <c r="Y146" s="6"/>
    </row>
    <row r="147" spans="1:25" s="2" customFormat="1" x14ac:dyDescent="0.15">
      <c r="A147" s="154" t="s">
        <v>428</v>
      </c>
      <c r="B147" s="126"/>
      <c r="C147" s="127"/>
      <c r="D147" s="127"/>
      <c r="E147" s="127"/>
      <c r="F147" s="127"/>
      <c r="G147" s="127"/>
      <c r="H147" s="94"/>
      <c r="I147" s="94"/>
      <c r="J147" s="151"/>
      <c r="K147" s="71"/>
      <c r="L147" s="50"/>
      <c r="M147" s="51"/>
      <c r="N147" s="51"/>
      <c r="O147" s="51"/>
      <c r="P147" s="6"/>
      <c r="Q147" s="6"/>
      <c r="R147" s="6"/>
      <c r="S147" s="6"/>
      <c r="T147" s="6"/>
      <c r="U147" s="6"/>
      <c r="V147" s="6"/>
      <c r="W147" s="6"/>
      <c r="X147" s="6"/>
      <c r="Y147" s="6"/>
    </row>
    <row r="148" spans="1:25" s="2" customFormat="1" x14ac:dyDescent="0.15">
      <c r="A148" s="154" t="s">
        <v>429</v>
      </c>
      <c r="B148" s="126"/>
      <c r="C148" s="127"/>
      <c r="D148" s="127"/>
      <c r="E148" s="127"/>
      <c r="F148" s="127"/>
      <c r="G148" s="127"/>
      <c r="H148" s="94"/>
      <c r="I148" s="94"/>
      <c r="J148" s="151"/>
      <c r="K148" s="71"/>
      <c r="L148" s="50"/>
      <c r="M148" s="51"/>
      <c r="N148" s="51"/>
      <c r="O148" s="51"/>
      <c r="P148" s="6"/>
      <c r="Q148" s="6"/>
      <c r="R148" s="6"/>
      <c r="S148" s="6"/>
      <c r="T148" s="6"/>
      <c r="U148" s="6"/>
      <c r="V148" s="6"/>
      <c r="W148" s="6"/>
      <c r="X148" s="6"/>
      <c r="Y148" s="6"/>
    </row>
    <row r="149" spans="1:25" s="2" customFormat="1" x14ac:dyDescent="0.15">
      <c r="A149" s="154" t="s">
        <v>399</v>
      </c>
      <c r="B149" s="126"/>
      <c r="C149" s="127"/>
      <c r="D149" s="127"/>
      <c r="E149" s="127"/>
      <c r="F149" s="127"/>
      <c r="G149" s="127"/>
      <c r="H149" s="94"/>
      <c r="I149" s="94"/>
      <c r="J149" s="151"/>
      <c r="K149" s="71"/>
      <c r="L149" s="50"/>
      <c r="M149" s="51"/>
      <c r="N149" s="51"/>
      <c r="O149" s="51"/>
      <c r="P149" s="6"/>
      <c r="Q149" s="6"/>
      <c r="R149" s="6"/>
      <c r="S149" s="6"/>
      <c r="T149" s="6"/>
      <c r="U149" s="6"/>
      <c r="V149" s="6"/>
      <c r="W149" s="6"/>
      <c r="X149" s="6"/>
      <c r="Y149" s="6"/>
    </row>
    <row r="150" spans="1:25" s="2" customFormat="1" x14ac:dyDescent="0.15">
      <c r="A150" s="154" t="s">
        <v>400</v>
      </c>
      <c r="B150" s="126"/>
      <c r="C150" s="127"/>
      <c r="D150" s="127"/>
      <c r="E150" s="127"/>
      <c r="F150" s="127"/>
      <c r="G150" s="127"/>
      <c r="H150" s="94"/>
      <c r="I150" s="94"/>
      <c r="J150" s="151"/>
      <c r="K150" s="71"/>
      <c r="L150" s="50"/>
      <c r="M150" s="51"/>
      <c r="N150" s="51"/>
      <c r="O150" s="51"/>
      <c r="P150" s="6"/>
      <c r="Q150" s="6"/>
      <c r="R150" s="6"/>
      <c r="S150" s="6"/>
      <c r="T150" s="6"/>
      <c r="U150" s="6"/>
      <c r="V150" s="6"/>
      <c r="W150" s="6"/>
      <c r="X150" s="6"/>
      <c r="Y150" s="6"/>
    </row>
    <row r="151" spans="1:25" s="2" customFormat="1" x14ac:dyDescent="0.15">
      <c r="A151" s="154" t="s">
        <v>430</v>
      </c>
      <c r="B151" s="126"/>
      <c r="C151" s="127"/>
      <c r="D151" s="127"/>
      <c r="E151" s="127"/>
      <c r="F151" s="127"/>
      <c r="G151" s="127"/>
      <c r="H151" s="94"/>
      <c r="I151" s="94"/>
      <c r="J151" s="151"/>
      <c r="K151" s="71"/>
      <c r="L151" s="50"/>
      <c r="M151" s="51"/>
      <c r="N151" s="51"/>
      <c r="O151" s="51"/>
      <c r="P151" s="6"/>
      <c r="Q151" s="6"/>
      <c r="R151" s="6"/>
      <c r="S151" s="6"/>
      <c r="T151" s="6"/>
      <c r="U151" s="6"/>
      <c r="V151" s="6"/>
      <c r="W151" s="6"/>
      <c r="X151" s="6"/>
      <c r="Y151" s="6"/>
    </row>
    <row r="152" spans="1:25" s="2" customFormat="1" x14ac:dyDescent="0.15">
      <c r="A152" s="154" t="s">
        <v>431</v>
      </c>
      <c r="B152" s="126"/>
      <c r="C152" s="127"/>
      <c r="D152" s="127"/>
      <c r="E152" s="127"/>
      <c r="F152" s="127"/>
      <c r="G152" s="127"/>
      <c r="H152" s="94"/>
      <c r="I152" s="94"/>
      <c r="J152" s="151"/>
      <c r="K152" s="71"/>
      <c r="L152" s="50"/>
      <c r="M152" s="51"/>
      <c r="N152" s="51"/>
      <c r="O152" s="51"/>
      <c r="P152" s="6"/>
      <c r="Q152" s="6"/>
      <c r="R152" s="6"/>
      <c r="S152" s="6"/>
      <c r="T152" s="6"/>
      <c r="U152" s="6"/>
      <c r="V152" s="6"/>
      <c r="W152" s="6"/>
      <c r="X152" s="6"/>
      <c r="Y152" s="6"/>
    </row>
    <row r="153" spans="1:25" s="2" customFormat="1" x14ac:dyDescent="0.15">
      <c r="A153" s="154" t="s">
        <v>432</v>
      </c>
      <c r="B153" s="126"/>
      <c r="C153" s="127"/>
      <c r="D153" s="127"/>
      <c r="E153" s="127"/>
      <c r="F153" s="127"/>
      <c r="G153" s="127"/>
      <c r="H153" s="94"/>
      <c r="I153" s="94"/>
      <c r="J153" s="151"/>
      <c r="K153" s="71"/>
      <c r="L153" s="50"/>
      <c r="M153" s="51"/>
      <c r="N153" s="51"/>
      <c r="O153" s="51"/>
      <c r="P153" s="6"/>
      <c r="Q153" s="6"/>
      <c r="R153" s="6"/>
      <c r="S153" s="6"/>
      <c r="T153" s="6"/>
      <c r="U153" s="6"/>
      <c r="V153" s="6"/>
      <c r="W153" s="6"/>
      <c r="X153" s="6"/>
      <c r="Y153" s="6"/>
    </row>
    <row r="154" spans="1:25" s="2" customFormat="1" x14ac:dyDescent="0.15">
      <c r="A154" s="154" t="s">
        <v>433</v>
      </c>
      <c r="B154" s="126"/>
      <c r="C154" s="127"/>
      <c r="D154" s="127"/>
      <c r="E154" s="127"/>
      <c r="F154" s="127"/>
      <c r="G154" s="127"/>
      <c r="H154" s="94"/>
      <c r="I154" s="94"/>
      <c r="J154" s="151"/>
      <c r="K154" s="71"/>
      <c r="L154" s="50"/>
      <c r="M154" s="51"/>
      <c r="N154" s="51"/>
      <c r="O154" s="51"/>
      <c r="P154" s="6"/>
      <c r="Q154" s="6"/>
      <c r="R154" s="6"/>
      <c r="S154" s="6"/>
      <c r="T154" s="6"/>
      <c r="U154" s="6"/>
      <c r="V154" s="6"/>
      <c r="W154" s="6"/>
      <c r="X154" s="6"/>
      <c r="Y154" s="6"/>
    </row>
    <row r="155" spans="1:25" s="2" customFormat="1" x14ac:dyDescent="0.15">
      <c r="A155" s="154" t="s">
        <v>434</v>
      </c>
      <c r="B155" s="126"/>
      <c r="C155" s="127"/>
      <c r="D155" s="127"/>
      <c r="E155" s="127"/>
      <c r="F155" s="127"/>
      <c r="G155" s="127"/>
      <c r="H155" s="94"/>
      <c r="I155" s="94"/>
      <c r="J155" s="151"/>
      <c r="K155" s="71"/>
      <c r="L155" s="50"/>
      <c r="M155" s="51"/>
      <c r="N155" s="51"/>
      <c r="O155" s="51"/>
      <c r="P155" s="6"/>
      <c r="Q155" s="6"/>
      <c r="R155" s="6"/>
      <c r="S155" s="6"/>
      <c r="T155" s="6"/>
      <c r="U155" s="6"/>
      <c r="V155" s="6"/>
      <c r="W155" s="6"/>
      <c r="X155" s="6"/>
      <c r="Y155" s="6"/>
    </row>
    <row r="156" spans="1:25" s="2" customFormat="1" x14ac:dyDescent="0.15">
      <c r="A156" s="154" t="s">
        <v>403</v>
      </c>
      <c r="B156" s="126"/>
      <c r="C156" s="127"/>
      <c r="D156" s="127"/>
      <c r="E156" s="127"/>
      <c r="F156" s="127"/>
      <c r="G156" s="127"/>
      <c r="H156" s="94"/>
      <c r="I156" s="94"/>
      <c r="J156" s="151"/>
      <c r="K156" s="71"/>
      <c r="L156" s="50"/>
      <c r="M156" s="51"/>
      <c r="N156" s="51"/>
      <c r="O156" s="51"/>
      <c r="P156" s="6"/>
      <c r="Q156" s="6"/>
      <c r="R156" s="6"/>
      <c r="S156" s="6"/>
      <c r="T156" s="6"/>
      <c r="U156" s="6"/>
      <c r="V156" s="6"/>
      <c r="W156" s="6"/>
      <c r="X156" s="6"/>
      <c r="Y156" s="6"/>
    </row>
    <row r="157" spans="1:25" s="2" customFormat="1" x14ac:dyDescent="0.15">
      <c r="A157" s="154" t="s">
        <v>442</v>
      </c>
      <c r="B157" s="82"/>
      <c r="C157" s="83"/>
      <c r="D157" s="83"/>
      <c r="E157" s="83"/>
      <c r="F157" s="83"/>
      <c r="G157" s="83"/>
      <c r="H157" s="84"/>
      <c r="I157" s="128"/>
      <c r="J157" s="130"/>
      <c r="K157" s="60"/>
      <c r="L157" s="46"/>
      <c r="M157" s="51"/>
      <c r="N157" s="51"/>
      <c r="O157" s="51"/>
      <c r="P157" s="6"/>
      <c r="Q157" s="6"/>
      <c r="R157" s="6"/>
      <c r="S157" s="6"/>
      <c r="T157" s="6"/>
      <c r="U157" s="6"/>
      <c r="V157" s="6"/>
      <c r="W157" s="6"/>
      <c r="X157" s="6"/>
      <c r="Y157" s="6"/>
    </row>
    <row r="158" spans="1:25" x14ac:dyDescent="0.15">
      <c r="A158" s="156" t="s">
        <v>378</v>
      </c>
      <c r="B158" s="82"/>
      <c r="C158" s="83"/>
      <c r="D158" s="83"/>
      <c r="E158" s="83"/>
      <c r="F158" s="83"/>
      <c r="G158" s="83"/>
      <c r="H158" s="84"/>
      <c r="I158" s="128"/>
      <c r="J158" s="136"/>
      <c r="K158" s="60"/>
      <c r="L158" s="33"/>
      <c r="M158" s="37"/>
      <c r="N158" s="37"/>
      <c r="O158" s="37"/>
      <c r="P158" s="3"/>
      <c r="Q158" s="3"/>
      <c r="R158" s="3"/>
      <c r="S158" s="3"/>
      <c r="T158" s="3"/>
      <c r="U158" s="3"/>
      <c r="V158" s="3"/>
      <c r="W158" s="3"/>
      <c r="X158" s="3"/>
      <c r="Y158" s="4"/>
    </row>
    <row r="159" spans="1:25" x14ac:dyDescent="0.15">
      <c r="A159" s="156" t="s">
        <v>379</v>
      </c>
      <c r="B159" s="82"/>
      <c r="C159" s="83"/>
      <c r="D159" s="83"/>
      <c r="E159" s="83"/>
      <c r="F159" s="83"/>
      <c r="G159" s="83"/>
      <c r="H159" s="84"/>
      <c r="I159" s="128"/>
      <c r="J159" s="136"/>
      <c r="K159" s="60"/>
      <c r="L159" s="33"/>
      <c r="M159" s="37"/>
      <c r="N159" s="37"/>
      <c r="O159" s="37"/>
      <c r="P159" s="3"/>
      <c r="Q159" s="3"/>
      <c r="R159" s="3"/>
      <c r="S159" s="3"/>
      <c r="T159" s="3"/>
      <c r="U159" s="3"/>
      <c r="V159" s="3"/>
      <c r="W159" s="3"/>
      <c r="X159" s="3"/>
      <c r="Y159" s="4"/>
    </row>
    <row r="160" spans="1:25" x14ac:dyDescent="0.15">
      <c r="A160" s="156" t="s">
        <v>380</v>
      </c>
      <c r="B160" s="82"/>
      <c r="C160" s="83"/>
      <c r="D160" s="83"/>
      <c r="E160" s="83"/>
      <c r="F160" s="83"/>
      <c r="G160" s="83"/>
      <c r="H160" s="84"/>
      <c r="I160" s="128"/>
      <c r="J160" s="136"/>
      <c r="K160" s="60"/>
      <c r="L160" s="33"/>
      <c r="M160" s="37"/>
      <c r="N160" s="37"/>
      <c r="O160" s="37"/>
      <c r="P160" s="3"/>
      <c r="Q160" s="3"/>
      <c r="R160" s="3"/>
      <c r="S160" s="3"/>
      <c r="T160" s="3"/>
      <c r="U160" s="3"/>
      <c r="V160" s="3"/>
      <c r="W160" s="3"/>
      <c r="X160" s="3"/>
      <c r="Y160" s="4"/>
    </row>
    <row r="161" spans="1:25" x14ac:dyDescent="0.15">
      <c r="A161" s="156" t="s">
        <v>359</v>
      </c>
      <c r="B161" s="82"/>
      <c r="C161" s="83"/>
      <c r="D161" s="83"/>
      <c r="E161" s="83"/>
      <c r="F161" s="83"/>
      <c r="G161" s="83"/>
      <c r="H161" s="84"/>
      <c r="I161" s="128"/>
      <c r="J161" s="136"/>
      <c r="K161" s="60"/>
      <c r="L161" s="33"/>
      <c r="M161" s="37"/>
      <c r="N161" s="37"/>
      <c r="O161" s="37"/>
      <c r="P161" s="3"/>
      <c r="Q161" s="3"/>
      <c r="R161" s="3"/>
      <c r="S161" s="3"/>
      <c r="T161" s="3"/>
      <c r="U161" s="3"/>
      <c r="V161" s="3"/>
      <c r="W161" s="3"/>
      <c r="X161" s="3"/>
      <c r="Y161" s="4"/>
    </row>
    <row r="162" spans="1:25" x14ac:dyDescent="0.15">
      <c r="A162" s="156" t="s">
        <v>360</v>
      </c>
      <c r="B162" s="82"/>
      <c r="C162" s="83"/>
      <c r="D162" s="83"/>
      <c r="E162" s="83"/>
      <c r="F162" s="83"/>
      <c r="G162" s="83"/>
      <c r="H162" s="84"/>
      <c r="I162" s="128"/>
      <c r="J162" s="136"/>
      <c r="K162" s="60"/>
      <c r="L162" s="33"/>
      <c r="M162" s="37"/>
      <c r="N162" s="37"/>
      <c r="O162" s="37"/>
      <c r="P162" s="3"/>
      <c r="Q162" s="3"/>
      <c r="R162" s="3"/>
      <c r="S162" s="3"/>
      <c r="T162" s="3"/>
      <c r="U162" s="3"/>
      <c r="V162" s="3"/>
      <c r="W162" s="3"/>
      <c r="X162" s="3"/>
      <c r="Y162" s="4"/>
    </row>
    <row r="163" spans="1:25" x14ac:dyDescent="0.15">
      <c r="A163" s="156" t="s">
        <v>6640</v>
      </c>
      <c r="B163" s="126"/>
      <c r="C163" s="127"/>
      <c r="D163" s="127"/>
      <c r="E163" s="127"/>
      <c r="F163" s="127"/>
      <c r="G163" s="127"/>
      <c r="H163" s="94"/>
      <c r="I163" s="94"/>
      <c r="J163" s="138"/>
      <c r="K163" s="71"/>
      <c r="L163" s="49"/>
      <c r="M163" s="37"/>
      <c r="N163" s="37"/>
      <c r="O163" s="37"/>
      <c r="P163" s="3"/>
      <c r="Q163" s="3"/>
      <c r="R163" s="3"/>
      <c r="S163" s="3"/>
      <c r="T163" s="3"/>
      <c r="U163" s="3"/>
      <c r="V163" s="3"/>
      <c r="W163" s="3"/>
      <c r="X163" s="3"/>
      <c r="Y163" s="4"/>
    </row>
    <row r="164" spans="1:25" x14ac:dyDescent="0.15">
      <c r="A164" s="156" t="s">
        <v>6416</v>
      </c>
      <c r="B164" s="126"/>
      <c r="C164" s="127"/>
      <c r="D164" s="127"/>
      <c r="E164" s="127"/>
      <c r="F164" s="127"/>
      <c r="G164" s="127"/>
      <c r="H164" s="94"/>
      <c r="I164" s="94"/>
      <c r="J164" s="138"/>
      <c r="K164" s="71"/>
      <c r="L164" s="49"/>
      <c r="M164" s="37"/>
      <c r="N164" s="37"/>
      <c r="O164" s="37"/>
      <c r="P164" s="3"/>
      <c r="Q164" s="3"/>
      <c r="R164" s="3"/>
      <c r="S164" s="3"/>
      <c r="T164" s="3"/>
      <c r="U164" s="3"/>
      <c r="V164" s="3"/>
      <c r="W164" s="3"/>
      <c r="X164" s="3"/>
      <c r="Y164" s="4"/>
    </row>
    <row r="165" spans="1:25" x14ac:dyDescent="0.15">
      <c r="A165" s="156" t="s">
        <v>172</v>
      </c>
      <c r="B165" s="126"/>
      <c r="C165" s="127"/>
      <c r="D165" s="127"/>
      <c r="E165" s="127"/>
      <c r="F165" s="127"/>
      <c r="G165" s="127"/>
      <c r="H165" s="94"/>
      <c r="I165" s="94"/>
      <c r="J165" s="138"/>
      <c r="K165" s="71"/>
      <c r="L165" s="49"/>
      <c r="M165" s="37"/>
      <c r="N165" s="37"/>
      <c r="O165" s="37"/>
      <c r="P165" s="3"/>
      <c r="Q165" s="3"/>
      <c r="R165" s="3"/>
      <c r="S165" s="3"/>
      <c r="T165" s="3"/>
      <c r="U165" s="3"/>
      <c r="V165" s="3"/>
      <c r="W165" s="3"/>
      <c r="X165" s="3"/>
      <c r="Y165" s="4"/>
    </row>
    <row r="166" spans="1:25" x14ac:dyDescent="0.15">
      <c r="A166" s="156" t="s">
        <v>1107</v>
      </c>
      <c r="B166" s="126"/>
      <c r="C166" s="127"/>
      <c r="D166" s="127"/>
      <c r="E166" s="127"/>
      <c r="F166" s="127"/>
      <c r="G166" s="127"/>
      <c r="H166" s="94"/>
      <c r="I166" s="94"/>
      <c r="J166" s="138"/>
      <c r="K166" s="71"/>
      <c r="L166" s="49"/>
      <c r="M166" s="37"/>
      <c r="N166" s="37"/>
      <c r="O166" s="37"/>
      <c r="P166" s="3"/>
      <c r="Q166" s="3"/>
      <c r="R166" s="3"/>
      <c r="S166" s="3"/>
      <c r="T166" s="3"/>
      <c r="U166" s="3"/>
      <c r="V166" s="3"/>
      <c r="W166" s="3"/>
      <c r="X166" s="3"/>
      <c r="Y166" s="4"/>
    </row>
    <row r="167" spans="1:25" x14ac:dyDescent="0.15">
      <c r="A167" s="156" t="s">
        <v>1636</v>
      </c>
      <c r="B167" s="126"/>
      <c r="C167" s="127"/>
      <c r="D167" s="127"/>
      <c r="E167" s="127"/>
      <c r="F167" s="127"/>
      <c r="G167" s="127"/>
      <c r="H167" s="94"/>
      <c r="I167" s="94"/>
      <c r="J167" s="138"/>
      <c r="K167" s="71"/>
      <c r="L167" s="49"/>
      <c r="M167" s="37"/>
      <c r="N167" s="37"/>
      <c r="O167" s="37"/>
      <c r="P167" s="3"/>
      <c r="Q167" s="3"/>
      <c r="R167" s="3"/>
      <c r="S167" s="3"/>
      <c r="T167" s="3"/>
      <c r="U167" s="3"/>
      <c r="V167" s="3"/>
      <c r="W167" s="3"/>
      <c r="X167" s="3"/>
      <c r="Y167" s="4"/>
    </row>
    <row r="168" spans="1:25" x14ac:dyDescent="0.15">
      <c r="A168" s="156" t="s">
        <v>7792</v>
      </c>
      <c r="B168" s="126"/>
      <c r="C168" s="127"/>
      <c r="D168" s="127"/>
      <c r="E168" s="127"/>
      <c r="F168" s="127"/>
      <c r="G168" s="127"/>
      <c r="H168" s="94"/>
      <c r="I168" s="94"/>
      <c r="J168" s="138"/>
      <c r="K168" s="71"/>
      <c r="L168" s="49"/>
      <c r="M168" s="37"/>
      <c r="N168" s="37"/>
      <c r="O168" s="37"/>
      <c r="P168" s="3"/>
      <c r="Q168" s="3"/>
      <c r="R168" s="3"/>
      <c r="S168" s="3"/>
      <c r="T168" s="3"/>
      <c r="U168" s="3"/>
      <c r="V168" s="3"/>
      <c r="W168" s="3"/>
      <c r="X168" s="3"/>
      <c r="Y168" s="4"/>
    </row>
    <row r="169" spans="1:25" x14ac:dyDescent="0.15">
      <c r="A169" s="156" t="s">
        <v>7733</v>
      </c>
      <c r="B169" s="126"/>
      <c r="C169" s="127"/>
      <c r="D169" s="127"/>
      <c r="E169" s="127"/>
      <c r="F169" s="127"/>
      <c r="G169" s="127"/>
      <c r="H169" s="94"/>
      <c r="I169" s="94"/>
      <c r="J169" s="138"/>
      <c r="K169" s="71"/>
      <c r="L169" s="49"/>
      <c r="M169" s="37"/>
      <c r="N169" s="37"/>
      <c r="O169" s="37"/>
      <c r="P169" s="3"/>
      <c r="Q169" s="3"/>
      <c r="R169" s="3"/>
      <c r="S169" s="3"/>
      <c r="T169" s="3"/>
      <c r="U169" s="3"/>
      <c r="V169" s="3"/>
      <c r="W169" s="3"/>
      <c r="X169" s="3"/>
      <c r="Y169" s="4"/>
    </row>
    <row r="170" spans="1:25" x14ac:dyDescent="0.15">
      <c r="A170" s="156" t="s">
        <v>131</v>
      </c>
      <c r="B170" s="126"/>
      <c r="C170" s="127"/>
      <c r="D170" s="127"/>
      <c r="E170" s="127"/>
      <c r="F170" s="127"/>
      <c r="G170" s="127"/>
      <c r="H170" s="94"/>
      <c r="I170" s="94"/>
      <c r="J170" s="138"/>
      <c r="K170" s="71"/>
      <c r="L170" s="49"/>
      <c r="M170" s="37"/>
      <c r="N170" s="37"/>
      <c r="O170" s="37"/>
      <c r="P170" s="3"/>
      <c r="Q170" s="3"/>
      <c r="R170" s="3"/>
      <c r="S170" s="3"/>
      <c r="T170" s="3"/>
      <c r="U170" s="3"/>
      <c r="V170" s="3"/>
      <c r="W170" s="3"/>
      <c r="X170" s="3"/>
      <c r="Y170" s="4"/>
    </row>
    <row r="171" spans="1:25" x14ac:dyDescent="0.15">
      <c r="A171" s="156" t="s">
        <v>7686</v>
      </c>
      <c r="B171" s="126"/>
      <c r="C171" s="127"/>
      <c r="D171" s="127"/>
      <c r="E171" s="127"/>
      <c r="F171" s="127"/>
      <c r="G171" s="127"/>
      <c r="H171" s="94"/>
      <c r="I171" s="94"/>
      <c r="J171" s="138"/>
      <c r="K171" s="71"/>
      <c r="L171" s="49"/>
      <c r="M171" s="37"/>
      <c r="N171" s="37"/>
      <c r="O171" s="37"/>
      <c r="P171" s="3"/>
      <c r="Q171" s="3"/>
      <c r="R171" s="3"/>
      <c r="S171" s="3"/>
      <c r="T171" s="3"/>
      <c r="U171" s="3"/>
      <c r="V171" s="3"/>
      <c r="W171" s="3"/>
      <c r="X171" s="3"/>
      <c r="Y171" s="4"/>
    </row>
    <row r="172" spans="1:25" x14ac:dyDescent="0.15">
      <c r="A172" s="156" t="s">
        <v>6537</v>
      </c>
      <c r="B172" s="126"/>
      <c r="C172" s="127"/>
      <c r="D172" s="127"/>
      <c r="E172" s="127"/>
      <c r="F172" s="127"/>
      <c r="G172" s="127"/>
      <c r="H172" s="94"/>
      <c r="I172" s="94"/>
      <c r="J172" s="138"/>
      <c r="K172" s="71"/>
      <c r="L172" s="49"/>
      <c r="M172" s="37"/>
      <c r="N172" s="37"/>
      <c r="O172" s="37"/>
      <c r="P172" s="3"/>
      <c r="Q172" s="3"/>
      <c r="R172" s="3"/>
      <c r="S172" s="3"/>
      <c r="T172" s="3"/>
      <c r="U172" s="3"/>
      <c r="V172" s="3"/>
      <c r="W172" s="3"/>
      <c r="X172" s="3"/>
      <c r="Y172" s="4"/>
    </row>
    <row r="173" spans="1:25" x14ac:dyDescent="0.15">
      <c r="A173" s="156" t="s">
        <v>7657</v>
      </c>
      <c r="B173" s="126"/>
      <c r="C173" s="127"/>
      <c r="D173" s="127"/>
      <c r="E173" s="127"/>
      <c r="F173" s="127"/>
      <c r="G173" s="127"/>
      <c r="H173" s="94"/>
      <c r="I173" s="94"/>
      <c r="J173" s="138"/>
      <c r="K173" s="71"/>
      <c r="L173" s="49"/>
      <c r="M173" s="37"/>
      <c r="N173" s="37"/>
      <c r="O173" s="37"/>
      <c r="P173" s="3"/>
      <c r="Q173" s="3"/>
      <c r="R173" s="3"/>
      <c r="S173" s="3"/>
      <c r="T173" s="3"/>
      <c r="U173" s="3"/>
      <c r="V173" s="3"/>
      <c r="W173" s="3"/>
      <c r="X173" s="3"/>
      <c r="Y173" s="4"/>
    </row>
    <row r="174" spans="1:25" x14ac:dyDescent="0.15">
      <c r="A174" s="156" t="s">
        <v>1199</v>
      </c>
      <c r="B174" s="126"/>
      <c r="C174" s="127"/>
      <c r="D174" s="127"/>
      <c r="E174" s="127"/>
      <c r="F174" s="127"/>
      <c r="G174" s="127"/>
      <c r="H174" s="94"/>
      <c r="I174" s="94"/>
      <c r="J174" s="138"/>
      <c r="K174" s="71"/>
      <c r="L174" s="49"/>
      <c r="M174" s="37"/>
      <c r="N174" s="37"/>
      <c r="O174" s="37"/>
      <c r="P174" s="3"/>
      <c r="Q174" s="3"/>
      <c r="R174" s="3"/>
      <c r="S174" s="3"/>
      <c r="T174" s="3"/>
      <c r="U174" s="3"/>
      <c r="V174" s="3"/>
      <c r="W174" s="3"/>
      <c r="X174" s="3"/>
      <c r="Y174" s="4"/>
    </row>
    <row r="175" spans="1:25" x14ac:dyDescent="0.15">
      <c r="A175" s="156" t="s">
        <v>986</v>
      </c>
      <c r="B175" s="126"/>
      <c r="C175" s="127"/>
      <c r="D175" s="127"/>
      <c r="E175" s="127"/>
      <c r="F175" s="127"/>
      <c r="G175" s="127"/>
      <c r="H175" s="94"/>
      <c r="I175" s="94"/>
      <c r="J175" s="138"/>
      <c r="K175" s="71"/>
      <c r="L175" s="49"/>
      <c r="M175" s="37"/>
      <c r="N175" s="37"/>
      <c r="O175" s="37"/>
      <c r="P175" s="3"/>
      <c r="Q175" s="3"/>
      <c r="R175" s="3"/>
      <c r="S175" s="3"/>
      <c r="T175" s="3"/>
      <c r="U175" s="3"/>
      <c r="V175" s="3"/>
      <c r="W175" s="3"/>
      <c r="X175" s="3"/>
      <c r="Y175" s="4"/>
    </row>
    <row r="176" spans="1:25" x14ac:dyDescent="0.15">
      <c r="A176" s="156" t="s">
        <v>7669</v>
      </c>
      <c r="B176" s="126"/>
      <c r="C176" s="127"/>
      <c r="D176" s="127"/>
      <c r="E176" s="127"/>
      <c r="F176" s="127"/>
      <c r="G176" s="127"/>
      <c r="H176" s="94"/>
      <c r="I176" s="94"/>
      <c r="J176" s="138"/>
      <c r="K176" s="71"/>
      <c r="L176" s="49"/>
      <c r="M176" s="37"/>
      <c r="N176" s="37"/>
      <c r="O176" s="37"/>
      <c r="P176" s="3"/>
      <c r="Q176" s="3"/>
      <c r="R176" s="3"/>
      <c r="S176" s="3"/>
      <c r="T176" s="3"/>
      <c r="U176" s="3"/>
      <c r="V176" s="3"/>
      <c r="W176" s="3"/>
      <c r="X176" s="3"/>
      <c r="Y176" s="4"/>
    </row>
    <row r="177" spans="1:25" x14ac:dyDescent="0.15">
      <c r="A177" s="156" t="s">
        <v>8038</v>
      </c>
      <c r="B177" s="126"/>
      <c r="C177" s="127"/>
      <c r="D177" s="127"/>
      <c r="E177" s="127"/>
      <c r="F177" s="127"/>
      <c r="G177" s="127"/>
      <c r="H177" s="94"/>
      <c r="I177" s="94"/>
      <c r="J177" s="138"/>
      <c r="K177" s="71"/>
      <c r="L177" s="49"/>
      <c r="M177" s="37"/>
      <c r="N177" s="37"/>
      <c r="O177" s="37"/>
      <c r="P177" s="3"/>
      <c r="Q177" s="3"/>
      <c r="R177" s="3"/>
      <c r="S177" s="3"/>
      <c r="T177" s="3"/>
      <c r="U177" s="3"/>
      <c r="V177" s="3"/>
      <c r="W177" s="3"/>
      <c r="X177" s="3"/>
      <c r="Y177" s="4"/>
    </row>
    <row r="178" spans="1:25" x14ac:dyDescent="0.15">
      <c r="A178" s="156" t="s">
        <v>7659</v>
      </c>
      <c r="B178" s="126"/>
      <c r="C178" s="127"/>
      <c r="D178" s="127"/>
      <c r="E178" s="127"/>
      <c r="F178" s="127"/>
      <c r="G178" s="127"/>
      <c r="H178" s="94"/>
      <c r="I178" s="94"/>
      <c r="J178" s="138"/>
      <c r="K178" s="71"/>
      <c r="L178" s="49"/>
      <c r="M178" s="37"/>
      <c r="N178" s="37"/>
      <c r="O178" s="37"/>
      <c r="P178" s="3"/>
      <c r="Q178" s="3"/>
      <c r="R178" s="3"/>
      <c r="S178" s="3"/>
      <c r="T178" s="3"/>
      <c r="U178" s="3"/>
      <c r="V178" s="3"/>
      <c r="W178" s="3"/>
      <c r="X178" s="3"/>
      <c r="Y178" s="4"/>
    </row>
    <row r="179" spans="1:25" x14ac:dyDescent="0.15">
      <c r="A179" s="154" t="s">
        <v>7743</v>
      </c>
      <c r="B179" s="126"/>
      <c r="C179" s="127"/>
      <c r="D179" s="127"/>
      <c r="E179" s="127"/>
      <c r="F179" s="127"/>
      <c r="G179" s="127"/>
      <c r="H179" s="94"/>
      <c r="I179" s="94"/>
      <c r="J179" s="138"/>
      <c r="K179" s="71"/>
      <c r="L179" s="49"/>
      <c r="M179" s="37"/>
      <c r="N179" s="37"/>
      <c r="O179" s="37"/>
      <c r="P179" s="3"/>
      <c r="Q179" s="3"/>
      <c r="R179" s="3"/>
      <c r="S179" s="3"/>
      <c r="T179" s="3"/>
      <c r="U179" s="3"/>
      <c r="V179" s="3"/>
      <c r="W179" s="3"/>
      <c r="X179" s="3"/>
      <c r="Y179" s="4"/>
    </row>
    <row r="180" spans="1:25" x14ac:dyDescent="0.15">
      <c r="A180" s="156" t="s">
        <v>139</v>
      </c>
      <c r="B180" s="126"/>
      <c r="C180" s="127"/>
      <c r="D180" s="127"/>
      <c r="E180" s="127"/>
      <c r="F180" s="127"/>
      <c r="G180" s="127"/>
      <c r="H180" s="94"/>
      <c r="I180" s="94"/>
      <c r="J180" s="138"/>
      <c r="K180" s="71"/>
      <c r="L180" s="49"/>
      <c r="M180" s="37"/>
      <c r="N180" s="37"/>
      <c r="O180" s="37"/>
      <c r="P180" s="3"/>
      <c r="Q180" s="3"/>
      <c r="R180" s="3"/>
      <c r="S180" s="3"/>
      <c r="T180" s="3"/>
      <c r="U180" s="3"/>
      <c r="V180" s="3"/>
      <c r="W180" s="3"/>
      <c r="X180" s="3"/>
      <c r="Y180" s="4"/>
    </row>
    <row r="181" spans="1:25" x14ac:dyDescent="0.15">
      <c r="A181" s="156" t="s">
        <v>166</v>
      </c>
      <c r="B181" s="126"/>
      <c r="C181" s="127"/>
      <c r="D181" s="127"/>
      <c r="E181" s="127"/>
      <c r="F181" s="127"/>
      <c r="G181" s="127"/>
      <c r="H181" s="94"/>
      <c r="I181" s="94"/>
      <c r="J181" s="138"/>
      <c r="K181" s="71"/>
      <c r="L181" s="49"/>
      <c r="M181" s="37"/>
      <c r="N181" s="37"/>
      <c r="O181" s="37"/>
      <c r="P181" s="3"/>
      <c r="Q181" s="3"/>
      <c r="R181" s="3"/>
      <c r="S181" s="3"/>
      <c r="T181" s="3"/>
      <c r="U181" s="3"/>
      <c r="V181" s="3"/>
      <c r="W181" s="3"/>
      <c r="X181" s="3"/>
      <c r="Y181" s="4"/>
    </row>
    <row r="182" spans="1:25" x14ac:dyDescent="0.15">
      <c r="A182" s="156" t="s">
        <v>1802</v>
      </c>
      <c r="B182" s="126"/>
      <c r="C182" s="127"/>
      <c r="D182" s="127"/>
      <c r="E182" s="127"/>
      <c r="F182" s="127"/>
      <c r="G182" s="127"/>
      <c r="H182" s="94"/>
      <c r="I182" s="94"/>
      <c r="J182" s="138"/>
      <c r="K182" s="71"/>
      <c r="L182" s="49"/>
      <c r="M182" s="37"/>
      <c r="N182" s="37"/>
      <c r="O182" s="37"/>
      <c r="P182" s="3"/>
      <c r="Q182" s="3"/>
      <c r="R182" s="3"/>
      <c r="S182" s="3"/>
      <c r="T182" s="3"/>
      <c r="U182" s="3"/>
      <c r="V182" s="3"/>
      <c r="W182" s="3"/>
      <c r="X182" s="3"/>
      <c r="Y182" s="4"/>
    </row>
    <row r="183" spans="1:25" x14ac:dyDescent="0.15">
      <c r="A183" s="156" t="s">
        <v>7503</v>
      </c>
      <c r="B183" s="126"/>
      <c r="C183" s="127"/>
      <c r="D183" s="127"/>
      <c r="E183" s="127"/>
      <c r="F183" s="127"/>
      <c r="G183" s="127"/>
      <c r="H183" s="94"/>
      <c r="I183" s="94"/>
      <c r="J183" s="138"/>
      <c r="K183" s="71"/>
      <c r="L183" s="49"/>
      <c r="M183" s="37"/>
      <c r="N183" s="37"/>
      <c r="O183" s="37"/>
      <c r="P183" s="3"/>
      <c r="Q183" s="3"/>
      <c r="R183" s="3"/>
      <c r="S183" s="3"/>
      <c r="T183" s="3"/>
      <c r="U183" s="3"/>
      <c r="V183" s="3"/>
      <c r="W183" s="3"/>
      <c r="X183" s="3"/>
      <c r="Y183" s="4"/>
    </row>
    <row r="184" spans="1:25" x14ac:dyDescent="0.15">
      <c r="A184" s="156" t="s">
        <v>6605</v>
      </c>
      <c r="B184" s="126"/>
      <c r="C184" s="127"/>
      <c r="D184" s="127"/>
      <c r="E184" s="127"/>
      <c r="F184" s="127"/>
      <c r="G184" s="127"/>
      <c r="H184" s="94"/>
      <c r="I184" s="94"/>
      <c r="J184" s="138"/>
      <c r="K184" s="71"/>
      <c r="L184" s="49"/>
      <c r="M184" s="37"/>
      <c r="N184" s="37"/>
      <c r="O184" s="37"/>
      <c r="P184" s="3"/>
      <c r="Q184" s="3"/>
      <c r="R184" s="3"/>
      <c r="S184" s="3"/>
      <c r="T184" s="3"/>
      <c r="U184" s="3"/>
      <c r="V184" s="3"/>
      <c r="W184" s="3"/>
      <c r="X184" s="3"/>
      <c r="Y184" s="4"/>
    </row>
    <row r="185" spans="1:25" x14ac:dyDescent="0.15">
      <c r="A185" s="156" t="s">
        <v>7599</v>
      </c>
      <c r="B185" s="126"/>
      <c r="C185" s="127"/>
      <c r="D185" s="127"/>
      <c r="E185" s="127"/>
      <c r="F185" s="127"/>
      <c r="G185" s="127"/>
      <c r="H185" s="94"/>
      <c r="I185" s="94"/>
      <c r="J185" s="138"/>
      <c r="K185" s="71"/>
      <c r="L185" s="49"/>
      <c r="M185" s="37"/>
      <c r="N185" s="37"/>
      <c r="O185" s="37"/>
      <c r="P185" s="3"/>
      <c r="Q185" s="3"/>
      <c r="R185" s="3"/>
      <c r="S185" s="3"/>
      <c r="T185" s="3"/>
      <c r="U185" s="3"/>
      <c r="V185" s="3"/>
      <c r="W185" s="3"/>
      <c r="X185" s="3"/>
      <c r="Y185" s="4"/>
    </row>
    <row r="186" spans="1:25" x14ac:dyDescent="0.15">
      <c r="A186" s="156" t="s">
        <v>7476</v>
      </c>
      <c r="B186" s="126"/>
      <c r="C186" s="127"/>
      <c r="D186" s="127"/>
      <c r="E186" s="127"/>
      <c r="F186" s="127"/>
      <c r="G186" s="127"/>
      <c r="H186" s="94"/>
      <c r="I186" s="94"/>
      <c r="J186" s="138"/>
      <c r="K186" s="71"/>
      <c r="L186" s="49"/>
      <c r="M186" s="37"/>
      <c r="N186" s="37"/>
      <c r="O186" s="37"/>
      <c r="P186" s="3"/>
      <c r="Q186" s="3"/>
      <c r="R186" s="3"/>
      <c r="S186" s="3"/>
      <c r="T186" s="3"/>
      <c r="U186" s="3"/>
      <c r="V186" s="3"/>
      <c r="W186" s="3"/>
      <c r="X186" s="3"/>
      <c r="Y186" s="4"/>
    </row>
    <row r="187" spans="1:25" x14ac:dyDescent="0.15">
      <c r="A187" s="156" t="s">
        <v>7606</v>
      </c>
      <c r="B187" s="126"/>
      <c r="C187" s="127"/>
      <c r="D187" s="127"/>
      <c r="E187" s="127"/>
      <c r="F187" s="127"/>
      <c r="G187" s="127"/>
      <c r="H187" s="94"/>
      <c r="I187" s="94"/>
      <c r="J187" s="138"/>
      <c r="K187" s="71"/>
      <c r="L187" s="49"/>
      <c r="M187" s="37"/>
      <c r="N187" s="37"/>
      <c r="O187" s="37"/>
      <c r="P187" s="3"/>
      <c r="Q187" s="3"/>
      <c r="R187" s="3"/>
      <c r="S187" s="3"/>
      <c r="T187" s="3"/>
      <c r="U187" s="3"/>
      <c r="V187" s="3"/>
      <c r="W187" s="3"/>
      <c r="X187" s="3"/>
      <c r="Y187" s="4"/>
    </row>
    <row r="188" spans="1:25" x14ac:dyDescent="0.15">
      <c r="A188" s="156" t="s">
        <v>7666</v>
      </c>
      <c r="B188" s="126"/>
      <c r="C188" s="127"/>
      <c r="D188" s="127"/>
      <c r="E188" s="127"/>
      <c r="F188" s="127"/>
      <c r="G188" s="127"/>
      <c r="H188" s="94"/>
      <c r="I188" s="94"/>
      <c r="J188" s="138"/>
      <c r="K188" s="71"/>
      <c r="L188" s="49"/>
      <c r="M188" s="37"/>
      <c r="N188" s="37"/>
      <c r="O188" s="37"/>
      <c r="P188" s="3"/>
      <c r="Q188" s="3"/>
      <c r="R188" s="3"/>
      <c r="S188" s="3"/>
      <c r="T188" s="3"/>
      <c r="U188" s="3"/>
      <c r="V188" s="3"/>
      <c r="W188" s="3"/>
      <c r="X188" s="3"/>
      <c r="Y188" s="4"/>
    </row>
    <row r="189" spans="1:25" x14ac:dyDescent="0.15">
      <c r="A189" s="156" t="s">
        <v>6474</v>
      </c>
      <c r="B189" s="126"/>
      <c r="C189" s="127"/>
      <c r="D189" s="127"/>
      <c r="E189" s="127"/>
      <c r="F189" s="127"/>
      <c r="G189" s="127"/>
      <c r="H189" s="94"/>
      <c r="I189" s="94"/>
      <c r="J189" s="138"/>
      <c r="K189" s="71"/>
      <c r="L189" s="49"/>
      <c r="M189" s="37"/>
      <c r="N189" s="37"/>
      <c r="O189" s="37"/>
      <c r="P189" s="3"/>
      <c r="Q189" s="3"/>
      <c r="R189" s="3"/>
      <c r="S189" s="3"/>
      <c r="T189" s="3"/>
      <c r="U189" s="3"/>
      <c r="V189" s="3"/>
      <c r="W189" s="3"/>
      <c r="X189" s="3"/>
      <c r="Y189" s="4"/>
    </row>
    <row r="190" spans="1:25" x14ac:dyDescent="0.15">
      <c r="A190" s="156" t="s">
        <v>7613</v>
      </c>
      <c r="B190" s="126"/>
      <c r="C190" s="127"/>
      <c r="D190" s="127"/>
      <c r="E190" s="127"/>
      <c r="F190" s="127"/>
      <c r="G190" s="127"/>
      <c r="H190" s="94"/>
      <c r="I190" s="94"/>
      <c r="J190" s="138"/>
      <c r="K190" s="71"/>
      <c r="L190" s="49"/>
      <c r="M190" s="37"/>
      <c r="N190" s="37"/>
      <c r="O190" s="37"/>
      <c r="P190" s="3"/>
      <c r="Q190" s="3"/>
      <c r="R190" s="3"/>
      <c r="S190" s="3"/>
      <c r="T190" s="3"/>
      <c r="U190" s="3"/>
      <c r="V190" s="3"/>
      <c r="W190" s="3"/>
      <c r="X190" s="3"/>
      <c r="Y190" s="4"/>
    </row>
    <row r="191" spans="1:25" x14ac:dyDescent="0.15">
      <c r="A191" s="156" t="s">
        <v>7546</v>
      </c>
      <c r="B191" s="126"/>
      <c r="C191" s="127"/>
      <c r="D191" s="127"/>
      <c r="E191" s="127"/>
      <c r="F191" s="127"/>
      <c r="G191" s="127"/>
      <c r="H191" s="94"/>
      <c r="I191" s="94"/>
      <c r="J191" s="138"/>
      <c r="K191" s="71"/>
      <c r="L191" s="49"/>
      <c r="M191" s="37"/>
      <c r="N191" s="37"/>
      <c r="O191" s="37"/>
      <c r="P191" s="3"/>
      <c r="Q191" s="3"/>
      <c r="R191" s="3"/>
      <c r="S191" s="3"/>
      <c r="T191" s="3"/>
      <c r="U191" s="3"/>
      <c r="V191" s="3"/>
      <c r="W191" s="3"/>
      <c r="X191" s="3"/>
      <c r="Y191" s="4"/>
    </row>
    <row r="192" spans="1:25" x14ac:dyDescent="0.15">
      <c r="A192" s="154" t="s">
        <v>6259</v>
      </c>
      <c r="B192" s="126"/>
      <c r="C192" s="127"/>
      <c r="D192" s="127"/>
      <c r="E192" s="127"/>
      <c r="F192" s="127"/>
      <c r="G192" s="127"/>
      <c r="H192" s="94"/>
      <c r="I192" s="94"/>
      <c r="J192" s="138"/>
      <c r="K192" s="71"/>
      <c r="L192" s="49"/>
      <c r="M192" s="37"/>
      <c r="N192" s="37"/>
      <c r="O192" s="37"/>
      <c r="P192" s="3"/>
      <c r="Q192" s="3"/>
      <c r="R192" s="3"/>
      <c r="S192" s="3"/>
      <c r="T192" s="3"/>
      <c r="U192" s="3"/>
      <c r="V192" s="3"/>
      <c r="W192" s="3"/>
      <c r="X192" s="3"/>
      <c r="Y192" s="4"/>
    </row>
    <row r="193" spans="1:25" x14ac:dyDescent="0.15">
      <c r="A193" s="156" t="s">
        <v>7965</v>
      </c>
      <c r="B193" s="126"/>
      <c r="C193" s="127"/>
      <c r="D193" s="127"/>
      <c r="E193" s="127"/>
      <c r="F193" s="127"/>
      <c r="G193" s="127"/>
      <c r="H193" s="94"/>
      <c r="I193" s="94"/>
      <c r="J193" s="138"/>
      <c r="K193" s="71"/>
      <c r="L193" s="49"/>
      <c r="M193" s="37"/>
      <c r="N193" s="37"/>
      <c r="O193" s="37"/>
      <c r="P193" s="3"/>
      <c r="Q193" s="3"/>
      <c r="R193" s="3"/>
      <c r="S193" s="3"/>
      <c r="T193" s="3"/>
      <c r="U193" s="3"/>
      <c r="V193" s="3"/>
      <c r="W193" s="3"/>
      <c r="X193" s="3"/>
      <c r="Y193" s="4"/>
    </row>
    <row r="194" spans="1:25" x14ac:dyDescent="0.15">
      <c r="A194" s="156" t="s">
        <v>6081</v>
      </c>
      <c r="B194" s="126"/>
      <c r="C194" s="127"/>
      <c r="D194" s="127"/>
      <c r="E194" s="127"/>
      <c r="F194" s="127"/>
      <c r="G194" s="127"/>
      <c r="H194" s="94"/>
      <c r="I194" s="94"/>
      <c r="J194" s="138"/>
      <c r="K194" s="71"/>
      <c r="L194" s="49"/>
      <c r="M194" s="37"/>
      <c r="N194" s="37"/>
      <c r="O194" s="37"/>
      <c r="P194" s="3"/>
      <c r="Q194" s="3"/>
      <c r="R194" s="3"/>
      <c r="S194" s="3"/>
      <c r="T194" s="3"/>
      <c r="U194" s="3"/>
      <c r="V194" s="3"/>
      <c r="W194" s="3"/>
      <c r="X194" s="3"/>
      <c r="Y194" s="4"/>
    </row>
    <row r="195" spans="1:25" x14ac:dyDescent="0.15">
      <c r="A195" s="156" t="s">
        <v>7665</v>
      </c>
      <c r="B195" s="126"/>
      <c r="C195" s="127"/>
      <c r="D195" s="127"/>
      <c r="E195" s="127"/>
      <c r="F195" s="127"/>
      <c r="G195" s="127"/>
      <c r="H195" s="94"/>
      <c r="I195" s="94"/>
      <c r="J195" s="138"/>
      <c r="K195" s="71"/>
      <c r="L195" s="49"/>
      <c r="M195" s="37"/>
      <c r="N195" s="37"/>
      <c r="O195" s="37"/>
      <c r="P195" s="3"/>
      <c r="Q195" s="3"/>
      <c r="R195" s="3"/>
      <c r="S195" s="3"/>
      <c r="T195" s="3"/>
      <c r="U195" s="3"/>
      <c r="V195" s="3"/>
      <c r="W195" s="3"/>
      <c r="X195" s="3"/>
      <c r="Y195" s="4"/>
    </row>
    <row r="196" spans="1:25" x14ac:dyDescent="0.15">
      <c r="A196" s="156" t="s">
        <v>7604</v>
      </c>
      <c r="B196" s="126"/>
      <c r="C196" s="127"/>
      <c r="D196" s="127"/>
      <c r="E196" s="127"/>
      <c r="F196" s="127"/>
      <c r="G196" s="127"/>
      <c r="H196" s="94"/>
      <c r="I196" s="94"/>
      <c r="J196" s="138"/>
      <c r="K196" s="71"/>
      <c r="L196" s="49"/>
      <c r="M196" s="37"/>
      <c r="N196" s="37"/>
      <c r="O196" s="37"/>
      <c r="P196" s="3"/>
      <c r="Q196" s="3"/>
      <c r="R196" s="3"/>
      <c r="S196" s="3"/>
      <c r="T196" s="3"/>
      <c r="U196" s="3"/>
      <c r="V196" s="3"/>
      <c r="W196" s="3"/>
      <c r="X196" s="3"/>
      <c r="Y196" s="4"/>
    </row>
    <row r="197" spans="1:25" x14ac:dyDescent="0.15">
      <c r="A197" s="154" t="s">
        <v>1628</v>
      </c>
      <c r="B197" s="126"/>
      <c r="C197" s="127"/>
      <c r="D197" s="127"/>
      <c r="E197" s="127"/>
      <c r="F197" s="127"/>
      <c r="G197" s="127"/>
      <c r="H197" s="94"/>
      <c r="I197" s="94"/>
      <c r="J197" s="138"/>
      <c r="K197" s="71"/>
      <c r="L197" s="49"/>
      <c r="M197" s="37"/>
      <c r="N197" s="37"/>
      <c r="O197" s="37"/>
      <c r="P197" s="3"/>
      <c r="Q197" s="3"/>
      <c r="R197" s="3"/>
      <c r="S197" s="3"/>
      <c r="T197" s="3"/>
      <c r="U197" s="3"/>
      <c r="V197" s="3"/>
      <c r="W197" s="3"/>
      <c r="X197" s="3"/>
      <c r="Y197" s="4"/>
    </row>
    <row r="198" spans="1:25" x14ac:dyDescent="0.15">
      <c r="A198" s="156" t="s">
        <v>140</v>
      </c>
      <c r="B198" s="126"/>
      <c r="C198" s="127"/>
      <c r="D198" s="127"/>
      <c r="E198" s="127"/>
      <c r="F198" s="127"/>
      <c r="G198" s="127"/>
      <c r="H198" s="94"/>
      <c r="I198" s="94"/>
      <c r="J198" s="138"/>
      <c r="K198" s="71"/>
      <c r="L198" s="49"/>
      <c r="M198" s="37"/>
      <c r="N198" s="37"/>
      <c r="O198" s="37"/>
      <c r="P198" s="3"/>
      <c r="Q198" s="3"/>
      <c r="R198" s="3"/>
      <c r="S198" s="3"/>
      <c r="T198" s="3"/>
      <c r="U198" s="3"/>
      <c r="V198" s="3"/>
      <c r="W198" s="3"/>
      <c r="X198" s="3"/>
      <c r="Y198" s="4"/>
    </row>
    <row r="199" spans="1:25" x14ac:dyDescent="0.15">
      <c r="A199" s="156" t="s">
        <v>160</v>
      </c>
      <c r="B199" s="126"/>
      <c r="C199" s="127"/>
      <c r="D199" s="127"/>
      <c r="E199" s="127"/>
      <c r="F199" s="127"/>
      <c r="G199" s="127"/>
      <c r="H199" s="94"/>
      <c r="I199" s="94"/>
      <c r="J199" s="138"/>
      <c r="K199" s="71"/>
      <c r="L199" s="49"/>
      <c r="M199" s="37"/>
      <c r="N199" s="37"/>
      <c r="O199" s="37"/>
      <c r="P199" s="3"/>
      <c r="Q199" s="3"/>
      <c r="R199" s="3"/>
      <c r="S199" s="3"/>
      <c r="T199" s="3"/>
      <c r="U199" s="3"/>
      <c r="V199" s="3"/>
      <c r="W199" s="3"/>
      <c r="X199" s="3"/>
      <c r="Y199" s="4"/>
    </row>
    <row r="200" spans="1:25" x14ac:dyDescent="0.15">
      <c r="A200" s="156" t="s">
        <v>7788</v>
      </c>
      <c r="B200" s="126"/>
      <c r="C200" s="127"/>
      <c r="D200" s="127"/>
      <c r="E200" s="127"/>
      <c r="F200" s="127"/>
      <c r="G200" s="127"/>
      <c r="H200" s="94"/>
      <c r="I200" s="94"/>
      <c r="J200" s="138"/>
      <c r="K200" s="71"/>
      <c r="L200" s="49"/>
      <c r="M200" s="37"/>
      <c r="N200" s="37"/>
      <c r="O200" s="37"/>
      <c r="P200" s="3"/>
      <c r="Q200" s="3"/>
      <c r="R200" s="3"/>
      <c r="S200" s="3"/>
      <c r="T200" s="3"/>
      <c r="U200" s="3"/>
      <c r="V200" s="3"/>
      <c r="W200" s="3"/>
      <c r="X200" s="3"/>
      <c r="Y200" s="4"/>
    </row>
    <row r="201" spans="1:25" x14ac:dyDescent="0.15">
      <c r="A201" s="156" t="s">
        <v>7794</v>
      </c>
      <c r="B201" s="126"/>
      <c r="C201" s="127"/>
      <c r="D201" s="127"/>
      <c r="E201" s="127"/>
      <c r="F201" s="127"/>
      <c r="G201" s="127"/>
      <c r="H201" s="94"/>
      <c r="I201" s="94"/>
      <c r="J201" s="138"/>
      <c r="K201" s="71"/>
      <c r="L201" s="49"/>
      <c r="M201" s="37"/>
      <c r="N201" s="37"/>
      <c r="O201" s="37"/>
      <c r="P201" s="3"/>
      <c r="Q201" s="3"/>
      <c r="R201" s="3"/>
      <c r="S201" s="3"/>
      <c r="T201" s="3"/>
      <c r="U201" s="3"/>
      <c r="V201" s="3"/>
      <c r="W201" s="3"/>
      <c r="X201" s="3"/>
      <c r="Y201" s="4"/>
    </row>
    <row r="202" spans="1:25" x14ac:dyDescent="0.15">
      <c r="A202" s="156" t="s">
        <v>7731</v>
      </c>
      <c r="B202" s="126"/>
      <c r="C202" s="127"/>
      <c r="D202" s="127"/>
      <c r="E202" s="127"/>
      <c r="F202" s="127"/>
      <c r="G202" s="127"/>
      <c r="H202" s="94"/>
      <c r="I202" s="94"/>
      <c r="J202" s="138"/>
      <c r="K202" s="71"/>
      <c r="L202" s="49"/>
      <c r="M202" s="37"/>
      <c r="N202" s="37"/>
      <c r="O202" s="37"/>
      <c r="P202" s="3"/>
      <c r="Q202" s="3"/>
      <c r="R202" s="3"/>
      <c r="S202" s="3"/>
      <c r="T202" s="3"/>
      <c r="U202" s="3"/>
      <c r="V202" s="3"/>
      <c r="W202" s="3"/>
      <c r="X202" s="3"/>
      <c r="Y202" s="4"/>
    </row>
    <row r="203" spans="1:25" x14ac:dyDescent="0.15">
      <c r="A203" s="156" t="s">
        <v>7663</v>
      </c>
      <c r="B203" s="126"/>
      <c r="C203" s="127"/>
      <c r="D203" s="127"/>
      <c r="E203" s="127"/>
      <c r="F203" s="127"/>
      <c r="G203" s="127"/>
      <c r="H203" s="94"/>
      <c r="I203" s="94"/>
      <c r="J203" s="138"/>
      <c r="K203" s="71"/>
      <c r="L203" s="49"/>
      <c r="M203" s="37"/>
      <c r="N203" s="37"/>
      <c r="O203" s="37"/>
      <c r="P203" s="3"/>
      <c r="Q203" s="3"/>
      <c r="R203" s="3"/>
      <c r="S203" s="3"/>
      <c r="T203" s="3"/>
      <c r="U203" s="3"/>
      <c r="V203" s="3"/>
      <c r="W203" s="3"/>
      <c r="X203" s="3"/>
      <c r="Y203" s="4"/>
    </row>
    <row r="204" spans="1:25" x14ac:dyDescent="0.15">
      <c r="A204" s="156" t="s">
        <v>196</v>
      </c>
      <c r="B204" s="126"/>
      <c r="C204" s="127"/>
      <c r="D204" s="127"/>
      <c r="E204" s="127"/>
      <c r="F204" s="127"/>
      <c r="G204" s="127"/>
      <c r="H204" s="94"/>
      <c r="I204" s="94"/>
      <c r="J204" s="138"/>
      <c r="K204" s="71"/>
      <c r="L204" s="49"/>
      <c r="M204" s="37"/>
      <c r="N204" s="37"/>
      <c r="O204" s="37"/>
      <c r="P204" s="3"/>
      <c r="Q204" s="3"/>
      <c r="R204" s="3"/>
      <c r="S204" s="3"/>
      <c r="T204" s="3"/>
      <c r="U204" s="3"/>
      <c r="V204" s="3"/>
      <c r="W204" s="3"/>
      <c r="X204" s="3"/>
      <c r="Y204" s="4"/>
    </row>
    <row r="205" spans="1:25" x14ac:dyDescent="0.15">
      <c r="A205" s="156" t="s">
        <v>1791</v>
      </c>
      <c r="B205" s="126"/>
      <c r="C205" s="127"/>
      <c r="D205" s="127"/>
      <c r="E205" s="127"/>
      <c r="F205" s="127"/>
      <c r="G205" s="127"/>
      <c r="H205" s="94"/>
      <c r="I205" s="94"/>
      <c r="J205" s="138"/>
      <c r="K205" s="71"/>
      <c r="L205" s="49"/>
      <c r="M205" s="37"/>
      <c r="N205" s="37"/>
      <c r="O205" s="37"/>
      <c r="P205" s="3"/>
      <c r="Q205" s="3"/>
      <c r="R205" s="3"/>
      <c r="S205" s="3"/>
      <c r="T205" s="3"/>
      <c r="U205" s="3"/>
      <c r="V205" s="3"/>
      <c r="W205" s="3"/>
      <c r="X205" s="3"/>
      <c r="Y205" s="4"/>
    </row>
    <row r="206" spans="1:25" x14ac:dyDescent="0.15">
      <c r="A206" s="156" t="s">
        <v>231</v>
      </c>
      <c r="B206" s="126"/>
      <c r="C206" s="127"/>
      <c r="D206" s="127"/>
      <c r="E206" s="127"/>
      <c r="F206" s="127"/>
      <c r="G206" s="127"/>
      <c r="H206" s="94"/>
      <c r="I206" s="94"/>
      <c r="J206" s="138"/>
      <c r="K206" s="71"/>
      <c r="L206" s="49"/>
      <c r="M206" s="37"/>
      <c r="N206" s="37"/>
      <c r="O206" s="37"/>
      <c r="P206" s="3"/>
      <c r="Q206" s="3"/>
      <c r="R206" s="3"/>
      <c r="S206" s="3"/>
      <c r="T206" s="3"/>
      <c r="U206" s="3"/>
      <c r="V206" s="3"/>
      <c r="W206" s="3"/>
      <c r="X206" s="3"/>
      <c r="Y206" s="4"/>
    </row>
    <row r="207" spans="1:25" x14ac:dyDescent="0.15">
      <c r="A207" s="156" t="s">
        <v>197</v>
      </c>
      <c r="B207" s="126"/>
      <c r="C207" s="127"/>
      <c r="D207" s="127"/>
      <c r="E207" s="127"/>
      <c r="F207" s="127"/>
      <c r="G207" s="127"/>
      <c r="H207" s="94"/>
      <c r="I207" s="94"/>
      <c r="J207" s="138"/>
      <c r="K207" s="71"/>
      <c r="L207" s="49"/>
      <c r="M207" s="37"/>
      <c r="N207" s="37"/>
      <c r="O207" s="37"/>
      <c r="P207" s="3"/>
      <c r="Q207" s="3"/>
      <c r="R207" s="3"/>
      <c r="S207" s="3"/>
      <c r="T207" s="3"/>
      <c r="U207" s="3"/>
      <c r="V207" s="3"/>
      <c r="W207" s="3"/>
      <c r="X207" s="3"/>
      <c r="Y207" s="4"/>
    </row>
    <row r="208" spans="1:25" x14ac:dyDescent="0.15">
      <c r="A208" s="156" t="s">
        <v>7687</v>
      </c>
      <c r="B208" s="126"/>
      <c r="C208" s="127"/>
      <c r="D208" s="127"/>
      <c r="E208" s="127"/>
      <c r="F208" s="127"/>
      <c r="G208" s="127"/>
      <c r="H208" s="94"/>
      <c r="I208" s="94"/>
      <c r="J208" s="138"/>
      <c r="K208" s="71"/>
      <c r="L208" s="49"/>
      <c r="M208" s="37"/>
      <c r="N208" s="37"/>
      <c r="O208" s="37"/>
      <c r="P208" s="3"/>
      <c r="Q208" s="3"/>
      <c r="R208" s="3"/>
      <c r="S208" s="3"/>
      <c r="T208" s="3"/>
      <c r="U208" s="3"/>
      <c r="V208" s="3"/>
      <c r="W208" s="3"/>
      <c r="X208" s="3"/>
      <c r="Y208" s="4"/>
    </row>
    <row r="209" spans="1:25" x14ac:dyDescent="0.15">
      <c r="A209" s="156" t="s">
        <v>7477</v>
      </c>
      <c r="B209" s="126"/>
      <c r="C209" s="127"/>
      <c r="D209" s="127"/>
      <c r="E209" s="127"/>
      <c r="F209" s="127"/>
      <c r="G209" s="127"/>
      <c r="H209" s="94"/>
      <c r="I209" s="94"/>
      <c r="J209" s="138"/>
      <c r="K209" s="71"/>
      <c r="L209" s="49"/>
      <c r="M209" s="37"/>
      <c r="N209" s="37"/>
      <c r="O209" s="37"/>
      <c r="P209" s="3"/>
      <c r="Q209" s="3"/>
      <c r="R209" s="3"/>
      <c r="S209" s="3"/>
      <c r="T209" s="3"/>
      <c r="U209" s="3"/>
      <c r="V209" s="3"/>
      <c r="W209" s="3"/>
      <c r="X209" s="3"/>
      <c r="Y209" s="4"/>
    </row>
    <row r="210" spans="1:25" x14ac:dyDescent="0.15">
      <c r="A210" s="156" t="s">
        <v>7658</v>
      </c>
      <c r="B210" s="126"/>
      <c r="C210" s="127"/>
      <c r="D210" s="127"/>
      <c r="E210" s="127"/>
      <c r="F210" s="127"/>
      <c r="G210" s="127"/>
      <c r="H210" s="94"/>
      <c r="I210" s="94"/>
      <c r="J210" s="138"/>
      <c r="K210" s="71"/>
      <c r="L210" s="49"/>
      <c r="M210" s="37"/>
      <c r="N210" s="37"/>
      <c r="O210" s="37"/>
      <c r="P210" s="3"/>
      <c r="Q210" s="3"/>
      <c r="R210" s="3"/>
      <c r="S210" s="3"/>
      <c r="T210" s="3"/>
      <c r="U210" s="3"/>
      <c r="V210" s="3"/>
      <c r="W210" s="3"/>
      <c r="X210" s="3"/>
      <c r="Y210" s="4"/>
    </row>
    <row r="211" spans="1:25" x14ac:dyDescent="0.15">
      <c r="A211" s="156" t="s">
        <v>7732</v>
      </c>
      <c r="B211" s="126"/>
      <c r="C211" s="127"/>
      <c r="D211" s="127"/>
      <c r="E211" s="127"/>
      <c r="F211" s="127"/>
      <c r="G211" s="127"/>
      <c r="H211" s="94"/>
      <c r="I211" s="94"/>
      <c r="J211" s="138"/>
      <c r="K211" s="71"/>
      <c r="L211" s="49"/>
      <c r="M211" s="37"/>
      <c r="N211" s="37"/>
      <c r="O211" s="37"/>
      <c r="P211" s="3"/>
      <c r="Q211" s="3"/>
      <c r="R211" s="3"/>
      <c r="S211" s="3"/>
      <c r="T211" s="3"/>
      <c r="U211" s="3"/>
      <c r="V211" s="3"/>
      <c r="W211" s="3"/>
      <c r="X211" s="3"/>
      <c r="Y211" s="4"/>
    </row>
    <row r="212" spans="1:25" x14ac:dyDescent="0.15">
      <c r="A212" s="156" t="s">
        <v>7883</v>
      </c>
      <c r="B212" s="126"/>
      <c r="C212" s="127"/>
      <c r="D212" s="127"/>
      <c r="E212" s="127"/>
      <c r="F212" s="127"/>
      <c r="G212" s="127"/>
      <c r="H212" s="94"/>
      <c r="I212" s="94"/>
      <c r="J212" s="138"/>
      <c r="K212" s="71"/>
      <c r="L212" s="49"/>
      <c r="M212" s="37"/>
      <c r="N212" s="37"/>
      <c r="O212" s="37"/>
      <c r="P212" s="3"/>
      <c r="Q212" s="3"/>
      <c r="R212" s="3"/>
      <c r="S212" s="3"/>
      <c r="T212" s="3"/>
      <c r="U212" s="3"/>
      <c r="V212" s="3"/>
      <c r="W212" s="3"/>
      <c r="X212" s="3"/>
      <c r="Y212" s="4"/>
    </row>
    <row r="213" spans="1:25" x14ac:dyDescent="0.15">
      <c r="A213" s="156" t="s">
        <v>1699</v>
      </c>
      <c r="B213" s="126"/>
      <c r="C213" s="127"/>
      <c r="D213" s="127"/>
      <c r="E213" s="127"/>
      <c r="F213" s="127"/>
      <c r="G213" s="127"/>
      <c r="H213" s="94"/>
      <c r="I213" s="94"/>
      <c r="J213" s="138"/>
      <c r="K213" s="71"/>
      <c r="L213" s="49"/>
      <c r="M213" s="37"/>
      <c r="N213" s="37"/>
      <c r="O213" s="37"/>
      <c r="P213" s="3"/>
      <c r="Q213" s="3"/>
      <c r="R213" s="3"/>
      <c r="S213" s="3"/>
      <c r="T213" s="3"/>
      <c r="U213" s="3"/>
      <c r="V213" s="3"/>
      <c r="W213" s="3"/>
      <c r="X213" s="3"/>
      <c r="Y213" s="4"/>
    </row>
    <row r="214" spans="1:25" x14ac:dyDescent="0.15">
      <c r="A214" s="156" t="s">
        <v>1532</v>
      </c>
      <c r="B214" s="126"/>
      <c r="C214" s="127"/>
      <c r="D214" s="127"/>
      <c r="E214" s="127"/>
      <c r="F214" s="127"/>
      <c r="G214" s="127"/>
      <c r="H214" s="94"/>
      <c r="I214" s="94"/>
      <c r="J214" s="138"/>
      <c r="K214" s="71"/>
      <c r="L214" s="49"/>
      <c r="M214" s="37"/>
      <c r="N214" s="37"/>
      <c r="O214" s="37"/>
      <c r="P214" s="3"/>
      <c r="Q214" s="3"/>
      <c r="R214" s="3"/>
      <c r="S214" s="3"/>
      <c r="T214" s="3"/>
      <c r="U214" s="3"/>
      <c r="V214" s="3"/>
      <c r="W214" s="3"/>
      <c r="X214" s="3"/>
      <c r="Y214" s="4"/>
    </row>
    <row r="215" spans="1:25" x14ac:dyDescent="0.15">
      <c r="A215" s="156" t="s">
        <v>249</v>
      </c>
      <c r="B215" s="126"/>
      <c r="C215" s="127"/>
      <c r="D215" s="127"/>
      <c r="E215" s="127"/>
      <c r="F215" s="127"/>
      <c r="G215" s="127"/>
      <c r="H215" s="94"/>
      <c r="I215" s="94"/>
      <c r="J215" s="138"/>
      <c r="K215" s="71"/>
      <c r="L215" s="49"/>
      <c r="M215" s="37"/>
      <c r="N215" s="37"/>
      <c r="O215" s="37"/>
      <c r="P215" s="3"/>
      <c r="Q215" s="3"/>
      <c r="R215" s="3"/>
      <c r="S215" s="3"/>
      <c r="T215" s="3"/>
      <c r="U215" s="3"/>
      <c r="V215" s="3"/>
      <c r="W215" s="3"/>
      <c r="X215" s="3"/>
      <c r="Y215" s="4"/>
    </row>
    <row r="216" spans="1:25" x14ac:dyDescent="0.15">
      <c r="A216" s="156" t="s">
        <v>1771</v>
      </c>
      <c r="B216" s="126"/>
      <c r="C216" s="127"/>
      <c r="D216" s="127"/>
      <c r="E216" s="127"/>
      <c r="F216" s="127"/>
      <c r="G216" s="127"/>
      <c r="H216" s="94"/>
      <c r="I216" s="94"/>
      <c r="J216" s="138"/>
      <c r="K216" s="71"/>
      <c r="L216" s="49"/>
      <c r="M216" s="37"/>
      <c r="N216" s="37"/>
      <c r="O216" s="37"/>
      <c r="P216" s="3"/>
      <c r="Q216" s="3"/>
      <c r="R216" s="3"/>
      <c r="S216" s="3"/>
      <c r="T216" s="3"/>
      <c r="U216" s="3"/>
      <c r="V216" s="3"/>
      <c r="W216" s="3"/>
      <c r="X216" s="3"/>
      <c r="Y216" s="4"/>
    </row>
    <row r="217" spans="1:25" x14ac:dyDescent="0.15">
      <c r="A217" s="156" t="s">
        <v>7618</v>
      </c>
      <c r="B217" s="126"/>
      <c r="C217" s="127"/>
      <c r="D217" s="127"/>
      <c r="E217" s="127"/>
      <c r="F217" s="127"/>
      <c r="G217" s="127"/>
      <c r="H217" s="94"/>
      <c r="I217" s="94"/>
      <c r="J217" s="138"/>
      <c r="K217" s="71"/>
      <c r="L217" s="49"/>
      <c r="M217" s="37"/>
      <c r="N217" s="37"/>
      <c r="O217" s="37"/>
      <c r="P217" s="3"/>
      <c r="Q217" s="3"/>
      <c r="R217" s="3"/>
      <c r="S217" s="3"/>
      <c r="T217" s="3"/>
      <c r="U217" s="3"/>
      <c r="V217" s="3"/>
      <c r="W217" s="3"/>
      <c r="X217" s="3"/>
      <c r="Y217" s="4"/>
    </row>
    <row r="218" spans="1:25" x14ac:dyDescent="0.15">
      <c r="A218" s="156" t="s">
        <v>1749</v>
      </c>
      <c r="B218" s="126"/>
      <c r="C218" s="127"/>
      <c r="D218" s="127"/>
      <c r="E218" s="127"/>
      <c r="F218" s="127"/>
      <c r="G218" s="127"/>
      <c r="H218" s="94"/>
      <c r="I218" s="94"/>
      <c r="J218" s="138"/>
      <c r="K218" s="71"/>
      <c r="L218" s="49"/>
      <c r="M218" s="37"/>
      <c r="N218" s="37"/>
      <c r="O218" s="37"/>
      <c r="P218" s="3"/>
      <c r="Q218" s="3"/>
      <c r="R218" s="3"/>
      <c r="S218" s="3"/>
      <c r="T218" s="3"/>
      <c r="U218" s="3"/>
      <c r="V218" s="3"/>
      <c r="W218" s="3"/>
      <c r="X218" s="3"/>
      <c r="Y218" s="4"/>
    </row>
    <row r="219" spans="1:25" x14ac:dyDescent="0.15">
      <c r="A219" s="156" t="s">
        <v>1872</v>
      </c>
      <c r="B219" s="126"/>
      <c r="C219" s="127"/>
      <c r="D219" s="127"/>
      <c r="E219" s="127"/>
      <c r="F219" s="127"/>
      <c r="G219" s="127"/>
      <c r="H219" s="94"/>
      <c r="I219" s="94"/>
      <c r="J219" s="138"/>
      <c r="K219" s="71"/>
      <c r="L219" s="49"/>
      <c r="M219" s="37"/>
      <c r="N219" s="37"/>
      <c r="O219" s="37"/>
      <c r="P219" s="3"/>
      <c r="Q219" s="3"/>
      <c r="R219" s="3"/>
      <c r="S219" s="3"/>
      <c r="T219" s="3"/>
      <c r="U219" s="3"/>
      <c r="V219" s="3"/>
      <c r="W219" s="3"/>
      <c r="X219" s="3"/>
      <c r="Y219" s="4"/>
    </row>
    <row r="220" spans="1:25" x14ac:dyDescent="0.15">
      <c r="A220" s="156" t="s">
        <v>7935</v>
      </c>
      <c r="B220" s="126"/>
      <c r="C220" s="127"/>
      <c r="D220" s="127"/>
      <c r="E220" s="127"/>
      <c r="F220" s="127"/>
      <c r="G220" s="127"/>
      <c r="H220" s="94"/>
      <c r="I220" s="94"/>
      <c r="J220" s="138"/>
      <c r="K220" s="71"/>
      <c r="L220" s="49"/>
      <c r="M220" s="37"/>
      <c r="N220" s="37"/>
      <c r="O220" s="37"/>
      <c r="P220" s="3"/>
      <c r="Q220" s="3"/>
      <c r="R220" s="3"/>
      <c r="S220" s="3"/>
      <c r="T220" s="3"/>
      <c r="U220" s="3"/>
      <c r="V220" s="3"/>
      <c r="W220" s="3"/>
      <c r="X220" s="3"/>
      <c r="Y220" s="4"/>
    </row>
    <row r="221" spans="1:25" x14ac:dyDescent="0.15">
      <c r="A221" s="156" t="s">
        <v>7375</v>
      </c>
      <c r="B221" s="126"/>
      <c r="C221" s="127"/>
      <c r="D221" s="127"/>
      <c r="E221" s="127"/>
      <c r="F221" s="127"/>
      <c r="G221" s="127"/>
      <c r="H221" s="94"/>
      <c r="I221" s="94"/>
      <c r="J221" s="138"/>
      <c r="K221" s="71"/>
      <c r="L221" s="49"/>
      <c r="M221" s="37"/>
      <c r="N221" s="37"/>
      <c r="O221" s="37"/>
      <c r="P221" s="3"/>
      <c r="Q221" s="3"/>
      <c r="R221" s="3"/>
      <c r="S221" s="3"/>
      <c r="T221" s="3"/>
      <c r="U221" s="3"/>
      <c r="V221" s="3"/>
      <c r="W221" s="3"/>
      <c r="X221" s="3"/>
      <c r="Y221" s="4"/>
    </row>
    <row r="222" spans="1:25" x14ac:dyDescent="0.15">
      <c r="A222" s="156" t="s">
        <v>7790</v>
      </c>
      <c r="B222" s="126"/>
      <c r="C222" s="127"/>
      <c r="D222" s="127"/>
      <c r="E222" s="127"/>
      <c r="F222" s="127"/>
      <c r="G222" s="127"/>
      <c r="H222" s="94"/>
      <c r="I222" s="94"/>
      <c r="J222" s="138"/>
      <c r="K222" s="71"/>
      <c r="L222" s="49"/>
      <c r="M222" s="37"/>
      <c r="N222" s="37"/>
      <c r="O222" s="37"/>
      <c r="P222" s="3"/>
      <c r="Q222" s="3"/>
      <c r="R222" s="3"/>
      <c r="S222" s="3"/>
      <c r="T222" s="3"/>
      <c r="U222" s="3"/>
      <c r="V222" s="3"/>
      <c r="W222" s="3"/>
      <c r="X222" s="3"/>
      <c r="Y222" s="4"/>
    </row>
    <row r="223" spans="1:25" x14ac:dyDescent="0.15">
      <c r="A223" s="156" t="s">
        <v>1658</v>
      </c>
      <c r="B223" s="126"/>
      <c r="C223" s="127"/>
      <c r="D223" s="127"/>
      <c r="E223" s="127"/>
      <c r="F223" s="127"/>
      <c r="G223" s="127"/>
      <c r="H223" s="94"/>
      <c r="I223" s="94"/>
      <c r="J223" s="138"/>
      <c r="K223" s="71"/>
      <c r="L223" s="49"/>
      <c r="M223" s="37"/>
      <c r="N223" s="37"/>
      <c r="O223" s="37"/>
      <c r="P223" s="3"/>
      <c r="Q223" s="3"/>
      <c r="R223" s="3"/>
      <c r="S223" s="3"/>
      <c r="T223" s="3"/>
      <c r="U223" s="3"/>
      <c r="V223" s="3"/>
      <c r="W223" s="3"/>
      <c r="X223" s="3"/>
      <c r="Y223" s="4"/>
    </row>
    <row r="224" spans="1:25" x14ac:dyDescent="0.15">
      <c r="A224" s="156" t="s">
        <v>1761</v>
      </c>
      <c r="B224" s="126"/>
      <c r="C224" s="127"/>
      <c r="D224" s="127"/>
      <c r="E224" s="127"/>
      <c r="F224" s="127"/>
      <c r="G224" s="127"/>
      <c r="H224" s="94"/>
      <c r="I224" s="94"/>
      <c r="J224" s="138"/>
      <c r="K224" s="71"/>
      <c r="L224" s="49"/>
      <c r="M224" s="37"/>
      <c r="N224" s="37"/>
      <c r="O224" s="37"/>
      <c r="P224" s="3"/>
      <c r="Q224" s="3"/>
      <c r="R224" s="3"/>
      <c r="S224" s="3"/>
      <c r="T224" s="3"/>
      <c r="U224" s="3"/>
      <c r="V224" s="3"/>
      <c r="W224" s="3"/>
      <c r="X224" s="3"/>
      <c r="Y224" s="4"/>
    </row>
    <row r="225" spans="1:25" x14ac:dyDescent="0.15">
      <c r="A225" s="156" t="s">
        <v>1626</v>
      </c>
      <c r="B225" s="126"/>
      <c r="C225" s="127"/>
      <c r="D225" s="127"/>
      <c r="E225" s="127"/>
      <c r="F225" s="127"/>
      <c r="G225" s="127"/>
      <c r="H225" s="94"/>
      <c r="I225" s="94"/>
      <c r="J225" s="138"/>
      <c r="K225" s="71"/>
      <c r="L225" s="49"/>
      <c r="M225" s="37"/>
      <c r="N225" s="37"/>
      <c r="O225" s="37"/>
      <c r="P225" s="3"/>
      <c r="Q225" s="3"/>
      <c r="R225" s="3"/>
      <c r="S225" s="3"/>
      <c r="T225" s="3"/>
      <c r="U225" s="3"/>
      <c r="V225" s="3"/>
      <c r="W225" s="3"/>
      <c r="X225" s="3"/>
      <c r="Y225" s="4"/>
    </row>
    <row r="226" spans="1:25" x14ac:dyDescent="0.15">
      <c r="A226" s="156" t="s">
        <v>1451</v>
      </c>
      <c r="B226" s="126"/>
      <c r="C226" s="127"/>
      <c r="D226" s="127"/>
      <c r="E226" s="127"/>
      <c r="F226" s="127"/>
      <c r="G226" s="127"/>
      <c r="H226" s="94"/>
      <c r="I226" s="94"/>
      <c r="J226" s="138"/>
      <c r="K226" s="71"/>
      <c r="L226" s="49"/>
      <c r="M226" s="37"/>
      <c r="N226" s="37"/>
      <c r="O226" s="37"/>
      <c r="P226" s="3"/>
      <c r="Q226" s="3"/>
      <c r="R226" s="3"/>
      <c r="S226" s="3"/>
      <c r="T226" s="3"/>
      <c r="U226" s="3"/>
      <c r="V226" s="3"/>
      <c r="W226" s="3"/>
      <c r="X226" s="3"/>
      <c r="Y226" s="4"/>
    </row>
    <row r="227" spans="1:25" x14ac:dyDescent="0.15">
      <c r="A227" s="153" t="s">
        <v>7675</v>
      </c>
      <c r="B227" s="126"/>
      <c r="C227" s="127"/>
      <c r="D227" s="127"/>
      <c r="E227" s="127"/>
      <c r="F227" s="127"/>
      <c r="G227" s="127"/>
      <c r="H227" s="94"/>
      <c r="I227" s="94"/>
      <c r="J227" s="138"/>
      <c r="K227" s="71"/>
      <c r="L227" s="49"/>
      <c r="M227" s="37"/>
      <c r="N227" s="37"/>
      <c r="O227" s="37"/>
      <c r="P227" s="3"/>
      <c r="Q227" s="3"/>
      <c r="R227" s="3"/>
      <c r="S227" s="3"/>
      <c r="T227" s="3"/>
      <c r="U227" s="3"/>
      <c r="V227" s="3"/>
      <c r="W227" s="3"/>
      <c r="X227" s="3"/>
      <c r="Y227" s="4"/>
    </row>
    <row r="228" spans="1:25" x14ac:dyDescent="0.15">
      <c r="A228" s="153" t="s">
        <v>7676</v>
      </c>
      <c r="B228" s="126"/>
      <c r="C228" s="127"/>
      <c r="D228" s="127"/>
      <c r="E228" s="127"/>
      <c r="F228" s="127"/>
      <c r="G228" s="127"/>
      <c r="H228" s="94"/>
      <c r="I228" s="94"/>
      <c r="J228" s="138"/>
      <c r="K228" s="71"/>
      <c r="L228" s="49"/>
      <c r="M228" s="37"/>
      <c r="N228" s="37"/>
      <c r="O228" s="37"/>
      <c r="P228" s="3"/>
      <c r="Q228" s="3"/>
      <c r="R228" s="3"/>
      <c r="S228" s="3"/>
      <c r="T228" s="3"/>
      <c r="U228" s="3"/>
      <c r="V228" s="3"/>
      <c r="W228" s="3"/>
      <c r="X228" s="3"/>
      <c r="Y228" s="4"/>
    </row>
    <row r="229" spans="1:25" x14ac:dyDescent="0.15">
      <c r="A229" s="153" t="s">
        <v>7638</v>
      </c>
      <c r="B229" s="126"/>
      <c r="C229" s="127"/>
      <c r="D229" s="127"/>
      <c r="E229" s="127"/>
      <c r="F229" s="127"/>
      <c r="G229" s="127"/>
      <c r="H229" s="94"/>
      <c r="I229" s="94"/>
      <c r="J229" s="138"/>
      <c r="K229" s="71"/>
      <c r="L229" s="49"/>
      <c r="M229" s="37"/>
      <c r="N229" s="37"/>
      <c r="O229" s="37"/>
      <c r="P229" s="3"/>
      <c r="Q229" s="3"/>
      <c r="R229" s="3"/>
      <c r="S229" s="3"/>
      <c r="T229" s="3"/>
      <c r="U229" s="3"/>
      <c r="V229" s="3"/>
      <c r="W229" s="3"/>
      <c r="X229" s="3"/>
      <c r="Y229" s="4"/>
    </row>
    <row r="230" spans="1:25" x14ac:dyDescent="0.15">
      <c r="A230" s="153" t="s">
        <v>7522</v>
      </c>
      <c r="B230" s="126"/>
      <c r="C230" s="127"/>
      <c r="D230" s="127"/>
      <c r="E230" s="127"/>
      <c r="F230" s="127"/>
      <c r="G230" s="127"/>
      <c r="H230" s="94"/>
      <c r="I230" s="94"/>
      <c r="J230" s="138"/>
      <c r="K230" s="71"/>
      <c r="L230" s="49"/>
      <c r="M230" s="37"/>
      <c r="N230" s="37"/>
      <c r="O230" s="37"/>
      <c r="P230" s="3"/>
      <c r="Q230" s="3"/>
      <c r="R230" s="3"/>
      <c r="S230" s="3"/>
      <c r="T230" s="3"/>
      <c r="U230" s="3"/>
      <c r="V230" s="3"/>
      <c r="W230" s="3"/>
      <c r="X230" s="3"/>
      <c r="Y230" s="4"/>
    </row>
    <row r="231" spans="1:25" x14ac:dyDescent="0.15">
      <c r="A231" s="153" t="s">
        <v>7639</v>
      </c>
      <c r="B231" s="126"/>
      <c r="C231" s="127"/>
      <c r="D231" s="127"/>
      <c r="E231" s="127"/>
      <c r="F231" s="127"/>
      <c r="G231" s="127"/>
      <c r="H231" s="94"/>
      <c r="I231" s="94"/>
      <c r="J231" s="138"/>
      <c r="K231" s="71"/>
      <c r="L231" s="49"/>
      <c r="M231" s="37"/>
      <c r="N231" s="37"/>
      <c r="O231" s="37"/>
      <c r="P231" s="3"/>
      <c r="Q231" s="3"/>
      <c r="R231" s="3"/>
      <c r="S231" s="3"/>
      <c r="T231" s="3"/>
      <c r="U231" s="3"/>
      <c r="V231" s="3"/>
      <c r="W231" s="3"/>
      <c r="X231" s="3"/>
      <c r="Y231" s="4"/>
    </row>
    <row r="232" spans="1:25" x14ac:dyDescent="0.15">
      <c r="A232" s="153" t="s">
        <v>7557</v>
      </c>
      <c r="B232" s="126"/>
      <c r="C232" s="127"/>
      <c r="D232" s="127"/>
      <c r="E232" s="127"/>
      <c r="F232" s="127"/>
      <c r="G232" s="127"/>
      <c r="H232" s="94"/>
      <c r="I232" s="94"/>
      <c r="J232" s="138"/>
      <c r="K232" s="71"/>
      <c r="L232" s="49"/>
      <c r="M232" s="37"/>
      <c r="N232" s="37"/>
      <c r="O232" s="37"/>
      <c r="P232" s="3"/>
      <c r="Q232" s="3"/>
      <c r="R232" s="3"/>
      <c r="S232" s="3"/>
      <c r="T232" s="3"/>
      <c r="U232" s="3"/>
      <c r="V232" s="3"/>
      <c r="W232" s="3"/>
      <c r="X232" s="3"/>
      <c r="Y232" s="4"/>
    </row>
    <row r="233" spans="1:25" x14ac:dyDescent="0.15">
      <c r="A233" s="153" t="s">
        <v>7524</v>
      </c>
      <c r="B233" s="126"/>
      <c r="C233" s="127"/>
      <c r="D233" s="127"/>
      <c r="E233" s="127"/>
      <c r="F233" s="127"/>
      <c r="G233" s="127"/>
      <c r="H233" s="94"/>
      <c r="I233" s="94"/>
      <c r="J233" s="138"/>
      <c r="K233" s="71"/>
      <c r="L233" s="49"/>
      <c r="M233" s="37"/>
      <c r="N233" s="37"/>
      <c r="O233" s="37"/>
      <c r="P233" s="3"/>
      <c r="Q233" s="3"/>
      <c r="R233" s="3"/>
      <c r="S233" s="3"/>
      <c r="T233" s="3"/>
      <c r="U233" s="3"/>
      <c r="V233" s="3"/>
      <c r="W233" s="3"/>
      <c r="X233" s="3"/>
      <c r="Y233" s="4"/>
    </row>
    <row r="234" spans="1:25" x14ac:dyDescent="0.15">
      <c r="A234" s="156" t="s">
        <v>1762</v>
      </c>
      <c r="B234" s="126"/>
      <c r="C234" s="127"/>
      <c r="D234" s="127"/>
      <c r="E234" s="127"/>
      <c r="F234" s="127"/>
      <c r="G234" s="127"/>
      <c r="H234" s="94"/>
      <c r="I234" s="94"/>
      <c r="J234" s="138"/>
      <c r="K234" s="71"/>
      <c r="L234" s="49"/>
      <c r="M234" s="37"/>
      <c r="N234" s="37"/>
      <c r="O234" s="37"/>
      <c r="P234" s="3"/>
      <c r="Q234" s="3"/>
      <c r="R234" s="3"/>
      <c r="S234" s="3"/>
      <c r="T234" s="3"/>
      <c r="U234" s="3"/>
      <c r="V234" s="3"/>
      <c r="W234" s="3"/>
      <c r="X234" s="3"/>
      <c r="Y234" s="4"/>
    </row>
    <row r="235" spans="1:25" x14ac:dyDescent="0.15">
      <c r="A235" s="156" t="s">
        <v>1727</v>
      </c>
      <c r="B235" s="126"/>
      <c r="C235" s="127"/>
      <c r="D235" s="127"/>
      <c r="E235" s="127"/>
      <c r="F235" s="127"/>
      <c r="G235" s="127"/>
      <c r="H235" s="94"/>
      <c r="I235" s="94"/>
      <c r="J235" s="138"/>
      <c r="K235" s="71"/>
      <c r="L235" s="49"/>
      <c r="M235" s="37"/>
      <c r="N235" s="37"/>
      <c r="O235" s="37"/>
      <c r="P235" s="3"/>
      <c r="Q235" s="3"/>
      <c r="R235" s="3"/>
      <c r="S235" s="3"/>
      <c r="T235" s="3"/>
      <c r="U235" s="3"/>
      <c r="V235" s="3"/>
      <c r="W235" s="3"/>
      <c r="X235" s="3"/>
      <c r="Y235" s="4"/>
    </row>
    <row r="236" spans="1:25" x14ac:dyDescent="0.15">
      <c r="A236" s="156" t="s">
        <v>1741</v>
      </c>
      <c r="B236" s="126"/>
      <c r="C236" s="127"/>
      <c r="D236" s="127"/>
      <c r="E236" s="127"/>
      <c r="F236" s="127"/>
      <c r="G236" s="127"/>
      <c r="H236" s="94"/>
      <c r="I236" s="94"/>
      <c r="J236" s="138"/>
      <c r="K236" s="71"/>
      <c r="L236" s="49"/>
      <c r="M236" s="37"/>
      <c r="N236" s="37"/>
      <c r="O236" s="37"/>
      <c r="P236" s="3"/>
      <c r="Q236" s="3"/>
      <c r="R236" s="3"/>
      <c r="S236" s="3"/>
      <c r="T236" s="3"/>
      <c r="U236" s="3"/>
      <c r="V236" s="3"/>
      <c r="W236" s="3"/>
      <c r="X236" s="3"/>
      <c r="Y236" s="4"/>
    </row>
    <row r="237" spans="1:25" x14ac:dyDescent="0.15">
      <c r="A237" s="156" t="s">
        <v>1722</v>
      </c>
      <c r="B237" s="126"/>
      <c r="C237" s="127"/>
      <c r="D237" s="127"/>
      <c r="E237" s="127"/>
      <c r="F237" s="127"/>
      <c r="G237" s="127"/>
      <c r="H237" s="94"/>
      <c r="I237" s="94"/>
      <c r="J237" s="138"/>
      <c r="K237" s="71"/>
      <c r="L237" s="49"/>
      <c r="M237" s="37"/>
      <c r="N237" s="37"/>
      <c r="O237" s="37"/>
      <c r="P237" s="3"/>
      <c r="Q237" s="3"/>
      <c r="R237" s="3"/>
      <c r="S237" s="3"/>
      <c r="T237" s="3"/>
      <c r="U237" s="3"/>
      <c r="V237" s="3"/>
      <c r="W237" s="3"/>
      <c r="X237" s="3"/>
      <c r="Y237" s="4"/>
    </row>
    <row r="238" spans="1:25" x14ac:dyDescent="0.15">
      <c r="A238" s="156" t="s">
        <v>1744</v>
      </c>
      <c r="B238" s="126"/>
      <c r="C238" s="127"/>
      <c r="D238" s="127"/>
      <c r="E238" s="127"/>
      <c r="F238" s="127"/>
      <c r="G238" s="127"/>
      <c r="H238" s="94"/>
      <c r="I238" s="94"/>
      <c r="J238" s="138"/>
      <c r="K238" s="71"/>
      <c r="L238" s="49"/>
      <c r="M238" s="37"/>
      <c r="N238" s="37"/>
      <c r="O238" s="37"/>
      <c r="P238" s="3"/>
      <c r="Q238" s="3"/>
      <c r="R238" s="3"/>
      <c r="S238" s="3"/>
      <c r="T238" s="3"/>
      <c r="U238" s="3"/>
      <c r="V238" s="3"/>
      <c r="W238" s="3"/>
      <c r="X238" s="3"/>
      <c r="Y238" s="4"/>
    </row>
    <row r="239" spans="1:25" x14ac:dyDescent="0.15">
      <c r="A239" s="156" t="s">
        <v>1793</v>
      </c>
      <c r="B239" s="126"/>
      <c r="C239" s="127"/>
      <c r="D239" s="127"/>
      <c r="E239" s="127"/>
      <c r="F239" s="127"/>
      <c r="G239" s="127"/>
      <c r="H239" s="94"/>
      <c r="I239" s="94"/>
      <c r="J239" s="138"/>
      <c r="K239" s="71"/>
      <c r="L239" s="49"/>
      <c r="M239" s="37"/>
      <c r="N239" s="37"/>
      <c r="O239" s="37"/>
      <c r="P239" s="3"/>
      <c r="Q239" s="3"/>
      <c r="R239" s="3"/>
      <c r="S239" s="3"/>
      <c r="T239" s="3"/>
      <c r="U239" s="3"/>
      <c r="V239" s="3"/>
      <c r="W239" s="3"/>
      <c r="X239" s="3"/>
      <c r="Y239" s="4"/>
    </row>
    <row r="240" spans="1:25" x14ac:dyDescent="0.15">
      <c r="A240" s="156" t="s">
        <v>1726</v>
      </c>
      <c r="B240" s="126"/>
      <c r="C240" s="127"/>
      <c r="D240" s="127"/>
      <c r="E240" s="127"/>
      <c r="F240" s="127"/>
      <c r="G240" s="127"/>
      <c r="H240" s="94"/>
      <c r="I240" s="94"/>
      <c r="J240" s="138"/>
      <c r="K240" s="71"/>
      <c r="L240" s="49"/>
      <c r="M240" s="37"/>
      <c r="N240" s="37"/>
      <c r="O240" s="37"/>
      <c r="P240" s="3"/>
      <c r="Q240" s="3"/>
      <c r="R240" s="3"/>
      <c r="S240" s="3"/>
      <c r="T240" s="3"/>
      <c r="U240" s="3"/>
      <c r="V240" s="3"/>
      <c r="W240" s="3"/>
      <c r="X240" s="3"/>
      <c r="Y240" s="4"/>
    </row>
    <row r="241" spans="1:25" x14ac:dyDescent="0.15">
      <c r="A241" s="156" t="s">
        <v>1795</v>
      </c>
      <c r="B241" s="126"/>
      <c r="C241" s="127"/>
      <c r="D241" s="127"/>
      <c r="E241" s="127"/>
      <c r="F241" s="127"/>
      <c r="G241" s="127"/>
      <c r="H241" s="94"/>
      <c r="I241" s="94"/>
      <c r="J241" s="138"/>
      <c r="K241" s="71"/>
      <c r="L241" s="49"/>
      <c r="M241" s="37"/>
      <c r="N241" s="37"/>
      <c r="O241" s="37"/>
      <c r="P241" s="3"/>
      <c r="Q241" s="3"/>
      <c r="R241" s="3"/>
      <c r="S241" s="3"/>
      <c r="T241" s="3"/>
      <c r="U241" s="3"/>
      <c r="V241" s="3"/>
      <c r="W241" s="3"/>
      <c r="X241" s="3"/>
      <c r="Y241" s="4"/>
    </row>
    <row r="242" spans="1:25" x14ac:dyDescent="0.15">
      <c r="A242" s="156" t="s">
        <v>1803</v>
      </c>
      <c r="B242" s="126"/>
      <c r="C242" s="127"/>
      <c r="D242" s="127"/>
      <c r="E242" s="127"/>
      <c r="F242" s="127"/>
      <c r="G242" s="127"/>
      <c r="H242" s="94"/>
      <c r="I242" s="94"/>
      <c r="J242" s="138"/>
      <c r="K242" s="71"/>
      <c r="L242" s="49"/>
      <c r="M242" s="37"/>
      <c r="N242" s="37"/>
      <c r="O242" s="37"/>
      <c r="P242" s="3"/>
      <c r="Q242" s="3"/>
      <c r="R242" s="3"/>
      <c r="S242" s="3"/>
      <c r="T242" s="3"/>
      <c r="U242" s="3"/>
      <c r="V242" s="3"/>
      <c r="W242" s="3"/>
      <c r="X242" s="3"/>
      <c r="Y242" s="4"/>
    </row>
    <row r="243" spans="1:25" x14ac:dyDescent="0.15">
      <c r="A243" s="156" t="s">
        <v>248</v>
      </c>
      <c r="B243" s="126"/>
      <c r="C243" s="127"/>
      <c r="D243" s="127"/>
      <c r="E243" s="127"/>
      <c r="F243" s="127"/>
      <c r="G243" s="127"/>
      <c r="H243" s="94"/>
      <c r="I243" s="94"/>
      <c r="J243" s="138"/>
      <c r="K243" s="71"/>
      <c r="L243" s="49"/>
      <c r="M243" s="37"/>
      <c r="N243" s="37"/>
      <c r="O243" s="37"/>
      <c r="P243" s="3"/>
      <c r="Q243" s="3"/>
      <c r="R243" s="3"/>
      <c r="S243" s="3"/>
      <c r="T243" s="3"/>
      <c r="U243" s="3"/>
      <c r="V243" s="3"/>
      <c r="W243" s="3"/>
      <c r="X243" s="3"/>
      <c r="Y243" s="4"/>
    </row>
    <row r="244" spans="1:25" x14ac:dyDescent="0.15">
      <c r="A244" s="156" t="s">
        <v>7662</v>
      </c>
      <c r="B244" s="126"/>
      <c r="C244" s="127"/>
      <c r="D244" s="127"/>
      <c r="E244" s="127"/>
      <c r="F244" s="127"/>
      <c r="G244" s="127"/>
      <c r="H244" s="94"/>
      <c r="I244" s="94"/>
      <c r="J244" s="138"/>
      <c r="K244" s="71"/>
      <c r="L244" s="49"/>
      <c r="M244" s="37"/>
      <c r="N244" s="37"/>
      <c r="O244" s="37"/>
      <c r="P244" s="3"/>
      <c r="Q244" s="3"/>
      <c r="R244" s="3"/>
      <c r="S244" s="3"/>
      <c r="T244" s="3"/>
      <c r="U244" s="3"/>
      <c r="V244" s="3"/>
      <c r="W244" s="3"/>
      <c r="X244" s="3"/>
      <c r="Y244" s="4"/>
    </row>
    <row r="245" spans="1:25" x14ac:dyDescent="0.15">
      <c r="A245" s="156" t="s">
        <v>7685</v>
      </c>
      <c r="B245" s="126"/>
      <c r="C245" s="127"/>
      <c r="D245" s="127"/>
      <c r="E245" s="127"/>
      <c r="F245" s="127"/>
      <c r="G245" s="127"/>
      <c r="H245" s="94"/>
      <c r="I245" s="94"/>
      <c r="J245" s="138"/>
      <c r="K245" s="71"/>
      <c r="L245" s="49"/>
      <c r="M245" s="37"/>
      <c r="N245" s="37"/>
      <c r="O245" s="37"/>
      <c r="P245" s="3"/>
      <c r="Q245" s="3"/>
      <c r="R245" s="3"/>
      <c r="S245" s="3"/>
      <c r="T245" s="3"/>
      <c r="U245" s="3"/>
      <c r="V245" s="3"/>
      <c r="W245" s="3"/>
      <c r="X245" s="3"/>
      <c r="Y245" s="4"/>
    </row>
    <row r="246" spans="1:25" x14ac:dyDescent="0.15">
      <c r="A246" s="156" t="s">
        <v>7492</v>
      </c>
      <c r="B246" s="126"/>
      <c r="C246" s="127"/>
      <c r="D246" s="127"/>
      <c r="E246" s="127"/>
      <c r="F246" s="127"/>
      <c r="G246" s="127"/>
      <c r="H246" s="94"/>
      <c r="I246" s="94"/>
      <c r="J246" s="138"/>
      <c r="K246" s="71"/>
      <c r="L246" s="49"/>
      <c r="M246" s="37"/>
      <c r="N246" s="37"/>
      <c r="O246" s="37"/>
      <c r="P246" s="3"/>
      <c r="Q246" s="3"/>
      <c r="R246" s="3"/>
      <c r="S246" s="3"/>
      <c r="T246" s="3"/>
      <c r="U246" s="3"/>
      <c r="V246" s="3"/>
      <c r="W246" s="3"/>
      <c r="X246" s="3"/>
      <c r="Y246" s="4"/>
    </row>
    <row r="247" spans="1:25" x14ac:dyDescent="0.15">
      <c r="A247" s="156" t="s">
        <v>7547</v>
      </c>
      <c r="B247" s="126"/>
      <c r="C247" s="127"/>
      <c r="D247" s="127"/>
      <c r="E247" s="127"/>
      <c r="F247" s="127"/>
      <c r="G247" s="127"/>
      <c r="H247" s="94"/>
      <c r="I247" s="94"/>
      <c r="J247" s="138"/>
      <c r="K247" s="71"/>
      <c r="L247" s="49"/>
      <c r="M247" s="37"/>
      <c r="N247" s="37"/>
      <c r="O247" s="37"/>
      <c r="P247" s="3"/>
      <c r="Q247" s="3"/>
      <c r="R247" s="3"/>
      <c r="S247" s="3"/>
      <c r="T247" s="3"/>
      <c r="U247" s="3"/>
      <c r="V247" s="3"/>
      <c r="W247" s="3"/>
      <c r="X247" s="3"/>
      <c r="Y247" s="4"/>
    </row>
    <row r="248" spans="1:25" x14ac:dyDescent="0.15">
      <c r="A248" s="156" t="s">
        <v>7551</v>
      </c>
      <c r="B248" s="126"/>
      <c r="C248" s="127"/>
      <c r="D248" s="127"/>
      <c r="E248" s="127"/>
      <c r="F248" s="127"/>
      <c r="G248" s="127"/>
      <c r="H248" s="94"/>
      <c r="I248" s="94"/>
      <c r="J248" s="138"/>
      <c r="K248" s="71"/>
      <c r="L248" s="49"/>
      <c r="M248" s="37"/>
      <c r="N248" s="37"/>
      <c r="O248" s="37"/>
      <c r="P248" s="3"/>
      <c r="Q248" s="3"/>
      <c r="R248" s="3"/>
      <c r="S248" s="3"/>
      <c r="T248" s="3"/>
      <c r="U248" s="3"/>
      <c r="V248" s="3"/>
      <c r="W248" s="3"/>
      <c r="X248" s="3"/>
      <c r="Y248" s="4"/>
    </row>
    <row r="249" spans="1:25" x14ac:dyDescent="0.15">
      <c r="A249" s="156" t="s">
        <v>7400</v>
      </c>
      <c r="B249" s="126"/>
      <c r="C249" s="127"/>
      <c r="D249" s="127"/>
      <c r="E249" s="127"/>
      <c r="F249" s="127"/>
      <c r="G249" s="127"/>
      <c r="H249" s="94"/>
      <c r="I249" s="94"/>
      <c r="J249" s="138"/>
      <c r="K249" s="71"/>
      <c r="L249" s="49"/>
      <c r="M249" s="37"/>
      <c r="N249" s="37"/>
      <c r="O249" s="37"/>
      <c r="P249" s="3"/>
      <c r="Q249" s="3"/>
      <c r="R249" s="3"/>
      <c r="S249" s="3"/>
      <c r="T249" s="3"/>
      <c r="U249" s="3"/>
      <c r="V249" s="3"/>
      <c r="W249" s="3"/>
      <c r="X249" s="3"/>
      <c r="Y249" s="4"/>
    </row>
    <row r="250" spans="1:25" x14ac:dyDescent="0.15">
      <c r="A250" s="156" t="s">
        <v>7500</v>
      </c>
      <c r="B250" s="126"/>
      <c r="C250" s="127"/>
      <c r="D250" s="127"/>
      <c r="E250" s="127"/>
      <c r="F250" s="127"/>
      <c r="G250" s="127"/>
      <c r="H250" s="94"/>
      <c r="I250" s="94"/>
      <c r="J250" s="138"/>
      <c r="K250" s="71"/>
      <c r="L250" s="49"/>
      <c r="M250" s="37"/>
      <c r="N250" s="37"/>
      <c r="O250" s="37"/>
      <c r="P250" s="3"/>
      <c r="Q250" s="3"/>
      <c r="R250" s="3"/>
      <c r="S250" s="3"/>
      <c r="T250" s="3"/>
      <c r="U250" s="3"/>
      <c r="V250" s="3"/>
      <c r="W250" s="3"/>
      <c r="X250" s="3"/>
      <c r="Y250" s="4"/>
    </row>
    <row r="251" spans="1:25" x14ac:dyDescent="0.15">
      <c r="A251" s="156" t="s">
        <v>7621</v>
      </c>
      <c r="B251" s="126"/>
      <c r="C251" s="127"/>
      <c r="D251" s="127"/>
      <c r="E251" s="127"/>
      <c r="F251" s="127"/>
      <c r="G251" s="127"/>
      <c r="H251" s="94"/>
      <c r="I251" s="94"/>
      <c r="J251" s="138"/>
      <c r="K251" s="71"/>
      <c r="L251" s="49"/>
      <c r="M251" s="37"/>
      <c r="N251" s="37"/>
      <c r="O251" s="37"/>
      <c r="P251" s="3"/>
      <c r="Q251" s="3"/>
      <c r="R251" s="3"/>
      <c r="S251" s="3"/>
      <c r="T251" s="3"/>
      <c r="U251" s="3"/>
      <c r="V251" s="3"/>
      <c r="W251" s="3"/>
      <c r="X251" s="3"/>
      <c r="Y251" s="4"/>
    </row>
    <row r="252" spans="1:25" x14ac:dyDescent="0.15">
      <c r="A252" s="156" t="s">
        <v>7605</v>
      </c>
      <c r="B252" s="126"/>
      <c r="C252" s="127"/>
      <c r="D252" s="127"/>
      <c r="E252" s="127"/>
      <c r="F252" s="127"/>
      <c r="G252" s="127"/>
      <c r="H252" s="94"/>
      <c r="I252" s="94"/>
      <c r="J252" s="138"/>
      <c r="K252" s="71"/>
      <c r="L252" s="49"/>
      <c r="M252" s="37"/>
      <c r="N252" s="37"/>
      <c r="O252" s="37"/>
      <c r="P252" s="3"/>
      <c r="Q252" s="3"/>
      <c r="R252" s="3"/>
      <c r="S252" s="3"/>
      <c r="T252" s="3"/>
      <c r="U252" s="3"/>
      <c r="V252" s="3"/>
      <c r="W252" s="3"/>
      <c r="X252" s="3"/>
      <c r="Y252" s="4"/>
    </row>
    <row r="253" spans="1:25" x14ac:dyDescent="0.15">
      <c r="A253" s="156" t="s">
        <v>7615</v>
      </c>
      <c r="B253" s="126"/>
      <c r="C253" s="127"/>
      <c r="D253" s="127"/>
      <c r="E253" s="127"/>
      <c r="F253" s="127"/>
      <c r="G253" s="127"/>
      <c r="H253" s="94"/>
      <c r="I253" s="94"/>
      <c r="J253" s="138"/>
      <c r="K253" s="71"/>
      <c r="L253" s="49"/>
      <c r="M253" s="37"/>
      <c r="N253" s="37"/>
      <c r="O253" s="37"/>
      <c r="P253" s="3"/>
      <c r="Q253" s="3"/>
      <c r="R253" s="3"/>
      <c r="S253" s="3"/>
      <c r="T253" s="3"/>
      <c r="U253" s="3"/>
      <c r="V253" s="3"/>
      <c r="W253" s="3"/>
      <c r="X253" s="3"/>
      <c r="Y253" s="4"/>
    </row>
    <row r="254" spans="1:25" x14ac:dyDescent="0.15">
      <c r="A254" s="156" t="s">
        <v>7623</v>
      </c>
      <c r="B254" s="126"/>
      <c r="C254" s="127"/>
      <c r="D254" s="127"/>
      <c r="E254" s="127"/>
      <c r="F254" s="127"/>
      <c r="G254" s="127"/>
      <c r="H254" s="94"/>
      <c r="I254" s="94"/>
      <c r="J254" s="138"/>
      <c r="K254" s="71"/>
      <c r="L254" s="49"/>
      <c r="M254" s="37"/>
      <c r="N254" s="37"/>
      <c r="O254" s="37"/>
      <c r="P254" s="3"/>
      <c r="Q254" s="3"/>
      <c r="R254" s="3"/>
      <c r="S254" s="3"/>
      <c r="T254" s="3"/>
      <c r="U254" s="3"/>
      <c r="V254" s="3"/>
      <c r="W254" s="3"/>
      <c r="X254" s="3"/>
      <c r="Y254" s="4"/>
    </row>
    <row r="255" spans="1:25" x14ac:dyDescent="0.15">
      <c r="A255" s="156" t="s">
        <v>7529</v>
      </c>
      <c r="B255" s="126"/>
      <c r="C255" s="127"/>
      <c r="D255" s="127"/>
      <c r="E255" s="127"/>
      <c r="F255" s="127"/>
      <c r="G255" s="127"/>
      <c r="H255" s="94"/>
      <c r="I255" s="94"/>
      <c r="J255" s="138"/>
      <c r="K255" s="71"/>
      <c r="L255" s="49"/>
      <c r="M255" s="37"/>
      <c r="N255" s="37"/>
      <c r="O255" s="37"/>
      <c r="P255" s="3"/>
      <c r="Q255" s="3"/>
      <c r="R255" s="3"/>
      <c r="S255" s="3"/>
      <c r="T255" s="3"/>
      <c r="U255" s="3"/>
      <c r="V255" s="3"/>
      <c r="W255" s="3"/>
      <c r="X255" s="3"/>
      <c r="Y255" s="4"/>
    </row>
    <row r="256" spans="1:25" x14ac:dyDescent="0.15">
      <c r="A256" s="156" t="s">
        <v>7530</v>
      </c>
      <c r="B256" s="126"/>
      <c r="C256" s="127"/>
      <c r="D256" s="127"/>
      <c r="E256" s="127"/>
      <c r="F256" s="127"/>
      <c r="G256" s="127"/>
      <c r="H256" s="94"/>
      <c r="I256" s="94"/>
      <c r="J256" s="138"/>
      <c r="K256" s="71"/>
      <c r="L256" s="49"/>
      <c r="M256" s="37"/>
      <c r="N256" s="37"/>
      <c r="O256" s="37"/>
      <c r="P256" s="3"/>
      <c r="Q256" s="3"/>
      <c r="R256" s="3"/>
      <c r="S256" s="3"/>
      <c r="T256" s="3"/>
      <c r="U256" s="3"/>
      <c r="V256" s="3"/>
      <c r="W256" s="3"/>
      <c r="X256" s="3"/>
      <c r="Y256" s="4"/>
    </row>
    <row r="257" spans="1:25" x14ac:dyDescent="0.15">
      <c r="A257" s="156" t="s">
        <v>7466</v>
      </c>
      <c r="B257" s="126"/>
      <c r="C257" s="127"/>
      <c r="D257" s="127"/>
      <c r="E257" s="127"/>
      <c r="F257" s="127"/>
      <c r="G257" s="127"/>
      <c r="H257" s="94"/>
      <c r="I257" s="94"/>
      <c r="J257" s="138"/>
      <c r="K257" s="71"/>
      <c r="L257" s="49"/>
      <c r="M257" s="37"/>
      <c r="N257" s="37"/>
      <c r="O257" s="37"/>
      <c r="P257" s="3"/>
      <c r="Q257" s="3"/>
      <c r="R257" s="3"/>
      <c r="S257" s="3"/>
      <c r="T257" s="3"/>
      <c r="U257" s="3"/>
      <c r="V257" s="3"/>
      <c r="W257" s="3"/>
      <c r="X257" s="3"/>
      <c r="Y257" s="4"/>
    </row>
    <row r="258" spans="1:25" x14ac:dyDescent="0.15">
      <c r="A258" s="156" t="s">
        <v>7531</v>
      </c>
      <c r="B258" s="126"/>
      <c r="C258" s="127"/>
      <c r="D258" s="127"/>
      <c r="E258" s="127"/>
      <c r="F258" s="127"/>
      <c r="G258" s="127"/>
      <c r="H258" s="94"/>
      <c r="I258" s="94"/>
      <c r="J258" s="138"/>
      <c r="K258" s="71"/>
      <c r="L258" s="49"/>
      <c r="M258" s="37"/>
      <c r="N258" s="37"/>
      <c r="O258" s="37"/>
      <c r="P258" s="3"/>
      <c r="Q258" s="3"/>
      <c r="R258" s="3"/>
      <c r="S258" s="3"/>
      <c r="T258" s="3"/>
      <c r="U258" s="3"/>
      <c r="V258" s="3"/>
      <c r="W258" s="3"/>
      <c r="X258" s="3"/>
      <c r="Y258" s="4"/>
    </row>
    <row r="259" spans="1:25" x14ac:dyDescent="0.15">
      <c r="A259" s="156" t="s">
        <v>1854</v>
      </c>
      <c r="B259" s="126"/>
      <c r="C259" s="127"/>
      <c r="D259" s="127"/>
      <c r="E259" s="127"/>
      <c r="F259" s="127"/>
      <c r="G259" s="127"/>
      <c r="H259" s="94"/>
      <c r="I259" s="94"/>
      <c r="J259" s="138"/>
      <c r="K259" s="71"/>
      <c r="L259" s="49"/>
      <c r="M259" s="37"/>
      <c r="N259" s="37"/>
      <c r="O259" s="37"/>
      <c r="P259" s="3"/>
      <c r="Q259" s="3"/>
      <c r="R259" s="3"/>
      <c r="S259" s="3"/>
      <c r="T259" s="3"/>
      <c r="U259" s="3"/>
      <c r="V259" s="3"/>
      <c r="W259" s="3"/>
      <c r="X259" s="3"/>
      <c r="Y259" s="4"/>
    </row>
    <row r="260" spans="1:25" x14ac:dyDescent="0.15">
      <c r="A260" s="156" t="s">
        <v>1695</v>
      </c>
      <c r="B260" s="126"/>
      <c r="C260" s="127"/>
      <c r="D260" s="127"/>
      <c r="E260" s="127"/>
      <c r="F260" s="127"/>
      <c r="G260" s="127"/>
      <c r="H260" s="94"/>
      <c r="I260" s="94"/>
      <c r="J260" s="138"/>
      <c r="K260" s="71"/>
      <c r="L260" s="49"/>
      <c r="M260" s="37"/>
      <c r="N260" s="37"/>
      <c r="O260" s="37"/>
      <c r="P260" s="3"/>
      <c r="Q260" s="3"/>
      <c r="R260" s="3"/>
      <c r="S260" s="3"/>
      <c r="T260" s="3"/>
      <c r="U260" s="3"/>
      <c r="V260" s="3"/>
      <c r="W260" s="3"/>
      <c r="X260" s="3"/>
      <c r="Y260" s="4"/>
    </row>
    <row r="261" spans="1:25" x14ac:dyDescent="0.15">
      <c r="A261" s="156" t="s">
        <v>1751</v>
      </c>
      <c r="B261" s="126"/>
      <c r="C261" s="127"/>
      <c r="D261" s="127"/>
      <c r="E261" s="127"/>
      <c r="F261" s="127"/>
      <c r="G261" s="127"/>
      <c r="H261" s="94"/>
      <c r="I261" s="94"/>
      <c r="J261" s="138"/>
      <c r="K261" s="71"/>
      <c r="L261" s="49"/>
      <c r="M261" s="37"/>
      <c r="N261" s="37"/>
      <c r="O261" s="37"/>
      <c r="P261" s="3"/>
      <c r="Q261" s="3"/>
      <c r="R261" s="3"/>
      <c r="S261" s="3"/>
      <c r="T261" s="3"/>
      <c r="U261" s="3"/>
      <c r="V261" s="3"/>
      <c r="W261" s="3"/>
      <c r="X261" s="3"/>
      <c r="Y261" s="4"/>
    </row>
    <row r="262" spans="1:25" x14ac:dyDescent="0.15">
      <c r="A262" s="156" t="s">
        <v>7506</v>
      </c>
      <c r="B262" s="126"/>
      <c r="C262" s="127"/>
      <c r="D262" s="127"/>
      <c r="E262" s="127"/>
      <c r="F262" s="127"/>
      <c r="G262" s="127"/>
      <c r="H262" s="94"/>
      <c r="I262" s="94"/>
      <c r="J262" s="138"/>
      <c r="K262" s="71"/>
      <c r="L262" s="49"/>
      <c r="M262" s="37"/>
      <c r="N262" s="37"/>
      <c r="O262" s="37"/>
      <c r="P262" s="3"/>
      <c r="Q262" s="3"/>
      <c r="R262" s="3"/>
      <c r="S262" s="3"/>
      <c r="T262" s="3"/>
      <c r="U262" s="3"/>
      <c r="V262" s="3"/>
      <c r="W262" s="3"/>
      <c r="X262" s="3"/>
      <c r="Y262" s="4"/>
    </row>
    <row r="263" spans="1:25" x14ac:dyDescent="0.15">
      <c r="A263" s="156" t="s">
        <v>7508</v>
      </c>
      <c r="B263" s="126"/>
      <c r="C263" s="127"/>
      <c r="D263" s="127"/>
      <c r="E263" s="127"/>
      <c r="F263" s="127"/>
      <c r="G263" s="127"/>
      <c r="H263" s="94"/>
      <c r="I263" s="94"/>
      <c r="J263" s="138"/>
      <c r="K263" s="71"/>
      <c r="L263" s="49"/>
      <c r="M263" s="37"/>
      <c r="N263" s="37"/>
      <c r="O263" s="37"/>
      <c r="P263" s="3"/>
      <c r="Q263" s="3"/>
      <c r="R263" s="3"/>
      <c r="S263" s="3"/>
      <c r="T263" s="3"/>
      <c r="U263" s="3"/>
      <c r="V263" s="3"/>
      <c r="W263" s="3"/>
      <c r="X263" s="3"/>
      <c r="Y263" s="4"/>
    </row>
    <row r="264" spans="1:25" x14ac:dyDescent="0.15">
      <c r="A264" s="156" t="s">
        <v>7479</v>
      </c>
      <c r="B264" s="126"/>
      <c r="C264" s="127"/>
      <c r="D264" s="127"/>
      <c r="E264" s="127"/>
      <c r="F264" s="127"/>
      <c r="G264" s="127"/>
      <c r="H264" s="94"/>
      <c r="I264" s="94"/>
      <c r="J264" s="138"/>
      <c r="K264" s="71"/>
      <c r="L264" s="49"/>
      <c r="M264" s="37"/>
      <c r="N264" s="37"/>
      <c r="O264" s="37"/>
      <c r="P264" s="3"/>
      <c r="Q264" s="3"/>
      <c r="R264" s="3"/>
      <c r="S264" s="3"/>
      <c r="T264" s="3"/>
      <c r="U264" s="3"/>
      <c r="V264" s="3"/>
      <c r="W264" s="3"/>
      <c r="X264" s="3"/>
      <c r="Y264" s="4"/>
    </row>
    <row r="265" spans="1:25" x14ac:dyDescent="0.15">
      <c r="A265" s="156" t="s">
        <v>1877</v>
      </c>
      <c r="B265" s="126"/>
      <c r="C265" s="127"/>
      <c r="D265" s="127"/>
      <c r="E265" s="127"/>
      <c r="F265" s="127"/>
      <c r="G265" s="127"/>
      <c r="H265" s="94"/>
      <c r="I265" s="94"/>
      <c r="J265" s="138"/>
      <c r="K265" s="71"/>
      <c r="L265" s="49"/>
      <c r="M265" s="37"/>
      <c r="N265" s="37"/>
      <c r="O265" s="37"/>
      <c r="P265" s="3"/>
      <c r="Q265" s="3"/>
      <c r="R265" s="3"/>
      <c r="S265" s="3"/>
      <c r="T265" s="3"/>
      <c r="U265" s="3"/>
      <c r="V265" s="3"/>
      <c r="W265" s="3"/>
      <c r="X265" s="3"/>
      <c r="Y265" s="4"/>
    </row>
    <row r="266" spans="1:25" x14ac:dyDescent="0.15">
      <c r="A266" s="156" t="s">
        <v>1713</v>
      </c>
      <c r="B266" s="126"/>
      <c r="C266" s="127"/>
      <c r="D266" s="127"/>
      <c r="E266" s="127"/>
      <c r="F266" s="127"/>
      <c r="G266" s="127"/>
      <c r="H266" s="94"/>
      <c r="I266" s="94"/>
      <c r="J266" s="138"/>
      <c r="K266" s="71"/>
      <c r="L266" s="49"/>
      <c r="M266" s="37"/>
      <c r="N266" s="37"/>
      <c r="O266" s="37"/>
      <c r="P266" s="3"/>
      <c r="Q266" s="3"/>
      <c r="R266" s="3"/>
      <c r="S266" s="3"/>
      <c r="T266" s="3"/>
      <c r="U266" s="3"/>
      <c r="V266" s="3"/>
      <c r="W266" s="3"/>
      <c r="X266" s="3"/>
      <c r="Y266" s="4"/>
    </row>
    <row r="267" spans="1:25" x14ac:dyDescent="0.15">
      <c r="A267" s="156" t="s">
        <v>1633</v>
      </c>
      <c r="B267" s="126"/>
      <c r="C267" s="127"/>
      <c r="D267" s="127"/>
      <c r="E267" s="127"/>
      <c r="F267" s="127"/>
      <c r="G267" s="127"/>
      <c r="H267" s="94"/>
      <c r="I267" s="94"/>
      <c r="J267" s="138"/>
      <c r="K267" s="71"/>
      <c r="L267" s="49"/>
      <c r="M267" s="37"/>
      <c r="N267" s="37"/>
      <c r="O267" s="37"/>
      <c r="P267" s="3"/>
      <c r="Q267" s="3"/>
      <c r="R267" s="3"/>
      <c r="S267" s="3"/>
      <c r="T267" s="3"/>
      <c r="U267" s="3"/>
      <c r="V267" s="3"/>
      <c r="W267" s="3"/>
      <c r="X267" s="3"/>
      <c r="Y267" s="4"/>
    </row>
    <row r="268" spans="1:25" x14ac:dyDescent="0.15">
      <c r="A268" s="156" t="s">
        <v>1634</v>
      </c>
      <c r="B268" s="126"/>
      <c r="C268" s="127"/>
      <c r="D268" s="127"/>
      <c r="E268" s="127"/>
      <c r="F268" s="127"/>
      <c r="G268" s="127"/>
      <c r="H268" s="94"/>
      <c r="I268" s="94"/>
      <c r="J268" s="138"/>
      <c r="K268" s="71"/>
      <c r="L268" s="49"/>
      <c r="M268" s="37"/>
      <c r="N268" s="37"/>
      <c r="O268" s="37"/>
      <c r="P268" s="3"/>
      <c r="Q268" s="3"/>
      <c r="R268" s="3"/>
      <c r="S268" s="3"/>
      <c r="T268" s="3"/>
      <c r="U268" s="3"/>
      <c r="V268" s="3"/>
      <c r="W268" s="3"/>
      <c r="X268" s="3"/>
      <c r="Y268" s="4"/>
    </row>
    <row r="269" spans="1:25" x14ac:dyDescent="0.15">
      <c r="A269" s="156" t="s">
        <v>1635</v>
      </c>
      <c r="B269" s="126"/>
      <c r="C269" s="127"/>
      <c r="D269" s="127"/>
      <c r="E269" s="127"/>
      <c r="F269" s="127"/>
      <c r="G269" s="127"/>
      <c r="H269" s="94"/>
      <c r="I269" s="94"/>
      <c r="J269" s="138"/>
      <c r="K269" s="71"/>
      <c r="L269" s="49"/>
      <c r="M269" s="37"/>
      <c r="N269" s="37"/>
      <c r="O269" s="37"/>
      <c r="P269" s="3"/>
      <c r="Q269" s="3"/>
      <c r="R269" s="3"/>
      <c r="S269" s="3"/>
      <c r="T269" s="3"/>
      <c r="U269" s="3"/>
      <c r="V269" s="3"/>
      <c r="W269" s="3"/>
      <c r="X269" s="3"/>
      <c r="Y269" s="4"/>
    </row>
    <row r="270" spans="1:25" x14ac:dyDescent="0.15">
      <c r="A270" s="156" t="s">
        <v>1533</v>
      </c>
      <c r="B270" s="126"/>
      <c r="C270" s="127"/>
      <c r="D270" s="127"/>
      <c r="E270" s="127"/>
      <c r="F270" s="127"/>
      <c r="G270" s="127"/>
      <c r="H270" s="94"/>
      <c r="I270" s="94"/>
      <c r="J270" s="138"/>
      <c r="K270" s="71"/>
      <c r="L270" s="49"/>
      <c r="M270" s="37"/>
      <c r="N270" s="37"/>
      <c r="O270" s="37"/>
      <c r="P270" s="3"/>
      <c r="Q270" s="3"/>
      <c r="R270" s="3"/>
      <c r="S270" s="3"/>
      <c r="T270" s="3"/>
      <c r="U270" s="3"/>
      <c r="V270" s="3"/>
      <c r="W270" s="3"/>
      <c r="X270" s="3"/>
      <c r="Y270" s="4"/>
    </row>
    <row r="271" spans="1:25" x14ac:dyDescent="0.15">
      <c r="A271" s="156" t="s">
        <v>7480</v>
      </c>
      <c r="B271" s="126"/>
      <c r="C271" s="127"/>
      <c r="D271" s="127"/>
      <c r="E271" s="127"/>
      <c r="F271" s="127"/>
      <c r="G271" s="127"/>
      <c r="H271" s="94"/>
      <c r="I271" s="94"/>
      <c r="J271" s="138"/>
      <c r="K271" s="71"/>
      <c r="L271" s="49"/>
      <c r="M271" s="37"/>
      <c r="N271" s="37"/>
      <c r="O271" s="37"/>
      <c r="P271" s="3"/>
      <c r="Q271" s="3"/>
      <c r="R271" s="3"/>
      <c r="S271" s="3"/>
      <c r="T271" s="3"/>
      <c r="U271" s="3"/>
      <c r="V271" s="3"/>
      <c r="W271" s="3"/>
      <c r="X271" s="3"/>
      <c r="Y271" s="4"/>
    </row>
    <row r="272" spans="1:25" x14ac:dyDescent="0.15">
      <c r="A272" s="156" t="s">
        <v>7614</v>
      </c>
      <c r="B272" s="126"/>
      <c r="C272" s="127"/>
      <c r="D272" s="127"/>
      <c r="E272" s="127"/>
      <c r="F272" s="127"/>
      <c r="G272" s="127"/>
      <c r="H272" s="94"/>
      <c r="I272" s="94"/>
      <c r="J272" s="138"/>
      <c r="K272" s="71"/>
      <c r="L272" s="49"/>
      <c r="M272" s="37"/>
      <c r="N272" s="37"/>
      <c r="O272" s="37"/>
      <c r="P272" s="3"/>
      <c r="Q272" s="3"/>
      <c r="R272" s="3"/>
      <c r="S272" s="3"/>
      <c r="T272" s="3"/>
      <c r="U272" s="3"/>
      <c r="V272" s="3"/>
      <c r="W272" s="3"/>
      <c r="X272" s="3"/>
      <c r="Y272" s="4"/>
    </row>
    <row r="273" spans="1:25" x14ac:dyDescent="0.15">
      <c r="A273" s="156" t="s">
        <v>7542</v>
      </c>
      <c r="B273" s="126"/>
      <c r="C273" s="127"/>
      <c r="D273" s="127"/>
      <c r="E273" s="127"/>
      <c r="F273" s="127"/>
      <c r="G273" s="127"/>
      <c r="H273" s="94"/>
      <c r="I273" s="94"/>
      <c r="J273" s="138"/>
      <c r="K273" s="71"/>
      <c r="L273" s="49"/>
      <c r="M273" s="37"/>
      <c r="N273" s="37"/>
      <c r="O273" s="37"/>
      <c r="P273" s="3"/>
      <c r="Q273" s="3"/>
      <c r="R273" s="3"/>
      <c r="S273" s="3"/>
      <c r="T273" s="3"/>
      <c r="U273" s="3"/>
      <c r="V273" s="3"/>
      <c r="W273" s="3"/>
      <c r="X273" s="3"/>
      <c r="Y273" s="4"/>
    </row>
    <row r="274" spans="1:25" x14ac:dyDescent="0.15">
      <c r="A274" s="156" t="s">
        <v>7544</v>
      </c>
      <c r="B274" s="126"/>
      <c r="C274" s="127"/>
      <c r="D274" s="127"/>
      <c r="E274" s="127"/>
      <c r="F274" s="127"/>
      <c r="G274" s="127"/>
      <c r="H274" s="94"/>
      <c r="I274" s="94"/>
      <c r="J274" s="138"/>
      <c r="K274" s="71"/>
      <c r="L274" s="49"/>
      <c r="M274" s="37"/>
      <c r="N274" s="37"/>
      <c r="O274" s="37"/>
      <c r="P274" s="3"/>
      <c r="Q274" s="3"/>
      <c r="R274" s="3"/>
      <c r="S274" s="3"/>
      <c r="T274" s="3"/>
      <c r="U274" s="3"/>
      <c r="V274" s="3"/>
      <c r="W274" s="3"/>
      <c r="X274" s="3"/>
      <c r="Y274" s="4"/>
    </row>
    <row r="275" spans="1:25" x14ac:dyDescent="0.15">
      <c r="A275" s="156" t="s">
        <v>7545</v>
      </c>
      <c r="B275" s="126"/>
      <c r="C275" s="127"/>
      <c r="D275" s="127"/>
      <c r="E275" s="127"/>
      <c r="F275" s="127"/>
      <c r="G275" s="127"/>
      <c r="H275" s="94"/>
      <c r="I275" s="94"/>
      <c r="J275" s="138"/>
      <c r="K275" s="71"/>
      <c r="L275" s="49"/>
      <c r="M275" s="37"/>
      <c r="N275" s="37"/>
      <c r="O275" s="37"/>
      <c r="P275" s="3"/>
      <c r="Q275" s="3"/>
      <c r="R275" s="3"/>
      <c r="S275" s="3"/>
      <c r="T275" s="3"/>
      <c r="U275" s="3"/>
      <c r="V275" s="3"/>
      <c r="W275" s="3"/>
      <c r="X275" s="3"/>
      <c r="Y275" s="4"/>
    </row>
    <row r="276" spans="1:25" x14ac:dyDescent="0.15">
      <c r="A276" s="156" t="s">
        <v>7298</v>
      </c>
      <c r="B276" s="126"/>
      <c r="C276" s="127"/>
      <c r="D276" s="127"/>
      <c r="E276" s="127"/>
      <c r="F276" s="127"/>
      <c r="G276" s="127"/>
      <c r="H276" s="94"/>
      <c r="I276" s="94"/>
      <c r="J276" s="138"/>
      <c r="K276" s="71"/>
      <c r="L276" s="49"/>
      <c r="M276" s="37"/>
      <c r="N276" s="37"/>
      <c r="O276" s="37"/>
      <c r="P276" s="3"/>
      <c r="Q276" s="3"/>
      <c r="R276" s="3"/>
      <c r="S276" s="3"/>
      <c r="T276" s="3"/>
      <c r="U276" s="3"/>
      <c r="V276" s="3"/>
      <c r="W276" s="3"/>
      <c r="X276" s="3"/>
      <c r="Y276" s="4"/>
    </row>
    <row r="277" spans="1:25" x14ac:dyDescent="0.15">
      <c r="A277" s="156" t="s">
        <v>7421</v>
      </c>
      <c r="B277" s="126"/>
      <c r="C277" s="127"/>
      <c r="D277" s="127"/>
      <c r="E277" s="127"/>
      <c r="F277" s="127"/>
      <c r="G277" s="127"/>
      <c r="H277" s="94"/>
      <c r="I277" s="94"/>
      <c r="J277" s="138"/>
      <c r="K277" s="71"/>
      <c r="L277" s="49"/>
      <c r="M277" s="37"/>
      <c r="N277" s="37"/>
      <c r="O277" s="37"/>
      <c r="P277" s="3"/>
      <c r="Q277" s="3"/>
      <c r="R277" s="3"/>
      <c r="S277" s="3"/>
      <c r="T277" s="3"/>
      <c r="U277" s="3"/>
      <c r="V277" s="3"/>
      <c r="W277" s="3"/>
      <c r="X277" s="3"/>
      <c r="Y277" s="4"/>
    </row>
    <row r="278" spans="1:25" x14ac:dyDescent="0.15">
      <c r="A278" s="156" t="s">
        <v>7511</v>
      </c>
      <c r="B278" s="126"/>
      <c r="C278" s="127"/>
      <c r="D278" s="127"/>
      <c r="E278" s="127"/>
      <c r="F278" s="127"/>
      <c r="G278" s="127"/>
      <c r="H278" s="94"/>
      <c r="I278" s="94"/>
      <c r="J278" s="138"/>
      <c r="K278" s="71"/>
      <c r="L278" s="49"/>
      <c r="M278" s="37"/>
      <c r="N278" s="37"/>
      <c r="O278" s="37"/>
      <c r="P278" s="3"/>
      <c r="Q278" s="3"/>
      <c r="R278" s="3"/>
      <c r="S278" s="3"/>
      <c r="T278" s="3"/>
      <c r="U278" s="3"/>
      <c r="V278" s="3"/>
      <c r="W278" s="3"/>
      <c r="X278" s="3"/>
      <c r="Y278" s="4"/>
    </row>
    <row r="279" spans="1:25" x14ac:dyDescent="0.15">
      <c r="A279" s="156" t="s">
        <v>7568</v>
      </c>
      <c r="B279" s="126"/>
      <c r="C279" s="127"/>
      <c r="D279" s="127"/>
      <c r="E279" s="127"/>
      <c r="F279" s="127"/>
      <c r="G279" s="127"/>
      <c r="H279" s="94"/>
      <c r="I279" s="94"/>
      <c r="J279" s="138"/>
      <c r="K279" s="71"/>
      <c r="L279" s="49"/>
      <c r="M279" s="37"/>
      <c r="N279" s="37"/>
      <c r="O279" s="37"/>
      <c r="P279" s="3"/>
      <c r="Q279" s="3"/>
      <c r="R279" s="3"/>
      <c r="S279" s="3"/>
      <c r="T279" s="3"/>
      <c r="U279" s="3"/>
      <c r="V279" s="3"/>
      <c r="W279" s="3"/>
      <c r="X279" s="3"/>
      <c r="Y279" s="4"/>
    </row>
    <row r="280" spans="1:25" x14ac:dyDescent="0.15">
      <c r="A280" s="156" t="s">
        <v>7523</v>
      </c>
      <c r="B280" s="126"/>
      <c r="C280" s="127"/>
      <c r="D280" s="127"/>
      <c r="E280" s="127"/>
      <c r="F280" s="127"/>
      <c r="G280" s="127"/>
      <c r="H280" s="94"/>
      <c r="I280" s="94"/>
      <c r="J280" s="138"/>
      <c r="K280" s="71"/>
      <c r="L280" s="49"/>
      <c r="M280" s="37"/>
      <c r="N280" s="37"/>
      <c r="O280" s="37"/>
      <c r="P280" s="3"/>
      <c r="Q280" s="3"/>
      <c r="R280" s="3"/>
      <c r="S280" s="3"/>
      <c r="T280" s="3"/>
      <c r="U280" s="3"/>
      <c r="V280" s="3"/>
      <c r="W280" s="3"/>
      <c r="X280" s="3"/>
      <c r="Y280" s="4"/>
    </row>
    <row r="281" spans="1:25" x14ac:dyDescent="0.15">
      <c r="A281" s="156" t="s">
        <v>7526</v>
      </c>
      <c r="B281" s="126"/>
      <c r="C281" s="127"/>
      <c r="D281" s="127"/>
      <c r="E281" s="127"/>
      <c r="F281" s="127"/>
      <c r="G281" s="127"/>
      <c r="H281" s="94"/>
      <c r="I281" s="94"/>
      <c r="J281" s="138"/>
      <c r="K281" s="71"/>
      <c r="L281" s="49"/>
      <c r="M281" s="37"/>
      <c r="N281" s="37"/>
      <c r="O281" s="37"/>
      <c r="P281" s="3"/>
      <c r="Q281" s="3"/>
      <c r="R281" s="3"/>
      <c r="S281" s="3"/>
      <c r="T281" s="3"/>
      <c r="U281" s="3"/>
      <c r="V281" s="3"/>
      <c r="W281" s="3"/>
      <c r="X281" s="3"/>
      <c r="Y281" s="4"/>
    </row>
    <row r="282" spans="1:25" x14ac:dyDescent="0.15">
      <c r="A282" s="156" t="s">
        <v>7543</v>
      </c>
      <c r="B282" s="126"/>
      <c r="C282" s="127"/>
      <c r="D282" s="127"/>
      <c r="E282" s="127"/>
      <c r="F282" s="127"/>
      <c r="G282" s="127"/>
      <c r="H282" s="94"/>
      <c r="I282" s="94"/>
      <c r="J282" s="138"/>
      <c r="K282" s="71"/>
      <c r="L282" s="49"/>
      <c r="M282" s="37"/>
      <c r="N282" s="37"/>
      <c r="O282" s="37"/>
      <c r="P282" s="3"/>
      <c r="Q282" s="3"/>
      <c r="R282" s="3"/>
      <c r="S282" s="3"/>
      <c r="T282" s="3"/>
      <c r="U282" s="3"/>
      <c r="V282" s="3"/>
      <c r="W282" s="3"/>
      <c r="X282" s="3"/>
      <c r="Y282" s="4"/>
    </row>
    <row r="283" spans="1:25" x14ac:dyDescent="0.15">
      <c r="A283" s="156" t="s">
        <v>1878</v>
      </c>
      <c r="B283" s="126"/>
      <c r="C283" s="127"/>
      <c r="D283" s="127"/>
      <c r="E283" s="127"/>
      <c r="F283" s="127"/>
      <c r="G283" s="127"/>
      <c r="H283" s="94"/>
      <c r="I283" s="94"/>
      <c r="J283" s="138"/>
      <c r="K283" s="71"/>
      <c r="L283" s="49"/>
      <c r="M283" s="37"/>
      <c r="N283" s="37"/>
      <c r="O283" s="37"/>
      <c r="P283" s="3"/>
      <c r="Q283" s="3"/>
      <c r="R283" s="3"/>
      <c r="S283" s="3"/>
      <c r="T283" s="3"/>
      <c r="U283" s="3"/>
      <c r="V283" s="3"/>
      <c r="W283" s="3"/>
      <c r="X283" s="3"/>
      <c r="Y283" s="4"/>
    </row>
    <row r="284" spans="1:25" x14ac:dyDescent="0.15">
      <c r="A284" s="156" t="s">
        <v>123</v>
      </c>
      <c r="B284" s="126"/>
      <c r="C284" s="127"/>
      <c r="D284" s="127"/>
      <c r="E284" s="127"/>
      <c r="F284" s="127"/>
      <c r="G284" s="127"/>
      <c r="H284" s="94"/>
      <c r="I284" s="94"/>
      <c r="J284" s="138"/>
      <c r="K284" s="71"/>
      <c r="L284" s="49"/>
      <c r="M284" s="37"/>
      <c r="N284" s="37"/>
      <c r="O284" s="37"/>
      <c r="P284" s="3"/>
      <c r="Q284" s="3"/>
      <c r="R284" s="3"/>
      <c r="S284" s="3"/>
      <c r="T284" s="3"/>
      <c r="U284" s="3"/>
      <c r="V284" s="3"/>
      <c r="W284" s="3"/>
      <c r="X284" s="3"/>
      <c r="Y284" s="4"/>
    </row>
    <row r="285" spans="1:25" x14ac:dyDescent="0.15">
      <c r="A285" s="156"/>
      <c r="B285" s="126"/>
      <c r="C285" s="127"/>
      <c r="D285" s="127"/>
      <c r="E285" s="127"/>
      <c r="F285" s="127"/>
      <c r="G285" s="127"/>
      <c r="H285" s="94"/>
      <c r="I285" s="94"/>
      <c r="J285" s="138"/>
      <c r="K285" s="71"/>
      <c r="L285" s="49"/>
      <c r="M285" s="37"/>
      <c r="N285" s="37"/>
      <c r="O285" s="37"/>
      <c r="P285" s="3"/>
      <c r="Q285" s="3"/>
      <c r="R285" s="3"/>
      <c r="S285" s="3"/>
      <c r="T285" s="3"/>
      <c r="U285" s="3"/>
      <c r="V285" s="3"/>
      <c r="W285" s="3"/>
      <c r="X285" s="3"/>
      <c r="Y285" s="4"/>
    </row>
  </sheetData>
  <phoneticPr fontId="25" type="noConversion"/>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METADATA</vt:lpstr>
      <vt:lpstr>MOM_v4.1</vt:lpstr>
      <vt:lpstr>Artiodactyla_extant</vt:lpstr>
      <vt:lpstr>Artiodactyla</vt:lpstr>
      <vt:lpstr>All Mammals (extinct&amp;extant)</vt:lpstr>
      <vt:lpstr>REFERENCES</vt:lpstr>
      <vt:lpstr>'All Mammals (extinct&amp;extant)'!Print_Area</vt:lpstr>
      <vt:lpstr>Artiodactyla!Print_Area</vt:lpstr>
      <vt:lpstr>Artiodactyla_extant!Print_Area</vt:lpstr>
      <vt:lpstr>MOM_v4.1!Print_Area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Blaire</dc:creator>
  <cp:lastModifiedBy>Microsoft Office User</cp:lastModifiedBy>
  <cp:lastPrinted>2003-04-25T19:41:55Z</cp:lastPrinted>
  <dcterms:created xsi:type="dcterms:W3CDTF">2002-06-05T15:58:42Z</dcterms:created>
  <dcterms:modified xsi:type="dcterms:W3CDTF">2020-02-21T02:11:48Z</dcterms:modified>
</cp:coreProperties>
</file>